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ameters" sheetId="1" r:id="rId3"/>
    <sheet state="visible" name="Endowment Summary (Current Year" sheetId="2" r:id="rId4"/>
    <sheet state="visible" name="Endowment Summary (Next Year)" sheetId="3" r:id="rId5"/>
    <sheet state="visible" name="Endowed Funds" sheetId="4" r:id="rId6"/>
    <sheet state="visible" name="Fund Investment Data" sheetId="5" r:id="rId7"/>
    <sheet state="visible" name="Fund Spending Data" sheetId="6" r:id="rId8"/>
    <sheet state="visible" name="Distribution Detail" sheetId="7" r:id="rId9"/>
    <sheet state="visible" name="Inflation Data" sheetId="8" r:id="rId10"/>
    <sheet state="visible" name="Fund YTD Contributions" sheetId="9" r:id="rId11"/>
    <sheet state="visible" name="Fund YTD Target Values" sheetId="10" r:id="rId12"/>
    <sheet state="visible" name="Closed Funds" sheetId="11" r:id="rId13"/>
  </sheets>
  <definedNames/>
  <calcPr/>
</workbook>
</file>

<file path=xl/comments1.xml><?xml version="1.0" encoding="utf-8"?>
<comments xmlns:r="http://schemas.openxmlformats.org/officeDocument/2006/relationships" xmlns="http://schemas.openxmlformats.org/spreadsheetml/2006/main">
  <authors>
    <author/>
  </authors>
  <commentList>
    <comment authorId="0" ref="O16">
      <text>
        <t xml:space="preserve">Close out 551 payroll with this
	-Kyle Bocinsky</t>
      </text>
    </comment>
    <comment authorId="0" ref="O20">
      <text>
        <t xml:space="preserve">Close out 551 payroll with this
	-Kyle Bocinsky</t>
      </text>
    </comment>
    <comment authorId="0" ref="O34">
      <text>
        <t xml:space="preserve">JE to cover 552 salaries and benefits
	-Kyle Bocinsky</t>
      </text>
    </comment>
    <comment authorId="0" ref="N35">
      <text>
        <t xml:space="preserve">Conference estimate through end of year.
	-Kyle Bocinsky</t>
      </text>
    </comment>
    <comment authorId="0" ref="N36">
      <text>
        <t xml:space="preserve">Kyle and Michelle's salary/benefits/taxes
	-Kyle Bocinsky</t>
      </text>
    </comment>
    <comment authorId="0" ref="N31">
      <text>
        <t xml:space="preserve">Mark and Paul's salary/benefits/taxes
	-Kyle Bocinsky</t>
      </text>
    </comment>
    <comment authorId="0" ref="N29">
      <text>
        <t xml:space="preserve">Grant's salary/benefits/taxes
	-Kyle Bocinsky</t>
      </text>
    </comment>
    <comment authorId="0" ref="K2">
      <text>
        <t xml:space="preserve">Red if &gt;10% of current market value
	-Kyle Bocinsky
----
Red if &gt;10% of current market value
	-Kyle Bocinsky</t>
      </text>
    </comment>
    <comment authorId="0" ref="H2">
      <text>
        <t xml:space="preserve">Updated monthly as distributions from  new contributions become available
	-Kyle Bocinsky</t>
      </text>
    </comment>
    <comment authorId="0" ref="G2">
      <text>
        <t xml:space="preserve">Red indicates negative value
	-Kyle Bocinsky
----
Red indicates &lt; 90% of target value; Yellow indicates 90–100%
	-Kyle Bocinsky</t>
      </text>
    </comment>
    <comment authorId="0" ref="F2">
      <text>
        <t xml:space="preserve">Red indicates negative value
	-Kyle Bocinsky
----
Red indicates &lt; 90% of contributed value; Yellow indicates 90–100%
	-Kyle Bocinsky</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Highlighted if name is inconsistent with gift instrument.
	-Kyle Bocinsky</t>
      </text>
    </comment>
  </commentList>
</comments>
</file>

<file path=xl/comments3.xml><?xml version="1.0" encoding="utf-8"?>
<comments xmlns:r="http://schemas.openxmlformats.org/officeDocument/2006/relationships" xmlns="http://schemas.openxmlformats.org/spreadsheetml/2006/main">
  <authors>
    <author/>
  </authors>
  <commentList>
    <comment authorId="0" ref="T65">
      <text>
        <t xml:space="preserve">Initialized at 1996 Market Value
	-Kyle Bocinsky</t>
      </text>
    </comment>
    <comment authorId="0" ref="S11">
      <text>
        <t xml:space="preserve">Initialized at 1996 market value
	-Kyle Bocinsky</t>
      </text>
    </comment>
    <comment authorId="0" ref="T101">
      <text>
        <t xml:space="preserve">This got off to a bad start, and has never fully recovered.
	-Kyle Bocinsky</t>
      </text>
    </comment>
    <comment authorId="0" ref="S8">
      <text>
        <t xml:space="preserve">Should have been initialized at 10000
	-Kyle Bocinsky</t>
      </text>
    </comment>
    <comment authorId="0" ref="U140">
      <text>
        <t xml:space="preserve">$755 less than expected
	-Kyle Bocinsky</t>
      </text>
    </comment>
    <comment authorId="0" ref="S7">
      <text>
        <t xml:space="preserve">Probably initialized at the wrong amount
	-Kyle Bocinsky</t>
      </text>
    </comment>
    <comment authorId="0" ref="U451">
      <text>
        <t xml:space="preserve">Things start getting screwy here
	-Kyle Bocinsky</t>
      </text>
    </comment>
    <comment authorId="0" ref="T114">
      <text>
        <t xml:space="preserve">Missing $15,000 since here
	-Kyle Bocinsky</t>
      </text>
    </comment>
    <comment authorId="0" ref="T858">
      <text>
        <t xml:space="preserve">Whoa. This number actually appeared in the board packet. This is too weird.
	-Kyle Bocinsky</t>
      </text>
    </comment>
    <comment authorId="0" ref="U404">
      <text>
        <t xml:space="preserve">Appears in the "discounts" category in the audit
	-Kyle Bocinsky</t>
      </text>
    </comment>
    <comment authorId="0" ref="T822">
      <text>
        <t xml:space="preserve">This gets all wacky
	-Kyle Bocinsky</t>
      </text>
    </comment>
    <comment authorId="0" ref="V62">
      <text>
        <t xml:space="preserve">Same as endowments workbook
	-Kyle Bocinsky</t>
      </text>
    </comment>
    <comment authorId="0" ref="S48">
      <text>
        <t xml:space="preserve">Same as endowments workbook
	-Kyle Bocinsky</t>
      </text>
    </comment>
    <comment authorId="0" ref="T77">
      <text>
        <t xml:space="preserve">$161 missing prior to 2002
	-Kyle Bocinsky</t>
      </text>
    </comment>
    <comment authorId="0" ref="T819">
      <text>
        <t xml:space="preserve">Things get really erratic here
	-Kyle Bocinsky</t>
      </text>
    </comment>
    <comment authorId="0" ref="T90">
      <text>
        <t xml:space="preserve">$10,000 booked in 2003, but not received until 2004
	-Kyle Bocinsky</t>
      </text>
    </comment>
    <comment authorId="0" ref="S35">
      <text>
        <t xml:space="preserve">This is the same number as in the endowments workbook
	-Kyle Bocinsky
Something must have happened during the first three years.
	-Kyle Bocinsky</t>
      </text>
    </comment>
    <comment authorId="0" ref="S10">
      <text>
        <t xml:space="preserve">Initialized incorrectly as the 1996 Market Value
	-Kyle Bocinsky</t>
      </text>
    </comment>
    <comment authorId="0" ref="T148">
      <text>
        <t xml:space="preserve">$19 of interest eared during first year was added to the contributed value.
	-Kyle Bocinsky</t>
      </text>
    </comment>
    <comment authorId="0" ref="T328">
      <text>
        <t xml:space="preserve">$20,000 booked in 2013 that doesn't hit account until 2014
	-Kyle Bocinsky</t>
      </text>
    </comment>
    <comment authorId="0" ref="T358">
      <text>
        <t xml:space="preserve">$5000 supposedly added, but never hits account
	-Kyle Bocinsky</t>
      </text>
    </comment>
    <comment authorId="0" ref="F197">
      <text>
        <t xml:space="preserve">Kyle adjusted
	-Kyle Bocinsky</t>
      </text>
    </comment>
    <comment authorId="0" ref="F256">
      <text>
        <t xml:space="preserve">Kyle adjusted
	-Kyle Bocinsky</t>
      </text>
    </comment>
    <comment authorId="0" ref="F419">
      <text>
        <t xml:space="preserve">Kyle adjusted
	-Kyle Bocinsky</t>
      </text>
    </comment>
    <comment authorId="0" ref="F387">
      <text>
        <t xml:space="preserve">Kyle adjusted
	-Kyle Bocinsky</t>
      </text>
    </comment>
    <comment authorId="0" ref="F326">
      <text>
        <t xml:space="preserve">Kyle adjusted
	-Kyle Bocinsky</t>
      </text>
    </comment>
    <comment authorId="0" ref="F298">
      <text>
        <t xml:space="preserve">Kyle adjusted
	-Kyle Bocinsky</t>
      </text>
    </comment>
    <comment authorId="0" ref="F244">
      <text>
        <t xml:space="preserve">Kyle adjusted
	-Kyle Bocinsky</t>
      </text>
    </comment>
  </commentList>
</comments>
</file>

<file path=xl/comments4.xml><?xml version="1.0" encoding="utf-8"?>
<comments xmlns:r="http://schemas.openxmlformats.org/officeDocument/2006/relationships" xmlns="http://schemas.openxmlformats.org/spreadsheetml/2006/main">
  <authors>
    <author/>
  </authors>
  <commentList>
    <comment authorId="0" ref="E2">
      <text>
        <t xml:space="preserve">Less rollover from previous distribution
	-Kyle Bocinsky</t>
      </text>
    </comment>
  </commentList>
</comments>
</file>

<file path=xl/comments5.xml><?xml version="1.0" encoding="utf-8"?>
<comments xmlns:r="http://schemas.openxmlformats.org/officeDocument/2006/relationships" xmlns="http://schemas.openxmlformats.org/spreadsheetml/2006/main">
  <authors>
    <author/>
  </authors>
  <commentList>
    <comment authorId="0" ref="C1">
      <text>
        <t xml:space="preserve">Series CUUR0000SA0
	-Kyle Bocinsky</t>
      </text>
    </comment>
  </commentList>
</comments>
</file>

<file path=xl/sharedStrings.xml><?xml version="1.0" encoding="utf-8"?>
<sst xmlns="http://schemas.openxmlformats.org/spreadsheetml/2006/main" count="2903" uniqueCount="480">
  <si>
    <r>
      <t xml:space="preserve">TOBIN PARAMETERS AND INTERNAL CCAC INDIRECT COST RATE
</t>
    </r>
    <r>
      <rPr>
        <color rgb="FFCC0000"/>
      </rPr>
      <t xml:space="preserve">ADJUST THESE TO SEE THE EFFECT OF DIFFERENT PARAMETERS!
</t>
    </r>
    <r>
      <t>Board-approved parameters are P=0.7, R=0.045</t>
    </r>
  </si>
  <si>
    <t>TOBIN PARAMETERS</t>
  </si>
  <si>
    <t>P</t>
  </si>
  <si>
    <t>R</t>
  </si>
  <si>
    <t>Year</t>
  </si>
  <si>
    <t xml:space="preserve">CURRENT AS OF: </t>
  </si>
  <si>
    <t>CURRENT VALUES</t>
  </si>
  <si>
    <t>BENCHMARKS</t>
  </si>
  <si>
    <t>DISTRIBUTION</t>
  </si>
  <si>
    <t>SPENDING</t>
  </si>
  <si>
    <t>Fund</t>
  </si>
  <si>
    <t>Department</t>
  </si>
  <si>
    <t>Contributed</t>
  </si>
  <si>
    <t>Target</t>
  </si>
  <si>
    <t>Market</t>
  </si>
  <si>
    <t>Market / 
Contributed</t>
  </si>
  <si>
    <t>Market / 
Target</t>
  </si>
  <si>
    <t>Approved 
Distribution</t>
  </si>
  <si>
    <t>Amount 
Distributed</t>
  </si>
  <si>
    <t>Distribution
Remaining</t>
  </si>
  <si>
    <t>Direct</t>
  </si>
  <si>
    <t>F&amp;A</t>
  </si>
  <si>
    <t>Remaining</t>
  </si>
  <si>
    <t>Planned</t>
  </si>
  <si>
    <t>Unallocated</t>
  </si>
  <si>
    <t>Native American Endowment Fund</t>
  </si>
  <si>
    <t>Albert G. Boyce, Jr. Family Fund</t>
  </si>
  <si>
    <t>Alden C. Hayes Research Fund</t>
  </si>
  <si>
    <t>C. Paul Johnson Family Fund</t>
  </si>
  <si>
    <t>Flora W. Minium Memorial Fund</t>
  </si>
  <si>
    <t>Fred G. Myers Research Fellowship</t>
  </si>
  <si>
    <t>Gomer W. Walters Research Fund</t>
  </si>
  <si>
    <t>Katherine Carhart Graduate Research Fellowship</t>
  </si>
  <si>
    <t>Richard G. and Mary Lyn Ballantine Fund</t>
  </si>
  <si>
    <t>Robert &amp; Doris Haugen Research Fund</t>
  </si>
  <si>
    <t>Stuart Struever Chair in Research</t>
  </si>
  <si>
    <t>Education Endowment Fund</t>
  </si>
  <si>
    <t>Eleanor &amp; Robert A. McClevey Jr., Chair in Education</t>
  </si>
  <si>
    <t>Four Corners Children's Education Fund</t>
  </si>
  <si>
    <t>Grace M. and Thor E. Larsen Education Fund</t>
  </si>
  <si>
    <t>Lew Matis Education Fund</t>
  </si>
  <si>
    <t>National Youth Education Scholarship Fund</t>
  </si>
  <si>
    <t>Navajo Education Fund</t>
  </si>
  <si>
    <t>Pamela &amp; Michael Reese Education Fund</t>
  </si>
  <si>
    <t>Shirley &amp; Reinhardt Jahn Education Fund</t>
  </si>
  <si>
    <t>Sidney &amp; Iris Taylor Education Fund</t>
  </si>
  <si>
    <t>Dorothy Warner McEachren Memorial Fund</t>
  </si>
  <si>
    <t>General Endowment</t>
  </si>
  <si>
    <t>National Endowment for the Humanities I</t>
  </si>
  <si>
    <t>National Endowment for the Humanities II</t>
  </si>
  <si>
    <t>Jan and Frank Cicero Research Fund</t>
  </si>
  <si>
    <t>Mark D. Varien Endowment for Research</t>
  </si>
  <si>
    <t>Research Institute Endowment Fund</t>
  </si>
  <si>
    <t>Ricky R. Lightfoot Chair for Research</t>
  </si>
  <si>
    <t>Robert H. Lister Memorial Fund</t>
  </si>
  <si>
    <t>Segal Family Foundation</t>
  </si>
  <si>
    <t>Sue Anschutz-Rodgers Research Fund</t>
  </si>
  <si>
    <t>William D. Lipe Advances in Research Endowment Fund</t>
  </si>
  <si>
    <t>William D. Lipe Chair in Research Endowment Fund</t>
  </si>
  <si>
    <t>TOTALS</t>
  </si>
  <si>
    <t>Market
Value</t>
  </si>
  <si>
    <t>Contributed
Value</t>
  </si>
  <si>
    <t>Target
Value</t>
  </si>
  <si>
    <t>Tobin
Distribution</t>
  </si>
  <si>
    <t>Y1-Q1</t>
  </si>
  <si>
    <t>Y1-Q2</t>
  </si>
  <si>
    <t>Y1-Q3</t>
  </si>
  <si>
    <t>Y1-Q4</t>
  </si>
  <si>
    <t xml:space="preserve">Y2 </t>
  </si>
  <si>
    <t>Rollover
Distribution</t>
  </si>
  <si>
    <t>Total
Distribution</t>
  </si>
  <si>
    <t>Grand Total</t>
  </si>
  <si>
    <t>Category</t>
  </si>
  <si>
    <t>Label</t>
  </si>
  <si>
    <t>Contributed Value</t>
  </si>
  <si>
    <t>Intent</t>
  </si>
  <si>
    <t>Purpose</t>
  </si>
  <si>
    <t>Signed Gift Instrument</t>
  </si>
  <si>
    <t>Notes</t>
  </si>
  <si>
    <t>Type</t>
  </si>
  <si>
    <t>Project Number</t>
  </si>
  <si>
    <t>Gift Project Number</t>
  </si>
  <si>
    <t>Distribution Account</t>
  </si>
  <si>
    <t>US Bank Account</t>
  </si>
  <si>
    <t>American Indian Initiatives</t>
  </si>
  <si>
    <t>To permanently support Native American activities at the Crow Canyon Archaeological Center.</t>
  </si>
  <si>
    <t>The Purpose of the Native American Endowment Fund is to support the involvement of Native Americans at Crow Canyon as students, teachers, scholars, advisors, and consultants. The funds may be used to support Native American youth scholarships, to subsidize Native American programs, to pay consulting fees, honoraria, salaries, and travel expenses for Native American involvement in the research and education programs at Crow Canyon.</t>
  </si>
  <si>
    <t>Endowment</t>
  </si>
  <si>
    <t>000043975119</t>
  </si>
  <si>
    <t>Archaeology</t>
  </si>
  <si>
    <t>To support the Crow Canyon Archaeological Center in successfully accomplishing its mission.</t>
  </si>
  <si>
    <t>The purpose of the Boyce Fund shall be to generate revenue that will assist Crow Canyon in meeting its mission, which includes conducting archaeological and educational research, publishing the results of that research, teaching the public about archaeology and other cultures, and involving Native Americans as students, scholars, teachers and consultants. Earnings of the Boyce Fund will support Crow Canyon's top quality research and education programs and help maintain its excellent staff.</t>
  </si>
  <si>
    <t>000043975125</t>
  </si>
  <si>
    <t>To support the Crow Canyon Archaeological Center in successfully accomplishing its mission pertaining to archaeological research.</t>
  </si>
  <si>
    <t>The Purpose of the Alden C. Hayes Research Fund shall be to support and promote Crow Canyon’s research projects, especially those activities that carry research projects through to completion, including, but not limited to, laboratory analysis, data analysis, report writing, report editing, report production, drafting, publication, special research projects, research consulting, collections curation, and travel to conduct research or to present research at professional archaeology conferences. The above listed items for which distributions are permissible from the Fund are set forth as examples of distributions used to promote the research of Crow Canyon and are not meant to limit expenditures solely to the specific items set forth above as long as distributions from the Fund are made for the purpose of completing research projects at Crow Canyon.</t>
  </si>
  <si>
    <t>Unsigned revised establishing resolution</t>
  </si>
  <si>
    <t>000043975111</t>
  </si>
  <si>
    <t>The purpose of the Fund shall be to generate income to assist Crow Canyon in meeting its mission of conducting archaeological research, teaching the public and involving Native Americans. While the Center generates some income from the tuition it charges for educational programs, there is a continuing need for support for archaeological research, educational research, program development and scholarships. The earnings of the Fund will support Crow Canyon’s top quality research and education programs, help maintain the excellent research and education staff, support the publication of the results of the Center’s archaeological. and educational research, and provide scholarships for Crow Canyon programs.</t>
  </si>
  <si>
    <t>000043975118</t>
  </si>
  <si>
    <t>To honor Flora W. Minium and to support the Crow Canyon Archaeological Center in successfully accomplishing its mission pertaining to archaeological research and education.</t>
  </si>
  <si>
    <t>Distributions from the Fund shall be used primarily to promote the research and educational programs of Crow Canyon, including, but not limited to, making distributions from the Fund for the purpose of expanding or enlarging the existing research library and obtaining and replacing publications for the research library, replacement of equipment used in the field, travel for research or to facilitate educational programs and other related expenditures. The above listed items for which distributions are permissible from the Fund are set forth herein as examples of distributions used to promote the research and educational programs of Crow Canyon and are not meant to limit expenditures solely to the specific items set forth above as long as distributions from the Fund are made for the purpose of promoting the research and educational programs of Crow Canyon.</t>
  </si>
  <si>
    <t>000043975113</t>
  </si>
  <si>
    <t>To honor Fred G. Meyers and establish an endowed graduate student research fellowship.</t>
  </si>
  <si>
    <t>Named after the artist who created ironwork rock art as a way to keep the record of past civilizations alive, the fund supports a graduate student in American archaeology who has shown special intellectual ability in the interpretation of human prehistory with demonstrated research interests in the Southwest. This fellowship recognizes the scarcity of support for students in archaeology at the point in their graduate training when they are prepared to undertake thesis research and this fund was designed to help insure the completion of doctoral degrees in Southwestern archaeology.</t>
  </si>
  <si>
    <t>Description but no agreement</t>
  </si>
  <si>
    <t>000043975106</t>
  </si>
  <si>
    <t>To honor Gomer W. Walters and to support the Crow Canyon Archaeological Center in successfully accomplishing its mission pertaining to archaeological research.</t>
  </si>
  <si>
    <t>The purpose of the Gomer W. Walters Endowment for Research shall be to support archaeological research at Crow Canyon, including salaries and project expenses, such as, fieldwork, remote sensing, laboratory analysis, data analysis, data management, report writing, editing, drafting, publication, collections management, curation, travel to conduct research, travel to present research results at professional meetings or conferences, or other expenses that promote the successful accomplishment and completion of archaeological research projects.</t>
  </si>
  <si>
    <t>000043975121</t>
  </si>
  <si>
    <t>To honor Katherine Carhart and establish an endowed student research fellowship.</t>
  </si>
  <si>
    <t>The Carhart Fellowship has been established to further the training and research of students in American archaeology who have shown outstanding intellectual ability in the study and interpretation of human prehistory, and who have demonstrated research interests in the archaeology of the American Southwest.</t>
  </si>
  <si>
    <t>000043975103</t>
  </si>
  <si>
    <t>The purpose of the Ballantine Fund shall be to generate revenue that will assist Crow Canyon in meeting its mission, which includes conducting archaeological and educational research, publishing the results of that research, teaching the public about archaeology and other cultures, and involving Native Americans as students, teachers, scholars and consultants, Earnings of the Ballantine Fund will support Crow Canyon’s top quality research and education programs, help maintain its excellent staff, and provide scholarships for students to attend Crow Canyon’s programs.</t>
  </si>
  <si>
    <t>000043975117</t>
  </si>
  <si>
    <t>To support the Crow Canyon Archaeological Center in successfully accomplishing its mission pertaining to archaeological research and to support the continuation of the high quality experience the Center provides to undergraduate and graduate student interns.</t>
  </si>
  <si>
    <t>The purpose of the Fund is to support Crow Canyon’s scholarly archaeological research and projects for which additional funds are necessary in order to undertake or complete this work. It is also the Donor’s preference to support the involvement of interns in carrying out research.</t>
  </si>
  <si>
    <t>000043975135</t>
  </si>
  <si>
    <t>To honor Stuart Struever and establish an endowed archaeological research chair.</t>
  </si>
  <si>
    <t>This gift shall be utilized to establish an endowed fund, the income from which shall be used to pay the salary and benefits, or a portion thereof, of an archaeologist who proposes to conduct research, writing and advisory projects as those relate to the study of ancient peoples consistent with the mission of the Crow Canyon Archaeological Center.</t>
  </si>
  <si>
    <t>000043975108</t>
  </si>
  <si>
    <t>Education</t>
  </si>
  <si>
    <t>To support the Crow Canyon Archaeological Center in successfully accomplishing its mission pertaining to education.</t>
  </si>
  <si>
    <t>The purpose of the Education Endowment Fund is to generate revenue that will assist Crow Canyon in meeting its mission in the area of education, which includes conducting educational research, publishing the results of that research, teaching the public about archaeology and other cultures, and involving Native Americans as students, teachers, scholars, and consultants. Earnings and gains from the endowment will support Crow Canyon’s top-quality education programs, help maintain its excellent staff, and provide scholarships for students to attend Crow Canyon’s programs.</t>
  </si>
  <si>
    <t>000043975104</t>
  </si>
  <si>
    <t>To support the Crow Canyon Archaeological Center in successfully accomplishing its mission pertaining to education by estabilishing an endowed education chair.</t>
  </si>
  <si>
    <t>The purpose of the Chair is to establish and maintain a permanently restricted endowment fund, which will be invested and the returns will be used to support the education mission of Crow Canyon by funding the salary of one or more education staff members.</t>
  </si>
  <si>
    <t>Unsigned establishing resolution</t>
  </si>
  <si>
    <t>000043975134</t>
  </si>
  <si>
    <t>To make Crow Canyon’s experiential education programs accessible to more Four Corners area students who might not otherwise be able to afford to attend.</t>
  </si>
  <si>
    <t>The purpose of The Four Corners Children's Education Fund is to make Crow Canyon’s educational programs accessible to more students by underwriting the cost of those programs and, thus, make them more affordable to schools and individual students, There are many children whose families and schools cannot afford to pay full price for an educational program at Crow Canyon. The Center is committed to sustaining the socio-economic and cultural diversity in the students it serves by subsidizing the program costs for students from low-income families and at-risk communities.</t>
  </si>
  <si>
    <t>Unsigned gift agreement, but signed pledges</t>
  </si>
  <si>
    <t>000043975124</t>
  </si>
  <si>
    <t>To support the experiential public education mission and activities of Crow Canyon.</t>
  </si>
  <si>
    <t>Unsigned gift agreement</t>
  </si>
  <si>
    <t>000043975132</t>
  </si>
  <si>
    <t>To support Crow Canyon’s education mission.</t>
  </si>
  <si>
    <t>000043975129</t>
  </si>
  <si>
    <t>Provide a permanent opportunity for students and teachers to participate in experimental educational programs at Crow Canyon.</t>
  </si>
  <si>
    <t>The purpose of NYESF is to provide, in order of priorities, scholarships for youth to participate in Crow Canyon programs both on and off campus, scholarships for educators to participate in Crow Canyon programs both on and off campus, and to bring educational expertise to Crow Canyon. The awards shall be granted by Crow Canyon in its sole discretion, and may cover program tuition and reasonable expenses of travel to and from Colorado. The opportunity to apply for a scholarship via the NYESF shall be posted on Crow Canyon’s Web site and made available to the public through its on-line and printed newsletter, as well as other methods used to disseminate information regarding the process.</t>
  </si>
  <si>
    <t>000043975115</t>
  </si>
  <si>
    <t>To further the education of Navajos who live in the Navajo Nation area.</t>
  </si>
  <si>
    <t>Navajo Education Fund will support education programs for members of the Navajo Nation. This Fund will support the education of Navajo students of all ages, including the development, delivery and assessment of educational programs.</t>
  </si>
  <si>
    <t>Established by estate gift. Legal docs?</t>
  </si>
  <si>
    <t>000043975128</t>
  </si>
  <si>
    <t>The purpose of the Pamela and Michael Reese Endowment for Education shall be to generate revenue that will assist Crow Canyon in meeting its education mission, which includes supporting salaries of educators who are involved in teaching, curriculum development, conducting educational research, and publishing and distributing the results of their work. Earnings of the Pamela and Michael Reese Endowment for Education will support Crow Canyon’s top quality education programs, help maintain its excellent staff, and provide scholarships for students to attend Crow Canyon’s programs.</t>
  </si>
  <si>
    <t>000043975122</t>
  </si>
  <si>
    <t>The purpose of the fund is to support the salary and benefits of a professional educator to advance the educational mission of Crow Canyon, through teaching, curriculum development, educational research, program assessment, development of new educational outreach opportunities, and other essential projects.</t>
  </si>
  <si>
    <t>No gift agreement</t>
  </si>
  <si>
    <t>000043975126</t>
  </si>
  <si>
    <t>[To] support the participation of children in Crow Canyon’s programs who otherwise could not afford to participate.</t>
  </si>
  <si>
    <t>The purpose of the Sidney and Iris Taylor Endowment Fund is to support financially disadvantaged children to participate in Crow Canyon’s educational programs—children who otherwise would not be able to afford to participate. The Fund may support students in school groups or individually enrolled programs.</t>
  </si>
  <si>
    <t>000043975127</t>
  </si>
  <si>
    <t>General Operations</t>
  </si>
  <si>
    <t>The Dorothy Warner McEachren Memorial Fund is a permanently restricted fund whose investment returns may be used to support the general operations of the Crow Canyon Archaeological Center in pursuit of its mission in archaeological research, education children and adults, and involving American Indians.</t>
  </si>
  <si>
    <t>000043975131</t>
  </si>
  <si>
    <t>The revenue generated by the general endowment fund will assist Crow Canyon in conducting archacological and educational research, publishing the results of that research, teaching the public about archaeology and other cultures, and involving Native Americans as students, teachers, scholars, and consultants. Earnings and gains from the endowment investments will support Crow Canyon’s top-quality research and education programs, help maintain its excellent staff, and provide scholarships for students to attend Crow Canyon’s programs.</t>
  </si>
  <si>
    <t>000043975116</t>
  </si>
  <si>
    <t>File completely missing</t>
  </si>
  <si>
    <t>000043975107</t>
  </si>
  <si>
    <t>The funds will help build the endowment to permanently support a Distance-Learning Team that will produce and publish archaeological research results and educational activities via the Internet and on compact discs. We are all excited about this program and the innovations that will further the teaching and learning of America’s history.</t>
  </si>
  <si>
    <t>Purpose unclear; Purpose here derived from budget letter from Gayle Prior. Probably needs an establishing resolution.</t>
  </si>
  <si>
    <t>000043975120</t>
  </si>
  <si>
    <t>Research Institute</t>
  </si>
  <si>
    <t>To support the Crow Canyon Archaeological Center in successfully accomplishing its mission as it pertains to archaeological research, and to support the Research Institute at Crow Canyon.</t>
  </si>
  <si>
    <t>The purpose of the Cicero Fund shall be to generate revenue that supports and promotes the successful accomplishment and completion of top quality archaeological research at Crow Canyon, and helps to maintain its excellent research department staff. The Fund will support expenditures in such areas as salaries, fieldwork, remote sensing, laboratory analysis, data analysis, data management, report writing, publication, curation, and collections management.</t>
  </si>
  <si>
    <t>000043975123</t>
  </si>
  <si>
    <t>The purpose of the Mark D. Varien Endowment for Research (the Fund) is to support Crow Canyon’s scholarly archaeological research and projects that are consistent with the mission of the Crow Canyon Archaeological Center and the Research Institute. The Fund shall be used to support archaeological research, integrating archaeological knowledge with traditional American Indian knowledge to create a more comprehensive understanding of the past, and developing materials to communicate the results of that research to the public. The Fund may be used to support salaries, professional development, and project costs, such as field work, laboratory analysis, special analyses, special studies, publications, conferences, grant writing, and travel. While the gift and the Fund are inspired by plans for the Research Institute, the purpose of the fund is to support scholarly archaeological research at Crow Canyon in perpetuity.</t>
  </si>
  <si>
    <t>000043975137</t>
  </si>
  <si>
    <t>To support the Crow Canyon Archaeological Center in successfully accomplishing its mission, and to support the Research Institute at Crow Canyon.</t>
  </si>
  <si>
    <t>Missing signed gift agreement. Unsigned agreement in folder missing Intent or Purpose. Email chain between Gayle and Richard requesting agreement ends unresolved.</t>
  </si>
  <si>
    <t>000043975138</t>
  </si>
  <si>
    <t>To support the Crow Canyon Archaeological Center in successfully accomplishing its mission as it pertains to archaeological research by estabilishing an endowed archaeological research chair.</t>
  </si>
  <si>
    <t>The purpose of the Fund is to support the scholarly research at Crow Canyon and promote greater visibility of the Center’s mission and research results on a national and international stage. The President and CEO of Crow Canyon will award the Chair to an individual staff member or affiliated scholar for conducting and disseminating research that is integral to the Center’s research goals and mission. The Fund is intended primarily to support the salary and benefits or other stipend of the appointed Chair. It may also be used to support other research project expenses associated with the work of the Chair. In the event that the Chair’s salary and expenses are supported by grants or other funding sources, the Fund may be used to support other activities and expenses that further the research mission of Crow Canyon and the purpose of Fund in raising the Center’s profile.</t>
  </si>
  <si>
    <t>000043975133</t>
  </si>
  <si>
    <t>Ensure that deserving, outstanding students obtain the basic financial support they need to complete their doctoral degrees and launch a career in Southwestern archaeology.</t>
  </si>
  <si>
    <t>The Crow Canyon Archaeological Center announces the first Robert H. Lister Fellowship in Southwestern Archaeology, which will be offered in alternate years. The Lister Fellowship is designed to encourage and support significant advances in archaeological knowledge of Native American cultures of the American Southwest. It commemorates the life and work of the late Robert H. Lister, who had an outstanding career in the Southwest as a field archaeologist, university teacher, research administrator, historian of archaeology, and public educator. The award will be made to an outstanding Ph.D. student working on a dissertation in Southwestern Archaeology.</t>
  </si>
  <si>
    <t>Needs resolution renaming fund; currently the Robert H. Lister Memorial Fund</t>
  </si>
  <si>
    <t>000043975102</t>
  </si>
  <si>
    <t>The purpose of the Segal Family Foundation Research Fund is specifically to support Crow Canyon’s scholarly archaeological research, including, but not exclusive to, the Research Institute. The Fund may be used to support salaries, professional development, and project costs, such as field work, laboratory analysis, special analyses, special studies, publications, conferences, grant writing, and travel, all relating to archaeological research. It is the Donor’s desire that the Fund’s financial support of archaeological research will be used wisely by and for the benefit of Crow Canyon.</t>
  </si>
  <si>
    <t>000043975142</t>
  </si>
  <si>
    <t>The purpose of the Sue Anschutz-Rodgers Research Fund is specifically to support Crow Canyon’s scholarly archaeological research, including, but not exclusive to, the Research Institute. The Fund may be used to support salaries, professional development, and project costs, such as field work, laboratory analysis, special analyses, special studies, publications, conferences, grant writing, and travel, all relating to archaeological research. It is the Donor’s desire that the Fund’s financial support of archaeological research will be used wisely by and for the benefit of Crow Canyon.</t>
  </si>
  <si>
    <t>000043975139</t>
  </si>
  <si>
    <t>The Donors’ intent in establishing the Fund is to honor William D. Lipe for his intellectual and scholarly contributions to American and Southwestern archaeology and for his many efforts over the past 35 years to ensure that Crow Canyon develops and sustains a well-respected and widely recognized research program. The Donors’ intent is also to establish the Fund to support advanced research through the Research Institute, as defined in the purpose statement of this agreement.</t>
  </si>
  <si>
    <t>The purpose of the Fund is to support advanced scholarly research at the Research Institute and promote greater visibility of the Research Institute’s mission and research results on a national and international stage. The Fund shall support the salaries or other expenses of researchers working on projects that are integral to the mission and goals of the Research Institute. This may include support for salary of staff or Research Associates who are working on Research Institute projects or publications, including open-access publications. The Fund may also support the costs of traveling to present research at professional meetings and conferences, maintaining and enhancing access to Crow Canyon’s research database, supporting a scholar-in-residence program for Research Associates, indirect costs incurred as a part of administering the Advances in Research program, or other Research Institute activities consistent with the Donors’ intent.</t>
  </si>
  <si>
    <t>000043975144</t>
  </si>
  <si>
    <t>The Donors’ intent in establishing the Fund and the Chair is to honor William D. Lipe for his intellectual and scholarly contributions to American and Southwestern archaeology and for his many efforts over the past 35 years to ensure that Crow Canyon develops and sustains a well-respected and widely recognized research program. The Donors’ intent is also to establish the Fund and the Chair to support an archaeological scholar to advance archaeological research through the Research Institute, as defined in the purpose statement of this agreement.</t>
  </si>
  <si>
    <t>The purpose of the Chair is to honor an archaeological scholar in the Research Institute. The purpose of the Fund is to provide the financial resources to support in whole or in part the salary, benefits, research project expenses of the Chair recipient, and indirect costs incurred as a part of administering the Chair. In the event that the salary and expenses of the Chair recipient are supported, in whole or in part, by grants or other funding sources, the proceeds of the Fund may be used to support other activities and expenses that further the mission and goals of the Research Institute.</t>
  </si>
  <si>
    <t>000043975145</t>
  </si>
  <si>
    <t>Month</t>
  </si>
  <si>
    <t>Deposits (YTD)</t>
  </si>
  <si>
    <t>Transfers (YTD)</t>
  </si>
  <si>
    <t>Adjustments (YTD)</t>
  </si>
  <si>
    <t>Fees Paid (YTD)</t>
  </si>
  <si>
    <t>Interest Earned (YTD)</t>
  </si>
  <si>
    <t>Realized Gains (YTD)</t>
  </si>
  <si>
    <t>Unrealized
Gains/Losses (YTD)</t>
  </si>
  <si>
    <t>Other Fees (YTD)</t>
  </si>
  <si>
    <t>Realized Losses (YTD)</t>
  </si>
  <si>
    <t>Accrued Interest (YTD)</t>
  </si>
  <si>
    <t>Capital Gains (YTD)</t>
  </si>
  <si>
    <t>Market Value (reported)</t>
  </si>
  <si>
    <t>Market Value (calculated)</t>
  </si>
  <si>
    <t>Market Value (difference)</t>
  </si>
  <si>
    <t>Target Value</t>
  </si>
  <si>
    <t>Contributed Value
(calculated)</t>
  </si>
  <si>
    <t>Contributed Value
(audit)</t>
  </si>
  <si>
    <t>Contributed Value
(difference)</t>
  </si>
  <si>
    <t>Contributions (monthly)</t>
  </si>
  <si>
    <t>Transfers
(monthly)</t>
  </si>
  <si>
    <t>Approved Distribution (Tobin Stability)</t>
  </si>
  <si>
    <t>Approved Distribution (Tobin Market)</t>
  </si>
  <si>
    <t>Approved Distribution (Tobin)</t>
  </si>
  <si>
    <t>Approved Distribution (New Y1)</t>
  </si>
  <si>
    <t>Approved Distribution (New Y2)</t>
  </si>
  <si>
    <t>Approved Distribution (Rollover)</t>
  </si>
  <si>
    <t>Approved Distribution (Total)</t>
  </si>
  <si>
    <t>Distribution Difference</t>
  </si>
  <si>
    <t>Rollover</t>
  </si>
  <si>
    <t>Account</t>
  </si>
  <si>
    <t>Date</t>
  </si>
  <si>
    <t>Transaction</t>
  </si>
  <si>
    <t>Debit Amount</t>
  </si>
  <si>
    <t>Credit Amount</t>
  </si>
  <si>
    <t>9233-39</t>
  </si>
  <si>
    <t>9233-49</t>
  </si>
  <si>
    <t>9233-55</t>
  </si>
  <si>
    <t>9242-103</t>
  </si>
  <si>
    <t>9242-67</t>
  </si>
  <si>
    <t>9243-13</t>
  </si>
  <si>
    <t>9233-23</t>
  </si>
  <si>
    <t>9233-27</t>
  </si>
  <si>
    <t>9233-50</t>
  </si>
  <si>
    <t>9233-36</t>
  </si>
  <si>
    <t>9233-40</t>
  </si>
  <si>
    <t>9233-103</t>
  </si>
  <si>
    <t>9233-109</t>
  </si>
  <si>
    <t>9233-111</t>
  </si>
  <si>
    <t>9240-114</t>
  </si>
  <si>
    <t>9240-16</t>
  </si>
  <si>
    <t>9240-171</t>
  </si>
  <si>
    <t>9240-366</t>
  </si>
  <si>
    <t>9240-450</t>
  </si>
  <si>
    <t>9240-643</t>
  </si>
  <si>
    <t>9245-14</t>
  </si>
  <si>
    <t>9245-17</t>
  </si>
  <si>
    <t>9245-18</t>
  </si>
  <si>
    <t>9245-19</t>
  </si>
  <si>
    <t>9245-20</t>
  </si>
  <si>
    <t>9245-33</t>
  </si>
  <si>
    <t>9245-35</t>
  </si>
  <si>
    <t>9245-38</t>
  </si>
  <si>
    <t>9245-39</t>
  </si>
  <si>
    <t>9245-40</t>
  </si>
  <si>
    <t>9245-41</t>
  </si>
  <si>
    <t>9294-13</t>
  </si>
  <si>
    <t>9294-15</t>
  </si>
  <si>
    <t>9242-24</t>
  </si>
  <si>
    <t>9242-26</t>
  </si>
  <si>
    <t>9242-31</t>
  </si>
  <si>
    <t>9242-33</t>
  </si>
  <si>
    <t>9236-23</t>
  </si>
  <si>
    <t>9236-24</t>
  </si>
  <si>
    <t>9236-25</t>
  </si>
  <si>
    <t>9236-26</t>
  </si>
  <si>
    <t>9265-23</t>
  </si>
  <si>
    <t>9265-63</t>
  </si>
  <si>
    <t>9265-77</t>
  </si>
  <si>
    <t>9267-124</t>
  </si>
  <si>
    <t>9267-16</t>
  </si>
  <si>
    <t>9267-181</t>
  </si>
  <si>
    <t>9267-321</t>
  </si>
  <si>
    <t>9267-409</t>
  </si>
  <si>
    <t>9267-422</t>
  </si>
  <si>
    <t>9289-14</t>
  </si>
  <si>
    <t>9289-17</t>
  </si>
  <si>
    <t>9289-18</t>
  </si>
  <si>
    <t>9289-19</t>
  </si>
  <si>
    <t>9289-31</t>
  </si>
  <si>
    <t>9289-34</t>
  </si>
  <si>
    <t>9289-37</t>
  </si>
  <si>
    <t>9289-38</t>
  </si>
  <si>
    <t>9289-39</t>
  </si>
  <si>
    <t>9265-173</t>
  </si>
  <si>
    <t>9236-38</t>
  </si>
  <si>
    <t>9236-39</t>
  </si>
  <si>
    <t>9236-40</t>
  </si>
  <si>
    <t>9236-41</t>
  </si>
  <si>
    <t>9271-16</t>
  </si>
  <si>
    <t>9271-17</t>
  </si>
  <si>
    <t>9271-18</t>
  </si>
  <si>
    <t>9266-14</t>
  </si>
  <si>
    <t>9266-15</t>
  </si>
  <si>
    <t>9266-20</t>
  </si>
  <si>
    <t>9266-39</t>
  </si>
  <si>
    <t>9288-105</t>
  </si>
  <si>
    <t>9288-111</t>
  </si>
  <si>
    <t>9288-13</t>
  </si>
  <si>
    <t>9288-17</t>
  </si>
  <si>
    <t>9288-21</t>
  </si>
  <si>
    <t>9288-23</t>
  </si>
  <si>
    <t>9288-24</t>
  </si>
  <si>
    <t>9288-25</t>
  </si>
  <si>
    <t>9288-42</t>
  </si>
  <si>
    <t>9288-44</t>
  </si>
  <si>
    <t>9288-45</t>
  </si>
  <si>
    <t>9295-40</t>
  </si>
  <si>
    <t>9295-44</t>
  </si>
  <si>
    <t>9295-45</t>
  </si>
  <si>
    <t>9295-30</t>
  </si>
  <si>
    <t>9322-15</t>
  </si>
  <si>
    <t>9322-17</t>
  </si>
  <si>
    <t>9322-18</t>
  </si>
  <si>
    <t>9322-19</t>
  </si>
  <si>
    <t>9322-20</t>
  </si>
  <si>
    <t>9322-32</t>
  </si>
  <si>
    <t>9322-35</t>
  </si>
  <si>
    <t>9322-37</t>
  </si>
  <si>
    <t>9322-38</t>
  </si>
  <si>
    <t>9322-39</t>
  </si>
  <si>
    <t>9322-40</t>
  </si>
  <si>
    <t>9296-175</t>
  </si>
  <si>
    <t>9296-23</t>
  </si>
  <si>
    <t>9296-232</t>
  </si>
  <si>
    <t>9296-431</t>
  </si>
  <si>
    <t>9296-561</t>
  </si>
  <si>
    <t>9296-574</t>
  </si>
  <si>
    <t>9295-103</t>
  </si>
  <si>
    <t>9325-21</t>
  </si>
  <si>
    <t>9325-25</t>
  </si>
  <si>
    <t>9325-26</t>
  </si>
  <si>
    <t>9325-27</t>
  </si>
  <si>
    <t>9325-28</t>
  </si>
  <si>
    <t>9325-52</t>
  </si>
  <si>
    <t>9325-53</t>
  </si>
  <si>
    <t>9314-53</t>
  </si>
  <si>
    <t>9314-59</t>
  </si>
  <si>
    <t>9314-68</t>
  </si>
  <si>
    <t>9314-72</t>
  </si>
  <si>
    <t>9314-73</t>
  </si>
  <si>
    <t>9331-35</t>
  </si>
  <si>
    <t>9304-132</t>
  </si>
  <si>
    <t>9304-16</t>
  </si>
  <si>
    <t>9304-187</t>
  </si>
  <si>
    <t>9304-303</t>
  </si>
  <si>
    <t>9304-415</t>
  </si>
  <si>
    <t>9308-23</t>
  </si>
  <si>
    <t>9308-24</t>
  </si>
  <si>
    <t>9308-25</t>
  </si>
  <si>
    <t>9308-26</t>
  </si>
  <si>
    <t>9310-17</t>
  </si>
  <si>
    <t>9310-18</t>
  </si>
  <si>
    <t>9310-19</t>
  </si>
  <si>
    <t>9319-56</t>
  </si>
  <si>
    <t>9319-80</t>
  </si>
  <si>
    <t>9319-85</t>
  </si>
  <si>
    <t>9319-86</t>
  </si>
  <si>
    <t>9319-91</t>
  </si>
  <si>
    <t>9319-99</t>
  </si>
  <si>
    <t>9332-22</t>
  </si>
  <si>
    <t>9319-128</t>
  </si>
  <si>
    <t>9326-15</t>
  </si>
  <si>
    <t>9326-17</t>
  </si>
  <si>
    <t>9326-19</t>
  </si>
  <si>
    <t>9326-20</t>
  </si>
  <si>
    <t>9326-21</t>
  </si>
  <si>
    <t>9326-37</t>
  </si>
  <si>
    <t>9326-38</t>
  </si>
  <si>
    <t>9329-16</t>
  </si>
  <si>
    <t>9329-174</t>
  </si>
  <si>
    <t>9329-229</t>
  </si>
  <si>
    <t>9329-351</t>
  </si>
  <si>
    <t>9329-463</t>
  </si>
  <si>
    <t>9332-111</t>
  </si>
  <si>
    <t>9336-134</t>
  </si>
  <si>
    <t>9336-21</t>
  </si>
  <si>
    <t>9336-213</t>
  </si>
  <si>
    <t>9336-378</t>
  </si>
  <si>
    <t>9336-549</t>
  </si>
  <si>
    <t>9346-27</t>
  </si>
  <si>
    <t>9346-29</t>
  </si>
  <si>
    <t>9346-30</t>
  </si>
  <si>
    <t>9346-31</t>
  </si>
  <si>
    <t>9346-56</t>
  </si>
  <si>
    <t>9341-22</t>
  </si>
  <si>
    <t>9338-24</t>
  </si>
  <si>
    <t>9338-25</t>
  </si>
  <si>
    <t>9338-26</t>
  </si>
  <si>
    <t>9338-27</t>
  </si>
  <si>
    <t>9351-18</t>
  </si>
  <si>
    <t>9351-19</t>
  </si>
  <si>
    <t>9351-20</t>
  </si>
  <si>
    <t>9342-133</t>
  </si>
  <si>
    <t>9342-142</t>
  </si>
  <si>
    <t>9342-149</t>
  </si>
  <si>
    <t>9342-15</t>
  </si>
  <si>
    <t>9342-154</t>
  </si>
  <si>
    <t>9342-157</t>
  </si>
  <si>
    <t>9342-29</t>
  </si>
  <si>
    <t>9342-92</t>
  </si>
  <si>
    <t>9343-14</t>
  </si>
  <si>
    <t>9343-148</t>
  </si>
  <si>
    <t>9343-220</t>
  </si>
  <si>
    <t>9343-441</t>
  </si>
  <si>
    <t>9343-579</t>
  </si>
  <si>
    <t>9343-741</t>
  </si>
  <si>
    <t>9347-32</t>
  </si>
  <si>
    <t>9347-34</t>
  </si>
  <si>
    <t>9347-38</t>
  </si>
  <si>
    <t>9347-39</t>
  </si>
  <si>
    <t>9347-40</t>
  </si>
  <si>
    <t>9347-41</t>
  </si>
  <si>
    <t>9347-61</t>
  </si>
  <si>
    <t>9358-118</t>
  </si>
  <si>
    <t>9358-19</t>
  </si>
  <si>
    <t>9358-190</t>
  </si>
  <si>
    <t>9358-356</t>
  </si>
  <si>
    <t>9358-476</t>
  </si>
  <si>
    <t>9358-487</t>
  </si>
  <si>
    <t>9358-640</t>
  </si>
  <si>
    <t>9375-19</t>
  </si>
  <si>
    <t>9375-22</t>
  </si>
  <si>
    <t>9375-24</t>
  </si>
  <si>
    <t>9375-27</t>
  </si>
  <si>
    <t>9375-28</t>
  </si>
  <si>
    <t>9375-29</t>
  </si>
  <si>
    <t>9359-25</t>
  </si>
  <si>
    <t>9359-26</t>
  </si>
  <si>
    <t>9359-27</t>
  </si>
  <si>
    <t>9359-28</t>
  </si>
  <si>
    <t>9379-104</t>
  </si>
  <si>
    <t>9379-126</t>
  </si>
  <si>
    <t>9379-132</t>
  </si>
  <si>
    <t>9368-20</t>
  </si>
  <si>
    <t>9368-21</t>
  </si>
  <si>
    <t>9368-22</t>
  </si>
  <si>
    <t>9366-129</t>
  </si>
  <si>
    <t>9366-14</t>
  </si>
  <si>
    <t>9366-238</t>
  </si>
  <si>
    <t>9366-303</t>
  </si>
  <si>
    <t>9366-314</t>
  </si>
  <si>
    <t>9366-470</t>
  </si>
  <si>
    <t>9366-81</t>
  </si>
  <si>
    <t>9376-21</t>
  </si>
  <si>
    <t>9376-22</t>
  </si>
  <si>
    <t>9376-24</t>
  </si>
  <si>
    <t>9376-26</t>
  </si>
  <si>
    <t>9376-27</t>
  </si>
  <si>
    <t>9376-28</t>
  </si>
  <si>
    <t>9380-101</t>
  </si>
  <si>
    <t>9380-108</t>
  </si>
  <si>
    <t>9380-116</t>
  </si>
  <si>
    <t>9380-121</t>
  </si>
  <si>
    <t>9380-124</t>
  </si>
  <si>
    <t>9380-132</t>
  </si>
  <si>
    <t>9380-14</t>
  </si>
  <si>
    <t>0-126</t>
  </si>
  <si>
    <t>0-14</t>
  </si>
  <si>
    <t>0-274</t>
  </si>
  <si>
    <t>0-434</t>
  </si>
  <si>
    <t>0-78</t>
  </si>
  <si>
    <t>9381-65</t>
  </si>
  <si>
    <t>END OF YEAR VALUES FROM TWO YEARS PRIOR</t>
  </si>
  <si>
    <t>PRIOR YEAR DISTRIBUTION</t>
  </si>
  <si>
    <t>TOBIN DISTRIBUTION</t>
  </si>
  <si>
    <t>ADDITIONAL DISTRIBUTION FROM NEW CONTRIBUTIONS</t>
  </si>
  <si>
    <t>TOBIN + 
ADDITIONAL</t>
  </si>
  <si>
    <t>ROLLOVER
DISTRIBUTION</t>
  </si>
  <si>
    <t>TOTAL DISTRIBUTION</t>
  </si>
  <si>
    <t>Market Value</t>
  </si>
  <si>
    <t>Market – Target</t>
  </si>
  <si>
    <t>Tobin Stability</t>
  </si>
  <si>
    <t>Tobin Market</t>
  </si>
  <si>
    <t>Tobin Total</t>
  </si>
  <si>
    <t>Y2</t>
  </si>
  <si>
    <t>TOTAL</t>
  </si>
  <si>
    <t>12</t>
  </si>
  <si>
    <t>Johnson Research</t>
  </si>
  <si>
    <t>McEachren Education Fund</t>
  </si>
  <si>
    <t>McEachren Research Fund</t>
  </si>
  <si>
    <t>Board Designated Fund</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</si>
</sst>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numFmt numFmtId="165" formatCode="&quot;$&quot;#,##0.00"/>
    <numFmt numFmtId="166" formatCode="_(&quot;$&quot;* #,##0_);_(&quot;$&quot;* \(#,##0\);_(&quot;$&quot;* &quot;-&quot;??_);_(@_)"/>
    <numFmt numFmtId="167" formatCode="0.0%"/>
    <numFmt numFmtId="168" formatCode="_(&quot;$&quot;* #,##0.00_);_(&quot;$&quot;* \(#,##0.00\);_(&quot;$&quot;* &quot;-&quot;??.00_);_(@_)"/>
    <numFmt numFmtId="169" formatCode="###0"/>
    <numFmt numFmtId="170" formatCode="yyyy-m"/>
    <numFmt numFmtId="171" formatCode="yyyy-mm-dd"/>
    <numFmt numFmtId="172" formatCode="_(&quot;$&quot;* #,##0.00_);_(&quot;$&quot;* \(#,##0.00\);_(&quot;$&quot;* &quot;-&quot;??_);_(@_)"/>
  </numFmts>
  <fonts count="18">
    <font>
      <sz val="10.0"/>
      <color rgb="FF000000"/>
      <name val="Arial"/>
    </font>
    <font>
      <b/>
      <sz val="10.0"/>
      <name val="Roboto"/>
    </font>
    <font>
      <sz val="10.0"/>
      <name val="Roboto"/>
    </font>
    <font/>
    <font>
      <b/>
      <sz val="10.0"/>
      <color rgb="FF000000"/>
      <name val="Roboto"/>
    </font>
    <font>
      <sz val="10.0"/>
      <color rgb="FF000000"/>
      <name val="Roboto"/>
    </font>
    <font>
      <b/>
      <i/>
      <sz val="10.0"/>
      <color rgb="FF000000"/>
      <name val="Roboto"/>
    </font>
    <font>
      <color rgb="FF000000"/>
      <name val="Roboto"/>
    </font>
    <font>
      <b/>
      <color rgb="FF000000"/>
      <name val="Roboto"/>
    </font>
    <font>
      <name val="Roboto"/>
    </font>
    <font>
      <sz val="11.0"/>
      <color rgb="FF000000"/>
      <name val="Calibri"/>
    </font>
    <font>
      <sz val="11.0"/>
      <name val="Calibri"/>
    </font>
    <font>
      <b/>
      <sz val="11.0"/>
      <color rgb="FF000000"/>
      <name val="Calibri"/>
    </font>
    <font>
      <b/>
      <sz val="10.0"/>
      <name val="Arial"/>
    </font>
    <font>
      <b/>
      <u/>
      <sz val="10.0"/>
      <color rgb="FF0000FF"/>
      <name val="Arial"/>
    </font>
    <font>
      <sz val="10.0"/>
      <name val="Arial"/>
    </font>
    <font>
      <sz val="11.0"/>
      <color rgb="FF000000"/>
      <name val="Inconsolata"/>
    </font>
    <font>
      <b/>
    </font>
  </fonts>
  <fills count="4">
    <fill>
      <patternFill patternType="none"/>
    </fill>
    <fill>
      <patternFill patternType="lightGray"/>
    </fill>
    <fill>
      <patternFill patternType="solid">
        <fgColor rgb="FFFFFFFF"/>
        <bgColor rgb="FFFFFFFF"/>
      </patternFill>
    </fill>
    <fill>
      <patternFill patternType="solid">
        <fgColor rgb="FFF4CCCC"/>
        <bgColor rgb="FFF4CCCC"/>
      </patternFill>
    </fill>
  </fills>
  <borders count="17">
    <border/>
    <border>
      <top style="thick">
        <color rgb="FF000000"/>
      </top>
    </border>
    <border>
      <top style="double">
        <color rgb="FF000000"/>
      </top>
      <bottom style="thin">
        <color rgb="FF000000"/>
      </bottom>
    </border>
    <border>
      <bottom style="thick">
        <color rgb="FF000000"/>
      </bottom>
    </border>
    <border>
      <right style="dotted">
        <color rgb="FF000000"/>
      </right>
      <top style="thick">
        <color rgb="FF000000"/>
      </top>
    </border>
    <border>
      <left style="dotted">
        <color rgb="FF000000"/>
      </left>
      <top style="thick">
        <color rgb="FF000000"/>
      </top>
    </border>
    <border>
      <top style="thick">
        <color rgb="FF000000"/>
      </top>
      <bottom style="double">
        <color rgb="FF000000"/>
      </bottom>
    </border>
    <border>
      <right style="dotted">
        <color rgb="FF000000"/>
      </right>
      <top style="thick">
        <color rgb="FF000000"/>
      </top>
      <bottom style="double">
        <color rgb="FF000000"/>
      </bottom>
    </border>
    <border>
      <bottom style="medium">
        <color rgb="FF000000"/>
      </bottom>
    </border>
    <border>
      <right style="dotted">
        <color rgb="FF000000"/>
      </right>
      <bottom style="medium">
        <color rgb="FF000000"/>
      </bottom>
    </border>
    <border>
      <top style="double">
        <color rgb="FF000000"/>
      </top>
      <bottom style="medium">
        <color rgb="FF000000"/>
      </bottom>
    </border>
    <border>
      <right style="dotted">
        <color rgb="FF000000"/>
      </right>
      <top style="double">
        <color rgb="FF000000"/>
      </top>
      <bottom style="medium">
        <color rgb="FF000000"/>
      </bottom>
    </border>
    <border>
      <right style="dotted">
        <color rgb="FF000000"/>
      </right>
    </border>
    <border>
      <top style="double">
        <color rgb="FF000000"/>
      </top>
      <bottom style="thick">
        <color rgb="FF000000"/>
      </bottom>
    </border>
    <border>
      <right style="dotted">
        <color rgb="FF000000"/>
      </right>
      <top style="double">
        <color rgb="FF000000"/>
      </top>
      <bottom style="thick">
        <color rgb="FF000000"/>
      </bottom>
    </border>
    <border>
      <top style="double">
        <color rgb="FF000000"/>
      </top>
    </border>
    <border>
      <right style="dotted">
        <color rgb="FF000000"/>
      </right>
      <top style="double">
        <color rgb="FF000000"/>
      </top>
    </border>
  </borders>
  <cellStyleXfs count="1">
    <xf borderId="0" fillId="0" fontId="0" numFmtId="0" applyAlignment="1" applyFont="1"/>
  </cellStyleXfs>
  <cellXfs count="159">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2" numFmtId="0" xfId="0" applyAlignment="1" applyFont="1">
      <alignment vertical="bottom"/>
    </xf>
    <xf borderId="0" fillId="0" fontId="2" numFmtId="49" xfId="0" applyAlignment="1" applyFont="1" applyNumberFormat="1">
      <alignment vertical="bottom"/>
    </xf>
    <xf borderId="1" fillId="0" fontId="1" numFmtId="0" xfId="0" applyAlignment="1" applyBorder="1" applyFont="1">
      <alignment horizontal="center" readingOrder="0" vertical="bottom"/>
    </xf>
    <xf borderId="1" fillId="0" fontId="3" numFmtId="0" xfId="0" applyBorder="1" applyFont="1"/>
    <xf borderId="2" fillId="0" fontId="1" numFmtId="0" xfId="0" applyAlignment="1" applyBorder="1" applyFont="1">
      <alignment horizontal="right" readingOrder="0" vertical="bottom"/>
    </xf>
    <xf borderId="3" fillId="0" fontId="2" numFmtId="0" xfId="0" applyAlignment="1" applyBorder="1" applyFont="1">
      <alignment horizontal="right" readingOrder="0" vertical="bottom"/>
    </xf>
    <xf borderId="1" fillId="0" fontId="4" numFmtId="49" xfId="0" applyAlignment="1" applyBorder="1" applyFont="1" applyNumberFormat="1">
      <alignment horizontal="right" readingOrder="0" shrinkToFit="0" vertical="center" wrapText="1"/>
    </xf>
    <xf borderId="4" fillId="0" fontId="4" numFmtId="164" xfId="0" applyAlignment="1" applyBorder="1" applyFont="1" applyNumberFormat="1">
      <alignment horizontal="left" readingOrder="0" shrinkToFit="0" vertical="center" wrapText="1"/>
    </xf>
    <xf borderId="5" fillId="0" fontId="4" numFmtId="165" xfId="0" applyAlignment="1" applyBorder="1" applyFont="1" applyNumberFormat="1">
      <alignment horizontal="center" readingOrder="0" shrinkToFit="0" vertical="center" wrapText="1"/>
    </xf>
    <xf borderId="4" fillId="0" fontId="3" numFmtId="0" xfId="0" applyBorder="1" applyFont="1"/>
    <xf borderId="6" fillId="0" fontId="4" numFmtId="165" xfId="0" applyAlignment="1" applyBorder="1" applyFont="1" applyNumberFormat="1">
      <alignment horizontal="center" readingOrder="0" shrinkToFit="0" vertical="center" wrapText="1"/>
    </xf>
    <xf borderId="7" fillId="0" fontId="3" numFmtId="0" xfId="0" applyBorder="1" applyFont="1"/>
    <xf borderId="6" fillId="0" fontId="1" numFmtId="166" xfId="0" applyAlignment="1" applyBorder="1" applyFont="1" applyNumberFormat="1">
      <alignment horizontal="center" readingOrder="0"/>
    </xf>
    <xf borderId="6" fillId="0" fontId="3" numFmtId="0" xfId="0" applyBorder="1" applyFont="1"/>
    <xf borderId="8" fillId="0" fontId="4" numFmtId="49" xfId="0" applyAlignment="1" applyBorder="1" applyFont="1" applyNumberFormat="1">
      <alignment readingOrder="0" shrinkToFit="0" vertical="center" wrapText="1"/>
    </xf>
    <xf borderId="9" fillId="0" fontId="4" numFmtId="165" xfId="0" applyAlignment="1" applyBorder="1" applyFont="1" applyNumberFormat="1">
      <alignment horizontal="left" readingOrder="0" shrinkToFit="0" vertical="center" wrapText="1"/>
    </xf>
    <xf borderId="10" fillId="0" fontId="4" numFmtId="165" xfId="0" applyAlignment="1" applyBorder="1" applyFont="1" applyNumberFormat="1">
      <alignment horizontal="right" readingOrder="0" vertical="center"/>
    </xf>
    <xf borderId="11" fillId="0" fontId="4" numFmtId="165" xfId="0" applyAlignment="1" applyBorder="1" applyFont="1" applyNumberFormat="1">
      <alignment horizontal="right" readingOrder="0" vertical="center"/>
    </xf>
    <xf borderId="8" fillId="0" fontId="4" numFmtId="167" xfId="0" applyAlignment="1" applyBorder="1" applyFont="1" applyNumberFormat="1">
      <alignment horizontal="right" readingOrder="0" vertical="center"/>
    </xf>
    <xf borderId="9" fillId="0" fontId="4" numFmtId="167" xfId="0" applyAlignment="1" applyBorder="1" applyFont="1" applyNumberFormat="1">
      <alignment horizontal="right" readingOrder="0" vertical="center"/>
    </xf>
    <xf borderId="8" fillId="0" fontId="1" numFmtId="166" xfId="0" applyAlignment="1" applyBorder="1" applyFont="1" applyNumberFormat="1">
      <alignment horizontal="right" readingOrder="0"/>
    </xf>
    <xf borderId="9" fillId="0" fontId="1" numFmtId="166" xfId="0" applyAlignment="1" applyBorder="1" applyFont="1" applyNumberFormat="1">
      <alignment horizontal="right" readingOrder="0"/>
    </xf>
    <xf borderId="8" fillId="0" fontId="1" numFmtId="166" xfId="0" applyAlignment="1" applyBorder="1" applyFont="1" applyNumberFormat="1">
      <alignment horizontal="right" readingOrder="0" shrinkToFit="0" wrapText="1"/>
    </xf>
    <xf borderId="8" fillId="0" fontId="1" numFmtId="168" xfId="0" applyAlignment="1" applyBorder="1" applyFont="1" applyNumberFormat="1">
      <alignment horizontal="right" readingOrder="0" shrinkToFit="0" wrapText="1"/>
    </xf>
    <xf borderId="0" fillId="0" fontId="2" numFmtId="49" xfId="0" applyAlignment="1" applyFont="1" applyNumberFormat="1">
      <alignment readingOrder="0" vertical="bottom"/>
    </xf>
    <xf borderId="12" fillId="0" fontId="5" numFmtId="166" xfId="0" applyAlignment="1" applyBorder="1" applyFont="1" applyNumberFormat="1">
      <alignment readingOrder="0" vertical="center"/>
    </xf>
    <xf borderId="0" fillId="2" fontId="5" numFmtId="166" xfId="0" applyAlignment="1" applyFill="1" applyFont="1" applyNumberFormat="1">
      <alignment readingOrder="0"/>
    </xf>
    <xf borderId="12" fillId="2" fontId="5" numFmtId="166" xfId="0" applyAlignment="1" applyBorder="1" applyFont="1" applyNumberFormat="1">
      <alignment readingOrder="0"/>
    </xf>
    <xf borderId="0" fillId="0" fontId="2" numFmtId="167" xfId="0" applyFont="1" applyNumberFormat="1"/>
    <xf borderId="12" fillId="0" fontId="2" numFmtId="167" xfId="0" applyBorder="1" applyFont="1" applyNumberFormat="1"/>
    <xf borderId="0" fillId="0" fontId="2" numFmtId="166" xfId="0" applyFont="1" applyNumberFormat="1"/>
    <xf borderId="12" fillId="0" fontId="2" numFmtId="166" xfId="0" applyBorder="1" applyFont="1" applyNumberFormat="1"/>
    <xf borderId="0" fillId="0" fontId="2" numFmtId="168" xfId="0" applyFont="1" applyNumberFormat="1"/>
    <xf borderId="0" fillId="0" fontId="2" numFmtId="168" xfId="0" applyAlignment="1" applyFont="1" applyNumberFormat="1">
      <alignment readingOrder="0"/>
    </xf>
    <xf borderId="0" fillId="0" fontId="5" numFmtId="49" xfId="0" applyAlignment="1" applyFont="1" applyNumberFormat="1">
      <alignment readingOrder="0" vertical="center"/>
    </xf>
    <xf borderId="12" fillId="2" fontId="5" numFmtId="166" xfId="0" applyBorder="1" applyFont="1" applyNumberFormat="1"/>
    <xf borderId="13" fillId="0" fontId="1" numFmtId="0" xfId="0" applyAlignment="1" applyBorder="1" applyFont="1">
      <alignment readingOrder="0"/>
    </xf>
    <xf borderId="14" fillId="0" fontId="1" numFmtId="0" xfId="0" applyBorder="1" applyFont="1"/>
    <xf borderId="13" fillId="0" fontId="1" numFmtId="166" xfId="0" applyBorder="1" applyFont="1" applyNumberFormat="1"/>
    <xf borderId="14" fillId="0" fontId="1" numFmtId="166" xfId="0" applyBorder="1" applyFont="1" applyNumberFormat="1"/>
    <xf borderId="13" fillId="0" fontId="1" numFmtId="167" xfId="0" applyBorder="1" applyFont="1" applyNumberFormat="1"/>
    <xf borderId="14" fillId="0" fontId="1" numFmtId="167" xfId="0" applyBorder="1" applyFont="1" applyNumberFormat="1"/>
    <xf borderId="13" fillId="0" fontId="1" numFmtId="168" xfId="0" applyBorder="1" applyFont="1" applyNumberFormat="1"/>
    <xf borderId="0" fillId="0" fontId="2" numFmtId="0" xfId="0" applyFont="1"/>
    <xf borderId="1" fillId="2" fontId="5" numFmtId="0" xfId="0" applyAlignment="1" applyBorder="1" applyFont="1">
      <alignment vertical="bottom"/>
    </xf>
    <xf borderId="4" fillId="2" fontId="5" numFmtId="0" xfId="0" applyAlignment="1" applyBorder="1" applyFont="1">
      <alignment vertical="bottom"/>
    </xf>
    <xf borderId="6" fillId="2" fontId="4" numFmtId="0" xfId="0" applyAlignment="1" applyBorder="1" applyFont="1">
      <alignment horizontal="center" vertical="bottom"/>
    </xf>
    <xf borderId="4" fillId="2" fontId="4" numFmtId="0" xfId="0" applyAlignment="1" applyBorder="1" applyFont="1">
      <alignment horizontal="center" readingOrder="0" vertical="bottom"/>
    </xf>
    <xf borderId="6" fillId="2" fontId="1" numFmtId="166" xfId="0" applyAlignment="1" applyBorder="1" applyFont="1" applyNumberFormat="1">
      <alignment horizontal="center" readingOrder="0" shrinkToFit="0" vertical="bottom" wrapText="1"/>
    </xf>
    <xf borderId="4" fillId="2" fontId="1" numFmtId="0" xfId="0" applyAlignment="1" applyBorder="1" applyFont="1">
      <alignment horizontal="center" readingOrder="0" shrinkToFit="0" vertical="bottom" wrapText="1"/>
    </xf>
    <xf borderId="1" fillId="2" fontId="1" numFmtId="0" xfId="0" applyAlignment="1" applyBorder="1" applyFont="1">
      <alignment horizontal="center" readingOrder="0" shrinkToFit="0" vertical="bottom" wrapText="1"/>
    </xf>
    <xf borderId="8" fillId="0" fontId="6" numFmtId="165" xfId="0" applyAlignment="1" applyBorder="1" applyFont="1" applyNumberFormat="1">
      <alignment horizontal="left" readingOrder="0" shrinkToFit="0" vertical="bottom" wrapText="1"/>
    </xf>
    <xf borderId="9" fillId="2" fontId="4" numFmtId="49" xfId="0" applyAlignment="1" applyBorder="1" applyFont="1" applyNumberFormat="1">
      <alignment vertical="bottom"/>
    </xf>
    <xf borderId="8" fillId="2" fontId="4" numFmtId="0" xfId="0" applyAlignment="1" applyBorder="1" applyFont="1">
      <alignment horizontal="center" vertical="bottom"/>
    </xf>
    <xf borderId="9" fillId="2" fontId="4" numFmtId="0" xfId="0" applyAlignment="1" applyBorder="1" applyFont="1">
      <alignment horizontal="center" vertical="bottom"/>
    </xf>
    <xf borderId="9" fillId="2" fontId="4" numFmtId="0" xfId="0" applyAlignment="1" applyBorder="1" applyFont="1">
      <alignment horizontal="center" readingOrder="0" vertical="bottom"/>
    </xf>
    <xf borderId="8" fillId="2" fontId="4" numFmtId="0" xfId="0" applyAlignment="1" applyBorder="1" applyFont="1">
      <alignment horizontal="center" readingOrder="0" vertical="bottom"/>
    </xf>
    <xf borderId="12" fillId="2" fontId="5" numFmtId="49" xfId="0" applyAlignment="1" applyBorder="1" applyFont="1" applyNumberFormat="1">
      <alignment vertical="bottom"/>
    </xf>
    <xf borderId="0" fillId="2" fontId="5" numFmtId="166" xfId="0" applyAlignment="1" applyFont="1" applyNumberFormat="1">
      <alignment vertical="bottom"/>
    </xf>
    <xf borderId="12" fillId="2" fontId="5" numFmtId="166" xfId="0" applyAlignment="1" applyBorder="1" applyFont="1" applyNumberFormat="1">
      <alignment vertical="bottom"/>
    </xf>
    <xf borderId="0" fillId="2" fontId="4" numFmtId="166" xfId="0" applyAlignment="1" applyFont="1" applyNumberFormat="1">
      <alignment vertical="bottom"/>
    </xf>
    <xf borderId="0" fillId="2" fontId="5" numFmtId="0" xfId="0" applyAlignment="1" applyFont="1">
      <alignment vertical="bottom"/>
    </xf>
    <xf borderId="12" fillId="2" fontId="5" numFmtId="0" xfId="0" applyAlignment="1" applyBorder="1" applyFont="1">
      <alignment vertical="bottom"/>
    </xf>
    <xf borderId="15" fillId="2" fontId="4" numFmtId="166" xfId="0" applyAlignment="1" applyBorder="1" applyFont="1" applyNumberFormat="1">
      <alignment vertical="bottom"/>
    </xf>
    <xf borderId="0" fillId="0" fontId="1" numFmtId="0" xfId="0" applyAlignment="1" applyFont="1">
      <alignment readingOrder="0" shrinkToFit="0" vertical="bottom" wrapText="1"/>
    </xf>
    <xf borderId="0" fillId="0" fontId="1" numFmtId="49" xfId="0" applyAlignment="1" applyFont="1" applyNumberFormat="1">
      <alignment readingOrder="0" shrinkToFit="0" vertical="bottom" wrapText="1"/>
    </xf>
    <xf borderId="0" fillId="0" fontId="2" numFmtId="0" xfId="0" applyAlignment="1" applyFont="1">
      <alignment shrinkToFit="0" vertical="bottom" wrapText="1"/>
    </xf>
    <xf borderId="0" fillId="0" fontId="2" numFmtId="49" xfId="0" applyAlignment="1" applyFont="1" applyNumberFormat="1">
      <alignment readingOrder="0" shrinkToFit="0" vertical="bottom" wrapText="1"/>
    </xf>
    <xf borderId="0" fillId="0" fontId="2" numFmtId="166" xfId="0" applyAlignment="1" applyFont="1" applyNumberFormat="1">
      <alignment readingOrder="0" shrinkToFit="0" vertical="bottom" wrapText="1"/>
    </xf>
    <xf borderId="0" fillId="2" fontId="5" numFmtId="166" xfId="0" applyAlignment="1" applyFont="1" applyNumberFormat="1">
      <alignment shrinkToFit="0" vertical="bottom" wrapText="1"/>
    </xf>
    <xf borderId="0" fillId="0" fontId="2"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3" xfId="0" applyAlignment="1" applyFont="1" applyNumberFormat="1">
      <alignment readingOrder="0" shrinkToFit="0" vertical="bottom" wrapText="1"/>
    </xf>
    <xf borderId="0" fillId="2" fontId="7" numFmtId="0" xfId="0" applyAlignment="1" applyFont="1">
      <alignment horizontal="left" readingOrder="0" shrinkToFit="0" wrapText="1"/>
    </xf>
    <xf borderId="0" fillId="2" fontId="7" numFmtId="0" xfId="0" applyAlignment="1" applyFont="1">
      <alignment readingOrder="0" shrinkToFit="0" wrapText="1"/>
    </xf>
    <xf borderId="0" fillId="3" fontId="2" numFmtId="49" xfId="0" applyAlignment="1" applyFill="1" applyFont="1" applyNumberFormat="1">
      <alignment readingOrder="0" shrinkToFit="0" vertical="bottom" wrapText="1"/>
    </xf>
    <xf borderId="0" fillId="0" fontId="2" numFmtId="166" xfId="0" applyAlignment="1" applyFont="1" applyNumberFormat="1">
      <alignment shrinkToFit="0" vertical="bottom" wrapText="1"/>
    </xf>
    <xf borderId="0" fillId="0" fontId="2" numFmtId="49" xfId="0" applyAlignment="1" applyFont="1" applyNumberFormat="1">
      <alignment shrinkToFit="0" vertical="bottom" wrapText="1"/>
    </xf>
    <xf borderId="0" fillId="0" fontId="1" numFmtId="169" xfId="0" applyAlignment="1" applyFont="1" applyNumberFormat="1">
      <alignment readingOrder="0" shrinkToFit="0" wrapText="1"/>
    </xf>
    <xf borderId="0" fillId="0" fontId="1" numFmtId="3"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166" xfId="0" applyAlignment="1" applyFont="1" applyNumberFormat="1">
      <alignment readingOrder="0" shrinkToFit="0" wrapText="1"/>
    </xf>
    <xf borderId="0" fillId="2" fontId="8" numFmtId="166" xfId="0" applyAlignment="1" applyFont="1" applyNumberFormat="1">
      <alignment horizontal="left" readingOrder="0" shrinkToFit="0" wrapText="1"/>
    </xf>
    <xf borderId="0" fillId="0" fontId="1" numFmtId="0" xfId="0" applyAlignment="1" applyFont="1">
      <alignment readingOrder="0" shrinkToFit="0" wrapText="1"/>
    </xf>
    <xf borderId="0" fillId="0" fontId="2" numFmtId="169" xfId="0" applyAlignment="1" applyFont="1" applyNumberFormat="1">
      <alignment readingOrder="0"/>
    </xf>
    <xf borderId="0" fillId="0" fontId="2" numFmtId="3" xfId="0" applyAlignment="1" applyFont="1" applyNumberFormat="1">
      <alignment readingOrder="0"/>
    </xf>
    <xf borderId="0" fillId="0" fontId="2" numFmtId="49" xfId="0" applyAlignment="1" applyFont="1" applyNumberFormat="1">
      <alignment readingOrder="0"/>
    </xf>
    <xf borderId="0" fillId="0" fontId="5" numFmtId="166" xfId="0" applyAlignment="1" applyFont="1" applyNumberFormat="1">
      <alignment horizontal="right" vertical="bottom"/>
    </xf>
    <xf borderId="0" fillId="0" fontId="5" numFmtId="166" xfId="0" applyFont="1" applyNumberFormat="1"/>
    <xf borderId="0" fillId="2" fontId="5" numFmtId="166" xfId="0" applyFont="1" applyNumberFormat="1"/>
    <xf borderId="0" fillId="0" fontId="2" numFmtId="166" xfId="0" applyAlignment="1" applyFont="1" applyNumberFormat="1">
      <alignment shrinkToFit="0" wrapText="1"/>
    </xf>
    <xf borderId="0" fillId="0" fontId="2" numFmtId="166" xfId="0" applyAlignment="1" applyFont="1" applyNumberFormat="1">
      <alignment readingOrder="0"/>
    </xf>
    <xf borderId="0" fillId="0" fontId="2" numFmtId="169" xfId="0" applyAlignment="1" applyFont="1" applyNumberFormat="1">
      <alignment horizontal="right" vertical="bottom"/>
    </xf>
    <xf borderId="0" fillId="0" fontId="2" numFmtId="3" xfId="0" applyAlignment="1" applyFont="1" applyNumberFormat="1">
      <alignment vertical="bottom"/>
    </xf>
    <xf borderId="0" fillId="0" fontId="5" numFmtId="49" xfId="0" applyAlignment="1" applyFont="1" applyNumberFormat="1">
      <alignment readingOrder="0" shrinkToFit="0" vertical="bottom" wrapText="0"/>
    </xf>
    <xf borderId="0" fillId="0" fontId="2" numFmtId="166" xfId="0" applyAlignment="1" applyFont="1" applyNumberFormat="1">
      <alignment horizontal="right" readingOrder="0" shrinkToFit="0" vertical="bottom" wrapText="0"/>
    </xf>
    <xf borderId="0" fillId="0" fontId="2" numFmtId="166" xfId="0" applyAlignment="1" applyFont="1" applyNumberFormat="1">
      <alignment shrinkToFit="0" vertical="bottom" wrapText="0"/>
    </xf>
    <xf borderId="0" fillId="0" fontId="5" numFmtId="166" xfId="0" applyAlignment="1" applyFont="1" applyNumberFormat="1">
      <alignment horizontal="right" readingOrder="0" shrinkToFit="0" vertical="bottom" wrapText="0"/>
    </xf>
    <xf borderId="0" fillId="0" fontId="2" numFmtId="166" xfId="0" applyAlignment="1" applyFont="1" applyNumberFormat="1">
      <alignment readingOrder="0" shrinkToFit="0" vertical="bottom" wrapText="0"/>
    </xf>
    <xf borderId="0" fillId="0" fontId="9" numFmtId="169" xfId="0" applyAlignment="1" applyFont="1" applyNumberFormat="1">
      <alignment horizontal="right" vertical="bottom"/>
    </xf>
    <xf borderId="0" fillId="0" fontId="9" numFmtId="3" xfId="0" applyAlignment="1" applyFont="1" applyNumberFormat="1">
      <alignment horizontal="right" vertical="bottom"/>
    </xf>
    <xf borderId="0" fillId="0" fontId="10" numFmtId="49" xfId="0" applyAlignment="1" applyFont="1" applyNumberFormat="1">
      <alignment horizontal="left" readingOrder="0" shrinkToFit="0" wrapText="0"/>
    </xf>
    <xf borderId="0" fillId="0" fontId="10" numFmtId="166" xfId="0" applyAlignment="1" applyFont="1" applyNumberFormat="1">
      <alignment horizontal="right" readingOrder="0" shrinkToFit="0" wrapText="0"/>
    </xf>
    <xf borderId="0" fillId="0" fontId="11" numFmtId="49" xfId="0" applyAlignment="1" applyFont="1" applyNumberFormat="1">
      <alignment horizontal="left" readingOrder="0" shrinkToFit="0" wrapText="0"/>
    </xf>
    <xf borderId="0" fillId="0" fontId="11" numFmtId="166" xfId="0" applyAlignment="1" applyFont="1" applyNumberFormat="1">
      <alignment horizontal="right" readingOrder="0" shrinkToFit="0" wrapText="0"/>
    </xf>
    <xf borderId="0" fillId="0" fontId="12" numFmtId="0" xfId="0" applyAlignment="1" applyFont="1">
      <alignment horizontal="center" readingOrder="0" shrinkToFit="0" vertical="bottom" wrapText="0"/>
    </xf>
    <xf borderId="0" fillId="0" fontId="10" numFmtId="0" xfId="0" applyAlignment="1" applyFont="1">
      <alignment readingOrder="0" shrinkToFit="0" vertical="bottom" wrapText="0"/>
    </xf>
    <xf borderId="0" fillId="0" fontId="10" numFmtId="164" xfId="0" applyAlignment="1" applyFont="1" applyNumberFormat="1">
      <alignment horizontal="right" readingOrder="0" shrinkToFit="0" vertical="bottom" wrapText="0"/>
    </xf>
    <xf borderId="0" fillId="0" fontId="10" numFmtId="0" xfId="0" applyAlignment="1" applyFont="1">
      <alignment horizontal="right" readingOrder="0" shrinkToFit="0" vertical="bottom" wrapText="0"/>
    </xf>
    <xf borderId="0" fillId="0" fontId="10" numFmtId="170" xfId="0" applyAlignment="1" applyFont="1" applyNumberFormat="1">
      <alignment readingOrder="0" shrinkToFit="0" vertical="bottom" wrapText="0"/>
    </xf>
    <xf borderId="0" fillId="0" fontId="10" numFmtId="171" xfId="0" applyAlignment="1" applyFont="1" applyNumberFormat="1">
      <alignment horizontal="right" readingOrder="0" shrinkToFit="0" vertical="bottom" wrapText="0"/>
    </xf>
    <xf borderId="1" fillId="0" fontId="4" numFmtId="49" xfId="0" applyAlignment="1" applyBorder="1" applyFont="1" applyNumberFormat="1">
      <alignment readingOrder="0" shrinkToFit="0" vertical="center" wrapText="1"/>
    </xf>
    <xf borderId="4" fillId="0" fontId="4" numFmtId="169" xfId="0" applyAlignment="1" applyBorder="1" applyFont="1" applyNumberFormat="1">
      <alignment horizontal="center" readingOrder="0" shrinkToFit="0" vertical="center" wrapText="1"/>
    </xf>
    <xf borderId="4" fillId="0" fontId="4"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6" fillId="0" fontId="4" numFmtId="166" xfId="0" applyAlignment="1" applyBorder="1" applyFont="1" applyNumberFormat="1">
      <alignment horizontal="center" readingOrder="0" shrinkToFit="0" vertical="center" wrapText="1"/>
    </xf>
    <xf borderId="4" fillId="0" fontId="4" numFmtId="166" xfId="0" applyAlignment="1" applyBorder="1" applyFont="1" applyNumberFormat="1">
      <alignment horizontal="center" readingOrder="0" shrinkToFit="0" vertical="center" wrapText="1"/>
    </xf>
    <xf borderId="0" fillId="0" fontId="5" numFmtId="0" xfId="0" applyAlignment="1" applyFont="1">
      <alignment shrinkToFit="0" vertical="center" wrapText="1"/>
    </xf>
    <xf borderId="9" fillId="0" fontId="3" numFmtId="0" xfId="0" applyBorder="1" applyFont="1"/>
    <xf borderId="10" fillId="0" fontId="4" numFmtId="0" xfId="0" applyAlignment="1" applyBorder="1" applyFont="1">
      <alignment horizontal="right" readingOrder="0" vertical="center"/>
    </xf>
    <xf borderId="11" fillId="0" fontId="4" numFmtId="0" xfId="0" applyAlignment="1" applyBorder="1" applyFont="1">
      <alignment horizontal="right" readingOrder="0" vertical="center"/>
    </xf>
    <xf borderId="8" fillId="0" fontId="4" numFmtId="166" xfId="0" applyAlignment="1" applyBorder="1" applyFont="1" applyNumberFormat="1">
      <alignment horizontal="center" readingOrder="0" shrinkToFit="0" vertical="center" wrapText="1"/>
    </xf>
    <xf borderId="9" fillId="0" fontId="4" numFmtId="166" xfId="0" applyAlignment="1" applyBorder="1" applyFont="1" applyNumberFormat="1">
      <alignment horizontal="center" readingOrder="0" shrinkToFit="0" vertical="center" wrapText="1"/>
    </xf>
    <xf borderId="9" fillId="2" fontId="4" numFmtId="0" xfId="0" applyAlignment="1" applyBorder="1" applyFont="1">
      <alignment horizontal="center" vertical="center"/>
    </xf>
    <xf borderId="8" fillId="0" fontId="4" numFmtId="0" xfId="0" applyAlignment="1" applyBorder="1" applyFont="1">
      <alignment horizontal="center" readingOrder="0" shrinkToFit="0" vertical="center" wrapText="1"/>
    </xf>
    <xf borderId="0" fillId="0" fontId="5" numFmtId="166" xfId="0" applyAlignment="1" applyFont="1" applyNumberFormat="1">
      <alignment readingOrder="0" vertical="center"/>
    </xf>
    <xf borderId="12" fillId="2" fontId="4" numFmtId="166" xfId="0" applyAlignment="1" applyBorder="1" applyFont="1" applyNumberFormat="1">
      <alignment vertical="center"/>
    </xf>
    <xf borderId="0" fillId="0" fontId="5" numFmtId="166" xfId="0" applyAlignment="1" applyFont="1" applyNumberFormat="1">
      <alignment vertical="center"/>
    </xf>
    <xf borderId="12" fillId="0" fontId="5" numFmtId="166" xfId="0" applyAlignment="1" applyBorder="1" applyFont="1" applyNumberFormat="1">
      <alignment vertical="center"/>
    </xf>
    <xf borderId="12" fillId="0" fontId="4" numFmtId="166" xfId="0" applyAlignment="1" applyBorder="1" applyFont="1" applyNumberFormat="1">
      <alignment vertical="center"/>
    </xf>
    <xf borderId="0" fillId="0" fontId="4" numFmtId="166" xfId="0" applyAlignment="1" applyFont="1" applyNumberFormat="1">
      <alignment vertical="center"/>
    </xf>
    <xf borderId="0" fillId="0" fontId="5" numFmtId="0" xfId="0" applyAlignment="1" applyFont="1">
      <alignment vertical="center"/>
    </xf>
    <xf borderId="15" fillId="0" fontId="4" numFmtId="49" xfId="0" applyAlignment="1" applyBorder="1" applyFont="1" applyNumberFormat="1">
      <alignment readingOrder="0" vertical="center"/>
    </xf>
    <xf borderId="16" fillId="0" fontId="4" numFmtId="167" xfId="0" applyAlignment="1" applyBorder="1" applyFont="1" applyNumberFormat="1">
      <alignment readingOrder="0" vertical="center"/>
    </xf>
    <xf borderId="15" fillId="0" fontId="4" numFmtId="166" xfId="0" applyAlignment="1" applyBorder="1" applyFont="1" applyNumberFormat="1">
      <alignment vertical="center"/>
    </xf>
    <xf borderId="16" fillId="0" fontId="4" numFmtId="166" xfId="0" applyAlignment="1" applyBorder="1" applyFont="1" applyNumberFormat="1">
      <alignment vertical="center"/>
    </xf>
    <xf borderId="0" fillId="0" fontId="4" numFmtId="0" xfId="0" applyAlignment="1" applyFont="1">
      <alignment vertical="center"/>
    </xf>
    <xf borderId="12" fillId="2" fontId="5" numFmtId="10" xfId="0" applyAlignment="1" applyBorder="1" applyFont="1" applyNumberFormat="1">
      <alignment readingOrder="0" vertical="center"/>
    </xf>
    <xf borderId="12" fillId="0" fontId="5" numFmtId="0" xfId="0" applyAlignment="1" applyBorder="1" applyFont="1">
      <alignment vertical="center"/>
    </xf>
    <xf borderId="0" fillId="0" fontId="5" numFmtId="49" xfId="0" applyAlignment="1" applyFont="1" applyNumberFormat="1">
      <alignment vertical="center"/>
    </xf>
    <xf borderId="12" fillId="0" fontId="5" numFmtId="165" xfId="0" applyAlignment="1" applyBorder="1" applyFont="1" applyNumberFormat="1">
      <alignment vertical="center"/>
    </xf>
    <xf borderId="0" fillId="0" fontId="13" numFmtId="0" xfId="0" applyAlignment="1" applyFont="1">
      <alignment horizontal="right" readingOrder="0"/>
    </xf>
    <xf borderId="0" fillId="0" fontId="14" numFmtId="0" xfId="0" applyAlignment="1" applyFont="1">
      <alignment horizontal="right" readingOrder="0"/>
    </xf>
    <xf borderId="0" fillId="0" fontId="13" numFmtId="0" xfId="0" applyAlignment="1" applyFont="1">
      <alignment horizontal="right"/>
    </xf>
    <xf borderId="0" fillId="0" fontId="15" numFmtId="0" xfId="0" applyAlignment="1" applyFont="1">
      <alignment readingOrder="0"/>
    </xf>
    <xf borderId="0" fillId="0" fontId="0" numFmtId="0" xfId="0" applyAlignment="1" applyFont="1">
      <alignment horizontal="right" readingOrder="0" shrinkToFit="0" vertical="bottom" wrapText="0"/>
    </xf>
    <xf borderId="0" fillId="0" fontId="15" numFmtId="0" xfId="0" applyFont="1"/>
    <xf borderId="0" fillId="0" fontId="15" numFmtId="11" xfId="0" applyAlignment="1" applyFont="1" applyNumberFormat="1">
      <alignment readingOrder="0"/>
    </xf>
    <xf borderId="0" fillId="0" fontId="3" numFmtId="0" xfId="0" applyAlignment="1" applyFont="1">
      <alignment readingOrder="0"/>
    </xf>
    <xf borderId="0" fillId="0" fontId="3" numFmtId="49" xfId="0" applyAlignment="1" applyFont="1" applyNumberFormat="1">
      <alignment readingOrder="0"/>
    </xf>
    <xf borderId="0" fillId="2" fontId="16" numFmtId="172" xfId="0" applyFont="1" applyNumberFormat="1"/>
    <xf borderId="0" fillId="0" fontId="3" numFmtId="172" xfId="0" applyFont="1" applyNumberFormat="1"/>
    <xf borderId="0" fillId="0" fontId="1" numFmtId="0" xfId="0" applyFont="1"/>
    <xf borderId="0" fillId="0" fontId="17" numFmtId="0" xfId="0" applyFont="1"/>
    <xf borderId="0" fillId="0" fontId="3" numFmtId="0" xfId="0" applyAlignment="1" applyFont="1">
      <alignment readingOrder="0"/>
    </xf>
    <xf borderId="0" fillId="0" fontId="3" numFmtId="166" xfId="0" applyAlignment="1" applyFont="1" applyNumberFormat="1">
      <alignment readingOrder="0"/>
    </xf>
    <xf borderId="0" fillId="0" fontId="3" numFmtId="166" xfId="0" applyFont="1" applyNumberFormat="1"/>
  </cellXfs>
  <cellStyles count="1">
    <cellStyle xfId="0" name="Normal" builtinId="0"/>
  </cellStyles>
  <dxfs count="4">
    <dxf>
      <font>
        <color rgb="FFC53929"/>
      </font>
      <fill>
        <patternFill patternType="none"/>
      </fill>
      <border/>
    </dxf>
    <dxf>
      <font/>
      <fill>
        <patternFill patternType="solid">
          <fgColor rgb="FFB7E1CD"/>
          <bgColor rgb="FFB7E1CD"/>
        </patternFill>
      </fill>
      <border/>
    </dxf>
    <dxf>
      <font/>
      <fill>
        <patternFill patternType="solid">
          <fgColor rgb="FFFFE599"/>
          <bgColor rgb="FFFFE599"/>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5.57"/>
    <col customWidth="1" min="2" max="12" width="13.57"/>
    <col customWidth="1" min="14" max="14" width="21.29"/>
    <col customWidth="1" min="15" max="15" width="13.0"/>
    <col customWidth="1" min="16" max="16" width="11.29"/>
  </cols>
  <sheetData>
    <row r="1">
      <c r="A1" s="1" t="s">
        <v>0</v>
      </c>
      <c r="B1" s="1"/>
      <c r="C1" s="1"/>
      <c r="D1" s="1"/>
      <c r="E1" s="2"/>
      <c r="F1" s="2"/>
      <c r="G1" s="2"/>
      <c r="H1" s="2"/>
      <c r="I1" s="2"/>
      <c r="J1" s="2"/>
      <c r="K1" s="2"/>
      <c r="L1" s="2"/>
      <c r="M1" s="2"/>
      <c r="N1" s="2"/>
      <c r="O1" s="3"/>
      <c r="P1" s="3"/>
      <c r="Q1" s="2"/>
      <c r="R1" s="2"/>
      <c r="S1" s="2"/>
      <c r="T1" s="2"/>
      <c r="U1" s="2"/>
      <c r="V1" s="2"/>
      <c r="W1" s="2"/>
      <c r="X1" s="2"/>
      <c r="Y1" s="2"/>
      <c r="Z1" s="2"/>
      <c r="AA1" s="2"/>
      <c r="AB1" s="2"/>
      <c r="AC1" s="2"/>
    </row>
    <row r="2">
      <c r="A2" s="4" t="s">
        <v>1</v>
      </c>
      <c r="B2" s="5"/>
      <c r="C2" s="5"/>
      <c r="D2" s="2"/>
      <c r="E2" s="2"/>
      <c r="F2" s="2"/>
      <c r="G2" s="2"/>
      <c r="H2" s="2"/>
      <c r="I2" s="2"/>
      <c r="J2" s="2"/>
      <c r="K2" s="2"/>
      <c r="L2" s="2"/>
      <c r="M2" s="2"/>
      <c r="N2" s="2"/>
      <c r="O2" s="3"/>
      <c r="P2" s="3"/>
      <c r="Q2" s="2"/>
      <c r="R2" s="2"/>
      <c r="S2" s="2"/>
      <c r="T2" s="2"/>
      <c r="U2" s="2"/>
      <c r="V2" s="2"/>
      <c r="W2" s="2"/>
      <c r="X2" s="2"/>
      <c r="Y2" s="2"/>
      <c r="Z2" s="2"/>
      <c r="AA2" s="2"/>
      <c r="AB2" s="2"/>
      <c r="AC2" s="2"/>
    </row>
    <row r="3">
      <c r="A3" s="6" t="s">
        <v>2</v>
      </c>
      <c r="B3" s="6" t="s">
        <v>3</v>
      </c>
      <c r="C3" s="6" t="s">
        <v>4</v>
      </c>
      <c r="D3" s="2"/>
      <c r="E3" s="2"/>
      <c r="F3" s="2"/>
      <c r="G3" s="2"/>
      <c r="H3" s="2"/>
      <c r="I3" s="2"/>
      <c r="J3" s="2"/>
      <c r="K3" s="2"/>
      <c r="L3" s="2"/>
      <c r="M3" s="2"/>
      <c r="N3" s="2"/>
      <c r="O3" s="3"/>
      <c r="P3" s="3"/>
      <c r="Q3" s="2"/>
      <c r="R3" s="2"/>
      <c r="S3" s="2"/>
      <c r="T3" s="2"/>
      <c r="U3" s="2"/>
      <c r="V3" s="2"/>
      <c r="W3" s="2"/>
      <c r="X3" s="2"/>
      <c r="Y3" s="2"/>
      <c r="Z3" s="2"/>
      <c r="AA3" s="2"/>
      <c r="AB3" s="2"/>
      <c r="AC3" s="2"/>
    </row>
    <row r="4">
      <c r="A4" s="7">
        <v>0.7</v>
      </c>
      <c r="B4" s="7">
        <v>0.045</v>
      </c>
      <c r="C4" s="7">
        <v>2021.0</v>
      </c>
      <c r="D4" s="2"/>
      <c r="E4" s="2"/>
      <c r="F4" s="2"/>
      <c r="G4" s="2"/>
      <c r="H4" s="2"/>
      <c r="I4" s="2"/>
      <c r="J4" s="2"/>
      <c r="K4" s="2"/>
      <c r="L4" s="2"/>
      <c r="M4" s="2"/>
      <c r="N4" s="2"/>
      <c r="O4" s="3"/>
      <c r="P4" s="3"/>
      <c r="Q4" s="2"/>
      <c r="R4" s="2"/>
      <c r="S4" s="2"/>
      <c r="T4" s="2"/>
      <c r="U4" s="2"/>
      <c r="V4" s="2"/>
      <c r="W4" s="2"/>
      <c r="X4" s="2"/>
      <c r="Y4" s="2"/>
      <c r="Z4" s="2"/>
      <c r="AA4" s="2"/>
      <c r="AB4" s="2"/>
      <c r="AC4" s="2"/>
    </row>
    <row r="5">
      <c r="A5" s="2"/>
      <c r="B5" s="2"/>
      <c r="C5" s="2"/>
      <c r="D5" s="2"/>
      <c r="E5" s="2"/>
      <c r="F5" s="2"/>
      <c r="G5" s="2"/>
      <c r="H5" s="2"/>
      <c r="I5" s="2"/>
      <c r="J5" s="2"/>
      <c r="K5" s="2"/>
      <c r="L5" s="2"/>
      <c r="M5" s="2"/>
      <c r="N5" s="2"/>
      <c r="O5" s="3"/>
      <c r="P5" s="3"/>
      <c r="Q5" s="2"/>
      <c r="R5" s="2"/>
      <c r="S5" s="2"/>
      <c r="T5" s="2"/>
      <c r="U5" s="2"/>
      <c r="V5" s="2"/>
      <c r="W5" s="2"/>
      <c r="X5" s="2"/>
      <c r="Y5" s="2"/>
      <c r="Z5" s="2"/>
      <c r="AA5" s="2"/>
      <c r="AB5" s="2"/>
      <c r="AC5" s="2"/>
    </row>
    <row r="6">
      <c r="A6" s="2"/>
      <c r="B6" s="2"/>
      <c r="C6" s="2"/>
      <c r="D6" s="2"/>
      <c r="E6" s="2"/>
      <c r="F6" s="2"/>
      <c r="G6" s="2"/>
      <c r="H6" s="2"/>
      <c r="I6" s="2"/>
      <c r="J6" s="2"/>
      <c r="K6" s="2"/>
      <c r="L6" s="2"/>
      <c r="M6" s="2"/>
      <c r="N6" s="2"/>
      <c r="O6" s="3"/>
      <c r="P6" s="3"/>
      <c r="Q6" s="2"/>
      <c r="R6" s="2"/>
      <c r="S6" s="2"/>
      <c r="T6" s="2"/>
      <c r="U6" s="2"/>
      <c r="V6" s="2"/>
      <c r="W6" s="2"/>
      <c r="X6" s="2"/>
      <c r="Y6" s="2"/>
      <c r="Z6" s="2"/>
      <c r="AA6" s="2"/>
      <c r="AB6" s="2"/>
      <c r="AC6" s="2"/>
    </row>
    <row r="7">
      <c r="A7" s="2"/>
      <c r="B7" s="2"/>
      <c r="C7" s="2"/>
      <c r="D7" s="2"/>
      <c r="E7" s="2"/>
      <c r="F7" s="2"/>
      <c r="G7" s="2"/>
      <c r="H7" s="2"/>
      <c r="I7" s="2"/>
      <c r="J7" s="2"/>
      <c r="K7" s="2"/>
      <c r="L7" s="2"/>
      <c r="M7" s="2"/>
      <c r="N7" s="2"/>
      <c r="O7" s="3"/>
      <c r="P7" s="3"/>
      <c r="Q7" s="2"/>
      <c r="R7" s="2"/>
      <c r="S7" s="2"/>
      <c r="T7" s="2"/>
      <c r="U7" s="2"/>
      <c r="V7" s="2"/>
      <c r="W7" s="2"/>
      <c r="X7" s="2"/>
      <c r="Y7" s="2"/>
      <c r="Z7" s="2"/>
      <c r="AA7" s="2"/>
      <c r="AB7" s="2"/>
      <c r="AC7" s="2"/>
    </row>
    <row r="8">
      <c r="A8" s="2"/>
      <c r="B8" s="2"/>
      <c r="C8" s="2"/>
      <c r="D8" s="2"/>
      <c r="E8" s="2"/>
      <c r="F8" s="2"/>
      <c r="G8" s="2"/>
      <c r="H8" s="2"/>
      <c r="I8" s="2"/>
      <c r="J8" s="2"/>
      <c r="K8" s="2"/>
      <c r="L8" s="2"/>
      <c r="M8" s="2"/>
      <c r="N8" s="2"/>
      <c r="O8" s="3"/>
      <c r="P8" s="3"/>
      <c r="Q8" s="2"/>
      <c r="R8" s="2"/>
      <c r="S8" s="2"/>
      <c r="T8" s="2"/>
      <c r="U8" s="2"/>
      <c r="V8" s="2"/>
      <c r="W8" s="2"/>
      <c r="X8" s="2"/>
      <c r="Y8" s="2"/>
      <c r="Z8" s="2"/>
      <c r="AA8" s="2"/>
      <c r="AB8" s="2"/>
      <c r="AC8" s="2"/>
    </row>
    <row r="9">
      <c r="A9" s="2"/>
      <c r="B9" s="2"/>
      <c r="C9" s="2"/>
      <c r="D9" s="2"/>
      <c r="E9" s="2"/>
      <c r="F9" s="2"/>
      <c r="G9" s="2"/>
      <c r="H9" s="2"/>
      <c r="I9" s="2"/>
      <c r="J9" s="2"/>
      <c r="K9" s="2"/>
      <c r="L9" s="2"/>
      <c r="M9" s="2"/>
      <c r="N9" s="2"/>
      <c r="O9" s="3"/>
      <c r="P9" s="3"/>
      <c r="Q9" s="2"/>
      <c r="R9" s="2"/>
      <c r="S9" s="2"/>
      <c r="T9" s="2"/>
      <c r="U9" s="2"/>
      <c r="V9" s="2"/>
      <c r="W9" s="2"/>
      <c r="X9" s="2"/>
      <c r="Y9" s="2"/>
      <c r="Z9" s="2"/>
      <c r="AA9" s="2"/>
      <c r="AB9" s="2"/>
      <c r="AC9" s="2"/>
    </row>
    <row r="10">
      <c r="A10" s="2"/>
      <c r="B10" s="2"/>
      <c r="C10" s="2"/>
      <c r="D10" s="2"/>
      <c r="E10" s="2"/>
      <c r="F10" s="2"/>
      <c r="G10" s="2"/>
      <c r="H10" s="2"/>
      <c r="I10" s="2"/>
      <c r="J10" s="2"/>
      <c r="K10" s="2"/>
      <c r="L10" s="2"/>
      <c r="M10" s="2"/>
      <c r="N10" s="2"/>
      <c r="O10" s="3"/>
      <c r="P10" s="3"/>
      <c r="Q10" s="2"/>
      <c r="R10" s="2"/>
      <c r="S10" s="2"/>
      <c r="T10" s="2"/>
      <c r="U10" s="2"/>
      <c r="V10" s="2"/>
      <c r="W10" s="2"/>
      <c r="X10" s="2"/>
      <c r="Y10" s="2"/>
      <c r="Z10" s="2"/>
      <c r="AA10" s="2"/>
      <c r="AB10" s="2"/>
      <c r="AC10" s="2"/>
    </row>
    <row r="11">
      <c r="A11" s="2"/>
      <c r="B11" s="2"/>
      <c r="C11" s="2"/>
      <c r="D11" s="2"/>
      <c r="E11" s="2"/>
      <c r="F11" s="2"/>
      <c r="G11" s="2"/>
      <c r="H11" s="2"/>
      <c r="I11" s="2"/>
      <c r="J11" s="2"/>
      <c r="K11" s="2"/>
      <c r="L11" s="2"/>
      <c r="M11" s="2"/>
      <c r="N11" s="2"/>
      <c r="O11" s="3"/>
      <c r="P11" s="3"/>
      <c r="Q11" s="2"/>
      <c r="R11" s="2"/>
      <c r="S11" s="2"/>
      <c r="T11" s="2"/>
      <c r="U11" s="2"/>
      <c r="V11" s="2"/>
      <c r="W11" s="2"/>
      <c r="X11" s="2"/>
      <c r="Y11" s="2"/>
      <c r="Z11" s="2"/>
      <c r="AA11" s="2"/>
      <c r="AB11" s="2"/>
      <c r="AC11" s="2"/>
    </row>
    <row r="12">
      <c r="A12" s="2"/>
      <c r="B12" s="2"/>
      <c r="C12" s="2"/>
      <c r="D12" s="2"/>
      <c r="E12" s="2"/>
      <c r="F12" s="2"/>
      <c r="G12" s="2"/>
      <c r="H12" s="2"/>
      <c r="I12" s="2"/>
      <c r="J12" s="2"/>
      <c r="K12" s="2"/>
      <c r="L12" s="2"/>
      <c r="M12" s="2"/>
      <c r="N12" s="2"/>
      <c r="O12" s="3"/>
      <c r="P12" s="3"/>
      <c r="Q12" s="2"/>
      <c r="R12" s="2"/>
      <c r="S12" s="2"/>
      <c r="T12" s="2"/>
      <c r="U12" s="2"/>
      <c r="V12" s="2"/>
      <c r="W12" s="2"/>
      <c r="X12" s="2"/>
      <c r="Y12" s="2"/>
      <c r="Z12" s="2"/>
      <c r="AA12" s="2"/>
      <c r="AB12" s="2"/>
      <c r="AC12" s="2"/>
    </row>
    <row r="13">
      <c r="A13" s="2"/>
      <c r="B13" s="2"/>
      <c r="C13" s="2"/>
      <c r="D13" s="2"/>
      <c r="E13" s="2"/>
      <c r="F13" s="2"/>
      <c r="G13" s="2"/>
      <c r="H13" s="2"/>
      <c r="I13" s="2"/>
      <c r="J13" s="2"/>
      <c r="K13" s="2"/>
      <c r="L13" s="2"/>
      <c r="M13" s="2"/>
      <c r="N13" s="2"/>
      <c r="O13" s="3"/>
      <c r="P13" s="3"/>
      <c r="Q13" s="2"/>
      <c r="R13" s="2"/>
      <c r="S13" s="2"/>
      <c r="T13" s="2"/>
      <c r="U13" s="2"/>
      <c r="V13" s="2"/>
      <c r="W13" s="2"/>
      <c r="X13" s="2"/>
      <c r="Y13" s="2"/>
      <c r="Z13" s="2"/>
      <c r="AA13" s="2"/>
      <c r="AB13" s="2"/>
      <c r="AC13" s="2"/>
    </row>
    <row r="14">
      <c r="A14" s="2"/>
      <c r="B14" s="2"/>
      <c r="C14" s="2"/>
      <c r="D14" s="2"/>
      <c r="E14" s="2"/>
      <c r="F14" s="2"/>
      <c r="G14" s="2"/>
      <c r="H14" s="2"/>
      <c r="I14" s="2"/>
      <c r="J14" s="2"/>
      <c r="K14" s="2"/>
      <c r="L14" s="2"/>
      <c r="M14" s="2"/>
      <c r="N14" s="2"/>
      <c r="O14" s="3"/>
      <c r="P14" s="3"/>
      <c r="Q14" s="2"/>
      <c r="R14" s="2"/>
      <c r="S14" s="2"/>
      <c r="T14" s="2"/>
      <c r="U14" s="2"/>
      <c r="V14" s="2"/>
      <c r="W14" s="2"/>
      <c r="X14" s="2"/>
      <c r="Y14" s="2"/>
      <c r="Z14" s="2"/>
      <c r="AA14" s="2"/>
      <c r="AB14" s="2"/>
      <c r="AC14" s="2"/>
    </row>
    <row r="15">
      <c r="A15" s="2"/>
      <c r="B15" s="2"/>
      <c r="C15" s="2"/>
      <c r="D15" s="2"/>
      <c r="E15" s="2"/>
      <c r="F15" s="2"/>
      <c r="G15" s="2"/>
      <c r="H15" s="2"/>
      <c r="I15" s="2"/>
      <c r="J15" s="2"/>
      <c r="K15" s="2"/>
      <c r="L15" s="2"/>
      <c r="M15" s="2"/>
      <c r="N15" s="2"/>
      <c r="O15" s="3"/>
      <c r="P15" s="3"/>
      <c r="Q15" s="2"/>
      <c r="R15" s="2"/>
      <c r="S15" s="2"/>
      <c r="T15" s="2"/>
      <c r="U15" s="2"/>
      <c r="V15" s="2"/>
      <c r="W15" s="2"/>
      <c r="X15" s="2"/>
      <c r="Y15" s="2"/>
      <c r="Z15" s="2"/>
      <c r="AA15" s="2"/>
      <c r="AB15" s="2"/>
      <c r="AC15" s="2"/>
    </row>
    <row r="16">
      <c r="A16" s="2"/>
      <c r="B16" s="2"/>
      <c r="C16" s="2"/>
      <c r="D16" s="2"/>
      <c r="E16" s="2"/>
      <c r="F16" s="2"/>
      <c r="G16" s="2"/>
      <c r="H16" s="2"/>
      <c r="I16" s="2"/>
      <c r="J16" s="2"/>
      <c r="K16" s="2"/>
      <c r="L16" s="2"/>
      <c r="M16" s="2"/>
      <c r="N16" s="2"/>
      <c r="O16" s="3"/>
      <c r="P16" s="3"/>
      <c r="Q16" s="2"/>
      <c r="R16" s="2"/>
      <c r="S16" s="2"/>
      <c r="T16" s="2"/>
      <c r="U16" s="2"/>
      <c r="V16" s="2"/>
      <c r="W16" s="2"/>
      <c r="X16" s="2"/>
      <c r="Y16" s="2"/>
      <c r="Z16" s="2"/>
      <c r="AA16" s="2"/>
      <c r="AB16" s="2"/>
      <c r="AC16" s="2"/>
    </row>
    <row r="17">
      <c r="A17" s="2"/>
      <c r="B17" s="2"/>
      <c r="C17" s="2"/>
      <c r="D17" s="2"/>
      <c r="E17" s="2"/>
      <c r="F17" s="2"/>
      <c r="G17" s="2"/>
      <c r="H17" s="2"/>
      <c r="I17" s="2"/>
      <c r="J17" s="2"/>
      <c r="K17" s="2"/>
      <c r="L17" s="2"/>
      <c r="M17" s="2"/>
      <c r="N17" s="2"/>
      <c r="O17" s="3"/>
      <c r="P17" s="3"/>
      <c r="Q17" s="2"/>
      <c r="R17" s="2"/>
      <c r="S17" s="2"/>
      <c r="T17" s="2"/>
      <c r="U17" s="2"/>
      <c r="V17" s="2"/>
      <c r="W17" s="2"/>
      <c r="X17" s="2"/>
      <c r="Y17" s="2"/>
      <c r="Z17" s="2"/>
      <c r="AA17" s="2"/>
      <c r="AB17" s="2"/>
      <c r="AC17" s="2"/>
    </row>
    <row r="18">
      <c r="A18" s="2"/>
      <c r="B18" s="2"/>
      <c r="C18" s="2"/>
      <c r="D18" s="2"/>
      <c r="E18" s="2"/>
      <c r="F18" s="2"/>
      <c r="G18" s="2"/>
      <c r="H18" s="2"/>
      <c r="I18" s="2"/>
      <c r="J18" s="2"/>
      <c r="K18" s="2"/>
      <c r="L18" s="2"/>
      <c r="M18" s="2"/>
      <c r="N18" s="2"/>
      <c r="O18" s="3"/>
      <c r="P18" s="3"/>
      <c r="Q18" s="2"/>
      <c r="R18" s="2"/>
      <c r="S18" s="2"/>
      <c r="T18" s="2"/>
      <c r="U18" s="2"/>
      <c r="V18" s="2"/>
      <c r="W18" s="2"/>
      <c r="X18" s="2"/>
      <c r="Y18" s="2"/>
      <c r="Z18" s="2"/>
      <c r="AA18" s="2"/>
      <c r="AB18" s="2"/>
      <c r="AC18" s="2"/>
    </row>
    <row r="19">
      <c r="A19" s="2"/>
      <c r="B19" s="2"/>
      <c r="C19" s="2"/>
      <c r="D19" s="2"/>
      <c r="E19" s="2"/>
      <c r="F19" s="2"/>
      <c r="G19" s="2"/>
      <c r="H19" s="2"/>
      <c r="I19" s="2"/>
      <c r="J19" s="2"/>
      <c r="K19" s="2"/>
      <c r="L19" s="2"/>
      <c r="M19" s="2"/>
      <c r="N19" s="2"/>
      <c r="O19" s="3"/>
      <c r="P19" s="3"/>
      <c r="Q19" s="2"/>
      <c r="R19" s="2"/>
      <c r="S19" s="2"/>
      <c r="T19" s="2"/>
      <c r="U19" s="2"/>
      <c r="V19" s="2"/>
      <c r="W19" s="2"/>
      <c r="X19" s="2"/>
      <c r="Y19" s="2"/>
      <c r="Z19" s="2"/>
      <c r="AA19" s="2"/>
      <c r="AB19" s="2"/>
      <c r="AC19" s="2"/>
    </row>
    <row r="20">
      <c r="A20" s="2"/>
      <c r="B20" s="2"/>
      <c r="C20" s="2"/>
      <c r="D20" s="2"/>
      <c r="E20" s="2"/>
      <c r="F20" s="2"/>
      <c r="G20" s="2"/>
      <c r="H20" s="2"/>
      <c r="I20" s="2"/>
      <c r="J20" s="2"/>
      <c r="K20" s="2"/>
      <c r="L20" s="2"/>
      <c r="M20" s="2"/>
      <c r="N20" s="2"/>
      <c r="O20" s="3"/>
      <c r="P20" s="3"/>
      <c r="Q20" s="2"/>
      <c r="R20" s="2"/>
      <c r="S20" s="2"/>
      <c r="T20" s="2"/>
      <c r="U20" s="2"/>
      <c r="V20" s="2"/>
      <c r="W20" s="2"/>
      <c r="X20" s="2"/>
      <c r="Y20" s="2"/>
      <c r="Z20" s="2"/>
      <c r="AA20" s="2"/>
      <c r="AB20" s="2"/>
      <c r="AC20" s="2"/>
    </row>
    <row r="21">
      <c r="A21" s="2"/>
      <c r="B21" s="2"/>
      <c r="C21" s="2"/>
      <c r="D21" s="2"/>
      <c r="E21" s="2"/>
      <c r="F21" s="2"/>
      <c r="G21" s="2"/>
      <c r="H21" s="2"/>
      <c r="I21" s="2"/>
      <c r="J21" s="2"/>
      <c r="K21" s="2"/>
      <c r="L21" s="2"/>
      <c r="M21" s="2"/>
      <c r="N21" s="2"/>
      <c r="O21" s="3"/>
      <c r="P21" s="3"/>
      <c r="Q21" s="2"/>
      <c r="R21" s="2"/>
      <c r="S21" s="2"/>
      <c r="T21" s="2"/>
      <c r="U21" s="2"/>
      <c r="V21" s="2"/>
      <c r="W21" s="2"/>
      <c r="X21" s="2"/>
      <c r="Y21" s="2"/>
      <c r="Z21" s="2"/>
      <c r="AA21" s="2"/>
      <c r="AB21" s="2"/>
      <c r="AC21" s="2"/>
    </row>
    <row r="22">
      <c r="A22" s="2"/>
      <c r="B22" s="2"/>
      <c r="C22" s="2"/>
      <c r="D22" s="2"/>
      <c r="E22" s="2"/>
      <c r="F22" s="2"/>
      <c r="G22" s="2"/>
      <c r="H22" s="2"/>
      <c r="I22" s="2"/>
      <c r="J22" s="2"/>
      <c r="K22" s="2"/>
      <c r="L22" s="2"/>
      <c r="M22" s="2"/>
      <c r="N22" s="2"/>
      <c r="O22" s="3"/>
      <c r="P22" s="3"/>
      <c r="Q22" s="2"/>
      <c r="R22" s="2"/>
      <c r="S22" s="2"/>
      <c r="T22" s="2"/>
      <c r="U22" s="2"/>
      <c r="V22" s="2"/>
      <c r="W22" s="2"/>
      <c r="X22" s="2"/>
      <c r="Y22" s="2"/>
      <c r="Z22" s="2"/>
      <c r="AA22" s="2"/>
      <c r="AB22" s="2"/>
      <c r="AC22" s="2"/>
    </row>
    <row r="23">
      <c r="A23" s="2"/>
      <c r="B23" s="2"/>
      <c r="C23" s="2"/>
      <c r="D23" s="2"/>
      <c r="E23" s="2"/>
      <c r="F23" s="2"/>
      <c r="G23" s="2"/>
      <c r="H23" s="2"/>
      <c r="I23" s="2"/>
      <c r="J23" s="2"/>
      <c r="K23" s="2"/>
      <c r="L23" s="2"/>
      <c r="M23" s="2"/>
      <c r="N23" s="2"/>
      <c r="O23" s="3"/>
      <c r="P23" s="3"/>
      <c r="Q23" s="2"/>
      <c r="R23" s="2"/>
      <c r="S23" s="2"/>
      <c r="T23" s="2"/>
      <c r="U23" s="2"/>
      <c r="V23" s="2"/>
      <c r="W23" s="2"/>
      <c r="X23" s="2"/>
      <c r="Y23" s="2"/>
      <c r="Z23" s="2"/>
      <c r="AA23" s="2"/>
      <c r="AB23" s="2"/>
      <c r="AC23" s="2"/>
    </row>
    <row r="24">
      <c r="A24" s="2"/>
      <c r="B24" s="2"/>
      <c r="C24" s="2"/>
      <c r="D24" s="2"/>
      <c r="E24" s="2"/>
      <c r="F24" s="2"/>
      <c r="G24" s="2"/>
      <c r="H24" s="2"/>
      <c r="I24" s="2"/>
      <c r="J24" s="2"/>
      <c r="K24" s="2"/>
      <c r="L24" s="2"/>
      <c r="M24" s="2"/>
      <c r="N24" s="2"/>
      <c r="O24" s="3"/>
      <c r="P24" s="3"/>
      <c r="Q24" s="2"/>
      <c r="R24" s="2"/>
      <c r="S24" s="2"/>
      <c r="T24" s="2"/>
      <c r="U24" s="2"/>
      <c r="V24" s="2"/>
      <c r="W24" s="2"/>
      <c r="X24" s="2"/>
      <c r="Y24" s="2"/>
      <c r="Z24" s="2"/>
      <c r="AA24" s="2"/>
      <c r="AB24" s="2"/>
      <c r="AC24" s="2"/>
    </row>
    <row r="25">
      <c r="A25" s="2"/>
      <c r="B25" s="2"/>
      <c r="C25" s="2"/>
      <c r="D25" s="2"/>
      <c r="E25" s="2"/>
      <c r="F25" s="2"/>
      <c r="G25" s="2"/>
      <c r="H25" s="2"/>
      <c r="I25" s="2"/>
      <c r="J25" s="2"/>
      <c r="K25" s="2"/>
      <c r="L25" s="2"/>
      <c r="M25" s="2"/>
      <c r="N25" s="2"/>
      <c r="O25" s="3"/>
      <c r="P25" s="3"/>
      <c r="Q25" s="2"/>
      <c r="R25" s="2"/>
      <c r="S25" s="2"/>
      <c r="T25" s="2"/>
      <c r="U25" s="2"/>
      <c r="V25" s="2"/>
      <c r="W25" s="2"/>
      <c r="X25" s="2"/>
      <c r="Y25" s="2"/>
      <c r="Z25" s="2"/>
      <c r="AA25" s="2"/>
      <c r="AB25" s="2"/>
      <c r="AC25" s="2"/>
    </row>
    <row r="26">
      <c r="A26" s="2"/>
      <c r="B26" s="2"/>
      <c r="C26" s="2"/>
      <c r="D26" s="2"/>
      <c r="E26" s="2"/>
      <c r="F26" s="2"/>
      <c r="G26" s="2"/>
      <c r="H26" s="2"/>
      <c r="I26" s="2"/>
      <c r="J26" s="2"/>
      <c r="K26" s="2"/>
      <c r="L26" s="2"/>
      <c r="M26" s="2"/>
      <c r="N26" s="2"/>
      <c r="O26" s="3"/>
      <c r="P26" s="3"/>
      <c r="Q26" s="2"/>
      <c r="R26" s="2"/>
      <c r="S26" s="2"/>
      <c r="T26" s="2"/>
      <c r="U26" s="2"/>
      <c r="V26" s="2"/>
      <c r="W26" s="2"/>
      <c r="X26" s="2"/>
      <c r="Y26" s="2"/>
      <c r="Z26" s="2"/>
      <c r="AA26" s="2"/>
      <c r="AB26" s="2"/>
      <c r="AC26" s="2"/>
    </row>
    <row r="27">
      <c r="A27" s="2"/>
      <c r="B27" s="2"/>
      <c r="C27" s="2"/>
      <c r="D27" s="2"/>
      <c r="E27" s="2"/>
      <c r="F27" s="2"/>
      <c r="G27" s="2"/>
      <c r="H27" s="2"/>
      <c r="I27" s="2"/>
      <c r="J27" s="2"/>
      <c r="K27" s="2"/>
      <c r="L27" s="2"/>
      <c r="M27" s="2"/>
      <c r="N27" s="2"/>
      <c r="O27" s="3"/>
      <c r="P27" s="3"/>
      <c r="Q27" s="2"/>
      <c r="R27" s="2"/>
      <c r="S27" s="2"/>
      <c r="T27" s="2"/>
      <c r="U27" s="2"/>
      <c r="V27" s="2"/>
      <c r="W27" s="2"/>
      <c r="X27" s="2"/>
      <c r="Y27" s="2"/>
      <c r="Z27" s="2"/>
      <c r="AA27" s="2"/>
      <c r="AB27" s="2"/>
      <c r="AC27" s="2"/>
    </row>
    <row r="28">
      <c r="A28" s="2"/>
      <c r="B28" s="2"/>
      <c r="C28" s="2"/>
      <c r="D28" s="2"/>
      <c r="E28" s="2"/>
      <c r="F28" s="2"/>
      <c r="G28" s="2"/>
      <c r="H28" s="2"/>
      <c r="I28" s="2"/>
      <c r="J28" s="2"/>
      <c r="K28" s="2"/>
      <c r="L28" s="2"/>
      <c r="M28" s="2"/>
      <c r="N28" s="2"/>
      <c r="O28" s="3"/>
      <c r="P28" s="3"/>
      <c r="Q28" s="2"/>
      <c r="R28" s="2"/>
      <c r="S28" s="2"/>
      <c r="T28" s="2"/>
      <c r="U28" s="2"/>
      <c r="V28" s="2"/>
      <c r="W28" s="2"/>
      <c r="X28" s="2"/>
      <c r="Y28" s="2"/>
      <c r="Z28" s="2"/>
      <c r="AA28" s="2"/>
      <c r="AB28" s="2"/>
      <c r="AC28" s="2"/>
    </row>
    <row r="29">
      <c r="A29" s="2"/>
      <c r="B29" s="2"/>
      <c r="C29" s="2"/>
      <c r="D29" s="2"/>
      <c r="E29" s="2"/>
      <c r="F29" s="2"/>
      <c r="G29" s="2"/>
      <c r="H29" s="2"/>
      <c r="I29" s="2"/>
      <c r="J29" s="2"/>
      <c r="K29" s="2"/>
      <c r="L29" s="2"/>
      <c r="M29" s="2"/>
      <c r="N29" s="2"/>
      <c r="O29" s="3"/>
      <c r="P29" s="3"/>
      <c r="Q29" s="2"/>
      <c r="R29" s="2"/>
      <c r="S29" s="2"/>
      <c r="T29" s="2"/>
      <c r="U29" s="2"/>
      <c r="V29" s="2"/>
      <c r="W29" s="2"/>
      <c r="X29" s="2"/>
      <c r="Y29" s="2"/>
      <c r="Z29" s="2"/>
      <c r="AA29" s="2"/>
      <c r="AB29" s="2"/>
      <c r="AC29" s="2"/>
    </row>
    <row r="30">
      <c r="A30" s="2"/>
      <c r="B30" s="2"/>
      <c r="C30" s="2"/>
      <c r="D30" s="2"/>
      <c r="E30" s="2"/>
      <c r="F30" s="2"/>
      <c r="G30" s="2"/>
      <c r="H30" s="2"/>
      <c r="I30" s="2"/>
      <c r="J30" s="2"/>
      <c r="K30" s="2"/>
      <c r="L30" s="2"/>
      <c r="M30" s="2"/>
      <c r="N30" s="2"/>
      <c r="O30" s="3"/>
      <c r="P30" s="3"/>
      <c r="Q30" s="2"/>
      <c r="R30" s="2"/>
      <c r="S30" s="2"/>
      <c r="T30" s="2"/>
      <c r="U30" s="2"/>
      <c r="V30" s="2"/>
      <c r="W30" s="2"/>
      <c r="X30" s="2"/>
      <c r="Y30" s="2"/>
      <c r="Z30" s="2"/>
      <c r="AA30" s="2"/>
      <c r="AB30" s="2"/>
      <c r="AC30" s="2"/>
    </row>
    <row r="31">
      <c r="A31" s="2"/>
      <c r="B31" s="2"/>
      <c r="C31" s="2"/>
      <c r="D31" s="2"/>
      <c r="E31" s="2"/>
      <c r="F31" s="2"/>
      <c r="G31" s="2"/>
      <c r="H31" s="2"/>
      <c r="I31" s="2"/>
      <c r="J31" s="2"/>
      <c r="K31" s="2"/>
      <c r="L31" s="2"/>
      <c r="M31" s="2"/>
      <c r="N31" s="2"/>
      <c r="O31" s="3"/>
      <c r="P31" s="3"/>
      <c r="Q31" s="2"/>
      <c r="R31" s="2"/>
      <c r="S31" s="2"/>
      <c r="T31" s="2"/>
      <c r="U31" s="2"/>
      <c r="V31" s="2"/>
      <c r="W31" s="2"/>
      <c r="X31" s="2"/>
      <c r="Y31" s="2"/>
      <c r="Z31" s="2"/>
      <c r="AA31" s="2"/>
      <c r="AB31" s="2"/>
      <c r="AC31" s="2"/>
    </row>
    <row r="32">
      <c r="A32" s="2"/>
      <c r="B32" s="2"/>
      <c r="C32" s="2"/>
      <c r="D32" s="2"/>
      <c r="E32" s="2"/>
      <c r="F32" s="2"/>
      <c r="G32" s="2"/>
      <c r="H32" s="2"/>
      <c r="I32" s="2"/>
      <c r="J32" s="2"/>
      <c r="K32" s="2"/>
      <c r="L32" s="2"/>
      <c r="M32" s="2"/>
      <c r="N32" s="2"/>
      <c r="O32" s="3"/>
      <c r="P32" s="3"/>
      <c r="Q32" s="2"/>
      <c r="R32" s="2"/>
      <c r="S32" s="2"/>
      <c r="T32" s="2"/>
      <c r="U32" s="2"/>
      <c r="V32" s="2"/>
      <c r="W32" s="2"/>
      <c r="X32" s="2"/>
      <c r="Y32" s="2"/>
      <c r="Z32" s="2"/>
      <c r="AA32" s="2"/>
      <c r="AB32" s="2"/>
      <c r="AC32" s="2"/>
    </row>
    <row r="33">
      <c r="A33" s="2"/>
      <c r="B33" s="2"/>
      <c r="C33" s="2"/>
      <c r="D33" s="2"/>
      <c r="E33" s="2"/>
      <c r="F33" s="2"/>
      <c r="G33" s="2"/>
      <c r="H33" s="2"/>
      <c r="I33" s="2"/>
      <c r="J33" s="2"/>
      <c r="K33" s="2"/>
      <c r="L33" s="2"/>
      <c r="M33" s="2"/>
      <c r="N33" s="2"/>
      <c r="O33" s="3"/>
      <c r="P33" s="3"/>
      <c r="Q33" s="2"/>
      <c r="R33" s="2"/>
      <c r="S33" s="2"/>
      <c r="T33" s="2"/>
      <c r="U33" s="2"/>
      <c r="V33" s="2"/>
      <c r="W33" s="2"/>
      <c r="X33" s="2"/>
      <c r="Y33" s="2"/>
      <c r="Z33" s="2"/>
      <c r="AA33" s="2"/>
      <c r="AB33" s="2"/>
      <c r="AC33" s="2"/>
    </row>
    <row r="34">
      <c r="A34" s="2"/>
      <c r="B34" s="2"/>
      <c r="C34" s="2"/>
      <c r="D34" s="2"/>
      <c r="E34" s="2"/>
      <c r="F34" s="2"/>
      <c r="G34" s="2"/>
      <c r="H34" s="2"/>
      <c r="I34" s="2"/>
      <c r="J34" s="2"/>
      <c r="K34" s="2"/>
      <c r="L34" s="2"/>
      <c r="M34" s="2"/>
      <c r="N34" s="2"/>
      <c r="O34" s="3"/>
      <c r="P34" s="3"/>
      <c r="Q34" s="2"/>
      <c r="R34" s="2"/>
      <c r="S34" s="2"/>
      <c r="T34" s="2"/>
      <c r="U34" s="2"/>
      <c r="V34" s="2"/>
      <c r="W34" s="2"/>
      <c r="X34" s="2"/>
      <c r="Y34" s="2"/>
      <c r="Z34" s="2"/>
      <c r="AA34" s="2"/>
      <c r="AB34" s="2"/>
      <c r="AC34" s="2"/>
    </row>
    <row r="35">
      <c r="A35" s="2"/>
      <c r="B35" s="2"/>
      <c r="C35" s="2"/>
      <c r="D35" s="2"/>
      <c r="E35" s="2"/>
      <c r="F35" s="2"/>
      <c r="G35" s="2"/>
      <c r="H35" s="2"/>
      <c r="I35" s="2"/>
      <c r="J35" s="2"/>
      <c r="K35" s="2"/>
      <c r="L35" s="2"/>
      <c r="M35" s="2"/>
      <c r="N35" s="2"/>
      <c r="O35" s="3"/>
      <c r="P35" s="3"/>
      <c r="Q35" s="2"/>
      <c r="R35" s="2"/>
      <c r="S35" s="2"/>
      <c r="T35" s="2"/>
      <c r="U35" s="2"/>
      <c r="V35" s="2"/>
      <c r="W35" s="2"/>
      <c r="X35" s="2"/>
      <c r="Y35" s="2"/>
      <c r="Z35" s="2"/>
      <c r="AA35" s="2"/>
      <c r="AB35" s="2"/>
      <c r="AC35" s="2"/>
    </row>
    <row r="36">
      <c r="A36" s="2"/>
      <c r="B36" s="2"/>
      <c r="C36" s="2"/>
      <c r="D36" s="2"/>
      <c r="E36" s="2"/>
      <c r="F36" s="2"/>
      <c r="G36" s="2"/>
      <c r="H36" s="2"/>
      <c r="I36" s="2"/>
      <c r="J36" s="2"/>
      <c r="K36" s="2"/>
      <c r="L36" s="2"/>
      <c r="M36" s="2"/>
      <c r="N36" s="2"/>
      <c r="O36" s="3"/>
      <c r="P36" s="3"/>
      <c r="Q36" s="2"/>
      <c r="R36" s="2"/>
      <c r="S36" s="2"/>
      <c r="T36" s="2"/>
      <c r="U36" s="2"/>
      <c r="V36" s="2"/>
      <c r="W36" s="2"/>
      <c r="X36" s="2"/>
      <c r="Y36" s="2"/>
      <c r="Z36" s="2"/>
      <c r="AA36" s="2"/>
      <c r="AB36" s="2"/>
      <c r="AC36" s="2"/>
    </row>
    <row r="37">
      <c r="A37" s="2"/>
      <c r="B37" s="2"/>
      <c r="C37" s="2"/>
      <c r="D37" s="2"/>
      <c r="E37" s="2"/>
      <c r="F37" s="2"/>
      <c r="G37" s="2"/>
      <c r="H37" s="2"/>
      <c r="I37" s="2"/>
      <c r="J37" s="2"/>
      <c r="K37" s="2"/>
      <c r="L37" s="2"/>
      <c r="M37" s="2"/>
      <c r="N37" s="2"/>
      <c r="O37" s="3"/>
      <c r="P37" s="3"/>
      <c r="Q37" s="2"/>
      <c r="R37" s="2"/>
      <c r="S37" s="2"/>
      <c r="T37" s="2"/>
      <c r="U37" s="2"/>
      <c r="V37" s="2"/>
      <c r="W37" s="2"/>
      <c r="X37" s="2"/>
      <c r="Y37" s="2"/>
      <c r="Z37" s="2"/>
      <c r="AA37" s="2"/>
      <c r="AB37" s="2"/>
      <c r="AC37" s="2"/>
    </row>
    <row r="38">
      <c r="A38" s="2"/>
      <c r="B38" s="2"/>
      <c r="C38" s="2"/>
      <c r="D38" s="2"/>
      <c r="E38" s="2"/>
      <c r="F38" s="2"/>
      <c r="G38" s="2"/>
      <c r="H38" s="2"/>
      <c r="I38" s="2"/>
      <c r="J38" s="2"/>
      <c r="K38" s="2"/>
      <c r="L38" s="2"/>
      <c r="M38" s="2"/>
      <c r="N38" s="2"/>
      <c r="O38" s="3"/>
      <c r="P38" s="3"/>
      <c r="Q38" s="2"/>
      <c r="R38" s="2"/>
      <c r="S38" s="2"/>
      <c r="T38" s="2"/>
      <c r="U38" s="2"/>
      <c r="V38" s="2"/>
      <c r="W38" s="2"/>
      <c r="X38" s="2"/>
      <c r="Y38" s="2"/>
      <c r="Z38" s="2"/>
      <c r="AA38" s="2"/>
      <c r="AB38" s="2"/>
      <c r="AC38" s="2"/>
    </row>
    <row r="39">
      <c r="A39" s="2"/>
      <c r="B39" s="2"/>
      <c r="C39" s="2"/>
      <c r="D39" s="2"/>
      <c r="E39" s="2"/>
      <c r="F39" s="2"/>
      <c r="G39" s="2"/>
      <c r="H39" s="2"/>
      <c r="I39" s="2"/>
      <c r="J39" s="2"/>
      <c r="K39" s="2"/>
      <c r="L39" s="2"/>
      <c r="M39" s="2"/>
      <c r="N39" s="2"/>
      <c r="O39" s="3"/>
      <c r="P39" s="3"/>
      <c r="Q39" s="2"/>
      <c r="R39" s="2"/>
      <c r="S39" s="2"/>
      <c r="T39" s="2"/>
      <c r="U39" s="2"/>
      <c r="V39" s="2"/>
      <c r="W39" s="2"/>
      <c r="X39" s="2"/>
      <c r="Y39" s="2"/>
      <c r="Z39" s="2"/>
      <c r="AA39" s="2"/>
      <c r="AB39" s="2"/>
      <c r="AC39" s="2"/>
    </row>
    <row r="40">
      <c r="A40" s="2"/>
      <c r="B40" s="2"/>
      <c r="C40" s="2"/>
      <c r="D40" s="2"/>
      <c r="E40" s="2"/>
      <c r="F40" s="2"/>
      <c r="G40" s="2"/>
      <c r="H40" s="2"/>
      <c r="I40" s="2"/>
      <c r="J40" s="2"/>
      <c r="K40" s="2"/>
      <c r="L40" s="2"/>
      <c r="M40" s="2"/>
      <c r="N40" s="2"/>
      <c r="O40" s="3"/>
      <c r="P40" s="3"/>
      <c r="Q40" s="2"/>
      <c r="R40" s="2"/>
      <c r="S40" s="2"/>
      <c r="T40" s="2"/>
      <c r="U40" s="2"/>
      <c r="V40" s="2"/>
      <c r="W40" s="2"/>
      <c r="X40" s="2"/>
      <c r="Y40" s="2"/>
      <c r="Z40" s="2"/>
      <c r="AA40" s="2"/>
      <c r="AB40" s="2"/>
      <c r="AC40" s="2"/>
    </row>
    <row r="41">
      <c r="A41" s="2"/>
      <c r="B41" s="2"/>
      <c r="C41" s="2"/>
      <c r="D41" s="2"/>
      <c r="E41" s="2"/>
      <c r="F41" s="2"/>
      <c r="G41" s="2"/>
      <c r="H41" s="2"/>
      <c r="I41" s="2"/>
      <c r="J41" s="2"/>
      <c r="K41" s="2"/>
      <c r="L41" s="2"/>
      <c r="M41" s="2"/>
      <c r="N41" s="2"/>
      <c r="O41" s="3"/>
      <c r="P41" s="3"/>
      <c r="Q41" s="2"/>
      <c r="R41" s="2"/>
      <c r="S41" s="2"/>
      <c r="T41" s="2"/>
      <c r="U41" s="2"/>
      <c r="V41" s="2"/>
      <c r="W41" s="2"/>
      <c r="X41" s="2"/>
      <c r="Y41" s="2"/>
      <c r="Z41" s="2"/>
      <c r="AA41" s="2"/>
      <c r="AB41" s="2"/>
      <c r="AC41" s="2"/>
    </row>
    <row r="42">
      <c r="A42" s="2"/>
      <c r="B42" s="2"/>
      <c r="C42" s="2"/>
      <c r="D42" s="2"/>
      <c r="E42" s="2"/>
      <c r="F42" s="2"/>
      <c r="G42" s="2"/>
      <c r="H42" s="2"/>
      <c r="I42" s="2"/>
      <c r="J42" s="2"/>
      <c r="K42" s="2"/>
      <c r="L42" s="2"/>
      <c r="M42" s="2"/>
      <c r="N42" s="2"/>
      <c r="O42" s="3"/>
      <c r="P42" s="3"/>
      <c r="Q42" s="2"/>
      <c r="R42" s="2"/>
      <c r="S42" s="2"/>
      <c r="T42" s="2"/>
      <c r="U42" s="2"/>
      <c r="V42" s="2"/>
      <c r="W42" s="2"/>
      <c r="X42" s="2"/>
      <c r="Y42" s="2"/>
      <c r="Z42" s="2"/>
      <c r="AA42" s="2"/>
      <c r="AB42" s="2"/>
      <c r="AC42" s="2"/>
    </row>
    <row r="43">
      <c r="A43" s="2"/>
      <c r="B43" s="2"/>
      <c r="C43" s="2"/>
      <c r="D43" s="2"/>
      <c r="E43" s="2"/>
      <c r="F43" s="2"/>
      <c r="G43" s="2"/>
      <c r="H43" s="2"/>
      <c r="I43" s="2"/>
      <c r="J43" s="2"/>
      <c r="K43" s="2"/>
      <c r="L43" s="2"/>
      <c r="M43" s="2"/>
      <c r="N43" s="2"/>
      <c r="O43" s="3"/>
      <c r="P43" s="3"/>
      <c r="Q43" s="2"/>
      <c r="R43" s="2"/>
      <c r="S43" s="2"/>
      <c r="T43" s="2"/>
      <c r="U43" s="2"/>
      <c r="V43" s="2"/>
      <c r="W43" s="2"/>
      <c r="X43" s="2"/>
      <c r="Y43" s="2"/>
      <c r="Z43" s="2"/>
      <c r="AA43" s="2"/>
      <c r="AB43" s="2"/>
      <c r="AC43" s="2"/>
    </row>
    <row r="44">
      <c r="A44" s="2"/>
      <c r="B44" s="2"/>
      <c r="C44" s="2"/>
      <c r="D44" s="2"/>
      <c r="E44" s="2"/>
      <c r="F44" s="2"/>
      <c r="G44" s="2"/>
      <c r="H44" s="2"/>
      <c r="I44" s="2"/>
      <c r="J44" s="2"/>
      <c r="K44" s="2"/>
      <c r="L44" s="2"/>
      <c r="M44" s="2"/>
      <c r="N44" s="2"/>
      <c r="O44" s="3"/>
      <c r="P44" s="3"/>
      <c r="Q44" s="2"/>
      <c r="R44" s="2"/>
      <c r="S44" s="2"/>
      <c r="T44" s="2"/>
      <c r="U44" s="2"/>
      <c r="V44" s="2"/>
      <c r="W44" s="2"/>
      <c r="X44" s="2"/>
      <c r="Y44" s="2"/>
      <c r="Z44" s="2"/>
      <c r="AA44" s="2"/>
      <c r="AB44" s="2"/>
      <c r="AC44" s="2"/>
    </row>
    <row r="45">
      <c r="A45" s="2"/>
      <c r="B45" s="2"/>
      <c r="C45" s="2"/>
      <c r="D45" s="2"/>
      <c r="E45" s="2"/>
      <c r="F45" s="2"/>
      <c r="G45" s="2"/>
      <c r="H45" s="2"/>
      <c r="I45" s="2"/>
      <c r="J45" s="2"/>
      <c r="K45" s="2"/>
      <c r="L45" s="2"/>
      <c r="M45" s="2"/>
      <c r="N45" s="2"/>
      <c r="O45" s="3"/>
      <c r="P45" s="3"/>
      <c r="Q45" s="2"/>
      <c r="R45" s="2"/>
      <c r="S45" s="2"/>
      <c r="T45" s="2"/>
      <c r="U45" s="2"/>
      <c r="V45" s="2"/>
      <c r="W45" s="2"/>
      <c r="X45" s="2"/>
      <c r="Y45" s="2"/>
      <c r="Z45" s="2"/>
      <c r="AA45" s="2"/>
      <c r="AB45" s="2"/>
      <c r="AC45" s="2"/>
    </row>
    <row r="46">
      <c r="A46" s="2"/>
      <c r="B46" s="2"/>
      <c r="C46" s="2"/>
      <c r="D46" s="2"/>
      <c r="E46" s="2"/>
      <c r="F46" s="2"/>
      <c r="G46" s="2"/>
      <c r="H46" s="2"/>
      <c r="I46" s="2"/>
      <c r="J46" s="2"/>
      <c r="K46" s="2"/>
      <c r="L46" s="2"/>
      <c r="M46" s="2"/>
      <c r="N46" s="2"/>
      <c r="O46" s="3"/>
      <c r="P46" s="3"/>
      <c r="Q46" s="2"/>
      <c r="R46" s="2"/>
      <c r="S46" s="2"/>
      <c r="T46" s="2"/>
      <c r="U46" s="2"/>
      <c r="V46" s="2"/>
      <c r="W46" s="2"/>
      <c r="X46" s="2"/>
      <c r="Y46" s="2"/>
      <c r="Z46" s="2"/>
      <c r="AA46" s="2"/>
      <c r="AB46" s="2"/>
      <c r="AC46" s="2"/>
    </row>
    <row r="47">
      <c r="A47" s="2"/>
      <c r="B47" s="2"/>
      <c r="C47" s="2"/>
      <c r="D47" s="2"/>
      <c r="E47" s="2"/>
      <c r="F47" s="2"/>
      <c r="G47" s="2"/>
      <c r="H47" s="2"/>
      <c r="I47" s="2"/>
      <c r="J47" s="2"/>
      <c r="K47" s="2"/>
      <c r="L47" s="2"/>
      <c r="M47" s="2"/>
      <c r="N47" s="2"/>
      <c r="O47" s="3"/>
      <c r="P47" s="3"/>
      <c r="Q47" s="2"/>
      <c r="R47" s="2"/>
      <c r="S47" s="2"/>
      <c r="T47" s="2"/>
      <c r="U47" s="2"/>
      <c r="V47" s="2"/>
      <c r="W47" s="2"/>
      <c r="X47" s="2"/>
      <c r="Y47" s="2"/>
      <c r="Z47" s="2"/>
      <c r="AA47" s="2"/>
      <c r="AB47" s="2"/>
      <c r="AC47" s="2"/>
    </row>
    <row r="48">
      <c r="A48" s="2"/>
      <c r="B48" s="2"/>
      <c r="C48" s="2"/>
      <c r="D48" s="2"/>
      <c r="E48" s="2"/>
      <c r="F48" s="2"/>
      <c r="G48" s="2"/>
      <c r="H48" s="2"/>
      <c r="I48" s="2"/>
      <c r="J48" s="2"/>
      <c r="K48" s="2"/>
      <c r="L48" s="2"/>
      <c r="M48" s="2"/>
      <c r="N48" s="2"/>
      <c r="O48" s="3"/>
      <c r="P48" s="3"/>
      <c r="Q48" s="2"/>
      <c r="R48" s="2"/>
      <c r="S48" s="2"/>
      <c r="T48" s="2"/>
      <c r="U48" s="2"/>
      <c r="V48" s="2"/>
      <c r="W48" s="2"/>
      <c r="X48" s="2"/>
      <c r="Y48" s="2"/>
      <c r="Z48" s="2"/>
      <c r="AA48" s="2"/>
      <c r="AB48" s="2"/>
      <c r="AC48" s="2"/>
    </row>
    <row r="49">
      <c r="A49" s="2"/>
      <c r="B49" s="2"/>
      <c r="C49" s="2"/>
      <c r="D49" s="2"/>
      <c r="E49" s="2"/>
      <c r="F49" s="2"/>
      <c r="G49" s="2"/>
      <c r="H49" s="2"/>
      <c r="I49" s="2"/>
      <c r="J49" s="2"/>
      <c r="K49" s="2"/>
      <c r="L49" s="2"/>
      <c r="M49" s="2"/>
      <c r="N49" s="2"/>
      <c r="O49" s="3"/>
      <c r="P49" s="3"/>
      <c r="Q49" s="2"/>
      <c r="R49" s="2"/>
      <c r="S49" s="2"/>
      <c r="T49" s="2"/>
      <c r="U49" s="2"/>
      <c r="V49" s="2"/>
      <c r="W49" s="2"/>
      <c r="X49" s="2"/>
      <c r="Y49" s="2"/>
      <c r="Z49" s="2"/>
      <c r="AA49" s="2"/>
      <c r="AB49" s="2"/>
      <c r="AC49" s="2"/>
    </row>
    <row r="50">
      <c r="A50" s="2"/>
      <c r="B50" s="2"/>
      <c r="C50" s="2"/>
      <c r="D50" s="2"/>
      <c r="E50" s="2"/>
      <c r="F50" s="2"/>
      <c r="G50" s="2"/>
      <c r="H50" s="2"/>
      <c r="I50" s="2"/>
      <c r="J50" s="2"/>
      <c r="K50" s="2"/>
      <c r="L50" s="2"/>
      <c r="M50" s="2"/>
      <c r="N50" s="2"/>
      <c r="O50" s="3"/>
      <c r="P50" s="3"/>
      <c r="Q50" s="2"/>
      <c r="R50" s="2"/>
      <c r="S50" s="2"/>
      <c r="T50" s="2"/>
      <c r="U50" s="2"/>
      <c r="V50" s="2"/>
      <c r="W50" s="2"/>
      <c r="X50" s="2"/>
      <c r="Y50" s="2"/>
      <c r="Z50" s="2"/>
      <c r="AA50" s="2"/>
      <c r="AB50" s="2"/>
      <c r="AC50" s="2"/>
    </row>
    <row r="51">
      <c r="A51" s="2"/>
      <c r="B51" s="2"/>
      <c r="C51" s="2"/>
      <c r="D51" s="2"/>
      <c r="E51" s="2"/>
      <c r="F51" s="2"/>
      <c r="G51" s="2"/>
      <c r="H51" s="2"/>
      <c r="I51" s="2"/>
      <c r="J51" s="2"/>
      <c r="K51" s="2"/>
      <c r="L51" s="2"/>
      <c r="M51" s="2"/>
      <c r="N51" s="2"/>
      <c r="O51" s="3"/>
      <c r="P51" s="3"/>
      <c r="Q51" s="2"/>
      <c r="R51" s="2"/>
      <c r="S51" s="2"/>
      <c r="T51" s="2"/>
      <c r="U51" s="2"/>
      <c r="V51" s="2"/>
      <c r="W51" s="2"/>
      <c r="X51" s="2"/>
      <c r="Y51" s="2"/>
      <c r="Z51" s="2"/>
      <c r="AA51" s="2"/>
      <c r="AB51" s="2"/>
      <c r="AC51" s="2"/>
    </row>
    <row r="52">
      <c r="A52" s="2"/>
      <c r="B52" s="2"/>
      <c r="C52" s="2"/>
      <c r="D52" s="2"/>
      <c r="E52" s="2"/>
      <c r="F52" s="2"/>
      <c r="G52" s="2"/>
      <c r="H52" s="2"/>
      <c r="I52" s="2"/>
      <c r="J52" s="2"/>
      <c r="K52" s="2"/>
      <c r="L52" s="2"/>
      <c r="M52" s="2"/>
      <c r="N52" s="2"/>
      <c r="O52" s="3"/>
      <c r="P52" s="3"/>
      <c r="Q52" s="2"/>
      <c r="R52" s="2"/>
      <c r="S52" s="2"/>
      <c r="T52" s="2"/>
      <c r="U52" s="2"/>
      <c r="V52" s="2"/>
      <c r="W52" s="2"/>
      <c r="X52" s="2"/>
      <c r="Y52" s="2"/>
      <c r="Z52" s="2"/>
      <c r="AA52" s="2"/>
      <c r="AB52" s="2"/>
      <c r="AC52" s="2"/>
    </row>
    <row r="53">
      <c r="A53" s="2"/>
      <c r="B53" s="2"/>
      <c r="C53" s="2"/>
      <c r="D53" s="2"/>
      <c r="E53" s="2"/>
      <c r="F53" s="2"/>
      <c r="G53" s="2"/>
      <c r="H53" s="2"/>
      <c r="I53" s="2"/>
      <c r="J53" s="2"/>
      <c r="K53" s="2"/>
      <c r="L53" s="2"/>
      <c r="M53" s="2"/>
      <c r="N53" s="2"/>
      <c r="O53" s="3"/>
      <c r="P53" s="3"/>
      <c r="Q53" s="2"/>
      <c r="R53" s="2"/>
      <c r="S53" s="2"/>
      <c r="T53" s="2"/>
      <c r="U53" s="2"/>
      <c r="V53" s="2"/>
      <c r="W53" s="2"/>
      <c r="X53" s="2"/>
      <c r="Y53" s="2"/>
      <c r="Z53" s="2"/>
      <c r="AA53" s="2"/>
      <c r="AB53" s="2"/>
      <c r="AC53" s="2"/>
    </row>
    <row r="54">
      <c r="A54" s="2"/>
      <c r="B54" s="2"/>
      <c r="C54" s="2"/>
      <c r="D54" s="2"/>
      <c r="E54" s="2"/>
      <c r="F54" s="2"/>
      <c r="G54" s="2"/>
      <c r="H54" s="2"/>
      <c r="I54" s="2"/>
      <c r="J54" s="2"/>
      <c r="K54" s="2"/>
      <c r="L54" s="2"/>
      <c r="M54" s="2"/>
      <c r="N54" s="2"/>
      <c r="O54" s="3"/>
      <c r="P54" s="3"/>
      <c r="Q54" s="2"/>
      <c r="R54" s="2"/>
      <c r="S54" s="2"/>
      <c r="T54" s="2"/>
      <c r="U54" s="2"/>
      <c r="V54" s="2"/>
      <c r="W54" s="2"/>
      <c r="X54" s="2"/>
      <c r="Y54" s="2"/>
      <c r="Z54" s="2"/>
      <c r="AA54" s="2"/>
      <c r="AB54" s="2"/>
      <c r="AC54" s="2"/>
    </row>
    <row r="55">
      <c r="A55" s="2"/>
      <c r="B55" s="2"/>
      <c r="C55" s="2"/>
      <c r="D55" s="2"/>
      <c r="E55" s="2"/>
      <c r="F55" s="2"/>
      <c r="G55" s="2"/>
      <c r="H55" s="2"/>
      <c r="I55" s="2"/>
      <c r="J55" s="2"/>
      <c r="K55" s="2"/>
      <c r="L55" s="2"/>
      <c r="M55" s="2"/>
      <c r="N55" s="2"/>
      <c r="O55" s="3"/>
      <c r="P55" s="3"/>
      <c r="Q55" s="2"/>
      <c r="R55" s="2"/>
      <c r="S55" s="2"/>
      <c r="T55" s="2"/>
      <c r="U55" s="2"/>
      <c r="V55" s="2"/>
      <c r="W55" s="2"/>
      <c r="X55" s="2"/>
      <c r="Y55" s="2"/>
      <c r="Z55" s="2"/>
      <c r="AA55" s="2"/>
      <c r="AB55" s="2"/>
      <c r="AC55" s="2"/>
    </row>
    <row r="56">
      <c r="A56" s="2"/>
      <c r="B56" s="2"/>
      <c r="C56" s="2"/>
      <c r="D56" s="2"/>
      <c r="E56" s="2"/>
      <c r="F56" s="2"/>
      <c r="G56" s="2"/>
      <c r="H56" s="2"/>
      <c r="I56" s="2"/>
      <c r="J56" s="2"/>
      <c r="K56" s="2"/>
      <c r="L56" s="2"/>
      <c r="M56" s="2"/>
      <c r="N56" s="2"/>
      <c r="O56" s="3"/>
      <c r="P56" s="3"/>
      <c r="Q56" s="2"/>
      <c r="R56" s="2"/>
      <c r="S56" s="2"/>
      <c r="T56" s="2"/>
      <c r="U56" s="2"/>
      <c r="V56" s="2"/>
      <c r="W56" s="2"/>
      <c r="X56" s="2"/>
      <c r="Y56" s="2"/>
      <c r="Z56" s="2"/>
      <c r="AA56" s="2"/>
      <c r="AB56" s="2"/>
      <c r="AC56" s="2"/>
    </row>
    <row r="57">
      <c r="A57" s="2"/>
      <c r="B57" s="2"/>
      <c r="C57" s="2"/>
      <c r="D57" s="2"/>
      <c r="E57" s="2"/>
      <c r="F57" s="2"/>
      <c r="G57" s="2"/>
      <c r="H57" s="2"/>
      <c r="I57" s="2"/>
      <c r="J57" s="2"/>
      <c r="K57" s="2"/>
      <c r="L57" s="2"/>
      <c r="M57" s="2"/>
      <c r="N57" s="2"/>
      <c r="O57" s="3"/>
      <c r="P57" s="3"/>
      <c r="Q57" s="2"/>
      <c r="R57" s="2"/>
      <c r="S57" s="2"/>
      <c r="T57" s="2"/>
      <c r="U57" s="2"/>
      <c r="V57" s="2"/>
      <c r="W57" s="2"/>
      <c r="X57" s="2"/>
      <c r="Y57" s="2"/>
      <c r="Z57" s="2"/>
      <c r="AA57" s="2"/>
      <c r="AB57" s="2"/>
      <c r="AC57" s="2"/>
    </row>
    <row r="58">
      <c r="A58" s="2"/>
      <c r="B58" s="2"/>
      <c r="C58" s="2"/>
      <c r="D58" s="2"/>
      <c r="E58" s="2"/>
      <c r="F58" s="2"/>
      <c r="G58" s="2"/>
      <c r="H58" s="2"/>
      <c r="I58" s="2"/>
      <c r="J58" s="2"/>
      <c r="K58" s="2"/>
      <c r="L58" s="2"/>
      <c r="M58" s="2"/>
      <c r="N58" s="2"/>
      <c r="O58" s="3"/>
      <c r="P58" s="3"/>
      <c r="Q58" s="2"/>
      <c r="R58" s="2"/>
      <c r="S58" s="2"/>
      <c r="T58" s="2"/>
      <c r="U58" s="2"/>
      <c r="V58" s="2"/>
      <c r="W58" s="2"/>
      <c r="X58" s="2"/>
      <c r="Y58" s="2"/>
      <c r="Z58" s="2"/>
      <c r="AA58" s="2"/>
      <c r="AB58" s="2"/>
      <c r="AC58" s="2"/>
    </row>
    <row r="59">
      <c r="A59" s="2"/>
      <c r="B59" s="2"/>
      <c r="C59" s="2"/>
      <c r="D59" s="2"/>
      <c r="E59" s="2"/>
      <c r="F59" s="2"/>
      <c r="G59" s="2"/>
      <c r="H59" s="2"/>
      <c r="I59" s="2"/>
      <c r="J59" s="2"/>
      <c r="K59" s="2"/>
      <c r="L59" s="2"/>
      <c r="M59" s="2"/>
      <c r="N59" s="2"/>
      <c r="O59" s="3"/>
      <c r="P59" s="3"/>
      <c r="Q59" s="2"/>
      <c r="R59" s="2"/>
      <c r="S59" s="2"/>
      <c r="T59" s="2"/>
      <c r="U59" s="2"/>
      <c r="V59" s="2"/>
      <c r="W59" s="2"/>
      <c r="X59" s="2"/>
      <c r="Y59" s="2"/>
      <c r="Z59" s="2"/>
      <c r="AA59" s="2"/>
      <c r="AB59" s="2"/>
      <c r="AC59" s="2"/>
    </row>
    <row r="60">
      <c r="A60" s="2"/>
      <c r="B60" s="2"/>
      <c r="C60" s="2"/>
      <c r="D60" s="2"/>
      <c r="E60" s="2"/>
      <c r="F60" s="2"/>
      <c r="G60" s="2"/>
      <c r="H60" s="2"/>
      <c r="I60" s="2"/>
      <c r="J60" s="2"/>
      <c r="K60" s="2"/>
      <c r="L60" s="2"/>
      <c r="M60" s="2"/>
      <c r="N60" s="2"/>
      <c r="O60" s="3"/>
      <c r="P60" s="3"/>
      <c r="Q60" s="2"/>
      <c r="R60" s="2"/>
      <c r="S60" s="2"/>
      <c r="T60" s="2"/>
      <c r="U60" s="2"/>
      <c r="V60" s="2"/>
      <c r="W60" s="2"/>
      <c r="X60" s="2"/>
      <c r="Y60" s="2"/>
      <c r="Z60" s="2"/>
      <c r="AA60" s="2"/>
      <c r="AB60" s="2"/>
      <c r="AC60" s="2"/>
    </row>
    <row r="61">
      <c r="A61" s="2"/>
      <c r="B61" s="2"/>
      <c r="C61" s="2"/>
      <c r="D61" s="2"/>
      <c r="E61" s="2"/>
      <c r="F61" s="2"/>
      <c r="G61" s="2"/>
      <c r="H61" s="2"/>
      <c r="I61" s="2"/>
      <c r="J61" s="2"/>
      <c r="K61" s="2"/>
      <c r="L61" s="2"/>
      <c r="M61" s="2"/>
      <c r="N61" s="2"/>
      <c r="O61" s="3"/>
      <c r="P61" s="3"/>
      <c r="Q61" s="2"/>
      <c r="R61" s="2"/>
      <c r="S61" s="2"/>
      <c r="T61" s="2"/>
      <c r="U61" s="2"/>
      <c r="V61" s="2"/>
      <c r="W61" s="2"/>
      <c r="X61" s="2"/>
      <c r="Y61" s="2"/>
      <c r="Z61" s="2"/>
      <c r="AA61" s="2"/>
      <c r="AB61" s="2"/>
      <c r="AC61" s="2"/>
    </row>
    <row r="62">
      <c r="A62" s="2"/>
      <c r="B62" s="2"/>
      <c r="C62" s="2"/>
      <c r="D62" s="2"/>
      <c r="E62" s="2"/>
      <c r="F62" s="2"/>
      <c r="G62" s="2"/>
      <c r="H62" s="2"/>
      <c r="I62" s="2"/>
      <c r="J62" s="2"/>
      <c r="K62" s="2"/>
      <c r="L62" s="2"/>
      <c r="M62" s="2"/>
      <c r="N62" s="2"/>
      <c r="O62" s="3"/>
      <c r="P62" s="3"/>
      <c r="Q62" s="2"/>
      <c r="R62" s="2"/>
      <c r="S62" s="2"/>
      <c r="T62" s="2"/>
      <c r="U62" s="2"/>
      <c r="V62" s="2"/>
      <c r="W62" s="2"/>
      <c r="X62" s="2"/>
      <c r="Y62" s="2"/>
      <c r="Z62" s="2"/>
      <c r="AA62" s="2"/>
      <c r="AB62" s="2"/>
      <c r="AC62" s="2"/>
    </row>
    <row r="63">
      <c r="A63" s="2"/>
      <c r="B63" s="2"/>
      <c r="C63" s="2"/>
      <c r="D63" s="2"/>
      <c r="E63" s="2"/>
      <c r="F63" s="2"/>
      <c r="G63" s="2"/>
      <c r="H63" s="2"/>
      <c r="I63" s="2"/>
      <c r="J63" s="2"/>
      <c r="K63" s="2"/>
      <c r="L63" s="2"/>
      <c r="M63" s="2"/>
      <c r="N63" s="2"/>
      <c r="O63" s="3"/>
      <c r="P63" s="3"/>
      <c r="Q63" s="2"/>
      <c r="R63" s="2"/>
      <c r="S63" s="2"/>
      <c r="T63" s="2"/>
      <c r="U63" s="2"/>
      <c r="V63" s="2"/>
      <c r="W63" s="2"/>
      <c r="X63" s="2"/>
      <c r="Y63" s="2"/>
      <c r="Z63" s="2"/>
      <c r="AA63" s="2"/>
      <c r="AB63" s="2"/>
      <c r="AC63" s="2"/>
    </row>
    <row r="64">
      <c r="A64" s="2"/>
      <c r="B64" s="2"/>
      <c r="C64" s="2"/>
      <c r="D64" s="2"/>
      <c r="E64" s="2"/>
      <c r="F64" s="2"/>
      <c r="G64" s="2"/>
      <c r="H64" s="2"/>
      <c r="I64" s="2"/>
      <c r="J64" s="2"/>
      <c r="K64" s="2"/>
      <c r="L64" s="2"/>
      <c r="M64" s="2"/>
      <c r="N64" s="2"/>
      <c r="O64" s="3"/>
      <c r="P64" s="3"/>
      <c r="Q64" s="2"/>
      <c r="R64" s="2"/>
      <c r="S64" s="2"/>
      <c r="T64" s="2"/>
      <c r="U64" s="2"/>
      <c r="V64" s="2"/>
      <c r="W64" s="2"/>
      <c r="X64" s="2"/>
      <c r="Y64" s="2"/>
      <c r="Z64" s="2"/>
      <c r="AA64" s="2"/>
      <c r="AB64" s="2"/>
      <c r="AC64" s="2"/>
    </row>
    <row r="65">
      <c r="A65" s="2"/>
      <c r="B65" s="2"/>
      <c r="C65" s="2"/>
      <c r="D65" s="2"/>
      <c r="E65" s="2"/>
      <c r="F65" s="2"/>
      <c r="G65" s="2"/>
      <c r="H65" s="2"/>
      <c r="I65" s="2"/>
      <c r="J65" s="2"/>
      <c r="K65" s="2"/>
      <c r="L65" s="2"/>
      <c r="M65" s="2"/>
      <c r="N65" s="2"/>
      <c r="O65" s="3"/>
      <c r="P65" s="3"/>
      <c r="Q65" s="2"/>
      <c r="R65" s="2"/>
      <c r="S65" s="2"/>
      <c r="T65" s="2"/>
      <c r="U65" s="2"/>
      <c r="V65" s="2"/>
      <c r="W65" s="2"/>
      <c r="X65" s="2"/>
      <c r="Y65" s="2"/>
      <c r="Z65" s="2"/>
      <c r="AA65" s="2"/>
      <c r="AB65" s="2"/>
      <c r="AC65" s="2"/>
    </row>
    <row r="66">
      <c r="A66" s="2"/>
      <c r="B66" s="2"/>
      <c r="C66" s="2"/>
      <c r="D66" s="2"/>
      <c r="E66" s="2"/>
      <c r="F66" s="2"/>
      <c r="G66" s="2"/>
      <c r="H66" s="2"/>
      <c r="I66" s="2"/>
      <c r="J66" s="2"/>
      <c r="K66" s="2"/>
      <c r="L66" s="2"/>
      <c r="M66" s="2"/>
      <c r="N66" s="2"/>
      <c r="O66" s="3"/>
      <c r="P66" s="3"/>
      <c r="Q66" s="2"/>
      <c r="R66" s="2"/>
      <c r="S66" s="2"/>
      <c r="T66" s="2"/>
      <c r="U66" s="2"/>
      <c r="V66" s="2"/>
      <c r="W66" s="2"/>
      <c r="X66" s="2"/>
      <c r="Y66" s="2"/>
      <c r="Z66" s="2"/>
      <c r="AA66" s="2"/>
      <c r="AB66" s="2"/>
      <c r="AC66" s="2"/>
    </row>
    <row r="67">
      <c r="A67" s="2"/>
      <c r="B67" s="2"/>
      <c r="C67" s="2"/>
      <c r="D67" s="2"/>
      <c r="E67" s="2"/>
      <c r="F67" s="2"/>
      <c r="G67" s="2"/>
      <c r="H67" s="2"/>
      <c r="I67" s="2"/>
      <c r="J67" s="2"/>
      <c r="K67" s="2"/>
      <c r="L67" s="2"/>
      <c r="M67" s="2"/>
      <c r="N67" s="2"/>
      <c r="O67" s="3"/>
      <c r="P67" s="3"/>
      <c r="Q67" s="2"/>
      <c r="R67" s="2"/>
      <c r="S67" s="2"/>
      <c r="T67" s="2"/>
      <c r="U67" s="2"/>
      <c r="V67" s="2"/>
      <c r="W67" s="2"/>
      <c r="X67" s="2"/>
      <c r="Y67" s="2"/>
      <c r="Z67" s="2"/>
      <c r="AA67" s="2"/>
      <c r="AB67" s="2"/>
      <c r="AC67" s="2"/>
    </row>
    <row r="68">
      <c r="A68" s="2"/>
      <c r="B68" s="2"/>
      <c r="C68" s="2"/>
      <c r="D68" s="2"/>
      <c r="E68" s="2"/>
      <c r="F68" s="2"/>
      <c r="G68" s="2"/>
      <c r="H68" s="2"/>
      <c r="I68" s="2"/>
      <c r="J68" s="2"/>
      <c r="K68" s="2"/>
      <c r="L68" s="2"/>
      <c r="M68" s="2"/>
      <c r="N68" s="2"/>
      <c r="O68" s="3"/>
      <c r="P68" s="3"/>
      <c r="Q68" s="2"/>
      <c r="R68" s="2"/>
      <c r="S68" s="2"/>
      <c r="T68" s="2"/>
      <c r="U68" s="2"/>
      <c r="V68" s="2"/>
      <c r="W68" s="2"/>
      <c r="X68" s="2"/>
      <c r="Y68" s="2"/>
      <c r="Z68" s="2"/>
      <c r="AA68" s="2"/>
      <c r="AB68" s="2"/>
      <c r="AC68" s="2"/>
    </row>
    <row r="69">
      <c r="A69" s="2"/>
      <c r="B69" s="2"/>
      <c r="C69" s="2"/>
      <c r="D69" s="2"/>
      <c r="E69" s="2"/>
      <c r="F69" s="2"/>
      <c r="G69" s="2"/>
      <c r="H69" s="2"/>
      <c r="I69" s="2"/>
      <c r="J69" s="2"/>
      <c r="K69" s="2"/>
      <c r="L69" s="2"/>
      <c r="M69" s="2"/>
      <c r="N69" s="2"/>
      <c r="O69" s="3"/>
      <c r="P69" s="3"/>
      <c r="Q69" s="2"/>
      <c r="R69" s="2"/>
      <c r="S69" s="2"/>
      <c r="T69" s="2"/>
      <c r="U69" s="2"/>
      <c r="V69" s="2"/>
      <c r="W69" s="2"/>
      <c r="X69" s="2"/>
      <c r="Y69" s="2"/>
      <c r="Z69" s="2"/>
      <c r="AA69" s="2"/>
      <c r="AB69" s="2"/>
      <c r="AC69" s="2"/>
    </row>
    <row r="70">
      <c r="A70" s="2"/>
      <c r="B70" s="2"/>
      <c r="C70" s="2"/>
      <c r="D70" s="2"/>
      <c r="E70" s="2"/>
      <c r="F70" s="2"/>
      <c r="G70" s="2"/>
      <c r="H70" s="2"/>
      <c r="I70" s="2"/>
      <c r="J70" s="2"/>
      <c r="K70" s="2"/>
      <c r="L70" s="2"/>
      <c r="M70" s="2"/>
      <c r="N70" s="2"/>
      <c r="O70" s="3"/>
      <c r="P70" s="3"/>
      <c r="Q70" s="2"/>
      <c r="R70" s="2"/>
      <c r="S70" s="2"/>
      <c r="T70" s="2"/>
      <c r="U70" s="2"/>
      <c r="V70" s="2"/>
      <c r="W70" s="2"/>
      <c r="X70" s="2"/>
      <c r="Y70" s="2"/>
      <c r="Z70" s="2"/>
      <c r="AA70" s="2"/>
      <c r="AB70" s="2"/>
      <c r="AC70" s="2"/>
    </row>
    <row r="71">
      <c r="A71" s="2"/>
      <c r="B71" s="2"/>
      <c r="C71" s="2"/>
      <c r="D71" s="2"/>
      <c r="E71" s="2"/>
      <c r="F71" s="2"/>
      <c r="G71" s="2"/>
      <c r="H71" s="2"/>
      <c r="I71" s="2"/>
      <c r="J71" s="2"/>
      <c r="K71" s="2"/>
      <c r="L71" s="2"/>
      <c r="M71" s="2"/>
      <c r="N71" s="2"/>
      <c r="O71" s="3"/>
      <c r="P71" s="3"/>
      <c r="Q71" s="2"/>
      <c r="R71" s="2"/>
      <c r="S71" s="2"/>
      <c r="T71" s="2"/>
      <c r="U71" s="2"/>
      <c r="V71" s="2"/>
      <c r="W71" s="2"/>
      <c r="X71" s="2"/>
      <c r="Y71" s="2"/>
      <c r="Z71" s="2"/>
      <c r="AA71" s="2"/>
      <c r="AB71" s="2"/>
      <c r="AC71" s="2"/>
    </row>
    <row r="72">
      <c r="A72" s="2"/>
      <c r="B72" s="2"/>
      <c r="C72" s="2"/>
      <c r="D72" s="2"/>
      <c r="E72" s="2"/>
      <c r="F72" s="2"/>
      <c r="G72" s="2"/>
      <c r="H72" s="2"/>
      <c r="I72" s="2"/>
      <c r="J72" s="2"/>
      <c r="K72" s="2"/>
      <c r="L72" s="2"/>
      <c r="M72" s="2"/>
      <c r="N72" s="2"/>
      <c r="O72" s="3"/>
      <c r="P72" s="3"/>
      <c r="Q72" s="2"/>
      <c r="R72" s="2"/>
      <c r="S72" s="2"/>
      <c r="T72" s="2"/>
      <c r="U72" s="2"/>
      <c r="V72" s="2"/>
      <c r="W72" s="2"/>
      <c r="X72" s="2"/>
      <c r="Y72" s="2"/>
      <c r="Z72" s="2"/>
      <c r="AA72" s="2"/>
      <c r="AB72" s="2"/>
      <c r="AC72" s="2"/>
    </row>
    <row r="73">
      <c r="A73" s="2"/>
      <c r="B73" s="2"/>
      <c r="C73" s="2"/>
      <c r="D73" s="2"/>
      <c r="E73" s="2"/>
      <c r="F73" s="2"/>
      <c r="G73" s="2"/>
      <c r="H73" s="2"/>
      <c r="I73" s="2"/>
      <c r="J73" s="2"/>
      <c r="K73" s="2"/>
      <c r="L73" s="2"/>
      <c r="M73" s="2"/>
      <c r="N73" s="2"/>
      <c r="O73" s="3"/>
      <c r="P73" s="3"/>
      <c r="Q73" s="2"/>
      <c r="R73" s="2"/>
      <c r="S73" s="2"/>
      <c r="T73" s="2"/>
      <c r="U73" s="2"/>
      <c r="V73" s="2"/>
      <c r="W73" s="2"/>
      <c r="X73" s="2"/>
      <c r="Y73" s="2"/>
      <c r="Z73" s="2"/>
      <c r="AA73" s="2"/>
      <c r="AB73" s="2"/>
      <c r="AC73" s="2"/>
    </row>
    <row r="74">
      <c r="A74" s="2"/>
      <c r="B74" s="2"/>
      <c r="C74" s="2"/>
      <c r="D74" s="2"/>
      <c r="E74" s="2"/>
      <c r="F74" s="2"/>
      <c r="G74" s="2"/>
      <c r="H74" s="2"/>
      <c r="I74" s="2"/>
      <c r="J74" s="2"/>
      <c r="K74" s="2"/>
      <c r="L74" s="2"/>
      <c r="M74" s="2"/>
      <c r="N74" s="2"/>
      <c r="O74" s="3"/>
      <c r="P74" s="3"/>
      <c r="Q74" s="2"/>
      <c r="R74" s="2"/>
      <c r="S74" s="2"/>
      <c r="T74" s="2"/>
      <c r="U74" s="2"/>
      <c r="V74" s="2"/>
      <c r="W74" s="2"/>
      <c r="X74" s="2"/>
      <c r="Y74" s="2"/>
      <c r="Z74" s="2"/>
      <c r="AA74" s="2"/>
      <c r="AB74" s="2"/>
      <c r="AC74" s="2"/>
    </row>
    <row r="75">
      <c r="A75" s="2"/>
      <c r="B75" s="2"/>
      <c r="C75" s="2"/>
      <c r="D75" s="2"/>
      <c r="E75" s="2"/>
      <c r="F75" s="2"/>
      <c r="G75" s="2"/>
      <c r="H75" s="2"/>
      <c r="I75" s="2"/>
      <c r="J75" s="2"/>
      <c r="K75" s="2"/>
      <c r="L75" s="2"/>
      <c r="M75" s="2"/>
      <c r="N75" s="2"/>
      <c r="O75" s="3"/>
      <c r="P75" s="3"/>
      <c r="Q75" s="2"/>
      <c r="R75" s="2"/>
      <c r="S75" s="2"/>
      <c r="T75" s="2"/>
      <c r="U75" s="2"/>
      <c r="V75" s="2"/>
      <c r="W75" s="2"/>
      <c r="X75" s="2"/>
      <c r="Y75" s="2"/>
      <c r="Z75" s="2"/>
      <c r="AA75" s="2"/>
      <c r="AB75" s="2"/>
      <c r="AC75" s="2"/>
    </row>
    <row r="76">
      <c r="A76" s="2"/>
      <c r="B76" s="2"/>
      <c r="C76" s="2"/>
      <c r="D76" s="2"/>
      <c r="E76" s="2"/>
      <c r="F76" s="2"/>
      <c r="G76" s="2"/>
      <c r="H76" s="2"/>
      <c r="I76" s="2"/>
      <c r="J76" s="2"/>
      <c r="K76" s="2"/>
      <c r="L76" s="2"/>
      <c r="M76" s="2"/>
      <c r="N76" s="2"/>
      <c r="O76" s="3"/>
      <c r="P76" s="3"/>
      <c r="Q76" s="2"/>
      <c r="R76" s="2"/>
      <c r="S76" s="2"/>
      <c r="T76" s="2"/>
      <c r="U76" s="2"/>
      <c r="V76" s="2"/>
      <c r="W76" s="2"/>
      <c r="X76" s="2"/>
      <c r="Y76" s="2"/>
      <c r="Z76" s="2"/>
      <c r="AA76" s="2"/>
      <c r="AB76" s="2"/>
      <c r="AC76" s="2"/>
    </row>
    <row r="77">
      <c r="A77" s="2"/>
      <c r="B77" s="2"/>
      <c r="C77" s="2"/>
      <c r="D77" s="2"/>
      <c r="E77" s="2"/>
      <c r="F77" s="2"/>
      <c r="G77" s="2"/>
      <c r="H77" s="2"/>
      <c r="I77" s="2"/>
      <c r="J77" s="2"/>
      <c r="K77" s="2"/>
      <c r="L77" s="2"/>
      <c r="M77" s="2"/>
      <c r="N77" s="2"/>
      <c r="O77" s="3"/>
      <c r="P77" s="3"/>
      <c r="Q77" s="2"/>
      <c r="R77" s="2"/>
      <c r="S77" s="2"/>
      <c r="T77" s="2"/>
      <c r="U77" s="2"/>
      <c r="V77" s="2"/>
      <c r="W77" s="2"/>
      <c r="X77" s="2"/>
      <c r="Y77" s="2"/>
      <c r="Z77" s="2"/>
      <c r="AA77" s="2"/>
      <c r="AB77" s="2"/>
      <c r="AC77" s="2"/>
    </row>
    <row r="78">
      <c r="A78" s="2"/>
      <c r="B78" s="2"/>
      <c r="C78" s="2"/>
      <c r="D78" s="2"/>
      <c r="E78" s="2"/>
      <c r="F78" s="2"/>
      <c r="G78" s="2"/>
      <c r="H78" s="2"/>
      <c r="I78" s="2"/>
      <c r="J78" s="2"/>
      <c r="K78" s="2"/>
      <c r="L78" s="2"/>
      <c r="M78" s="2"/>
      <c r="N78" s="2"/>
      <c r="O78" s="3"/>
      <c r="P78" s="3"/>
      <c r="Q78" s="2"/>
      <c r="R78" s="2"/>
      <c r="S78" s="2"/>
      <c r="T78" s="2"/>
      <c r="U78" s="2"/>
      <c r="V78" s="2"/>
      <c r="W78" s="2"/>
      <c r="X78" s="2"/>
      <c r="Y78" s="2"/>
      <c r="Z78" s="2"/>
      <c r="AA78" s="2"/>
      <c r="AB78" s="2"/>
      <c r="AC78" s="2"/>
    </row>
    <row r="79">
      <c r="A79" s="2"/>
      <c r="B79" s="2"/>
      <c r="C79" s="2"/>
      <c r="D79" s="2"/>
      <c r="E79" s="2"/>
      <c r="F79" s="2"/>
      <c r="G79" s="2"/>
      <c r="H79" s="2"/>
      <c r="I79" s="2"/>
      <c r="J79" s="2"/>
      <c r="K79" s="2"/>
      <c r="L79" s="2"/>
      <c r="M79" s="2"/>
      <c r="N79" s="2"/>
      <c r="O79" s="3"/>
      <c r="P79" s="3"/>
      <c r="Q79" s="2"/>
      <c r="R79" s="2"/>
      <c r="S79" s="2"/>
      <c r="T79" s="2"/>
      <c r="U79" s="2"/>
      <c r="V79" s="2"/>
      <c r="W79" s="2"/>
      <c r="X79" s="2"/>
      <c r="Y79" s="2"/>
      <c r="Z79" s="2"/>
      <c r="AA79" s="2"/>
      <c r="AB79" s="2"/>
      <c r="AC79" s="2"/>
    </row>
    <row r="80">
      <c r="A80" s="2"/>
      <c r="B80" s="2"/>
      <c r="C80" s="2"/>
      <c r="D80" s="2"/>
      <c r="E80" s="2"/>
      <c r="F80" s="2"/>
      <c r="G80" s="2"/>
      <c r="H80" s="2"/>
      <c r="I80" s="2"/>
      <c r="J80" s="2"/>
      <c r="K80" s="2"/>
      <c r="L80" s="2"/>
      <c r="M80" s="2"/>
      <c r="N80" s="2"/>
      <c r="O80" s="3"/>
      <c r="P80" s="3"/>
      <c r="Q80" s="2"/>
      <c r="R80" s="2"/>
      <c r="S80" s="2"/>
      <c r="T80" s="2"/>
      <c r="U80" s="2"/>
      <c r="V80" s="2"/>
      <c r="W80" s="2"/>
      <c r="X80" s="2"/>
      <c r="Y80" s="2"/>
      <c r="Z80" s="2"/>
      <c r="AA80" s="2"/>
      <c r="AB80" s="2"/>
      <c r="AC80" s="2"/>
    </row>
    <row r="81">
      <c r="A81" s="2"/>
      <c r="B81" s="2"/>
      <c r="C81" s="2"/>
      <c r="D81" s="2"/>
      <c r="E81" s="2"/>
      <c r="F81" s="2"/>
      <c r="G81" s="2"/>
      <c r="H81" s="2"/>
      <c r="I81" s="2"/>
      <c r="J81" s="2"/>
      <c r="K81" s="2"/>
      <c r="L81" s="2"/>
      <c r="M81" s="2"/>
      <c r="N81" s="2"/>
      <c r="O81" s="3"/>
      <c r="P81" s="3"/>
      <c r="Q81" s="2"/>
      <c r="R81" s="2"/>
      <c r="S81" s="2"/>
      <c r="T81" s="2"/>
      <c r="U81" s="2"/>
      <c r="V81" s="2"/>
      <c r="W81" s="2"/>
      <c r="X81" s="2"/>
      <c r="Y81" s="2"/>
      <c r="Z81" s="2"/>
      <c r="AA81" s="2"/>
      <c r="AB81" s="2"/>
      <c r="AC81" s="2"/>
    </row>
    <row r="82">
      <c r="A82" s="2"/>
      <c r="B82" s="2"/>
      <c r="C82" s="2"/>
      <c r="D82" s="2"/>
      <c r="E82" s="2"/>
      <c r="F82" s="2"/>
      <c r="G82" s="2"/>
      <c r="H82" s="2"/>
      <c r="I82" s="2"/>
      <c r="J82" s="2"/>
      <c r="K82" s="2"/>
      <c r="L82" s="2"/>
      <c r="M82" s="2"/>
      <c r="N82" s="2"/>
      <c r="O82" s="3"/>
      <c r="P82" s="3"/>
      <c r="Q82" s="2"/>
      <c r="R82" s="2"/>
      <c r="S82" s="2"/>
      <c r="T82" s="2"/>
      <c r="U82" s="2"/>
      <c r="V82" s="2"/>
      <c r="W82" s="2"/>
      <c r="X82" s="2"/>
      <c r="Y82" s="2"/>
      <c r="Z82" s="2"/>
      <c r="AA82" s="2"/>
      <c r="AB82" s="2"/>
      <c r="AC82" s="2"/>
    </row>
    <row r="83">
      <c r="A83" s="2"/>
      <c r="B83" s="2"/>
      <c r="C83" s="2"/>
      <c r="D83" s="2"/>
      <c r="E83" s="2"/>
      <c r="F83" s="2"/>
      <c r="G83" s="2"/>
      <c r="H83" s="2"/>
      <c r="I83" s="2"/>
      <c r="J83" s="2"/>
      <c r="K83" s="2"/>
      <c r="L83" s="2"/>
      <c r="M83" s="2"/>
      <c r="N83" s="2"/>
      <c r="O83" s="3"/>
      <c r="P83" s="3"/>
      <c r="Q83" s="2"/>
      <c r="R83" s="2"/>
      <c r="S83" s="2"/>
      <c r="T83" s="2"/>
      <c r="U83" s="2"/>
      <c r="V83" s="2"/>
      <c r="W83" s="2"/>
      <c r="X83" s="2"/>
      <c r="Y83" s="2"/>
      <c r="Z83" s="2"/>
      <c r="AA83" s="2"/>
      <c r="AB83" s="2"/>
      <c r="AC83" s="2"/>
    </row>
    <row r="84">
      <c r="A84" s="2"/>
      <c r="B84" s="2"/>
      <c r="C84" s="2"/>
      <c r="D84" s="2"/>
      <c r="E84" s="2"/>
      <c r="F84" s="2"/>
      <c r="G84" s="2"/>
      <c r="H84" s="2"/>
      <c r="I84" s="2"/>
      <c r="J84" s="2"/>
      <c r="K84" s="2"/>
      <c r="L84" s="2"/>
      <c r="M84" s="2"/>
      <c r="N84" s="2"/>
      <c r="O84" s="3"/>
      <c r="P84" s="3"/>
      <c r="Q84" s="2"/>
      <c r="R84" s="2"/>
      <c r="S84" s="2"/>
      <c r="T84" s="2"/>
      <c r="U84" s="2"/>
      <c r="V84" s="2"/>
      <c r="W84" s="2"/>
      <c r="X84" s="2"/>
      <c r="Y84" s="2"/>
      <c r="Z84" s="2"/>
      <c r="AA84" s="2"/>
      <c r="AB84" s="2"/>
      <c r="AC84" s="2"/>
    </row>
    <row r="85">
      <c r="A85" s="2"/>
      <c r="B85" s="2"/>
      <c r="C85" s="2"/>
      <c r="D85" s="2"/>
      <c r="E85" s="2"/>
      <c r="F85" s="2"/>
      <c r="G85" s="2"/>
      <c r="H85" s="2"/>
      <c r="I85" s="2"/>
      <c r="J85" s="2"/>
      <c r="K85" s="2"/>
      <c r="L85" s="2"/>
      <c r="M85" s="2"/>
      <c r="N85" s="2"/>
      <c r="O85" s="3"/>
      <c r="P85" s="3"/>
      <c r="Q85" s="2"/>
      <c r="R85" s="2"/>
      <c r="S85" s="2"/>
      <c r="T85" s="2"/>
      <c r="U85" s="2"/>
      <c r="V85" s="2"/>
      <c r="W85" s="2"/>
      <c r="X85" s="2"/>
      <c r="Y85" s="2"/>
      <c r="Z85" s="2"/>
      <c r="AA85" s="2"/>
      <c r="AB85" s="2"/>
      <c r="AC85" s="2"/>
    </row>
    <row r="86">
      <c r="A86" s="2"/>
      <c r="B86" s="2"/>
      <c r="C86" s="2"/>
      <c r="D86" s="2"/>
      <c r="E86" s="2"/>
      <c r="F86" s="2"/>
      <c r="G86" s="2"/>
      <c r="H86" s="2"/>
      <c r="I86" s="2"/>
      <c r="J86" s="2"/>
      <c r="K86" s="2"/>
      <c r="L86" s="2"/>
      <c r="M86" s="2"/>
      <c r="N86" s="2"/>
      <c r="O86" s="3"/>
      <c r="P86" s="3"/>
      <c r="Q86" s="2"/>
      <c r="R86" s="2"/>
      <c r="S86" s="2"/>
      <c r="T86" s="2"/>
      <c r="U86" s="2"/>
      <c r="V86" s="2"/>
      <c r="W86" s="2"/>
      <c r="X86" s="2"/>
      <c r="Y86" s="2"/>
      <c r="Z86" s="2"/>
      <c r="AA86" s="2"/>
      <c r="AB86" s="2"/>
      <c r="AC86" s="2"/>
    </row>
    <row r="87">
      <c r="A87" s="2"/>
      <c r="B87" s="2"/>
      <c r="C87" s="2"/>
      <c r="D87" s="2"/>
      <c r="E87" s="2"/>
      <c r="F87" s="2"/>
      <c r="G87" s="2"/>
      <c r="H87" s="2"/>
      <c r="I87" s="2"/>
      <c r="J87" s="2"/>
      <c r="K87" s="2"/>
      <c r="L87" s="2"/>
      <c r="M87" s="2"/>
      <c r="N87" s="2"/>
      <c r="O87" s="3"/>
      <c r="P87" s="3"/>
      <c r="Q87" s="2"/>
      <c r="R87" s="2"/>
      <c r="S87" s="2"/>
      <c r="T87" s="2"/>
      <c r="U87" s="2"/>
      <c r="V87" s="2"/>
      <c r="W87" s="2"/>
      <c r="X87" s="2"/>
      <c r="Y87" s="2"/>
      <c r="Z87" s="2"/>
      <c r="AA87" s="2"/>
      <c r="AB87" s="2"/>
      <c r="AC87" s="2"/>
    </row>
    <row r="88">
      <c r="A88" s="2"/>
      <c r="B88" s="2"/>
      <c r="C88" s="2"/>
      <c r="D88" s="2"/>
      <c r="E88" s="2"/>
      <c r="F88" s="2"/>
      <c r="G88" s="2"/>
      <c r="H88" s="2"/>
      <c r="I88" s="2"/>
      <c r="J88" s="2"/>
      <c r="K88" s="2"/>
      <c r="L88" s="2"/>
      <c r="M88" s="2"/>
      <c r="N88" s="2"/>
      <c r="O88" s="3"/>
      <c r="P88" s="3"/>
      <c r="Q88" s="2"/>
      <c r="R88" s="2"/>
      <c r="S88" s="2"/>
      <c r="T88" s="2"/>
      <c r="U88" s="2"/>
      <c r="V88" s="2"/>
      <c r="W88" s="2"/>
      <c r="X88" s="2"/>
      <c r="Y88" s="2"/>
      <c r="Z88" s="2"/>
      <c r="AA88" s="2"/>
      <c r="AB88" s="2"/>
      <c r="AC88" s="2"/>
    </row>
    <row r="89">
      <c r="A89" s="2"/>
      <c r="B89" s="2"/>
      <c r="C89" s="2"/>
      <c r="D89" s="2"/>
      <c r="E89" s="2"/>
      <c r="F89" s="2"/>
      <c r="G89" s="2"/>
      <c r="H89" s="2"/>
      <c r="I89" s="2"/>
      <c r="J89" s="2"/>
      <c r="K89" s="2"/>
      <c r="L89" s="2"/>
      <c r="M89" s="2"/>
      <c r="N89" s="2"/>
      <c r="O89" s="3"/>
      <c r="P89" s="3"/>
      <c r="Q89" s="2"/>
      <c r="R89" s="2"/>
      <c r="S89" s="2"/>
      <c r="T89" s="2"/>
      <c r="U89" s="2"/>
      <c r="V89" s="2"/>
      <c r="W89" s="2"/>
      <c r="X89" s="2"/>
      <c r="Y89" s="2"/>
      <c r="Z89" s="2"/>
      <c r="AA89" s="2"/>
      <c r="AB89" s="2"/>
      <c r="AC89" s="2"/>
    </row>
    <row r="90">
      <c r="A90" s="2"/>
      <c r="B90" s="2"/>
      <c r="C90" s="2"/>
      <c r="D90" s="2"/>
      <c r="E90" s="2"/>
      <c r="F90" s="2"/>
      <c r="G90" s="2"/>
      <c r="H90" s="2"/>
      <c r="I90" s="2"/>
      <c r="J90" s="2"/>
      <c r="K90" s="2"/>
      <c r="L90" s="2"/>
      <c r="M90" s="2"/>
      <c r="N90" s="2"/>
      <c r="O90" s="3"/>
      <c r="P90" s="3"/>
      <c r="Q90" s="2"/>
      <c r="R90" s="2"/>
      <c r="S90" s="2"/>
      <c r="T90" s="2"/>
      <c r="U90" s="2"/>
      <c r="V90" s="2"/>
      <c r="W90" s="2"/>
      <c r="X90" s="2"/>
      <c r="Y90" s="2"/>
      <c r="Z90" s="2"/>
      <c r="AA90" s="2"/>
      <c r="AB90" s="2"/>
      <c r="AC90" s="2"/>
    </row>
    <row r="91">
      <c r="A91" s="2"/>
      <c r="B91" s="2"/>
      <c r="C91" s="2"/>
      <c r="D91" s="2"/>
      <c r="E91" s="2"/>
      <c r="F91" s="2"/>
      <c r="G91" s="2"/>
      <c r="H91" s="2"/>
      <c r="I91" s="2"/>
      <c r="J91" s="2"/>
      <c r="K91" s="2"/>
      <c r="L91" s="2"/>
      <c r="M91" s="2"/>
      <c r="N91" s="2"/>
      <c r="O91" s="3"/>
      <c r="P91" s="3"/>
      <c r="Q91" s="2"/>
      <c r="R91" s="2"/>
      <c r="S91" s="2"/>
      <c r="T91" s="2"/>
      <c r="U91" s="2"/>
      <c r="V91" s="2"/>
      <c r="W91" s="2"/>
      <c r="X91" s="2"/>
      <c r="Y91" s="2"/>
      <c r="Z91" s="2"/>
      <c r="AA91" s="2"/>
      <c r="AB91" s="2"/>
      <c r="AC91" s="2"/>
    </row>
    <row r="92">
      <c r="A92" s="2"/>
      <c r="B92" s="2"/>
      <c r="C92" s="2"/>
      <c r="D92" s="2"/>
      <c r="E92" s="2"/>
      <c r="F92" s="2"/>
      <c r="G92" s="2"/>
      <c r="H92" s="2"/>
      <c r="I92" s="2"/>
      <c r="J92" s="2"/>
      <c r="K92" s="2"/>
      <c r="L92" s="2"/>
      <c r="M92" s="2"/>
      <c r="N92" s="2"/>
      <c r="O92" s="3"/>
      <c r="P92" s="3"/>
      <c r="Q92" s="2"/>
      <c r="R92" s="2"/>
      <c r="S92" s="2"/>
      <c r="T92" s="2"/>
      <c r="U92" s="2"/>
      <c r="V92" s="2"/>
      <c r="W92" s="2"/>
      <c r="X92" s="2"/>
      <c r="Y92" s="2"/>
      <c r="Z92" s="2"/>
      <c r="AA92" s="2"/>
      <c r="AB92" s="2"/>
      <c r="AC92" s="2"/>
    </row>
    <row r="93">
      <c r="A93" s="2"/>
      <c r="B93" s="2"/>
      <c r="C93" s="2"/>
      <c r="D93" s="2"/>
      <c r="E93" s="2"/>
      <c r="F93" s="2"/>
      <c r="G93" s="2"/>
      <c r="H93" s="2"/>
      <c r="I93" s="2"/>
      <c r="J93" s="2"/>
      <c r="K93" s="2"/>
      <c r="L93" s="2"/>
      <c r="M93" s="2"/>
      <c r="N93" s="2"/>
      <c r="O93" s="3"/>
      <c r="P93" s="3"/>
      <c r="Q93" s="2"/>
      <c r="R93" s="2"/>
      <c r="S93" s="2"/>
      <c r="T93" s="2"/>
      <c r="U93" s="2"/>
      <c r="V93" s="2"/>
      <c r="W93" s="2"/>
      <c r="X93" s="2"/>
      <c r="Y93" s="2"/>
      <c r="Z93" s="2"/>
      <c r="AA93" s="2"/>
      <c r="AB93" s="2"/>
      <c r="AC93" s="2"/>
    </row>
    <row r="94">
      <c r="A94" s="2"/>
      <c r="B94" s="2"/>
      <c r="C94" s="2"/>
      <c r="D94" s="2"/>
      <c r="E94" s="2"/>
      <c r="F94" s="2"/>
      <c r="G94" s="2"/>
      <c r="H94" s="2"/>
      <c r="I94" s="2"/>
      <c r="J94" s="2"/>
      <c r="K94" s="2"/>
      <c r="L94" s="2"/>
      <c r="M94" s="2"/>
      <c r="N94" s="2"/>
      <c r="O94" s="3"/>
      <c r="P94" s="3"/>
      <c r="Q94" s="2"/>
      <c r="R94" s="2"/>
      <c r="S94" s="2"/>
      <c r="T94" s="2"/>
      <c r="U94" s="2"/>
      <c r="V94" s="2"/>
      <c r="W94" s="2"/>
      <c r="X94" s="2"/>
      <c r="Y94" s="2"/>
      <c r="Z94" s="2"/>
      <c r="AA94" s="2"/>
      <c r="AB94" s="2"/>
      <c r="AC94" s="2"/>
    </row>
    <row r="95">
      <c r="A95" s="2"/>
      <c r="B95" s="2"/>
      <c r="C95" s="2"/>
      <c r="D95" s="2"/>
      <c r="E95" s="2"/>
      <c r="F95" s="2"/>
      <c r="G95" s="2"/>
      <c r="H95" s="2"/>
      <c r="I95" s="2"/>
      <c r="J95" s="2"/>
      <c r="K95" s="2"/>
      <c r="L95" s="2"/>
      <c r="M95" s="2"/>
      <c r="N95" s="2"/>
      <c r="O95" s="3"/>
      <c r="P95" s="3"/>
      <c r="Q95" s="2"/>
      <c r="R95" s="2"/>
      <c r="S95" s="2"/>
      <c r="T95" s="2"/>
      <c r="U95" s="2"/>
      <c r="V95" s="2"/>
      <c r="W95" s="2"/>
      <c r="X95" s="2"/>
      <c r="Y95" s="2"/>
      <c r="Z95" s="2"/>
      <c r="AA95" s="2"/>
      <c r="AB95" s="2"/>
      <c r="AC95" s="2"/>
    </row>
    <row r="96">
      <c r="A96" s="2"/>
      <c r="B96" s="2"/>
      <c r="C96" s="2"/>
      <c r="D96" s="2"/>
      <c r="E96" s="2"/>
      <c r="F96" s="2"/>
      <c r="G96" s="2"/>
      <c r="H96" s="2"/>
      <c r="I96" s="2"/>
      <c r="J96" s="2"/>
      <c r="K96" s="2"/>
      <c r="L96" s="2"/>
      <c r="M96" s="2"/>
      <c r="N96" s="2"/>
      <c r="O96" s="3"/>
      <c r="P96" s="3"/>
      <c r="Q96" s="2"/>
      <c r="R96" s="2"/>
      <c r="S96" s="2"/>
      <c r="T96" s="2"/>
      <c r="U96" s="2"/>
      <c r="V96" s="2"/>
      <c r="W96" s="2"/>
      <c r="X96" s="2"/>
      <c r="Y96" s="2"/>
      <c r="Z96" s="2"/>
      <c r="AA96" s="2"/>
      <c r="AB96" s="2"/>
      <c r="AC96" s="2"/>
    </row>
    <row r="97">
      <c r="A97" s="2"/>
      <c r="B97" s="2"/>
      <c r="C97" s="2"/>
      <c r="D97" s="2"/>
      <c r="E97" s="2"/>
      <c r="F97" s="2"/>
      <c r="G97" s="2"/>
      <c r="H97" s="2"/>
      <c r="I97" s="2"/>
      <c r="J97" s="2"/>
      <c r="K97" s="2"/>
      <c r="L97" s="2"/>
      <c r="M97" s="2"/>
      <c r="N97" s="2"/>
      <c r="O97" s="3"/>
      <c r="P97" s="3"/>
      <c r="Q97" s="2"/>
      <c r="R97" s="2"/>
      <c r="S97" s="2"/>
      <c r="T97" s="2"/>
      <c r="U97" s="2"/>
      <c r="V97" s="2"/>
      <c r="W97" s="2"/>
      <c r="X97" s="2"/>
      <c r="Y97" s="2"/>
      <c r="Z97" s="2"/>
      <c r="AA97" s="2"/>
      <c r="AB97" s="2"/>
      <c r="AC97" s="2"/>
    </row>
    <row r="98">
      <c r="A98" s="2"/>
      <c r="B98" s="2"/>
      <c r="C98" s="2"/>
      <c r="D98" s="2"/>
      <c r="E98" s="2"/>
      <c r="F98" s="2"/>
      <c r="G98" s="2"/>
      <c r="H98" s="2"/>
      <c r="I98" s="2"/>
      <c r="J98" s="2"/>
      <c r="K98" s="2"/>
      <c r="L98" s="2"/>
      <c r="M98" s="2"/>
      <c r="N98" s="2"/>
      <c r="O98" s="3"/>
      <c r="P98" s="3"/>
      <c r="Q98" s="2"/>
      <c r="R98" s="2"/>
      <c r="S98" s="2"/>
      <c r="T98" s="2"/>
      <c r="U98" s="2"/>
      <c r="V98" s="2"/>
      <c r="W98" s="2"/>
      <c r="X98" s="2"/>
      <c r="Y98" s="2"/>
      <c r="Z98" s="2"/>
      <c r="AA98" s="2"/>
      <c r="AB98" s="2"/>
      <c r="AC98" s="2"/>
    </row>
    <row r="99">
      <c r="A99" s="2"/>
      <c r="B99" s="2"/>
      <c r="C99" s="2"/>
      <c r="D99" s="2"/>
      <c r="E99" s="2"/>
      <c r="F99" s="2"/>
      <c r="G99" s="2"/>
      <c r="H99" s="2"/>
      <c r="I99" s="2"/>
      <c r="J99" s="2"/>
      <c r="K99" s="2"/>
      <c r="L99" s="2"/>
      <c r="M99" s="2"/>
      <c r="N99" s="2"/>
      <c r="O99" s="3"/>
      <c r="P99" s="3"/>
      <c r="Q99" s="2"/>
      <c r="R99" s="2"/>
      <c r="S99" s="2"/>
      <c r="T99" s="2"/>
      <c r="U99" s="2"/>
      <c r="V99" s="2"/>
      <c r="W99" s="2"/>
      <c r="X99" s="2"/>
      <c r="Y99" s="2"/>
      <c r="Z99" s="2"/>
      <c r="AA99" s="2"/>
      <c r="AB99" s="2"/>
      <c r="AC99" s="2"/>
    </row>
    <row r="100">
      <c r="A100" s="2"/>
      <c r="B100" s="2"/>
      <c r="C100" s="2"/>
      <c r="D100" s="2"/>
      <c r="E100" s="2"/>
      <c r="F100" s="2"/>
      <c r="G100" s="2"/>
      <c r="H100" s="2"/>
      <c r="I100" s="2"/>
      <c r="J100" s="2"/>
      <c r="K100" s="2"/>
      <c r="L100" s="2"/>
      <c r="M100" s="2"/>
      <c r="N100" s="2"/>
      <c r="O100" s="3"/>
      <c r="P100" s="3"/>
      <c r="Q100" s="2"/>
      <c r="R100" s="2"/>
      <c r="S100" s="2"/>
      <c r="T100" s="2"/>
      <c r="U100" s="2"/>
      <c r="V100" s="2"/>
      <c r="W100" s="2"/>
      <c r="X100" s="2"/>
      <c r="Y100" s="2"/>
      <c r="Z100" s="2"/>
      <c r="AA100" s="2"/>
      <c r="AB100" s="2"/>
      <c r="AC100" s="2"/>
    </row>
    <row r="101">
      <c r="A101" s="2"/>
      <c r="B101" s="2"/>
      <c r="C101" s="2"/>
      <c r="D101" s="2"/>
      <c r="E101" s="2"/>
      <c r="F101" s="2"/>
      <c r="G101" s="2"/>
      <c r="H101" s="2"/>
      <c r="I101" s="2"/>
      <c r="J101" s="2"/>
      <c r="K101" s="2"/>
      <c r="L101" s="2"/>
      <c r="M101" s="2"/>
      <c r="N101" s="2"/>
      <c r="O101" s="3"/>
      <c r="P101" s="3"/>
      <c r="Q101" s="2"/>
      <c r="R101" s="2"/>
      <c r="S101" s="2"/>
      <c r="T101" s="2"/>
      <c r="U101" s="2"/>
      <c r="V101" s="2"/>
      <c r="W101" s="2"/>
      <c r="X101" s="2"/>
      <c r="Y101" s="2"/>
      <c r="Z101" s="2"/>
      <c r="AA101" s="2"/>
      <c r="AB101" s="2"/>
      <c r="AC101" s="2"/>
    </row>
    <row r="102">
      <c r="A102" s="2"/>
      <c r="B102" s="2"/>
      <c r="C102" s="2"/>
      <c r="D102" s="2"/>
      <c r="E102" s="2"/>
      <c r="F102" s="2"/>
      <c r="G102" s="2"/>
      <c r="H102" s="2"/>
      <c r="I102" s="2"/>
      <c r="J102" s="2"/>
      <c r="K102" s="2"/>
      <c r="L102" s="2"/>
      <c r="M102" s="2"/>
      <c r="N102" s="2"/>
      <c r="O102" s="3"/>
      <c r="P102" s="3"/>
      <c r="Q102" s="2"/>
      <c r="R102" s="2"/>
      <c r="S102" s="2"/>
      <c r="T102" s="2"/>
      <c r="U102" s="2"/>
      <c r="V102" s="2"/>
      <c r="W102" s="2"/>
      <c r="X102" s="2"/>
      <c r="Y102" s="2"/>
      <c r="Z102" s="2"/>
      <c r="AA102" s="2"/>
      <c r="AB102" s="2"/>
      <c r="AC102" s="2"/>
    </row>
    <row r="103">
      <c r="A103" s="2"/>
      <c r="B103" s="2"/>
      <c r="C103" s="2"/>
      <c r="D103" s="2"/>
      <c r="E103" s="2"/>
      <c r="F103" s="2"/>
      <c r="G103" s="2"/>
      <c r="H103" s="2"/>
      <c r="I103" s="2"/>
      <c r="J103" s="2"/>
      <c r="K103" s="2"/>
      <c r="L103" s="2"/>
      <c r="M103" s="2"/>
      <c r="N103" s="2"/>
      <c r="O103" s="3"/>
      <c r="P103" s="3"/>
      <c r="Q103" s="2"/>
      <c r="R103" s="2"/>
      <c r="S103" s="2"/>
      <c r="T103" s="2"/>
      <c r="U103" s="2"/>
      <c r="V103" s="2"/>
      <c r="W103" s="2"/>
      <c r="X103" s="2"/>
      <c r="Y103" s="2"/>
      <c r="Z103" s="2"/>
      <c r="AA103" s="2"/>
      <c r="AB103" s="2"/>
      <c r="AC103" s="2"/>
    </row>
    <row r="104">
      <c r="A104" s="2"/>
      <c r="B104" s="2"/>
      <c r="C104" s="2"/>
      <c r="D104" s="2"/>
      <c r="E104" s="2"/>
      <c r="F104" s="2"/>
      <c r="G104" s="2"/>
      <c r="H104" s="2"/>
      <c r="I104" s="2"/>
      <c r="J104" s="2"/>
      <c r="K104" s="2"/>
      <c r="L104" s="2"/>
      <c r="M104" s="2"/>
      <c r="N104" s="2"/>
      <c r="O104" s="3"/>
      <c r="P104" s="3"/>
      <c r="Q104" s="2"/>
      <c r="R104" s="2"/>
      <c r="S104" s="2"/>
      <c r="T104" s="2"/>
      <c r="U104" s="2"/>
      <c r="V104" s="2"/>
      <c r="W104" s="2"/>
      <c r="X104" s="2"/>
      <c r="Y104" s="2"/>
      <c r="Z104" s="2"/>
      <c r="AA104" s="2"/>
      <c r="AB104" s="2"/>
      <c r="AC104" s="2"/>
    </row>
    <row r="105">
      <c r="A105" s="2"/>
      <c r="B105" s="2"/>
      <c r="C105" s="2"/>
      <c r="D105" s="2"/>
      <c r="E105" s="2"/>
      <c r="F105" s="2"/>
      <c r="G105" s="2"/>
      <c r="H105" s="2"/>
      <c r="I105" s="2"/>
      <c r="J105" s="2"/>
      <c r="K105" s="2"/>
      <c r="L105" s="2"/>
      <c r="M105" s="2"/>
      <c r="N105" s="2"/>
      <c r="O105" s="3"/>
      <c r="P105" s="3"/>
      <c r="Q105" s="2"/>
      <c r="R105" s="2"/>
      <c r="S105" s="2"/>
      <c r="T105" s="2"/>
      <c r="U105" s="2"/>
      <c r="V105" s="2"/>
      <c r="W105" s="2"/>
      <c r="X105" s="2"/>
      <c r="Y105" s="2"/>
      <c r="Z105" s="2"/>
      <c r="AA105" s="2"/>
      <c r="AB105" s="2"/>
      <c r="AC105" s="2"/>
    </row>
    <row r="106">
      <c r="A106" s="2"/>
      <c r="B106" s="2"/>
      <c r="C106" s="2"/>
      <c r="D106" s="2"/>
      <c r="E106" s="2"/>
      <c r="F106" s="2"/>
      <c r="G106" s="2"/>
      <c r="H106" s="2"/>
      <c r="I106" s="2"/>
      <c r="J106" s="2"/>
      <c r="K106" s="2"/>
      <c r="L106" s="2"/>
      <c r="M106" s="2"/>
      <c r="N106" s="2"/>
      <c r="O106" s="3"/>
      <c r="P106" s="3"/>
      <c r="Q106" s="2"/>
      <c r="R106" s="2"/>
      <c r="S106" s="2"/>
      <c r="T106" s="2"/>
      <c r="U106" s="2"/>
      <c r="V106" s="2"/>
      <c r="W106" s="2"/>
      <c r="X106" s="2"/>
      <c r="Y106" s="2"/>
      <c r="Z106" s="2"/>
      <c r="AA106" s="2"/>
      <c r="AB106" s="2"/>
      <c r="AC106" s="2"/>
    </row>
    <row r="107">
      <c r="A107" s="2"/>
      <c r="B107" s="2"/>
      <c r="C107" s="2"/>
      <c r="D107" s="2"/>
      <c r="E107" s="2"/>
      <c r="F107" s="2"/>
      <c r="G107" s="2"/>
      <c r="H107" s="2"/>
      <c r="I107" s="2"/>
      <c r="J107" s="2"/>
      <c r="K107" s="2"/>
      <c r="L107" s="2"/>
      <c r="M107" s="2"/>
      <c r="N107" s="2"/>
      <c r="O107" s="3"/>
      <c r="P107" s="3"/>
      <c r="Q107" s="2"/>
      <c r="R107" s="2"/>
      <c r="S107" s="2"/>
      <c r="T107" s="2"/>
      <c r="U107" s="2"/>
      <c r="V107" s="2"/>
      <c r="W107" s="2"/>
      <c r="X107" s="2"/>
      <c r="Y107" s="2"/>
      <c r="Z107" s="2"/>
      <c r="AA107" s="2"/>
      <c r="AB107" s="2"/>
      <c r="AC107" s="2"/>
    </row>
    <row r="108">
      <c r="A108" s="2"/>
      <c r="B108" s="2"/>
      <c r="C108" s="2"/>
      <c r="D108" s="2"/>
      <c r="E108" s="2"/>
      <c r="F108" s="2"/>
      <c r="G108" s="2"/>
      <c r="H108" s="2"/>
      <c r="I108" s="2"/>
      <c r="J108" s="2"/>
      <c r="K108" s="2"/>
      <c r="L108" s="2"/>
      <c r="M108" s="2"/>
      <c r="N108" s="2"/>
      <c r="O108" s="3"/>
      <c r="P108" s="3"/>
      <c r="Q108" s="2"/>
      <c r="R108" s="2"/>
      <c r="S108" s="2"/>
      <c r="T108" s="2"/>
      <c r="U108" s="2"/>
      <c r="V108" s="2"/>
      <c r="W108" s="2"/>
      <c r="X108" s="2"/>
      <c r="Y108" s="2"/>
      <c r="Z108" s="2"/>
      <c r="AA108" s="2"/>
      <c r="AB108" s="2"/>
      <c r="AC108" s="2"/>
    </row>
    <row r="109">
      <c r="A109" s="2"/>
      <c r="B109" s="2"/>
      <c r="C109" s="2"/>
      <c r="D109" s="2"/>
      <c r="E109" s="2"/>
      <c r="F109" s="2"/>
      <c r="G109" s="2"/>
      <c r="H109" s="2"/>
      <c r="I109" s="2"/>
      <c r="J109" s="2"/>
      <c r="K109" s="2"/>
      <c r="L109" s="2"/>
      <c r="M109" s="2"/>
      <c r="N109" s="2"/>
      <c r="O109" s="3"/>
      <c r="P109" s="3"/>
      <c r="Q109" s="2"/>
      <c r="R109" s="2"/>
      <c r="S109" s="2"/>
      <c r="T109" s="2"/>
      <c r="U109" s="2"/>
      <c r="V109" s="2"/>
      <c r="W109" s="2"/>
      <c r="X109" s="2"/>
      <c r="Y109" s="2"/>
      <c r="Z109" s="2"/>
      <c r="AA109" s="2"/>
      <c r="AB109" s="2"/>
      <c r="AC109" s="2"/>
    </row>
    <row r="110">
      <c r="A110" s="2"/>
      <c r="B110" s="2"/>
      <c r="C110" s="2"/>
      <c r="D110" s="2"/>
      <c r="E110" s="2"/>
      <c r="F110" s="2"/>
      <c r="G110" s="2"/>
      <c r="H110" s="2"/>
      <c r="I110" s="2"/>
      <c r="J110" s="2"/>
      <c r="K110" s="2"/>
      <c r="L110" s="2"/>
      <c r="M110" s="2"/>
      <c r="N110" s="2"/>
      <c r="O110" s="3"/>
      <c r="P110" s="3"/>
      <c r="Q110" s="2"/>
      <c r="R110" s="2"/>
      <c r="S110" s="2"/>
      <c r="T110" s="2"/>
      <c r="U110" s="2"/>
      <c r="V110" s="2"/>
      <c r="W110" s="2"/>
      <c r="X110" s="2"/>
      <c r="Y110" s="2"/>
      <c r="Z110" s="2"/>
      <c r="AA110" s="2"/>
      <c r="AB110" s="2"/>
      <c r="AC110" s="2"/>
    </row>
    <row r="111">
      <c r="A111" s="2"/>
      <c r="B111" s="2"/>
      <c r="C111" s="2"/>
      <c r="D111" s="2"/>
      <c r="E111" s="2"/>
      <c r="F111" s="2"/>
      <c r="G111" s="2"/>
      <c r="H111" s="2"/>
      <c r="I111" s="2"/>
      <c r="J111" s="2"/>
      <c r="K111" s="2"/>
      <c r="L111" s="2"/>
      <c r="M111" s="2"/>
      <c r="N111" s="2"/>
      <c r="O111" s="3"/>
      <c r="P111" s="3"/>
      <c r="Q111" s="2"/>
      <c r="R111" s="2"/>
      <c r="S111" s="2"/>
      <c r="T111" s="2"/>
      <c r="U111" s="2"/>
      <c r="V111" s="2"/>
      <c r="W111" s="2"/>
      <c r="X111" s="2"/>
      <c r="Y111" s="2"/>
      <c r="Z111" s="2"/>
      <c r="AA111" s="2"/>
      <c r="AB111" s="2"/>
      <c r="AC111" s="2"/>
    </row>
    <row r="112">
      <c r="A112" s="2"/>
      <c r="B112" s="2"/>
      <c r="C112" s="2"/>
      <c r="D112" s="2"/>
      <c r="E112" s="2"/>
      <c r="F112" s="2"/>
      <c r="G112" s="2"/>
      <c r="H112" s="2"/>
      <c r="I112" s="2"/>
      <c r="J112" s="2"/>
      <c r="K112" s="2"/>
      <c r="L112" s="2"/>
      <c r="M112" s="2"/>
      <c r="N112" s="2"/>
      <c r="O112" s="3"/>
      <c r="P112" s="3"/>
      <c r="Q112" s="2"/>
      <c r="R112" s="2"/>
      <c r="S112" s="2"/>
      <c r="T112" s="2"/>
      <c r="U112" s="2"/>
      <c r="V112" s="2"/>
      <c r="W112" s="2"/>
      <c r="X112" s="2"/>
      <c r="Y112" s="2"/>
      <c r="Z112" s="2"/>
      <c r="AA112" s="2"/>
      <c r="AB112" s="2"/>
      <c r="AC112" s="2"/>
    </row>
    <row r="113">
      <c r="A113" s="2"/>
      <c r="B113" s="2"/>
      <c r="C113" s="2"/>
      <c r="D113" s="2"/>
      <c r="E113" s="2"/>
      <c r="F113" s="2"/>
      <c r="G113" s="2"/>
      <c r="H113" s="2"/>
      <c r="I113" s="2"/>
      <c r="J113" s="2"/>
      <c r="K113" s="2"/>
      <c r="L113" s="2"/>
      <c r="M113" s="2"/>
      <c r="N113" s="2"/>
      <c r="O113" s="3"/>
      <c r="P113" s="3"/>
      <c r="Q113" s="2"/>
      <c r="R113" s="2"/>
      <c r="S113" s="2"/>
      <c r="T113" s="2"/>
      <c r="U113" s="2"/>
      <c r="V113" s="2"/>
      <c r="W113" s="2"/>
      <c r="X113" s="2"/>
      <c r="Y113" s="2"/>
      <c r="Z113" s="2"/>
      <c r="AA113" s="2"/>
      <c r="AB113" s="2"/>
      <c r="AC113" s="2"/>
    </row>
    <row r="114">
      <c r="A114" s="2"/>
      <c r="B114" s="2"/>
      <c r="C114" s="2"/>
      <c r="D114" s="2"/>
      <c r="E114" s="2"/>
      <c r="F114" s="2"/>
      <c r="G114" s="2"/>
      <c r="H114" s="2"/>
      <c r="I114" s="2"/>
      <c r="J114" s="2"/>
      <c r="K114" s="2"/>
      <c r="L114" s="2"/>
      <c r="M114" s="2"/>
      <c r="N114" s="2"/>
      <c r="O114" s="3"/>
      <c r="P114" s="3"/>
      <c r="Q114" s="2"/>
      <c r="R114" s="2"/>
      <c r="S114" s="2"/>
      <c r="T114" s="2"/>
      <c r="U114" s="2"/>
      <c r="V114" s="2"/>
      <c r="W114" s="2"/>
      <c r="X114" s="2"/>
      <c r="Y114" s="2"/>
      <c r="Z114" s="2"/>
      <c r="AA114" s="2"/>
      <c r="AB114" s="2"/>
      <c r="AC114" s="2"/>
    </row>
    <row r="115">
      <c r="A115" s="2"/>
      <c r="B115" s="2"/>
      <c r="C115" s="2"/>
      <c r="D115" s="2"/>
      <c r="E115" s="2"/>
      <c r="F115" s="2"/>
      <c r="G115" s="2"/>
      <c r="H115" s="2"/>
      <c r="I115" s="2"/>
      <c r="J115" s="2"/>
      <c r="K115" s="2"/>
      <c r="L115" s="2"/>
      <c r="M115" s="2"/>
      <c r="N115" s="2"/>
      <c r="O115" s="3"/>
      <c r="P115" s="3"/>
      <c r="Q115" s="2"/>
      <c r="R115" s="2"/>
      <c r="S115" s="2"/>
      <c r="T115" s="2"/>
      <c r="U115" s="2"/>
      <c r="V115" s="2"/>
      <c r="W115" s="2"/>
      <c r="X115" s="2"/>
      <c r="Y115" s="2"/>
      <c r="Z115" s="2"/>
      <c r="AA115" s="2"/>
      <c r="AB115" s="2"/>
      <c r="AC115" s="2"/>
    </row>
    <row r="116">
      <c r="A116" s="2"/>
      <c r="B116" s="2"/>
      <c r="C116" s="2"/>
      <c r="D116" s="2"/>
      <c r="E116" s="2"/>
      <c r="F116" s="2"/>
      <c r="G116" s="2"/>
      <c r="H116" s="2"/>
      <c r="I116" s="2"/>
      <c r="J116" s="2"/>
      <c r="K116" s="2"/>
      <c r="L116" s="2"/>
      <c r="M116" s="2"/>
      <c r="N116" s="2"/>
      <c r="O116" s="3"/>
      <c r="P116" s="3"/>
      <c r="Q116" s="2"/>
      <c r="R116" s="2"/>
      <c r="S116" s="2"/>
      <c r="T116" s="2"/>
      <c r="U116" s="2"/>
      <c r="V116" s="2"/>
      <c r="W116" s="2"/>
      <c r="X116" s="2"/>
      <c r="Y116" s="2"/>
      <c r="Z116" s="2"/>
      <c r="AA116" s="2"/>
      <c r="AB116" s="2"/>
      <c r="AC116" s="2"/>
    </row>
    <row r="117">
      <c r="A117" s="2"/>
      <c r="B117" s="2"/>
      <c r="C117" s="2"/>
      <c r="D117" s="2"/>
      <c r="E117" s="2"/>
      <c r="F117" s="2"/>
      <c r="G117" s="2"/>
      <c r="H117" s="2"/>
      <c r="I117" s="2"/>
      <c r="J117" s="2"/>
      <c r="K117" s="2"/>
      <c r="L117" s="2"/>
      <c r="M117" s="2"/>
      <c r="N117" s="2"/>
      <c r="O117" s="3"/>
      <c r="P117" s="3"/>
      <c r="Q117" s="2"/>
      <c r="R117" s="2"/>
      <c r="S117" s="2"/>
      <c r="T117" s="2"/>
      <c r="U117" s="2"/>
      <c r="V117" s="2"/>
      <c r="W117" s="2"/>
      <c r="X117" s="2"/>
      <c r="Y117" s="2"/>
      <c r="Z117" s="2"/>
      <c r="AA117" s="2"/>
      <c r="AB117" s="2"/>
      <c r="AC117" s="2"/>
    </row>
    <row r="118">
      <c r="A118" s="2"/>
      <c r="B118" s="2"/>
      <c r="C118" s="2"/>
      <c r="D118" s="2"/>
      <c r="E118" s="2"/>
      <c r="F118" s="2"/>
      <c r="G118" s="2"/>
      <c r="H118" s="2"/>
      <c r="I118" s="2"/>
      <c r="J118" s="2"/>
      <c r="K118" s="2"/>
      <c r="L118" s="2"/>
      <c r="M118" s="2"/>
      <c r="N118" s="2"/>
      <c r="O118" s="3"/>
      <c r="P118" s="3"/>
      <c r="Q118" s="2"/>
      <c r="R118" s="2"/>
      <c r="S118" s="2"/>
      <c r="T118" s="2"/>
      <c r="U118" s="2"/>
      <c r="V118" s="2"/>
      <c r="W118" s="2"/>
      <c r="X118" s="2"/>
      <c r="Y118" s="2"/>
      <c r="Z118" s="2"/>
      <c r="AA118" s="2"/>
      <c r="AB118" s="2"/>
      <c r="AC118" s="2"/>
    </row>
    <row r="119">
      <c r="A119" s="2"/>
      <c r="B119" s="2"/>
      <c r="C119" s="2"/>
      <c r="D119" s="2"/>
      <c r="E119" s="2"/>
      <c r="F119" s="2"/>
      <c r="G119" s="2"/>
      <c r="H119" s="2"/>
      <c r="I119" s="2"/>
      <c r="J119" s="2"/>
      <c r="K119" s="2"/>
      <c r="L119" s="2"/>
      <c r="M119" s="2"/>
      <c r="N119" s="2"/>
      <c r="O119" s="3"/>
      <c r="P119" s="3"/>
      <c r="Q119" s="2"/>
      <c r="R119" s="2"/>
      <c r="S119" s="2"/>
      <c r="T119" s="2"/>
      <c r="U119" s="2"/>
      <c r="V119" s="2"/>
      <c r="W119" s="2"/>
      <c r="X119" s="2"/>
      <c r="Y119" s="2"/>
      <c r="Z119" s="2"/>
      <c r="AA119" s="2"/>
      <c r="AB119" s="2"/>
      <c r="AC119" s="2"/>
    </row>
    <row r="120">
      <c r="A120" s="2"/>
      <c r="B120" s="2"/>
      <c r="C120" s="2"/>
      <c r="D120" s="2"/>
      <c r="E120" s="2"/>
      <c r="F120" s="2"/>
      <c r="G120" s="2"/>
      <c r="H120" s="2"/>
      <c r="I120" s="2"/>
      <c r="J120" s="2"/>
      <c r="K120" s="2"/>
      <c r="L120" s="2"/>
      <c r="M120" s="2"/>
      <c r="N120" s="2"/>
      <c r="O120" s="3"/>
      <c r="P120" s="3"/>
      <c r="Q120" s="2"/>
      <c r="R120" s="2"/>
      <c r="S120" s="2"/>
      <c r="T120" s="2"/>
      <c r="U120" s="2"/>
      <c r="V120" s="2"/>
      <c r="W120" s="2"/>
      <c r="X120" s="2"/>
      <c r="Y120" s="2"/>
      <c r="Z120" s="2"/>
      <c r="AA120" s="2"/>
      <c r="AB120" s="2"/>
      <c r="AC120" s="2"/>
    </row>
    <row r="121">
      <c r="A121" s="2"/>
      <c r="B121" s="2"/>
      <c r="C121" s="2"/>
      <c r="D121" s="2"/>
      <c r="E121" s="2"/>
      <c r="F121" s="2"/>
      <c r="G121" s="2"/>
      <c r="H121" s="2"/>
      <c r="I121" s="2"/>
      <c r="J121" s="2"/>
      <c r="K121" s="2"/>
      <c r="L121" s="2"/>
      <c r="M121" s="2"/>
      <c r="N121" s="2"/>
      <c r="O121" s="3"/>
      <c r="P121" s="3"/>
      <c r="Q121" s="2"/>
      <c r="R121" s="2"/>
      <c r="S121" s="2"/>
      <c r="T121" s="2"/>
      <c r="U121" s="2"/>
      <c r="V121" s="2"/>
      <c r="W121" s="2"/>
      <c r="X121" s="2"/>
      <c r="Y121" s="2"/>
      <c r="Z121" s="2"/>
      <c r="AA121" s="2"/>
      <c r="AB121" s="2"/>
      <c r="AC121" s="2"/>
    </row>
    <row r="122">
      <c r="A122" s="2"/>
      <c r="B122" s="2"/>
      <c r="C122" s="2"/>
      <c r="D122" s="2"/>
      <c r="E122" s="2"/>
      <c r="F122" s="2"/>
      <c r="G122" s="2"/>
      <c r="H122" s="2"/>
      <c r="I122" s="2"/>
      <c r="J122" s="2"/>
      <c r="K122" s="2"/>
      <c r="L122" s="2"/>
      <c r="M122" s="2"/>
      <c r="N122" s="2"/>
      <c r="O122" s="3"/>
      <c r="P122" s="3"/>
      <c r="Q122" s="2"/>
      <c r="R122" s="2"/>
      <c r="S122" s="2"/>
      <c r="T122" s="2"/>
      <c r="U122" s="2"/>
      <c r="V122" s="2"/>
      <c r="W122" s="2"/>
      <c r="X122" s="2"/>
      <c r="Y122" s="2"/>
      <c r="Z122" s="2"/>
      <c r="AA122" s="2"/>
      <c r="AB122" s="2"/>
      <c r="AC122" s="2"/>
    </row>
    <row r="123">
      <c r="A123" s="2"/>
      <c r="B123" s="2"/>
      <c r="C123" s="2"/>
      <c r="D123" s="2"/>
      <c r="E123" s="2"/>
      <c r="F123" s="2"/>
      <c r="G123" s="2"/>
      <c r="H123" s="2"/>
      <c r="I123" s="2"/>
      <c r="J123" s="2"/>
      <c r="K123" s="2"/>
      <c r="L123" s="2"/>
      <c r="M123" s="2"/>
      <c r="N123" s="2"/>
      <c r="O123" s="3"/>
      <c r="P123" s="3"/>
      <c r="Q123" s="2"/>
      <c r="R123" s="2"/>
      <c r="S123" s="2"/>
      <c r="T123" s="2"/>
      <c r="U123" s="2"/>
      <c r="V123" s="2"/>
      <c r="W123" s="2"/>
      <c r="X123" s="2"/>
      <c r="Y123" s="2"/>
      <c r="Z123" s="2"/>
      <c r="AA123" s="2"/>
      <c r="AB123" s="2"/>
      <c r="AC123" s="2"/>
    </row>
    <row r="124">
      <c r="A124" s="2"/>
      <c r="B124" s="2"/>
      <c r="C124" s="2"/>
      <c r="D124" s="2"/>
      <c r="E124" s="2"/>
      <c r="F124" s="2"/>
      <c r="G124" s="2"/>
      <c r="H124" s="2"/>
      <c r="I124" s="2"/>
      <c r="J124" s="2"/>
      <c r="K124" s="2"/>
      <c r="L124" s="2"/>
      <c r="M124" s="2"/>
      <c r="N124" s="2"/>
      <c r="O124" s="3"/>
      <c r="P124" s="3"/>
      <c r="Q124" s="2"/>
      <c r="R124" s="2"/>
      <c r="S124" s="2"/>
      <c r="T124" s="2"/>
      <c r="U124" s="2"/>
      <c r="V124" s="2"/>
      <c r="W124" s="2"/>
      <c r="X124" s="2"/>
      <c r="Y124" s="2"/>
      <c r="Z124" s="2"/>
      <c r="AA124" s="2"/>
      <c r="AB124" s="2"/>
      <c r="AC124" s="2"/>
    </row>
    <row r="125">
      <c r="A125" s="2"/>
      <c r="B125" s="2"/>
      <c r="C125" s="2"/>
      <c r="D125" s="2"/>
      <c r="E125" s="2"/>
      <c r="F125" s="2"/>
      <c r="G125" s="2"/>
      <c r="H125" s="2"/>
      <c r="I125" s="2"/>
      <c r="J125" s="2"/>
      <c r="K125" s="2"/>
      <c r="L125" s="2"/>
      <c r="M125" s="2"/>
      <c r="N125" s="2"/>
      <c r="O125" s="3"/>
      <c r="P125" s="3"/>
      <c r="Q125" s="2"/>
      <c r="R125" s="2"/>
      <c r="S125" s="2"/>
      <c r="T125" s="2"/>
      <c r="U125" s="2"/>
      <c r="V125" s="2"/>
      <c r="W125" s="2"/>
      <c r="X125" s="2"/>
      <c r="Y125" s="2"/>
      <c r="Z125" s="2"/>
      <c r="AA125" s="2"/>
      <c r="AB125" s="2"/>
      <c r="AC125" s="2"/>
    </row>
    <row r="126">
      <c r="A126" s="2"/>
      <c r="B126" s="2"/>
      <c r="C126" s="2"/>
      <c r="D126" s="2"/>
      <c r="E126" s="2"/>
      <c r="F126" s="2"/>
      <c r="G126" s="2"/>
      <c r="H126" s="2"/>
      <c r="I126" s="2"/>
      <c r="J126" s="2"/>
      <c r="K126" s="2"/>
      <c r="L126" s="2"/>
      <c r="M126" s="2"/>
      <c r="N126" s="2"/>
      <c r="O126" s="3"/>
      <c r="P126" s="3"/>
      <c r="Q126" s="2"/>
      <c r="R126" s="2"/>
      <c r="S126" s="2"/>
      <c r="T126" s="2"/>
      <c r="U126" s="2"/>
      <c r="V126" s="2"/>
      <c r="W126" s="2"/>
      <c r="X126" s="2"/>
      <c r="Y126" s="2"/>
      <c r="Z126" s="2"/>
      <c r="AA126" s="2"/>
      <c r="AB126" s="2"/>
      <c r="AC126" s="2"/>
    </row>
    <row r="127">
      <c r="A127" s="2"/>
      <c r="B127" s="2"/>
      <c r="C127" s="2"/>
      <c r="D127" s="2"/>
      <c r="E127" s="2"/>
      <c r="F127" s="2"/>
      <c r="G127" s="2"/>
      <c r="H127" s="2"/>
      <c r="I127" s="2"/>
      <c r="J127" s="2"/>
      <c r="K127" s="2"/>
      <c r="L127" s="2"/>
      <c r="M127" s="2"/>
      <c r="N127" s="2"/>
      <c r="O127" s="3"/>
      <c r="P127" s="3"/>
      <c r="Q127" s="2"/>
      <c r="R127" s="2"/>
      <c r="S127" s="2"/>
      <c r="T127" s="2"/>
      <c r="U127" s="2"/>
      <c r="V127" s="2"/>
      <c r="W127" s="2"/>
      <c r="X127" s="2"/>
      <c r="Y127" s="2"/>
      <c r="Z127" s="2"/>
      <c r="AA127" s="2"/>
      <c r="AB127" s="2"/>
      <c r="AC127" s="2"/>
    </row>
    <row r="128">
      <c r="A128" s="2"/>
      <c r="B128" s="2"/>
      <c r="C128" s="2"/>
      <c r="D128" s="2"/>
      <c r="E128" s="2"/>
      <c r="F128" s="2"/>
      <c r="G128" s="2"/>
      <c r="H128" s="2"/>
      <c r="I128" s="2"/>
      <c r="J128" s="2"/>
      <c r="K128" s="2"/>
      <c r="L128" s="2"/>
      <c r="M128" s="2"/>
      <c r="N128" s="2"/>
      <c r="O128" s="3"/>
      <c r="P128" s="3"/>
      <c r="Q128" s="2"/>
      <c r="R128" s="2"/>
      <c r="S128" s="2"/>
      <c r="T128" s="2"/>
      <c r="U128" s="2"/>
      <c r="V128" s="2"/>
      <c r="W128" s="2"/>
      <c r="X128" s="2"/>
      <c r="Y128" s="2"/>
      <c r="Z128" s="2"/>
      <c r="AA128" s="2"/>
      <c r="AB128" s="2"/>
      <c r="AC128" s="2"/>
    </row>
    <row r="129">
      <c r="A129" s="2"/>
      <c r="B129" s="2"/>
      <c r="C129" s="2"/>
      <c r="D129" s="2"/>
      <c r="E129" s="2"/>
      <c r="F129" s="2"/>
      <c r="G129" s="2"/>
      <c r="H129" s="2"/>
      <c r="I129" s="2"/>
      <c r="J129" s="2"/>
      <c r="K129" s="2"/>
      <c r="L129" s="2"/>
      <c r="M129" s="2"/>
      <c r="N129" s="2"/>
      <c r="O129" s="3"/>
      <c r="P129" s="3"/>
      <c r="Q129" s="2"/>
      <c r="R129" s="2"/>
      <c r="S129" s="2"/>
      <c r="T129" s="2"/>
      <c r="U129" s="2"/>
      <c r="V129" s="2"/>
      <c r="W129" s="2"/>
      <c r="X129" s="2"/>
      <c r="Y129" s="2"/>
      <c r="Z129" s="2"/>
      <c r="AA129" s="2"/>
      <c r="AB129" s="2"/>
      <c r="AC129" s="2"/>
    </row>
    <row r="130">
      <c r="A130" s="2"/>
      <c r="B130" s="2"/>
      <c r="C130" s="2"/>
      <c r="D130" s="2"/>
      <c r="E130" s="2"/>
      <c r="F130" s="2"/>
      <c r="G130" s="2"/>
      <c r="H130" s="2"/>
      <c r="I130" s="2"/>
      <c r="J130" s="2"/>
      <c r="K130" s="2"/>
      <c r="L130" s="2"/>
      <c r="M130" s="2"/>
      <c r="N130" s="2"/>
      <c r="O130" s="3"/>
      <c r="P130" s="3"/>
      <c r="Q130" s="2"/>
      <c r="R130" s="2"/>
      <c r="S130" s="2"/>
      <c r="T130" s="2"/>
      <c r="U130" s="2"/>
      <c r="V130" s="2"/>
      <c r="W130" s="2"/>
      <c r="X130" s="2"/>
      <c r="Y130" s="2"/>
      <c r="Z130" s="2"/>
      <c r="AA130" s="2"/>
      <c r="AB130" s="2"/>
      <c r="AC130" s="2"/>
    </row>
    <row r="131">
      <c r="A131" s="2"/>
      <c r="B131" s="2"/>
      <c r="C131" s="2"/>
      <c r="D131" s="2"/>
      <c r="E131" s="2"/>
      <c r="F131" s="2"/>
      <c r="G131" s="2"/>
      <c r="H131" s="2"/>
      <c r="I131" s="2"/>
      <c r="J131" s="2"/>
      <c r="K131" s="2"/>
      <c r="L131" s="2"/>
      <c r="M131" s="2"/>
      <c r="N131" s="2"/>
      <c r="O131" s="3"/>
      <c r="P131" s="3"/>
      <c r="Q131" s="2"/>
      <c r="R131" s="2"/>
      <c r="S131" s="2"/>
      <c r="T131" s="2"/>
      <c r="U131" s="2"/>
      <c r="V131" s="2"/>
      <c r="W131" s="2"/>
      <c r="X131" s="2"/>
      <c r="Y131" s="2"/>
      <c r="Z131" s="2"/>
      <c r="AA131" s="2"/>
      <c r="AB131" s="2"/>
      <c r="AC131" s="2"/>
    </row>
    <row r="132">
      <c r="A132" s="2"/>
      <c r="B132" s="2"/>
      <c r="C132" s="2"/>
      <c r="D132" s="2"/>
      <c r="E132" s="2"/>
      <c r="F132" s="2"/>
      <c r="G132" s="2"/>
      <c r="H132" s="2"/>
      <c r="I132" s="2"/>
      <c r="J132" s="2"/>
      <c r="K132" s="2"/>
      <c r="L132" s="2"/>
      <c r="M132" s="2"/>
      <c r="N132" s="2"/>
      <c r="O132" s="3"/>
      <c r="P132" s="3"/>
      <c r="Q132" s="2"/>
      <c r="R132" s="2"/>
      <c r="S132" s="2"/>
      <c r="T132" s="2"/>
      <c r="U132" s="2"/>
      <c r="V132" s="2"/>
      <c r="W132" s="2"/>
      <c r="X132" s="2"/>
      <c r="Y132" s="2"/>
      <c r="Z132" s="2"/>
      <c r="AA132" s="2"/>
      <c r="AB132" s="2"/>
      <c r="AC132" s="2"/>
    </row>
    <row r="133">
      <c r="A133" s="2"/>
      <c r="B133" s="2"/>
      <c r="C133" s="2"/>
      <c r="D133" s="2"/>
      <c r="E133" s="2"/>
      <c r="F133" s="2"/>
      <c r="G133" s="2"/>
      <c r="H133" s="2"/>
      <c r="I133" s="2"/>
      <c r="J133" s="2"/>
      <c r="K133" s="2"/>
      <c r="L133" s="2"/>
      <c r="M133" s="2"/>
      <c r="N133" s="2"/>
      <c r="O133" s="3"/>
      <c r="P133" s="3"/>
      <c r="Q133" s="2"/>
      <c r="R133" s="2"/>
      <c r="S133" s="2"/>
      <c r="T133" s="2"/>
      <c r="U133" s="2"/>
      <c r="V133" s="2"/>
      <c r="W133" s="2"/>
      <c r="X133" s="2"/>
      <c r="Y133" s="2"/>
      <c r="Z133" s="2"/>
      <c r="AA133" s="2"/>
      <c r="AB133" s="2"/>
      <c r="AC133" s="2"/>
    </row>
    <row r="134">
      <c r="A134" s="2"/>
      <c r="B134" s="2"/>
      <c r="C134" s="2"/>
      <c r="D134" s="2"/>
      <c r="E134" s="2"/>
      <c r="F134" s="2"/>
      <c r="G134" s="2"/>
      <c r="H134" s="2"/>
      <c r="I134" s="2"/>
      <c r="J134" s="2"/>
      <c r="K134" s="2"/>
      <c r="L134" s="2"/>
      <c r="M134" s="2"/>
      <c r="N134" s="2"/>
      <c r="O134" s="3"/>
      <c r="P134" s="3"/>
      <c r="Q134" s="2"/>
      <c r="R134" s="2"/>
      <c r="S134" s="2"/>
      <c r="T134" s="2"/>
      <c r="U134" s="2"/>
      <c r="V134" s="2"/>
      <c r="W134" s="2"/>
      <c r="X134" s="2"/>
      <c r="Y134" s="2"/>
      <c r="Z134" s="2"/>
      <c r="AA134" s="2"/>
      <c r="AB134" s="2"/>
      <c r="AC134" s="2"/>
    </row>
    <row r="135">
      <c r="A135" s="2"/>
      <c r="B135" s="2"/>
      <c r="C135" s="2"/>
      <c r="D135" s="2"/>
      <c r="E135" s="2"/>
      <c r="F135" s="2"/>
      <c r="G135" s="2"/>
      <c r="H135" s="2"/>
      <c r="I135" s="2"/>
      <c r="J135" s="2"/>
      <c r="K135" s="2"/>
      <c r="L135" s="2"/>
      <c r="M135" s="2"/>
      <c r="N135" s="2"/>
      <c r="O135" s="3"/>
      <c r="P135" s="3"/>
      <c r="Q135" s="2"/>
      <c r="R135" s="2"/>
      <c r="S135" s="2"/>
      <c r="T135" s="2"/>
      <c r="U135" s="2"/>
      <c r="V135" s="2"/>
      <c r="W135" s="2"/>
      <c r="X135" s="2"/>
      <c r="Y135" s="2"/>
      <c r="Z135" s="2"/>
      <c r="AA135" s="2"/>
      <c r="AB135" s="2"/>
      <c r="AC135" s="2"/>
    </row>
    <row r="136">
      <c r="A136" s="2"/>
      <c r="B136" s="2"/>
      <c r="C136" s="2"/>
      <c r="D136" s="2"/>
      <c r="E136" s="2"/>
      <c r="F136" s="2"/>
      <c r="G136" s="2"/>
      <c r="H136" s="2"/>
      <c r="I136" s="2"/>
      <c r="J136" s="2"/>
      <c r="K136" s="2"/>
      <c r="L136" s="2"/>
      <c r="M136" s="2"/>
      <c r="N136" s="2"/>
      <c r="O136" s="3"/>
      <c r="P136" s="3"/>
      <c r="Q136" s="2"/>
      <c r="R136" s="2"/>
      <c r="S136" s="2"/>
      <c r="T136" s="2"/>
      <c r="U136" s="2"/>
      <c r="V136" s="2"/>
      <c r="W136" s="2"/>
      <c r="X136" s="2"/>
      <c r="Y136" s="2"/>
      <c r="Z136" s="2"/>
      <c r="AA136" s="2"/>
      <c r="AB136" s="2"/>
      <c r="AC136" s="2"/>
    </row>
    <row r="137">
      <c r="A137" s="2"/>
      <c r="B137" s="2"/>
      <c r="C137" s="2"/>
      <c r="D137" s="2"/>
      <c r="E137" s="2"/>
      <c r="F137" s="2"/>
      <c r="G137" s="2"/>
      <c r="H137" s="2"/>
      <c r="I137" s="2"/>
      <c r="J137" s="2"/>
      <c r="K137" s="2"/>
      <c r="L137" s="2"/>
      <c r="M137" s="2"/>
      <c r="N137" s="2"/>
      <c r="O137" s="3"/>
      <c r="P137" s="3"/>
      <c r="Q137" s="2"/>
      <c r="R137" s="2"/>
      <c r="S137" s="2"/>
      <c r="T137" s="2"/>
      <c r="U137" s="2"/>
      <c r="V137" s="2"/>
      <c r="W137" s="2"/>
      <c r="X137" s="2"/>
      <c r="Y137" s="2"/>
      <c r="Z137" s="2"/>
      <c r="AA137" s="2"/>
      <c r="AB137" s="2"/>
      <c r="AC137" s="2"/>
    </row>
    <row r="138">
      <c r="A138" s="2"/>
      <c r="B138" s="2"/>
      <c r="C138" s="2"/>
      <c r="D138" s="2"/>
      <c r="E138" s="2"/>
      <c r="F138" s="2"/>
      <c r="G138" s="2"/>
      <c r="H138" s="2"/>
      <c r="I138" s="2"/>
      <c r="J138" s="2"/>
      <c r="K138" s="2"/>
      <c r="L138" s="2"/>
      <c r="M138" s="2"/>
      <c r="N138" s="2"/>
      <c r="O138" s="3"/>
      <c r="P138" s="3"/>
      <c r="Q138" s="2"/>
      <c r="R138" s="2"/>
      <c r="S138" s="2"/>
      <c r="T138" s="2"/>
      <c r="U138" s="2"/>
      <c r="V138" s="2"/>
      <c r="W138" s="2"/>
      <c r="X138" s="2"/>
      <c r="Y138" s="2"/>
      <c r="Z138" s="2"/>
      <c r="AA138" s="2"/>
      <c r="AB138" s="2"/>
      <c r="AC138" s="2"/>
    </row>
    <row r="139">
      <c r="A139" s="2"/>
      <c r="B139" s="2"/>
      <c r="C139" s="2"/>
      <c r="D139" s="2"/>
      <c r="E139" s="2"/>
      <c r="F139" s="2"/>
      <c r="G139" s="2"/>
      <c r="H139" s="2"/>
      <c r="I139" s="2"/>
      <c r="J139" s="2"/>
      <c r="K139" s="2"/>
      <c r="L139" s="2"/>
      <c r="M139" s="2"/>
      <c r="N139" s="2"/>
      <c r="O139" s="3"/>
      <c r="P139" s="3"/>
      <c r="Q139" s="2"/>
      <c r="R139" s="2"/>
      <c r="S139" s="2"/>
      <c r="T139" s="2"/>
      <c r="U139" s="2"/>
      <c r="V139" s="2"/>
      <c r="W139" s="2"/>
      <c r="X139" s="2"/>
      <c r="Y139" s="2"/>
      <c r="Z139" s="2"/>
      <c r="AA139" s="2"/>
      <c r="AB139" s="2"/>
      <c r="AC139" s="2"/>
    </row>
    <row r="140">
      <c r="A140" s="2"/>
      <c r="B140" s="2"/>
      <c r="C140" s="2"/>
      <c r="D140" s="2"/>
      <c r="E140" s="2"/>
      <c r="F140" s="2"/>
      <c r="G140" s="2"/>
      <c r="H140" s="2"/>
      <c r="I140" s="2"/>
      <c r="J140" s="2"/>
      <c r="K140" s="2"/>
      <c r="L140" s="2"/>
      <c r="M140" s="2"/>
      <c r="N140" s="2"/>
      <c r="O140" s="3"/>
      <c r="P140" s="3"/>
      <c r="Q140" s="2"/>
      <c r="R140" s="2"/>
      <c r="S140" s="2"/>
      <c r="T140" s="2"/>
      <c r="U140" s="2"/>
      <c r="V140" s="2"/>
      <c r="W140" s="2"/>
      <c r="X140" s="2"/>
      <c r="Y140" s="2"/>
      <c r="Z140" s="2"/>
      <c r="AA140" s="2"/>
      <c r="AB140" s="2"/>
      <c r="AC140" s="2"/>
    </row>
    <row r="141">
      <c r="A141" s="2"/>
      <c r="B141" s="2"/>
      <c r="C141" s="2"/>
      <c r="D141" s="2"/>
      <c r="E141" s="2"/>
      <c r="F141" s="2"/>
      <c r="G141" s="2"/>
      <c r="H141" s="2"/>
      <c r="I141" s="2"/>
      <c r="J141" s="2"/>
      <c r="K141" s="2"/>
      <c r="L141" s="2"/>
      <c r="M141" s="2"/>
      <c r="N141" s="2"/>
      <c r="O141" s="3"/>
      <c r="P141" s="3"/>
      <c r="Q141" s="2"/>
      <c r="R141" s="2"/>
      <c r="S141" s="2"/>
      <c r="T141" s="2"/>
      <c r="U141" s="2"/>
      <c r="V141" s="2"/>
      <c r="W141" s="2"/>
      <c r="X141" s="2"/>
      <c r="Y141" s="2"/>
      <c r="Z141" s="2"/>
      <c r="AA141" s="2"/>
      <c r="AB141" s="2"/>
      <c r="AC141" s="2"/>
    </row>
    <row r="142">
      <c r="A142" s="2"/>
      <c r="B142" s="2"/>
      <c r="C142" s="2"/>
      <c r="D142" s="2"/>
      <c r="E142" s="2"/>
      <c r="F142" s="2"/>
      <c r="G142" s="2"/>
      <c r="H142" s="2"/>
      <c r="I142" s="2"/>
      <c r="J142" s="2"/>
      <c r="K142" s="2"/>
      <c r="L142" s="2"/>
      <c r="M142" s="2"/>
      <c r="N142" s="2"/>
      <c r="O142" s="3"/>
      <c r="P142" s="3"/>
      <c r="Q142" s="2"/>
      <c r="R142" s="2"/>
      <c r="S142" s="2"/>
      <c r="T142" s="2"/>
      <c r="U142" s="2"/>
      <c r="V142" s="2"/>
      <c r="W142" s="2"/>
      <c r="X142" s="2"/>
      <c r="Y142" s="2"/>
      <c r="Z142" s="2"/>
      <c r="AA142" s="2"/>
      <c r="AB142" s="2"/>
      <c r="AC142" s="2"/>
    </row>
    <row r="143">
      <c r="A143" s="2"/>
      <c r="B143" s="2"/>
      <c r="C143" s="2"/>
      <c r="D143" s="2"/>
      <c r="E143" s="2"/>
      <c r="F143" s="2"/>
      <c r="G143" s="2"/>
      <c r="H143" s="2"/>
      <c r="I143" s="2"/>
      <c r="J143" s="2"/>
      <c r="K143" s="2"/>
      <c r="L143" s="2"/>
      <c r="M143" s="2"/>
      <c r="N143" s="2"/>
      <c r="O143" s="3"/>
      <c r="P143" s="3"/>
      <c r="Q143" s="2"/>
      <c r="R143" s="2"/>
      <c r="S143" s="2"/>
      <c r="T143" s="2"/>
      <c r="U143" s="2"/>
      <c r="V143" s="2"/>
      <c r="W143" s="2"/>
      <c r="X143" s="2"/>
      <c r="Y143" s="2"/>
      <c r="Z143" s="2"/>
      <c r="AA143" s="2"/>
      <c r="AB143" s="2"/>
      <c r="AC143" s="2"/>
    </row>
    <row r="144">
      <c r="A144" s="2"/>
      <c r="B144" s="2"/>
      <c r="C144" s="2"/>
      <c r="D144" s="2"/>
      <c r="E144" s="2"/>
      <c r="F144" s="2"/>
      <c r="G144" s="2"/>
      <c r="H144" s="2"/>
      <c r="I144" s="2"/>
      <c r="J144" s="2"/>
      <c r="K144" s="2"/>
      <c r="L144" s="2"/>
      <c r="M144" s="2"/>
      <c r="N144" s="2"/>
      <c r="O144" s="3"/>
      <c r="P144" s="3"/>
      <c r="Q144" s="2"/>
      <c r="R144" s="2"/>
      <c r="S144" s="2"/>
      <c r="T144" s="2"/>
      <c r="U144" s="2"/>
      <c r="V144" s="2"/>
      <c r="W144" s="2"/>
      <c r="X144" s="2"/>
      <c r="Y144" s="2"/>
      <c r="Z144" s="2"/>
      <c r="AA144" s="2"/>
      <c r="AB144" s="2"/>
      <c r="AC144" s="2"/>
    </row>
    <row r="145">
      <c r="A145" s="2"/>
      <c r="B145" s="2"/>
      <c r="C145" s="2"/>
      <c r="D145" s="2"/>
      <c r="E145" s="2"/>
      <c r="F145" s="2"/>
      <c r="G145" s="2"/>
      <c r="H145" s="2"/>
      <c r="I145" s="2"/>
      <c r="J145" s="2"/>
      <c r="K145" s="2"/>
      <c r="L145" s="2"/>
      <c r="M145" s="2"/>
      <c r="N145" s="2"/>
      <c r="O145" s="3"/>
      <c r="P145" s="3"/>
      <c r="Q145" s="2"/>
      <c r="R145" s="2"/>
      <c r="S145" s="2"/>
      <c r="T145" s="2"/>
      <c r="U145" s="2"/>
      <c r="V145" s="2"/>
      <c r="W145" s="2"/>
      <c r="X145" s="2"/>
      <c r="Y145" s="2"/>
      <c r="Z145" s="2"/>
      <c r="AA145" s="2"/>
      <c r="AB145" s="2"/>
      <c r="AC145" s="2"/>
    </row>
    <row r="146">
      <c r="A146" s="2"/>
      <c r="B146" s="2"/>
      <c r="C146" s="2"/>
      <c r="D146" s="2"/>
      <c r="E146" s="2"/>
      <c r="F146" s="2"/>
      <c r="G146" s="2"/>
      <c r="H146" s="2"/>
      <c r="I146" s="2"/>
      <c r="J146" s="2"/>
      <c r="K146" s="2"/>
      <c r="L146" s="2"/>
      <c r="M146" s="2"/>
      <c r="N146" s="2"/>
      <c r="O146" s="3"/>
      <c r="P146" s="3"/>
      <c r="Q146" s="2"/>
      <c r="R146" s="2"/>
      <c r="S146" s="2"/>
      <c r="T146" s="2"/>
      <c r="U146" s="2"/>
      <c r="V146" s="2"/>
      <c r="W146" s="2"/>
      <c r="X146" s="2"/>
      <c r="Y146" s="2"/>
      <c r="Z146" s="2"/>
      <c r="AA146" s="2"/>
      <c r="AB146" s="2"/>
      <c r="AC146" s="2"/>
    </row>
    <row r="147">
      <c r="A147" s="2"/>
      <c r="B147" s="2"/>
      <c r="C147" s="2"/>
      <c r="D147" s="2"/>
      <c r="E147" s="2"/>
      <c r="F147" s="2"/>
      <c r="G147" s="2"/>
      <c r="H147" s="2"/>
      <c r="I147" s="2"/>
      <c r="J147" s="2"/>
      <c r="K147" s="2"/>
      <c r="L147" s="2"/>
      <c r="M147" s="2"/>
      <c r="N147" s="2"/>
      <c r="O147" s="3"/>
      <c r="P147" s="3"/>
      <c r="Q147" s="2"/>
      <c r="R147" s="2"/>
      <c r="S147" s="2"/>
      <c r="T147" s="2"/>
      <c r="U147" s="2"/>
      <c r="V147" s="2"/>
      <c r="W147" s="2"/>
      <c r="X147" s="2"/>
      <c r="Y147" s="2"/>
      <c r="Z147" s="2"/>
      <c r="AA147" s="2"/>
      <c r="AB147" s="2"/>
      <c r="AC147" s="2"/>
    </row>
    <row r="148">
      <c r="A148" s="2"/>
      <c r="B148" s="2"/>
      <c r="C148" s="2"/>
      <c r="D148" s="2"/>
      <c r="E148" s="2"/>
      <c r="F148" s="2"/>
      <c r="G148" s="2"/>
      <c r="H148" s="2"/>
      <c r="I148" s="2"/>
      <c r="J148" s="2"/>
      <c r="K148" s="2"/>
      <c r="L148" s="2"/>
      <c r="M148" s="2"/>
      <c r="N148" s="2"/>
      <c r="O148" s="3"/>
      <c r="P148" s="3"/>
      <c r="Q148" s="2"/>
      <c r="R148" s="2"/>
      <c r="S148" s="2"/>
      <c r="T148" s="2"/>
      <c r="U148" s="2"/>
      <c r="V148" s="2"/>
      <c r="W148" s="2"/>
      <c r="X148" s="2"/>
      <c r="Y148" s="2"/>
      <c r="Z148" s="2"/>
      <c r="AA148" s="2"/>
      <c r="AB148" s="2"/>
      <c r="AC148" s="2"/>
    </row>
    <row r="149">
      <c r="A149" s="2"/>
      <c r="B149" s="2"/>
      <c r="C149" s="2"/>
      <c r="D149" s="2"/>
      <c r="E149" s="2"/>
      <c r="F149" s="2"/>
      <c r="G149" s="2"/>
      <c r="H149" s="2"/>
      <c r="I149" s="2"/>
      <c r="J149" s="2"/>
      <c r="K149" s="2"/>
      <c r="L149" s="2"/>
      <c r="M149" s="2"/>
      <c r="N149" s="2"/>
      <c r="O149" s="3"/>
      <c r="P149" s="3"/>
      <c r="Q149" s="2"/>
      <c r="R149" s="2"/>
      <c r="S149" s="2"/>
      <c r="T149" s="2"/>
      <c r="U149" s="2"/>
      <c r="V149" s="2"/>
      <c r="W149" s="2"/>
      <c r="X149" s="2"/>
      <c r="Y149" s="2"/>
      <c r="Z149" s="2"/>
      <c r="AA149" s="2"/>
      <c r="AB149" s="2"/>
      <c r="AC149" s="2"/>
    </row>
    <row r="150">
      <c r="A150" s="2"/>
      <c r="B150" s="2"/>
      <c r="C150" s="2"/>
      <c r="D150" s="2"/>
      <c r="E150" s="2"/>
      <c r="F150" s="2"/>
      <c r="G150" s="2"/>
      <c r="H150" s="2"/>
      <c r="I150" s="2"/>
      <c r="J150" s="2"/>
      <c r="K150" s="2"/>
      <c r="L150" s="2"/>
      <c r="M150" s="2"/>
      <c r="N150" s="2"/>
      <c r="O150" s="3"/>
      <c r="P150" s="3"/>
      <c r="Q150" s="2"/>
      <c r="R150" s="2"/>
      <c r="S150" s="2"/>
      <c r="T150" s="2"/>
      <c r="U150" s="2"/>
      <c r="V150" s="2"/>
      <c r="W150" s="2"/>
      <c r="X150" s="2"/>
      <c r="Y150" s="2"/>
      <c r="Z150" s="2"/>
      <c r="AA150" s="2"/>
      <c r="AB150" s="2"/>
      <c r="AC150" s="2"/>
    </row>
    <row r="151">
      <c r="A151" s="2"/>
      <c r="B151" s="2"/>
      <c r="C151" s="2"/>
      <c r="D151" s="2"/>
      <c r="E151" s="2"/>
      <c r="F151" s="2"/>
      <c r="G151" s="2"/>
      <c r="H151" s="2"/>
      <c r="I151" s="2"/>
      <c r="J151" s="2"/>
      <c r="K151" s="2"/>
      <c r="L151" s="2"/>
      <c r="M151" s="2"/>
      <c r="N151" s="2"/>
      <c r="O151" s="3"/>
      <c r="P151" s="3"/>
      <c r="Q151" s="2"/>
      <c r="R151" s="2"/>
      <c r="S151" s="2"/>
      <c r="T151" s="2"/>
      <c r="U151" s="2"/>
      <c r="V151" s="2"/>
      <c r="W151" s="2"/>
      <c r="X151" s="2"/>
      <c r="Y151" s="2"/>
      <c r="Z151" s="2"/>
      <c r="AA151" s="2"/>
      <c r="AB151" s="2"/>
      <c r="AC151" s="2"/>
    </row>
    <row r="152">
      <c r="A152" s="2"/>
      <c r="B152" s="2"/>
      <c r="C152" s="2"/>
      <c r="D152" s="2"/>
      <c r="E152" s="2"/>
      <c r="F152" s="2"/>
      <c r="G152" s="2"/>
      <c r="H152" s="2"/>
      <c r="I152" s="2"/>
      <c r="J152" s="2"/>
      <c r="K152" s="2"/>
      <c r="L152" s="2"/>
      <c r="M152" s="2"/>
      <c r="N152" s="2"/>
      <c r="O152" s="3"/>
      <c r="P152" s="3"/>
      <c r="Q152" s="2"/>
      <c r="R152" s="2"/>
      <c r="S152" s="2"/>
      <c r="T152" s="2"/>
      <c r="U152" s="2"/>
      <c r="V152" s="2"/>
      <c r="W152" s="2"/>
      <c r="X152" s="2"/>
      <c r="Y152" s="2"/>
      <c r="Z152" s="2"/>
      <c r="AA152" s="2"/>
      <c r="AB152" s="2"/>
      <c r="AC152" s="2"/>
    </row>
    <row r="153">
      <c r="A153" s="2"/>
      <c r="B153" s="2"/>
      <c r="C153" s="2"/>
      <c r="D153" s="2"/>
      <c r="E153" s="2"/>
      <c r="F153" s="2"/>
      <c r="G153" s="2"/>
      <c r="H153" s="2"/>
      <c r="I153" s="2"/>
      <c r="J153" s="2"/>
      <c r="K153" s="2"/>
      <c r="L153" s="2"/>
      <c r="M153" s="2"/>
      <c r="N153" s="2"/>
      <c r="O153" s="3"/>
      <c r="P153" s="3"/>
      <c r="Q153" s="2"/>
      <c r="R153" s="2"/>
      <c r="S153" s="2"/>
      <c r="T153" s="2"/>
      <c r="U153" s="2"/>
      <c r="V153" s="2"/>
      <c r="W153" s="2"/>
      <c r="X153" s="2"/>
      <c r="Y153" s="2"/>
      <c r="Z153" s="2"/>
      <c r="AA153" s="2"/>
      <c r="AB153" s="2"/>
      <c r="AC153" s="2"/>
    </row>
    <row r="154">
      <c r="A154" s="2"/>
      <c r="B154" s="2"/>
      <c r="C154" s="2"/>
      <c r="D154" s="2"/>
      <c r="E154" s="2"/>
      <c r="F154" s="2"/>
      <c r="G154" s="2"/>
      <c r="H154" s="2"/>
      <c r="I154" s="2"/>
      <c r="J154" s="2"/>
      <c r="K154" s="2"/>
      <c r="L154" s="2"/>
      <c r="M154" s="2"/>
      <c r="N154" s="2"/>
      <c r="O154" s="3"/>
      <c r="P154" s="3"/>
      <c r="Q154" s="2"/>
      <c r="R154" s="2"/>
      <c r="S154" s="2"/>
      <c r="T154" s="2"/>
      <c r="U154" s="2"/>
      <c r="V154" s="2"/>
      <c r="W154" s="2"/>
      <c r="X154" s="2"/>
      <c r="Y154" s="2"/>
      <c r="Z154" s="2"/>
      <c r="AA154" s="2"/>
      <c r="AB154" s="2"/>
      <c r="AC154" s="2"/>
    </row>
    <row r="155">
      <c r="A155" s="2"/>
      <c r="B155" s="2"/>
      <c r="C155" s="2"/>
      <c r="D155" s="2"/>
      <c r="E155" s="2"/>
      <c r="F155" s="2"/>
      <c r="G155" s="2"/>
      <c r="H155" s="2"/>
      <c r="I155" s="2"/>
      <c r="J155" s="2"/>
      <c r="K155" s="2"/>
      <c r="L155" s="2"/>
      <c r="M155" s="2"/>
      <c r="N155" s="2"/>
      <c r="O155" s="3"/>
      <c r="P155" s="3"/>
      <c r="Q155" s="2"/>
      <c r="R155" s="2"/>
      <c r="S155" s="2"/>
      <c r="T155" s="2"/>
      <c r="U155" s="2"/>
      <c r="V155" s="2"/>
      <c r="W155" s="2"/>
      <c r="X155" s="2"/>
      <c r="Y155" s="2"/>
      <c r="Z155" s="2"/>
      <c r="AA155" s="2"/>
      <c r="AB155" s="2"/>
      <c r="AC155" s="2"/>
    </row>
    <row r="156">
      <c r="A156" s="2"/>
      <c r="B156" s="2"/>
      <c r="C156" s="2"/>
      <c r="D156" s="2"/>
      <c r="E156" s="2"/>
      <c r="F156" s="2"/>
      <c r="G156" s="2"/>
      <c r="H156" s="2"/>
      <c r="I156" s="2"/>
      <c r="J156" s="2"/>
      <c r="K156" s="2"/>
      <c r="L156" s="2"/>
      <c r="M156" s="2"/>
      <c r="N156" s="2"/>
      <c r="O156" s="3"/>
      <c r="P156" s="3"/>
      <c r="Q156" s="2"/>
      <c r="R156" s="2"/>
      <c r="S156" s="2"/>
      <c r="T156" s="2"/>
      <c r="U156" s="2"/>
      <c r="V156" s="2"/>
      <c r="W156" s="2"/>
      <c r="X156" s="2"/>
      <c r="Y156" s="2"/>
      <c r="Z156" s="2"/>
      <c r="AA156" s="2"/>
      <c r="AB156" s="2"/>
      <c r="AC156" s="2"/>
    </row>
    <row r="157">
      <c r="A157" s="2"/>
      <c r="B157" s="2"/>
      <c r="C157" s="2"/>
      <c r="D157" s="2"/>
      <c r="E157" s="2"/>
      <c r="F157" s="2"/>
      <c r="G157" s="2"/>
      <c r="H157" s="2"/>
      <c r="I157" s="2"/>
      <c r="J157" s="2"/>
      <c r="K157" s="2"/>
      <c r="L157" s="2"/>
      <c r="M157" s="2"/>
      <c r="N157" s="2"/>
      <c r="O157" s="3"/>
      <c r="P157" s="3"/>
      <c r="Q157" s="2"/>
      <c r="R157" s="2"/>
      <c r="S157" s="2"/>
      <c r="T157" s="2"/>
      <c r="U157" s="2"/>
      <c r="V157" s="2"/>
      <c r="W157" s="2"/>
      <c r="X157" s="2"/>
      <c r="Y157" s="2"/>
      <c r="Z157" s="2"/>
      <c r="AA157" s="2"/>
      <c r="AB157" s="2"/>
      <c r="AC157" s="2"/>
    </row>
    <row r="158">
      <c r="A158" s="2"/>
      <c r="B158" s="2"/>
      <c r="C158" s="2"/>
      <c r="D158" s="2"/>
      <c r="E158" s="2"/>
      <c r="F158" s="2"/>
      <c r="G158" s="2"/>
      <c r="H158" s="2"/>
      <c r="I158" s="2"/>
      <c r="J158" s="2"/>
      <c r="K158" s="2"/>
      <c r="L158" s="2"/>
      <c r="M158" s="2"/>
      <c r="N158" s="2"/>
      <c r="O158" s="3"/>
      <c r="P158" s="3"/>
      <c r="Q158" s="2"/>
      <c r="R158" s="2"/>
      <c r="S158" s="2"/>
      <c r="T158" s="2"/>
      <c r="U158" s="2"/>
      <c r="V158" s="2"/>
      <c r="W158" s="2"/>
      <c r="X158" s="2"/>
      <c r="Y158" s="2"/>
      <c r="Z158" s="2"/>
      <c r="AA158" s="2"/>
      <c r="AB158" s="2"/>
      <c r="AC158" s="2"/>
    </row>
    <row r="159">
      <c r="A159" s="2"/>
      <c r="B159" s="2"/>
      <c r="C159" s="2"/>
      <c r="D159" s="2"/>
      <c r="E159" s="2"/>
      <c r="F159" s="2"/>
      <c r="G159" s="2"/>
      <c r="H159" s="2"/>
      <c r="I159" s="2"/>
      <c r="J159" s="2"/>
      <c r="K159" s="2"/>
      <c r="L159" s="2"/>
      <c r="M159" s="2"/>
      <c r="N159" s="2"/>
      <c r="O159" s="3"/>
      <c r="P159" s="3"/>
      <c r="Q159" s="2"/>
      <c r="R159" s="2"/>
      <c r="S159" s="2"/>
      <c r="T159" s="2"/>
      <c r="U159" s="2"/>
      <c r="V159" s="2"/>
      <c r="W159" s="2"/>
      <c r="X159" s="2"/>
      <c r="Y159" s="2"/>
      <c r="Z159" s="2"/>
      <c r="AA159" s="2"/>
      <c r="AB159" s="2"/>
      <c r="AC159" s="2"/>
    </row>
    <row r="160">
      <c r="A160" s="2"/>
      <c r="B160" s="2"/>
      <c r="C160" s="2"/>
      <c r="D160" s="2"/>
      <c r="E160" s="2"/>
      <c r="F160" s="2"/>
      <c r="G160" s="2"/>
      <c r="H160" s="2"/>
      <c r="I160" s="2"/>
      <c r="J160" s="2"/>
      <c r="K160" s="2"/>
      <c r="L160" s="2"/>
      <c r="M160" s="2"/>
      <c r="N160" s="2"/>
      <c r="O160" s="3"/>
      <c r="P160" s="3"/>
      <c r="Q160" s="2"/>
      <c r="R160" s="2"/>
      <c r="S160" s="2"/>
      <c r="T160" s="2"/>
      <c r="U160" s="2"/>
      <c r="V160" s="2"/>
      <c r="W160" s="2"/>
      <c r="X160" s="2"/>
      <c r="Y160" s="2"/>
      <c r="Z160" s="2"/>
      <c r="AA160" s="2"/>
      <c r="AB160" s="2"/>
      <c r="AC160" s="2"/>
    </row>
    <row r="161">
      <c r="A161" s="2"/>
      <c r="B161" s="2"/>
      <c r="C161" s="2"/>
      <c r="D161" s="2"/>
      <c r="E161" s="2"/>
      <c r="F161" s="2"/>
      <c r="G161" s="2"/>
      <c r="H161" s="2"/>
      <c r="I161" s="2"/>
      <c r="J161" s="2"/>
      <c r="K161" s="2"/>
      <c r="L161" s="2"/>
      <c r="M161" s="2"/>
      <c r="N161" s="2"/>
      <c r="O161" s="3"/>
      <c r="P161" s="3"/>
      <c r="Q161" s="2"/>
      <c r="R161" s="2"/>
      <c r="S161" s="2"/>
      <c r="T161" s="2"/>
      <c r="U161" s="2"/>
      <c r="V161" s="2"/>
      <c r="W161" s="2"/>
      <c r="X161" s="2"/>
      <c r="Y161" s="2"/>
      <c r="Z161" s="2"/>
      <c r="AA161" s="2"/>
      <c r="AB161" s="2"/>
      <c r="AC161" s="2"/>
    </row>
    <row r="162">
      <c r="A162" s="2"/>
      <c r="B162" s="2"/>
      <c r="C162" s="2"/>
      <c r="D162" s="2"/>
      <c r="E162" s="2"/>
      <c r="F162" s="2"/>
      <c r="G162" s="2"/>
      <c r="H162" s="2"/>
      <c r="I162" s="2"/>
      <c r="J162" s="2"/>
      <c r="K162" s="2"/>
      <c r="L162" s="2"/>
      <c r="M162" s="2"/>
      <c r="N162" s="2"/>
      <c r="O162" s="3"/>
      <c r="P162" s="3"/>
      <c r="Q162" s="2"/>
      <c r="R162" s="2"/>
      <c r="S162" s="2"/>
      <c r="T162" s="2"/>
      <c r="U162" s="2"/>
      <c r="V162" s="2"/>
      <c r="W162" s="2"/>
      <c r="X162" s="2"/>
      <c r="Y162" s="2"/>
      <c r="Z162" s="2"/>
      <c r="AA162" s="2"/>
      <c r="AB162" s="2"/>
      <c r="AC162" s="2"/>
    </row>
    <row r="163">
      <c r="A163" s="2"/>
      <c r="B163" s="2"/>
      <c r="C163" s="2"/>
      <c r="D163" s="2"/>
      <c r="E163" s="2"/>
      <c r="F163" s="2"/>
      <c r="G163" s="2"/>
      <c r="H163" s="2"/>
      <c r="I163" s="2"/>
      <c r="J163" s="2"/>
      <c r="K163" s="2"/>
      <c r="L163" s="2"/>
      <c r="M163" s="2"/>
      <c r="N163" s="2"/>
      <c r="O163" s="3"/>
      <c r="P163" s="3"/>
      <c r="Q163" s="2"/>
      <c r="R163" s="2"/>
      <c r="S163" s="2"/>
      <c r="T163" s="2"/>
      <c r="U163" s="2"/>
      <c r="V163" s="2"/>
      <c r="W163" s="2"/>
      <c r="X163" s="2"/>
      <c r="Y163" s="2"/>
      <c r="Z163" s="2"/>
      <c r="AA163" s="2"/>
      <c r="AB163" s="2"/>
      <c r="AC163" s="2"/>
    </row>
    <row r="164">
      <c r="A164" s="2"/>
      <c r="B164" s="2"/>
      <c r="C164" s="2"/>
      <c r="D164" s="2"/>
      <c r="E164" s="2"/>
      <c r="F164" s="2"/>
      <c r="G164" s="2"/>
      <c r="H164" s="2"/>
      <c r="I164" s="2"/>
      <c r="J164" s="2"/>
      <c r="K164" s="2"/>
      <c r="L164" s="2"/>
      <c r="M164" s="2"/>
      <c r="N164" s="2"/>
      <c r="O164" s="3"/>
      <c r="P164" s="3"/>
      <c r="Q164" s="2"/>
      <c r="R164" s="2"/>
      <c r="S164" s="2"/>
      <c r="T164" s="2"/>
      <c r="U164" s="2"/>
      <c r="V164" s="2"/>
      <c r="W164" s="2"/>
      <c r="X164" s="2"/>
      <c r="Y164" s="2"/>
      <c r="Z164" s="2"/>
      <c r="AA164" s="2"/>
      <c r="AB164" s="2"/>
      <c r="AC164" s="2"/>
    </row>
    <row r="165">
      <c r="A165" s="2"/>
      <c r="B165" s="2"/>
      <c r="C165" s="2"/>
      <c r="D165" s="2"/>
      <c r="E165" s="2"/>
      <c r="F165" s="2"/>
      <c r="G165" s="2"/>
      <c r="H165" s="2"/>
      <c r="I165" s="2"/>
      <c r="J165" s="2"/>
      <c r="K165" s="2"/>
      <c r="L165" s="2"/>
      <c r="M165" s="2"/>
      <c r="N165" s="2"/>
      <c r="O165" s="3"/>
      <c r="P165" s="3"/>
      <c r="Q165" s="2"/>
      <c r="R165" s="2"/>
      <c r="S165" s="2"/>
      <c r="T165" s="2"/>
      <c r="U165" s="2"/>
      <c r="V165" s="2"/>
      <c r="W165" s="2"/>
      <c r="X165" s="2"/>
      <c r="Y165" s="2"/>
      <c r="Z165" s="2"/>
      <c r="AA165" s="2"/>
      <c r="AB165" s="2"/>
      <c r="AC165" s="2"/>
    </row>
    <row r="166">
      <c r="A166" s="2"/>
      <c r="B166" s="2"/>
      <c r="C166" s="2"/>
      <c r="D166" s="2"/>
      <c r="E166" s="2"/>
      <c r="F166" s="2"/>
      <c r="G166" s="2"/>
      <c r="H166" s="2"/>
      <c r="I166" s="2"/>
      <c r="J166" s="2"/>
      <c r="K166" s="2"/>
      <c r="L166" s="2"/>
      <c r="M166" s="2"/>
      <c r="N166" s="2"/>
      <c r="O166" s="3"/>
      <c r="P166" s="3"/>
      <c r="Q166" s="2"/>
      <c r="R166" s="2"/>
      <c r="S166" s="2"/>
      <c r="T166" s="2"/>
      <c r="U166" s="2"/>
      <c r="V166" s="2"/>
      <c r="W166" s="2"/>
      <c r="X166" s="2"/>
      <c r="Y166" s="2"/>
      <c r="Z166" s="2"/>
      <c r="AA166" s="2"/>
      <c r="AB166" s="2"/>
      <c r="AC166" s="2"/>
    </row>
    <row r="167">
      <c r="A167" s="2"/>
      <c r="B167" s="2"/>
      <c r="C167" s="2"/>
      <c r="D167" s="2"/>
      <c r="E167" s="2"/>
      <c r="F167" s="2"/>
      <c r="G167" s="2"/>
      <c r="H167" s="2"/>
      <c r="I167" s="2"/>
      <c r="J167" s="2"/>
      <c r="K167" s="2"/>
      <c r="L167" s="2"/>
      <c r="M167" s="2"/>
      <c r="N167" s="2"/>
      <c r="O167" s="3"/>
      <c r="P167" s="3"/>
      <c r="Q167" s="2"/>
      <c r="R167" s="2"/>
      <c r="S167" s="2"/>
      <c r="T167" s="2"/>
      <c r="U167" s="2"/>
      <c r="V167" s="2"/>
      <c r="W167" s="2"/>
      <c r="X167" s="2"/>
      <c r="Y167" s="2"/>
      <c r="Z167" s="2"/>
      <c r="AA167" s="2"/>
      <c r="AB167" s="2"/>
      <c r="AC167" s="2"/>
    </row>
    <row r="168">
      <c r="A168" s="2"/>
      <c r="B168" s="2"/>
      <c r="C168" s="2"/>
      <c r="D168" s="2"/>
      <c r="E168" s="2"/>
      <c r="F168" s="2"/>
      <c r="G168" s="2"/>
      <c r="H168" s="2"/>
      <c r="I168" s="2"/>
      <c r="J168" s="2"/>
      <c r="K168" s="2"/>
      <c r="L168" s="2"/>
      <c r="M168" s="2"/>
      <c r="N168" s="2"/>
      <c r="O168" s="3"/>
      <c r="P168" s="3"/>
      <c r="Q168" s="2"/>
      <c r="R168" s="2"/>
      <c r="S168" s="2"/>
      <c r="T168" s="2"/>
      <c r="U168" s="2"/>
      <c r="V168" s="2"/>
      <c r="W168" s="2"/>
      <c r="X168" s="2"/>
      <c r="Y168" s="2"/>
      <c r="Z168" s="2"/>
      <c r="AA168" s="2"/>
      <c r="AB168" s="2"/>
      <c r="AC168" s="2"/>
    </row>
    <row r="169">
      <c r="A169" s="2"/>
      <c r="B169" s="2"/>
      <c r="C169" s="2"/>
      <c r="D169" s="2"/>
      <c r="E169" s="2"/>
      <c r="F169" s="2"/>
      <c r="G169" s="2"/>
      <c r="H169" s="2"/>
      <c r="I169" s="2"/>
      <c r="J169" s="2"/>
      <c r="K169" s="2"/>
      <c r="L169" s="2"/>
      <c r="M169" s="2"/>
      <c r="N169" s="2"/>
      <c r="O169" s="3"/>
      <c r="P169" s="3"/>
      <c r="Q169" s="2"/>
      <c r="R169" s="2"/>
      <c r="S169" s="2"/>
      <c r="T169" s="2"/>
      <c r="U169" s="2"/>
      <c r="V169" s="2"/>
      <c r="W169" s="2"/>
      <c r="X169" s="2"/>
      <c r="Y169" s="2"/>
      <c r="Z169" s="2"/>
      <c r="AA169" s="2"/>
      <c r="AB169" s="2"/>
      <c r="AC169" s="2"/>
    </row>
    <row r="170">
      <c r="A170" s="2"/>
      <c r="B170" s="2"/>
      <c r="C170" s="2"/>
      <c r="D170" s="2"/>
      <c r="E170" s="2"/>
      <c r="F170" s="2"/>
      <c r="G170" s="2"/>
      <c r="H170" s="2"/>
      <c r="I170" s="2"/>
      <c r="J170" s="2"/>
      <c r="K170" s="2"/>
      <c r="L170" s="2"/>
      <c r="M170" s="2"/>
      <c r="N170" s="2"/>
      <c r="O170" s="3"/>
      <c r="P170" s="3"/>
      <c r="Q170" s="2"/>
      <c r="R170" s="2"/>
      <c r="S170" s="2"/>
      <c r="T170" s="2"/>
      <c r="U170" s="2"/>
      <c r="V170" s="2"/>
      <c r="W170" s="2"/>
      <c r="X170" s="2"/>
      <c r="Y170" s="2"/>
      <c r="Z170" s="2"/>
      <c r="AA170" s="2"/>
      <c r="AB170" s="2"/>
      <c r="AC170" s="2"/>
    </row>
    <row r="171">
      <c r="A171" s="2"/>
      <c r="B171" s="2"/>
      <c r="C171" s="2"/>
      <c r="D171" s="2"/>
      <c r="E171" s="2"/>
      <c r="F171" s="2"/>
      <c r="G171" s="2"/>
      <c r="H171" s="2"/>
      <c r="I171" s="2"/>
      <c r="J171" s="2"/>
      <c r="K171" s="2"/>
      <c r="L171" s="2"/>
      <c r="M171" s="2"/>
      <c r="N171" s="2"/>
      <c r="O171" s="3"/>
      <c r="P171" s="3"/>
      <c r="Q171" s="2"/>
      <c r="R171" s="2"/>
      <c r="S171" s="2"/>
      <c r="T171" s="2"/>
      <c r="U171" s="2"/>
      <c r="V171" s="2"/>
      <c r="W171" s="2"/>
      <c r="X171" s="2"/>
      <c r="Y171" s="2"/>
      <c r="Z171" s="2"/>
      <c r="AA171" s="2"/>
      <c r="AB171" s="2"/>
      <c r="AC171" s="2"/>
    </row>
    <row r="172">
      <c r="A172" s="2"/>
      <c r="B172" s="2"/>
      <c r="C172" s="2"/>
      <c r="D172" s="2"/>
      <c r="E172" s="2"/>
      <c r="F172" s="2"/>
      <c r="G172" s="2"/>
      <c r="H172" s="2"/>
      <c r="I172" s="2"/>
      <c r="J172" s="2"/>
      <c r="K172" s="2"/>
      <c r="L172" s="2"/>
      <c r="M172" s="2"/>
      <c r="N172" s="2"/>
      <c r="O172" s="3"/>
      <c r="P172" s="3"/>
      <c r="Q172" s="2"/>
      <c r="R172" s="2"/>
      <c r="S172" s="2"/>
      <c r="T172" s="2"/>
      <c r="U172" s="2"/>
      <c r="V172" s="2"/>
      <c r="W172" s="2"/>
      <c r="X172" s="2"/>
      <c r="Y172" s="2"/>
      <c r="Z172" s="2"/>
      <c r="AA172" s="2"/>
      <c r="AB172" s="2"/>
      <c r="AC172" s="2"/>
    </row>
    <row r="173">
      <c r="A173" s="2"/>
      <c r="B173" s="2"/>
      <c r="C173" s="2"/>
      <c r="D173" s="2"/>
      <c r="E173" s="2"/>
      <c r="F173" s="2"/>
      <c r="G173" s="2"/>
      <c r="H173" s="2"/>
      <c r="I173" s="2"/>
      <c r="J173" s="2"/>
      <c r="K173" s="2"/>
      <c r="L173" s="2"/>
      <c r="M173" s="2"/>
      <c r="N173" s="2"/>
      <c r="O173" s="3"/>
      <c r="P173" s="3"/>
      <c r="Q173" s="2"/>
      <c r="R173" s="2"/>
      <c r="S173" s="2"/>
      <c r="T173" s="2"/>
      <c r="U173" s="2"/>
      <c r="V173" s="2"/>
      <c r="W173" s="2"/>
      <c r="X173" s="2"/>
      <c r="Y173" s="2"/>
      <c r="Z173" s="2"/>
      <c r="AA173" s="2"/>
      <c r="AB173" s="2"/>
      <c r="AC173" s="2"/>
    </row>
    <row r="174">
      <c r="A174" s="2"/>
      <c r="B174" s="2"/>
      <c r="C174" s="2"/>
      <c r="D174" s="2"/>
      <c r="E174" s="2"/>
      <c r="F174" s="2"/>
      <c r="G174" s="2"/>
      <c r="H174" s="2"/>
      <c r="I174" s="2"/>
      <c r="J174" s="2"/>
      <c r="K174" s="2"/>
      <c r="L174" s="2"/>
      <c r="M174" s="2"/>
      <c r="N174" s="2"/>
      <c r="O174" s="3"/>
      <c r="P174" s="3"/>
      <c r="Q174" s="2"/>
      <c r="R174" s="2"/>
      <c r="S174" s="2"/>
      <c r="T174" s="2"/>
      <c r="U174" s="2"/>
      <c r="V174" s="2"/>
      <c r="W174" s="2"/>
      <c r="X174" s="2"/>
      <c r="Y174" s="2"/>
      <c r="Z174" s="2"/>
      <c r="AA174" s="2"/>
      <c r="AB174" s="2"/>
      <c r="AC174" s="2"/>
    </row>
    <row r="175">
      <c r="A175" s="2"/>
      <c r="B175" s="2"/>
      <c r="C175" s="2"/>
      <c r="D175" s="2"/>
      <c r="E175" s="2"/>
      <c r="F175" s="2"/>
      <c r="G175" s="2"/>
      <c r="H175" s="2"/>
      <c r="I175" s="2"/>
      <c r="J175" s="2"/>
      <c r="K175" s="2"/>
      <c r="L175" s="2"/>
      <c r="M175" s="2"/>
      <c r="N175" s="2"/>
      <c r="O175" s="3"/>
      <c r="P175" s="3"/>
      <c r="Q175" s="2"/>
      <c r="R175" s="2"/>
      <c r="S175" s="2"/>
      <c r="T175" s="2"/>
      <c r="U175" s="2"/>
      <c r="V175" s="2"/>
      <c r="W175" s="2"/>
      <c r="X175" s="2"/>
      <c r="Y175" s="2"/>
      <c r="Z175" s="2"/>
      <c r="AA175" s="2"/>
      <c r="AB175" s="2"/>
      <c r="AC175" s="2"/>
    </row>
    <row r="176">
      <c r="A176" s="2"/>
      <c r="B176" s="2"/>
      <c r="C176" s="2"/>
      <c r="D176" s="2"/>
      <c r="E176" s="2"/>
      <c r="F176" s="2"/>
      <c r="G176" s="2"/>
      <c r="H176" s="2"/>
      <c r="I176" s="2"/>
      <c r="J176" s="2"/>
      <c r="K176" s="2"/>
      <c r="L176" s="2"/>
      <c r="M176" s="2"/>
      <c r="N176" s="2"/>
      <c r="O176" s="3"/>
      <c r="P176" s="3"/>
      <c r="Q176" s="2"/>
      <c r="R176" s="2"/>
      <c r="S176" s="2"/>
      <c r="T176" s="2"/>
      <c r="U176" s="2"/>
      <c r="V176" s="2"/>
      <c r="W176" s="2"/>
      <c r="X176" s="2"/>
      <c r="Y176" s="2"/>
      <c r="Z176" s="2"/>
      <c r="AA176" s="2"/>
      <c r="AB176" s="2"/>
      <c r="AC176" s="2"/>
    </row>
    <row r="177">
      <c r="A177" s="2"/>
      <c r="B177" s="2"/>
      <c r="C177" s="2"/>
      <c r="D177" s="2"/>
      <c r="E177" s="2"/>
      <c r="F177" s="2"/>
      <c r="G177" s="2"/>
      <c r="H177" s="2"/>
      <c r="I177" s="2"/>
      <c r="J177" s="2"/>
      <c r="K177" s="2"/>
      <c r="L177" s="2"/>
      <c r="M177" s="2"/>
      <c r="N177" s="2"/>
      <c r="O177" s="3"/>
      <c r="P177" s="3"/>
      <c r="Q177" s="2"/>
      <c r="R177" s="2"/>
      <c r="S177" s="2"/>
      <c r="T177" s="2"/>
      <c r="U177" s="2"/>
      <c r="V177" s="2"/>
      <c r="W177" s="2"/>
      <c r="X177" s="2"/>
      <c r="Y177" s="2"/>
      <c r="Z177" s="2"/>
      <c r="AA177" s="2"/>
      <c r="AB177" s="2"/>
      <c r="AC177" s="2"/>
    </row>
    <row r="178">
      <c r="A178" s="2"/>
      <c r="B178" s="2"/>
      <c r="C178" s="2"/>
      <c r="D178" s="2"/>
      <c r="E178" s="2"/>
      <c r="F178" s="2"/>
      <c r="G178" s="2"/>
      <c r="H178" s="2"/>
      <c r="I178" s="2"/>
      <c r="J178" s="2"/>
      <c r="K178" s="2"/>
      <c r="L178" s="2"/>
      <c r="M178" s="2"/>
      <c r="N178" s="2"/>
      <c r="O178" s="3"/>
      <c r="P178" s="3"/>
      <c r="Q178" s="2"/>
      <c r="R178" s="2"/>
      <c r="S178" s="2"/>
      <c r="T178" s="2"/>
      <c r="U178" s="2"/>
      <c r="V178" s="2"/>
      <c r="W178" s="2"/>
      <c r="X178" s="2"/>
      <c r="Y178" s="2"/>
      <c r="Z178" s="2"/>
      <c r="AA178" s="2"/>
      <c r="AB178" s="2"/>
      <c r="AC178" s="2"/>
    </row>
    <row r="179">
      <c r="A179" s="2"/>
      <c r="B179" s="2"/>
      <c r="C179" s="2"/>
      <c r="D179" s="2"/>
      <c r="E179" s="2"/>
      <c r="F179" s="2"/>
      <c r="G179" s="2"/>
      <c r="H179" s="2"/>
      <c r="I179" s="2"/>
      <c r="J179" s="2"/>
      <c r="K179" s="2"/>
      <c r="L179" s="2"/>
      <c r="M179" s="2"/>
      <c r="N179" s="2"/>
      <c r="O179" s="3"/>
      <c r="P179" s="3"/>
      <c r="Q179" s="2"/>
      <c r="R179" s="2"/>
      <c r="S179" s="2"/>
      <c r="T179" s="2"/>
      <c r="U179" s="2"/>
      <c r="V179" s="2"/>
      <c r="W179" s="2"/>
      <c r="X179" s="2"/>
      <c r="Y179" s="2"/>
      <c r="Z179" s="2"/>
      <c r="AA179" s="2"/>
      <c r="AB179" s="2"/>
      <c r="AC179" s="2"/>
    </row>
    <row r="180">
      <c r="A180" s="2"/>
      <c r="B180" s="2"/>
      <c r="C180" s="2"/>
      <c r="D180" s="2"/>
      <c r="E180" s="2"/>
      <c r="F180" s="2"/>
      <c r="G180" s="2"/>
      <c r="H180" s="2"/>
      <c r="I180" s="2"/>
      <c r="J180" s="2"/>
      <c r="K180" s="2"/>
      <c r="L180" s="2"/>
      <c r="M180" s="2"/>
      <c r="N180" s="2"/>
      <c r="O180" s="3"/>
      <c r="P180" s="3"/>
      <c r="Q180" s="2"/>
      <c r="R180" s="2"/>
      <c r="S180" s="2"/>
      <c r="T180" s="2"/>
      <c r="U180" s="2"/>
      <c r="V180" s="2"/>
      <c r="W180" s="2"/>
      <c r="X180" s="2"/>
      <c r="Y180" s="2"/>
      <c r="Z180" s="2"/>
      <c r="AA180" s="2"/>
      <c r="AB180" s="2"/>
      <c r="AC180" s="2"/>
    </row>
    <row r="181">
      <c r="A181" s="2"/>
      <c r="B181" s="2"/>
      <c r="C181" s="2"/>
      <c r="D181" s="2"/>
      <c r="E181" s="2"/>
      <c r="F181" s="2"/>
      <c r="G181" s="2"/>
      <c r="H181" s="2"/>
      <c r="I181" s="2"/>
      <c r="J181" s="2"/>
      <c r="K181" s="2"/>
      <c r="L181" s="2"/>
      <c r="M181" s="2"/>
      <c r="N181" s="2"/>
      <c r="O181" s="3"/>
      <c r="P181" s="3"/>
      <c r="Q181" s="2"/>
      <c r="R181" s="2"/>
      <c r="S181" s="2"/>
      <c r="T181" s="2"/>
      <c r="U181" s="2"/>
      <c r="V181" s="2"/>
      <c r="W181" s="2"/>
      <c r="X181" s="2"/>
      <c r="Y181" s="2"/>
      <c r="Z181" s="2"/>
      <c r="AA181" s="2"/>
      <c r="AB181" s="2"/>
      <c r="AC181" s="2"/>
    </row>
    <row r="182">
      <c r="A182" s="2"/>
      <c r="B182" s="2"/>
      <c r="C182" s="2"/>
      <c r="D182" s="2"/>
      <c r="E182" s="2"/>
      <c r="F182" s="2"/>
      <c r="G182" s="2"/>
      <c r="H182" s="2"/>
      <c r="I182" s="2"/>
      <c r="J182" s="2"/>
      <c r="K182" s="2"/>
      <c r="L182" s="2"/>
      <c r="M182" s="2"/>
      <c r="N182" s="2"/>
      <c r="O182" s="3"/>
      <c r="P182" s="3"/>
      <c r="Q182" s="2"/>
      <c r="R182" s="2"/>
      <c r="S182" s="2"/>
      <c r="T182" s="2"/>
      <c r="U182" s="2"/>
      <c r="V182" s="2"/>
      <c r="W182" s="2"/>
      <c r="X182" s="2"/>
      <c r="Y182" s="2"/>
      <c r="Z182" s="2"/>
      <c r="AA182" s="2"/>
      <c r="AB182" s="2"/>
      <c r="AC182" s="2"/>
    </row>
    <row r="183">
      <c r="A183" s="2"/>
      <c r="B183" s="2"/>
      <c r="C183" s="2"/>
      <c r="D183" s="2"/>
      <c r="E183" s="2"/>
      <c r="F183" s="2"/>
      <c r="G183" s="2"/>
      <c r="H183" s="2"/>
      <c r="I183" s="2"/>
      <c r="J183" s="2"/>
      <c r="K183" s="2"/>
      <c r="L183" s="2"/>
      <c r="M183" s="2"/>
      <c r="N183" s="2"/>
      <c r="O183" s="3"/>
      <c r="P183" s="3"/>
      <c r="Q183" s="2"/>
      <c r="R183" s="2"/>
      <c r="S183" s="2"/>
      <c r="T183" s="2"/>
      <c r="U183" s="2"/>
      <c r="V183" s="2"/>
      <c r="W183" s="2"/>
      <c r="X183" s="2"/>
      <c r="Y183" s="2"/>
      <c r="Z183" s="2"/>
      <c r="AA183" s="2"/>
      <c r="AB183" s="2"/>
      <c r="AC183" s="2"/>
    </row>
    <row r="184">
      <c r="A184" s="2"/>
      <c r="B184" s="2"/>
      <c r="C184" s="2"/>
      <c r="D184" s="2"/>
      <c r="E184" s="2"/>
      <c r="F184" s="2"/>
      <c r="G184" s="2"/>
      <c r="H184" s="2"/>
      <c r="I184" s="2"/>
      <c r="J184" s="2"/>
      <c r="K184" s="2"/>
      <c r="L184" s="2"/>
      <c r="M184" s="2"/>
      <c r="N184" s="2"/>
      <c r="O184" s="3"/>
      <c r="P184" s="3"/>
      <c r="Q184" s="2"/>
      <c r="R184" s="2"/>
      <c r="S184" s="2"/>
      <c r="T184" s="2"/>
      <c r="U184" s="2"/>
      <c r="V184" s="2"/>
      <c r="W184" s="2"/>
      <c r="X184" s="2"/>
      <c r="Y184" s="2"/>
      <c r="Z184" s="2"/>
      <c r="AA184" s="2"/>
      <c r="AB184" s="2"/>
      <c r="AC184" s="2"/>
    </row>
    <row r="185">
      <c r="A185" s="2"/>
      <c r="B185" s="2"/>
      <c r="C185" s="2"/>
      <c r="D185" s="2"/>
      <c r="E185" s="2"/>
      <c r="F185" s="2"/>
      <c r="G185" s="2"/>
      <c r="H185" s="2"/>
      <c r="I185" s="2"/>
      <c r="J185" s="2"/>
      <c r="K185" s="2"/>
      <c r="L185" s="2"/>
      <c r="M185" s="2"/>
      <c r="N185" s="2"/>
      <c r="O185" s="3"/>
      <c r="P185" s="3"/>
      <c r="Q185" s="2"/>
      <c r="R185" s="2"/>
      <c r="S185" s="2"/>
      <c r="T185" s="2"/>
      <c r="U185" s="2"/>
      <c r="V185" s="2"/>
      <c r="W185" s="2"/>
      <c r="X185" s="2"/>
      <c r="Y185" s="2"/>
      <c r="Z185" s="2"/>
      <c r="AA185" s="2"/>
      <c r="AB185" s="2"/>
      <c r="AC185" s="2"/>
    </row>
    <row r="186">
      <c r="A186" s="2"/>
      <c r="B186" s="2"/>
      <c r="C186" s="2"/>
      <c r="D186" s="2"/>
      <c r="E186" s="2"/>
      <c r="F186" s="2"/>
      <c r="G186" s="2"/>
      <c r="H186" s="2"/>
      <c r="I186" s="2"/>
      <c r="J186" s="2"/>
      <c r="K186" s="2"/>
      <c r="L186" s="2"/>
      <c r="M186" s="2"/>
      <c r="N186" s="2"/>
      <c r="O186" s="3"/>
      <c r="P186" s="3"/>
      <c r="Q186" s="2"/>
      <c r="R186" s="2"/>
      <c r="S186" s="2"/>
      <c r="T186" s="2"/>
      <c r="U186" s="2"/>
      <c r="V186" s="2"/>
      <c r="W186" s="2"/>
      <c r="X186" s="2"/>
      <c r="Y186" s="2"/>
      <c r="Z186" s="2"/>
      <c r="AA186" s="2"/>
      <c r="AB186" s="2"/>
      <c r="AC186" s="2"/>
    </row>
    <row r="187">
      <c r="A187" s="2"/>
      <c r="B187" s="2"/>
      <c r="C187" s="2"/>
      <c r="D187" s="2"/>
      <c r="E187" s="2"/>
      <c r="F187" s="2"/>
      <c r="G187" s="2"/>
      <c r="H187" s="2"/>
      <c r="I187" s="2"/>
      <c r="J187" s="2"/>
      <c r="K187" s="2"/>
      <c r="L187" s="2"/>
      <c r="M187" s="2"/>
      <c r="N187" s="2"/>
      <c r="O187" s="3"/>
      <c r="P187" s="3"/>
      <c r="Q187" s="2"/>
      <c r="R187" s="2"/>
      <c r="S187" s="2"/>
      <c r="T187" s="2"/>
      <c r="U187" s="2"/>
      <c r="V187" s="2"/>
      <c r="W187" s="2"/>
      <c r="X187" s="2"/>
      <c r="Y187" s="2"/>
      <c r="Z187" s="2"/>
      <c r="AA187" s="2"/>
      <c r="AB187" s="2"/>
      <c r="AC187" s="2"/>
    </row>
    <row r="188">
      <c r="A188" s="2"/>
      <c r="B188" s="2"/>
      <c r="C188" s="2"/>
      <c r="D188" s="2"/>
      <c r="E188" s="2"/>
      <c r="F188" s="2"/>
      <c r="G188" s="2"/>
      <c r="H188" s="2"/>
      <c r="I188" s="2"/>
      <c r="J188" s="2"/>
      <c r="K188" s="2"/>
      <c r="L188" s="2"/>
      <c r="M188" s="2"/>
      <c r="N188" s="2"/>
      <c r="O188" s="3"/>
      <c r="P188" s="3"/>
      <c r="Q188" s="2"/>
      <c r="R188" s="2"/>
      <c r="S188" s="2"/>
      <c r="T188" s="2"/>
      <c r="U188" s="2"/>
      <c r="V188" s="2"/>
      <c r="W188" s="2"/>
      <c r="X188" s="2"/>
      <c r="Y188" s="2"/>
      <c r="Z188" s="2"/>
      <c r="AA188" s="2"/>
      <c r="AB188" s="2"/>
      <c r="AC188" s="2"/>
    </row>
    <row r="189">
      <c r="A189" s="2"/>
      <c r="B189" s="2"/>
      <c r="C189" s="2"/>
      <c r="D189" s="2"/>
      <c r="E189" s="2"/>
      <c r="F189" s="2"/>
      <c r="G189" s="2"/>
      <c r="H189" s="2"/>
      <c r="I189" s="2"/>
      <c r="J189" s="2"/>
      <c r="K189" s="2"/>
      <c r="L189" s="2"/>
      <c r="M189" s="2"/>
      <c r="N189" s="2"/>
      <c r="O189" s="3"/>
      <c r="P189" s="3"/>
      <c r="Q189" s="2"/>
      <c r="R189" s="2"/>
      <c r="S189" s="2"/>
      <c r="T189" s="2"/>
      <c r="U189" s="2"/>
      <c r="V189" s="2"/>
      <c r="W189" s="2"/>
      <c r="X189" s="2"/>
      <c r="Y189" s="2"/>
      <c r="Z189" s="2"/>
      <c r="AA189" s="2"/>
      <c r="AB189" s="2"/>
      <c r="AC189" s="2"/>
    </row>
    <row r="190">
      <c r="A190" s="2"/>
      <c r="B190" s="2"/>
      <c r="C190" s="2"/>
      <c r="D190" s="2"/>
      <c r="E190" s="2"/>
      <c r="F190" s="2"/>
      <c r="G190" s="2"/>
      <c r="H190" s="2"/>
      <c r="I190" s="2"/>
      <c r="J190" s="2"/>
      <c r="K190" s="2"/>
      <c r="L190" s="2"/>
      <c r="M190" s="2"/>
      <c r="N190" s="2"/>
      <c r="O190" s="3"/>
      <c r="P190" s="3"/>
      <c r="Q190" s="2"/>
      <c r="R190" s="2"/>
      <c r="S190" s="2"/>
      <c r="T190" s="2"/>
      <c r="U190" s="2"/>
      <c r="V190" s="2"/>
      <c r="W190" s="2"/>
      <c r="X190" s="2"/>
      <c r="Y190" s="2"/>
      <c r="Z190" s="2"/>
      <c r="AA190" s="2"/>
      <c r="AB190" s="2"/>
      <c r="AC190" s="2"/>
    </row>
    <row r="191">
      <c r="A191" s="2"/>
      <c r="B191" s="2"/>
      <c r="C191" s="2"/>
      <c r="D191" s="2"/>
      <c r="E191" s="2"/>
      <c r="F191" s="2"/>
      <c r="G191" s="2"/>
      <c r="H191" s="2"/>
      <c r="I191" s="2"/>
      <c r="J191" s="2"/>
      <c r="K191" s="2"/>
      <c r="L191" s="2"/>
      <c r="M191" s="2"/>
      <c r="N191" s="2"/>
      <c r="O191" s="3"/>
      <c r="P191" s="3"/>
      <c r="Q191" s="2"/>
      <c r="R191" s="2"/>
      <c r="S191" s="2"/>
      <c r="T191" s="2"/>
      <c r="U191" s="2"/>
      <c r="V191" s="2"/>
      <c r="W191" s="2"/>
      <c r="X191" s="2"/>
      <c r="Y191" s="2"/>
      <c r="Z191" s="2"/>
      <c r="AA191" s="2"/>
      <c r="AB191" s="2"/>
      <c r="AC191" s="2"/>
    </row>
    <row r="192">
      <c r="A192" s="2"/>
      <c r="B192" s="2"/>
      <c r="C192" s="2"/>
      <c r="D192" s="2"/>
      <c r="E192" s="2"/>
      <c r="F192" s="2"/>
      <c r="G192" s="2"/>
      <c r="H192" s="2"/>
      <c r="I192" s="2"/>
      <c r="J192" s="2"/>
      <c r="K192" s="2"/>
      <c r="L192" s="2"/>
      <c r="M192" s="2"/>
      <c r="N192" s="2"/>
      <c r="O192" s="3"/>
      <c r="P192" s="3"/>
      <c r="Q192" s="2"/>
      <c r="R192" s="2"/>
      <c r="S192" s="2"/>
      <c r="T192" s="2"/>
      <c r="U192" s="2"/>
      <c r="V192" s="2"/>
      <c r="W192" s="2"/>
      <c r="X192" s="2"/>
      <c r="Y192" s="2"/>
      <c r="Z192" s="2"/>
      <c r="AA192" s="2"/>
      <c r="AB192" s="2"/>
      <c r="AC192" s="2"/>
    </row>
    <row r="193">
      <c r="A193" s="2"/>
      <c r="B193" s="2"/>
      <c r="C193" s="2"/>
      <c r="D193" s="2"/>
      <c r="E193" s="2"/>
      <c r="F193" s="2"/>
      <c r="G193" s="2"/>
      <c r="H193" s="2"/>
      <c r="I193" s="2"/>
      <c r="J193" s="2"/>
      <c r="K193" s="2"/>
      <c r="L193" s="2"/>
      <c r="M193" s="2"/>
      <c r="N193" s="2"/>
      <c r="O193" s="3"/>
      <c r="P193" s="3"/>
      <c r="Q193" s="2"/>
      <c r="R193" s="2"/>
      <c r="S193" s="2"/>
      <c r="T193" s="2"/>
      <c r="U193" s="2"/>
      <c r="V193" s="2"/>
      <c r="W193" s="2"/>
      <c r="X193" s="2"/>
      <c r="Y193" s="2"/>
      <c r="Z193" s="2"/>
      <c r="AA193" s="2"/>
      <c r="AB193" s="2"/>
      <c r="AC193" s="2"/>
    </row>
    <row r="194">
      <c r="A194" s="2"/>
      <c r="B194" s="2"/>
      <c r="C194" s="2"/>
      <c r="D194" s="2"/>
      <c r="E194" s="2"/>
      <c r="F194" s="2"/>
      <c r="G194" s="2"/>
      <c r="H194" s="2"/>
      <c r="I194" s="2"/>
      <c r="J194" s="2"/>
      <c r="K194" s="2"/>
      <c r="L194" s="2"/>
      <c r="M194" s="2"/>
      <c r="N194" s="2"/>
      <c r="O194" s="3"/>
      <c r="P194" s="3"/>
      <c r="Q194" s="2"/>
      <c r="R194" s="2"/>
      <c r="S194" s="2"/>
      <c r="T194" s="2"/>
      <c r="U194" s="2"/>
      <c r="V194" s="2"/>
      <c r="W194" s="2"/>
      <c r="X194" s="2"/>
      <c r="Y194" s="2"/>
      <c r="Z194" s="2"/>
      <c r="AA194" s="2"/>
      <c r="AB194" s="2"/>
      <c r="AC194" s="2"/>
    </row>
    <row r="195">
      <c r="A195" s="2"/>
      <c r="B195" s="2"/>
      <c r="C195" s="2"/>
      <c r="D195" s="2"/>
      <c r="E195" s="2"/>
      <c r="F195" s="2"/>
      <c r="G195" s="2"/>
      <c r="H195" s="2"/>
      <c r="I195" s="2"/>
      <c r="J195" s="2"/>
      <c r="K195" s="2"/>
      <c r="L195" s="2"/>
      <c r="M195" s="2"/>
      <c r="N195" s="2"/>
      <c r="O195" s="3"/>
      <c r="P195" s="3"/>
      <c r="Q195" s="2"/>
      <c r="R195" s="2"/>
      <c r="S195" s="2"/>
      <c r="T195" s="2"/>
      <c r="U195" s="2"/>
      <c r="V195" s="2"/>
      <c r="W195" s="2"/>
      <c r="X195" s="2"/>
      <c r="Y195" s="2"/>
      <c r="Z195" s="2"/>
      <c r="AA195" s="2"/>
      <c r="AB195" s="2"/>
      <c r="AC195" s="2"/>
    </row>
    <row r="196">
      <c r="A196" s="2"/>
      <c r="B196" s="2"/>
      <c r="C196" s="2"/>
      <c r="D196" s="2"/>
      <c r="E196" s="2"/>
      <c r="F196" s="2"/>
      <c r="G196" s="2"/>
      <c r="H196" s="2"/>
      <c r="I196" s="2"/>
      <c r="J196" s="2"/>
      <c r="K196" s="2"/>
      <c r="L196" s="2"/>
      <c r="M196" s="2"/>
      <c r="N196" s="2"/>
      <c r="O196" s="3"/>
      <c r="P196" s="3"/>
      <c r="Q196" s="2"/>
      <c r="R196" s="2"/>
      <c r="S196" s="2"/>
      <c r="T196" s="2"/>
      <c r="U196" s="2"/>
      <c r="V196" s="2"/>
      <c r="W196" s="2"/>
      <c r="X196" s="2"/>
      <c r="Y196" s="2"/>
      <c r="Z196" s="2"/>
      <c r="AA196" s="2"/>
      <c r="AB196" s="2"/>
      <c r="AC196" s="2"/>
    </row>
    <row r="197">
      <c r="A197" s="2"/>
      <c r="B197" s="2"/>
      <c r="C197" s="2"/>
      <c r="D197" s="2"/>
      <c r="E197" s="2"/>
      <c r="F197" s="2"/>
      <c r="G197" s="2"/>
      <c r="H197" s="2"/>
      <c r="I197" s="2"/>
      <c r="J197" s="2"/>
      <c r="K197" s="2"/>
      <c r="L197" s="2"/>
      <c r="M197" s="2"/>
      <c r="N197" s="2"/>
      <c r="O197" s="3"/>
      <c r="P197" s="3"/>
      <c r="Q197" s="2"/>
      <c r="R197" s="2"/>
      <c r="S197" s="2"/>
      <c r="T197" s="2"/>
      <c r="U197" s="2"/>
      <c r="V197" s="2"/>
      <c r="W197" s="2"/>
      <c r="X197" s="2"/>
      <c r="Y197" s="2"/>
      <c r="Z197" s="2"/>
      <c r="AA197" s="2"/>
      <c r="AB197" s="2"/>
      <c r="AC197" s="2"/>
    </row>
    <row r="198">
      <c r="A198" s="2"/>
      <c r="B198" s="2"/>
      <c r="C198" s="2"/>
      <c r="D198" s="2"/>
      <c r="E198" s="2"/>
      <c r="F198" s="2"/>
      <c r="G198" s="2"/>
      <c r="H198" s="2"/>
      <c r="I198" s="2"/>
      <c r="J198" s="2"/>
      <c r="K198" s="2"/>
      <c r="L198" s="2"/>
      <c r="M198" s="2"/>
      <c r="N198" s="2"/>
      <c r="O198" s="3"/>
      <c r="P198" s="3"/>
      <c r="Q198" s="2"/>
      <c r="R198" s="2"/>
      <c r="S198" s="2"/>
      <c r="T198" s="2"/>
      <c r="U198" s="2"/>
      <c r="V198" s="2"/>
      <c r="W198" s="2"/>
      <c r="X198" s="2"/>
      <c r="Y198" s="2"/>
      <c r="Z198" s="2"/>
      <c r="AA198" s="2"/>
      <c r="AB198" s="2"/>
      <c r="AC198" s="2"/>
    </row>
    <row r="199">
      <c r="A199" s="2"/>
      <c r="B199" s="2"/>
      <c r="C199" s="2"/>
      <c r="D199" s="2"/>
      <c r="E199" s="2"/>
      <c r="F199" s="2"/>
      <c r="G199" s="2"/>
      <c r="H199" s="2"/>
      <c r="I199" s="2"/>
      <c r="J199" s="2"/>
      <c r="K199" s="2"/>
      <c r="L199" s="2"/>
      <c r="M199" s="2"/>
      <c r="N199" s="2"/>
      <c r="O199" s="3"/>
      <c r="P199" s="3"/>
      <c r="Q199" s="2"/>
      <c r="R199" s="2"/>
      <c r="S199" s="2"/>
      <c r="T199" s="2"/>
      <c r="U199" s="2"/>
      <c r="V199" s="2"/>
      <c r="W199" s="2"/>
      <c r="X199" s="2"/>
      <c r="Y199" s="2"/>
      <c r="Z199" s="2"/>
      <c r="AA199" s="2"/>
      <c r="AB199" s="2"/>
      <c r="AC199" s="2"/>
    </row>
    <row r="200">
      <c r="A200" s="2"/>
      <c r="B200" s="2"/>
      <c r="C200" s="2"/>
      <c r="D200" s="2"/>
      <c r="E200" s="2"/>
      <c r="F200" s="2"/>
      <c r="G200" s="2"/>
      <c r="H200" s="2"/>
      <c r="I200" s="2"/>
      <c r="J200" s="2"/>
      <c r="K200" s="2"/>
      <c r="L200" s="2"/>
      <c r="M200" s="2"/>
      <c r="N200" s="2"/>
      <c r="O200" s="3"/>
      <c r="P200" s="3"/>
      <c r="Q200" s="2"/>
      <c r="R200" s="2"/>
      <c r="S200" s="2"/>
      <c r="T200" s="2"/>
      <c r="U200" s="2"/>
      <c r="V200" s="2"/>
      <c r="W200" s="2"/>
      <c r="X200" s="2"/>
      <c r="Y200" s="2"/>
      <c r="Z200" s="2"/>
      <c r="AA200" s="2"/>
      <c r="AB200" s="2"/>
      <c r="AC200" s="2"/>
    </row>
    <row r="201">
      <c r="A201" s="2"/>
      <c r="B201" s="2"/>
      <c r="C201" s="2"/>
      <c r="D201" s="2"/>
      <c r="E201" s="2"/>
      <c r="F201" s="2"/>
      <c r="G201" s="2"/>
      <c r="H201" s="2"/>
      <c r="I201" s="2"/>
      <c r="J201" s="2"/>
      <c r="K201" s="2"/>
      <c r="L201" s="2"/>
      <c r="M201" s="2"/>
      <c r="N201" s="2"/>
      <c r="O201" s="3"/>
      <c r="P201" s="3"/>
      <c r="Q201" s="2"/>
      <c r="R201" s="2"/>
      <c r="S201" s="2"/>
      <c r="T201" s="2"/>
      <c r="U201" s="2"/>
      <c r="V201" s="2"/>
      <c r="W201" s="2"/>
      <c r="X201" s="2"/>
      <c r="Y201" s="2"/>
      <c r="Z201" s="2"/>
      <c r="AA201" s="2"/>
      <c r="AB201" s="2"/>
      <c r="AC201" s="2"/>
    </row>
    <row r="202">
      <c r="A202" s="2"/>
      <c r="B202" s="2"/>
      <c r="C202" s="2"/>
      <c r="D202" s="2"/>
      <c r="E202" s="2"/>
      <c r="F202" s="2"/>
      <c r="G202" s="2"/>
      <c r="H202" s="2"/>
      <c r="I202" s="2"/>
      <c r="J202" s="2"/>
      <c r="K202" s="2"/>
      <c r="L202" s="2"/>
      <c r="M202" s="2"/>
      <c r="N202" s="2"/>
      <c r="O202" s="3"/>
      <c r="P202" s="3"/>
      <c r="Q202" s="2"/>
      <c r="R202" s="2"/>
      <c r="S202" s="2"/>
      <c r="T202" s="2"/>
      <c r="U202" s="2"/>
      <c r="V202" s="2"/>
      <c r="W202" s="2"/>
      <c r="X202" s="2"/>
      <c r="Y202" s="2"/>
      <c r="Z202" s="2"/>
      <c r="AA202" s="2"/>
      <c r="AB202" s="2"/>
      <c r="AC202" s="2"/>
    </row>
    <row r="203">
      <c r="A203" s="2"/>
      <c r="B203" s="2"/>
      <c r="C203" s="2"/>
      <c r="D203" s="2"/>
      <c r="E203" s="2"/>
      <c r="F203" s="2"/>
      <c r="G203" s="2"/>
      <c r="H203" s="2"/>
      <c r="I203" s="2"/>
      <c r="J203" s="2"/>
      <c r="K203" s="2"/>
      <c r="L203" s="2"/>
      <c r="M203" s="2"/>
      <c r="N203" s="2"/>
      <c r="O203" s="3"/>
      <c r="P203" s="3"/>
      <c r="Q203" s="2"/>
      <c r="R203" s="2"/>
      <c r="S203" s="2"/>
      <c r="T203" s="2"/>
      <c r="U203" s="2"/>
      <c r="V203" s="2"/>
      <c r="W203" s="2"/>
      <c r="X203" s="2"/>
      <c r="Y203" s="2"/>
      <c r="Z203" s="2"/>
      <c r="AA203" s="2"/>
      <c r="AB203" s="2"/>
      <c r="AC203" s="2"/>
    </row>
    <row r="204">
      <c r="A204" s="2"/>
      <c r="B204" s="2"/>
      <c r="C204" s="2"/>
      <c r="D204" s="2"/>
      <c r="E204" s="2"/>
      <c r="F204" s="2"/>
      <c r="G204" s="2"/>
      <c r="H204" s="2"/>
      <c r="I204" s="2"/>
      <c r="J204" s="2"/>
      <c r="K204" s="2"/>
      <c r="L204" s="2"/>
      <c r="M204" s="2"/>
      <c r="N204" s="2"/>
      <c r="O204" s="3"/>
      <c r="P204" s="3"/>
      <c r="Q204" s="2"/>
      <c r="R204" s="2"/>
      <c r="S204" s="2"/>
      <c r="T204" s="2"/>
      <c r="U204" s="2"/>
      <c r="V204" s="2"/>
      <c r="W204" s="2"/>
      <c r="X204" s="2"/>
      <c r="Y204" s="2"/>
      <c r="Z204" s="2"/>
      <c r="AA204" s="2"/>
      <c r="AB204" s="2"/>
      <c r="AC204" s="2"/>
    </row>
    <row r="205">
      <c r="A205" s="2"/>
      <c r="B205" s="2"/>
      <c r="C205" s="2"/>
      <c r="D205" s="2"/>
      <c r="E205" s="2"/>
      <c r="F205" s="2"/>
      <c r="G205" s="2"/>
      <c r="H205" s="2"/>
      <c r="I205" s="2"/>
      <c r="J205" s="2"/>
      <c r="K205" s="2"/>
      <c r="L205" s="2"/>
      <c r="M205" s="2"/>
      <c r="N205" s="2"/>
      <c r="O205" s="3"/>
      <c r="P205" s="3"/>
      <c r="Q205" s="2"/>
      <c r="R205" s="2"/>
      <c r="S205" s="2"/>
      <c r="T205" s="2"/>
      <c r="U205" s="2"/>
      <c r="V205" s="2"/>
      <c r="W205" s="2"/>
      <c r="X205" s="2"/>
      <c r="Y205" s="2"/>
      <c r="Z205" s="2"/>
      <c r="AA205" s="2"/>
      <c r="AB205" s="2"/>
      <c r="AC205" s="2"/>
    </row>
    <row r="206">
      <c r="A206" s="2"/>
      <c r="B206" s="2"/>
      <c r="C206" s="2"/>
      <c r="D206" s="2"/>
      <c r="E206" s="2"/>
      <c r="F206" s="2"/>
      <c r="G206" s="2"/>
      <c r="H206" s="2"/>
      <c r="I206" s="2"/>
      <c r="J206" s="2"/>
      <c r="K206" s="2"/>
      <c r="L206" s="2"/>
      <c r="M206" s="2"/>
      <c r="N206" s="2"/>
      <c r="O206" s="3"/>
      <c r="P206" s="3"/>
      <c r="Q206" s="2"/>
      <c r="R206" s="2"/>
      <c r="S206" s="2"/>
      <c r="T206" s="2"/>
      <c r="U206" s="2"/>
      <c r="V206" s="2"/>
      <c r="W206" s="2"/>
      <c r="X206" s="2"/>
      <c r="Y206" s="2"/>
      <c r="Z206" s="2"/>
      <c r="AA206" s="2"/>
      <c r="AB206" s="2"/>
      <c r="AC206" s="2"/>
    </row>
    <row r="207">
      <c r="A207" s="2"/>
      <c r="B207" s="2"/>
      <c r="C207" s="2"/>
      <c r="D207" s="2"/>
      <c r="E207" s="2"/>
      <c r="F207" s="2"/>
      <c r="G207" s="2"/>
      <c r="H207" s="2"/>
      <c r="I207" s="2"/>
      <c r="J207" s="2"/>
      <c r="K207" s="2"/>
      <c r="L207" s="2"/>
      <c r="M207" s="2"/>
      <c r="N207" s="2"/>
      <c r="O207" s="3"/>
      <c r="P207" s="3"/>
      <c r="Q207" s="2"/>
      <c r="R207" s="2"/>
      <c r="S207" s="2"/>
      <c r="T207" s="2"/>
      <c r="U207" s="2"/>
      <c r="V207" s="2"/>
      <c r="W207" s="2"/>
      <c r="X207" s="2"/>
      <c r="Y207" s="2"/>
      <c r="Z207" s="2"/>
      <c r="AA207" s="2"/>
      <c r="AB207" s="2"/>
      <c r="AC207" s="2"/>
    </row>
    <row r="208">
      <c r="A208" s="2"/>
      <c r="B208" s="2"/>
      <c r="C208" s="2"/>
      <c r="D208" s="2"/>
      <c r="E208" s="2"/>
      <c r="F208" s="2"/>
      <c r="G208" s="2"/>
      <c r="H208" s="2"/>
      <c r="I208" s="2"/>
      <c r="J208" s="2"/>
      <c r="K208" s="2"/>
      <c r="L208" s="2"/>
      <c r="M208" s="2"/>
      <c r="N208" s="2"/>
      <c r="O208" s="3"/>
      <c r="P208" s="3"/>
      <c r="Q208" s="2"/>
      <c r="R208" s="2"/>
      <c r="S208" s="2"/>
      <c r="T208" s="2"/>
      <c r="U208" s="2"/>
      <c r="V208" s="2"/>
      <c r="W208" s="2"/>
      <c r="X208" s="2"/>
      <c r="Y208" s="2"/>
      <c r="Z208" s="2"/>
      <c r="AA208" s="2"/>
      <c r="AB208" s="2"/>
      <c r="AC208" s="2"/>
    </row>
    <row r="209">
      <c r="A209" s="2"/>
      <c r="B209" s="2"/>
      <c r="C209" s="2"/>
      <c r="D209" s="2"/>
      <c r="E209" s="2"/>
      <c r="F209" s="2"/>
      <c r="G209" s="2"/>
      <c r="H209" s="2"/>
      <c r="I209" s="2"/>
      <c r="J209" s="2"/>
      <c r="K209" s="2"/>
      <c r="L209" s="2"/>
      <c r="M209" s="2"/>
      <c r="N209" s="2"/>
      <c r="O209" s="3"/>
      <c r="P209" s="3"/>
      <c r="Q209" s="2"/>
      <c r="R209" s="2"/>
      <c r="S209" s="2"/>
      <c r="T209" s="2"/>
      <c r="U209" s="2"/>
      <c r="V209" s="2"/>
      <c r="W209" s="2"/>
      <c r="X209" s="2"/>
      <c r="Y209" s="2"/>
      <c r="Z209" s="2"/>
      <c r="AA209" s="2"/>
      <c r="AB209" s="2"/>
      <c r="AC209" s="2"/>
    </row>
    <row r="210">
      <c r="A210" s="2"/>
      <c r="B210" s="2"/>
      <c r="C210" s="2"/>
      <c r="D210" s="2"/>
      <c r="E210" s="2"/>
      <c r="F210" s="2"/>
      <c r="G210" s="2"/>
      <c r="H210" s="2"/>
      <c r="I210" s="2"/>
      <c r="J210" s="2"/>
      <c r="K210" s="2"/>
      <c r="L210" s="2"/>
      <c r="M210" s="2"/>
      <c r="N210" s="2"/>
      <c r="O210" s="3"/>
      <c r="P210" s="3"/>
      <c r="Q210" s="2"/>
      <c r="R210" s="2"/>
      <c r="S210" s="2"/>
      <c r="T210" s="2"/>
      <c r="U210" s="2"/>
      <c r="V210" s="2"/>
      <c r="W210" s="2"/>
      <c r="X210" s="2"/>
      <c r="Y210" s="2"/>
      <c r="Z210" s="2"/>
      <c r="AA210" s="2"/>
      <c r="AB210" s="2"/>
      <c r="AC210" s="2"/>
    </row>
    <row r="211">
      <c r="A211" s="2"/>
      <c r="B211" s="2"/>
      <c r="C211" s="2"/>
      <c r="D211" s="2"/>
      <c r="E211" s="2"/>
      <c r="F211" s="2"/>
      <c r="G211" s="2"/>
      <c r="H211" s="2"/>
      <c r="I211" s="2"/>
      <c r="J211" s="2"/>
      <c r="K211" s="2"/>
      <c r="L211" s="2"/>
      <c r="M211" s="2"/>
      <c r="N211" s="2"/>
      <c r="O211" s="3"/>
      <c r="P211" s="3"/>
      <c r="Q211" s="2"/>
      <c r="R211" s="2"/>
      <c r="S211" s="2"/>
      <c r="T211" s="2"/>
      <c r="U211" s="2"/>
      <c r="V211" s="2"/>
      <c r="W211" s="2"/>
      <c r="X211" s="2"/>
      <c r="Y211" s="2"/>
      <c r="Z211" s="2"/>
      <c r="AA211" s="2"/>
      <c r="AB211" s="2"/>
      <c r="AC211" s="2"/>
    </row>
    <row r="212">
      <c r="A212" s="2"/>
      <c r="B212" s="2"/>
      <c r="C212" s="2"/>
      <c r="D212" s="2"/>
      <c r="E212" s="2"/>
      <c r="F212" s="2"/>
      <c r="G212" s="2"/>
      <c r="H212" s="2"/>
      <c r="I212" s="2"/>
      <c r="J212" s="2"/>
      <c r="K212" s="2"/>
      <c r="L212" s="2"/>
      <c r="M212" s="2"/>
      <c r="N212" s="2"/>
      <c r="O212" s="3"/>
      <c r="P212" s="3"/>
      <c r="Q212" s="2"/>
      <c r="R212" s="2"/>
      <c r="S212" s="2"/>
      <c r="T212" s="2"/>
      <c r="U212" s="2"/>
      <c r="V212" s="2"/>
      <c r="W212" s="2"/>
      <c r="X212" s="2"/>
      <c r="Y212" s="2"/>
      <c r="Z212" s="2"/>
      <c r="AA212" s="2"/>
      <c r="AB212" s="2"/>
      <c r="AC212" s="2"/>
    </row>
    <row r="213">
      <c r="A213" s="2"/>
      <c r="B213" s="2"/>
      <c r="C213" s="2"/>
      <c r="D213" s="2"/>
      <c r="E213" s="2"/>
      <c r="F213" s="2"/>
      <c r="G213" s="2"/>
      <c r="H213" s="2"/>
      <c r="I213" s="2"/>
      <c r="J213" s="2"/>
      <c r="K213" s="2"/>
      <c r="L213" s="2"/>
      <c r="M213" s="2"/>
      <c r="N213" s="2"/>
      <c r="O213" s="3"/>
      <c r="P213" s="3"/>
      <c r="Q213" s="2"/>
      <c r="R213" s="2"/>
      <c r="S213" s="2"/>
      <c r="T213" s="2"/>
      <c r="U213" s="2"/>
      <c r="V213" s="2"/>
      <c r="W213" s="2"/>
      <c r="X213" s="2"/>
      <c r="Y213" s="2"/>
      <c r="Z213" s="2"/>
      <c r="AA213" s="2"/>
      <c r="AB213" s="2"/>
      <c r="AC213" s="2"/>
    </row>
    <row r="214">
      <c r="A214" s="2"/>
      <c r="B214" s="2"/>
      <c r="C214" s="2"/>
      <c r="D214" s="2"/>
      <c r="E214" s="2"/>
      <c r="F214" s="2"/>
      <c r="G214" s="2"/>
      <c r="H214" s="2"/>
      <c r="I214" s="2"/>
      <c r="J214" s="2"/>
      <c r="K214" s="2"/>
      <c r="L214" s="2"/>
      <c r="M214" s="2"/>
      <c r="N214" s="2"/>
      <c r="O214" s="3"/>
      <c r="P214" s="3"/>
      <c r="Q214" s="2"/>
      <c r="R214" s="2"/>
      <c r="S214" s="2"/>
      <c r="T214" s="2"/>
      <c r="U214" s="2"/>
      <c r="V214" s="2"/>
      <c r="W214" s="2"/>
      <c r="X214" s="2"/>
      <c r="Y214" s="2"/>
      <c r="Z214" s="2"/>
      <c r="AA214" s="2"/>
      <c r="AB214" s="2"/>
      <c r="AC214" s="2"/>
    </row>
    <row r="215">
      <c r="A215" s="2"/>
      <c r="B215" s="2"/>
      <c r="C215" s="2"/>
      <c r="D215" s="2"/>
      <c r="E215" s="2"/>
      <c r="F215" s="2"/>
      <c r="G215" s="2"/>
      <c r="H215" s="2"/>
      <c r="I215" s="2"/>
      <c r="J215" s="2"/>
      <c r="K215" s="2"/>
      <c r="L215" s="2"/>
      <c r="M215" s="2"/>
      <c r="N215" s="2"/>
      <c r="O215" s="3"/>
      <c r="P215" s="3"/>
      <c r="Q215" s="2"/>
      <c r="R215" s="2"/>
      <c r="S215" s="2"/>
      <c r="T215" s="2"/>
      <c r="U215" s="2"/>
      <c r="V215" s="2"/>
      <c r="W215" s="2"/>
      <c r="X215" s="2"/>
      <c r="Y215" s="2"/>
      <c r="Z215" s="2"/>
      <c r="AA215" s="2"/>
      <c r="AB215" s="2"/>
      <c r="AC215" s="2"/>
    </row>
    <row r="216">
      <c r="A216" s="2"/>
      <c r="B216" s="2"/>
      <c r="C216" s="2"/>
      <c r="D216" s="2"/>
      <c r="E216" s="2"/>
      <c r="F216" s="2"/>
      <c r="G216" s="2"/>
      <c r="H216" s="2"/>
      <c r="I216" s="2"/>
      <c r="J216" s="2"/>
      <c r="K216" s="2"/>
      <c r="L216" s="2"/>
      <c r="M216" s="2"/>
      <c r="N216" s="2"/>
      <c r="O216" s="3"/>
      <c r="P216" s="3"/>
      <c r="Q216" s="2"/>
      <c r="R216" s="2"/>
      <c r="S216" s="2"/>
      <c r="T216" s="2"/>
      <c r="U216" s="2"/>
      <c r="V216" s="2"/>
      <c r="W216" s="2"/>
      <c r="X216" s="2"/>
      <c r="Y216" s="2"/>
      <c r="Z216" s="2"/>
      <c r="AA216" s="2"/>
      <c r="AB216" s="2"/>
      <c r="AC216" s="2"/>
    </row>
    <row r="217">
      <c r="A217" s="2"/>
      <c r="B217" s="2"/>
      <c r="C217" s="2"/>
      <c r="D217" s="2"/>
      <c r="E217" s="2"/>
      <c r="F217" s="2"/>
      <c r="G217" s="2"/>
      <c r="H217" s="2"/>
      <c r="I217" s="2"/>
      <c r="J217" s="2"/>
      <c r="K217" s="2"/>
      <c r="L217" s="2"/>
      <c r="M217" s="2"/>
      <c r="N217" s="2"/>
      <c r="O217" s="3"/>
      <c r="P217" s="3"/>
      <c r="Q217" s="2"/>
      <c r="R217" s="2"/>
      <c r="S217" s="2"/>
      <c r="T217" s="2"/>
      <c r="U217" s="2"/>
      <c r="V217" s="2"/>
      <c r="W217" s="2"/>
      <c r="X217" s="2"/>
      <c r="Y217" s="2"/>
      <c r="Z217" s="2"/>
      <c r="AA217" s="2"/>
      <c r="AB217" s="2"/>
      <c r="AC217" s="2"/>
    </row>
    <row r="218">
      <c r="A218" s="2"/>
      <c r="B218" s="2"/>
      <c r="C218" s="2"/>
      <c r="D218" s="2"/>
      <c r="E218" s="2"/>
      <c r="F218" s="2"/>
      <c r="G218" s="2"/>
      <c r="H218" s="2"/>
      <c r="I218" s="2"/>
      <c r="J218" s="2"/>
      <c r="K218" s="2"/>
      <c r="L218" s="2"/>
      <c r="M218" s="2"/>
      <c r="N218" s="2"/>
      <c r="O218" s="3"/>
      <c r="P218" s="3"/>
      <c r="Q218" s="2"/>
      <c r="R218" s="2"/>
      <c r="S218" s="2"/>
      <c r="T218" s="2"/>
      <c r="U218" s="2"/>
      <c r="V218" s="2"/>
      <c r="W218" s="2"/>
      <c r="X218" s="2"/>
      <c r="Y218" s="2"/>
      <c r="Z218" s="2"/>
      <c r="AA218" s="2"/>
      <c r="AB218" s="2"/>
      <c r="AC218" s="2"/>
    </row>
    <row r="219">
      <c r="A219" s="2"/>
      <c r="B219" s="2"/>
      <c r="C219" s="2"/>
      <c r="D219" s="2"/>
      <c r="E219" s="2"/>
      <c r="F219" s="2"/>
      <c r="G219" s="2"/>
      <c r="H219" s="2"/>
      <c r="I219" s="2"/>
      <c r="J219" s="2"/>
      <c r="K219" s="2"/>
      <c r="L219" s="2"/>
      <c r="M219" s="2"/>
      <c r="N219" s="2"/>
      <c r="O219" s="3"/>
      <c r="P219" s="3"/>
      <c r="Q219" s="2"/>
      <c r="R219" s="2"/>
      <c r="S219" s="2"/>
      <c r="T219" s="2"/>
      <c r="U219" s="2"/>
      <c r="V219" s="2"/>
      <c r="W219" s="2"/>
      <c r="X219" s="2"/>
      <c r="Y219" s="2"/>
      <c r="Z219" s="2"/>
      <c r="AA219" s="2"/>
      <c r="AB219" s="2"/>
      <c r="AC219" s="2"/>
    </row>
    <row r="220">
      <c r="A220" s="2"/>
      <c r="B220" s="2"/>
      <c r="C220" s="2"/>
      <c r="D220" s="2"/>
      <c r="E220" s="2"/>
      <c r="F220" s="2"/>
      <c r="G220" s="2"/>
      <c r="H220" s="2"/>
      <c r="I220" s="2"/>
      <c r="J220" s="2"/>
      <c r="K220" s="2"/>
      <c r="L220" s="2"/>
      <c r="M220" s="2"/>
      <c r="N220" s="2"/>
      <c r="O220" s="3"/>
      <c r="P220" s="3"/>
      <c r="Q220" s="2"/>
      <c r="R220" s="2"/>
      <c r="S220" s="2"/>
      <c r="T220" s="2"/>
      <c r="U220" s="2"/>
      <c r="V220" s="2"/>
      <c r="W220" s="2"/>
      <c r="X220" s="2"/>
      <c r="Y220" s="2"/>
      <c r="Z220" s="2"/>
      <c r="AA220" s="2"/>
      <c r="AB220" s="2"/>
      <c r="AC220" s="2"/>
    </row>
    <row r="221">
      <c r="A221" s="2"/>
      <c r="B221" s="2"/>
      <c r="C221" s="2"/>
      <c r="D221" s="2"/>
      <c r="E221" s="2"/>
      <c r="F221" s="2"/>
      <c r="G221" s="2"/>
      <c r="H221" s="2"/>
      <c r="I221" s="2"/>
      <c r="J221" s="2"/>
      <c r="K221" s="2"/>
      <c r="L221" s="2"/>
      <c r="M221" s="2"/>
      <c r="N221" s="2"/>
      <c r="O221" s="3"/>
      <c r="P221" s="3"/>
      <c r="Q221" s="2"/>
      <c r="R221" s="2"/>
      <c r="S221" s="2"/>
      <c r="T221" s="2"/>
      <c r="U221" s="2"/>
      <c r="V221" s="2"/>
      <c r="W221" s="2"/>
      <c r="X221" s="2"/>
      <c r="Y221" s="2"/>
      <c r="Z221" s="2"/>
      <c r="AA221" s="2"/>
      <c r="AB221" s="2"/>
      <c r="AC221" s="2"/>
    </row>
    <row r="222">
      <c r="A222" s="2"/>
      <c r="B222" s="2"/>
      <c r="C222" s="2"/>
      <c r="D222" s="2"/>
      <c r="E222" s="2"/>
      <c r="F222" s="2"/>
      <c r="G222" s="2"/>
      <c r="H222" s="2"/>
      <c r="I222" s="2"/>
      <c r="J222" s="2"/>
      <c r="K222" s="2"/>
      <c r="L222" s="2"/>
      <c r="M222" s="2"/>
      <c r="N222" s="2"/>
      <c r="O222" s="3"/>
      <c r="P222" s="3"/>
      <c r="Q222" s="2"/>
      <c r="R222" s="2"/>
      <c r="S222" s="2"/>
      <c r="T222" s="2"/>
      <c r="U222" s="2"/>
      <c r="V222" s="2"/>
      <c r="W222" s="2"/>
      <c r="X222" s="2"/>
      <c r="Y222" s="2"/>
      <c r="Z222" s="2"/>
      <c r="AA222" s="2"/>
      <c r="AB222" s="2"/>
      <c r="AC222" s="2"/>
    </row>
    <row r="223">
      <c r="A223" s="2"/>
      <c r="B223" s="2"/>
      <c r="C223" s="2"/>
      <c r="D223" s="2"/>
      <c r="E223" s="2"/>
      <c r="F223" s="2"/>
      <c r="G223" s="2"/>
      <c r="H223" s="2"/>
      <c r="I223" s="2"/>
      <c r="J223" s="2"/>
      <c r="K223" s="2"/>
      <c r="L223" s="2"/>
      <c r="M223" s="2"/>
      <c r="N223" s="2"/>
      <c r="O223" s="3"/>
      <c r="P223" s="3"/>
      <c r="Q223" s="2"/>
      <c r="R223" s="2"/>
      <c r="S223" s="2"/>
      <c r="T223" s="2"/>
      <c r="U223" s="2"/>
      <c r="V223" s="2"/>
      <c r="W223" s="2"/>
      <c r="X223" s="2"/>
      <c r="Y223" s="2"/>
      <c r="Z223" s="2"/>
      <c r="AA223" s="2"/>
      <c r="AB223" s="2"/>
      <c r="AC223" s="2"/>
    </row>
    <row r="224">
      <c r="A224" s="2"/>
      <c r="B224" s="2"/>
      <c r="C224" s="2"/>
      <c r="D224" s="2"/>
      <c r="E224" s="2"/>
      <c r="F224" s="2"/>
      <c r="G224" s="2"/>
      <c r="H224" s="2"/>
      <c r="I224" s="2"/>
      <c r="J224" s="2"/>
      <c r="K224" s="2"/>
      <c r="L224" s="2"/>
      <c r="M224" s="2"/>
      <c r="N224" s="2"/>
      <c r="O224" s="3"/>
      <c r="P224" s="3"/>
      <c r="Q224" s="2"/>
      <c r="R224" s="2"/>
      <c r="S224" s="2"/>
      <c r="T224" s="2"/>
      <c r="U224" s="2"/>
      <c r="V224" s="2"/>
      <c r="W224" s="2"/>
      <c r="X224" s="2"/>
      <c r="Y224" s="2"/>
      <c r="Z224" s="2"/>
      <c r="AA224" s="2"/>
      <c r="AB224" s="2"/>
      <c r="AC224" s="2"/>
    </row>
    <row r="225">
      <c r="A225" s="2"/>
      <c r="B225" s="2"/>
      <c r="C225" s="2"/>
      <c r="D225" s="2"/>
      <c r="E225" s="2"/>
      <c r="F225" s="2"/>
      <c r="G225" s="2"/>
      <c r="H225" s="2"/>
      <c r="I225" s="2"/>
      <c r="J225" s="2"/>
      <c r="K225" s="2"/>
      <c r="L225" s="2"/>
      <c r="M225" s="2"/>
      <c r="N225" s="2"/>
      <c r="O225" s="3"/>
      <c r="P225" s="3"/>
      <c r="Q225" s="2"/>
      <c r="R225" s="2"/>
      <c r="S225" s="2"/>
      <c r="T225" s="2"/>
      <c r="U225" s="2"/>
      <c r="V225" s="2"/>
      <c r="W225" s="2"/>
      <c r="X225" s="2"/>
      <c r="Y225" s="2"/>
      <c r="Z225" s="2"/>
      <c r="AA225" s="2"/>
      <c r="AB225" s="2"/>
      <c r="AC225" s="2"/>
    </row>
    <row r="226">
      <c r="A226" s="2"/>
      <c r="B226" s="2"/>
      <c r="C226" s="2"/>
      <c r="D226" s="2"/>
      <c r="E226" s="2"/>
      <c r="F226" s="2"/>
      <c r="G226" s="2"/>
      <c r="H226" s="2"/>
      <c r="I226" s="2"/>
      <c r="J226" s="2"/>
      <c r="K226" s="2"/>
      <c r="L226" s="2"/>
      <c r="M226" s="2"/>
      <c r="N226" s="2"/>
      <c r="O226" s="3"/>
      <c r="P226" s="3"/>
      <c r="Q226" s="2"/>
      <c r="R226" s="2"/>
      <c r="S226" s="2"/>
      <c r="T226" s="2"/>
      <c r="U226" s="2"/>
      <c r="V226" s="2"/>
      <c r="W226" s="2"/>
      <c r="X226" s="2"/>
      <c r="Y226" s="2"/>
      <c r="Z226" s="2"/>
      <c r="AA226" s="2"/>
      <c r="AB226" s="2"/>
      <c r="AC226" s="2"/>
    </row>
    <row r="227">
      <c r="A227" s="2"/>
      <c r="B227" s="2"/>
      <c r="C227" s="2"/>
      <c r="D227" s="2"/>
      <c r="E227" s="2"/>
      <c r="F227" s="2"/>
      <c r="G227" s="2"/>
      <c r="H227" s="2"/>
      <c r="I227" s="2"/>
      <c r="J227" s="2"/>
      <c r="K227" s="2"/>
      <c r="L227" s="2"/>
      <c r="M227" s="2"/>
      <c r="N227" s="2"/>
      <c r="O227" s="3"/>
      <c r="P227" s="3"/>
      <c r="Q227" s="2"/>
      <c r="R227" s="2"/>
      <c r="S227" s="2"/>
      <c r="T227" s="2"/>
      <c r="U227" s="2"/>
      <c r="V227" s="2"/>
      <c r="W227" s="2"/>
      <c r="X227" s="2"/>
      <c r="Y227" s="2"/>
      <c r="Z227" s="2"/>
      <c r="AA227" s="2"/>
      <c r="AB227" s="2"/>
      <c r="AC227" s="2"/>
    </row>
    <row r="228">
      <c r="A228" s="2"/>
      <c r="B228" s="2"/>
      <c r="C228" s="2"/>
      <c r="D228" s="2"/>
      <c r="E228" s="2"/>
      <c r="F228" s="2"/>
      <c r="G228" s="2"/>
      <c r="H228" s="2"/>
      <c r="I228" s="2"/>
      <c r="J228" s="2"/>
      <c r="K228" s="2"/>
      <c r="L228" s="2"/>
      <c r="M228" s="2"/>
      <c r="N228" s="2"/>
      <c r="O228" s="3"/>
      <c r="P228" s="3"/>
      <c r="Q228" s="2"/>
      <c r="R228" s="2"/>
      <c r="S228" s="2"/>
      <c r="T228" s="2"/>
      <c r="U228" s="2"/>
      <c r="V228" s="2"/>
      <c r="W228" s="2"/>
      <c r="X228" s="2"/>
      <c r="Y228" s="2"/>
      <c r="Z228" s="2"/>
      <c r="AA228" s="2"/>
      <c r="AB228" s="2"/>
      <c r="AC228" s="2"/>
    </row>
    <row r="229">
      <c r="A229" s="2"/>
      <c r="B229" s="2"/>
      <c r="C229" s="2"/>
      <c r="D229" s="2"/>
      <c r="E229" s="2"/>
      <c r="F229" s="2"/>
      <c r="G229" s="2"/>
      <c r="H229" s="2"/>
      <c r="I229" s="2"/>
      <c r="J229" s="2"/>
      <c r="K229" s="2"/>
      <c r="L229" s="2"/>
      <c r="M229" s="2"/>
      <c r="N229" s="2"/>
      <c r="O229" s="3"/>
      <c r="P229" s="3"/>
      <c r="Q229" s="2"/>
      <c r="R229" s="2"/>
      <c r="S229" s="2"/>
      <c r="T229" s="2"/>
      <c r="U229" s="2"/>
      <c r="V229" s="2"/>
      <c r="W229" s="2"/>
      <c r="X229" s="2"/>
      <c r="Y229" s="2"/>
      <c r="Z229" s="2"/>
      <c r="AA229" s="2"/>
      <c r="AB229" s="2"/>
      <c r="AC229" s="2"/>
    </row>
    <row r="230">
      <c r="A230" s="2"/>
      <c r="B230" s="2"/>
      <c r="C230" s="2"/>
      <c r="D230" s="2"/>
      <c r="E230" s="2"/>
      <c r="F230" s="2"/>
      <c r="G230" s="2"/>
      <c r="H230" s="2"/>
      <c r="I230" s="2"/>
      <c r="J230" s="2"/>
      <c r="K230" s="2"/>
      <c r="L230" s="2"/>
      <c r="M230" s="2"/>
      <c r="N230" s="2"/>
      <c r="O230" s="3"/>
      <c r="P230" s="3"/>
      <c r="Q230" s="2"/>
      <c r="R230" s="2"/>
      <c r="S230" s="2"/>
      <c r="T230" s="2"/>
      <c r="U230" s="2"/>
      <c r="V230" s="2"/>
      <c r="W230" s="2"/>
      <c r="X230" s="2"/>
      <c r="Y230" s="2"/>
      <c r="Z230" s="2"/>
      <c r="AA230" s="2"/>
      <c r="AB230" s="2"/>
      <c r="AC230" s="2"/>
    </row>
    <row r="231">
      <c r="A231" s="2"/>
      <c r="B231" s="2"/>
      <c r="C231" s="2"/>
      <c r="D231" s="2"/>
      <c r="E231" s="2"/>
      <c r="F231" s="2"/>
      <c r="G231" s="2"/>
      <c r="H231" s="2"/>
      <c r="I231" s="2"/>
      <c r="J231" s="2"/>
      <c r="K231" s="2"/>
      <c r="L231" s="2"/>
      <c r="M231" s="2"/>
      <c r="N231" s="2"/>
      <c r="O231" s="3"/>
      <c r="P231" s="3"/>
      <c r="Q231" s="2"/>
      <c r="R231" s="2"/>
      <c r="S231" s="2"/>
      <c r="T231" s="2"/>
      <c r="U231" s="2"/>
      <c r="V231" s="2"/>
      <c r="W231" s="2"/>
      <c r="X231" s="2"/>
      <c r="Y231" s="2"/>
      <c r="Z231" s="2"/>
      <c r="AA231" s="2"/>
      <c r="AB231" s="2"/>
      <c r="AC231" s="2"/>
    </row>
    <row r="232">
      <c r="A232" s="2"/>
      <c r="B232" s="2"/>
      <c r="C232" s="2"/>
      <c r="D232" s="2"/>
      <c r="E232" s="2"/>
      <c r="F232" s="2"/>
      <c r="G232" s="2"/>
      <c r="H232" s="2"/>
      <c r="I232" s="2"/>
      <c r="J232" s="2"/>
      <c r="K232" s="2"/>
      <c r="L232" s="2"/>
      <c r="M232" s="2"/>
      <c r="N232" s="2"/>
      <c r="O232" s="3"/>
      <c r="P232" s="3"/>
      <c r="Q232" s="2"/>
      <c r="R232" s="2"/>
      <c r="S232" s="2"/>
      <c r="T232" s="2"/>
      <c r="U232" s="2"/>
      <c r="V232" s="2"/>
      <c r="W232" s="2"/>
      <c r="X232" s="2"/>
      <c r="Y232" s="2"/>
      <c r="Z232" s="2"/>
      <c r="AA232" s="2"/>
      <c r="AB232" s="2"/>
      <c r="AC232" s="2"/>
    </row>
    <row r="233">
      <c r="A233" s="2"/>
      <c r="B233" s="2"/>
      <c r="C233" s="2"/>
      <c r="D233" s="2"/>
      <c r="E233" s="2"/>
      <c r="F233" s="2"/>
      <c r="G233" s="2"/>
      <c r="H233" s="2"/>
      <c r="I233" s="2"/>
      <c r="J233" s="2"/>
      <c r="K233" s="2"/>
      <c r="L233" s="2"/>
      <c r="M233" s="2"/>
      <c r="N233" s="2"/>
      <c r="O233" s="3"/>
      <c r="P233" s="3"/>
      <c r="Q233" s="2"/>
      <c r="R233" s="2"/>
      <c r="S233" s="2"/>
      <c r="T233" s="2"/>
      <c r="U233" s="2"/>
      <c r="V233" s="2"/>
      <c r="W233" s="2"/>
      <c r="X233" s="2"/>
      <c r="Y233" s="2"/>
      <c r="Z233" s="2"/>
      <c r="AA233" s="2"/>
      <c r="AB233" s="2"/>
      <c r="AC233" s="2"/>
    </row>
    <row r="234">
      <c r="A234" s="2"/>
      <c r="B234" s="2"/>
      <c r="C234" s="2"/>
      <c r="D234" s="2"/>
      <c r="E234" s="2"/>
      <c r="F234" s="2"/>
      <c r="G234" s="2"/>
      <c r="H234" s="2"/>
      <c r="I234" s="2"/>
      <c r="J234" s="2"/>
      <c r="K234" s="2"/>
      <c r="L234" s="2"/>
      <c r="M234" s="2"/>
      <c r="N234" s="2"/>
      <c r="O234" s="3"/>
      <c r="P234" s="3"/>
      <c r="Q234" s="2"/>
      <c r="R234" s="2"/>
      <c r="S234" s="2"/>
      <c r="T234" s="2"/>
      <c r="U234" s="2"/>
      <c r="V234" s="2"/>
      <c r="W234" s="2"/>
      <c r="X234" s="2"/>
      <c r="Y234" s="2"/>
      <c r="Z234" s="2"/>
      <c r="AA234" s="2"/>
      <c r="AB234" s="2"/>
      <c r="AC234" s="2"/>
    </row>
    <row r="235">
      <c r="A235" s="2"/>
      <c r="B235" s="2"/>
      <c r="C235" s="2"/>
      <c r="D235" s="2"/>
      <c r="E235" s="2"/>
      <c r="F235" s="2"/>
      <c r="G235" s="2"/>
      <c r="H235" s="2"/>
      <c r="I235" s="2"/>
      <c r="J235" s="2"/>
      <c r="K235" s="2"/>
      <c r="L235" s="2"/>
      <c r="M235" s="2"/>
      <c r="N235" s="2"/>
      <c r="O235" s="3"/>
      <c r="P235" s="3"/>
      <c r="Q235" s="2"/>
      <c r="R235" s="2"/>
      <c r="S235" s="2"/>
      <c r="T235" s="2"/>
      <c r="U235" s="2"/>
      <c r="V235" s="2"/>
      <c r="W235" s="2"/>
      <c r="X235" s="2"/>
      <c r="Y235" s="2"/>
      <c r="Z235" s="2"/>
      <c r="AA235" s="2"/>
      <c r="AB235" s="2"/>
      <c r="AC235" s="2"/>
    </row>
    <row r="236">
      <c r="A236" s="2"/>
      <c r="B236" s="2"/>
      <c r="C236" s="2"/>
      <c r="D236" s="2"/>
      <c r="E236" s="2"/>
      <c r="F236" s="2"/>
      <c r="G236" s="2"/>
      <c r="H236" s="2"/>
      <c r="I236" s="2"/>
      <c r="J236" s="2"/>
      <c r="K236" s="2"/>
      <c r="L236" s="2"/>
      <c r="M236" s="2"/>
      <c r="N236" s="2"/>
      <c r="O236" s="3"/>
      <c r="P236" s="3"/>
      <c r="Q236" s="2"/>
      <c r="R236" s="2"/>
      <c r="S236" s="2"/>
      <c r="T236" s="2"/>
      <c r="U236" s="2"/>
      <c r="V236" s="2"/>
      <c r="W236" s="2"/>
      <c r="X236" s="2"/>
      <c r="Y236" s="2"/>
      <c r="Z236" s="2"/>
      <c r="AA236" s="2"/>
      <c r="AB236" s="2"/>
      <c r="AC236" s="2"/>
    </row>
    <row r="237">
      <c r="A237" s="2"/>
      <c r="B237" s="2"/>
      <c r="C237" s="2"/>
      <c r="D237" s="2"/>
      <c r="E237" s="2"/>
      <c r="F237" s="2"/>
      <c r="G237" s="2"/>
      <c r="H237" s="2"/>
      <c r="I237" s="2"/>
      <c r="J237" s="2"/>
      <c r="K237" s="2"/>
      <c r="L237" s="2"/>
      <c r="M237" s="2"/>
      <c r="N237" s="2"/>
      <c r="O237" s="3"/>
      <c r="P237" s="3"/>
      <c r="Q237" s="2"/>
      <c r="R237" s="2"/>
      <c r="S237" s="2"/>
      <c r="T237" s="2"/>
      <c r="U237" s="2"/>
      <c r="V237" s="2"/>
      <c r="W237" s="2"/>
      <c r="X237" s="2"/>
      <c r="Y237" s="2"/>
      <c r="Z237" s="2"/>
      <c r="AA237" s="2"/>
      <c r="AB237" s="2"/>
      <c r="AC237" s="2"/>
    </row>
    <row r="238">
      <c r="A238" s="2"/>
      <c r="B238" s="2"/>
      <c r="C238" s="2"/>
      <c r="D238" s="2"/>
      <c r="E238" s="2"/>
      <c r="F238" s="2"/>
      <c r="G238" s="2"/>
      <c r="H238" s="2"/>
      <c r="I238" s="2"/>
      <c r="J238" s="2"/>
      <c r="K238" s="2"/>
      <c r="L238" s="2"/>
      <c r="M238" s="2"/>
      <c r="N238" s="2"/>
      <c r="O238" s="3"/>
      <c r="P238" s="3"/>
      <c r="Q238" s="2"/>
      <c r="R238" s="2"/>
      <c r="S238" s="2"/>
      <c r="T238" s="2"/>
      <c r="U238" s="2"/>
      <c r="V238" s="2"/>
      <c r="W238" s="2"/>
      <c r="X238" s="2"/>
      <c r="Y238" s="2"/>
      <c r="Z238" s="2"/>
      <c r="AA238" s="2"/>
      <c r="AB238" s="2"/>
      <c r="AC238" s="2"/>
    </row>
    <row r="239">
      <c r="A239" s="2"/>
      <c r="B239" s="2"/>
      <c r="C239" s="2"/>
      <c r="D239" s="2"/>
      <c r="E239" s="2"/>
      <c r="F239" s="2"/>
      <c r="G239" s="2"/>
      <c r="H239" s="2"/>
      <c r="I239" s="2"/>
      <c r="J239" s="2"/>
      <c r="K239" s="2"/>
      <c r="L239" s="2"/>
      <c r="M239" s="2"/>
      <c r="N239" s="2"/>
      <c r="O239" s="3"/>
      <c r="P239" s="3"/>
      <c r="Q239" s="2"/>
      <c r="R239" s="2"/>
      <c r="S239" s="2"/>
      <c r="T239" s="2"/>
      <c r="U239" s="2"/>
      <c r="V239" s="2"/>
      <c r="W239" s="2"/>
      <c r="X239" s="2"/>
      <c r="Y239" s="2"/>
      <c r="Z239" s="2"/>
      <c r="AA239" s="2"/>
      <c r="AB239" s="2"/>
      <c r="AC239" s="2"/>
    </row>
    <row r="240">
      <c r="A240" s="2"/>
      <c r="B240" s="2"/>
      <c r="C240" s="2"/>
      <c r="D240" s="2"/>
      <c r="E240" s="2"/>
      <c r="F240" s="2"/>
      <c r="G240" s="2"/>
      <c r="H240" s="2"/>
      <c r="I240" s="2"/>
      <c r="J240" s="2"/>
      <c r="K240" s="2"/>
      <c r="L240" s="2"/>
      <c r="M240" s="2"/>
      <c r="N240" s="2"/>
      <c r="O240" s="3"/>
      <c r="P240" s="3"/>
      <c r="Q240" s="2"/>
      <c r="R240" s="2"/>
      <c r="S240" s="2"/>
      <c r="T240" s="2"/>
      <c r="U240" s="2"/>
      <c r="V240" s="2"/>
      <c r="W240" s="2"/>
      <c r="X240" s="2"/>
      <c r="Y240" s="2"/>
      <c r="Z240" s="2"/>
      <c r="AA240" s="2"/>
      <c r="AB240" s="2"/>
      <c r="AC240" s="2"/>
    </row>
    <row r="241">
      <c r="A241" s="2"/>
      <c r="B241" s="2"/>
      <c r="C241" s="2"/>
      <c r="D241" s="2"/>
      <c r="E241" s="2"/>
      <c r="F241" s="2"/>
      <c r="G241" s="2"/>
      <c r="H241" s="2"/>
      <c r="I241" s="2"/>
      <c r="J241" s="2"/>
      <c r="K241" s="2"/>
      <c r="L241" s="2"/>
      <c r="M241" s="2"/>
      <c r="N241" s="2"/>
      <c r="O241" s="3"/>
      <c r="P241" s="3"/>
      <c r="Q241" s="2"/>
      <c r="R241" s="2"/>
      <c r="S241" s="2"/>
      <c r="T241" s="2"/>
      <c r="U241" s="2"/>
      <c r="V241" s="2"/>
      <c r="W241" s="2"/>
      <c r="X241" s="2"/>
      <c r="Y241" s="2"/>
      <c r="Z241" s="2"/>
      <c r="AA241" s="2"/>
      <c r="AB241" s="2"/>
      <c r="AC241" s="2"/>
    </row>
    <row r="242">
      <c r="A242" s="2"/>
      <c r="B242" s="2"/>
      <c r="C242" s="2"/>
      <c r="D242" s="2"/>
      <c r="E242" s="2"/>
      <c r="F242" s="2"/>
      <c r="G242" s="2"/>
      <c r="H242" s="2"/>
      <c r="I242" s="2"/>
      <c r="J242" s="2"/>
      <c r="K242" s="2"/>
      <c r="L242" s="2"/>
      <c r="M242" s="2"/>
      <c r="N242" s="2"/>
      <c r="O242" s="3"/>
      <c r="P242" s="3"/>
      <c r="Q242" s="2"/>
      <c r="R242" s="2"/>
      <c r="S242" s="2"/>
      <c r="T242" s="2"/>
      <c r="U242" s="2"/>
      <c r="V242" s="2"/>
      <c r="W242" s="2"/>
      <c r="X242" s="2"/>
      <c r="Y242" s="2"/>
      <c r="Z242" s="2"/>
      <c r="AA242" s="2"/>
      <c r="AB242" s="2"/>
      <c r="AC242" s="2"/>
    </row>
    <row r="243">
      <c r="A243" s="2"/>
      <c r="B243" s="2"/>
      <c r="C243" s="2"/>
      <c r="D243" s="2"/>
      <c r="E243" s="2"/>
      <c r="F243" s="2"/>
      <c r="G243" s="2"/>
      <c r="H243" s="2"/>
      <c r="I243" s="2"/>
      <c r="J243" s="2"/>
      <c r="K243" s="2"/>
      <c r="L243" s="2"/>
      <c r="M243" s="2"/>
      <c r="N243" s="2"/>
      <c r="O243" s="3"/>
      <c r="P243" s="3"/>
      <c r="Q243" s="2"/>
      <c r="R243" s="2"/>
      <c r="S243" s="2"/>
      <c r="T243" s="2"/>
      <c r="U243" s="2"/>
      <c r="V243" s="2"/>
      <c r="W243" s="2"/>
      <c r="X243" s="2"/>
      <c r="Y243" s="2"/>
      <c r="Z243" s="2"/>
      <c r="AA243" s="2"/>
      <c r="AB243" s="2"/>
      <c r="AC243" s="2"/>
    </row>
    <row r="244">
      <c r="A244" s="2"/>
      <c r="B244" s="2"/>
      <c r="C244" s="2"/>
      <c r="D244" s="2"/>
      <c r="E244" s="2"/>
      <c r="F244" s="2"/>
      <c r="G244" s="2"/>
      <c r="H244" s="2"/>
      <c r="I244" s="2"/>
      <c r="J244" s="2"/>
      <c r="K244" s="2"/>
      <c r="L244" s="2"/>
      <c r="M244" s="2"/>
      <c r="N244" s="2"/>
      <c r="O244" s="3"/>
      <c r="P244" s="3"/>
      <c r="Q244" s="2"/>
      <c r="R244" s="2"/>
      <c r="S244" s="2"/>
      <c r="T244" s="2"/>
      <c r="U244" s="2"/>
      <c r="V244" s="2"/>
      <c r="W244" s="2"/>
      <c r="X244" s="2"/>
      <c r="Y244" s="2"/>
      <c r="Z244" s="2"/>
      <c r="AA244" s="2"/>
      <c r="AB244" s="2"/>
      <c r="AC244" s="2"/>
    </row>
    <row r="245">
      <c r="A245" s="2"/>
      <c r="B245" s="2"/>
      <c r="C245" s="2"/>
      <c r="D245" s="2"/>
      <c r="E245" s="2"/>
      <c r="F245" s="2"/>
      <c r="G245" s="2"/>
      <c r="H245" s="2"/>
      <c r="I245" s="2"/>
      <c r="J245" s="2"/>
      <c r="K245" s="2"/>
      <c r="L245" s="2"/>
      <c r="M245" s="2"/>
      <c r="N245" s="2"/>
      <c r="O245" s="3"/>
      <c r="P245" s="3"/>
      <c r="Q245" s="2"/>
      <c r="R245" s="2"/>
      <c r="S245" s="2"/>
      <c r="T245" s="2"/>
      <c r="U245" s="2"/>
      <c r="V245" s="2"/>
      <c r="W245" s="2"/>
      <c r="X245" s="2"/>
      <c r="Y245" s="2"/>
      <c r="Z245" s="2"/>
      <c r="AA245" s="2"/>
      <c r="AB245" s="2"/>
      <c r="AC245" s="2"/>
    </row>
    <row r="246">
      <c r="A246" s="2"/>
      <c r="B246" s="2"/>
      <c r="C246" s="2"/>
      <c r="D246" s="2"/>
      <c r="E246" s="2"/>
      <c r="F246" s="2"/>
      <c r="G246" s="2"/>
      <c r="H246" s="2"/>
      <c r="I246" s="2"/>
      <c r="J246" s="2"/>
      <c r="K246" s="2"/>
      <c r="L246" s="2"/>
      <c r="M246" s="2"/>
      <c r="N246" s="2"/>
      <c r="O246" s="3"/>
      <c r="P246" s="3"/>
      <c r="Q246" s="2"/>
      <c r="R246" s="2"/>
      <c r="S246" s="2"/>
      <c r="T246" s="2"/>
      <c r="U246" s="2"/>
      <c r="V246" s="2"/>
      <c r="W246" s="2"/>
      <c r="X246" s="2"/>
      <c r="Y246" s="2"/>
      <c r="Z246" s="2"/>
      <c r="AA246" s="2"/>
      <c r="AB246" s="2"/>
      <c r="AC246" s="2"/>
    </row>
    <row r="247">
      <c r="A247" s="2"/>
      <c r="B247" s="2"/>
      <c r="C247" s="2"/>
      <c r="D247" s="2"/>
      <c r="E247" s="2"/>
      <c r="F247" s="2"/>
      <c r="G247" s="2"/>
      <c r="H247" s="2"/>
      <c r="I247" s="2"/>
      <c r="J247" s="2"/>
      <c r="K247" s="2"/>
      <c r="L247" s="2"/>
      <c r="M247" s="2"/>
      <c r="N247" s="2"/>
      <c r="O247" s="3"/>
      <c r="P247" s="3"/>
      <c r="Q247" s="2"/>
      <c r="R247" s="2"/>
      <c r="S247" s="2"/>
      <c r="T247" s="2"/>
      <c r="U247" s="2"/>
      <c r="V247" s="2"/>
      <c r="W247" s="2"/>
      <c r="X247" s="2"/>
      <c r="Y247" s="2"/>
      <c r="Z247" s="2"/>
      <c r="AA247" s="2"/>
      <c r="AB247" s="2"/>
      <c r="AC247" s="2"/>
    </row>
    <row r="248">
      <c r="A248" s="2"/>
      <c r="B248" s="2"/>
      <c r="C248" s="2"/>
      <c r="D248" s="2"/>
      <c r="E248" s="2"/>
      <c r="F248" s="2"/>
      <c r="G248" s="2"/>
      <c r="H248" s="2"/>
      <c r="I248" s="2"/>
      <c r="J248" s="2"/>
      <c r="K248" s="2"/>
      <c r="L248" s="2"/>
      <c r="M248" s="2"/>
      <c r="N248" s="2"/>
      <c r="O248" s="3"/>
      <c r="P248" s="3"/>
      <c r="Q248" s="2"/>
      <c r="R248" s="2"/>
      <c r="S248" s="2"/>
      <c r="T248" s="2"/>
      <c r="U248" s="2"/>
      <c r="V248" s="2"/>
      <c r="W248" s="2"/>
      <c r="X248" s="2"/>
      <c r="Y248" s="2"/>
      <c r="Z248" s="2"/>
      <c r="AA248" s="2"/>
      <c r="AB248" s="2"/>
      <c r="AC248" s="2"/>
    </row>
    <row r="249">
      <c r="A249" s="2"/>
      <c r="B249" s="2"/>
      <c r="C249" s="2"/>
      <c r="D249" s="2"/>
      <c r="E249" s="2"/>
      <c r="F249" s="2"/>
      <c r="G249" s="2"/>
      <c r="H249" s="2"/>
      <c r="I249" s="2"/>
      <c r="J249" s="2"/>
      <c r="K249" s="2"/>
      <c r="L249" s="2"/>
      <c r="M249" s="2"/>
      <c r="N249" s="2"/>
      <c r="O249" s="3"/>
      <c r="P249" s="3"/>
      <c r="Q249" s="2"/>
      <c r="R249" s="2"/>
      <c r="S249" s="2"/>
      <c r="T249" s="2"/>
      <c r="U249" s="2"/>
      <c r="V249" s="2"/>
      <c r="W249" s="2"/>
      <c r="X249" s="2"/>
      <c r="Y249" s="2"/>
      <c r="Z249" s="2"/>
      <c r="AA249" s="2"/>
      <c r="AB249" s="2"/>
      <c r="AC249" s="2"/>
    </row>
    <row r="250">
      <c r="A250" s="2"/>
      <c r="B250" s="2"/>
      <c r="C250" s="2"/>
      <c r="D250" s="2"/>
      <c r="E250" s="2"/>
      <c r="F250" s="2"/>
      <c r="G250" s="2"/>
      <c r="H250" s="2"/>
      <c r="I250" s="2"/>
      <c r="J250" s="2"/>
      <c r="K250" s="2"/>
      <c r="L250" s="2"/>
      <c r="M250" s="2"/>
      <c r="N250" s="2"/>
      <c r="O250" s="3"/>
      <c r="P250" s="3"/>
      <c r="Q250" s="2"/>
      <c r="R250" s="2"/>
      <c r="S250" s="2"/>
      <c r="T250" s="2"/>
      <c r="U250" s="2"/>
      <c r="V250" s="2"/>
      <c r="W250" s="2"/>
      <c r="X250" s="2"/>
      <c r="Y250" s="2"/>
      <c r="Z250" s="2"/>
      <c r="AA250" s="2"/>
      <c r="AB250" s="2"/>
      <c r="AC250" s="2"/>
    </row>
    <row r="251">
      <c r="A251" s="2"/>
      <c r="B251" s="2"/>
      <c r="C251" s="2"/>
      <c r="D251" s="2"/>
      <c r="E251" s="2"/>
      <c r="F251" s="2"/>
      <c r="G251" s="2"/>
      <c r="H251" s="2"/>
      <c r="I251" s="2"/>
      <c r="J251" s="2"/>
      <c r="K251" s="2"/>
      <c r="L251" s="2"/>
      <c r="M251" s="2"/>
      <c r="N251" s="2"/>
      <c r="O251" s="3"/>
      <c r="P251" s="3"/>
      <c r="Q251" s="2"/>
      <c r="R251" s="2"/>
      <c r="S251" s="2"/>
      <c r="T251" s="2"/>
      <c r="U251" s="2"/>
      <c r="V251" s="2"/>
      <c r="W251" s="2"/>
      <c r="X251" s="2"/>
      <c r="Y251" s="2"/>
      <c r="Z251" s="2"/>
      <c r="AA251" s="2"/>
      <c r="AB251" s="2"/>
      <c r="AC251" s="2"/>
    </row>
    <row r="252">
      <c r="A252" s="2"/>
      <c r="B252" s="2"/>
      <c r="C252" s="2"/>
      <c r="D252" s="2"/>
      <c r="E252" s="2"/>
      <c r="F252" s="2"/>
      <c r="G252" s="2"/>
      <c r="H252" s="2"/>
      <c r="I252" s="2"/>
      <c r="J252" s="2"/>
      <c r="K252" s="2"/>
      <c r="L252" s="2"/>
      <c r="M252" s="2"/>
      <c r="N252" s="2"/>
      <c r="O252" s="3"/>
      <c r="P252" s="3"/>
      <c r="Q252" s="2"/>
      <c r="R252" s="2"/>
      <c r="S252" s="2"/>
      <c r="T252" s="2"/>
      <c r="U252" s="2"/>
      <c r="V252" s="2"/>
      <c r="W252" s="2"/>
      <c r="X252" s="2"/>
      <c r="Y252" s="2"/>
      <c r="Z252" s="2"/>
      <c r="AA252" s="2"/>
      <c r="AB252" s="2"/>
      <c r="AC252" s="2"/>
    </row>
    <row r="253">
      <c r="A253" s="2"/>
      <c r="B253" s="2"/>
      <c r="C253" s="2"/>
      <c r="D253" s="2"/>
      <c r="E253" s="2"/>
      <c r="F253" s="2"/>
      <c r="G253" s="2"/>
      <c r="H253" s="2"/>
      <c r="I253" s="2"/>
      <c r="J253" s="2"/>
      <c r="K253" s="2"/>
      <c r="L253" s="2"/>
      <c r="M253" s="2"/>
      <c r="N253" s="2"/>
      <c r="O253" s="3"/>
      <c r="P253" s="3"/>
      <c r="Q253" s="2"/>
      <c r="R253" s="2"/>
      <c r="S253" s="2"/>
      <c r="T253" s="2"/>
      <c r="U253" s="2"/>
      <c r="V253" s="2"/>
      <c r="W253" s="2"/>
      <c r="X253" s="2"/>
      <c r="Y253" s="2"/>
      <c r="Z253" s="2"/>
      <c r="AA253" s="2"/>
      <c r="AB253" s="2"/>
      <c r="AC253" s="2"/>
    </row>
    <row r="254">
      <c r="A254" s="2"/>
      <c r="B254" s="2"/>
      <c r="C254" s="2"/>
      <c r="D254" s="2"/>
      <c r="E254" s="2"/>
      <c r="F254" s="2"/>
      <c r="G254" s="2"/>
      <c r="H254" s="2"/>
      <c r="I254" s="2"/>
      <c r="J254" s="2"/>
      <c r="K254" s="2"/>
      <c r="L254" s="2"/>
      <c r="M254" s="2"/>
      <c r="N254" s="2"/>
      <c r="O254" s="3"/>
      <c r="P254" s="3"/>
      <c r="Q254" s="2"/>
      <c r="R254" s="2"/>
      <c r="S254" s="2"/>
      <c r="T254" s="2"/>
      <c r="U254" s="2"/>
      <c r="V254" s="2"/>
      <c r="W254" s="2"/>
      <c r="X254" s="2"/>
      <c r="Y254" s="2"/>
      <c r="Z254" s="2"/>
      <c r="AA254" s="2"/>
      <c r="AB254" s="2"/>
      <c r="AC254" s="2"/>
    </row>
    <row r="255">
      <c r="A255" s="2"/>
      <c r="B255" s="2"/>
      <c r="C255" s="2"/>
      <c r="D255" s="2"/>
      <c r="E255" s="2"/>
      <c r="F255" s="2"/>
      <c r="G255" s="2"/>
      <c r="H255" s="2"/>
      <c r="I255" s="2"/>
      <c r="J255" s="2"/>
      <c r="K255" s="2"/>
      <c r="L255" s="2"/>
      <c r="M255" s="2"/>
      <c r="N255" s="2"/>
      <c r="O255" s="3"/>
      <c r="P255" s="3"/>
      <c r="Q255" s="2"/>
      <c r="R255" s="2"/>
      <c r="S255" s="2"/>
      <c r="T255" s="2"/>
      <c r="U255" s="2"/>
      <c r="V255" s="2"/>
      <c r="W255" s="2"/>
      <c r="X255" s="2"/>
      <c r="Y255" s="2"/>
      <c r="Z255" s="2"/>
      <c r="AA255" s="2"/>
      <c r="AB255" s="2"/>
      <c r="AC255" s="2"/>
    </row>
    <row r="256">
      <c r="A256" s="2"/>
      <c r="B256" s="2"/>
      <c r="C256" s="2"/>
      <c r="D256" s="2"/>
      <c r="E256" s="2"/>
      <c r="F256" s="2"/>
      <c r="G256" s="2"/>
      <c r="H256" s="2"/>
      <c r="I256" s="2"/>
      <c r="J256" s="2"/>
      <c r="K256" s="2"/>
      <c r="L256" s="2"/>
      <c r="M256" s="2"/>
      <c r="N256" s="2"/>
      <c r="O256" s="3"/>
      <c r="P256" s="3"/>
      <c r="Q256" s="2"/>
      <c r="R256" s="2"/>
      <c r="S256" s="2"/>
      <c r="T256" s="2"/>
      <c r="U256" s="2"/>
      <c r="V256" s="2"/>
      <c r="W256" s="2"/>
      <c r="X256" s="2"/>
      <c r="Y256" s="2"/>
      <c r="Z256" s="2"/>
      <c r="AA256" s="2"/>
      <c r="AB256" s="2"/>
      <c r="AC256" s="2"/>
    </row>
    <row r="257">
      <c r="A257" s="2"/>
      <c r="B257" s="2"/>
      <c r="C257" s="2"/>
      <c r="D257" s="2"/>
      <c r="E257" s="2"/>
      <c r="F257" s="2"/>
      <c r="G257" s="2"/>
      <c r="H257" s="2"/>
      <c r="I257" s="2"/>
      <c r="J257" s="2"/>
      <c r="K257" s="2"/>
      <c r="L257" s="2"/>
      <c r="M257" s="2"/>
      <c r="N257" s="2"/>
      <c r="O257" s="3"/>
      <c r="P257" s="3"/>
      <c r="Q257" s="2"/>
      <c r="R257" s="2"/>
      <c r="S257" s="2"/>
      <c r="T257" s="2"/>
      <c r="U257" s="2"/>
      <c r="V257" s="2"/>
      <c r="W257" s="2"/>
      <c r="X257" s="2"/>
      <c r="Y257" s="2"/>
      <c r="Z257" s="2"/>
      <c r="AA257" s="2"/>
      <c r="AB257" s="2"/>
      <c r="AC257" s="2"/>
    </row>
    <row r="258">
      <c r="A258" s="2"/>
      <c r="B258" s="2"/>
      <c r="C258" s="2"/>
      <c r="D258" s="2"/>
      <c r="E258" s="2"/>
      <c r="F258" s="2"/>
      <c r="G258" s="2"/>
      <c r="H258" s="2"/>
      <c r="I258" s="2"/>
      <c r="J258" s="2"/>
      <c r="K258" s="2"/>
      <c r="L258" s="2"/>
      <c r="M258" s="2"/>
      <c r="N258" s="2"/>
      <c r="O258" s="3"/>
      <c r="P258" s="3"/>
      <c r="Q258" s="2"/>
      <c r="R258" s="2"/>
      <c r="S258" s="2"/>
      <c r="T258" s="2"/>
      <c r="U258" s="2"/>
      <c r="V258" s="2"/>
      <c r="W258" s="2"/>
      <c r="X258" s="2"/>
      <c r="Y258" s="2"/>
      <c r="Z258" s="2"/>
      <c r="AA258" s="2"/>
      <c r="AB258" s="2"/>
      <c r="AC258" s="2"/>
    </row>
    <row r="259">
      <c r="A259" s="2"/>
      <c r="B259" s="2"/>
      <c r="C259" s="2"/>
      <c r="D259" s="2"/>
      <c r="E259" s="2"/>
      <c r="F259" s="2"/>
      <c r="G259" s="2"/>
      <c r="H259" s="2"/>
      <c r="I259" s="2"/>
      <c r="J259" s="2"/>
      <c r="K259" s="2"/>
      <c r="L259" s="2"/>
      <c r="M259" s="2"/>
      <c r="N259" s="2"/>
      <c r="O259" s="3"/>
      <c r="P259" s="3"/>
      <c r="Q259" s="2"/>
      <c r="R259" s="2"/>
      <c r="S259" s="2"/>
      <c r="T259" s="2"/>
      <c r="U259" s="2"/>
      <c r="V259" s="2"/>
      <c r="W259" s="2"/>
      <c r="X259" s="2"/>
      <c r="Y259" s="2"/>
      <c r="Z259" s="2"/>
      <c r="AA259" s="2"/>
      <c r="AB259" s="2"/>
      <c r="AC259" s="2"/>
    </row>
    <row r="260">
      <c r="A260" s="2"/>
      <c r="B260" s="2"/>
      <c r="C260" s="2"/>
      <c r="D260" s="2"/>
      <c r="E260" s="2"/>
      <c r="F260" s="2"/>
      <c r="G260" s="2"/>
      <c r="H260" s="2"/>
      <c r="I260" s="2"/>
      <c r="J260" s="2"/>
      <c r="K260" s="2"/>
      <c r="L260" s="2"/>
      <c r="M260" s="2"/>
      <c r="N260" s="2"/>
      <c r="O260" s="3"/>
      <c r="P260" s="3"/>
      <c r="Q260" s="2"/>
      <c r="R260" s="2"/>
      <c r="S260" s="2"/>
      <c r="T260" s="2"/>
      <c r="U260" s="2"/>
      <c r="V260" s="2"/>
      <c r="W260" s="2"/>
      <c r="X260" s="2"/>
      <c r="Y260" s="2"/>
      <c r="Z260" s="2"/>
      <c r="AA260" s="2"/>
      <c r="AB260" s="2"/>
      <c r="AC260" s="2"/>
    </row>
    <row r="261">
      <c r="A261" s="2"/>
      <c r="B261" s="2"/>
      <c r="C261" s="2"/>
      <c r="D261" s="2"/>
      <c r="E261" s="2"/>
      <c r="F261" s="2"/>
      <c r="G261" s="2"/>
      <c r="H261" s="2"/>
      <c r="I261" s="2"/>
      <c r="J261" s="2"/>
      <c r="K261" s="2"/>
      <c r="L261" s="2"/>
      <c r="M261" s="2"/>
      <c r="N261" s="2"/>
      <c r="O261" s="3"/>
      <c r="P261" s="3"/>
      <c r="Q261" s="2"/>
      <c r="R261" s="2"/>
      <c r="S261" s="2"/>
      <c r="T261" s="2"/>
      <c r="U261" s="2"/>
      <c r="V261" s="2"/>
      <c r="W261" s="2"/>
      <c r="X261" s="2"/>
      <c r="Y261" s="2"/>
      <c r="Z261" s="2"/>
      <c r="AA261" s="2"/>
      <c r="AB261" s="2"/>
      <c r="AC261" s="2"/>
    </row>
    <row r="262">
      <c r="A262" s="2"/>
      <c r="B262" s="2"/>
      <c r="C262" s="2"/>
      <c r="D262" s="2"/>
      <c r="E262" s="2"/>
      <c r="F262" s="2"/>
      <c r="G262" s="2"/>
      <c r="H262" s="2"/>
      <c r="I262" s="2"/>
      <c r="J262" s="2"/>
      <c r="K262" s="2"/>
      <c r="L262" s="2"/>
      <c r="M262" s="2"/>
      <c r="N262" s="2"/>
      <c r="O262" s="3"/>
      <c r="P262" s="3"/>
      <c r="Q262" s="2"/>
      <c r="R262" s="2"/>
      <c r="S262" s="2"/>
      <c r="T262" s="2"/>
      <c r="U262" s="2"/>
      <c r="V262" s="2"/>
      <c r="W262" s="2"/>
      <c r="X262" s="2"/>
      <c r="Y262" s="2"/>
      <c r="Z262" s="2"/>
      <c r="AA262" s="2"/>
      <c r="AB262" s="2"/>
      <c r="AC262" s="2"/>
    </row>
    <row r="263">
      <c r="A263" s="2"/>
      <c r="B263" s="2"/>
      <c r="C263" s="2"/>
      <c r="D263" s="2"/>
      <c r="E263" s="2"/>
      <c r="F263" s="2"/>
      <c r="G263" s="2"/>
      <c r="H263" s="2"/>
      <c r="I263" s="2"/>
      <c r="J263" s="2"/>
      <c r="K263" s="2"/>
      <c r="L263" s="2"/>
      <c r="M263" s="2"/>
      <c r="N263" s="2"/>
      <c r="O263" s="3"/>
      <c r="P263" s="3"/>
      <c r="Q263" s="2"/>
      <c r="R263" s="2"/>
      <c r="S263" s="2"/>
      <c r="T263" s="2"/>
      <c r="U263" s="2"/>
      <c r="V263" s="2"/>
      <c r="W263" s="2"/>
      <c r="X263" s="2"/>
      <c r="Y263" s="2"/>
      <c r="Z263" s="2"/>
      <c r="AA263" s="2"/>
      <c r="AB263" s="2"/>
      <c r="AC263" s="2"/>
    </row>
    <row r="264">
      <c r="A264" s="2"/>
      <c r="B264" s="2"/>
      <c r="C264" s="2"/>
      <c r="D264" s="2"/>
      <c r="E264" s="2"/>
      <c r="F264" s="2"/>
      <c r="G264" s="2"/>
      <c r="H264" s="2"/>
      <c r="I264" s="2"/>
      <c r="J264" s="2"/>
      <c r="K264" s="2"/>
      <c r="L264" s="2"/>
      <c r="M264" s="2"/>
      <c r="N264" s="2"/>
      <c r="O264" s="3"/>
      <c r="P264" s="3"/>
      <c r="Q264" s="2"/>
      <c r="R264" s="2"/>
      <c r="S264" s="2"/>
      <c r="T264" s="2"/>
      <c r="U264" s="2"/>
      <c r="V264" s="2"/>
      <c r="W264" s="2"/>
      <c r="X264" s="2"/>
      <c r="Y264" s="2"/>
      <c r="Z264" s="2"/>
      <c r="AA264" s="2"/>
      <c r="AB264" s="2"/>
      <c r="AC264" s="2"/>
    </row>
    <row r="265">
      <c r="A265" s="2"/>
      <c r="B265" s="2"/>
      <c r="C265" s="2"/>
      <c r="D265" s="2"/>
      <c r="E265" s="2"/>
      <c r="F265" s="2"/>
      <c r="G265" s="2"/>
      <c r="H265" s="2"/>
      <c r="I265" s="2"/>
      <c r="J265" s="2"/>
      <c r="K265" s="2"/>
      <c r="L265" s="2"/>
      <c r="M265" s="2"/>
      <c r="N265" s="2"/>
      <c r="O265" s="3"/>
      <c r="P265" s="3"/>
      <c r="Q265" s="2"/>
      <c r="R265" s="2"/>
      <c r="S265" s="2"/>
      <c r="T265" s="2"/>
      <c r="U265" s="2"/>
      <c r="V265" s="2"/>
      <c r="W265" s="2"/>
      <c r="X265" s="2"/>
      <c r="Y265" s="2"/>
      <c r="Z265" s="2"/>
      <c r="AA265" s="2"/>
      <c r="AB265" s="2"/>
      <c r="AC265" s="2"/>
    </row>
    <row r="266">
      <c r="A266" s="2"/>
      <c r="B266" s="2"/>
      <c r="C266" s="2"/>
      <c r="D266" s="2"/>
      <c r="E266" s="2"/>
      <c r="F266" s="2"/>
      <c r="G266" s="2"/>
      <c r="H266" s="2"/>
      <c r="I266" s="2"/>
      <c r="J266" s="2"/>
      <c r="K266" s="2"/>
      <c r="L266" s="2"/>
      <c r="M266" s="2"/>
      <c r="N266" s="2"/>
      <c r="O266" s="3"/>
      <c r="P266" s="3"/>
      <c r="Q266" s="2"/>
      <c r="R266" s="2"/>
      <c r="S266" s="2"/>
      <c r="T266" s="2"/>
      <c r="U266" s="2"/>
      <c r="V266" s="2"/>
      <c r="W266" s="2"/>
      <c r="X266" s="2"/>
      <c r="Y266" s="2"/>
      <c r="Z266" s="2"/>
      <c r="AA266" s="2"/>
      <c r="AB266" s="2"/>
      <c r="AC266" s="2"/>
    </row>
    <row r="267">
      <c r="A267" s="2"/>
      <c r="B267" s="2"/>
      <c r="C267" s="2"/>
      <c r="D267" s="2"/>
      <c r="E267" s="2"/>
      <c r="F267" s="2"/>
      <c r="G267" s="2"/>
      <c r="H267" s="2"/>
      <c r="I267" s="2"/>
      <c r="J267" s="2"/>
      <c r="K267" s="2"/>
      <c r="L267" s="2"/>
      <c r="M267" s="2"/>
      <c r="N267" s="2"/>
      <c r="O267" s="3"/>
      <c r="P267" s="3"/>
      <c r="Q267" s="2"/>
      <c r="R267" s="2"/>
      <c r="S267" s="2"/>
      <c r="T267" s="2"/>
      <c r="U267" s="2"/>
      <c r="V267" s="2"/>
      <c r="W267" s="2"/>
      <c r="X267" s="2"/>
      <c r="Y267" s="2"/>
      <c r="Z267" s="2"/>
      <c r="AA267" s="2"/>
      <c r="AB267" s="2"/>
      <c r="AC267" s="2"/>
    </row>
    <row r="268">
      <c r="A268" s="2"/>
      <c r="B268" s="2"/>
      <c r="C268" s="2"/>
      <c r="D268" s="2"/>
      <c r="E268" s="2"/>
      <c r="F268" s="2"/>
      <c r="G268" s="2"/>
      <c r="H268" s="2"/>
      <c r="I268" s="2"/>
      <c r="J268" s="2"/>
      <c r="K268" s="2"/>
      <c r="L268" s="2"/>
      <c r="M268" s="2"/>
      <c r="N268" s="2"/>
      <c r="O268" s="3"/>
      <c r="P268" s="3"/>
      <c r="Q268" s="2"/>
      <c r="R268" s="2"/>
      <c r="S268" s="2"/>
      <c r="T268" s="2"/>
      <c r="U268" s="2"/>
      <c r="V268" s="2"/>
      <c r="W268" s="2"/>
      <c r="X268" s="2"/>
      <c r="Y268" s="2"/>
      <c r="Z268" s="2"/>
      <c r="AA268" s="2"/>
      <c r="AB268" s="2"/>
      <c r="AC268" s="2"/>
    </row>
    <row r="269">
      <c r="A269" s="2"/>
      <c r="B269" s="2"/>
      <c r="C269" s="2"/>
      <c r="D269" s="2"/>
      <c r="E269" s="2"/>
      <c r="F269" s="2"/>
      <c r="G269" s="2"/>
      <c r="H269" s="2"/>
      <c r="I269" s="2"/>
      <c r="J269" s="2"/>
      <c r="K269" s="2"/>
      <c r="L269" s="2"/>
      <c r="M269" s="2"/>
      <c r="N269" s="2"/>
      <c r="O269" s="3"/>
      <c r="P269" s="3"/>
      <c r="Q269" s="2"/>
      <c r="R269" s="2"/>
      <c r="S269" s="2"/>
      <c r="T269" s="2"/>
      <c r="U269" s="2"/>
      <c r="V269" s="2"/>
      <c r="W269" s="2"/>
      <c r="X269" s="2"/>
      <c r="Y269" s="2"/>
      <c r="Z269" s="2"/>
      <c r="AA269" s="2"/>
      <c r="AB269" s="2"/>
      <c r="AC269" s="2"/>
    </row>
    <row r="270">
      <c r="A270" s="2"/>
      <c r="B270" s="2"/>
      <c r="C270" s="2"/>
      <c r="D270" s="2"/>
      <c r="E270" s="2"/>
      <c r="F270" s="2"/>
      <c r="G270" s="2"/>
      <c r="H270" s="2"/>
      <c r="I270" s="2"/>
      <c r="J270" s="2"/>
      <c r="K270" s="2"/>
      <c r="L270" s="2"/>
      <c r="M270" s="2"/>
      <c r="N270" s="2"/>
      <c r="O270" s="3"/>
      <c r="P270" s="3"/>
      <c r="Q270" s="2"/>
      <c r="R270" s="2"/>
      <c r="S270" s="2"/>
      <c r="T270" s="2"/>
      <c r="U270" s="2"/>
      <c r="V270" s="2"/>
      <c r="W270" s="2"/>
      <c r="X270" s="2"/>
      <c r="Y270" s="2"/>
      <c r="Z270" s="2"/>
      <c r="AA270" s="2"/>
      <c r="AB270" s="2"/>
      <c r="AC270" s="2"/>
    </row>
    <row r="271">
      <c r="A271" s="2"/>
      <c r="B271" s="2"/>
      <c r="C271" s="2"/>
      <c r="D271" s="2"/>
      <c r="E271" s="2"/>
      <c r="F271" s="2"/>
      <c r="G271" s="2"/>
      <c r="H271" s="2"/>
      <c r="I271" s="2"/>
      <c r="J271" s="2"/>
      <c r="K271" s="2"/>
      <c r="L271" s="2"/>
      <c r="M271" s="2"/>
      <c r="N271" s="2"/>
      <c r="O271" s="3"/>
      <c r="P271" s="3"/>
      <c r="Q271" s="2"/>
      <c r="R271" s="2"/>
      <c r="S271" s="2"/>
      <c r="T271" s="2"/>
      <c r="U271" s="2"/>
      <c r="V271" s="2"/>
      <c r="W271" s="2"/>
      <c r="X271" s="2"/>
      <c r="Y271" s="2"/>
      <c r="Z271" s="2"/>
      <c r="AA271" s="2"/>
      <c r="AB271" s="2"/>
      <c r="AC271" s="2"/>
    </row>
    <row r="272">
      <c r="A272" s="2"/>
      <c r="B272" s="2"/>
      <c r="C272" s="2"/>
      <c r="D272" s="2"/>
      <c r="E272" s="2"/>
      <c r="F272" s="2"/>
      <c r="G272" s="2"/>
      <c r="H272" s="2"/>
      <c r="I272" s="2"/>
      <c r="J272" s="2"/>
      <c r="K272" s="2"/>
      <c r="L272" s="2"/>
      <c r="M272" s="2"/>
      <c r="N272" s="2"/>
      <c r="O272" s="3"/>
      <c r="P272" s="3"/>
      <c r="Q272" s="2"/>
      <c r="R272" s="2"/>
      <c r="S272" s="2"/>
      <c r="T272" s="2"/>
      <c r="U272" s="2"/>
      <c r="V272" s="2"/>
      <c r="W272" s="2"/>
      <c r="X272" s="2"/>
      <c r="Y272" s="2"/>
      <c r="Z272" s="2"/>
      <c r="AA272" s="2"/>
      <c r="AB272" s="2"/>
      <c r="AC272" s="2"/>
    </row>
    <row r="273">
      <c r="A273" s="2"/>
      <c r="B273" s="2"/>
      <c r="C273" s="2"/>
      <c r="D273" s="2"/>
      <c r="E273" s="2"/>
      <c r="F273" s="2"/>
      <c r="G273" s="2"/>
      <c r="H273" s="2"/>
      <c r="I273" s="2"/>
      <c r="J273" s="2"/>
      <c r="K273" s="2"/>
      <c r="L273" s="2"/>
      <c r="M273" s="2"/>
      <c r="N273" s="2"/>
      <c r="O273" s="3"/>
      <c r="P273" s="3"/>
      <c r="Q273" s="2"/>
      <c r="R273" s="2"/>
      <c r="S273" s="2"/>
      <c r="T273" s="2"/>
      <c r="U273" s="2"/>
      <c r="V273" s="2"/>
      <c r="W273" s="2"/>
      <c r="X273" s="2"/>
      <c r="Y273" s="2"/>
      <c r="Z273" s="2"/>
      <c r="AA273" s="2"/>
      <c r="AB273" s="2"/>
      <c r="AC273" s="2"/>
    </row>
    <row r="274">
      <c r="A274" s="2"/>
      <c r="B274" s="2"/>
      <c r="C274" s="2"/>
      <c r="D274" s="2"/>
      <c r="E274" s="2"/>
      <c r="F274" s="2"/>
      <c r="G274" s="2"/>
      <c r="H274" s="2"/>
      <c r="I274" s="2"/>
      <c r="J274" s="2"/>
      <c r="K274" s="2"/>
      <c r="L274" s="2"/>
      <c r="M274" s="2"/>
      <c r="N274" s="2"/>
      <c r="O274" s="3"/>
      <c r="P274" s="3"/>
      <c r="Q274" s="2"/>
      <c r="R274" s="2"/>
      <c r="S274" s="2"/>
      <c r="T274" s="2"/>
      <c r="U274" s="2"/>
      <c r="V274" s="2"/>
      <c r="W274" s="2"/>
      <c r="X274" s="2"/>
      <c r="Y274" s="2"/>
      <c r="Z274" s="2"/>
      <c r="AA274" s="2"/>
      <c r="AB274" s="2"/>
      <c r="AC274" s="2"/>
    </row>
    <row r="275">
      <c r="A275" s="2"/>
      <c r="B275" s="2"/>
      <c r="C275" s="2"/>
      <c r="D275" s="2"/>
      <c r="E275" s="2"/>
      <c r="F275" s="2"/>
      <c r="G275" s="2"/>
      <c r="H275" s="2"/>
      <c r="I275" s="2"/>
      <c r="J275" s="2"/>
      <c r="K275" s="2"/>
      <c r="L275" s="2"/>
      <c r="M275" s="2"/>
      <c r="N275" s="2"/>
      <c r="O275" s="3"/>
      <c r="P275" s="3"/>
      <c r="Q275" s="2"/>
      <c r="R275" s="2"/>
      <c r="S275" s="2"/>
      <c r="T275" s="2"/>
      <c r="U275" s="2"/>
      <c r="V275" s="2"/>
      <c r="W275" s="2"/>
      <c r="X275" s="2"/>
      <c r="Y275" s="2"/>
      <c r="Z275" s="2"/>
      <c r="AA275" s="2"/>
      <c r="AB275" s="2"/>
      <c r="AC275" s="2"/>
    </row>
    <row r="276">
      <c r="A276" s="2"/>
      <c r="B276" s="2"/>
      <c r="C276" s="2"/>
      <c r="D276" s="2"/>
      <c r="E276" s="2"/>
      <c r="F276" s="2"/>
      <c r="G276" s="2"/>
      <c r="H276" s="2"/>
      <c r="I276" s="2"/>
      <c r="J276" s="2"/>
      <c r="K276" s="2"/>
      <c r="L276" s="2"/>
      <c r="M276" s="2"/>
      <c r="N276" s="2"/>
      <c r="O276" s="3"/>
      <c r="P276" s="3"/>
      <c r="Q276" s="2"/>
      <c r="R276" s="2"/>
      <c r="S276" s="2"/>
      <c r="T276" s="2"/>
      <c r="U276" s="2"/>
      <c r="V276" s="2"/>
      <c r="W276" s="2"/>
      <c r="X276" s="2"/>
      <c r="Y276" s="2"/>
      <c r="Z276" s="2"/>
      <c r="AA276" s="2"/>
      <c r="AB276" s="2"/>
      <c r="AC276" s="2"/>
    </row>
    <row r="277">
      <c r="A277" s="2"/>
      <c r="B277" s="2"/>
      <c r="C277" s="2"/>
      <c r="D277" s="2"/>
      <c r="E277" s="2"/>
      <c r="F277" s="2"/>
      <c r="G277" s="2"/>
      <c r="H277" s="2"/>
      <c r="I277" s="2"/>
      <c r="J277" s="2"/>
      <c r="K277" s="2"/>
      <c r="L277" s="2"/>
      <c r="M277" s="2"/>
      <c r="N277" s="2"/>
      <c r="O277" s="3"/>
      <c r="P277" s="3"/>
      <c r="Q277" s="2"/>
      <c r="R277" s="2"/>
      <c r="S277" s="2"/>
      <c r="T277" s="2"/>
      <c r="U277" s="2"/>
      <c r="V277" s="2"/>
      <c r="W277" s="2"/>
      <c r="X277" s="2"/>
      <c r="Y277" s="2"/>
      <c r="Z277" s="2"/>
      <c r="AA277" s="2"/>
      <c r="AB277" s="2"/>
      <c r="AC277" s="2"/>
    </row>
    <row r="278">
      <c r="A278" s="2"/>
      <c r="B278" s="2"/>
      <c r="C278" s="2"/>
      <c r="D278" s="2"/>
      <c r="E278" s="2"/>
      <c r="F278" s="2"/>
      <c r="G278" s="2"/>
      <c r="H278" s="2"/>
      <c r="I278" s="2"/>
      <c r="J278" s="2"/>
      <c r="K278" s="2"/>
      <c r="L278" s="2"/>
      <c r="M278" s="2"/>
      <c r="N278" s="2"/>
      <c r="O278" s="3"/>
      <c r="P278" s="3"/>
      <c r="Q278" s="2"/>
      <c r="R278" s="2"/>
      <c r="S278" s="2"/>
      <c r="T278" s="2"/>
      <c r="U278" s="2"/>
      <c r="V278" s="2"/>
      <c r="W278" s="2"/>
      <c r="X278" s="2"/>
      <c r="Y278" s="2"/>
      <c r="Z278" s="2"/>
      <c r="AA278" s="2"/>
      <c r="AB278" s="2"/>
      <c r="AC278" s="2"/>
    </row>
    <row r="279">
      <c r="A279" s="2"/>
      <c r="B279" s="2"/>
      <c r="C279" s="2"/>
      <c r="D279" s="2"/>
      <c r="E279" s="2"/>
      <c r="F279" s="2"/>
      <c r="G279" s="2"/>
      <c r="H279" s="2"/>
      <c r="I279" s="2"/>
      <c r="J279" s="2"/>
      <c r="K279" s="2"/>
      <c r="L279" s="2"/>
      <c r="M279" s="2"/>
      <c r="N279" s="2"/>
      <c r="O279" s="3"/>
      <c r="P279" s="3"/>
      <c r="Q279" s="2"/>
      <c r="R279" s="2"/>
      <c r="S279" s="2"/>
      <c r="T279" s="2"/>
      <c r="U279" s="2"/>
      <c r="V279" s="2"/>
      <c r="W279" s="2"/>
      <c r="X279" s="2"/>
      <c r="Y279" s="2"/>
      <c r="Z279" s="2"/>
      <c r="AA279" s="2"/>
      <c r="AB279" s="2"/>
      <c r="AC279" s="2"/>
    </row>
    <row r="280">
      <c r="A280" s="2"/>
      <c r="B280" s="2"/>
      <c r="C280" s="2"/>
      <c r="D280" s="2"/>
      <c r="E280" s="2"/>
      <c r="F280" s="2"/>
      <c r="G280" s="2"/>
      <c r="H280" s="2"/>
      <c r="I280" s="2"/>
      <c r="J280" s="2"/>
      <c r="K280" s="2"/>
      <c r="L280" s="2"/>
      <c r="M280" s="2"/>
      <c r="N280" s="2"/>
      <c r="O280" s="3"/>
      <c r="P280" s="3"/>
      <c r="Q280" s="2"/>
      <c r="R280" s="2"/>
      <c r="S280" s="2"/>
      <c r="T280" s="2"/>
      <c r="U280" s="2"/>
      <c r="V280" s="2"/>
      <c r="W280" s="2"/>
      <c r="X280" s="2"/>
      <c r="Y280" s="2"/>
      <c r="Z280" s="2"/>
      <c r="AA280" s="2"/>
      <c r="AB280" s="2"/>
      <c r="AC280" s="2"/>
    </row>
    <row r="281">
      <c r="A281" s="2"/>
      <c r="B281" s="2"/>
      <c r="C281" s="2"/>
      <c r="D281" s="2"/>
      <c r="E281" s="2"/>
      <c r="F281" s="2"/>
      <c r="G281" s="2"/>
      <c r="H281" s="2"/>
      <c r="I281" s="2"/>
      <c r="J281" s="2"/>
      <c r="K281" s="2"/>
      <c r="L281" s="2"/>
      <c r="M281" s="2"/>
      <c r="N281" s="2"/>
      <c r="O281" s="3"/>
      <c r="P281" s="3"/>
      <c r="Q281" s="2"/>
      <c r="R281" s="2"/>
      <c r="S281" s="2"/>
      <c r="T281" s="2"/>
      <c r="U281" s="2"/>
      <c r="V281" s="2"/>
      <c r="W281" s="2"/>
      <c r="X281" s="2"/>
      <c r="Y281" s="2"/>
      <c r="Z281" s="2"/>
      <c r="AA281" s="2"/>
      <c r="AB281" s="2"/>
      <c r="AC281" s="2"/>
    </row>
    <row r="282">
      <c r="A282" s="2"/>
      <c r="B282" s="2"/>
      <c r="C282" s="2"/>
      <c r="D282" s="2"/>
      <c r="E282" s="2"/>
      <c r="F282" s="2"/>
      <c r="G282" s="2"/>
      <c r="H282" s="2"/>
      <c r="I282" s="2"/>
      <c r="J282" s="2"/>
      <c r="K282" s="2"/>
      <c r="L282" s="2"/>
      <c r="M282" s="2"/>
      <c r="N282" s="2"/>
      <c r="O282" s="3"/>
      <c r="P282" s="3"/>
      <c r="Q282" s="2"/>
      <c r="R282" s="2"/>
      <c r="S282" s="2"/>
      <c r="T282" s="2"/>
      <c r="U282" s="2"/>
      <c r="V282" s="2"/>
      <c r="W282" s="2"/>
      <c r="X282" s="2"/>
      <c r="Y282" s="2"/>
      <c r="Z282" s="2"/>
      <c r="AA282" s="2"/>
      <c r="AB282" s="2"/>
      <c r="AC282" s="2"/>
    </row>
    <row r="283">
      <c r="A283" s="2"/>
      <c r="B283" s="2"/>
      <c r="C283" s="2"/>
      <c r="D283" s="2"/>
      <c r="E283" s="2"/>
      <c r="F283" s="2"/>
      <c r="G283" s="2"/>
      <c r="H283" s="2"/>
      <c r="I283" s="2"/>
      <c r="J283" s="2"/>
      <c r="K283" s="2"/>
      <c r="L283" s="2"/>
      <c r="M283" s="2"/>
      <c r="N283" s="2"/>
      <c r="O283" s="3"/>
      <c r="P283" s="3"/>
      <c r="Q283" s="2"/>
      <c r="R283" s="2"/>
      <c r="S283" s="2"/>
      <c r="T283" s="2"/>
      <c r="U283" s="2"/>
      <c r="V283" s="2"/>
      <c r="W283" s="2"/>
      <c r="X283" s="2"/>
      <c r="Y283" s="2"/>
      <c r="Z283" s="2"/>
      <c r="AA283" s="2"/>
      <c r="AB283" s="2"/>
      <c r="AC283" s="2"/>
    </row>
    <row r="284">
      <c r="A284" s="2"/>
      <c r="B284" s="2"/>
      <c r="C284" s="2"/>
      <c r="D284" s="2"/>
      <c r="E284" s="2"/>
      <c r="F284" s="2"/>
      <c r="G284" s="2"/>
      <c r="H284" s="2"/>
      <c r="I284" s="2"/>
      <c r="J284" s="2"/>
      <c r="K284" s="2"/>
      <c r="L284" s="2"/>
      <c r="M284" s="2"/>
      <c r="N284" s="2"/>
      <c r="O284" s="3"/>
      <c r="P284" s="3"/>
      <c r="Q284" s="2"/>
      <c r="R284" s="2"/>
      <c r="S284" s="2"/>
      <c r="T284" s="2"/>
      <c r="U284" s="2"/>
      <c r="V284" s="2"/>
      <c r="W284" s="2"/>
      <c r="X284" s="2"/>
      <c r="Y284" s="2"/>
      <c r="Z284" s="2"/>
      <c r="AA284" s="2"/>
      <c r="AB284" s="2"/>
      <c r="AC284" s="2"/>
    </row>
    <row r="285">
      <c r="A285" s="2"/>
      <c r="B285" s="2"/>
      <c r="C285" s="2"/>
      <c r="D285" s="2"/>
      <c r="E285" s="2"/>
      <c r="F285" s="2"/>
      <c r="G285" s="2"/>
      <c r="H285" s="2"/>
      <c r="I285" s="2"/>
      <c r="J285" s="2"/>
      <c r="K285" s="2"/>
      <c r="L285" s="2"/>
      <c r="M285" s="2"/>
      <c r="N285" s="2"/>
      <c r="O285" s="3"/>
      <c r="P285" s="3"/>
      <c r="Q285" s="2"/>
      <c r="R285" s="2"/>
      <c r="S285" s="2"/>
      <c r="T285" s="2"/>
      <c r="U285" s="2"/>
      <c r="V285" s="2"/>
      <c r="W285" s="2"/>
      <c r="X285" s="2"/>
      <c r="Y285" s="2"/>
      <c r="Z285" s="2"/>
      <c r="AA285" s="2"/>
      <c r="AB285" s="2"/>
      <c r="AC285" s="2"/>
    </row>
    <row r="286">
      <c r="A286" s="2"/>
      <c r="B286" s="2"/>
      <c r="C286" s="2"/>
      <c r="D286" s="2"/>
      <c r="E286" s="2"/>
      <c r="F286" s="2"/>
      <c r="G286" s="2"/>
      <c r="H286" s="2"/>
      <c r="I286" s="2"/>
      <c r="J286" s="2"/>
      <c r="K286" s="2"/>
      <c r="L286" s="2"/>
      <c r="M286" s="2"/>
      <c r="N286" s="2"/>
      <c r="O286" s="3"/>
      <c r="P286" s="3"/>
      <c r="Q286" s="2"/>
      <c r="R286" s="2"/>
      <c r="S286" s="2"/>
      <c r="T286" s="2"/>
      <c r="U286" s="2"/>
      <c r="V286" s="2"/>
      <c r="W286" s="2"/>
      <c r="X286" s="2"/>
      <c r="Y286" s="2"/>
      <c r="Z286" s="2"/>
      <c r="AA286" s="2"/>
      <c r="AB286" s="2"/>
      <c r="AC286" s="2"/>
    </row>
    <row r="287">
      <c r="A287" s="2"/>
      <c r="B287" s="2"/>
      <c r="C287" s="2"/>
      <c r="D287" s="2"/>
      <c r="E287" s="2"/>
      <c r="F287" s="2"/>
      <c r="G287" s="2"/>
      <c r="H287" s="2"/>
      <c r="I287" s="2"/>
      <c r="J287" s="2"/>
      <c r="K287" s="2"/>
      <c r="L287" s="2"/>
      <c r="M287" s="2"/>
      <c r="N287" s="2"/>
      <c r="O287" s="3"/>
      <c r="P287" s="3"/>
      <c r="Q287" s="2"/>
      <c r="R287" s="2"/>
      <c r="S287" s="2"/>
      <c r="T287" s="2"/>
      <c r="U287" s="2"/>
      <c r="V287" s="2"/>
      <c r="W287" s="2"/>
      <c r="X287" s="2"/>
      <c r="Y287" s="2"/>
      <c r="Z287" s="2"/>
      <c r="AA287" s="2"/>
      <c r="AB287" s="2"/>
      <c r="AC287" s="2"/>
    </row>
    <row r="288">
      <c r="A288" s="2"/>
      <c r="B288" s="2"/>
      <c r="C288" s="2"/>
      <c r="D288" s="2"/>
      <c r="E288" s="2"/>
      <c r="F288" s="2"/>
      <c r="G288" s="2"/>
      <c r="H288" s="2"/>
      <c r="I288" s="2"/>
      <c r="J288" s="2"/>
      <c r="K288" s="2"/>
      <c r="L288" s="2"/>
      <c r="M288" s="2"/>
      <c r="N288" s="2"/>
      <c r="O288" s="3"/>
      <c r="P288" s="3"/>
      <c r="Q288" s="2"/>
      <c r="R288" s="2"/>
      <c r="S288" s="2"/>
      <c r="T288" s="2"/>
      <c r="U288" s="2"/>
      <c r="V288" s="2"/>
      <c r="W288" s="2"/>
      <c r="X288" s="2"/>
      <c r="Y288" s="2"/>
      <c r="Z288" s="2"/>
      <c r="AA288" s="2"/>
      <c r="AB288" s="2"/>
      <c r="AC288" s="2"/>
    </row>
    <row r="289">
      <c r="A289" s="2"/>
      <c r="B289" s="2"/>
      <c r="C289" s="2"/>
      <c r="D289" s="2"/>
      <c r="E289" s="2"/>
      <c r="F289" s="2"/>
      <c r="G289" s="2"/>
      <c r="H289" s="2"/>
      <c r="I289" s="2"/>
      <c r="J289" s="2"/>
      <c r="K289" s="2"/>
      <c r="L289" s="2"/>
      <c r="M289" s="2"/>
      <c r="N289" s="2"/>
      <c r="O289" s="3"/>
      <c r="P289" s="3"/>
      <c r="Q289" s="2"/>
      <c r="R289" s="2"/>
      <c r="S289" s="2"/>
      <c r="T289" s="2"/>
      <c r="U289" s="2"/>
      <c r="V289" s="2"/>
      <c r="W289" s="2"/>
      <c r="X289" s="2"/>
      <c r="Y289" s="2"/>
      <c r="Z289" s="2"/>
      <c r="AA289" s="2"/>
      <c r="AB289" s="2"/>
      <c r="AC289" s="2"/>
    </row>
    <row r="290">
      <c r="A290" s="2"/>
      <c r="B290" s="2"/>
      <c r="C290" s="2"/>
      <c r="D290" s="2"/>
      <c r="E290" s="2"/>
      <c r="F290" s="2"/>
      <c r="G290" s="2"/>
      <c r="H290" s="2"/>
      <c r="I290" s="2"/>
      <c r="J290" s="2"/>
      <c r="K290" s="2"/>
      <c r="L290" s="2"/>
      <c r="M290" s="2"/>
      <c r="N290" s="2"/>
      <c r="O290" s="3"/>
      <c r="P290" s="3"/>
      <c r="Q290" s="2"/>
      <c r="R290" s="2"/>
      <c r="S290" s="2"/>
      <c r="T290" s="2"/>
      <c r="U290" s="2"/>
      <c r="V290" s="2"/>
      <c r="W290" s="2"/>
      <c r="X290" s="2"/>
      <c r="Y290" s="2"/>
      <c r="Z290" s="2"/>
      <c r="AA290" s="2"/>
      <c r="AB290" s="2"/>
      <c r="AC290" s="2"/>
    </row>
    <row r="291">
      <c r="A291" s="2"/>
      <c r="B291" s="2"/>
      <c r="C291" s="2"/>
      <c r="D291" s="2"/>
      <c r="E291" s="2"/>
      <c r="F291" s="2"/>
      <c r="G291" s="2"/>
      <c r="H291" s="2"/>
      <c r="I291" s="2"/>
      <c r="J291" s="2"/>
      <c r="K291" s="2"/>
      <c r="L291" s="2"/>
      <c r="M291" s="2"/>
      <c r="N291" s="2"/>
      <c r="O291" s="3"/>
      <c r="P291" s="3"/>
      <c r="Q291" s="2"/>
      <c r="R291" s="2"/>
      <c r="S291" s="2"/>
      <c r="T291" s="2"/>
      <c r="U291" s="2"/>
      <c r="V291" s="2"/>
      <c r="W291" s="2"/>
      <c r="X291" s="2"/>
      <c r="Y291" s="2"/>
      <c r="Z291" s="2"/>
      <c r="AA291" s="2"/>
      <c r="AB291" s="2"/>
      <c r="AC291" s="2"/>
    </row>
    <row r="292">
      <c r="A292" s="2"/>
      <c r="B292" s="2"/>
      <c r="C292" s="2"/>
      <c r="D292" s="2"/>
      <c r="E292" s="2"/>
      <c r="F292" s="2"/>
      <c r="G292" s="2"/>
      <c r="H292" s="2"/>
      <c r="I292" s="2"/>
      <c r="J292" s="2"/>
      <c r="K292" s="2"/>
      <c r="L292" s="2"/>
      <c r="M292" s="2"/>
      <c r="N292" s="2"/>
      <c r="O292" s="3"/>
      <c r="P292" s="3"/>
      <c r="Q292" s="2"/>
      <c r="R292" s="2"/>
      <c r="S292" s="2"/>
      <c r="T292" s="2"/>
      <c r="U292" s="2"/>
      <c r="V292" s="2"/>
      <c r="W292" s="2"/>
      <c r="X292" s="2"/>
      <c r="Y292" s="2"/>
      <c r="Z292" s="2"/>
      <c r="AA292" s="2"/>
      <c r="AB292" s="2"/>
      <c r="AC292" s="2"/>
    </row>
    <row r="293">
      <c r="A293" s="2"/>
      <c r="B293" s="2"/>
      <c r="C293" s="2"/>
      <c r="D293" s="2"/>
      <c r="E293" s="2"/>
      <c r="F293" s="2"/>
      <c r="G293" s="2"/>
      <c r="H293" s="2"/>
      <c r="I293" s="2"/>
      <c r="J293" s="2"/>
      <c r="K293" s="2"/>
      <c r="L293" s="2"/>
      <c r="M293" s="2"/>
      <c r="N293" s="2"/>
      <c r="O293" s="3"/>
      <c r="P293" s="3"/>
      <c r="Q293" s="2"/>
      <c r="R293" s="2"/>
      <c r="S293" s="2"/>
      <c r="T293" s="2"/>
      <c r="U293" s="2"/>
      <c r="V293" s="2"/>
      <c r="W293" s="2"/>
      <c r="X293" s="2"/>
      <c r="Y293" s="2"/>
      <c r="Z293" s="2"/>
      <c r="AA293" s="2"/>
      <c r="AB293" s="2"/>
      <c r="AC293" s="2"/>
    </row>
    <row r="294">
      <c r="A294" s="2"/>
      <c r="B294" s="2"/>
      <c r="C294" s="2"/>
      <c r="D294" s="2"/>
      <c r="E294" s="2"/>
      <c r="F294" s="2"/>
      <c r="G294" s="2"/>
      <c r="H294" s="2"/>
      <c r="I294" s="2"/>
      <c r="J294" s="2"/>
      <c r="K294" s="2"/>
      <c r="L294" s="2"/>
      <c r="M294" s="2"/>
      <c r="N294" s="2"/>
      <c r="O294" s="3"/>
      <c r="P294" s="3"/>
      <c r="Q294" s="2"/>
      <c r="R294" s="2"/>
      <c r="S294" s="2"/>
      <c r="T294" s="2"/>
      <c r="U294" s="2"/>
      <c r="V294" s="2"/>
      <c r="W294" s="2"/>
      <c r="X294" s="2"/>
      <c r="Y294" s="2"/>
      <c r="Z294" s="2"/>
      <c r="AA294" s="2"/>
      <c r="AB294" s="2"/>
      <c r="AC294" s="2"/>
    </row>
    <row r="295">
      <c r="A295" s="2"/>
      <c r="B295" s="2"/>
      <c r="C295" s="2"/>
      <c r="D295" s="2"/>
      <c r="E295" s="2"/>
      <c r="F295" s="2"/>
      <c r="G295" s="2"/>
      <c r="H295" s="2"/>
      <c r="I295" s="2"/>
      <c r="J295" s="2"/>
      <c r="K295" s="2"/>
      <c r="L295" s="2"/>
      <c r="M295" s="2"/>
      <c r="N295" s="2"/>
      <c r="O295" s="3"/>
      <c r="P295" s="3"/>
      <c r="Q295" s="2"/>
      <c r="R295" s="2"/>
      <c r="S295" s="2"/>
      <c r="T295" s="2"/>
      <c r="U295" s="2"/>
      <c r="V295" s="2"/>
      <c r="W295" s="2"/>
      <c r="X295" s="2"/>
      <c r="Y295" s="2"/>
      <c r="Z295" s="2"/>
      <c r="AA295" s="2"/>
      <c r="AB295" s="2"/>
      <c r="AC295" s="2"/>
    </row>
    <row r="296">
      <c r="A296" s="2"/>
      <c r="B296" s="2"/>
      <c r="C296" s="2"/>
      <c r="D296" s="2"/>
      <c r="E296" s="2"/>
      <c r="F296" s="2"/>
      <c r="G296" s="2"/>
      <c r="H296" s="2"/>
      <c r="I296" s="2"/>
      <c r="J296" s="2"/>
      <c r="K296" s="2"/>
      <c r="L296" s="2"/>
      <c r="M296" s="2"/>
      <c r="N296" s="2"/>
      <c r="O296" s="3"/>
      <c r="P296" s="3"/>
      <c r="Q296" s="2"/>
      <c r="R296" s="2"/>
      <c r="S296" s="2"/>
      <c r="T296" s="2"/>
      <c r="U296" s="2"/>
      <c r="V296" s="2"/>
      <c r="W296" s="2"/>
      <c r="X296" s="2"/>
      <c r="Y296" s="2"/>
      <c r="Z296" s="2"/>
      <c r="AA296" s="2"/>
      <c r="AB296" s="2"/>
      <c r="AC296" s="2"/>
    </row>
    <row r="297">
      <c r="A297" s="2"/>
      <c r="B297" s="2"/>
      <c r="C297" s="2"/>
      <c r="D297" s="2"/>
      <c r="E297" s="2"/>
      <c r="F297" s="2"/>
      <c r="G297" s="2"/>
      <c r="H297" s="2"/>
      <c r="I297" s="2"/>
      <c r="J297" s="2"/>
      <c r="K297" s="2"/>
      <c r="L297" s="2"/>
      <c r="M297" s="2"/>
      <c r="N297" s="2"/>
      <c r="O297" s="3"/>
      <c r="P297" s="3"/>
      <c r="Q297" s="2"/>
      <c r="R297" s="2"/>
      <c r="S297" s="2"/>
      <c r="T297" s="2"/>
      <c r="U297" s="2"/>
      <c r="V297" s="2"/>
      <c r="W297" s="2"/>
      <c r="X297" s="2"/>
      <c r="Y297" s="2"/>
      <c r="Z297" s="2"/>
      <c r="AA297" s="2"/>
      <c r="AB297" s="2"/>
      <c r="AC297" s="2"/>
    </row>
    <row r="298">
      <c r="A298" s="2"/>
      <c r="B298" s="2"/>
      <c r="C298" s="2"/>
      <c r="D298" s="2"/>
      <c r="E298" s="2"/>
      <c r="F298" s="2"/>
      <c r="G298" s="2"/>
      <c r="H298" s="2"/>
      <c r="I298" s="2"/>
      <c r="J298" s="2"/>
      <c r="K298" s="2"/>
      <c r="L298" s="2"/>
      <c r="M298" s="2"/>
      <c r="N298" s="2"/>
      <c r="O298" s="3"/>
      <c r="P298" s="3"/>
      <c r="Q298" s="2"/>
      <c r="R298" s="2"/>
      <c r="S298" s="2"/>
      <c r="T298" s="2"/>
      <c r="U298" s="2"/>
      <c r="V298" s="2"/>
      <c r="W298" s="2"/>
      <c r="X298" s="2"/>
      <c r="Y298" s="2"/>
      <c r="Z298" s="2"/>
      <c r="AA298" s="2"/>
      <c r="AB298" s="2"/>
      <c r="AC298" s="2"/>
    </row>
    <row r="299">
      <c r="A299" s="2"/>
      <c r="B299" s="2"/>
      <c r="C299" s="2"/>
      <c r="D299" s="2"/>
      <c r="E299" s="2"/>
      <c r="F299" s="2"/>
      <c r="G299" s="2"/>
      <c r="H299" s="2"/>
      <c r="I299" s="2"/>
      <c r="J299" s="2"/>
      <c r="K299" s="2"/>
      <c r="L299" s="2"/>
      <c r="M299" s="2"/>
      <c r="N299" s="2"/>
      <c r="O299" s="3"/>
      <c r="P299" s="3"/>
      <c r="Q299" s="2"/>
      <c r="R299" s="2"/>
      <c r="S299" s="2"/>
      <c r="T299" s="2"/>
      <c r="U299" s="2"/>
      <c r="V299" s="2"/>
      <c r="W299" s="2"/>
      <c r="X299" s="2"/>
      <c r="Y299" s="2"/>
      <c r="Z299" s="2"/>
      <c r="AA299" s="2"/>
      <c r="AB299" s="2"/>
      <c r="AC299" s="2"/>
    </row>
    <row r="300">
      <c r="A300" s="2"/>
      <c r="B300" s="2"/>
      <c r="C300" s="2"/>
      <c r="D300" s="2"/>
      <c r="E300" s="2"/>
      <c r="F300" s="2"/>
      <c r="G300" s="2"/>
      <c r="H300" s="2"/>
      <c r="I300" s="2"/>
      <c r="J300" s="2"/>
      <c r="K300" s="2"/>
      <c r="L300" s="2"/>
      <c r="M300" s="2"/>
      <c r="N300" s="2"/>
      <c r="O300" s="3"/>
      <c r="P300" s="3"/>
      <c r="Q300" s="2"/>
      <c r="R300" s="2"/>
      <c r="S300" s="2"/>
      <c r="T300" s="2"/>
      <c r="U300" s="2"/>
      <c r="V300" s="2"/>
      <c r="W300" s="2"/>
      <c r="X300" s="2"/>
      <c r="Y300" s="2"/>
      <c r="Z300" s="2"/>
      <c r="AA300" s="2"/>
      <c r="AB300" s="2"/>
      <c r="AC300" s="2"/>
    </row>
    <row r="301">
      <c r="A301" s="2"/>
      <c r="B301" s="2"/>
      <c r="C301" s="2"/>
      <c r="D301" s="2"/>
      <c r="E301" s="2"/>
      <c r="F301" s="2"/>
      <c r="G301" s="2"/>
      <c r="H301" s="2"/>
      <c r="I301" s="2"/>
      <c r="J301" s="2"/>
      <c r="K301" s="2"/>
      <c r="L301" s="2"/>
      <c r="M301" s="2"/>
      <c r="N301" s="2"/>
      <c r="O301" s="3"/>
      <c r="P301" s="3"/>
      <c r="Q301" s="2"/>
      <c r="R301" s="2"/>
      <c r="S301" s="2"/>
      <c r="T301" s="2"/>
      <c r="U301" s="2"/>
      <c r="V301" s="2"/>
      <c r="W301" s="2"/>
      <c r="X301" s="2"/>
      <c r="Y301" s="2"/>
      <c r="Z301" s="2"/>
      <c r="AA301" s="2"/>
      <c r="AB301" s="2"/>
      <c r="AC301" s="2"/>
    </row>
    <row r="302">
      <c r="A302" s="2"/>
      <c r="B302" s="2"/>
      <c r="C302" s="2"/>
      <c r="D302" s="2"/>
      <c r="E302" s="2"/>
      <c r="F302" s="2"/>
      <c r="G302" s="2"/>
      <c r="H302" s="2"/>
      <c r="I302" s="2"/>
      <c r="J302" s="2"/>
      <c r="K302" s="2"/>
      <c r="L302" s="2"/>
      <c r="M302" s="2"/>
      <c r="N302" s="2"/>
      <c r="O302" s="3"/>
      <c r="P302" s="3"/>
      <c r="Q302" s="2"/>
      <c r="R302" s="2"/>
      <c r="S302" s="2"/>
      <c r="T302" s="2"/>
      <c r="U302" s="2"/>
      <c r="V302" s="2"/>
      <c r="W302" s="2"/>
      <c r="X302" s="2"/>
      <c r="Y302" s="2"/>
      <c r="Z302" s="2"/>
      <c r="AA302" s="2"/>
      <c r="AB302" s="2"/>
      <c r="AC302" s="2"/>
    </row>
    <row r="303">
      <c r="A303" s="2"/>
      <c r="B303" s="2"/>
      <c r="C303" s="2"/>
      <c r="D303" s="2"/>
      <c r="E303" s="2"/>
      <c r="F303" s="2"/>
      <c r="G303" s="2"/>
      <c r="H303" s="2"/>
      <c r="I303" s="2"/>
      <c r="J303" s="2"/>
      <c r="K303" s="2"/>
      <c r="L303" s="2"/>
      <c r="M303" s="2"/>
      <c r="N303" s="2"/>
      <c r="O303" s="3"/>
      <c r="P303" s="3"/>
      <c r="Q303" s="2"/>
      <c r="R303" s="2"/>
      <c r="S303" s="2"/>
      <c r="T303" s="2"/>
      <c r="U303" s="2"/>
      <c r="V303" s="2"/>
      <c r="W303" s="2"/>
      <c r="X303" s="2"/>
      <c r="Y303" s="2"/>
      <c r="Z303" s="2"/>
      <c r="AA303" s="2"/>
      <c r="AB303" s="2"/>
      <c r="AC303" s="2"/>
    </row>
    <row r="304">
      <c r="A304" s="2"/>
      <c r="B304" s="2"/>
      <c r="C304" s="2"/>
      <c r="D304" s="2"/>
      <c r="E304" s="2"/>
      <c r="F304" s="2"/>
      <c r="G304" s="2"/>
      <c r="H304" s="2"/>
      <c r="I304" s="2"/>
      <c r="J304" s="2"/>
      <c r="K304" s="2"/>
      <c r="L304" s="2"/>
      <c r="M304" s="2"/>
      <c r="N304" s="2"/>
      <c r="O304" s="3"/>
      <c r="P304" s="3"/>
      <c r="Q304" s="2"/>
      <c r="R304" s="2"/>
      <c r="S304" s="2"/>
      <c r="T304" s="2"/>
      <c r="U304" s="2"/>
      <c r="V304" s="2"/>
      <c r="W304" s="2"/>
      <c r="X304" s="2"/>
      <c r="Y304" s="2"/>
      <c r="Z304" s="2"/>
      <c r="AA304" s="2"/>
      <c r="AB304" s="2"/>
      <c r="AC304" s="2"/>
    </row>
    <row r="305">
      <c r="A305" s="2"/>
      <c r="B305" s="2"/>
      <c r="C305" s="2"/>
      <c r="D305" s="2"/>
      <c r="E305" s="2"/>
      <c r="F305" s="2"/>
      <c r="G305" s="2"/>
      <c r="H305" s="2"/>
      <c r="I305" s="2"/>
      <c r="J305" s="2"/>
      <c r="K305" s="2"/>
      <c r="L305" s="2"/>
      <c r="M305" s="2"/>
      <c r="N305" s="2"/>
      <c r="O305" s="3"/>
      <c r="P305" s="3"/>
      <c r="Q305" s="2"/>
      <c r="R305" s="2"/>
      <c r="S305" s="2"/>
      <c r="T305" s="2"/>
      <c r="U305" s="2"/>
      <c r="V305" s="2"/>
      <c r="W305" s="2"/>
      <c r="X305" s="2"/>
      <c r="Y305" s="2"/>
      <c r="Z305" s="2"/>
      <c r="AA305" s="2"/>
      <c r="AB305" s="2"/>
      <c r="AC305" s="2"/>
    </row>
    <row r="306">
      <c r="A306" s="2"/>
      <c r="B306" s="2"/>
      <c r="C306" s="2"/>
      <c r="D306" s="2"/>
      <c r="E306" s="2"/>
      <c r="F306" s="2"/>
      <c r="G306" s="2"/>
      <c r="H306" s="2"/>
      <c r="I306" s="2"/>
      <c r="J306" s="2"/>
      <c r="K306" s="2"/>
      <c r="L306" s="2"/>
      <c r="M306" s="2"/>
      <c r="N306" s="2"/>
      <c r="O306" s="3"/>
      <c r="P306" s="3"/>
      <c r="Q306" s="2"/>
      <c r="R306" s="2"/>
      <c r="S306" s="2"/>
      <c r="T306" s="2"/>
      <c r="U306" s="2"/>
      <c r="V306" s="2"/>
      <c r="W306" s="2"/>
      <c r="X306" s="2"/>
      <c r="Y306" s="2"/>
      <c r="Z306" s="2"/>
      <c r="AA306" s="2"/>
      <c r="AB306" s="2"/>
      <c r="AC306" s="2"/>
    </row>
    <row r="307">
      <c r="A307" s="2"/>
      <c r="B307" s="2"/>
      <c r="C307" s="2"/>
      <c r="D307" s="2"/>
      <c r="E307" s="2"/>
      <c r="F307" s="2"/>
      <c r="G307" s="2"/>
      <c r="H307" s="2"/>
      <c r="I307" s="2"/>
      <c r="J307" s="2"/>
      <c r="K307" s="2"/>
      <c r="L307" s="2"/>
      <c r="M307" s="2"/>
      <c r="N307" s="2"/>
      <c r="O307" s="3"/>
      <c r="P307" s="3"/>
      <c r="Q307" s="2"/>
      <c r="R307" s="2"/>
      <c r="S307" s="2"/>
      <c r="T307" s="2"/>
      <c r="U307" s="2"/>
      <c r="V307" s="2"/>
      <c r="W307" s="2"/>
      <c r="X307" s="2"/>
      <c r="Y307" s="2"/>
      <c r="Z307" s="2"/>
      <c r="AA307" s="2"/>
      <c r="AB307" s="2"/>
      <c r="AC307" s="2"/>
    </row>
    <row r="308">
      <c r="A308" s="2"/>
      <c r="B308" s="2"/>
      <c r="C308" s="2"/>
      <c r="D308" s="2"/>
      <c r="E308" s="2"/>
      <c r="F308" s="2"/>
      <c r="G308" s="2"/>
      <c r="H308" s="2"/>
      <c r="I308" s="2"/>
      <c r="J308" s="2"/>
      <c r="K308" s="2"/>
      <c r="L308" s="2"/>
      <c r="M308" s="2"/>
      <c r="N308" s="2"/>
      <c r="O308" s="3"/>
      <c r="P308" s="3"/>
      <c r="Q308" s="2"/>
      <c r="R308" s="2"/>
      <c r="S308" s="2"/>
      <c r="T308" s="2"/>
      <c r="U308" s="2"/>
      <c r="V308" s="2"/>
      <c r="W308" s="2"/>
      <c r="X308" s="2"/>
      <c r="Y308" s="2"/>
      <c r="Z308" s="2"/>
      <c r="AA308" s="2"/>
      <c r="AB308" s="2"/>
      <c r="AC308" s="2"/>
    </row>
    <row r="309">
      <c r="A309" s="2"/>
      <c r="B309" s="2"/>
      <c r="C309" s="2"/>
      <c r="D309" s="2"/>
      <c r="E309" s="2"/>
      <c r="F309" s="2"/>
      <c r="G309" s="2"/>
      <c r="H309" s="2"/>
      <c r="I309" s="2"/>
      <c r="J309" s="2"/>
      <c r="K309" s="2"/>
      <c r="L309" s="2"/>
      <c r="M309" s="2"/>
      <c r="N309" s="2"/>
      <c r="O309" s="3"/>
      <c r="P309" s="3"/>
      <c r="Q309" s="2"/>
      <c r="R309" s="2"/>
      <c r="S309" s="2"/>
      <c r="T309" s="2"/>
      <c r="U309" s="2"/>
      <c r="V309" s="2"/>
      <c r="W309" s="2"/>
      <c r="X309" s="2"/>
      <c r="Y309" s="2"/>
      <c r="Z309" s="2"/>
      <c r="AA309" s="2"/>
      <c r="AB309" s="2"/>
      <c r="AC309" s="2"/>
    </row>
    <row r="310">
      <c r="A310" s="2"/>
      <c r="B310" s="2"/>
      <c r="C310" s="2"/>
      <c r="D310" s="2"/>
      <c r="E310" s="2"/>
      <c r="F310" s="2"/>
      <c r="G310" s="2"/>
      <c r="H310" s="2"/>
      <c r="I310" s="2"/>
      <c r="J310" s="2"/>
      <c r="K310" s="2"/>
      <c r="L310" s="2"/>
      <c r="M310" s="2"/>
      <c r="N310" s="2"/>
      <c r="O310" s="3"/>
      <c r="P310" s="3"/>
      <c r="Q310" s="2"/>
      <c r="R310" s="2"/>
      <c r="S310" s="2"/>
      <c r="T310" s="2"/>
      <c r="U310" s="2"/>
      <c r="V310" s="2"/>
      <c r="W310" s="2"/>
      <c r="X310" s="2"/>
      <c r="Y310" s="2"/>
      <c r="Z310" s="2"/>
      <c r="AA310" s="2"/>
      <c r="AB310" s="2"/>
      <c r="AC310" s="2"/>
    </row>
    <row r="311">
      <c r="A311" s="2"/>
      <c r="B311" s="2"/>
      <c r="C311" s="2"/>
      <c r="D311" s="2"/>
      <c r="E311" s="2"/>
      <c r="F311" s="2"/>
      <c r="G311" s="2"/>
      <c r="H311" s="2"/>
      <c r="I311" s="2"/>
      <c r="J311" s="2"/>
      <c r="K311" s="2"/>
      <c r="L311" s="2"/>
      <c r="M311" s="2"/>
      <c r="N311" s="2"/>
      <c r="O311" s="3"/>
      <c r="P311" s="3"/>
      <c r="Q311" s="2"/>
      <c r="R311" s="2"/>
      <c r="S311" s="2"/>
      <c r="T311" s="2"/>
      <c r="U311" s="2"/>
      <c r="V311" s="2"/>
      <c r="W311" s="2"/>
      <c r="X311" s="2"/>
      <c r="Y311" s="2"/>
      <c r="Z311" s="2"/>
      <c r="AA311" s="2"/>
      <c r="AB311" s="2"/>
      <c r="AC311" s="2"/>
    </row>
    <row r="312">
      <c r="A312" s="2"/>
      <c r="B312" s="2"/>
      <c r="C312" s="2"/>
      <c r="D312" s="2"/>
      <c r="E312" s="2"/>
      <c r="F312" s="2"/>
      <c r="G312" s="2"/>
      <c r="H312" s="2"/>
      <c r="I312" s="2"/>
      <c r="J312" s="2"/>
      <c r="K312" s="2"/>
      <c r="L312" s="2"/>
      <c r="M312" s="2"/>
      <c r="N312" s="2"/>
      <c r="O312" s="3"/>
      <c r="P312" s="3"/>
      <c r="Q312" s="2"/>
      <c r="R312" s="2"/>
      <c r="S312" s="2"/>
      <c r="T312" s="2"/>
      <c r="U312" s="2"/>
      <c r="V312" s="2"/>
      <c r="W312" s="2"/>
      <c r="X312" s="2"/>
      <c r="Y312" s="2"/>
      <c r="Z312" s="2"/>
      <c r="AA312" s="2"/>
      <c r="AB312" s="2"/>
      <c r="AC312" s="2"/>
    </row>
    <row r="313">
      <c r="A313" s="2"/>
      <c r="B313" s="2"/>
      <c r="C313" s="2"/>
      <c r="D313" s="2"/>
      <c r="E313" s="2"/>
      <c r="F313" s="2"/>
      <c r="G313" s="2"/>
      <c r="H313" s="2"/>
      <c r="I313" s="2"/>
      <c r="J313" s="2"/>
      <c r="K313" s="2"/>
      <c r="L313" s="2"/>
      <c r="M313" s="2"/>
      <c r="N313" s="2"/>
      <c r="O313" s="3"/>
      <c r="P313" s="3"/>
      <c r="Q313" s="2"/>
      <c r="R313" s="2"/>
      <c r="S313" s="2"/>
      <c r="T313" s="2"/>
      <c r="U313" s="2"/>
      <c r="V313" s="2"/>
      <c r="W313" s="2"/>
      <c r="X313" s="2"/>
      <c r="Y313" s="2"/>
      <c r="Z313" s="2"/>
      <c r="AA313" s="2"/>
      <c r="AB313" s="2"/>
      <c r="AC313" s="2"/>
    </row>
    <row r="314">
      <c r="A314" s="2"/>
      <c r="B314" s="2"/>
      <c r="C314" s="2"/>
      <c r="D314" s="2"/>
      <c r="E314" s="2"/>
      <c r="F314" s="2"/>
      <c r="G314" s="2"/>
      <c r="H314" s="2"/>
      <c r="I314" s="2"/>
      <c r="J314" s="2"/>
      <c r="K314" s="2"/>
      <c r="L314" s="2"/>
      <c r="M314" s="2"/>
      <c r="N314" s="2"/>
      <c r="O314" s="3"/>
      <c r="P314" s="3"/>
      <c r="Q314" s="2"/>
      <c r="R314" s="2"/>
      <c r="S314" s="2"/>
      <c r="T314" s="2"/>
      <c r="U314" s="2"/>
      <c r="V314" s="2"/>
      <c r="W314" s="2"/>
      <c r="X314" s="2"/>
      <c r="Y314" s="2"/>
      <c r="Z314" s="2"/>
      <c r="AA314" s="2"/>
      <c r="AB314" s="2"/>
      <c r="AC314" s="2"/>
    </row>
    <row r="315">
      <c r="A315" s="2"/>
      <c r="B315" s="2"/>
      <c r="C315" s="2"/>
      <c r="D315" s="2"/>
      <c r="E315" s="2"/>
      <c r="F315" s="2"/>
      <c r="G315" s="2"/>
      <c r="H315" s="2"/>
      <c r="I315" s="2"/>
      <c r="J315" s="2"/>
      <c r="K315" s="2"/>
      <c r="L315" s="2"/>
      <c r="M315" s="2"/>
      <c r="N315" s="2"/>
      <c r="O315" s="3"/>
      <c r="P315" s="3"/>
      <c r="Q315" s="2"/>
      <c r="R315" s="2"/>
      <c r="S315" s="2"/>
      <c r="T315" s="2"/>
      <c r="U315" s="2"/>
      <c r="V315" s="2"/>
      <c r="W315" s="2"/>
      <c r="X315" s="2"/>
      <c r="Y315" s="2"/>
      <c r="Z315" s="2"/>
      <c r="AA315" s="2"/>
      <c r="AB315" s="2"/>
      <c r="AC315" s="2"/>
    </row>
    <row r="316">
      <c r="A316" s="2"/>
      <c r="B316" s="2"/>
      <c r="C316" s="2"/>
      <c r="D316" s="2"/>
      <c r="E316" s="2"/>
      <c r="F316" s="2"/>
      <c r="G316" s="2"/>
      <c r="H316" s="2"/>
      <c r="I316" s="2"/>
      <c r="J316" s="2"/>
      <c r="K316" s="2"/>
      <c r="L316" s="2"/>
      <c r="M316" s="2"/>
      <c r="N316" s="2"/>
      <c r="O316" s="3"/>
      <c r="P316" s="3"/>
      <c r="Q316" s="2"/>
      <c r="R316" s="2"/>
      <c r="S316" s="2"/>
      <c r="T316" s="2"/>
      <c r="U316" s="2"/>
      <c r="V316" s="2"/>
      <c r="W316" s="2"/>
      <c r="X316" s="2"/>
      <c r="Y316" s="2"/>
      <c r="Z316" s="2"/>
      <c r="AA316" s="2"/>
      <c r="AB316" s="2"/>
      <c r="AC316" s="2"/>
    </row>
    <row r="317">
      <c r="A317" s="2"/>
      <c r="B317" s="2"/>
      <c r="C317" s="2"/>
      <c r="D317" s="2"/>
      <c r="E317" s="2"/>
      <c r="F317" s="2"/>
      <c r="G317" s="2"/>
      <c r="H317" s="2"/>
      <c r="I317" s="2"/>
      <c r="J317" s="2"/>
      <c r="K317" s="2"/>
      <c r="L317" s="2"/>
      <c r="M317" s="2"/>
      <c r="N317" s="2"/>
      <c r="O317" s="3"/>
      <c r="P317" s="3"/>
      <c r="Q317" s="2"/>
      <c r="R317" s="2"/>
      <c r="S317" s="2"/>
      <c r="T317" s="2"/>
      <c r="U317" s="2"/>
      <c r="V317" s="2"/>
      <c r="W317" s="2"/>
      <c r="X317" s="2"/>
      <c r="Y317" s="2"/>
      <c r="Z317" s="2"/>
      <c r="AA317" s="2"/>
      <c r="AB317" s="2"/>
      <c r="AC317" s="2"/>
    </row>
    <row r="318">
      <c r="A318" s="2"/>
      <c r="B318" s="2"/>
      <c r="C318" s="2"/>
      <c r="D318" s="2"/>
      <c r="E318" s="2"/>
      <c r="F318" s="2"/>
      <c r="G318" s="2"/>
      <c r="H318" s="2"/>
      <c r="I318" s="2"/>
      <c r="J318" s="2"/>
      <c r="K318" s="2"/>
      <c r="L318" s="2"/>
      <c r="M318" s="2"/>
      <c r="N318" s="2"/>
      <c r="O318" s="3"/>
      <c r="P318" s="3"/>
      <c r="Q318" s="2"/>
      <c r="R318" s="2"/>
      <c r="S318" s="2"/>
      <c r="T318" s="2"/>
      <c r="U318" s="2"/>
      <c r="V318" s="2"/>
      <c r="W318" s="2"/>
      <c r="X318" s="2"/>
      <c r="Y318" s="2"/>
      <c r="Z318" s="2"/>
      <c r="AA318" s="2"/>
      <c r="AB318" s="2"/>
      <c r="AC318" s="2"/>
    </row>
    <row r="319">
      <c r="A319" s="2"/>
      <c r="B319" s="2"/>
      <c r="C319" s="2"/>
      <c r="D319" s="2"/>
      <c r="E319" s="2"/>
      <c r="F319" s="2"/>
      <c r="G319" s="2"/>
      <c r="H319" s="2"/>
      <c r="I319" s="2"/>
      <c r="J319" s="2"/>
      <c r="K319" s="2"/>
      <c r="L319" s="2"/>
      <c r="M319" s="2"/>
      <c r="N319" s="2"/>
      <c r="O319" s="3"/>
      <c r="P319" s="3"/>
      <c r="Q319" s="2"/>
      <c r="R319" s="2"/>
      <c r="S319" s="2"/>
      <c r="T319" s="2"/>
      <c r="U319" s="2"/>
      <c r="V319" s="2"/>
      <c r="W319" s="2"/>
      <c r="X319" s="2"/>
      <c r="Y319" s="2"/>
      <c r="Z319" s="2"/>
      <c r="AA319" s="2"/>
      <c r="AB319" s="2"/>
      <c r="AC319" s="2"/>
    </row>
    <row r="320">
      <c r="A320" s="2"/>
      <c r="B320" s="2"/>
      <c r="C320" s="2"/>
      <c r="D320" s="2"/>
      <c r="E320" s="2"/>
      <c r="F320" s="2"/>
      <c r="G320" s="2"/>
      <c r="H320" s="2"/>
      <c r="I320" s="2"/>
      <c r="J320" s="2"/>
      <c r="K320" s="2"/>
      <c r="L320" s="2"/>
      <c r="M320" s="2"/>
      <c r="N320" s="2"/>
      <c r="O320" s="3"/>
      <c r="P320" s="3"/>
      <c r="Q320" s="2"/>
      <c r="R320" s="2"/>
      <c r="S320" s="2"/>
      <c r="T320" s="2"/>
      <c r="U320" s="2"/>
      <c r="V320" s="2"/>
      <c r="W320" s="2"/>
      <c r="X320" s="2"/>
      <c r="Y320" s="2"/>
      <c r="Z320" s="2"/>
      <c r="AA320" s="2"/>
      <c r="AB320" s="2"/>
      <c r="AC320" s="2"/>
    </row>
    <row r="321">
      <c r="A321" s="2"/>
      <c r="B321" s="2"/>
      <c r="C321" s="2"/>
      <c r="D321" s="2"/>
      <c r="E321" s="2"/>
      <c r="F321" s="2"/>
      <c r="G321" s="2"/>
      <c r="H321" s="2"/>
      <c r="I321" s="2"/>
      <c r="J321" s="2"/>
      <c r="K321" s="2"/>
      <c r="L321" s="2"/>
      <c r="M321" s="2"/>
      <c r="N321" s="2"/>
      <c r="O321" s="3"/>
      <c r="P321" s="3"/>
      <c r="Q321" s="2"/>
      <c r="R321" s="2"/>
      <c r="S321" s="2"/>
      <c r="T321" s="2"/>
      <c r="U321" s="2"/>
      <c r="V321" s="2"/>
      <c r="W321" s="2"/>
      <c r="X321" s="2"/>
      <c r="Y321" s="2"/>
      <c r="Z321" s="2"/>
      <c r="AA321" s="2"/>
      <c r="AB321" s="2"/>
      <c r="AC321" s="2"/>
    </row>
    <row r="322">
      <c r="A322" s="2"/>
      <c r="B322" s="2"/>
      <c r="C322" s="2"/>
      <c r="D322" s="2"/>
      <c r="E322" s="2"/>
      <c r="F322" s="2"/>
      <c r="G322" s="2"/>
      <c r="H322" s="2"/>
      <c r="I322" s="2"/>
      <c r="J322" s="2"/>
      <c r="K322" s="2"/>
      <c r="L322" s="2"/>
      <c r="M322" s="2"/>
      <c r="N322" s="2"/>
      <c r="O322" s="3"/>
      <c r="P322" s="3"/>
      <c r="Q322" s="2"/>
      <c r="R322" s="2"/>
      <c r="S322" s="2"/>
      <c r="T322" s="2"/>
      <c r="U322" s="2"/>
      <c r="V322" s="2"/>
      <c r="W322" s="2"/>
      <c r="X322" s="2"/>
      <c r="Y322" s="2"/>
      <c r="Z322" s="2"/>
      <c r="AA322" s="2"/>
      <c r="AB322" s="2"/>
      <c r="AC322" s="2"/>
    </row>
    <row r="323">
      <c r="A323" s="2"/>
      <c r="B323" s="2"/>
      <c r="C323" s="2"/>
      <c r="D323" s="2"/>
      <c r="E323" s="2"/>
      <c r="F323" s="2"/>
      <c r="G323" s="2"/>
      <c r="H323" s="2"/>
      <c r="I323" s="2"/>
      <c r="J323" s="2"/>
      <c r="K323" s="2"/>
      <c r="L323" s="2"/>
      <c r="M323" s="2"/>
      <c r="N323" s="2"/>
      <c r="O323" s="3"/>
      <c r="P323" s="3"/>
      <c r="Q323" s="2"/>
      <c r="R323" s="2"/>
      <c r="S323" s="2"/>
      <c r="T323" s="2"/>
      <c r="U323" s="2"/>
      <c r="V323" s="2"/>
      <c r="W323" s="2"/>
      <c r="X323" s="2"/>
      <c r="Y323" s="2"/>
      <c r="Z323" s="2"/>
      <c r="AA323" s="2"/>
      <c r="AB323" s="2"/>
      <c r="AC323" s="2"/>
    </row>
    <row r="324">
      <c r="A324" s="2"/>
      <c r="B324" s="2"/>
      <c r="C324" s="2"/>
      <c r="D324" s="2"/>
      <c r="E324" s="2"/>
      <c r="F324" s="2"/>
      <c r="G324" s="2"/>
      <c r="H324" s="2"/>
      <c r="I324" s="2"/>
      <c r="J324" s="2"/>
      <c r="K324" s="2"/>
      <c r="L324" s="2"/>
      <c r="M324" s="2"/>
      <c r="N324" s="2"/>
      <c r="O324" s="3"/>
      <c r="P324" s="3"/>
      <c r="Q324" s="2"/>
      <c r="R324" s="2"/>
      <c r="S324" s="2"/>
      <c r="T324" s="2"/>
      <c r="U324" s="2"/>
      <c r="V324" s="2"/>
      <c r="W324" s="2"/>
      <c r="X324" s="2"/>
      <c r="Y324" s="2"/>
      <c r="Z324" s="2"/>
      <c r="AA324" s="2"/>
      <c r="AB324" s="2"/>
      <c r="AC324" s="2"/>
    </row>
    <row r="325">
      <c r="A325" s="2"/>
      <c r="B325" s="2"/>
      <c r="C325" s="2"/>
      <c r="D325" s="2"/>
      <c r="E325" s="2"/>
      <c r="F325" s="2"/>
      <c r="G325" s="2"/>
      <c r="H325" s="2"/>
      <c r="I325" s="2"/>
      <c r="J325" s="2"/>
      <c r="K325" s="2"/>
      <c r="L325" s="2"/>
      <c r="M325" s="2"/>
      <c r="N325" s="2"/>
      <c r="O325" s="3"/>
      <c r="P325" s="3"/>
      <c r="Q325" s="2"/>
      <c r="R325" s="2"/>
      <c r="S325" s="2"/>
      <c r="T325" s="2"/>
      <c r="U325" s="2"/>
      <c r="V325" s="2"/>
      <c r="W325" s="2"/>
      <c r="X325" s="2"/>
      <c r="Y325" s="2"/>
      <c r="Z325" s="2"/>
      <c r="AA325" s="2"/>
      <c r="AB325" s="2"/>
      <c r="AC325" s="2"/>
    </row>
    <row r="326">
      <c r="A326" s="2"/>
      <c r="B326" s="2"/>
      <c r="C326" s="2"/>
      <c r="D326" s="2"/>
      <c r="E326" s="2"/>
      <c r="F326" s="2"/>
      <c r="G326" s="2"/>
      <c r="H326" s="2"/>
      <c r="I326" s="2"/>
      <c r="J326" s="2"/>
      <c r="K326" s="2"/>
      <c r="L326" s="2"/>
      <c r="M326" s="2"/>
      <c r="N326" s="2"/>
      <c r="O326" s="3"/>
      <c r="P326" s="3"/>
      <c r="Q326" s="2"/>
      <c r="R326" s="2"/>
      <c r="S326" s="2"/>
      <c r="T326" s="2"/>
      <c r="U326" s="2"/>
      <c r="V326" s="2"/>
      <c r="W326" s="2"/>
      <c r="X326" s="2"/>
      <c r="Y326" s="2"/>
      <c r="Z326" s="2"/>
      <c r="AA326" s="2"/>
      <c r="AB326" s="2"/>
      <c r="AC326" s="2"/>
    </row>
    <row r="327">
      <c r="A327" s="2"/>
      <c r="B327" s="2"/>
      <c r="C327" s="2"/>
      <c r="D327" s="2"/>
      <c r="E327" s="2"/>
      <c r="F327" s="2"/>
      <c r="G327" s="2"/>
      <c r="H327" s="2"/>
      <c r="I327" s="2"/>
      <c r="J327" s="2"/>
      <c r="K327" s="2"/>
      <c r="L327" s="2"/>
      <c r="M327" s="2"/>
      <c r="N327" s="2"/>
      <c r="O327" s="3"/>
      <c r="P327" s="3"/>
      <c r="Q327" s="2"/>
      <c r="R327" s="2"/>
      <c r="S327" s="2"/>
      <c r="T327" s="2"/>
      <c r="U327" s="2"/>
      <c r="V327" s="2"/>
      <c r="W327" s="2"/>
      <c r="X327" s="2"/>
      <c r="Y327" s="2"/>
      <c r="Z327" s="2"/>
      <c r="AA327" s="2"/>
      <c r="AB327" s="2"/>
      <c r="AC327" s="2"/>
    </row>
    <row r="328">
      <c r="A328" s="2"/>
      <c r="B328" s="2"/>
      <c r="C328" s="2"/>
      <c r="D328" s="2"/>
      <c r="E328" s="2"/>
      <c r="F328" s="2"/>
      <c r="G328" s="2"/>
      <c r="H328" s="2"/>
      <c r="I328" s="2"/>
      <c r="J328" s="2"/>
      <c r="K328" s="2"/>
      <c r="L328" s="2"/>
      <c r="M328" s="2"/>
      <c r="N328" s="2"/>
      <c r="O328" s="3"/>
      <c r="P328" s="3"/>
      <c r="Q328" s="2"/>
      <c r="R328" s="2"/>
      <c r="S328" s="2"/>
      <c r="T328" s="2"/>
      <c r="U328" s="2"/>
      <c r="V328" s="2"/>
      <c r="W328" s="2"/>
      <c r="X328" s="2"/>
      <c r="Y328" s="2"/>
      <c r="Z328" s="2"/>
      <c r="AA328" s="2"/>
      <c r="AB328" s="2"/>
      <c r="AC328" s="2"/>
    </row>
    <row r="329">
      <c r="A329" s="2"/>
      <c r="B329" s="2"/>
      <c r="C329" s="2"/>
      <c r="D329" s="2"/>
      <c r="E329" s="2"/>
      <c r="F329" s="2"/>
      <c r="G329" s="2"/>
      <c r="H329" s="2"/>
      <c r="I329" s="2"/>
      <c r="J329" s="2"/>
      <c r="K329" s="2"/>
      <c r="L329" s="2"/>
      <c r="M329" s="2"/>
      <c r="N329" s="2"/>
      <c r="O329" s="3"/>
      <c r="P329" s="3"/>
      <c r="Q329" s="2"/>
      <c r="R329" s="2"/>
      <c r="S329" s="2"/>
      <c r="T329" s="2"/>
      <c r="U329" s="2"/>
      <c r="V329" s="2"/>
      <c r="W329" s="2"/>
      <c r="X329" s="2"/>
      <c r="Y329" s="2"/>
      <c r="Z329" s="2"/>
      <c r="AA329" s="2"/>
      <c r="AB329" s="2"/>
      <c r="AC329" s="2"/>
    </row>
    <row r="330">
      <c r="A330" s="2"/>
      <c r="B330" s="2"/>
      <c r="C330" s="2"/>
      <c r="D330" s="2"/>
      <c r="E330" s="2"/>
      <c r="F330" s="2"/>
      <c r="G330" s="2"/>
      <c r="H330" s="2"/>
      <c r="I330" s="2"/>
      <c r="J330" s="2"/>
      <c r="K330" s="2"/>
      <c r="L330" s="2"/>
      <c r="M330" s="2"/>
      <c r="N330" s="2"/>
      <c r="O330" s="3"/>
      <c r="P330" s="3"/>
      <c r="Q330" s="2"/>
      <c r="R330" s="2"/>
      <c r="S330" s="2"/>
      <c r="T330" s="2"/>
      <c r="U330" s="2"/>
      <c r="V330" s="2"/>
      <c r="W330" s="2"/>
      <c r="X330" s="2"/>
      <c r="Y330" s="2"/>
      <c r="Z330" s="2"/>
      <c r="AA330" s="2"/>
      <c r="AB330" s="2"/>
      <c r="AC330" s="2"/>
    </row>
    <row r="331">
      <c r="A331" s="2"/>
      <c r="B331" s="2"/>
      <c r="C331" s="2"/>
      <c r="D331" s="2"/>
      <c r="E331" s="2"/>
      <c r="F331" s="2"/>
      <c r="G331" s="2"/>
      <c r="H331" s="2"/>
      <c r="I331" s="2"/>
      <c r="J331" s="2"/>
      <c r="K331" s="2"/>
      <c r="L331" s="2"/>
      <c r="M331" s="2"/>
      <c r="N331" s="2"/>
      <c r="O331" s="3"/>
      <c r="P331" s="3"/>
      <c r="Q331" s="2"/>
      <c r="R331" s="2"/>
      <c r="S331" s="2"/>
      <c r="T331" s="2"/>
      <c r="U331" s="2"/>
      <c r="V331" s="2"/>
      <c r="W331" s="2"/>
      <c r="X331" s="2"/>
      <c r="Y331" s="2"/>
      <c r="Z331" s="2"/>
      <c r="AA331" s="2"/>
      <c r="AB331" s="2"/>
      <c r="AC331" s="2"/>
    </row>
    <row r="332">
      <c r="A332" s="2"/>
      <c r="B332" s="2"/>
      <c r="C332" s="2"/>
      <c r="D332" s="2"/>
      <c r="E332" s="2"/>
      <c r="F332" s="2"/>
      <c r="G332" s="2"/>
      <c r="H332" s="2"/>
      <c r="I332" s="2"/>
      <c r="J332" s="2"/>
      <c r="K332" s="2"/>
      <c r="L332" s="2"/>
      <c r="M332" s="2"/>
      <c r="N332" s="2"/>
      <c r="O332" s="3"/>
      <c r="P332" s="3"/>
      <c r="Q332" s="2"/>
      <c r="R332" s="2"/>
      <c r="S332" s="2"/>
      <c r="T332" s="2"/>
      <c r="U332" s="2"/>
      <c r="V332" s="2"/>
      <c r="W332" s="2"/>
      <c r="X332" s="2"/>
      <c r="Y332" s="2"/>
      <c r="Z332" s="2"/>
      <c r="AA332" s="2"/>
      <c r="AB332" s="2"/>
      <c r="AC332" s="2"/>
    </row>
    <row r="333">
      <c r="A333" s="2"/>
      <c r="B333" s="2"/>
      <c r="C333" s="2"/>
      <c r="D333" s="2"/>
      <c r="E333" s="2"/>
      <c r="F333" s="2"/>
      <c r="G333" s="2"/>
      <c r="H333" s="2"/>
      <c r="I333" s="2"/>
      <c r="J333" s="2"/>
      <c r="K333" s="2"/>
      <c r="L333" s="2"/>
      <c r="M333" s="2"/>
      <c r="N333" s="2"/>
      <c r="O333" s="3"/>
      <c r="P333" s="3"/>
      <c r="Q333" s="2"/>
      <c r="R333" s="2"/>
      <c r="S333" s="2"/>
      <c r="T333" s="2"/>
      <c r="U333" s="2"/>
      <c r="V333" s="2"/>
      <c r="W333" s="2"/>
      <c r="X333" s="2"/>
      <c r="Y333" s="2"/>
      <c r="Z333" s="2"/>
      <c r="AA333" s="2"/>
      <c r="AB333" s="2"/>
      <c r="AC333" s="2"/>
    </row>
    <row r="334">
      <c r="A334" s="2"/>
      <c r="B334" s="2"/>
      <c r="C334" s="2"/>
      <c r="D334" s="2"/>
      <c r="E334" s="2"/>
      <c r="F334" s="2"/>
      <c r="G334" s="2"/>
      <c r="H334" s="2"/>
      <c r="I334" s="2"/>
      <c r="J334" s="2"/>
      <c r="K334" s="2"/>
      <c r="L334" s="2"/>
      <c r="M334" s="2"/>
      <c r="N334" s="2"/>
      <c r="O334" s="3"/>
      <c r="P334" s="3"/>
      <c r="Q334" s="2"/>
      <c r="R334" s="2"/>
      <c r="S334" s="2"/>
      <c r="T334" s="2"/>
      <c r="U334" s="2"/>
      <c r="V334" s="2"/>
      <c r="W334" s="2"/>
      <c r="X334" s="2"/>
      <c r="Y334" s="2"/>
      <c r="Z334" s="2"/>
      <c r="AA334" s="2"/>
      <c r="AB334" s="2"/>
      <c r="AC334" s="2"/>
    </row>
    <row r="335">
      <c r="A335" s="2"/>
      <c r="B335" s="2"/>
      <c r="C335" s="2"/>
      <c r="D335" s="2"/>
      <c r="E335" s="2"/>
      <c r="F335" s="2"/>
      <c r="G335" s="2"/>
      <c r="H335" s="2"/>
      <c r="I335" s="2"/>
      <c r="J335" s="2"/>
      <c r="K335" s="2"/>
      <c r="L335" s="2"/>
      <c r="M335" s="2"/>
      <c r="N335" s="2"/>
      <c r="O335" s="3"/>
      <c r="P335" s="3"/>
      <c r="Q335" s="2"/>
      <c r="R335" s="2"/>
      <c r="S335" s="2"/>
      <c r="T335" s="2"/>
      <c r="U335" s="2"/>
      <c r="V335" s="2"/>
      <c r="W335" s="2"/>
      <c r="X335" s="2"/>
      <c r="Y335" s="2"/>
      <c r="Z335" s="2"/>
      <c r="AA335" s="2"/>
      <c r="AB335" s="2"/>
      <c r="AC335" s="2"/>
    </row>
    <row r="336">
      <c r="A336" s="2"/>
      <c r="B336" s="2"/>
      <c r="C336" s="2"/>
      <c r="D336" s="2"/>
      <c r="E336" s="2"/>
      <c r="F336" s="2"/>
      <c r="G336" s="2"/>
      <c r="H336" s="2"/>
      <c r="I336" s="2"/>
      <c r="J336" s="2"/>
      <c r="K336" s="2"/>
      <c r="L336" s="2"/>
      <c r="M336" s="2"/>
      <c r="N336" s="2"/>
      <c r="O336" s="3"/>
      <c r="P336" s="3"/>
      <c r="Q336" s="2"/>
      <c r="R336" s="2"/>
      <c r="S336" s="2"/>
      <c r="T336" s="2"/>
      <c r="U336" s="2"/>
      <c r="V336" s="2"/>
      <c r="W336" s="2"/>
      <c r="X336" s="2"/>
      <c r="Y336" s="2"/>
      <c r="Z336" s="2"/>
      <c r="AA336" s="2"/>
      <c r="AB336" s="2"/>
      <c r="AC336" s="2"/>
    </row>
    <row r="337">
      <c r="A337" s="2"/>
      <c r="B337" s="2"/>
      <c r="C337" s="2"/>
      <c r="D337" s="2"/>
      <c r="E337" s="2"/>
      <c r="F337" s="2"/>
      <c r="G337" s="2"/>
      <c r="H337" s="2"/>
      <c r="I337" s="2"/>
      <c r="J337" s="2"/>
      <c r="K337" s="2"/>
      <c r="L337" s="2"/>
      <c r="M337" s="2"/>
      <c r="N337" s="2"/>
      <c r="O337" s="3"/>
      <c r="P337" s="3"/>
      <c r="Q337" s="2"/>
      <c r="R337" s="2"/>
      <c r="S337" s="2"/>
      <c r="T337" s="2"/>
      <c r="U337" s="2"/>
      <c r="V337" s="2"/>
      <c r="W337" s="2"/>
      <c r="X337" s="2"/>
      <c r="Y337" s="2"/>
      <c r="Z337" s="2"/>
      <c r="AA337" s="2"/>
      <c r="AB337" s="2"/>
      <c r="AC337" s="2"/>
    </row>
    <row r="338">
      <c r="A338" s="2"/>
      <c r="B338" s="2"/>
      <c r="C338" s="2"/>
      <c r="D338" s="2"/>
      <c r="E338" s="2"/>
      <c r="F338" s="2"/>
      <c r="G338" s="2"/>
      <c r="H338" s="2"/>
      <c r="I338" s="2"/>
      <c r="J338" s="2"/>
      <c r="K338" s="2"/>
      <c r="L338" s="2"/>
      <c r="M338" s="2"/>
      <c r="N338" s="2"/>
      <c r="O338" s="3"/>
      <c r="P338" s="3"/>
      <c r="Q338" s="2"/>
      <c r="R338" s="2"/>
      <c r="S338" s="2"/>
      <c r="T338" s="2"/>
      <c r="U338" s="2"/>
      <c r="V338" s="2"/>
      <c r="W338" s="2"/>
      <c r="X338" s="2"/>
      <c r="Y338" s="2"/>
      <c r="Z338" s="2"/>
      <c r="AA338" s="2"/>
      <c r="AB338" s="2"/>
      <c r="AC338" s="2"/>
    </row>
    <row r="339">
      <c r="A339" s="2"/>
      <c r="B339" s="2"/>
      <c r="C339" s="2"/>
      <c r="D339" s="2"/>
      <c r="E339" s="2"/>
      <c r="F339" s="2"/>
      <c r="G339" s="2"/>
      <c r="H339" s="2"/>
      <c r="I339" s="2"/>
      <c r="J339" s="2"/>
      <c r="K339" s="2"/>
      <c r="L339" s="2"/>
      <c r="M339" s="2"/>
      <c r="N339" s="2"/>
      <c r="O339" s="3"/>
      <c r="P339" s="3"/>
      <c r="Q339" s="2"/>
      <c r="R339" s="2"/>
      <c r="S339" s="2"/>
      <c r="T339" s="2"/>
      <c r="U339" s="2"/>
      <c r="V339" s="2"/>
      <c r="W339" s="2"/>
      <c r="X339" s="2"/>
      <c r="Y339" s="2"/>
      <c r="Z339" s="2"/>
      <c r="AA339" s="2"/>
      <c r="AB339" s="2"/>
      <c r="AC339" s="2"/>
    </row>
    <row r="340">
      <c r="A340" s="2"/>
      <c r="B340" s="2"/>
      <c r="C340" s="2"/>
      <c r="D340" s="2"/>
      <c r="E340" s="2"/>
      <c r="F340" s="2"/>
      <c r="G340" s="2"/>
      <c r="H340" s="2"/>
      <c r="I340" s="2"/>
      <c r="J340" s="2"/>
      <c r="K340" s="2"/>
      <c r="L340" s="2"/>
      <c r="M340" s="2"/>
      <c r="N340" s="2"/>
      <c r="O340" s="3"/>
      <c r="P340" s="3"/>
      <c r="Q340" s="2"/>
      <c r="R340" s="2"/>
      <c r="S340" s="2"/>
      <c r="T340" s="2"/>
      <c r="U340" s="2"/>
      <c r="V340" s="2"/>
      <c r="W340" s="2"/>
      <c r="X340" s="2"/>
      <c r="Y340" s="2"/>
      <c r="Z340" s="2"/>
      <c r="AA340" s="2"/>
      <c r="AB340" s="2"/>
      <c r="AC340" s="2"/>
    </row>
    <row r="341">
      <c r="A341" s="2"/>
      <c r="B341" s="2"/>
      <c r="C341" s="2"/>
      <c r="D341" s="2"/>
      <c r="E341" s="2"/>
      <c r="F341" s="2"/>
      <c r="G341" s="2"/>
      <c r="H341" s="2"/>
      <c r="I341" s="2"/>
      <c r="J341" s="2"/>
      <c r="K341" s="2"/>
      <c r="L341" s="2"/>
      <c r="M341" s="2"/>
      <c r="N341" s="2"/>
      <c r="O341" s="3"/>
      <c r="P341" s="3"/>
      <c r="Q341" s="2"/>
      <c r="R341" s="2"/>
      <c r="S341" s="2"/>
      <c r="T341" s="2"/>
      <c r="U341" s="2"/>
      <c r="V341" s="2"/>
      <c r="W341" s="2"/>
      <c r="X341" s="2"/>
      <c r="Y341" s="2"/>
      <c r="Z341" s="2"/>
      <c r="AA341" s="2"/>
      <c r="AB341" s="2"/>
      <c r="AC341" s="2"/>
    </row>
    <row r="342">
      <c r="A342" s="2"/>
      <c r="B342" s="2"/>
      <c r="C342" s="2"/>
      <c r="D342" s="2"/>
      <c r="E342" s="2"/>
      <c r="F342" s="2"/>
      <c r="G342" s="2"/>
      <c r="H342" s="2"/>
      <c r="I342" s="2"/>
      <c r="J342" s="2"/>
      <c r="K342" s="2"/>
      <c r="L342" s="2"/>
      <c r="M342" s="2"/>
      <c r="N342" s="2"/>
      <c r="O342" s="3"/>
      <c r="P342" s="3"/>
      <c r="Q342" s="2"/>
      <c r="R342" s="2"/>
      <c r="S342" s="2"/>
      <c r="T342" s="2"/>
      <c r="U342" s="2"/>
      <c r="V342" s="2"/>
      <c r="W342" s="2"/>
      <c r="X342" s="2"/>
      <c r="Y342" s="2"/>
      <c r="Z342" s="2"/>
      <c r="AA342" s="2"/>
      <c r="AB342" s="2"/>
      <c r="AC342" s="2"/>
    </row>
    <row r="343">
      <c r="A343" s="2"/>
      <c r="B343" s="2"/>
      <c r="C343" s="2"/>
      <c r="D343" s="2"/>
      <c r="E343" s="2"/>
      <c r="F343" s="2"/>
      <c r="G343" s="2"/>
      <c r="H343" s="2"/>
      <c r="I343" s="2"/>
      <c r="J343" s="2"/>
      <c r="K343" s="2"/>
      <c r="L343" s="2"/>
      <c r="M343" s="2"/>
      <c r="N343" s="2"/>
      <c r="O343" s="3"/>
      <c r="P343" s="3"/>
      <c r="Q343" s="2"/>
      <c r="R343" s="2"/>
      <c r="S343" s="2"/>
      <c r="T343" s="2"/>
      <c r="U343" s="2"/>
      <c r="V343" s="2"/>
      <c r="W343" s="2"/>
      <c r="X343" s="2"/>
      <c r="Y343" s="2"/>
      <c r="Z343" s="2"/>
      <c r="AA343" s="2"/>
      <c r="AB343" s="2"/>
      <c r="AC343" s="2"/>
    </row>
    <row r="344">
      <c r="A344" s="2"/>
      <c r="B344" s="2"/>
      <c r="C344" s="2"/>
      <c r="D344" s="2"/>
      <c r="E344" s="2"/>
      <c r="F344" s="2"/>
      <c r="G344" s="2"/>
      <c r="H344" s="2"/>
      <c r="I344" s="2"/>
      <c r="J344" s="2"/>
      <c r="K344" s="2"/>
      <c r="L344" s="2"/>
      <c r="M344" s="2"/>
      <c r="N344" s="2"/>
      <c r="O344" s="3"/>
      <c r="P344" s="3"/>
      <c r="Q344" s="2"/>
      <c r="R344" s="2"/>
      <c r="S344" s="2"/>
      <c r="T344" s="2"/>
      <c r="U344" s="2"/>
      <c r="V344" s="2"/>
      <c r="W344" s="2"/>
      <c r="X344" s="2"/>
      <c r="Y344" s="2"/>
      <c r="Z344" s="2"/>
      <c r="AA344" s="2"/>
      <c r="AB344" s="2"/>
      <c r="AC344" s="2"/>
    </row>
    <row r="345">
      <c r="A345" s="2"/>
      <c r="B345" s="2"/>
      <c r="C345" s="2"/>
      <c r="D345" s="2"/>
      <c r="E345" s="2"/>
      <c r="F345" s="2"/>
      <c r="G345" s="2"/>
      <c r="H345" s="2"/>
      <c r="I345" s="2"/>
      <c r="J345" s="2"/>
      <c r="K345" s="2"/>
      <c r="L345" s="2"/>
      <c r="M345" s="2"/>
      <c r="N345" s="2"/>
      <c r="O345" s="3"/>
      <c r="P345" s="3"/>
      <c r="Q345" s="2"/>
      <c r="R345" s="2"/>
      <c r="S345" s="2"/>
      <c r="T345" s="2"/>
      <c r="U345" s="2"/>
      <c r="V345" s="2"/>
      <c r="W345" s="2"/>
      <c r="X345" s="2"/>
      <c r="Y345" s="2"/>
      <c r="Z345" s="2"/>
      <c r="AA345" s="2"/>
      <c r="AB345" s="2"/>
      <c r="AC345" s="2"/>
    </row>
    <row r="346">
      <c r="A346" s="2"/>
      <c r="B346" s="2"/>
      <c r="C346" s="2"/>
      <c r="D346" s="2"/>
      <c r="E346" s="2"/>
      <c r="F346" s="2"/>
      <c r="G346" s="2"/>
      <c r="H346" s="2"/>
      <c r="I346" s="2"/>
      <c r="J346" s="2"/>
      <c r="K346" s="2"/>
      <c r="L346" s="2"/>
      <c r="M346" s="2"/>
      <c r="N346" s="2"/>
      <c r="O346" s="3"/>
      <c r="P346" s="3"/>
      <c r="Q346" s="2"/>
      <c r="R346" s="2"/>
      <c r="S346" s="2"/>
      <c r="T346" s="2"/>
      <c r="U346" s="2"/>
      <c r="V346" s="2"/>
      <c r="W346" s="2"/>
      <c r="X346" s="2"/>
      <c r="Y346" s="2"/>
      <c r="Z346" s="2"/>
      <c r="AA346" s="2"/>
      <c r="AB346" s="2"/>
      <c r="AC346" s="2"/>
    </row>
    <row r="347">
      <c r="A347" s="2"/>
      <c r="B347" s="2"/>
      <c r="C347" s="2"/>
      <c r="D347" s="2"/>
      <c r="E347" s="2"/>
      <c r="F347" s="2"/>
      <c r="G347" s="2"/>
      <c r="H347" s="2"/>
      <c r="I347" s="2"/>
      <c r="J347" s="2"/>
      <c r="K347" s="2"/>
      <c r="L347" s="2"/>
      <c r="M347" s="2"/>
      <c r="N347" s="2"/>
      <c r="O347" s="3"/>
      <c r="P347" s="3"/>
      <c r="Q347" s="2"/>
      <c r="R347" s="2"/>
      <c r="S347" s="2"/>
      <c r="T347" s="2"/>
      <c r="U347" s="2"/>
      <c r="V347" s="2"/>
      <c r="W347" s="2"/>
      <c r="X347" s="2"/>
      <c r="Y347" s="2"/>
      <c r="Z347" s="2"/>
      <c r="AA347" s="2"/>
      <c r="AB347" s="2"/>
      <c r="AC347" s="2"/>
    </row>
    <row r="348">
      <c r="A348" s="2"/>
      <c r="B348" s="2"/>
      <c r="C348" s="2"/>
      <c r="D348" s="2"/>
      <c r="E348" s="2"/>
      <c r="F348" s="2"/>
      <c r="G348" s="2"/>
      <c r="H348" s="2"/>
      <c r="I348" s="2"/>
      <c r="J348" s="2"/>
      <c r="K348" s="2"/>
      <c r="L348" s="2"/>
      <c r="M348" s="2"/>
      <c r="N348" s="2"/>
      <c r="O348" s="3"/>
      <c r="P348" s="3"/>
      <c r="Q348" s="2"/>
      <c r="R348" s="2"/>
      <c r="S348" s="2"/>
      <c r="T348" s="2"/>
      <c r="U348" s="2"/>
      <c r="V348" s="2"/>
      <c r="W348" s="2"/>
      <c r="X348" s="2"/>
      <c r="Y348" s="2"/>
      <c r="Z348" s="2"/>
      <c r="AA348" s="2"/>
      <c r="AB348" s="2"/>
      <c r="AC348" s="2"/>
    </row>
    <row r="349">
      <c r="A349" s="2"/>
      <c r="B349" s="2"/>
      <c r="C349" s="2"/>
      <c r="D349" s="2"/>
      <c r="E349" s="2"/>
      <c r="F349" s="2"/>
      <c r="G349" s="2"/>
      <c r="H349" s="2"/>
      <c r="I349" s="2"/>
      <c r="J349" s="2"/>
      <c r="K349" s="2"/>
      <c r="L349" s="2"/>
      <c r="M349" s="2"/>
      <c r="N349" s="2"/>
      <c r="O349" s="3"/>
      <c r="P349" s="3"/>
      <c r="Q349" s="2"/>
      <c r="R349" s="2"/>
      <c r="S349" s="2"/>
      <c r="T349" s="2"/>
      <c r="U349" s="2"/>
      <c r="V349" s="2"/>
      <c r="W349" s="2"/>
      <c r="X349" s="2"/>
      <c r="Y349" s="2"/>
      <c r="Z349" s="2"/>
      <c r="AA349" s="2"/>
      <c r="AB349" s="2"/>
      <c r="AC349" s="2"/>
    </row>
    <row r="350">
      <c r="A350" s="2"/>
      <c r="B350" s="2"/>
      <c r="C350" s="2"/>
      <c r="D350" s="2"/>
      <c r="E350" s="2"/>
      <c r="F350" s="2"/>
      <c r="G350" s="2"/>
      <c r="H350" s="2"/>
      <c r="I350" s="2"/>
      <c r="J350" s="2"/>
      <c r="K350" s="2"/>
      <c r="L350" s="2"/>
      <c r="M350" s="2"/>
      <c r="N350" s="2"/>
      <c r="O350" s="3"/>
      <c r="P350" s="3"/>
      <c r="Q350" s="2"/>
      <c r="R350" s="2"/>
      <c r="S350" s="2"/>
      <c r="T350" s="2"/>
      <c r="U350" s="2"/>
      <c r="V350" s="2"/>
      <c r="W350" s="2"/>
      <c r="X350" s="2"/>
      <c r="Y350" s="2"/>
      <c r="Z350" s="2"/>
      <c r="AA350" s="2"/>
      <c r="AB350" s="2"/>
      <c r="AC350" s="2"/>
    </row>
    <row r="351">
      <c r="A351" s="2"/>
      <c r="B351" s="2"/>
      <c r="C351" s="2"/>
      <c r="D351" s="2"/>
      <c r="E351" s="2"/>
      <c r="F351" s="2"/>
      <c r="G351" s="2"/>
      <c r="H351" s="2"/>
      <c r="I351" s="2"/>
      <c r="J351" s="2"/>
      <c r="K351" s="2"/>
      <c r="L351" s="2"/>
      <c r="M351" s="2"/>
      <c r="N351" s="2"/>
      <c r="O351" s="3"/>
      <c r="P351" s="3"/>
      <c r="Q351" s="2"/>
      <c r="R351" s="2"/>
      <c r="S351" s="2"/>
      <c r="T351" s="2"/>
      <c r="U351" s="2"/>
      <c r="V351" s="2"/>
      <c r="W351" s="2"/>
      <c r="X351" s="2"/>
      <c r="Y351" s="2"/>
      <c r="Z351" s="2"/>
      <c r="AA351" s="2"/>
      <c r="AB351" s="2"/>
      <c r="AC351" s="2"/>
    </row>
    <row r="352">
      <c r="A352" s="2"/>
      <c r="B352" s="2"/>
      <c r="C352" s="2"/>
      <c r="D352" s="2"/>
      <c r="E352" s="2"/>
      <c r="F352" s="2"/>
      <c r="G352" s="2"/>
      <c r="H352" s="2"/>
      <c r="I352" s="2"/>
      <c r="J352" s="2"/>
      <c r="K352" s="2"/>
      <c r="L352" s="2"/>
      <c r="M352" s="2"/>
      <c r="N352" s="2"/>
      <c r="O352" s="3"/>
      <c r="P352" s="3"/>
      <c r="Q352" s="2"/>
      <c r="R352" s="2"/>
      <c r="S352" s="2"/>
      <c r="T352" s="2"/>
      <c r="U352" s="2"/>
      <c r="V352" s="2"/>
      <c r="W352" s="2"/>
      <c r="X352" s="2"/>
      <c r="Y352" s="2"/>
      <c r="Z352" s="2"/>
      <c r="AA352" s="2"/>
      <c r="AB352" s="2"/>
      <c r="AC352" s="2"/>
    </row>
    <row r="353">
      <c r="A353" s="2"/>
      <c r="B353" s="2"/>
      <c r="C353" s="2"/>
      <c r="D353" s="2"/>
      <c r="E353" s="2"/>
      <c r="F353" s="2"/>
      <c r="G353" s="2"/>
      <c r="H353" s="2"/>
      <c r="I353" s="2"/>
      <c r="J353" s="2"/>
      <c r="K353" s="2"/>
      <c r="L353" s="2"/>
      <c r="M353" s="2"/>
      <c r="N353" s="2"/>
      <c r="O353" s="3"/>
      <c r="P353" s="3"/>
      <c r="Q353" s="2"/>
      <c r="R353" s="2"/>
      <c r="S353" s="2"/>
      <c r="T353" s="2"/>
      <c r="U353" s="2"/>
      <c r="V353" s="2"/>
      <c r="W353" s="2"/>
      <c r="X353" s="2"/>
      <c r="Y353" s="2"/>
      <c r="Z353" s="2"/>
      <c r="AA353" s="2"/>
      <c r="AB353" s="2"/>
      <c r="AC353" s="2"/>
    </row>
    <row r="354">
      <c r="A354" s="2"/>
      <c r="B354" s="2"/>
      <c r="C354" s="2"/>
      <c r="D354" s="2"/>
      <c r="E354" s="2"/>
      <c r="F354" s="2"/>
      <c r="G354" s="2"/>
      <c r="H354" s="2"/>
      <c r="I354" s="2"/>
      <c r="J354" s="2"/>
      <c r="K354" s="2"/>
      <c r="L354" s="2"/>
      <c r="M354" s="2"/>
      <c r="N354" s="2"/>
      <c r="O354" s="3"/>
      <c r="P354" s="3"/>
      <c r="Q354" s="2"/>
      <c r="R354" s="2"/>
      <c r="S354" s="2"/>
      <c r="T354" s="2"/>
      <c r="U354" s="2"/>
      <c r="V354" s="2"/>
      <c r="W354" s="2"/>
      <c r="X354" s="2"/>
      <c r="Y354" s="2"/>
      <c r="Z354" s="2"/>
      <c r="AA354" s="2"/>
      <c r="AB354" s="2"/>
      <c r="AC354" s="2"/>
    </row>
    <row r="355">
      <c r="A355" s="2"/>
      <c r="B355" s="2"/>
      <c r="C355" s="2"/>
      <c r="D355" s="2"/>
      <c r="E355" s="2"/>
      <c r="F355" s="2"/>
      <c r="G355" s="2"/>
      <c r="H355" s="2"/>
      <c r="I355" s="2"/>
      <c r="J355" s="2"/>
      <c r="K355" s="2"/>
      <c r="L355" s="2"/>
      <c r="M355" s="2"/>
      <c r="N355" s="2"/>
      <c r="O355" s="3"/>
      <c r="P355" s="3"/>
      <c r="Q355" s="2"/>
      <c r="R355" s="2"/>
      <c r="S355" s="2"/>
      <c r="T355" s="2"/>
      <c r="U355" s="2"/>
      <c r="V355" s="2"/>
      <c r="W355" s="2"/>
      <c r="X355" s="2"/>
      <c r="Y355" s="2"/>
      <c r="Z355" s="2"/>
      <c r="AA355" s="2"/>
      <c r="AB355" s="2"/>
      <c r="AC355" s="2"/>
    </row>
    <row r="356">
      <c r="A356" s="2"/>
      <c r="B356" s="2"/>
      <c r="C356" s="2"/>
      <c r="D356" s="2"/>
      <c r="E356" s="2"/>
      <c r="F356" s="2"/>
      <c r="G356" s="2"/>
      <c r="H356" s="2"/>
      <c r="I356" s="2"/>
      <c r="J356" s="2"/>
      <c r="K356" s="2"/>
      <c r="L356" s="2"/>
      <c r="M356" s="2"/>
      <c r="N356" s="2"/>
      <c r="O356" s="3"/>
      <c r="P356" s="3"/>
      <c r="Q356" s="2"/>
      <c r="R356" s="2"/>
      <c r="S356" s="2"/>
      <c r="T356" s="2"/>
      <c r="U356" s="2"/>
      <c r="V356" s="2"/>
      <c r="W356" s="2"/>
      <c r="X356" s="2"/>
      <c r="Y356" s="2"/>
      <c r="Z356" s="2"/>
      <c r="AA356" s="2"/>
      <c r="AB356" s="2"/>
      <c r="AC356" s="2"/>
    </row>
    <row r="357">
      <c r="A357" s="2"/>
      <c r="B357" s="2"/>
      <c r="C357" s="2"/>
      <c r="D357" s="2"/>
      <c r="E357" s="2"/>
      <c r="F357" s="2"/>
      <c r="G357" s="2"/>
      <c r="H357" s="2"/>
      <c r="I357" s="2"/>
      <c r="J357" s="2"/>
      <c r="K357" s="2"/>
      <c r="L357" s="2"/>
      <c r="M357" s="2"/>
      <c r="N357" s="2"/>
      <c r="O357" s="3"/>
      <c r="P357" s="3"/>
      <c r="Q357" s="2"/>
      <c r="R357" s="2"/>
      <c r="S357" s="2"/>
      <c r="T357" s="2"/>
      <c r="U357" s="2"/>
      <c r="V357" s="2"/>
      <c r="W357" s="2"/>
      <c r="X357" s="2"/>
      <c r="Y357" s="2"/>
      <c r="Z357" s="2"/>
      <c r="AA357" s="2"/>
      <c r="AB357" s="2"/>
      <c r="AC357" s="2"/>
    </row>
    <row r="358">
      <c r="A358" s="2"/>
      <c r="B358" s="2"/>
      <c r="C358" s="2"/>
      <c r="D358" s="2"/>
      <c r="E358" s="2"/>
      <c r="F358" s="2"/>
      <c r="G358" s="2"/>
      <c r="H358" s="2"/>
      <c r="I358" s="2"/>
      <c r="J358" s="2"/>
      <c r="K358" s="2"/>
      <c r="L358" s="2"/>
      <c r="M358" s="2"/>
      <c r="N358" s="2"/>
      <c r="O358" s="3"/>
      <c r="P358" s="3"/>
      <c r="Q358" s="2"/>
      <c r="R358" s="2"/>
      <c r="S358" s="2"/>
      <c r="T358" s="2"/>
      <c r="U358" s="2"/>
      <c r="V358" s="2"/>
      <c r="W358" s="2"/>
      <c r="X358" s="2"/>
      <c r="Y358" s="2"/>
      <c r="Z358" s="2"/>
      <c r="AA358" s="2"/>
      <c r="AB358" s="2"/>
      <c r="AC358" s="2"/>
    </row>
    <row r="359">
      <c r="A359" s="2"/>
      <c r="B359" s="2"/>
      <c r="C359" s="2"/>
      <c r="D359" s="2"/>
      <c r="E359" s="2"/>
      <c r="F359" s="2"/>
      <c r="G359" s="2"/>
      <c r="H359" s="2"/>
      <c r="I359" s="2"/>
      <c r="J359" s="2"/>
      <c r="K359" s="2"/>
      <c r="L359" s="2"/>
      <c r="M359" s="2"/>
      <c r="N359" s="2"/>
      <c r="O359" s="3"/>
      <c r="P359" s="3"/>
      <c r="Q359" s="2"/>
      <c r="R359" s="2"/>
      <c r="S359" s="2"/>
      <c r="T359" s="2"/>
      <c r="U359" s="2"/>
      <c r="V359" s="2"/>
      <c r="W359" s="2"/>
      <c r="X359" s="2"/>
      <c r="Y359" s="2"/>
      <c r="Z359" s="2"/>
      <c r="AA359" s="2"/>
      <c r="AB359" s="2"/>
      <c r="AC359" s="2"/>
    </row>
    <row r="360">
      <c r="A360" s="2"/>
      <c r="B360" s="2"/>
      <c r="C360" s="2"/>
      <c r="D360" s="2"/>
      <c r="E360" s="2"/>
      <c r="F360" s="2"/>
      <c r="G360" s="2"/>
      <c r="H360" s="2"/>
      <c r="I360" s="2"/>
      <c r="J360" s="2"/>
      <c r="K360" s="2"/>
      <c r="L360" s="2"/>
      <c r="M360" s="2"/>
      <c r="N360" s="2"/>
      <c r="O360" s="3"/>
      <c r="P360" s="3"/>
      <c r="Q360" s="2"/>
      <c r="R360" s="2"/>
      <c r="S360" s="2"/>
      <c r="T360" s="2"/>
      <c r="U360" s="2"/>
      <c r="V360" s="2"/>
      <c r="W360" s="2"/>
      <c r="X360" s="2"/>
      <c r="Y360" s="2"/>
      <c r="Z360" s="2"/>
      <c r="AA360" s="2"/>
      <c r="AB360" s="2"/>
      <c r="AC360" s="2"/>
    </row>
    <row r="361">
      <c r="A361" s="2"/>
      <c r="B361" s="2"/>
      <c r="C361" s="2"/>
      <c r="D361" s="2"/>
      <c r="E361" s="2"/>
      <c r="F361" s="2"/>
      <c r="G361" s="2"/>
      <c r="H361" s="2"/>
      <c r="I361" s="2"/>
      <c r="J361" s="2"/>
      <c r="K361" s="2"/>
      <c r="L361" s="2"/>
      <c r="M361" s="2"/>
      <c r="N361" s="2"/>
      <c r="O361" s="3"/>
      <c r="P361" s="3"/>
      <c r="Q361" s="2"/>
      <c r="R361" s="2"/>
      <c r="S361" s="2"/>
      <c r="T361" s="2"/>
      <c r="U361" s="2"/>
      <c r="V361" s="2"/>
      <c r="W361" s="2"/>
      <c r="X361" s="2"/>
      <c r="Y361" s="2"/>
      <c r="Z361" s="2"/>
      <c r="AA361" s="2"/>
      <c r="AB361" s="2"/>
      <c r="AC361" s="2"/>
    </row>
    <row r="362">
      <c r="A362" s="2"/>
      <c r="B362" s="2"/>
      <c r="C362" s="2"/>
      <c r="D362" s="2"/>
      <c r="E362" s="2"/>
      <c r="F362" s="2"/>
      <c r="G362" s="2"/>
      <c r="H362" s="2"/>
      <c r="I362" s="2"/>
      <c r="J362" s="2"/>
      <c r="K362" s="2"/>
      <c r="L362" s="2"/>
      <c r="M362" s="2"/>
      <c r="N362" s="2"/>
      <c r="O362" s="3"/>
      <c r="P362" s="3"/>
      <c r="Q362" s="2"/>
      <c r="R362" s="2"/>
      <c r="S362" s="2"/>
      <c r="T362" s="2"/>
      <c r="U362" s="2"/>
      <c r="V362" s="2"/>
      <c r="W362" s="2"/>
      <c r="X362" s="2"/>
      <c r="Y362" s="2"/>
      <c r="Z362" s="2"/>
      <c r="AA362" s="2"/>
      <c r="AB362" s="2"/>
      <c r="AC362" s="2"/>
    </row>
    <row r="363">
      <c r="A363" s="2"/>
      <c r="B363" s="2"/>
      <c r="C363" s="2"/>
      <c r="D363" s="2"/>
      <c r="E363" s="2"/>
      <c r="F363" s="2"/>
      <c r="G363" s="2"/>
      <c r="H363" s="2"/>
      <c r="I363" s="2"/>
      <c r="J363" s="2"/>
      <c r="K363" s="2"/>
      <c r="L363" s="2"/>
      <c r="M363" s="2"/>
      <c r="N363" s="2"/>
      <c r="O363" s="3"/>
      <c r="P363" s="3"/>
      <c r="Q363" s="2"/>
      <c r="R363" s="2"/>
      <c r="S363" s="2"/>
      <c r="T363" s="2"/>
      <c r="U363" s="2"/>
      <c r="V363" s="2"/>
      <c r="W363" s="2"/>
      <c r="X363" s="2"/>
      <c r="Y363" s="2"/>
      <c r="Z363" s="2"/>
      <c r="AA363" s="2"/>
      <c r="AB363" s="2"/>
      <c r="AC363" s="2"/>
    </row>
    <row r="364">
      <c r="A364" s="2"/>
      <c r="B364" s="2"/>
      <c r="C364" s="2"/>
      <c r="D364" s="2"/>
      <c r="E364" s="2"/>
      <c r="F364" s="2"/>
      <c r="G364" s="2"/>
      <c r="H364" s="2"/>
      <c r="I364" s="2"/>
      <c r="J364" s="2"/>
      <c r="K364" s="2"/>
      <c r="L364" s="2"/>
      <c r="M364" s="2"/>
      <c r="N364" s="2"/>
      <c r="O364" s="3"/>
      <c r="P364" s="3"/>
      <c r="Q364" s="2"/>
      <c r="R364" s="2"/>
      <c r="S364" s="2"/>
      <c r="T364" s="2"/>
      <c r="U364" s="2"/>
      <c r="V364" s="2"/>
      <c r="W364" s="2"/>
      <c r="X364" s="2"/>
      <c r="Y364" s="2"/>
      <c r="Z364" s="2"/>
      <c r="AA364" s="2"/>
      <c r="AB364" s="2"/>
      <c r="AC364" s="2"/>
    </row>
    <row r="365">
      <c r="A365" s="2"/>
      <c r="B365" s="2"/>
      <c r="C365" s="2"/>
      <c r="D365" s="2"/>
      <c r="E365" s="2"/>
      <c r="F365" s="2"/>
      <c r="G365" s="2"/>
      <c r="H365" s="2"/>
      <c r="I365" s="2"/>
      <c r="J365" s="2"/>
      <c r="K365" s="2"/>
      <c r="L365" s="2"/>
      <c r="M365" s="2"/>
      <c r="N365" s="2"/>
      <c r="O365" s="3"/>
      <c r="P365" s="3"/>
      <c r="Q365" s="2"/>
      <c r="R365" s="2"/>
      <c r="S365" s="2"/>
      <c r="T365" s="2"/>
      <c r="U365" s="2"/>
      <c r="V365" s="2"/>
      <c r="W365" s="2"/>
      <c r="X365" s="2"/>
      <c r="Y365" s="2"/>
      <c r="Z365" s="2"/>
      <c r="AA365" s="2"/>
      <c r="AB365" s="2"/>
      <c r="AC365" s="2"/>
    </row>
    <row r="366">
      <c r="A366" s="2"/>
      <c r="B366" s="2"/>
      <c r="C366" s="2"/>
      <c r="D366" s="2"/>
      <c r="E366" s="2"/>
      <c r="F366" s="2"/>
      <c r="G366" s="2"/>
      <c r="H366" s="2"/>
      <c r="I366" s="2"/>
      <c r="J366" s="2"/>
      <c r="K366" s="2"/>
      <c r="L366" s="2"/>
      <c r="M366" s="2"/>
      <c r="N366" s="2"/>
      <c r="O366" s="3"/>
      <c r="P366" s="3"/>
      <c r="Q366" s="2"/>
      <c r="R366" s="2"/>
      <c r="S366" s="2"/>
      <c r="T366" s="2"/>
      <c r="U366" s="2"/>
      <c r="V366" s="2"/>
      <c r="W366" s="2"/>
      <c r="X366" s="2"/>
      <c r="Y366" s="2"/>
      <c r="Z366" s="2"/>
      <c r="AA366" s="2"/>
      <c r="AB366" s="2"/>
      <c r="AC366" s="2"/>
    </row>
    <row r="367">
      <c r="A367" s="2"/>
      <c r="B367" s="2"/>
      <c r="C367" s="2"/>
      <c r="D367" s="2"/>
      <c r="E367" s="2"/>
      <c r="F367" s="2"/>
      <c r="G367" s="2"/>
      <c r="H367" s="2"/>
      <c r="I367" s="2"/>
      <c r="J367" s="2"/>
      <c r="K367" s="2"/>
      <c r="L367" s="2"/>
      <c r="M367" s="2"/>
      <c r="N367" s="2"/>
      <c r="O367" s="3"/>
      <c r="P367" s="3"/>
      <c r="Q367" s="2"/>
      <c r="R367" s="2"/>
      <c r="S367" s="2"/>
      <c r="T367" s="2"/>
      <c r="U367" s="2"/>
      <c r="V367" s="2"/>
      <c r="W367" s="2"/>
      <c r="X367" s="2"/>
      <c r="Y367" s="2"/>
      <c r="Z367" s="2"/>
      <c r="AA367" s="2"/>
      <c r="AB367" s="2"/>
      <c r="AC367" s="2"/>
    </row>
    <row r="368">
      <c r="A368" s="2"/>
      <c r="B368" s="2"/>
      <c r="C368" s="2"/>
      <c r="D368" s="2"/>
      <c r="E368" s="2"/>
      <c r="F368" s="2"/>
      <c r="G368" s="2"/>
      <c r="H368" s="2"/>
      <c r="I368" s="2"/>
      <c r="J368" s="2"/>
      <c r="K368" s="2"/>
      <c r="L368" s="2"/>
      <c r="M368" s="2"/>
      <c r="N368" s="2"/>
      <c r="O368" s="3"/>
      <c r="P368" s="3"/>
      <c r="Q368" s="2"/>
      <c r="R368" s="2"/>
      <c r="S368" s="2"/>
      <c r="T368" s="2"/>
      <c r="U368" s="2"/>
      <c r="V368" s="2"/>
      <c r="W368" s="2"/>
      <c r="X368" s="2"/>
      <c r="Y368" s="2"/>
      <c r="Z368" s="2"/>
      <c r="AA368" s="2"/>
      <c r="AB368" s="2"/>
      <c r="AC368" s="2"/>
    </row>
    <row r="369">
      <c r="A369" s="2"/>
      <c r="B369" s="2"/>
      <c r="C369" s="2"/>
      <c r="D369" s="2"/>
      <c r="E369" s="2"/>
      <c r="F369" s="2"/>
      <c r="G369" s="2"/>
      <c r="H369" s="2"/>
      <c r="I369" s="2"/>
      <c r="J369" s="2"/>
      <c r="K369" s="2"/>
      <c r="L369" s="2"/>
      <c r="M369" s="2"/>
      <c r="N369" s="2"/>
      <c r="O369" s="3"/>
      <c r="P369" s="3"/>
      <c r="Q369" s="2"/>
      <c r="R369" s="2"/>
      <c r="S369" s="2"/>
      <c r="T369" s="2"/>
      <c r="U369" s="2"/>
      <c r="V369" s="2"/>
      <c r="W369" s="2"/>
      <c r="X369" s="2"/>
      <c r="Y369" s="2"/>
      <c r="Z369" s="2"/>
      <c r="AA369" s="2"/>
      <c r="AB369" s="2"/>
      <c r="AC369" s="2"/>
    </row>
    <row r="370">
      <c r="A370" s="2"/>
      <c r="B370" s="2"/>
      <c r="C370" s="2"/>
      <c r="D370" s="2"/>
      <c r="E370" s="2"/>
      <c r="F370" s="2"/>
      <c r="G370" s="2"/>
      <c r="H370" s="2"/>
      <c r="I370" s="2"/>
      <c r="J370" s="2"/>
      <c r="K370" s="2"/>
      <c r="L370" s="2"/>
      <c r="M370" s="2"/>
      <c r="N370" s="2"/>
      <c r="O370" s="3"/>
      <c r="P370" s="3"/>
      <c r="Q370" s="2"/>
      <c r="R370" s="2"/>
      <c r="S370" s="2"/>
      <c r="T370" s="2"/>
      <c r="U370" s="2"/>
      <c r="V370" s="2"/>
      <c r="W370" s="2"/>
      <c r="X370" s="2"/>
      <c r="Y370" s="2"/>
      <c r="Z370" s="2"/>
      <c r="AA370" s="2"/>
      <c r="AB370" s="2"/>
      <c r="AC370" s="2"/>
    </row>
    <row r="371">
      <c r="A371" s="2"/>
      <c r="B371" s="2"/>
      <c r="C371" s="2"/>
      <c r="D371" s="2"/>
      <c r="E371" s="2"/>
      <c r="F371" s="2"/>
      <c r="G371" s="2"/>
      <c r="H371" s="2"/>
      <c r="I371" s="2"/>
      <c r="J371" s="2"/>
      <c r="K371" s="2"/>
      <c r="L371" s="2"/>
      <c r="M371" s="2"/>
      <c r="N371" s="2"/>
      <c r="O371" s="3"/>
      <c r="P371" s="3"/>
      <c r="Q371" s="2"/>
      <c r="R371" s="2"/>
      <c r="S371" s="2"/>
      <c r="T371" s="2"/>
      <c r="U371" s="2"/>
      <c r="V371" s="2"/>
      <c r="W371" s="2"/>
      <c r="X371" s="2"/>
      <c r="Y371" s="2"/>
      <c r="Z371" s="2"/>
      <c r="AA371" s="2"/>
      <c r="AB371" s="2"/>
      <c r="AC371" s="2"/>
    </row>
    <row r="372">
      <c r="A372" s="2"/>
      <c r="B372" s="2"/>
      <c r="C372" s="2"/>
      <c r="D372" s="2"/>
      <c r="E372" s="2"/>
      <c r="F372" s="2"/>
      <c r="G372" s="2"/>
      <c r="H372" s="2"/>
      <c r="I372" s="2"/>
      <c r="J372" s="2"/>
      <c r="K372" s="2"/>
      <c r="L372" s="2"/>
      <c r="M372" s="2"/>
      <c r="N372" s="2"/>
      <c r="O372" s="3"/>
      <c r="P372" s="3"/>
      <c r="Q372" s="2"/>
      <c r="R372" s="2"/>
      <c r="S372" s="2"/>
      <c r="T372" s="2"/>
      <c r="U372" s="2"/>
      <c r="V372" s="2"/>
      <c r="W372" s="2"/>
      <c r="X372" s="2"/>
      <c r="Y372" s="2"/>
      <c r="Z372" s="2"/>
      <c r="AA372" s="2"/>
      <c r="AB372" s="2"/>
      <c r="AC372" s="2"/>
    </row>
    <row r="373">
      <c r="A373" s="2"/>
      <c r="B373" s="2"/>
      <c r="C373" s="2"/>
      <c r="D373" s="2"/>
      <c r="E373" s="2"/>
      <c r="F373" s="2"/>
      <c r="G373" s="2"/>
      <c r="H373" s="2"/>
      <c r="I373" s="2"/>
      <c r="J373" s="2"/>
      <c r="K373" s="2"/>
      <c r="L373" s="2"/>
      <c r="M373" s="2"/>
      <c r="N373" s="2"/>
      <c r="O373" s="3"/>
      <c r="P373" s="3"/>
      <c r="Q373" s="2"/>
      <c r="R373" s="2"/>
      <c r="S373" s="2"/>
      <c r="T373" s="2"/>
      <c r="U373" s="2"/>
      <c r="V373" s="2"/>
      <c r="W373" s="2"/>
      <c r="X373" s="2"/>
      <c r="Y373" s="2"/>
      <c r="Z373" s="2"/>
      <c r="AA373" s="2"/>
      <c r="AB373" s="2"/>
      <c r="AC373" s="2"/>
    </row>
    <row r="374">
      <c r="A374" s="2"/>
      <c r="B374" s="2"/>
      <c r="C374" s="2"/>
      <c r="D374" s="2"/>
      <c r="E374" s="2"/>
      <c r="F374" s="2"/>
      <c r="G374" s="2"/>
      <c r="H374" s="2"/>
      <c r="I374" s="2"/>
      <c r="J374" s="2"/>
      <c r="K374" s="2"/>
      <c r="L374" s="2"/>
      <c r="M374" s="2"/>
      <c r="N374" s="2"/>
      <c r="O374" s="3"/>
      <c r="P374" s="3"/>
      <c r="Q374" s="2"/>
      <c r="R374" s="2"/>
      <c r="S374" s="2"/>
      <c r="T374" s="2"/>
      <c r="U374" s="2"/>
      <c r="V374" s="2"/>
      <c r="W374" s="2"/>
      <c r="X374" s="2"/>
      <c r="Y374" s="2"/>
      <c r="Z374" s="2"/>
      <c r="AA374" s="2"/>
      <c r="AB374" s="2"/>
      <c r="AC374" s="2"/>
    </row>
    <row r="375">
      <c r="A375" s="2"/>
      <c r="B375" s="2"/>
      <c r="C375" s="2"/>
      <c r="D375" s="2"/>
      <c r="E375" s="2"/>
      <c r="F375" s="2"/>
      <c r="G375" s="2"/>
      <c r="H375" s="2"/>
      <c r="I375" s="2"/>
      <c r="J375" s="2"/>
      <c r="K375" s="2"/>
      <c r="L375" s="2"/>
      <c r="M375" s="2"/>
      <c r="N375" s="2"/>
      <c r="O375" s="3"/>
      <c r="P375" s="3"/>
      <c r="Q375" s="2"/>
      <c r="R375" s="2"/>
      <c r="S375" s="2"/>
      <c r="T375" s="2"/>
      <c r="U375" s="2"/>
      <c r="V375" s="2"/>
      <c r="W375" s="2"/>
      <c r="X375" s="2"/>
      <c r="Y375" s="2"/>
      <c r="Z375" s="2"/>
      <c r="AA375" s="2"/>
      <c r="AB375" s="2"/>
      <c r="AC375" s="2"/>
    </row>
    <row r="376">
      <c r="A376" s="2"/>
      <c r="B376" s="2"/>
      <c r="C376" s="2"/>
      <c r="D376" s="2"/>
      <c r="E376" s="2"/>
      <c r="F376" s="2"/>
      <c r="G376" s="2"/>
      <c r="H376" s="2"/>
      <c r="I376" s="2"/>
      <c r="J376" s="2"/>
      <c r="K376" s="2"/>
      <c r="L376" s="2"/>
      <c r="M376" s="2"/>
      <c r="N376" s="2"/>
      <c r="O376" s="3"/>
      <c r="P376" s="3"/>
      <c r="Q376" s="2"/>
      <c r="R376" s="2"/>
      <c r="S376" s="2"/>
      <c r="T376" s="2"/>
      <c r="U376" s="2"/>
      <c r="V376" s="2"/>
      <c r="W376" s="2"/>
      <c r="X376" s="2"/>
      <c r="Y376" s="2"/>
      <c r="Z376" s="2"/>
      <c r="AA376" s="2"/>
      <c r="AB376" s="2"/>
      <c r="AC376" s="2"/>
    </row>
    <row r="377">
      <c r="A377" s="2"/>
      <c r="B377" s="2"/>
      <c r="C377" s="2"/>
      <c r="D377" s="2"/>
      <c r="E377" s="2"/>
      <c r="F377" s="2"/>
      <c r="G377" s="2"/>
      <c r="H377" s="2"/>
      <c r="I377" s="2"/>
      <c r="J377" s="2"/>
      <c r="K377" s="2"/>
      <c r="L377" s="2"/>
      <c r="M377" s="2"/>
      <c r="N377" s="2"/>
      <c r="O377" s="3"/>
      <c r="P377" s="3"/>
      <c r="Q377" s="2"/>
      <c r="R377" s="2"/>
      <c r="S377" s="2"/>
      <c r="T377" s="2"/>
      <c r="U377" s="2"/>
      <c r="V377" s="2"/>
      <c r="W377" s="2"/>
      <c r="X377" s="2"/>
      <c r="Y377" s="2"/>
      <c r="Z377" s="2"/>
      <c r="AA377" s="2"/>
      <c r="AB377" s="2"/>
      <c r="AC377" s="2"/>
    </row>
    <row r="378">
      <c r="A378" s="2"/>
      <c r="B378" s="2"/>
      <c r="C378" s="2"/>
      <c r="D378" s="2"/>
      <c r="E378" s="2"/>
      <c r="F378" s="2"/>
      <c r="G378" s="2"/>
      <c r="H378" s="2"/>
      <c r="I378" s="2"/>
      <c r="J378" s="2"/>
      <c r="K378" s="2"/>
      <c r="L378" s="2"/>
      <c r="M378" s="2"/>
      <c r="N378" s="2"/>
      <c r="O378" s="3"/>
      <c r="P378" s="3"/>
      <c r="Q378" s="2"/>
      <c r="R378" s="2"/>
      <c r="S378" s="2"/>
      <c r="T378" s="2"/>
      <c r="U378" s="2"/>
      <c r="V378" s="2"/>
      <c r="W378" s="2"/>
      <c r="X378" s="2"/>
      <c r="Y378" s="2"/>
      <c r="Z378" s="2"/>
      <c r="AA378" s="2"/>
      <c r="AB378" s="2"/>
      <c r="AC378" s="2"/>
    </row>
    <row r="379">
      <c r="A379" s="2"/>
      <c r="B379" s="2"/>
      <c r="C379" s="2"/>
      <c r="D379" s="2"/>
      <c r="E379" s="2"/>
      <c r="F379" s="2"/>
      <c r="G379" s="2"/>
      <c r="H379" s="2"/>
      <c r="I379" s="2"/>
      <c r="J379" s="2"/>
      <c r="K379" s="2"/>
      <c r="L379" s="2"/>
      <c r="M379" s="2"/>
      <c r="N379" s="2"/>
      <c r="O379" s="3"/>
      <c r="P379" s="3"/>
      <c r="Q379" s="2"/>
      <c r="R379" s="2"/>
      <c r="S379" s="2"/>
      <c r="T379" s="2"/>
      <c r="U379" s="2"/>
      <c r="V379" s="2"/>
      <c r="W379" s="2"/>
      <c r="X379" s="2"/>
      <c r="Y379" s="2"/>
      <c r="Z379" s="2"/>
      <c r="AA379" s="2"/>
      <c r="AB379" s="2"/>
      <c r="AC379" s="2"/>
    </row>
    <row r="380">
      <c r="A380" s="2"/>
      <c r="B380" s="2"/>
      <c r="C380" s="2"/>
      <c r="D380" s="2"/>
      <c r="E380" s="2"/>
      <c r="F380" s="2"/>
      <c r="G380" s="2"/>
      <c r="H380" s="2"/>
      <c r="I380" s="2"/>
      <c r="J380" s="2"/>
      <c r="K380" s="2"/>
      <c r="L380" s="2"/>
      <c r="M380" s="2"/>
      <c r="N380" s="2"/>
      <c r="O380" s="3"/>
      <c r="P380" s="3"/>
      <c r="Q380" s="2"/>
      <c r="R380" s="2"/>
      <c r="S380" s="2"/>
      <c r="T380" s="2"/>
      <c r="U380" s="2"/>
      <c r="V380" s="2"/>
      <c r="W380" s="2"/>
      <c r="X380" s="2"/>
      <c r="Y380" s="2"/>
      <c r="Z380" s="2"/>
      <c r="AA380" s="2"/>
      <c r="AB380" s="2"/>
      <c r="AC380" s="2"/>
    </row>
    <row r="381">
      <c r="A381" s="2"/>
      <c r="B381" s="2"/>
      <c r="C381" s="2"/>
      <c r="D381" s="2"/>
      <c r="E381" s="2"/>
      <c r="F381" s="2"/>
      <c r="G381" s="2"/>
      <c r="H381" s="2"/>
      <c r="I381" s="2"/>
      <c r="J381" s="2"/>
      <c r="K381" s="2"/>
      <c r="L381" s="2"/>
      <c r="M381" s="2"/>
      <c r="N381" s="2"/>
      <c r="O381" s="3"/>
      <c r="P381" s="3"/>
      <c r="Q381" s="2"/>
      <c r="R381" s="2"/>
      <c r="S381" s="2"/>
      <c r="T381" s="2"/>
      <c r="U381" s="2"/>
      <c r="V381" s="2"/>
      <c r="W381" s="2"/>
      <c r="X381" s="2"/>
      <c r="Y381" s="2"/>
      <c r="Z381" s="2"/>
      <c r="AA381" s="2"/>
      <c r="AB381" s="2"/>
      <c r="AC381" s="2"/>
    </row>
    <row r="382">
      <c r="A382" s="2"/>
      <c r="B382" s="2"/>
      <c r="C382" s="2"/>
      <c r="D382" s="2"/>
      <c r="E382" s="2"/>
      <c r="F382" s="2"/>
      <c r="G382" s="2"/>
      <c r="H382" s="2"/>
      <c r="I382" s="2"/>
      <c r="J382" s="2"/>
      <c r="K382" s="2"/>
      <c r="L382" s="2"/>
      <c r="M382" s="2"/>
      <c r="N382" s="2"/>
      <c r="O382" s="3"/>
      <c r="P382" s="3"/>
      <c r="Q382" s="2"/>
      <c r="R382" s="2"/>
      <c r="S382" s="2"/>
      <c r="T382" s="2"/>
      <c r="U382" s="2"/>
      <c r="V382" s="2"/>
      <c r="W382" s="2"/>
      <c r="X382" s="2"/>
      <c r="Y382" s="2"/>
      <c r="Z382" s="2"/>
      <c r="AA382" s="2"/>
      <c r="AB382" s="2"/>
      <c r="AC382" s="2"/>
    </row>
    <row r="383">
      <c r="A383" s="2"/>
      <c r="B383" s="2"/>
      <c r="C383" s="2"/>
      <c r="D383" s="2"/>
      <c r="E383" s="2"/>
      <c r="F383" s="2"/>
      <c r="G383" s="2"/>
      <c r="H383" s="2"/>
      <c r="I383" s="2"/>
      <c r="J383" s="2"/>
      <c r="K383" s="2"/>
      <c r="L383" s="2"/>
      <c r="M383" s="2"/>
      <c r="N383" s="2"/>
      <c r="O383" s="3"/>
      <c r="P383" s="3"/>
      <c r="Q383" s="2"/>
      <c r="R383" s="2"/>
      <c r="S383" s="2"/>
      <c r="T383" s="2"/>
      <c r="U383" s="2"/>
      <c r="V383" s="2"/>
      <c r="W383" s="2"/>
      <c r="X383" s="2"/>
      <c r="Y383" s="2"/>
      <c r="Z383" s="2"/>
      <c r="AA383" s="2"/>
      <c r="AB383" s="2"/>
      <c r="AC383" s="2"/>
    </row>
    <row r="384">
      <c r="A384" s="2"/>
      <c r="B384" s="2"/>
      <c r="C384" s="2"/>
      <c r="D384" s="2"/>
      <c r="E384" s="2"/>
      <c r="F384" s="2"/>
      <c r="G384" s="2"/>
      <c r="H384" s="2"/>
      <c r="I384" s="2"/>
      <c r="J384" s="2"/>
      <c r="K384" s="2"/>
      <c r="L384" s="2"/>
      <c r="M384" s="2"/>
      <c r="N384" s="2"/>
      <c r="O384" s="3"/>
      <c r="P384" s="3"/>
      <c r="Q384" s="2"/>
      <c r="R384" s="2"/>
      <c r="S384" s="2"/>
      <c r="T384" s="2"/>
      <c r="U384" s="2"/>
      <c r="V384" s="2"/>
      <c r="W384" s="2"/>
      <c r="X384" s="2"/>
      <c r="Y384" s="2"/>
      <c r="Z384" s="2"/>
      <c r="AA384" s="2"/>
      <c r="AB384" s="2"/>
      <c r="AC384" s="2"/>
    </row>
    <row r="385">
      <c r="A385" s="2"/>
      <c r="B385" s="2"/>
      <c r="C385" s="2"/>
      <c r="D385" s="2"/>
      <c r="E385" s="2"/>
      <c r="F385" s="2"/>
      <c r="G385" s="2"/>
      <c r="H385" s="2"/>
      <c r="I385" s="2"/>
      <c r="J385" s="2"/>
      <c r="K385" s="2"/>
      <c r="L385" s="2"/>
      <c r="M385" s="2"/>
      <c r="N385" s="2"/>
      <c r="O385" s="3"/>
      <c r="P385" s="3"/>
      <c r="Q385" s="2"/>
      <c r="R385" s="2"/>
      <c r="S385" s="2"/>
      <c r="T385" s="2"/>
      <c r="U385" s="2"/>
      <c r="V385" s="2"/>
      <c r="W385" s="2"/>
      <c r="X385" s="2"/>
      <c r="Y385" s="2"/>
      <c r="Z385" s="2"/>
      <c r="AA385" s="2"/>
      <c r="AB385" s="2"/>
      <c r="AC385" s="2"/>
    </row>
    <row r="386">
      <c r="A386" s="2"/>
      <c r="B386" s="2"/>
      <c r="C386" s="2"/>
      <c r="D386" s="2"/>
      <c r="E386" s="2"/>
      <c r="F386" s="2"/>
      <c r="G386" s="2"/>
      <c r="H386" s="2"/>
      <c r="I386" s="2"/>
      <c r="J386" s="2"/>
      <c r="K386" s="2"/>
      <c r="L386" s="2"/>
      <c r="M386" s="2"/>
      <c r="N386" s="2"/>
      <c r="O386" s="3"/>
      <c r="P386" s="3"/>
      <c r="Q386" s="2"/>
      <c r="R386" s="2"/>
      <c r="S386" s="2"/>
      <c r="T386" s="2"/>
      <c r="U386" s="2"/>
      <c r="V386" s="2"/>
      <c r="W386" s="2"/>
      <c r="X386" s="2"/>
      <c r="Y386" s="2"/>
      <c r="Z386" s="2"/>
      <c r="AA386" s="2"/>
      <c r="AB386" s="2"/>
      <c r="AC386" s="2"/>
    </row>
    <row r="387">
      <c r="A387" s="2"/>
      <c r="B387" s="2"/>
      <c r="C387" s="2"/>
      <c r="D387" s="2"/>
      <c r="E387" s="2"/>
      <c r="F387" s="2"/>
      <c r="G387" s="2"/>
      <c r="H387" s="2"/>
      <c r="I387" s="2"/>
      <c r="J387" s="2"/>
      <c r="K387" s="2"/>
      <c r="L387" s="2"/>
      <c r="M387" s="2"/>
      <c r="N387" s="2"/>
      <c r="O387" s="3"/>
      <c r="P387" s="3"/>
      <c r="Q387" s="2"/>
      <c r="R387" s="2"/>
      <c r="S387" s="2"/>
      <c r="T387" s="2"/>
      <c r="U387" s="2"/>
      <c r="V387" s="2"/>
      <c r="W387" s="2"/>
      <c r="X387" s="2"/>
      <c r="Y387" s="2"/>
      <c r="Z387" s="2"/>
      <c r="AA387" s="2"/>
      <c r="AB387" s="2"/>
      <c r="AC387" s="2"/>
    </row>
    <row r="388">
      <c r="A388" s="2"/>
      <c r="B388" s="2"/>
      <c r="C388" s="2"/>
      <c r="D388" s="2"/>
      <c r="E388" s="2"/>
      <c r="F388" s="2"/>
      <c r="G388" s="2"/>
      <c r="H388" s="2"/>
      <c r="I388" s="2"/>
      <c r="J388" s="2"/>
      <c r="K388" s="2"/>
      <c r="L388" s="2"/>
      <c r="M388" s="2"/>
      <c r="N388" s="2"/>
      <c r="O388" s="3"/>
      <c r="P388" s="3"/>
      <c r="Q388" s="2"/>
      <c r="R388" s="2"/>
      <c r="S388" s="2"/>
      <c r="T388" s="2"/>
      <c r="U388" s="2"/>
      <c r="V388" s="2"/>
      <c r="W388" s="2"/>
      <c r="X388" s="2"/>
      <c r="Y388" s="2"/>
      <c r="Z388" s="2"/>
      <c r="AA388" s="2"/>
      <c r="AB388" s="2"/>
      <c r="AC388" s="2"/>
    </row>
    <row r="389">
      <c r="A389" s="2"/>
      <c r="B389" s="2"/>
      <c r="C389" s="2"/>
      <c r="D389" s="2"/>
      <c r="E389" s="2"/>
      <c r="F389" s="2"/>
      <c r="G389" s="2"/>
      <c r="H389" s="2"/>
      <c r="I389" s="2"/>
      <c r="J389" s="2"/>
      <c r="K389" s="2"/>
      <c r="L389" s="2"/>
      <c r="M389" s="2"/>
      <c r="N389" s="2"/>
      <c r="O389" s="3"/>
      <c r="P389" s="3"/>
      <c r="Q389" s="2"/>
      <c r="R389" s="2"/>
      <c r="S389" s="2"/>
      <c r="T389" s="2"/>
      <c r="U389" s="2"/>
      <c r="V389" s="2"/>
      <c r="W389" s="2"/>
      <c r="X389" s="2"/>
      <c r="Y389" s="2"/>
      <c r="Z389" s="2"/>
      <c r="AA389" s="2"/>
      <c r="AB389" s="2"/>
      <c r="AC389" s="2"/>
    </row>
    <row r="390">
      <c r="A390" s="2"/>
      <c r="B390" s="2"/>
      <c r="C390" s="2"/>
      <c r="D390" s="2"/>
      <c r="E390" s="2"/>
      <c r="F390" s="2"/>
      <c r="G390" s="2"/>
      <c r="H390" s="2"/>
      <c r="I390" s="2"/>
      <c r="J390" s="2"/>
      <c r="K390" s="2"/>
      <c r="L390" s="2"/>
      <c r="M390" s="2"/>
      <c r="N390" s="2"/>
      <c r="O390" s="3"/>
      <c r="P390" s="3"/>
      <c r="Q390" s="2"/>
      <c r="R390" s="2"/>
      <c r="S390" s="2"/>
      <c r="T390" s="2"/>
      <c r="U390" s="2"/>
      <c r="V390" s="2"/>
      <c r="W390" s="2"/>
      <c r="X390" s="2"/>
      <c r="Y390" s="2"/>
      <c r="Z390" s="2"/>
      <c r="AA390" s="2"/>
      <c r="AB390" s="2"/>
      <c r="AC390" s="2"/>
    </row>
    <row r="391">
      <c r="A391" s="2"/>
      <c r="B391" s="2"/>
      <c r="C391" s="2"/>
      <c r="D391" s="2"/>
      <c r="E391" s="2"/>
      <c r="F391" s="2"/>
      <c r="G391" s="2"/>
      <c r="H391" s="2"/>
      <c r="I391" s="2"/>
      <c r="J391" s="2"/>
      <c r="K391" s="2"/>
      <c r="L391" s="2"/>
      <c r="M391" s="2"/>
      <c r="N391" s="2"/>
      <c r="O391" s="3"/>
      <c r="P391" s="3"/>
      <c r="Q391" s="2"/>
      <c r="R391" s="2"/>
      <c r="S391" s="2"/>
      <c r="T391" s="2"/>
      <c r="U391" s="2"/>
      <c r="V391" s="2"/>
      <c r="W391" s="2"/>
      <c r="X391" s="2"/>
      <c r="Y391" s="2"/>
      <c r="Z391" s="2"/>
      <c r="AA391" s="2"/>
      <c r="AB391" s="2"/>
      <c r="AC391" s="2"/>
    </row>
    <row r="392">
      <c r="A392" s="2"/>
      <c r="B392" s="2"/>
      <c r="C392" s="2"/>
      <c r="D392" s="2"/>
      <c r="E392" s="2"/>
      <c r="F392" s="2"/>
      <c r="G392" s="2"/>
      <c r="H392" s="2"/>
      <c r="I392" s="2"/>
      <c r="J392" s="2"/>
      <c r="K392" s="2"/>
      <c r="L392" s="2"/>
      <c r="M392" s="2"/>
      <c r="N392" s="2"/>
      <c r="O392" s="3"/>
      <c r="P392" s="3"/>
      <c r="Q392" s="2"/>
      <c r="R392" s="2"/>
      <c r="S392" s="2"/>
      <c r="T392" s="2"/>
      <c r="U392" s="2"/>
      <c r="V392" s="2"/>
      <c r="W392" s="2"/>
      <c r="X392" s="2"/>
      <c r="Y392" s="2"/>
      <c r="Z392" s="2"/>
      <c r="AA392" s="2"/>
      <c r="AB392" s="2"/>
      <c r="AC392" s="2"/>
    </row>
    <row r="393">
      <c r="A393" s="2"/>
      <c r="B393" s="2"/>
      <c r="C393" s="2"/>
      <c r="D393" s="2"/>
      <c r="E393" s="2"/>
      <c r="F393" s="2"/>
      <c r="G393" s="2"/>
      <c r="H393" s="2"/>
      <c r="I393" s="2"/>
      <c r="J393" s="2"/>
      <c r="K393" s="2"/>
      <c r="L393" s="2"/>
      <c r="M393" s="2"/>
      <c r="N393" s="2"/>
      <c r="O393" s="3"/>
      <c r="P393" s="3"/>
      <c r="Q393" s="2"/>
      <c r="R393" s="2"/>
      <c r="S393" s="2"/>
      <c r="T393" s="2"/>
      <c r="U393" s="2"/>
      <c r="V393" s="2"/>
      <c r="W393" s="2"/>
      <c r="X393" s="2"/>
      <c r="Y393" s="2"/>
      <c r="Z393" s="2"/>
      <c r="AA393" s="2"/>
      <c r="AB393" s="2"/>
      <c r="AC393" s="2"/>
    </row>
    <row r="394">
      <c r="A394" s="2"/>
      <c r="B394" s="2"/>
      <c r="C394" s="2"/>
      <c r="D394" s="2"/>
      <c r="E394" s="2"/>
      <c r="F394" s="2"/>
      <c r="G394" s="2"/>
      <c r="H394" s="2"/>
      <c r="I394" s="2"/>
      <c r="J394" s="2"/>
      <c r="K394" s="2"/>
      <c r="L394" s="2"/>
      <c r="M394" s="2"/>
      <c r="N394" s="2"/>
      <c r="O394" s="3"/>
      <c r="P394" s="3"/>
      <c r="Q394" s="2"/>
      <c r="R394" s="2"/>
      <c r="S394" s="2"/>
      <c r="T394" s="2"/>
      <c r="U394" s="2"/>
      <c r="V394" s="2"/>
      <c r="W394" s="2"/>
      <c r="X394" s="2"/>
      <c r="Y394" s="2"/>
      <c r="Z394" s="2"/>
      <c r="AA394" s="2"/>
      <c r="AB394" s="2"/>
      <c r="AC394" s="2"/>
    </row>
    <row r="395">
      <c r="A395" s="2"/>
      <c r="B395" s="2"/>
      <c r="C395" s="2"/>
      <c r="D395" s="2"/>
      <c r="E395" s="2"/>
      <c r="F395" s="2"/>
      <c r="G395" s="2"/>
      <c r="H395" s="2"/>
      <c r="I395" s="2"/>
      <c r="J395" s="2"/>
      <c r="K395" s="2"/>
      <c r="L395" s="2"/>
      <c r="M395" s="2"/>
      <c r="N395" s="2"/>
      <c r="O395" s="3"/>
      <c r="P395" s="3"/>
      <c r="Q395" s="2"/>
      <c r="R395" s="2"/>
      <c r="S395" s="2"/>
      <c r="T395" s="2"/>
      <c r="U395" s="2"/>
      <c r="V395" s="2"/>
      <c r="W395" s="2"/>
      <c r="X395" s="2"/>
      <c r="Y395" s="2"/>
      <c r="Z395" s="2"/>
      <c r="AA395" s="2"/>
      <c r="AB395" s="2"/>
      <c r="AC395" s="2"/>
    </row>
    <row r="396">
      <c r="A396" s="2"/>
      <c r="B396" s="2"/>
      <c r="C396" s="2"/>
      <c r="D396" s="2"/>
      <c r="E396" s="2"/>
      <c r="F396" s="2"/>
      <c r="G396" s="2"/>
      <c r="H396" s="2"/>
      <c r="I396" s="2"/>
      <c r="J396" s="2"/>
      <c r="K396" s="2"/>
      <c r="L396" s="2"/>
      <c r="M396" s="2"/>
      <c r="N396" s="2"/>
      <c r="O396" s="3"/>
      <c r="P396" s="3"/>
      <c r="Q396" s="2"/>
      <c r="R396" s="2"/>
      <c r="S396" s="2"/>
      <c r="T396" s="2"/>
      <c r="U396" s="2"/>
      <c r="V396" s="2"/>
      <c r="W396" s="2"/>
      <c r="X396" s="2"/>
      <c r="Y396" s="2"/>
      <c r="Z396" s="2"/>
      <c r="AA396" s="2"/>
      <c r="AB396" s="2"/>
      <c r="AC396" s="2"/>
    </row>
    <row r="397">
      <c r="A397" s="2"/>
      <c r="B397" s="2"/>
      <c r="C397" s="2"/>
      <c r="D397" s="2"/>
      <c r="E397" s="2"/>
      <c r="F397" s="2"/>
      <c r="G397" s="2"/>
      <c r="H397" s="2"/>
      <c r="I397" s="2"/>
      <c r="J397" s="2"/>
      <c r="K397" s="2"/>
      <c r="L397" s="2"/>
      <c r="M397" s="2"/>
      <c r="N397" s="2"/>
      <c r="O397" s="3"/>
      <c r="P397" s="3"/>
      <c r="Q397" s="2"/>
      <c r="R397" s="2"/>
      <c r="S397" s="2"/>
      <c r="T397" s="2"/>
      <c r="U397" s="2"/>
      <c r="V397" s="2"/>
      <c r="W397" s="2"/>
      <c r="X397" s="2"/>
      <c r="Y397" s="2"/>
      <c r="Z397" s="2"/>
      <c r="AA397" s="2"/>
      <c r="AB397" s="2"/>
      <c r="AC397" s="2"/>
    </row>
    <row r="398">
      <c r="A398" s="2"/>
      <c r="B398" s="2"/>
      <c r="C398" s="2"/>
      <c r="D398" s="2"/>
      <c r="E398" s="2"/>
      <c r="F398" s="2"/>
      <c r="G398" s="2"/>
      <c r="H398" s="2"/>
      <c r="I398" s="2"/>
      <c r="J398" s="2"/>
      <c r="K398" s="2"/>
      <c r="L398" s="2"/>
      <c r="M398" s="2"/>
      <c r="N398" s="2"/>
      <c r="O398" s="3"/>
      <c r="P398" s="3"/>
      <c r="Q398" s="2"/>
      <c r="R398" s="2"/>
      <c r="S398" s="2"/>
      <c r="T398" s="2"/>
      <c r="U398" s="2"/>
      <c r="V398" s="2"/>
      <c r="W398" s="2"/>
      <c r="X398" s="2"/>
      <c r="Y398" s="2"/>
      <c r="Z398" s="2"/>
      <c r="AA398" s="2"/>
      <c r="AB398" s="2"/>
      <c r="AC398" s="2"/>
    </row>
    <row r="399">
      <c r="A399" s="2"/>
      <c r="B399" s="2"/>
      <c r="C399" s="2"/>
      <c r="D399" s="2"/>
      <c r="E399" s="2"/>
      <c r="F399" s="2"/>
      <c r="G399" s="2"/>
      <c r="H399" s="2"/>
      <c r="I399" s="2"/>
      <c r="J399" s="2"/>
      <c r="K399" s="2"/>
      <c r="L399" s="2"/>
      <c r="M399" s="2"/>
      <c r="N399" s="2"/>
      <c r="O399" s="3"/>
      <c r="P399" s="3"/>
      <c r="Q399" s="2"/>
      <c r="R399" s="2"/>
      <c r="S399" s="2"/>
      <c r="T399" s="2"/>
      <c r="U399" s="2"/>
      <c r="V399" s="2"/>
      <c r="W399" s="2"/>
      <c r="X399" s="2"/>
      <c r="Y399" s="2"/>
      <c r="Z399" s="2"/>
      <c r="AA399" s="2"/>
      <c r="AB399" s="2"/>
      <c r="AC399" s="2"/>
    </row>
    <row r="400">
      <c r="A400" s="2"/>
      <c r="B400" s="2"/>
      <c r="C400" s="2"/>
      <c r="D400" s="2"/>
      <c r="E400" s="2"/>
      <c r="F400" s="2"/>
      <c r="G400" s="2"/>
      <c r="H400" s="2"/>
      <c r="I400" s="2"/>
      <c r="J400" s="2"/>
      <c r="K400" s="2"/>
      <c r="L400" s="2"/>
      <c r="M400" s="2"/>
      <c r="N400" s="2"/>
      <c r="O400" s="3"/>
      <c r="P400" s="3"/>
      <c r="Q400" s="2"/>
      <c r="R400" s="2"/>
      <c r="S400" s="2"/>
      <c r="T400" s="2"/>
      <c r="U400" s="2"/>
      <c r="V400" s="2"/>
      <c r="W400" s="2"/>
      <c r="X400" s="2"/>
      <c r="Y400" s="2"/>
      <c r="Z400" s="2"/>
      <c r="AA400" s="2"/>
      <c r="AB400" s="2"/>
      <c r="AC400" s="2"/>
    </row>
    <row r="401">
      <c r="A401" s="2"/>
      <c r="B401" s="2"/>
      <c r="C401" s="2"/>
      <c r="D401" s="2"/>
      <c r="E401" s="2"/>
      <c r="F401" s="2"/>
      <c r="G401" s="2"/>
      <c r="H401" s="2"/>
      <c r="I401" s="2"/>
      <c r="J401" s="2"/>
      <c r="K401" s="2"/>
      <c r="L401" s="2"/>
      <c r="M401" s="2"/>
      <c r="N401" s="2"/>
      <c r="O401" s="3"/>
      <c r="P401" s="3"/>
      <c r="Q401" s="2"/>
      <c r="R401" s="2"/>
      <c r="S401" s="2"/>
      <c r="T401" s="2"/>
      <c r="U401" s="2"/>
      <c r="V401" s="2"/>
      <c r="W401" s="2"/>
      <c r="X401" s="2"/>
      <c r="Y401" s="2"/>
      <c r="Z401" s="2"/>
      <c r="AA401" s="2"/>
      <c r="AB401" s="2"/>
      <c r="AC401" s="2"/>
    </row>
    <row r="402">
      <c r="A402" s="2"/>
      <c r="B402" s="2"/>
      <c r="C402" s="2"/>
      <c r="D402" s="2"/>
      <c r="E402" s="2"/>
      <c r="F402" s="2"/>
      <c r="G402" s="2"/>
      <c r="H402" s="2"/>
      <c r="I402" s="2"/>
      <c r="J402" s="2"/>
      <c r="K402" s="2"/>
      <c r="L402" s="2"/>
      <c r="M402" s="2"/>
      <c r="N402" s="2"/>
      <c r="O402" s="3"/>
      <c r="P402" s="3"/>
      <c r="Q402" s="2"/>
      <c r="R402" s="2"/>
      <c r="S402" s="2"/>
      <c r="T402" s="2"/>
      <c r="U402" s="2"/>
      <c r="V402" s="2"/>
      <c r="W402" s="2"/>
      <c r="X402" s="2"/>
      <c r="Y402" s="2"/>
      <c r="Z402" s="2"/>
      <c r="AA402" s="2"/>
      <c r="AB402" s="2"/>
      <c r="AC402" s="2"/>
    </row>
    <row r="403">
      <c r="A403" s="2"/>
      <c r="B403" s="2"/>
      <c r="C403" s="2"/>
      <c r="D403" s="2"/>
      <c r="E403" s="2"/>
      <c r="F403" s="2"/>
      <c r="G403" s="2"/>
      <c r="H403" s="2"/>
      <c r="I403" s="2"/>
      <c r="J403" s="2"/>
      <c r="K403" s="2"/>
      <c r="L403" s="2"/>
      <c r="M403" s="2"/>
      <c r="N403" s="2"/>
      <c r="O403" s="3"/>
      <c r="P403" s="3"/>
      <c r="Q403" s="2"/>
      <c r="R403" s="2"/>
      <c r="S403" s="2"/>
      <c r="T403" s="2"/>
      <c r="U403" s="2"/>
      <c r="V403" s="2"/>
      <c r="W403" s="2"/>
      <c r="X403" s="2"/>
      <c r="Y403" s="2"/>
      <c r="Z403" s="2"/>
      <c r="AA403" s="2"/>
      <c r="AB403" s="2"/>
      <c r="AC403" s="2"/>
    </row>
    <row r="404">
      <c r="A404" s="2"/>
      <c r="B404" s="2"/>
      <c r="C404" s="2"/>
      <c r="D404" s="2"/>
      <c r="E404" s="2"/>
      <c r="F404" s="2"/>
      <c r="G404" s="2"/>
      <c r="H404" s="2"/>
      <c r="I404" s="2"/>
      <c r="J404" s="2"/>
      <c r="K404" s="2"/>
      <c r="L404" s="2"/>
      <c r="M404" s="2"/>
      <c r="N404" s="2"/>
      <c r="O404" s="3"/>
      <c r="P404" s="3"/>
      <c r="Q404" s="2"/>
      <c r="R404" s="2"/>
      <c r="S404" s="2"/>
      <c r="T404" s="2"/>
      <c r="U404" s="2"/>
      <c r="V404" s="2"/>
      <c r="W404" s="2"/>
      <c r="X404" s="2"/>
      <c r="Y404" s="2"/>
      <c r="Z404" s="2"/>
      <c r="AA404" s="2"/>
      <c r="AB404" s="2"/>
      <c r="AC404" s="2"/>
    </row>
    <row r="405">
      <c r="A405" s="2"/>
      <c r="B405" s="2"/>
      <c r="C405" s="2"/>
      <c r="D405" s="2"/>
      <c r="E405" s="2"/>
      <c r="F405" s="2"/>
      <c r="G405" s="2"/>
      <c r="H405" s="2"/>
      <c r="I405" s="2"/>
      <c r="J405" s="2"/>
      <c r="K405" s="2"/>
      <c r="L405" s="2"/>
      <c r="M405" s="2"/>
      <c r="N405" s="2"/>
      <c r="O405" s="3"/>
      <c r="P405" s="3"/>
      <c r="Q405" s="2"/>
      <c r="R405" s="2"/>
      <c r="S405" s="2"/>
      <c r="T405" s="2"/>
      <c r="U405" s="2"/>
      <c r="V405" s="2"/>
      <c r="W405" s="2"/>
      <c r="X405" s="2"/>
      <c r="Y405" s="2"/>
      <c r="Z405" s="2"/>
      <c r="AA405" s="2"/>
      <c r="AB405" s="2"/>
      <c r="AC405" s="2"/>
    </row>
    <row r="406">
      <c r="A406" s="2"/>
      <c r="B406" s="2"/>
      <c r="C406" s="2"/>
      <c r="D406" s="2"/>
      <c r="E406" s="2"/>
      <c r="F406" s="2"/>
      <c r="G406" s="2"/>
      <c r="H406" s="2"/>
      <c r="I406" s="2"/>
      <c r="J406" s="2"/>
      <c r="K406" s="2"/>
      <c r="L406" s="2"/>
      <c r="M406" s="2"/>
      <c r="N406" s="2"/>
      <c r="O406" s="3"/>
      <c r="P406" s="3"/>
      <c r="Q406" s="2"/>
      <c r="R406" s="2"/>
      <c r="S406" s="2"/>
      <c r="T406" s="2"/>
      <c r="U406" s="2"/>
      <c r="V406" s="2"/>
      <c r="W406" s="2"/>
      <c r="X406" s="2"/>
      <c r="Y406" s="2"/>
      <c r="Z406" s="2"/>
      <c r="AA406" s="2"/>
      <c r="AB406" s="2"/>
      <c r="AC406" s="2"/>
    </row>
    <row r="407">
      <c r="A407" s="2"/>
      <c r="B407" s="2"/>
      <c r="C407" s="2"/>
      <c r="D407" s="2"/>
      <c r="E407" s="2"/>
      <c r="F407" s="2"/>
      <c r="G407" s="2"/>
      <c r="H407" s="2"/>
      <c r="I407" s="2"/>
      <c r="J407" s="2"/>
      <c r="K407" s="2"/>
      <c r="L407" s="2"/>
      <c r="M407" s="2"/>
      <c r="N407" s="2"/>
      <c r="O407" s="3"/>
      <c r="P407" s="3"/>
      <c r="Q407" s="2"/>
      <c r="R407" s="2"/>
      <c r="S407" s="2"/>
      <c r="T407" s="2"/>
      <c r="U407" s="2"/>
      <c r="V407" s="2"/>
      <c r="W407" s="2"/>
      <c r="X407" s="2"/>
      <c r="Y407" s="2"/>
      <c r="Z407" s="2"/>
      <c r="AA407" s="2"/>
      <c r="AB407" s="2"/>
      <c r="AC407" s="2"/>
    </row>
    <row r="408">
      <c r="A408" s="2"/>
      <c r="B408" s="2"/>
      <c r="C408" s="2"/>
      <c r="D408" s="2"/>
      <c r="E408" s="2"/>
      <c r="F408" s="2"/>
      <c r="G408" s="2"/>
      <c r="H408" s="2"/>
      <c r="I408" s="2"/>
      <c r="J408" s="2"/>
      <c r="K408" s="2"/>
      <c r="L408" s="2"/>
      <c r="M408" s="2"/>
      <c r="N408" s="2"/>
      <c r="O408" s="3"/>
      <c r="P408" s="3"/>
      <c r="Q408" s="2"/>
      <c r="R408" s="2"/>
      <c r="S408" s="2"/>
      <c r="T408" s="2"/>
      <c r="U408" s="2"/>
      <c r="V408" s="2"/>
      <c r="W408" s="2"/>
      <c r="X408" s="2"/>
      <c r="Y408" s="2"/>
      <c r="Z408" s="2"/>
      <c r="AA408" s="2"/>
      <c r="AB408" s="2"/>
      <c r="AC408" s="2"/>
    </row>
    <row r="409">
      <c r="A409" s="2"/>
      <c r="B409" s="2"/>
      <c r="C409" s="2"/>
      <c r="D409" s="2"/>
      <c r="E409" s="2"/>
      <c r="F409" s="2"/>
      <c r="G409" s="2"/>
      <c r="H409" s="2"/>
      <c r="I409" s="2"/>
      <c r="J409" s="2"/>
      <c r="K409" s="2"/>
      <c r="L409" s="2"/>
      <c r="M409" s="2"/>
      <c r="N409" s="2"/>
      <c r="O409" s="3"/>
      <c r="P409" s="3"/>
      <c r="Q409" s="2"/>
      <c r="R409" s="2"/>
      <c r="S409" s="2"/>
      <c r="T409" s="2"/>
      <c r="U409" s="2"/>
      <c r="V409" s="2"/>
      <c r="W409" s="2"/>
      <c r="X409" s="2"/>
      <c r="Y409" s="2"/>
      <c r="Z409" s="2"/>
      <c r="AA409" s="2"/>
      <c r="AB409" s="2"/>
      <c r="AC409" s="2"/>
    </row>
    <row r="410">
      <c r="A410" s="2"/>
      <c r="B410" s="2"/>
      <c r="C410" s="2"/>
      <c r="D410" s="2"/>
      <c r="E410" s="2"/>
      <c r="F410" s="2"/>
      <c r="G410" s="2"/>
      <c r="H410" s="2"/>
      <c r="I410" s="2"/>
      <c r="J410" s="2"/>
      <c r="K410" s="2"/>
      <c r="L410" s="2"/>
      <c r="M410" s="2"/>
      <c r="N410" s="2"/>
      <c r="O410" s="3"/>
      <c r="P410" s="3"/>
      <c r="Q410" s="2"/>
      <c r="R410" s="2"/>
      <c r="S410" s="2"/>
      <c r="T410" s="2"/>
      <c r="U410" s="2"/>
      <c r="V410" s="2"/>
      <c r="W410" s="2"/>
      <c r="X410" s="2"/>
      <c r="Y410" s="2"/>
      <c r="Z410" s="2"/>
      <c r="AA410" s="2"/>
      <c r="AB410" s="2"/>
      <c r="AC410" s="2"/>
    </row>
    <row r="411">
      <c r="A411" s="2"/>
      <c r="B411" s="2"/>
      <c r="C411" s="2"/>
      <c r="D411" s="2"/>
      <c r="E411" s="2"/>
      <c r="F411" s="2"/>
      <c r="G411" s="2"/>
      <c r="H411" s="2"/>
      <c r="I411" s="2"/>
      <c r="J411" s="2"/>
      <c r="K411" s="2"/>
      <c r="L411" s="2"/>
      <c r="M411" s="2"/>
      <c r="N411" s="2"/>
      <c r="O411" s="3"/>
      <c r="P411" s="3"/>
      <c r="Q411" s="2"/>
      <c r="R411" s="2"/>
      <c r="S411" s="2"/>
      <c r="T411" s="2"/>
      <c r="U411" s="2"/>
      <c r="V411" s="2"/>
      <c r="W411" s="2"/>
      <c r="X411" s="2"/>
      <c r="Y411" s="2"/>
      <c r="Z411" s="2"/>
      <c r="AA411" s="2"/>
      <c r="AB411" s="2"/>
      <c r="AC411" s="2"/>
    </row>
    <row r="412">
      <c r="A412" s="2"/>
      <c r="B412" s="2"/>
      <c r="C412" s="2"/>
      <c r="D412" s="2"/>
      <c r="E412" s="2"/>
      <c r="F412" s="2"/>
      <c r="G412" s="2"/>
      <c r="H412" s="2"/>
      <c r="I412" s="2"/>
      <c r="J412" s="2"/>
      <c r="K412" s="2"/>
      <c r="L412" s="2"/>
      <c r="M412" s="2"/>
      <c r="N412" s="2"/>
      <c r="O412" s="3"/>
      <c r="P412" s="3"/>
      <c r="Q412" s="2"/>
      <c r="R412" s="2"/>
      <c r="S412" s="2"/>
      <c r="T412" s="2"/>
      <c r="U412" s="2"/>
      <c r="V412" s="2"/>
      <c r="W412" s="2"/>
      <c r="X412" s="2"/>
      <c r="Y412" s="2"/>
      <c r="Z412" s="2"/>
      <c r="AA412" s="2"/>
      <c r="AB412" s="2"/>
      <c r="AC412" s="2"/>
    </row>
    <row r="413">
      <c r="A413" s="2"/>
      <c r="B413" s="2"/>
      <c r="C413" s="2"/>
      <c r="D413" s="2"/>
      <c r="E413" s="2"/>
      <c r="F413" s="2"/>
      <c r="G413" s="2"/>
      <c r="H413" s="2"/>
      <c r="I413" s="2"/>
      <c r="J413" s="2"/>
      <c r="K413" s="2"/>
      <c r="L413" s="2"/>
      <c r="M413" s="2"/>
      <c r="N413" s="2"/>
      <c r="O413" s="3"/>
      <c r="P413" s="3"/>
      <c r="Q413" s="2"/>
      <c r="R413" s="2"/>
      <c r="S413" s="2"/>
      <c r="T413" s="2"/>
      <c r="U413" s="2"/>
      <c r="V413" s="2"/>
      <c r="W413" s="2"/>
      <c r="X413" s="2"/>
      <c r="Y413" s="2"/>
      <c r="Z413" s="2"/>
      <c r="AA413" s="2"/>
      <c r="AB413" s="2"/>
      <c r="AC413" s="2"/>
    </row>
    <row r="414">
      <c r="A414" s="2"/>
      <c r="B414" s="2"/>
      <c r="C414" s="2"/>
      <c r="D414" s="2"/>
      <c r="E414" s="2"/>
      <c r="F414" s="2"/>
      <c r="G414" s="2"/>
      <c r="H414" s="2"/>
      <c r="I414" s="2"/>
      <c r="J414" s="2"/>
      <c r="K414" s="2"/>
      <c r="L414" s="2"/>
      <c r="M414" s="2"/>
      <c r="N414" s="2"/>
      <c r="O414" s="3"/>
      <c r="P414" s="3"/>
      <c r="Q414" s="2"/>
      <c r="R414" s="2"/>
      <c r="S414" s="2"/>
      <c r="T414" s="2"/>
      <c r="U414" s="2"/>
      <c r="V414" s="2"/>
      <c r="W414" s="2"/>
      <c r="X414" s="2"/>
      <c r="Y414" s="2"/>
      <c r="Z414" s="2"/>
      <c r="AA414" s="2"/>
      <c r="AB414" s="2"/>
      <c r="AC414" s="2"/>
    </row>
    <row r="415">
      <c r="A415" s="2"/>
      <c r="B415" s="2"/>
      <c r="C415" s="2"/>
      <c r="D415" s="2"/>
      <c r="E415" s="2"/>
      <c r="F415" s="2"/>
      <c r="G415" s="2"/>
      <c r="H415" s="2"/>
      <c r="I415" s="2"/>
      <c r="J415" s="2"/>
      <c r="K415" s="2"/>
      <c r="L415" s="2"/>
      <c r="M415" s="2"/>
      <c r="N415" s="2"/>
      <c r="O415" s="3"/>
      <c r="P415" s="3"/>
      <c r="Q415" s="2"/>
      <c r="R415" s="2"/>
      <c r="S415" s="2"/>
      <c r="T415" s="2"/>
      <c r="U415" s="2"/>
      <c r="V415" s="2"/>
      <c r="W415" s="2"/>
      <c r="X415" s="2"/>
      <c r="Y415" s="2"/>
      <c r="Z415" s="2"/>
      <c r="AA415" s="2"/>
      <c r="AB415" s="2"/>
      <c r="AC415" s="2"/>
    </row>
    <row r="416">
      <c r="A416" s="2"/>
      <c r="B416" s="2"/>
      <c r="C416" s="2"/>
      <c r="D416" s="2"/>
      <c r="E416" s="2"/>
      <c r="F416" s="2"/>
      <c r="G416" s="2"/>
      <c r="H416" s="2"/>
      <c r="I416" s="2"/>
      <c r="J416" s="2"/>
      <c r="K416" s="2"/>
      <c r="L416" s="2"/>
      <c r="M416" s="2"/>
      <c r="N416" s="2"/>
      <c r="O416" s="3"/>
      <c r="P416" s="3"/>
      <c r="Q416" s="2"/>
      <c r="R416" s="2"/>
      <c r="S416" s="2"/>
      <c r="T416" s="2"/>
      <c r="U416" s="2"/>
      <c r="V416" s="2"/>
      <c r="W416" s="2"/>
      <c r="X416" s="2"/>
      <c r="Y416" s="2"/>
      <c r="Z416" s="2"/>
      <c r="AA416" s="2"/>
      <c r="AB416" s="2"/>
      <c r="AC416" s="2"/>
    </row>
    <row r="417">
      <c r="A417" s="2"/>
      <c r="B417" s="2"/>
      <c r="C417" s="2"/>
      <c r="D417" s="2"/>
      <c r="E417" s="2"/>
      <c r="F417" s="2"/>
      <c r="G417" s="2"/>
      <c r="H417" s="2"/>
      <c r="I417" s="2"/>
      <c r="J417" s="2"/>
      <c r="K417" s="2"/>
      <c r="L417" s="2"/>
      <c r="M417" s="2"/>
      <c r="N417" s="2"/>
      <c r="O417" s="3"/>
      <c r="P417" s="3"/>
      <c r="Q417" s="2"/>
      <c r="R417" s="2"/>
      <c r="S417" s="2"/>
      <c r="T417" s="2"/>
      <c r="U417" s="2"/>
      <c r="V417" s="2"/>
      <c r="W417" s="2"/>
      <c r="X417" s="2"/>
      <c r="Y417" s="2"/>
      <c r="Z417" s="2"/>
      <c r="AA417" s="2"/>
      <c r="AB417" s="2"/>
      <c r="AC417" s="2"/>
    </row>
    <row r="418">
      <c r="A418" s="2"/>
      <c r="B418" s="2"/>
      <c r="C418" s="2"/>
      <c r="D418" s="2"/>
      <c r="E418" s="2"/>
      <c r="F418" s="2"/>
      <c r="G418" s="2"/>
      <c r="H418" s="2"/>
      <c r="I418" s="2"/>
      <c r="J418" s="2"/>
      <c r="K418" s="2"/>
      <c r="L418" s="2"/>
      <c r="M418" s="2"/>
      <c r="N418" s="2"/>
      <c r="O418" s="3"/>
      <c r="P418" s="3"/>
      <c r="Q418" s="2"/>
      <c r="R418" s="2"/>
      <c r="S418" s="2"/>
      <c r="T418" s="2"/>
      <c r="U418" s="2"/>
      <c r="V418" s="2"/>
      <c r="W418" s="2"/>
      <c r="X418" s="2"/>
      <c r="Y418" s="2"/>
      <c r="Z418" s="2"/>
      <c r="AA418" s="2"/>
      <c r="AB418" s="2"/>
      <c r="AC418" s="2"/>
    </row>
    <row r="419">
      <c r="A419" s="2"/>
      <c r="B419" s="2"/>
      <c r="C419" s="2"/>
      <c r="D419" s="2"/>
      <c r="E419" s="2"/>
      <c r="F419" s="2"/>
      <c r="G419" s="2"/>
      <c r="H419" s="2"/>
      <c r="I419" s="2"/>
      <c r="J419" s="2"/>
      <c r="K419" s="2"/>
      <c r="L419" s="2"/>
      <c r="M419" s="2"/>
      <c r="N419" s="2"/>
      <c r="O419" s="3"/>
      <c r="P419" s="3"/>
      <c r="Q419" s="2"/>
      <c r="R419" s="2"/>
      <c r="S419" s="2"/>
      <c r="T419" s="2"/>
      <c r="U419" s="2"/>
      <c r="V419" s="2"/>
      <c r="W419" s="2"/>
      <c r="X419" s="2"/>
      <c r="Y419" s="2"/>
      <c r="Z419" s="2"/>
      <c r="AA419" s="2"/>
      <c r="AB419" s="2"/>
      <c r="AC419" s="2"/>
    </row>
    <row r="420">
      <c r="A420" s="2"/>
      <c r="B420" s="2"/>
      <c r="C420" s="2"/>
      <c r="D420" s="2"/>
      <c r="E420" s="2"/>
      <c r="F420" s="2"/>
      <c r="G420" s="2"/>
      <c r="H420" s="2"/>
      <c r="I420" s="2"/>
      <c r="J420" s="2"/>
      <c r="K420" s="2"/>
      <c r="L420" s="2"/>
      <c r="M420" s="2"/>
      <c r="N420" s="2"/>
      <c r="O420" s="3"/>
      <c r="P420" s="3"/>
      <c r="Q420" s="2"/>
      <c r="R420" s="2"/>
      <c r="S420" s="2"/>
      <c r="T420" s="2"/>
      <c r="U420" s="2"/>
      <c r="V420" s="2"/>
      <c r="W420" s="2"/>
      <c r="X420" s="2"/>
      <c r="Y420" s="2"/>
      <c r="Z420" s="2"/>
      <c r="AA420" s="2"/>
      <c r="AB420" s="2"/>
      <c r="AC420" s="2"/>
    </row>
    <row r="421">
      <c r="A421" s="2"/>
      <c r="B421" s="2"/>
      <c r="C421" s="2"/>
      <c r="D421" s="2"/>
      <c r="E421" s="2"/>
      <c r="F421" s="2"/>
      <c r="G421" s="2"/>
      <c r="H421" s="2"/>
      <c r="I421" s="2"/>
      <c r="J421" s="2"/>
      <c r="K421" s="2"/>
      <c r="L421" s="2"/>
      <c r="M421" s="2"/>
      <c r="N421" s="2"/>
      <c r="O421" s="3"/>
      <c r="P421" s="3"/>
      <c r="Q421" s="2"/>
      <c r="R421" s="2"/>
      <c r="S421" s="2"/>
      <c r="T421" s="2"/>
      <c r="U421" s="2"/>
      <c r="V421" s="2"/>
      <c r="W421" s="2"/>
      <c r="X421" s="2"/>
      <c r="Y421" s="2"/>
      <c r="Z421" s="2"/>
      <c r="AA421" s="2"/>
      <c r="AB421" s="2"/>
      <c r="AC421" s="2"/>
    </row>
    <row r="422">
      <c r="A422" s="2"/>
      <c r="B422" s="2"/>
      <c r="C422" s="2"/>
      <c r="D422" s="2"/>
      <c r="E422" s="2"/>
      <c r="F422" s="2"/>
      <c r="G422" s="2"/>
      <c r="H422" s="2"/>
      <c r="I422" s="2"/>
      <c r="J422" s="2"/>
      <c r="K422" s="2"/>
      <c r="L422" s="2"/>
      <c r="M422" s="2"/>
      <c r="N422" s="2"/>
      <c r="O422" s="3"/>
      <c r="P422" s="3"/>
      <c r="Q422" s="2"/>
      <c r="R422" s="2"/>
      <c r="S422" s="2"/>
      <c r="T422" s="2"/>
      <c r="U422" s="2"/>
      <c r="V422" s="2"/>
      <c r="W422" s="2"/>
      <c r="X422" s="2"/>
      <c r="Y422" s="2"/>
      <c r="Z422" s="2"/>
      <c r="AA422" s="2"/>
      <c r="AB422" s="2"/>
      <c r="AC422" s="2"/>
    </row>
    <row r="423">
      <c r="A423" s="2"/>
      <c r="B423" s="2"/>
      <c r="C423" s="2"/>
      <c r="D423" s="2"/>
      <c r="E423" s="2"/>
      <c r="F423" s="2"/>
      <c r="G423" s="2"/>
      <c r="H423" s="2"/>
      <c r="I423" s="2"/>
      <c r="J423" s="2"/>
      <c r="K423" s="2"/>
      <c r="L423" s="2"/>
      <c r="M423" s="2"/>
      <c r="N423" s="2"/>
      <c r="O423" s="3"/>
      <c r="P423" s="3"/>
      <c r="Q423" s="2"/>
      <c r="R423" s="2"/>
      <c r="S423" s="2"/>
      <c r="T423" s="2"/>
      <c r="U423" s="2"/>
      <c r="V423" s="2"/>
      <c r="W423" s="2"/>
      <c r="X423" s="2"/>
      <c r="Y423" s="2"/>
      <c r="Z423" s="2"/>
      <c r="AA423" s="2"/>
      <c r="AB423" s="2"/>
      <c r="AC423" s="2"/>
    </row>
    <row r="424">
      <c r="A424" s="2"/>
      <c r="B424" s="2"/>
      <c r="C424" s="2"/>
      <c r="D424" s="2"/>
      <c r="E424" s="2"/>
      <c r="F424" s="2"/>
      <c r="G424" s="2"/>
      <c r="H424" s="2"/>
      <c r="I424" s="2"/>
      <c r="J424" s="2"/>
      <c r="K424" s="2"/>
      <c r="L424" s="2"/>
      <c r="M424" s="2"/>
      <c r="N424" s="2"/>
      <c r="O424" s="3"/>
      <c r="P424" s="3"/>
      <c r="Q424" s="2"/>
      <c r="R424" s="2"/>
      <c r="S424" s="2"/>
      <c r="T424" s="2"/>
      <c r="U424" s="2"/>
      <c r="V424" s="2"/>
      <c r="W424" s="2"/>
      <c r="X424" s="2"/>
      <c r="Y424" s="2"/>
      <c r="Z424" s="2"/>
      <c r="AA424" s="2"/>
      <c r="AB424" s="2"/>
      <c r="AC424" s="2"/>
    </row>
    <row r="425">
      <c r="A425" s="2"/>
      <c r="B425" s="2"/>
      <c r="C425" s="2"/>
      <c r="D425" s="2"/>
      <c r="E425" s="2"/>
      <c r="F425" s="2"/>
      <c r="G425" s="2"/>
      <c r="H425" s="2"/>
      <c r="I425" s="2"/>
      <c r="J425" s="2"/>
      <c r="K425" s="2"/>
      <c r="L425" s="2"/>
      <c r="M425" s="2"/>
      <c r="N425" s="2"/>
      <c r="O425" s="3"/>
      <c r="P425" s="3"/>
      <c r="Q425" s="2"/>
      <c r="R425" s="2"/>
      <c r="S425" s="2"/>
      <c r="T425" s="2"/>
      <c r="U425" s="2"/>
      <c r="V425" s="2"/>
      <c r="W425" s="2"/>
      <c r="X425" s="2"/>
      <c r="Y425" s="2"/>
      <c r="Z425" s="2"/>
      <c r="AA425" s="2"/>
      <c r="AB425" s="2"/>
      <c r="AC425" s="2"/>
    </row>
    <row r="426">
      <c r="A426" s="2"/>
      <c r="B426" s="2"/>
      <c r="C426" s="2"/>
      <c r="D426" s="2"/>
      <c r="E426" s="2"/>
      <c r="F426" s="2"/>
      <c r="G426" s="2"/>
      <c r="H426" s="2"/>
      <c r="I426" s="2"/>
      <c r="J426" s="2"/>
      <c r="K426" s="2"/>
      <c r="L426" s="2"/>
      <c r="M426" s="2"/>
      <c r="N426" s="2"/>
      <c r="O426" s="3"/>
      <c r="P426" s="3"/>
      <c r="Q426" s="2"/>
      <c r="R426" s="2"/>
      <c r="S426" s="2"/>
      <c r="T426" s="2"/>
      <c r="U426" s="2"/>
      <c r="V426" s="2"/>
      <c r="W426" s="2"/>
      <c r="X426" s="2"/>
      <c r="Y426" s="2"/>
      <c r="Z426" s="2"/>
      <c r="AA426" s="2"/>
      <c r="AB426" s="2"/>
      <c r="AC426" s="2"/>
    </row>
    <row r="427">
      <c r="A427" s="2"/>
      <c r="B427" s="2"/>
      <c r="C427" s="2"/>
      <c r="D427" s="2"/>
      <c r="E427" s="2"/>
      <c r="F427" s="2"/>
      <c r="G427" s="2"/>
      <c r="H427" s="2"/>
      <c r="I427" s="2"/>
      <c r="J427" s="2"/>
      <c r="K427" s="2"/>
      <c r="L427" s="2"/>
      <c r="M427" s="2"/>
      <c r="N427" s="2"/>
      <c r="O427" s="3"/>
      <c r="P427" s="3"/>
      <c r="Q427" s="2"/>
      <c r="R427" s="2"/>
      <c r="S427" s="2"/>
      <c r="T427" s="2"/>
      <c r="U427" s="2"/>
      <c r="V427" s="2"/>
      <c r="W427" s="2"/>
      <c r="X427" s="2"/>
      <c r="Y427" s="2"/>
      <c r="Z427" s="2"/>
      <c r="AA427" s="2"/>
      <c r="AB427" s="2"/>
      <c r="AC427" s="2"/>
    </row>
    <row r="428">
      <c r="A428" s="2"/>
      <c r="B428" s="2"/>
      <c r="C428" s="2"/>
      <c r="D428" s="2"/>
      <c r="E428" s="2"/>
      <c r="F428" s="2"/>
      <c r="G428" s="2"/>
      <c r="H428" s="2"/>
      <c r="I428" s="2"/>
      <c r="J428" s="2"/>
      <c r="K428" s="2"/>
      <c r="L428" s="2"/>
      <c r="M428" s="2"/>
      <c r="N428" s="2"/>
      <c r="O428" s="3"/>
      <c r="P428" s="3"/>
      <c r="Q428" s="2"/>
      <c r="R428" s="2"/>
      <c r="S428" s="2"/>
      <c r="T428" s="2"/>
      <c r="U428" s="2"/>
      <c r="V428" s="2"/>
      <c r="W428" s="2"/>
      <c r="X428" s="2"/>
      <c r="Y428" s="2"/>
      <c r="Z428" s="2"/>
      <c r="AA428" s="2"/>
      <c r="AB428" s="2"/>
      <c r="AC428" s="2"/>
    </row>
    <row r="429">
      <c r="A429" s="2"/>
      <c r="B429" s="2"/>
      <c r="C429" s="2"/>
      <c r="D429" s="2"/>
      <c r="E429" s="2"/>
      <c r="F429" s="2"/>
      <c r="G429" s="2"/>
      <c r="H429" s="2"/>
      <c r="I429" s="2"/>
      <c r="J429" s="2"/>
      <c r="K429" s="2"/>
      <c r="L429" s="2"/>
      <c r="M429" s="2"/>
      <c r="N429" s="2"/>
      <c r="O429" s="3"/>
      <c r="P429" s="3"/>
      <c r="Q429" s="2"/>
      <c r="R429" s="2"/>
      <c r="S429" s="2"/>
      <c r="T429" s="2"/>
      <c r="U429" s="2"/>
      <c r="V429" s="2"/>
      <c r="W429" s="2"/>
      <c r="X429" s="2"/>
      <c r="Y429" s="2"/>
      <c r="Z429" s="2"/>
      <c r="AA429" s="2"/>
      <c r="AB429" s="2"/>
      <c r="AC429" s="2"/>
    </row>
    <row r="430">
      <c r="A430" s="2"/>
      <c r="B430" s="2"/>
      <c r="C430" s="2"/>
      <c r="D430" s="2"/>
      <c r="E430" s="2"/>
      <c r="F430" s="2"/>
      <c r="G430" s="2"/>
      <c r="H430" s="2"/>
      <c r="I430" s="2"/>
      <c r="J430" s="2"/>
      <c r="K430" s="2"/>
      <c r="L430" s="2"/>
      <c r="M430" s="2"/>
      <c r="N430" s="2"/>
      <c r="O430" s="3"/>
      <c r="P430" s="3"/>
      <c r="Q430" s="2"/>
      <c r="R430" s="2"/>
      <c r="S430" s="2"/>
      <c r="T430" s="2"/>
      <c r="U430" s="2"/>
      <c r="V430" s="2"/>
      <c r="W430" s="2"/>
      <c r="X430" s="2"/>
      <c r="Y430" s="2"/>
      <c r="Z430" s="2"/>
      <c r="AA430" s="2"/>
      <c r="AB430" s="2"/>
      <c r="AC430" s="2"/>
    </row>
    <row r="431">
      <c r="A431" s="2"/>
      <c r="B431" s="2"/>
      <c r="C431" s="2"/>
      <c r="D431" s="2"/>
      <c r="E431" s="2"/>
      <c r="F431" s="2"/>
      <c r="G431" s="2"/>
      <c r="H431" s="2"/>
      <c r="I431" s="2"/>
      <c r="J431" s="2"/>
      <c r="K431" s="2"/>
      <c r="L431" s="2"/>
      <c r="M431" s="2"/>
      <c r="N431" s="2"/>
      <c r="O431" s="3"/>
      <c r="P431" s="3"/>
      <c r="Q431" s="2"/>
      <c r="R431" s="2"/>
      <c r="S431" s="2"/>
      <c r="T431" s="2"/>
      <c r="U431" s="2"/>
      <c r="V431" s="2"/>
      <c r="W431" s="2"/>
      <c r="X431" s="2"/>
      <c r="Y431" s="2"/>
      <c r="Z431" s="2"/>
      <c r="AA431" s="2"/>
      <c r="AB431" s="2"/>
      <c r="AC431" s="2"/>
    </row>
    <row r="432">
      <c r="A432" s="2"/>
      <c r="B432" s="2"/>
      <c r="C432" s="2"/>
      <c r="D432" s="2"/>
      <c r="E432" s="2"/>
      <c r="F432" s="2"/>
      <c r="G432" s="2"/>
      <c r="H432" s="2"/>
      <c r="I432" s="2"/>
      <c r="J432" s="2"/>
      <c r="K432" s="2"/>
      <c r="L432" s="2"/>
      <c r="M432" s="2"/>
      <c r="N432" s="2"/>
      <c r="O432" s="3"/>
      <c r="P432" s="3"/>
      <c r="Q432" s="2"/>
      <c r="R432" s="2"/>
      <c r="S432" s="2"/>
      <c r="T432" s="2"/>
      <c r="U432" s="2"/>
      <c r="V432" s="2"/>
      <c r="W432" s="2"/>
      <c r="X432" s="2"/>
      <c r="Y432" s="2"/>
      <c r="Z432" s="2"/>
      <c r="AA432" s="2"/>
      <c r="AB432" s="2"/>
      <c r="AC432" s="2"/>
    </row>
    <row r="433">
      <c r="A433" s="2"/>
      <c r="B433" s="2"/>
      <c r="C433" s="2"/>
      <c r="D433" s="2"/>
      <c r="E433" s="2"/>
      <c r="F433" s="2"/>
      <c r="G433" s="2"/>
      <c r="H433" s="2"/>
      <c r="I433" s="2"/>
      <c r="J433" s="2"/>
      <c r="K433" s="2"/>
      <c r="L433" s="2"/>
      <c r="M433" s="2"/>
      <c r="N433" s="2"/>
      <c r="O433" s="3"/>
      <c r="P433" s="3"/>
      <c r="Q433" s="2"/>
      <c r="R433" s="2"/>
      <c r="S433" s="2"/>
      <c r="T433" s="2"/>
      <c r="U433" s="2"/>
      <c r="V433" s="2"/>
      <c r="W433" s="2"/>
      <c r="X433" s="2"/>
      <c r="Y433" s="2"/>
      <c r="Z433" s="2"/>
      <c r="AA433" s="2"/>
      <c r="AB433" s="2"/>
      <c r="AC433" s="2"/>
    </row>
    <row r="434">
      <c r="A434" s="2"/>
      <c r="B434" s="2"/>
      <c r="C434" s="2"/>
      <c r="D434" s="2"/>
      <c r="E434" s="2"/>
      <c r="F434" s="2"/>
      <c r="G434" s="2"/>
      <c r="H434" s="2"/>
      <c r="I434" s="2"/>
      <c r="J434" s="2"/>
      <c r="K434" s="2"/>
      <c r="L434" s="2"/>
      <c r="M434" s="2"/>
      <c r="N434" s="2"/>
      <c r="O434" s="3"/>
      <c r="P434" s="3"/>
      <c r="Q434" s="2"/>
      <c r="R434" s="2"/>
      <c r="S434" s="2"/>
      <c r="T434" s="2"/>
      <c r="U434" s="2"/>
      <c r="V434" s="2"/>
      <c r="W434" s="2"/>
      <c r="X434" s="2"/>
      <c r="Y434" s="2"/>
      <c r="Z434" s="2"/>
      <c r="AA434" s="2"/>
      <c r="AB434" s="2"/>
      <c r="AC434" s="2"/>
    </row>
    <row r="435">
      <c r="A435" s="2"/>
      <c r="B435" s="2"/>
      <c r="C435" s="2"/>
      <c r="D435" s="2"/>
      <c r="E435" s="2"/>
      <c r="F435" s="2"/>
      <c r="G435" s="2"/>
      <c r="H435" s="2"/>
      <c r="I435" s="2"/>
      <c r="J435" s="2"/>
      <c r="K435" s="2"/>
      <c r="L435" s="2"/>
      <c r="M435" s="2"/>
      <c r="N435" s="2"/>
      <c r="O435" s="3"/>
      <c r="P435" s="3"/>
      <c r="Q435" s="2"/>
      <c r="R435" s="2"/>
      <c r="S435" s="2"/>
      <c r="T435" s="2"/>
      <c r="U435" s="2"/>
      <c r="V435" s="2"/>
      <c r="W435" s="2"/>
      <c r="X435" s="2"/>
      <c r="Y435" s="2"/>
      <c r="Z435" s="2"/>
      <c r="AA435" s="2"/>
      <c r="AB435" s="2"/>
      <c r="AC435" s="2"/>
    </row>
    <row r="436">
      <c r="A436" s="2"/>
      <c r="B436" s="2"/>
      <c r="C436" s="2"/>
      <c r="D436" s="2"/>
      <c r="E436" s="2"/>
      <c r="F436" s="2"/>
      <c r="G436" s="2"/>
      <c r="H436" s="2"/>
      <c r="I436" s="2"/>
      <c r="J436" s="2"/>
      <c r="K436" s="2"/>
      <c r="L436" s="2"/>
      <c r="M436" s="2"/>
      <c r="N436" s="2"/>
      <c r="O436" s="3"/>
      <c r="P436" s="3"/>
      <c r="Q436" s="2"/>
      <c r="R436" s="2"/>
      <c r="S436" s="2"/>
      <c r="T436" s="2"/>
      <c r="U436" s="2"/>
      <c r="V436" s="2"/>
      <c r="W436" s="2"/>
      <c r="X436" s="2"/>
      <c r="Y436" s="2"/>
      <c r="Z436" s="2"/>
      <c r="AA436" s="2"/>
      <c r="AB436" s="2"/>
      <c r="AC436" s="2"/>
    </row>
    <row r="437">
      <c r="A437" s="2"/>
      <c r="B437" s="2"/>
      <c r="C437" s="2"/>
      <c r="D437" s="2"/>
      <c r="E437" s="2"/>
      <c r="F437" s="2"/>
      <c r="G437" s="2"/>
      <c r="H437" s="2"/>
      <c r="I437" s="2"/>
      <c r="J437" s="2"/>
      <c r="K437" s="2"/>
      <c r="L437" s="2"/>
      <c r="M437" s="2"/>
      <c r="N437" s="2"/>
      <c r="O437" s="3"/>
      <c r="P437" s="3"/>
      <c r="Q437" s="2"/>
      <c r="R437" s="2"/>
      <c r="S437" s="2"/>
      <c r="T437" s="2"/>
      <c r="U437" s="2"/>
      <c r="V437" s="2"/>
      <c r="W437" s="2"/>
      <c r="X437" s="2"/>
      <c r="Y437" s="2"/>
      <c r="Z437" s="2"/>
      <c r="AA437" s="2"/>
      <c r="AB437" s="2"/>
      <c r="AC437" s="2"/>
    </row>
    <row r="438">
      <c r="A438" s="2"/>
      <c r="B438" s="2"/>
      <c r="C438" s="2"/>
      <c r="D438" s="2"/>
      <c r="E438" s="2"/>
      <c r="F438" s="2"/>
      <c r="G438" s="2"/>
      <c r="H438" s="2"/>
      <c r="I438" s="2"/>
      <c r="J438" s="2"/>
      <c r="K438" s="2"/>
      <c r="L438" s="2"/>
      <c r="M438" s="2"/>
      <c r="N438" s="2"/>
      <c r="O438" s="3"/>
      <c r="P438" s="3"/>
      <c r="Q438" s="2"/>
      <c r="R438" s="2"/>
      <c r="S438" s="2"/>
      <c r="T438" s="2"/>
      <c r="U438" s="2"/>
      <c r="V438" s="2"/>
      <c r="W438" s="2"/>
      <c r="X438" s="2"/>
      <c r="Y438" s="2"/>
      <c r="Z438" s="2"/>
      <c r="AA438" s="2"/>
      <c r="AB438" s="2"/>
      <c r="AC438" s="2"/>
    </row>
    <row r="439">
      <c r="A439" s="2"/>
      <c r="B439" s="2"/>
      <c r="C439" s="2"/>
      <c r="D439" s="2"/>
      <c r="E439" s="2"/>
      <c r="F439" s="2"/>
      <c r="G439" s="2"/>
      <c r="H439" s="2"/>
      <c r="I439" s="2"/>
      <c r="J439" s="2"/>
      <c r="K439" s="2"/>
      <c r="L439" s="2"/>
      <c r="M439" s="2"/>
      <c r="N439" s="2"/>
      <c r="O439" s="3"/>
      <c r="P439" s="3"/>
      <c r="Q439" s="2"/>
      <c r="R439" s="2"/>
      <c r="S439" s="2"/>
      <c r="T439" s="2"/>
      <c r="U439" s="2"/>
      <c r="V439" s="2"/>
      <c r="W439" s="2"/>
      <c r="X439" s="2"/>
      <c r="Y439" s="2"/>
      <c r="Z439" s="2"/>
      <c r="AA439" s="2"/>
      <c r="AB439" s="2"/>
      <c r="AC439" s="2"/>
    </row>
    <row r="440">
      <c r="A440" s="2"/>
      <c r="B440" s="2"/>
      <c r="C440" s="2"/>
      <c r="D440" s="2"/>
      <c r="E440" s="2"/>
      <c r="F440" s="2"/>
      <c r="G440" s="2"/>
      <c r="H440" s="2"/>
      <c r="I440" s="2"/>
      <c r="J440" s="2"/>
      <c r="K440" s="2"/>
      <c r="L440" s="2"/>
      <c r="M440" s="2"/>
      <c r="N440" s="2"/>
      <c r="O440" s="3"/>
      <c r="P440" s="3"/>
      <c r="Q440" s="2"/>
      <c r="R440" s="2"/>
      <c r="S440" s="2"/>
      <c r="T440" s="2"/>
      <c r="U440" s="2"/>
      <c r="V440" s="2"/>
      <c r="W440" s="2"/>
      <c r="X440" s="2"/>
      <c r="Y440" s="2"/>
      <c r="Z440" s="2"/>
      <c r="AA440" s="2"/>
      <c r="AB440" s="2"/>
      <c r="AC440" s="2"/>
    </row>
    <row r="441">
      <c r="A441" s="2"/>
      <c r="B441" s="2"/>
      <c r="C441" s="2"/>
      <c r="D441" s="2"/>
      <c r="E441" s="2"/>
      <c r="F441" s="2"/>
      <c r="G441" s="2"/>
      <c r="H441" s="2"/>
      <c r="I441" s="2"/>
      <c r="J441" s="2"/>
      <c r="K441" s="2"/>
      <c r="L441" s="2"/>
      <c r="M441" s="2"/>
      <c r="N441" s="2"/>
      <c r="O441" s="3"/>
      <c r="P441" s="3"/>
      <c r="Q441" s="2"/>
      <c r="R441" s="2"/>
      <c r="S441" s="2"/>
      <c r="T441" s="2"/>
      <c r="U441" s="2"/>
      <c r="V441" s="2"/>
      <c r="W441" s="2"/>
      <c r="X441" s="2"/>
      <c r="Y441" s="2"/>
      <c r="Z441" s="2"/>
      <c r="AA441" s="2"/>
      <c r="AB441" s="2"/>
      <c r="AC441" s="2"/>
    </row>
    <row r="442">
      <c r="A442" s="2"/>
      <c r="B442" s="2"/>
      <c r="C442" s="2"/>
      <c r="D442" s="2"/>
      <c r="E442" s="2"/>
      <c r="F442" s="2"/>
      <c r="G442" s="2"/>
      <c r="H442" s="2"/>
      <c r="I442" s="2"/>
      <c r="J442" s="2"/>
      <c r="K442" s="2"/>
      <c r="L442" s="2"/>
      <c r="M442" s="2"/>
      <c r="N442" s="2"/>
      <c r="O442" s="3"/>
      <c r="P442" s="3"/>
      <c r="Q442" s="2"/>
      <c r="R442" s="2"/>
      <c r="S442" s="2"/>
      <c r="T442" s="2"/>
      <c r="U442" s="2"/>
      <c r="V442" s="2"/>
      <c r="W442" s="2"/>
      <c r="X442" s="2"/>
      <c r="Y442" s="2"/>
      <c r="Z442" s="2"/>
      <c r="AA442" s="2"/>
      <c r="AB442" s="2"/>
      <c r="AC442" s="2"/>
    </row>
    <row r="443">
      <c r="A443" s="2"/>
      <c r="B443" s="2"/>
      <c r="C443" s="2"/>
      <c r="D443" s="2"/>
      <c r="E443" s="2"/>
      <c r="F443" s="2"/>
      <c r="G443" s="2"/>
      <c r="H443" s="2"/>
      <c r="I443" s="2"/>
      <c r="J443" s="2"/>
      <c r="K443" s="2"/>
      <c r="L443" s="2"/>
      <c r="M443" s="2"/>
      <c r="N443" s="2"/>
      <c r="O443" s="3"/>
      <c r="P443" s="3"/>
      <c r="Q443" s="2"/>
      <c r="R443" s="2"/>
      <c r="S443" s="2"/>
      <c r="T443" s="2"/>
      <c r="U443" s="2"/>
      <c r="V443" s="2"/>
      <c r="W443" s="2"/>
      <c r="X443" s="2"/>
      <c r="Y443" s="2"/>
      <c r="Z443" s="2"/>
      <c r="AA443" s="2"/>
      <c r="AB443" s="2"/>
      <c r="AC443" s="2"/>
    </row>
    <row r="444">
      <c r="A444" s="2"/>
      <c r="B444" s="2"/>
      <c r="C444" s="2"/>
      <c r="D444" s="2"/>
      <c r="E444" s="2"/>
      <c r="F444" s="2"/>
      <c r="G444" s="2"/>
      <c r="H444" s="2"/>
      <c r="I444" s="2"/>
      <c r="J444" s="2"/>
      <c r="K444" s="2"/>
      <c r="L444" s="2"/>
      <c r="M444" s="2"/>
      <c r="N444" s="2"/>
      <c r="O444" s="3"/>
      <c r="P444" s="3"/>
      <c r="Q444" s="2"/>
      <c r="R444" s="2"/>
      <c r="S444" s="2"/>
      <c r="T444" s="2"/>
      <c r="U444" s="2"/>
      <c r="V444" s="2"/>
      <c r="W444" s="2"/>
      <c r="X444" s="2"/>
      <c r="Y444" s="2"/>
      <c r="Z444" s="2"/>
      <c r="AA444" s="2"/>
      <c r="AB444" s="2"/>
      <c r="AC444" s="2"/>
    </row>
    <row r="445">
      <c r="A445" s="2"/>
      <c r="B445" s="2"/>
      <c r="C445" s="2"/>
      <c r="D445" s="2"/>
      <c r="E445" s="2"/>
      <c r="F445" s="2"/>
      <c r="G445" s="2"/>
      <c r="H445" s="2"/>
      <c r="I445" s="2"/>
      <c r="J445" s="2"/>
      <c r="K445" s="2"/>
      <c r="L445" s="2"/>
      <c r="M445" s="2"/>
      <c r="N445" s="2"/>
      <c r="O445" s="3"/>
      <c r="P445" s="3"/>
      <c r="Q445" s="2"/>
      <c r="R445" s="2"/>
      <c r="S445" s="2"/>
      <c r="T445" s="2"/>
      <c r="U445" s="2"/>
      <c r="V445" s="2"/>
      <c r="W445" s="2"/>
      <c r="X445" s="2"/>
      <c r="Y445" s="2"/>
      <c r="Z445" s="2"/>
      <c r="AA445" s="2"/>
      <c r="AB445" s="2"/>
      <c r="AC445" s="2"/>
    </row>
    <row r="446">
      <c r="A446" s="2"/>
      <c r="B446" s="2"/>
      <c r="C446" s="2"/>
      <c r="D446" s="2"/>
      <c r="E446" s="2"/>
      <c r="F446" s="2"/>
      <c r="G446" s="2"/>
      <c r="H446" s="2"/>
      <c r="I446" s="2"/>
      <c r="J446" s="2"/>
      <c r="K446" s="2"/>
      <c r="L446" s="2"/>
      <c r="M446" s="2"/>
      <c r="N446" s="2"/>
      <c r="O446" s="3"/>
      <c r="P446" s="3"/>
      <c r="Q446" s="2"/>
      <c r="R446" s="2"/>
      <c r="S446" s="2"/>
      <c r="T446" s="2"/>
      <c r="U446" s="2"/>
      <c r="V446" s="2"/>
      <c r="W446" s="2"/>
      <c r="X446" s="2"/>
      <c r="Y446" s="2"/>
      <c r="Z446" s="2"/>
      <c r="AA446" s="2"/>
      <c r="AB446" s="2"/>
      <c r="AC446" s="2"/>
    </row>
    <row r="447">
      <c r="A447" s="2"/>
      <c r="B447" s="2"/>
      <c r="C447" s="2"/>
      <c r="D447" s="2"/>
      <c r="E447" s="2"/>
      <c r="F447" s="2"/>
      <c r="G447" s="2"/>
      <c r="H447" s="2"/>
      <c r="I447" s="2"/>
      <c r="J447" s="2"/>
      <c r="K447" s="2"/>
      <c r="L447" s="2"/>
      <c r="M447" s="2"/>
      <c r="N447" s="2"/>
      <c r="O447" s="3"/>
      <c r="P447" s="3"/>
      <c r="Q447" s="2"/>
      <c r="R447" s="2"/>
      <c r="S447" s="2"/>
      <c r="T447" s="2"/>
      <c r="U447" s="2"/>
      <c r="V447" s="2"/>
      <c r="W447" s="2"/>
      <c r="X447" s="2"/>
      <c r="Y447" s="2"/>
      <c r="Z447" s="2"/>
      <c r="AA447" s="2"/>
      <c r="AB447" s="2"/>
      <c r="AC447" s="2"/>
    </row>
    <row r="448">
      <c r="A448" s="2"/>
      <c r="B448" s="2"/>
      <c r="C448" s="2"/>
      <c r="D448" s="2"/>
      <c r="E448" s="2"/>
      <c r="F448" s="2"/>
      <c r="G448" s="2"/>
      <c r="H448" s="2"/>
      <c r="I448" s="2"/>
      <c r="J448" s="2"/>
      <c r="K448" s="2"/>
      <c r="L448" s="2"/>
      <c r="M448" s="2"/>
      <c r="N448" s="2"/>
      <c r="O448" s="3"/>
      <c r="P448" s="3"/>
      <c r="Q448" s="2"/>
      <c r="R448" s="2"/>
      <c r="S448" s="2"/>
      <c r="T448" s="2"/>
      <c r="U448" s="2"/>
      <c r="V448" s="2"/>
      <c r="W448" s="2"/>
      <c r="X448" s="2"/>
      <c r="Y448" s="2"/>
      <c r="Z448" s="2"/>
      <c r="AA448" s="2"/>
      <c r="AB448" s="2"/>
      <c r="AC448" s="2"/>
    </row>
    <row r="449">
      <c r="A449" s="2"/>
      <c r="B449" s="2"/>
      <c r="C449" s="2"/>
      <c r="D449" s="2"/>
      <c r="E449" s="2"/>
      <c r="F449" s="2"/>
      <c r="G449" s="2"/>
      <c r="H449" s="2"/>
      <c r="I449" s="2"/>
      <c r="J449" s="2"/>
      <c r="K449" s="2"/>
      <c r="L449" s="2"/>
      <c r="M449" s="2"/>
      <c r="N449" s="2"/>
      <c r="O449" s="3"/>
      <c r="P449" s="3"/>
      <c r="Q449" s="2"/>
      <c r="R449" s="2"/>
      <c r="S449" s="2"/>
      <c r="T449" s="2"/>
      <c r="U449" s="2"/>
      <c r="V449" s="2"/>
      <c r="W449" s="2"/>
      <c r="X449" s="2"/>
      <c r="Y449" s="2"/>
      <c r="Z449" s="2"/>
      <c r="AA449" s="2"/>
      <c r="AB449" s="2"/>
      <c r="AC449" s="2"/>
    </row>
    <row r="450">
      <c r="A450" s="2"/>
      <c r="B450" s="2"/>
      <c r="C450" s="2"/>
      <c r="D450" s="2"/>
      <c r="E450" s="2"/>
      <c r="F450" s="2"/>
      <c r="G450" s="2"/>
      <c r="H450" s="2"/>
      <c r="I450" s="2"/>
      <c r="J450" s="2"/>
      <c r="K450" s="2"/>
      <c r="L450" s="2"/>
      <c r="M450" s="2"/>
      <c r="N450" s="2"/>
      <c r="O450" s="3"/>
      <c r="P450" s="3"/>
      <c r="Q450" s="2"/>
      <c r="R450" s="2"/>
      <c r="S450" s="2"/>
      <c r="T450" s="2"/>
      <c r="U450" s="2"/>
      <c r="V450" s="2"/>
      <c r="W450" s="2"/>
      <c r="X450" s="2"/>
      <c r="Y450" s="2"/>
      <c r="Z450" s="2"/>
      <c r="AA450" s="2"/>
      <c r="AB450" s="2"/>
      <c r="AC450" s="2"/>
    </row>
    <row r="451">
      <c r="A451" s="2"/>
      <c r="B451" s="2"/>
      <c r="C451" s="2"/>
      <c r="D451" s="2"/>
      <c r="E451" s="2"/>
      <c r="F451" s="2"/>
      <c r="G451" s="2"/>
      <c r="H451" s="2"/>
      <c r="I451" s="2"/>
      <c r="J451" s="2"/>
      <c r="K451" s="2"/>
      <c r="L451" s="2"/>
      <c r="M451" s="2"/>
      <c r="N451" s="2"/>
      <c r="O451" s="3"/>
      <c r="P451" s="3"/>
      <c r="Q451" s="2"/>
      <c r="R451" s="2"/>
      <c r="S451" s="2"/>
      <c r="T451" s="2"/>
      <c r="U451" s="2"/>
      <c r="V451" s="2"/>
      <c r="W451" s="2"/>
      <c r="X451" s="2"/>
      <c r="Y451" s="2"/>
      <c r="Z451" s="2"/>
      <c r="AA451" s="2"/>
      <c r="AB451" s="2"/>
      <c r="AC451" s="2"/>
    </row>
    <row r="452">
      <c r="A452" s="2"/>
      <c r="B452" s="2"/>
      <c r="C452" s="2"/>
      <c r="D452" s="2"/>
      <c r="E452" s="2"/>
      <c r="F452" s="2"/>
      <c r="G452" s="2"/>
      <c r="H452" s="2"/>
      <c r="I452" s="2"/>
      <c r="J452" s="2"/>
      <c r="K452" s="2"/>
      <c r="L452" s="2"/>
      <c r="M452" s="2"/>
      <c r="N452" s="2"/>
      <c r="O452" s="3"/>
      <c r="P452" s="3"/>
      <c r="Q452" s="2"/>
      <c r="R452" s="2"/>
      <c r="S452" s="2"/>
      <c r="T452" s="2"/>
      <c r="U452" s="2"/>
      <c r="V452" s="2"/>
      <c r="W452" s="2"/>
      <c r="X452" s="2"/>
      <c r="Y452" s="2"/>
      <c r="Z452" s="2"/>
      <c r="AA452" s="2"/>
      <c r="AB452" s="2"/>
      <c r="AC452" s="2"/>
    </row>
    <row r="453">
      <c r="A453" s="2"/>
      <c r="B453" s="2"/>
      <c r="C453" s="2"/>
      <c r="D453" s="2"/>
      <c r="E453" s="2"/>
      <c r="F453" s="2"/>
      <c r="G453" s="2"/>
      <c r="H453" s="2"/>
      <c r="I453" s="2"/>
      <c r="J453" s="2"/>
      <c r="K453" s="2"/>
      <c r="L453" s="2"/>
      <c r="M453" s="2"/>
      <c r="N453" s="2"/>
      <c r="O453" s="3"/>
      <c r="P453" s="3"/>
      <c r="Q453" s="2"/>
      <c r="R453" s="2"/>
      <c r="S453" s="2"/>
      <c r="T453" s="2"/>
      <c r="U453" s="2"/>
      <c r="V453" s="2"/>
      <c r="W453" s="2"/>
      <c r="X453" s="2"/>
      <c r="Y453" s="2"/>
      <c r="Z453" s="2"/>
      <c r="AA453" s="2"/>
      <c r="AB453" s="2"/>
      <c r="AC453" s="2"/>
    </row>
    <row r="454">
      <c r="A454" s="2"/>
      <c r="B454" s="2"/>
      <c r="C454" s="2"/>
      <c r="D454" s="2"/>
      <c r="E454" s="2"/>
      <c r="F454" s="2"/>
      <c r="G454" s="2"/>
      <c r="H454" s="2"/>
      <c r="I454" s="2"/>
      <c r="J454" s="2"/>
      <c r="K454" s="2"/>
      <c r="L454" s="2"/>
      <c r="M454" s="2"/>
      <c r="N454" s="2"/>
      <c r="O454" s="3"/>
      <c r="P454" s="3"/>
      <c r="Q454" s="2"/>
      <c r="R454" s="2"/>
      <c r="S454" s="2"/>
      <c r="T454" s="2"/>
      <c r="U454" s="2"/>
      <c r="V454" s="2"/>
      <c r="W454" s="2"/>
      <c r="X454" s="2"/>
      <c r="Y454" s="2"/>
      <c r="Z454" s="2"/>
      <c r="AA454" s="2"/>
      <c r="AB454" s="2"/>
      <c r="AC454" s="2"/>
    </row>
    <row r="455">
      <c r="A455" s="2"/>
      <c r="B455" s="2"/>
      <c r="C455" s="2"/>
      <c r="D455" s="2"/>
      <c r="E455" s="2"/>
      <c r="F455" s="2"/>
      <c r="G455" s="2"/>
      <c r="H455" s="2"/>
      <c r="I455" s="2"/>
      <c r="J455" s="2"/>
      <c r="K455" s="2"/>
      <c r="L455" s="2"/>
      <c r="M455" s="2"/>
      <c r="N455" s="2"/>
      <c r="O455" s="3"/>
      <c r="P455" s="3"/>
      <c r="Q455" s="2"/>
      <c r="R455" s="2"/>
      <c r="S455" s="2"/>
      <c r="T455" s="2"/>
      <c r="U455" s="2"/>
      <c r="V455" s="2"/>
      <c r="W455" s="2"/>
      <c r="X455" s="2"/>
      <c r="Y455" s="2"/>
      <c r="Z455" s="2"/>
      <c r="AA455" s="2"/>
      <c r="AB455" s="2"/>
      <c r="AC455" s="2"/>
    </row>
    <row r="456">
      <c r="A456" s="2"/>
      <c r="B456" s="2"/>
      <c r="C456" s="2"/>
      <c r="D456" s="2"/>
      <c r="E456" s="2"/>
      <c r="F456" s="2"/>
      <c r="G456" s="2"/>
      <c r="H456" s="2"/>
      <c r="I456" s="2"/>
      <c r="J456" s="2"/>
      <c r="K456" s="2"/>
      <c r="L456" s="2"/>
      <c r="M456" s="2"/>
      <c r="N456" s="2"/>
      <c r="O456" s="3"/>
      <c r="P456" s="3"/>
      <c r="Q456" s="2"/>
      <c r="R456" s="2"/>
      <c r="S456" s="2"/>
      <c r="T456" s="2"/>
      <c r="U456" s="2"/>
      <c r="V456" s="2"/>
      <c r="W456" s="2"/>
      <c r="X456" s="2"/>
      <c r="Y456" s="2"/>
      <c r="Z456" s="2"/>
      <c r="AA456" s="2"/>
      <c r="AB456" s="2"/>
      <c r="AC456" s="2"/>
    </row>
    <row r="457">
      <c r="A457" s="2"/>
      <c r="B457" s="2"/>
      <c r="C457" s="2"/>
      <c r="D457" s="2"/>
      <c r="E457" s="2"/>
      <c r="F457" s="2"/>
      <c r="G457" s="2"/>
      <c r="H457" s="2"/>
      <c r="I457" s="2"/>
      <c r="J457" s="2"/>
      <c r="K457" s="2"/>
      <c r="L457" s="2"/>
      <c r="M457" s="2"/>
      <c r="N457" s="2"/>
      <c r="O457" s="3"/>
      <c r="P457" s="3"/>
      <c r="Q457" s="2"/>
      <c r="R457" s="2"/>
      <c r="S457" s="2"/>
      <c r="T457" s="2"/>
      <c r="U457" s="2"/>
      <c r="V457" s="2"/>
      <c r="W457" s="2"/>
      <c r="X457" s="2"/>
      <c r="Y457" s="2"/>
      <c r="Z457" s="2"/>
      <c r="AA457" s="2"/>
      <c r="AB457" s="2"/>
      <c r="AC457" s="2"/>
    </row>
    <row r="458">
      <c r="A458" s="2"/>
      <c r="B458" s="2"/>
      <c r="C458" s="2"/>
      <c r="D458" s="2"/>
      <c r="E458" s="2"/>
      <c r="F458" s="2"/>
      <c r="G458" s="2"/>
      <c r="H458" s="2"/>
      <c r="I458" s="2"/>
      <c r="J458" s="2"/>
      <c r="K458" s="2"/>
      <c r="L458" s="2"/>
      <c r="M458" s="2"/>
      <c r="N458" s="2"/>
      <c r="O458" s="3"/>
      <c r="P458" s="3"/>
      <c r="Q458" s="2"/>
      <c r="R458" s="2"/>
      <c r="S458" s="2"/>
      <c r="T458" s="2"/>
      <c r="U458" s="2"/>
      <c r="V458" s="2"/>
      <c r="W458" s="2"/>
      <c r="X458" s="2"/>
      <c r="Y458" s="2"/>
      <c r="Z458" s="2"/>
      <c r="AA458" s="2"/>
      <c r="AB458" s="2"/>
      <c r="AC458" s="2"/>
    </row>
    <row r="459">
      <c r="A459" s="2"/>
      <c r="B459" s="2"/>
      <c r="C459" s="2"/>
      <c r="D459" s="2"/>
      <c r="E459" s="2"/>
      <c r="F459" s="2"/>
      <c r="G459" s="2"/>
      <c r="H459" s="2"/>
      <c r="I459" s="2"/>
      <c r="J459" s="2"/>
      <c r="K459" s="2"/>
      <c r="L459" s="2"/>
      <c r="M459" s="2"/>
      <c r="N459" s="2"/>
      <c r="O459" s="3"/>
      <c r="P459" s="3"/>
      <c r="Q459" s="2"/>
      <c r="R459" s="2"/>
      <c r="S459" s="2"/>
      <c r="T459" s="2"/>
      <c r="U459" s="2"/>
      <c r="V459" s="2"/>
      <c r="W459" s="2"/>
      <c r="X459" s="2"/>
      <c r="Y459" s="2"/>
      <c r="Z459" s="2"/>
      <c r="AA459" s="2"/>
      <c r="AB459" s="2"/>
      <c r="AC459" s="2"/>
    </row>
    <row r="460">
      <c r="A460" s="2"/>
      <c r="B460" s="2"/>
      <c r="C460" s="2"/>
      <c r="D460" s="2"/>
      <c r="E460" s="2"/>
      <c r="F460" s="2"/>
      <c r="G460" s="2"/>
      <c r="H460" s="2"/>
      <c r="I460" s="2"/>
      <c r="J460" s="2"/>
      <c r="K460" s="2"/>
      <c r="L460" s="2"/>
      <c r="M460" s="2"/>
      <c r="N460" s="2"/>
      <c r="O460" s="3"/>
      <c r="P460" s="3"/>
      <c r="Q460" s="2"/>
      <c r="R460" s="2"/>
      <c r="S460" s="2"/>
      <c r="T460" s="2"/>
      <c r="U460" s="2"/>
      <c r="V460" s="2"/>
      <c r="W460" s="2"/>
      <c r="X460" s="2"/>
      <c r="Y460" s="2"/>
      <c r="Z460" s="2"/>
      <c r="AA460" s="2"/>
      <c r="AB460" s="2"/>
      <c r="AC460" s="2"/>
    </row>
    <row r="461">
      <c r="A461" s="2"/>
      <c r="B461" s="2"/>
      <c r="C461" s="2"/>
      <c r="D461" s="2"/>
      <c r="E461" s="2"/>
      <c r="F461" s="2"/>
      <c r="G461" s="2"/>
      <c r="H461" s="2"/>
      <c r="I461" s="2"/>
      <c r="J461" s="2"/>
      <c r="K461" s="2"/>
      <c r="L461" s="2"/>
      <c r="M461" s="2"/>
      <c r="N461" s="2"/>
      <c r="O461" s="3"/>
      <c r="P461" s="3"/>
      <c r="Q461" s="2"/>
      <c r="R461" s="2"/>
      <c r="S461" s="2"/>
      <c r="T461" s="2"/>
      <c r="U461" s="2"/>
      <c r="V461" s="2"/>
      <c r="W461" s="2"/>
      <c r="X461" s="2"/>
      <c r="Y461" s="2"/>
      <c r="Z461" s="2"/>
      <c r="AA461" s="2"/>
      <c r="AB461" s="2"/>
      <c r="AC461" s="2"/>
    </row>
    <row r="462">
      <c r="A462" s="2"/>
      <c r="B462" s="2"/>
      <c r="C462" s="2"/>
      <c r="D462" s="2"/>
      <c r="E462" s="2"/>
      <c r="F462" s="2"/>
      <c r="G462" s="2"/>
      <c r="H462" s="2"/>
      <c r="I462" s="2"/>
      <c r="J462" s="2"/>
      <c r="K462" s="2"/>
      <c r="L462" s="2"/>
      <c r="M462" s="2"/>
      <c r="N462" s="2"/>
      <c r="O462" s="3"/>
      <c r="P462" s="3"/>
      <c r="Q462" s="2"/>
      <c r="R462" s="2"/>
      <c r="S462" s="2"/>
      <c r="T462" s="2"/>
      <c r="U462" s="2"/>
      <c r="V462" s="2"/>
      <c r="W462" s="2"/>
      <c r="X462" s="2"/>
      <c r="Y462" s="2"/>
      <c r="Z462" s="2"/>
      <c r="AA462" s="2"/>
      <c r="AB462" s="2"/>
      <c r="AC462" s="2"/>
    </row>
    <row r="463">
      <c r="A463" s="2"/>
      <c r="B463" s="2"/>
      <c r="C463" s="2"/>
      <c r="D463" s="2"/>
      <c r="E463" s="2"/>
      <c r="F463" s="2"/>
      <c r="G463" s="2"/>
      <c r="H463" s="2"/>
      <c r="I463" s="2"/>
      <c r="J463" s="2"/>
      <c r="K463" s="2"/>
      <c r="L463" s="2"/>
      <c r="M463" s="2"/>
      <c r="N463" s="2"/>
      <c r="O463" s="3"/>
      <c r="P463" s="3"/>
      <c r="Q463" s="2"/>
      <c r="R463" s="2"/>
      <c r="S463" s="2"/>
      <c r="T463" s="2"/>
      <c r="U463" s="2"/>
      <c r="V463" s="2"/>
      <c r="W463" s="2"/>
      <c r="X463" s="2"/>
      <c r="Y463" s="2"/>
      <c r="Z463" s="2"/>
      <c r="AA463" s="2"/>
      <c r="AB463" s="2"/>
      <c r="AC463" s="2"/>
    </row>
    <row r="464">
      <c r="A464" s="2"/>
      <c r="B464" s="2"/>
      <c r="C464" s="2"/>
      <c r="D464" s="2"/>
      <c r="E464" s="2"/>
      <c r="F464" s="2"/>
      <c r="G464" s="2"/>
      <c r="H464" s="2"/>
      <c r="I464" s="2"/>
      <c r="J464" s="2"/>
      <c r="K464" s="2"/>
      <c r="L464" s="2"/>
      <c r="M464" s="2"/>
      <c r="N464" s="2"/>
      <c r="O464" s="3"/>
      <c r="P464" s="3"/>
      <c r="Q464" s="2"/>
      <c r="R464" s="2"/>
      <c r="S464" s="2"/>
      <c r="T464" s="2"/>
      <c r="U464" s="2"/>
      <c r="V464" s="2"/>
      <c r="W464" s="2"/>
      <c r="X464" s="2"/>
      <c r="Y464" s="2"/>
      <c r="Z464" s="2"/>
      <c r="AA464" s="2"/>
      <c r="AB464" s="2"/>
      <c r="AC464" s="2"/>
    </row>
    <row r="465">
      <c r="A465" s="2"/>
      <c r="B465" s="2"/>
      <c r="C465" s="2"/>
      <c r="D465" s="2"/>
      <c r="E465" s="2"/>
      <c r="F465" s="2"/>
      <c r="G465" s="2"/>
      <c r="H465" s="2"/>
      <c r="I465" s="2"/>
      <c r="J465" s="2"/>
      <c r="K465" s="2"/>
      <c r="L465" s="2"/>
      <c r="M465" s="2"/>
      <c r="N465" s="2"/>
      <c r="O465" s="3"/>
      <c r="P465" s="3"/>
      <c r="Q465" s="2"/>
      <c r="R465" s="2"/>
      <c r="S465" s="2"/>
      <c r="T465" s="2"/>
      <c r="U465" s="2"/>
      <c r="V465" s="2"/>
      <c r="W465" s="2"/>
      <c r="X465" s="2"/>
      <c r="Y465" s="2"/>
      <c r="Z465" s="2"/>
      <c r="AA465" s="2"/>
      <c r="AB465" s="2"/>
      <c r="AC465" s="2"/>
    </row>
    <row r="466">
      <c r="A466" s="2"/>
      <c r="B466" s="2"/>
      <c r="C466" s="2"/>
      <c r="D466" s="2"/>
      <c r="E466" s="2"/>
      <c r="F466" s="2"/>
      <c r="G466" s="2"/>
      <c r="H466" s="2"/>
      <c r="I466" s="2"/>
      <c r="J466" s="2"/>
      <c r="K466" s="2"/>
      <c r="L466" s="2"/>
      <c r="M466" s="2"/>
      <c r="N466" s="2"/>
      <c r="O466" s="3"/>
      <c r="P466" s="3"/>
      <c r="Q466" s="2"/>
      <c r="R466" s="2"/>
      <c r="S466" s="2"/>
      <c r="T466" s="2"/>
      <c r="U466" s="2"/>
      <c r="V466" s="2"/>
      <c r="W466" s="2"/>
      <c r="X466" s="2"/>
      <c r="Y466" s="2"/>
      <c r="Z466" s="2"/>
      <c r="AA466" s="2"/>
      <c r="AB466" s="2"/>
      <c r="AC466" s="2"/>
    </row>
    <row r="467">
      <c r="A467" s="2"/>
      <c r="B467" s="2"/>
      <c r="C467" s="2"/>
      <c r="D467" s="2"/>
      <c r="E467" s="2"/>
      <c r="F467" s="2"/>
      <c r="G467" s="2"/>
      <c r="H467" s="2"/>
      <c r="I467" s="2"/>
      <c r="J467" s="2"/>
      <c r="K467" s="2"/>
      <c r="L467" s="2"/>
      <c r="M467" s="2"/>
      <c r="N467" s="2"/>
      <c r="O467" s="3"/>
      <c r="P467" s="3"/>
      <c r="Q467" s="2"/>
      <c r="R467" s="2"/>
      <c r="S467" s="2"/>
      <c r="T467" s="2"/>
      <c r="U467" s="2"/>
      <c r="V467" s="2"/>
      <c r="W467" s="2"/>
      <c r="X467" s="2"/>
      <c r="Y467" s="2"/>
      <c r="Z467" s="2"/>
      <c r="AA467" s="2"/>
      <c r="AB467" s="2"/>
      <c r="AC467" s="2"/>
    </row>
    <row r="468">
      <c r="A468" s="2"/>
      <c r="B468" s="2"/>
      <c r="C468" s="2"/>
      <c r="D468" s="2"/>
      <c r="E468" s="2"/>
      <c r="F468" s="2"/>
      <c r="G468" s="2"/>
      <c r="H468" s="2"/>
      <c r="I468" s="2"/>
      <c r="J468" s="2"/>
      <c r="K468" s="2"/>
      <c r="L468" s="2"/>
      <c r="M468" s="2"/>
      <c r="N468" s="2"/>
      <c r="O468" s="3"/>
      <c r="P468" s="3"/>
      <c r="Q468" s="2"/>
      <c r="R468" s="2"/>
      <c r="S468" s="2"/>
      <c r="T468" s="2"/>
      <c r="U468" s="2"/>
      <c r="V468" s="2"/>
      <c r="W468" s="2"/>
      <c r="X468" s="2"/>
      <c r="Y468" s="2"/>
      <c r="Z468" s="2"/>
      <c r="AA468" s="2"/>
      <c r="AB468" s="2"/>
      <c r="AC468" s="2"/>
    </row>
    <row r="469">
      <c r="A469" s="2"/>
      <c r="B469" s="2"/>
      <c r="C469" s="2"/>
      <c r="D469" s="2"/>
      <c r="E469" s="2"/>
      <c r="F469" s="2"/>
      <c r="G469" s="2"/>
      <c r="H469" s="2"/>
      <c r="I469" s="2"/>
      <c r="J469" s="2"/>
      <c r="K469" s="2"/>
      <c r="L469" s="2"/>
      <c r="M469" s="2"/>
      <c r="N469" s="2"/>
      <c r="O469" s="3"/>
      <c r="P469" s="3"/>
      <c r="Q469" s="2"/>
      <c r="R469" s="2"/>
      <c r="S469" s="2"/>
      <c r="T469" s="2"/>
      <c r="U469" s="2"/>
      <c r="V469" s="2"/>
      <c r="W469" s="2"/>
      <c r="X469" s="2"/>
      <c r="Y469" s="2"/>
      <c r="Z469" s="2"/>
      <c r="AA469" s="2"/>
      <c r="AB469" s="2"/>
      <c r="AC469" s="2"/>
    </row>
    <row r="470">
      <c r="A470" s="2"/>
      <c r="B470" s="2"/>
      <c r="C470" s="2"/>
      <c r="D470" s="2"/>
      <c r="E470" s="2"/>
      <c r="F470" s="2"/>
      <c r="G470" s="2"/>
      <c r="H470" s="2"/>
      <c r="I470" s="2"/>
      <c r="J470" s="2"/>
      <c r="K470" s="2"/>
      <c r="L470" s="2"/>
      <c r="M470" s="2"/>
      <c r="N470" s="2"/>
      <c r="O470" s="3"/>
      <c r="P470" s="3"/>
      <c r="Q470" s="2"/>
      <c r="R470" s="2"/>
      <c r="S470" s="2"/>
      <c r="T470" s="2"/>
      <c r="U470" s="2"/>
      <c r="V470" s="2"/>
      <c r="W470" s="2"/>
      <c r="X470" s="2"/>
      <c r="Y470" s="2"/>
      <c r="Z470" s="2"/>
      <c r="AA470" s="2"/>
      <c r="AB470" s="2"/>
      <c r="AC470" s="2"/>
    </row>
    <row r="471">
      <c r="A471" s="2"/>
      <c r="B471" s="2"/>
      <c r="C471" s="2"/>
      <c r="D471" s="2"/>
      <c r="E471" s="2"/>
      <c r="F471" s="2"/>
      <c r="G471" s="2"/>
      <c r="H471" s="2"/>
      <c r="I471" s="2"/>
      <c r="J471" s="2"/>
      <c r="K471" s="2"/>
      <c r="L471" s="2"/>
      <c r="M471" s="2"/>
      <c r="N471" s="2"/>
      <c r="O471" s="3"/>
      <c r="P471" s="3"/>
      <c r="Q471" s="2"/>
      <c r="R471" s="2"/>
      <c r="S471" s="2"/>
      <c r="T471" s="2"/>
      <c r="U471" s="2"/>
      <c r="V471" s="2"/>
      <c r="W471" s="2"/>
      <c r="X471" s="2"/>
      <c r="Y471" s="2"/>
      <c r="Z471" s="2"/>
      <c r="AA471" s="2"/>
      <c r="AB471" s="2"/>
      <c r="AC471" s="2"/>
    </row>
    <row r="472">
      <c r="A472" s="2"/>
      <c r="B472" s="2"/>
      <c r="C472" s="2"/>
      <c r="D472" s="2"/>
      <c r="E472" s="2"/>
      <c r="F472" s="2"/>
      <c r="G472" s="2"/>
      <c r="H472" s="2"/>
      <c r="I472" s="2"/>
      <c r="J472" s="2"/>
      <c r="K472" s="2"/>
      <c r="L472" s="2"/>
      <c r="M472" s="2"/>
      <c r="N472" s="2"/>
      <c r="O472" s="3"/>
      <c r="P472" s="3"/>
      <c r="Q472" s="2"/>
      <c r="R472" s="2"/>
      <c r="S472" s="2"/>
      <c r="T472" s="2"/>
      <c r="U472" s="2"/>
      <c r="V472" s="2"/>
      <c r="W472" s="2"/>
      <c r="X472" s="2"/>
      <c r="Y472" s="2"/>
      <c r="Z472" s="2"/>
      <c r="AA472" s="2"/>
      <c r="AB472" s="2"/>
      <c r="AC472" s="2"/>
    </row>
    <row r="473">
      <c r="A473" s="2"/>
      <c r="B473" s="2"/>
      <c r="C473" s="2"/>
      <c r="D473" s="2"/>
      <c r="E473" s="2"/>
      <c r="F473" s="2"/>
      <c r="G473" s="2"/>
      <c r="H473" s="2"/>
      <c r="I473" s="2"/>
      <c r="J473" s="2"/>
      <c r="K473" s="2"/>
      <c r="L473" s="2"/>
      <c r="M473" s="2"/>
      <c r="N473" s="2"/>
      <c r="O473" s="3"/>
      <c r="P473" s="3"/>
      <c r="Q473" s="2"/>
      <c r="R473" s="2"/>
      <c r="S473" s="2"/>
      <c r="T473" s="2"/>
      <c r="U473" s="2"/>
      <c r="V473" s="2"/>
      <c r="W473" s="2"/>
      <c r="X473" s="2"/>
      <c r="Y473" s="2"/>
      <c r="Z473" s="2"/>
      <c r="AA473" s="2"/>
      <c r="AB473" s="2"/>
      <c r="AC473" s="2"/>
    </row>
    <row r="474">
      <c r="A474" s="2"/>
      <c r="B474" s="2"/>
      <c r="C474" s="2"/>
      <c r="D474" s="2"/>
      <c r="E474" s="2"/>
      <c r="F474" s="2"/>
      <c r="G474" s="2"/>
      <c r="H474" s="2"/>
      <c r="I474" s="2"/>
      <c r="J474" s="2"/>
      <c r="K474" s="2"/>
      <c r="L474" s="2"/>
      <c r="M474" s="2"/>
      <c r="N474" s="2"/>
      <c r="O474" s="3"/>
      <c r="P474" s="3"/>
      <c r="Q474" s="2"/>
      <c r="R474" s="2"/>
      <c r="S474" s="2"/>
      <c r="T474" s="2"/>
      <c r="U474" s="2"/>
      <c r="V474" s="2"/>
      <c r="W474" s="2"/>
      <c r="X474" s="2"/>
      <c r="Y474" s="2"/>
      <c r="Z474" s="2"/>
      <c r="AA474" s="2"/>
      <c r="AB474" s="2"/>
      <c r="AC474" s="2"/>
    </row>
    <row r="475">
      <c r="A475" s="2"/>
      <c r="B475" s="2"/>
      <c r="C475" s="2"/>
      <c r="D475" s="2"/>
      <c r="E475" s="2"/>
      <c r="F475" s="2"/>
      <c r="G475" s="2"/>
      <c r="H475" s="2"/>
      <c r="I475" s="2"/>
      <c r="J475" s="2"/>
      <c r="K475" s="2"/>
      <c r="L475" s="2"/>
      <c r="M475" s="2"/>
      <c r="N475" s="2"/>
      <c r="O475" s="3"/>
      <c r="P475" s="3"/>
      <c r="Q475" s="2"/>
      <c r="R475" s="2"/>
      <c r="S475" s="2"/>
      <c r="T475" s="2"/>
      <c r="U475" s="2"/>
      <c r="V475" s="2"/>
      <c r="W475" s="2"/>
      <c r="X475" s="2"/>
      <c r="Y475" s="2"/>
      <c r="Z475" s="2"/>
      <c r="AA475" s="2"/>
      <c r="AB475" s="2"/>
      <c r="AC475" s="2"/>
    </row>
    <row r="476">
      <c r="A476" s="2"/>
      <c r="B476" s="2"/>
      <c r="C476" s="2"/>
      <c r="D476" s="2"/>
      <c r="E476" s="2"/>
      <c r="F476" s="2"/>
      <c r="G476" s="2"/>
      <c r="H476" s="2"/>
      <c r="I476" s="2"/>
      <c r="J476" s="2"/>
      <c r="K476" s="2"/>
      <c r="L476" s="2"/>
      <c r="M476" s="2"/>
      <c r="N476" s="2"/>
      <c r="O476" s="3"/>
      <c r="P476" s="3"/>
      <c r="Q476" s="2"/>
      <c r="R476" s="2"/>
      <c r="S476" s="2"/>
      <c r="T476" s="2"/>
      <c r="U476" s="2"/>
      <c r="V476" s="2"/>
      <c r="W476" s="2"/>
      <c r="X476" s="2"/>
      <c r="Y476" s="2"/>
      <c r="Z476" s="2"/>
      <c r="AA476" s="2"/>
      <c r="AB476" s="2"/>
      <c r="AC476" s="2"/>
    </row>
    <row r="477">
      <c r="A477" s="2"/>
      <c r="B477" s="2"/>
      <c r="C477" s="2"/>
      <c r="D477" s="2"/>
      <c r="E477" s="2"/>
      <c r="F477" s="2"/>
      <c r="G477" s="2"/>
      <c r="H477" s="2"/>
      <c r="I477" s="2"/>
      <c r="J477" s="2"/>
      <c r="K477" s="2"/>
      <c r="L477" s="2"/>
      <c r="M477" s="2"/>
      <c r="N477" s="2"/>
      <c r="O477" s="3"/>
      <c r="P477" s="3"/>
      <c r="Q477" s="2"/>
      <c r="R477" s="2"/>
      <c r="S477" s="2"/>
      <c r="T477" s="2"/>
      <c r="U477" s="2"/>
      <c r="V477" s="2"/>
      <c r="W477" s="2"/>
      <c r="X477" s="2"/>
      <c r="Y477" s="2"/>
      <c r="Z477" s="2"/>
      <c r="AA477" s="2"/>
      <c r="AB477" s="2"/>
      <c r="AC477" s="2"/>
    </row>
    <row r="478">
      <c r="A478" s="2"/>
      <c r="B478" s="2"/>
      <c r="C478" s="2"/>
      <c r="D478" s="2"/>
      <c r="E478" s="2"/>
      <c r="F478" s="2"/>
      <c r="G478" s="2"/>
      <c r="H478" s="2"/>
      <c r="I478" s="2"/>
      <c r="J478" s="2"/>
      <c r="K478" s="2"/>
      <c r="L478" s="2"/>
      <c r="M478" s="2"/>
      <c r="N478" s="2"/>
      <c r="O478" s="3"/>
      <c r="P478" s="3"/>
      <c r="Q478" s="2"/>
      <c r="R478" s="2"/>
      <c r="S478" s="2"/>
      <c r="T478" s="2"/>
      <c r="U478" s="2"/>
      <c r="V478" s="2"/>
      <c r="W478" s="2"/>
      <c r="X478" s="2"/>
      <c r="Y478" s="2"/>
      <c r="Z478" s="2"/>
      <c r="AA478" s="2"/>
      <c r="AB478" s="2"/>
      <c r="AC478" s="2"/>
    </row>
    <row r="479">
      <c r="A479" s="2"/>
      <c r="B479" s="2"/>
      <c r="C479" s="2"/>
      <c r="D479" s="2"/>
      <c r="E479" s="2"/>
      <c r="F479" s="2"/>
      <c r="G479" s="2"/>
      <c r="H479" s="2"/>
      <c r="I479" s="2"/>
      <c r="J479" s="2"/>
      <c r="K479" s="2"/>
      <c r="L479" s="2"/>
      <c r="M479" s="2"/>
      <c r="N479" s="2"/>
      <c r="O479" s="3"/>
      <c r="P479" s="3"/>
      <c r="Q479" s="2"/>
      <c r="R479" s="2"/>
      <c r="S479" s="2"/>
      <c r="T479" s="2"/>
      <c r="U479" s="2"/>
      <c r="V479" s="2"/>
      <c r="W479" s="2"/>
      <c r="X479" s="2"/>
      <c r="Y479" s="2"/>
      <c r="Z479" s="2"/>
      <c r="AA479" s="2"/>
      <c r="AB479" s="2"/>
      <c r="AC479" s="2"/>
    </row>
    <row r="480">
      <c r="A480" s="2"/>
      <c r="B480" s="2"/>
      <c r="C480" s="2"/>
      <c r="D480" s="2"/>
      <c r="E480" s="2"/>
      <c r="F480" s="2"/>
      <c r="G480" s="2"/>
      <c r="H480" s="2"/>
      <c r="I480" s="2"/>
      <c r="J480" s="2"/>
      <c r="K480" s="2"/>
      <c r="L480" s="2"/>
      <c r="M480" s="2"/>
      <c r="N480" s="2"/>
      <c r="O480" s="3"/>
      <c r="P480" s="3"/>
      <c r="Q480" s="2"/>
      <c r="R480" s="2"/>
      <c r="S480" s="2"/>
      <c r="T480" s="2"/>
      <c r="U480" s="2"/>
      <c r="V480" s="2"/>
      <c r="W480" s="2"/>
      <c r="X480" s="2"/>
      <c r="Y480" s="2"/>
      <c r="Z480" s="2"/>
      <c r="AA480" s="2"/>
      <c r="AB480" s="2"/>
      <c r="AC480" s="2"/>
    </row>
    <row r="481">
      <c r="A481" s="2"/>
      <c r="B481" s="2"/>
      <c r="C481" s="2"/>
      <c r="D481" s="2"/>
      <c r="E481" s="2"/>
      <c r="F481" s="2"/>
      <c r="G481" s="2"/>
      <c r="H481" s="2"/>
      <c r="I481" s="2"/>
      <c r="J481" s="2"/>
      <c r="K481" s="2"/>
      <c r="L481" s="2"/>
      <c r="M481" s="2"/>
      <c r="N481" s="2"/>
      <c r="O481" s="3"/>
      <c r="P481" s="3"/>
      <c r="Q481" s="2"/>
      <c r="R481" s="2"/>
      <c r="S481" s="2"/>
      <c r="T481" s="2"/>
      <c r="U481" s="2"/>
      <c r="V481" s="2"/>
      <c r="W481" s="2"/>
      <c r="X481" s="2"/>
      <c r="Y481" s="2"/>
      <c r="Z481" s="2"/>
      <c r="AA481" s="2"/>
      <c r="AB481" s="2"/>
      <c r="AC481" s="2"/>
    </row>
    <row r="482">
      <c r="A482" s="2"/>
      <c r="B482" s="2"/>
      <c r="C482" s="2"/>
      <c r="D482" s="2"/>
      <c r="E482" s="2"/>
      <c r="F482" s="2"/>
      <c r="G482" s="2"/>
      <c r="H482" s="2"/>
      <c r="I482" s="2"/>
      <c r="J482" s="2"/>
      <c r="K482" s="2"/>
      <c r="L482" s="2"/>
      <c r="M482" s="2"/>
      <c r="N482" s="2"/>
      <c r="O482" s="3"/>
      <c r="P482" s="3"/>
      <c r="Q482" s="2"/>
      <c r="R482" s="2"/>
      <c r="S482" s="2"/>
      <c r="T482" s="2"/>
      <c r="U482" s="2"/>
      <c r="V482" s="2"/>
      <c r="W482" s="2"/>
      <c r="X482" s="2"/>
      <c r="Y482" s="2"/>
      <c r="Z482" s="2"/>
      <c r="AA482" s="2"/>
      <c r="AB482" s="2"/>
      <c r="AC482" s="2"/>
    </row>
    <row r="483">
      <c r="A483" s="2"/>
      <c r="B483" s="2"/>
      <c r="C483" s="2"/>
      <c r="D483" s="2"/>
      <c r="E483" s="2"/>
      <c r="F483" s="2"/>
      <c r="G483" s="2"/>
      <c r="H483" s="2"/>
      <c r="I483" s="2"/>
      <c r="J483" s="2"/>
      <c r="K483" s="2"/>
      <c r="L483" s="2"/>
      <c r="M483" s="2"/>
      <c r="N483" s="2"/>
      <c r="O483" s="3"/>
      <c r="P483" s="3"/>
      <c r="Q483" s="2"/>
      <c r="R483" s="2"/>
      <c r="S483" s="2"/>
      <c r="T483" s="2"/>
      <c r="U483" s="2"/>
      <c r="V483" s="2"/>
      <c r="W483" s="2"/>
      <c r="X483" s="2"/>
      <c r="Y483" s="2"/>
      <c r="Z483" s="2"/>
      <c r="AA483" s="2"/>
      <c r="AB483" s="2"/>
      <c r="AC483" s="2"/>
    </row>
    <row r="484">
      <c r="A484" s="2"/>
      <c r="B484" s="2"/>
      <c r="C484" s="2"/>
      <c r="D484" s="2"/>
      <c r="E484" s="2"/>
      <c r="F484" s="2"/>
      <c r="G484" s="2"/>
      <c r="H484" s="2"/>
      <c r="I484" s="2"/>
      <c r="J484" s="2"/>
      <c r="K484" s="2"/>
      <c r="L484" s="2"/>
      <c r="M484" s="2"/>
      <c r="N484" s="2"/>
      <c r="O484" s="3"/>
      <c r="P484" s="3"/>
      <c r="Q484" s="2"/>
      <c r="R484" s="2"/>
      <c r="S484" s="2"/>
      <c r="T484" s="2"/>
      <c r="U484" s="2"/>
      <c r="V484" s="2"/>
      <c r="W484" s="2"/>
      <c r="X484" s="2"/>
      <c r="Y484" s="2"/>
      <c r="Z484" s="2"/>
      <c r="AA484" s="2"/>
      <c r="AB484" s="2"/>
      <c r="AC484" s="2"/>
    </row>
    <row r="485">
      <c r="A485" s="2"/>
      <c r="B485" s="2"/>
      <c r="C485" s="2"/>
      <c r="D485" s="2"/>
      <c r="E485" s="2"/>
      <c r="F485" s="2"/>
      <c r="G485" s="2"/>
      <c r="H485" s="2"/>
      <c r="I485" s="2"/>
      <c r="J485" s="2"/>
      <c r="K485" s="2"/>
      <c r="L485" s="2"/>
      <c r="M485" s="2"/>
      <c r="N485" s="2"/>
      <c r="O485" s="3"/>
      <c r="P485" s="3"/>
      <c r="Q485" s="2"/>
      <c r="R485" s="2"/>
      <c r="S485" s="2"/>
      <c r="T485" s="2"/>
      <c r="U485" s="2"/>
      <c r="V485" s="2"/>
      <c r="W485" s="2"/>
      <c r="X485" s="2"/>
      <c r="Y485" s="2"/>
      <c r="Z485" s="2"/>
      <c r="AA485" s="2"/>
      <c r="AB485" s="2"/>
      <c r="AC485" s="2"/>
    </row>
    <row r="486">
      <c r="A486" s="2"/>
      <c r="B486" s="2"/>
      <c r="C486" s="2"/>
      <c r="D486" s="2"/>
      <c r="E486" s="2"/>
      <c r="F486" s="2"/>
      <c r="G486" s="2"/>
      <c r="H486" s="2"/>
      <c r="I486" s="2"/>
      <c r="J486" s="2"/>
      <c r="K486" s="2"/>
      <c r="L486" s="2"/>
      <c r="M486" s="2"/>
      <c r="N486" s="2"/>
      <c r="O486" s="3"/>
      <c r="P486" s="3"/>
      <c r="Q486" s="2"/>
      <c r="R486" s="2"/>
      <c r="S486" s="2"/>
      <c r="T486" s="2"/>
      <c r="U486" s="2"/>
      <c r="V486" s="2"/>
      <c r="W486" s="2"/>
      <c r="X486" s="2"/>
      <c r="Y486" s="2"/>
      <c r="Z486" s="2"/>
      <c r="AA486" s="2"/>
      <c r="AB486" s="2"/>
      <c r="AC486" s="2"/>
    </row>
    <row r="487">
      <c r="A487" s="2"/>
      <c r="B487" s="2"/>
      <c r="C487" s="2"/>
      <c r="D487" s="2"/>
      <c r="E487" s="2"/>
      <c r="F487" s="2"/>
      <c r="G487" s="2"/>
      <c r="H487" s="2"/>
      <c r="I487" s="2"/>
      <c r="J487" s="2"/>
      <c r="K487" s="2"/>
      <c r="L487" s="2"/>
      <c r="M487" s="2"/>
      <c r="N487" s="2"/>
      <c r="O487" s="3"/>
      <c r="P487" s="3"/>
      <c r="Q487" s="2"/>
      <c r="R487" s="2"/>
      <c r="S487" s="2"/>
      <c r="T487" s="2"/>
      <c r="U487" s="2"/>
      <c r="V487" s="2"/>
      <c r="W487" s="2"/>
      <c r="X487" s="2"/>
      <c r="Y487" s="2"/>
      <c r="Z487" s="2"/>
      <c r="AA487" s="2"/>
      <c r="AB487" s="2"/>
      <c r="AC487" s="2"/>
    </row>
    <row r="488">
      <c r="A488" s="2"/>
      <c r="B488" s="2"/>
      <c r="C488" s="2"/>
      <c r="D488" s="2"/>
      <c r="E488" s="2"/>
      <c r="F488" s="2"/>
      <c r="G488" s="2"/>
      <c r="H488" s="2"/>
      <c r="I488" s="2"/>
      <c r="J488" s="2"/>
      <c r="K488" s="2"/>
      <c r="L488" s="2"/>
      <c r="M488" s="2"/>
      <c r="N488" s="2"/>
      <c r="O488" s="3"/>
      <c r="P488" s="3"/>
      <c r="Q488" s="2"/>
      <c r="R488" s="2"/>
      <c r="S488" s="2"/>
      <c r="T488" s="2"/>
      <c r="U488" s="2"/>
      <c r="V488" s="2"/>
      <c r="W488" s="2"/>
      <c r="X488" s="2"/>
      <c r="Y488" s="2"/>
      <c r="Z488" s="2"/>
      <c r="AA488" s="2"/>
      <c r="AB488" s="2"/>
      <c r="AC488" s="2"/>
    </row>
    <row r="489">
      <c r="A489" s="2"/>
      <c r="B489" s="2"/>
      <c r="C489" s="2"/>
      <c r="D489" s="2"/>
      <c r="E489" s="2"/>
      <c r="F489" s="2"/>
      <c r="G489" s="2"/>
      <c r="H489" s="2"/>
      <c r="I489" s="2"/>
      <c r="J489" s="2"/>
      <c r="K489" s="2"/>
      <c r="L489" s="2"/>
      <c r="M489" s="2"/>
      <c r="N489" s="2"/>
      <c r="O489" s="3"/>
      <c r="P489" s="3"/>
      <c r="Q489" s="2"/>
      <c r="R489" s="2"/>
      <c r="S489" s="2"/>
      <c r="T489" s="2"/>
      <c r="U489" s="2"/>
      <c r="V489" s="2"/>
      <c r="W489" s="2"/>
      <c r="X489" s="2"/>
      <c r="Y489" s="2"/>
      <c r="Z489" s="2"/>
      <c r="AA489" s="2"/>
      <c r="AB489" s="2"/>
      <c r="AC489" s="2"/>
    </row>
    <row r="490">
      <c r="A490" s="2"/>
      <c r="B490" s="2"/>
      <c r="C490" s="2"/>
      <c r="D490" s="2"/>
      <c r="E490" s="2"/>
      <c r="F490" s="2"/>
      <c r="G490" s="2"/>
      <c r="H490" s="2"/>
      <c r="I490" s="2"/>
      <c r="J490" s="2"/>
      <c r="K490" s="2"/>
      <c r="L490" s="2"/>
      <c r="M490" s="2"/>
      <c r="N490" s="2"/>
      <c r="O490" s="3"/>
      <c r="P490" s="3"/>
      <c r="Q490" s="2"/>
      <c r="R490" s="2"/>
      <c r="S490" s="2"/>
      <c r="T490" s="2"/>
      <c r="U490" s="2"/>
      <c r="V490" s="2"/>
      <c r="W490" s="2"/>
      <c r="X490" s="2"/>
      <c r="Y490" s="2"/>
      <c r="Z490" s="2"/>
      <c r="AA490" s="2"/>
      <c r="AB490" s="2"/>
      <c r="AC490" s="2"/>
    </row>
    <row r="491">
      <c r="A491" s="2"/>
      <c r="B491" s="2"/>
      <c r="C491" s="2"/>
      <c r="D491" s="2"/>
      <c r="E491" s="2"/>
      <c r="F491" s="2"/>
      <c r="G491" s="2"/>
      <c r="H491" s="2"/>
      <c r="I491" s="2"/>
      <c r="J491" s="2"/>
      <c r="K491" s="2"/>
      <c r="L491" s="2"/>
      <c r="M491" s="2"/>
      <c r="N491" s="2"/>
      <c r="O491" s="3"/>
      <c r="P491" s="3"/>
      <c r="Q491" s="2"/>
      <c r="R491" s="2"/>
      <c r="S491" s="2"/>
      <c r="T491" s="2"/>
      <c r="U491" s="2"/>
      <c r="V491" s="2"/>
      <c r="W491" s="2"/>
      <c r="X491" s="2"/>
      <c r="Y491" s="2"/>
      <c r="Z491" s="2"/>
      <c r="AA491" s="2"/>
      <c r="AB491" s="2"/>
      <c r="AC491" s="2"/>
    </row>
    <row r="492">
      <c r="A492" s="2"/>
      <c r="B492" s="2"/>
      <c r="C492" s="2"/>
      <c r="D492" s="2"/>
      <c r="E492" s="2"/>
      <c r="F492" s="2"/>
      <c r="G492" s="2"/>
      <c r="H492" s="2"/>
      <c r="I492" s="2"/>
      <c r="J492" s="2"/>
      <c r="K492" s="2"/>
      <c r="L492" s="2"/>
      <c r="M492" s="2"/>
      <c r="N492" s="2"/>
      <c r="O492" s="3"/>
      <c r="P492" s="3"/>
      <c r="Q492" s="2"/>
      <c r="R492" s="2"/>
      <c r="S492" s="2"/>
      <c r="T492" s="2"/>
      <c r="U492" s="2"/>
      <c r="V492" s="2"/>
      <c r="W492" s="2"/>
      <c r="X492" s="2"/>
      <c r="Y492" s="2"/>
      <c r="Z492" s="2"/>
      <c r="AA492" s="2"/>
      <c r="AB492" s="2"/>
      <c r="AC492" s="2"/>
    </row>
    <row r="493">
      <c r="A493" s="2"/>
      <c r="B493" s="2"/>
      <c r="C493" s="2"/>
      <c r="D493" s="2"/>
      <c r="E493" s="2"/>
      <c r="F493" s="2"/>
      <c r="G493" s="2"/>
      <c r="H493" s="2"/>
      <c r="I493" s="2"/>
      <c r="J493" s="2"/>
      <c r="K493" s="2"/>
      <c r="L493" s="2"/>
      <c r="M493" s="2"/>
      <c r="N493" s="2"/>
      <c r="O493" s="3"/>
      <c r="P493" s="3"/>
      <c r="Q493" s="2"/>
      <c r="R493" s="2"/>
      <c r="S493" s="2"/>
      <c r="T493" s="2"/>
      <c r="U493" s="2"/>
      <c r="V493" s="2"/>
      <c r="W493" s="2"/>
      <c r="X493" s="2"/>
      <c r="Y493" s="2"/>
      <c r="Z493" s="2"/>
      <c r="AA493" s="2"/>
      <c r="AB493" s="2"/>
      <c r="AC493" s="2"/>
    </row>
    <row r="494">
      <c r="A494" s="2"/>
      <c r="B494" s="2"/>
      <c r="C494" s="2"/>
      <c r="D494" s="2"/>
      <c r="E494" s="2"/>
      <c r="F494" s="2"/>
      <c r="G494" s="2"/>
      <c r="H494" s="2"/>
      <c r="I494" s="2"/>
      <c r="J494" s="2"/>
      <c r="K494" s="2"/>
      <c r="L494" s="2"/>
      <c r="M494" s="2"/>
      <c r="N494" s="2"/>
      <c r="O494" s="3"/>
      <c r="P494" s="3"/>
      <c r="Q494" s="2"/>
      <c r="R494" s="2"/>
      <c r="S494" s="2"/>
      <c r="T494" s="2"/>
      <c r="U494" s="2"/>
      <c r="V494" s="2"/>
      <c r="W494" s="2"/>
      <c r="X494" s="2"/>
      <c r="Y494" s="2"/>
      <c r="Z494" s="2"/>
      <c r="AA494" s="2"/>
      <c r="AB494" s="2"/>
      <c r="AC494" s="2"/>
    </row>
    <row r="495">
      <c r="A495" s="2"/>
      <c r="B495" s="2"/>
      <c r="C495" s="2"/>
      <c r="D495" s="2"/>
      <c r="E495" s="2"/>
      <c r="F495" s="2"/>
      <c r="G495" s="2"/>
      <c r="H495" s="2"/>
      <c r="I495" s="2"/>
      <c r="J495" s="2"/>
      <c r="K495" s="2"/>
      <c r="L495" s="2"/>
      <c r="M495" s="2"/>
      <c r="N495" s="2"/>
      <c r="O495" s="3"/>
      <c r="P495" s="3"/>
      <c r="Q495" s="2"/>
      <c r="R495" s="2"/>
      <c r="S495" s="2"/>
      <c r="T495" s="2"/>
      <c r="U495" s="2"/>
      <c r="V495" s="2"/>
      <c r="W495" s="2"/>
      <c r="X495" s="2"/>
      <c r="Y495" s="2"/>
      <c r="Z495" s="2"/>
      <c r="AA495" s="2"/>
      <c r="AB495" s="2"/>
      <c r="AC495" s="2"/>
    </row>
    <row r="496">
      <c r="A496" s="2"/>
      <c r="B496" s="2"/>
      <c r="C496" s="2"/>
      <c r="D496" s="2"/>
      <c r="E496" s="2"/>
      <c r="F496" s="2"/>
      <c r="G496" s="2"/>
      <c r="H496" s="2"/>
      <c r="I496" s="2"/>
      <c r="J496" s="2"/>
      <c r="K496" s="2"/>
      <c r="L496" s="2"/>
      <c r="M496" s="2"/>
      <c r="N496" s="2"/>
      <c r="O496" s="3"/>
      <c r="P496" s="3"/>
      <c r="Q496" s="2"/>
      <c r="R496" s="2"/>
      <c r="S496" s="2"/>
      <c r="T496" s="2"/>
      <c r="U496" s="2"/>
      <c r="V496" s="2"/>
      <c r="W496" s="2"/>
      <c r="X496" s="2"/>
      <c r="Y496" s="2"/>
      <c r="Z496" s="2"/>
      <c r="AA496" s="2"/>
      <c r="AB496" s="2"/>
      <c r="AC496" s="2"/>
    </row>
    <row r="497">
      <c r="A497" s="2"/>
      <c r="B497" s="2"/>
      <c r="C497" s="2"/>
      <c r="D497" s="2"/>
      <c r="E497" s="2"/>
      <c r="F497" s="2"/>
      <c r="G497" s="2"/>
      <c r="H497" s="2"/>
      <c r="I497" s="2"/>
      <c r="J497" s="2"/>
      <c r="K497" s="2"/>
      <c r="L497" s="2"/>
      <c r="M497" s="2"/>
      <c r="N497" s="2"/>
      <c r="O497" s="3"/>
      <c r="P497" s="3"/>
      <c r="Q497" s="2"/>
      <c r="R497" s="2"/>
      <c r="S497" s="2"/>
      <c r="T497" s="2"/>
      <c r="U497" s="2"/>
      <c r="V497" s="2"/>
      <c r="W497" s="2"/>
      <c r="X497" s="2"/>
      <c r="Y497" s="2"/>
      <c r="Z497" s="2"/>
      <c r="AA497" s="2"/>
      <c r="AB497" s="2"/>
      <c r="AC497" s="2"/>
    </row>
    <row r="498">
      <c r="A498" s="2"/>
      <c r="B498" s="2"/>
      <c r="C498" s="2"/>
      <c r="D498" s="2"/>
      <c r="E498" s="2"/>
      <c r="F498" s="2"/>
      <c r="G498" s="2"/>
      <c r="H498" s="2"/>
      <c r="I498" s="2"/>
      <c r="J498" s="2"/>
      <c r="K498" s="2"/>
      <c r="L498" s="2"/>
      <c r="M498" s="2"/>
      <c r="N498" s="2"/>
      <c r="O498" s="3"/>
      <c r="P498" s="3"/>
      <c r="Q498" s="2"/>
      <c r="R498" s="2"/>
      <c r="S498" s="2"/>
      <c r="T498" s="2"/>
      <c r="U498" s="2"/>
      <c r="V498" s="2"/>
      <c r="W498" s="2"/>
      <c r="X498" s="2"/>
      <c r="Y498" s="2"/>
      <c r="Z498" s="2"/>
      <c r="AA498" s="2"/>
      <c r="AB498" s="2"/>
      <c r="AC498" s="2"/>
    </row>
    <row r="499">
      <c r="A499" s="2"/>
      <c r="B499" s="2"/>
      <c r="C499" s="2"/>
      <c r="D499" s="2"/>
      <c r="E499" s="2"/>
      <c r="F499" s="2"/>
      <c r="G499" s="2"/>
      <c r="H499" s="2"/>
      <c r="I499" s="2"/>
      <c r="J499" s="2"/>
      <c r="K499" s="2"/>
      <c r="L499" s="2"/>
      <c r="M499" s="2"/>
      <c r="N499" s="2"/>
      <c r="O499" s="3"/>
      <c r="P499" s="3"/>
      <c r="Q499" s="2"/>
      <c r="R499" s="2"/>
      <c r="S499" s="2"/>
      <c r="T499" s="2"/>
      <c r="U499" s="2"/>
      <c r="V499" s="2"/>
      <c r="W499" s="2"/>
      <c r="X499" s="2"/>
      <c r="Y499" s="2"/>
      <c r="Z499" s="2"/>
      <c r="AA499" s="2"/>
      <c r="AB499" s="2"/>
      <c r="AC499" s="2"/>
    </row>
    <row r="500">
      <c r="A500" s="2"/>
      <c r="B500" s="2"/>
      <c r="C500" s="2"/>
      <c r="D500" s="2"/>
      <c r="E500" s="2"/>
      <c r="F500" s="2"/>
      <c r="G500" s="2"/>
      <c r="H500" s="2"/>
      <c r="I500" s="2"/>
      <c r="J500" s="2"/>
      <c r="K500" s="2"/>
      <c r="L500" s="2"/>
      <c r="M500" s="2"/>
      <c r="N500" s="2"/>
      <c r="O500" s="3"/>
      <c r="P500" s="3"/>
      <c r="Q500" s="2"/>
      <c r="R500" s="2"/>
      <c r="S500" s="2"/>
      <c r="T500" s="2"/>
      <c r="U500" s="2"/>
      <c r="V500" s="2"/>
      <c r="W500" s="2"/>
      <c r="X500" s="2"/>
      <c r="Y500" s="2"/>
      <c r="Z500" s="2"/>
      <c r="AA500" s="2"/>
      <c r="AB500" s="2"/>
      <c r="AC500" s="2"/>
    </row>
    <row r="501">
      <c r="A501" s="2"/>
      <c r="B501" s="2"/>
      <c r="C501" s="2"/>
      <c r="D501" s="2"/>
      <c r="E501" s="2"/>
      <c r="F501" s="2"/>
      <c r="G501" s="2"/>
      <c r="H501" s="2"/>
      <c r="I501" s="2"/>
      <c r="J501" s="2"/>
      <c r="K501" s="2"/>
      <c r="L501" s="2"/>
      <c r="M501" s="2"/>
      <c r="N501" s="2"/>
      <c r="O501" s="3"/>
      <c r="P501" s="3"/>
      <c r="Q501" s="2"/>
      <c r="R501" s="2"/>
      <c r="S501" s="2"/>
      <c r="T501" s="2"/>
      <c r="U501" s="2"/>
      <c r="V501" s="2"/>
      <c r="W501" s="2"/>
      <c r="X501" s="2"/>
      <c r="Y501" s="2"/>
      <c r="Z501" s="2"/>
      <c r="AA501" s="2"/>
      <c r="AB501" s="2"/>
      <c r="AC501" s="2"/>
    </row>
    <row r="502">
      <c r="A502" s="2"/>
      <c r="B502" s="2"/>
      <c r="C502" s="2"/>
      <c r="D502" s="2"/>
      <c r="E502" s="2"/>
      <c r="F502" s="2"/>
      <c r="G502" s="2"/>
      <c r="H502" s="2"/>
      <c r="I502" s="2"/>
      <c r="J502" s="2"/>
      <c r="K502" s="2"/>
      <c r="L502" s="2"/>
      <c r="M502" s="2"/>
      <c r="N502" s="2"/>
      <c r="O502" s="3"/>
      <c r="P502" s="3"/>
      <c r="Q502" s="2"/>
      <c r="R502" s="2"/>
      <c r="S502" s="2"/>
      <c r="T502" s="2"/>
      <c r="U502" s="2"/>
      <c r="V502" s="2"/>
      <c r="W502" s="2"/>
      <c r="X502" s="2"/>
      <c r="Y502" s="2"/>
      <c r="Z502" s="2"/>
      <c r="AA502" s="2"/>
      <c r="AB502" s="2"/>
      <c r="AC502" s="2"/>
    </row>
    <row r="503">
      <c r="A503" s="2"/>
      <c r="B503" s="2"/>
      <c r="C503" s="2"/>
      <c r="D503" s="2"/>
      <c r="E503" s="2"/>
      <c r="F503" s="2"/>
      <c r="G503" s="2"/>
      <c r="H503" s="2"/>
      <c r="I503" s="2"/>
      <c r="J503" s="2"/>
      <c r="K503" s="2"/>
      <c r="L503" s="2"/>
      <c r="M503" s="2"/>
      <c r="N503" s="2"/>
      <c r="O503" s="3"/>
      <c r="P503" s="3"/>
      <c r="Q503" s="2"/>
      <c r="R503" s="2"/>
      <c r="S503" s="2"/>
      <c r="T503" s="2"/>
      <c r="U503" s="2"/>
      <c r="V503" s="2"/>
      <c r="W503" s="2"/>
      <c r="X503" s="2"/>
      <c r="Y503" s="2"/>
      <c r="Z503" s="2"/>
      <c r="AA503" s="2"/>
      <c r="AB503" s="2"/>
      <c r="AC503" s="2"/>
    </row>
    <row r="504">
      <c r="A504" s="2"/>
      <c r="B504" s="2"/>
      <c r="C504" s="2"/>
      <c r="D504" s="2"/>
      <c r="E504" s="2"/>
      <c r="F504" s="2"/>
      <c r="G504" s="2"/>
      <c r="H504" s="2"/>
      <c r="I504" s="2"/>
      <c r="J504" s="2"/>
      <c r="K504" s="2"/>
      <c r="L504" s="2"/>
      <c r="M504" s="2"/>
      <c r="N504" s="2"/>
      <c r="O504" s="3"/>
      <c r="P504" s="3"/>
      <c r="Q504" s="2"/>
      <c r="R504" s="2"/>
      <c r="S504" s="2"/>
      <c r="T504" s="2"/>
      <c r="U504" s="2"/>
      <c r="V504" s="2"/>
      <c r="W504" s="2"/>
      <c r="X504" s="2"/>
      <c r="Y504" s="2"/>
      <c r="Z504" s="2"/>
      <c r="AA504" s="2"/>
      <c r="AB504" s="2"/>
      <c r="AC504" s="2"/>
    </row>
    <row r="505">
      <c r="A505" s="2"/>
      <c r="B505" s="2"/>
      <c r="C505" s="2"/>
      <c r="D505" s="2"/>
      <c r="E505" s="2"/>
      <c r="F505" s="2"/>
      <c r="G505" s="2"/>
      <c r="H505" s="2"/>
      <c r="I505" s="2"/>
      <c r="J505" s="2"/>
      <c r="K505" s="2"/>
      <c r="L505" s="2"/>
      <c r="M505" s="2"/>
      <c r="N505" s="2"/>
      <c r="O505" s="3"/>
      <c r="P505" s="3"/>
      <c r="Q505" s="2"/>
      <c r="R505" s="2"/>
      <c r="S505" s="2"/>
      <c r="T505" s="2"/>
      <c r="U505" s="2"/>
      <c r="V505" s="2"/>
      <c r="W505" s="2"/>
      <c r="X505" s="2"/>
      <c r="Y505" s="2"/>
      <c r="Z505" s="2"/>
      <c r="AA505" s="2"/>
      <c r="AB505" s="2"/>
      <c r="AC505" s="2"/>
    </row>
    <row r="506">
      <c r="A506" s="2"/>
      <c r="B506" s="2"/>
      <c r="C506" s="2"/>
      <c r="D506" s="2"/>
      <c r="E506" s="2"/>
      <c r="F506" s="2"/>
      <c r="G506" s="2"/>
      <c r="H506" s="2"/>
      <c r="I506" s="2"/>
      <c r="J506" s="2"/>
      <c r="K506" s="2"/>
      <c r="L506" s="2"/>
      <c r="M506" s="2"/>
      <c r="N506" s="2"/>
      <c r="O506" s="3"/>
      <c r="P506" s="3"/>
      <c r="Q506" s="2"/>
      <c r="R506" s="2"/>
      <c r="S506" s="2"/>
      <c r="T506" s="2"/>
      <c r="U506" s="2"/>
      <c r="V506" s="2"/>
      <c r="W506" s="2"/>
      <c r="X506" s="2"/>
      <c r="Y506" s="2"/>
      <c r="Z506" s="2"/>
      <c r="AA506" s="2"/>
      <c r="AB506" s="2"/>
      <c r="AC506" s="2"/>
    </row>
    <row r="507">
      <c r="A507" s="2"/>
      <c r="B507" s="2"/>
      <c r="C507" s="2"/>
      <c r="D507" s="2"/>
      <c r="E507" s="2"/>
      <c r="F507" s="2"/>
      <c r="G507" s="2"/>
      <c r="H507" s="2"/>
      <c r="I507" s="2"/>
      <c r="J507" s="2"/>
      <c r="K507" s="2"/>
      <c r="L507" s="2"/>
      <c r="M507" s="2"/>
      <c r="N507" s="2"/>
      <c r="O507" s="3"/>
      <c r="P507" s="3"/>
      <c r="Q507" s="2"/>
      <c r="R507" s="2"/>
      <c r="S507" s="2"/>
      <c r="T507" s="2"/>
      <c r="U507" s="2"/>
      <c r="V507" s="2"/>
      <c r="W507" s="2"/>
      <c r="X507" s="2"/>
      <c r="Y507" s="2"/>
      <c r="Z507" s="2"/>
      <c r="AA507" s="2"/>
      <c r="AB507" s="2"/>
      <c r="AC507" s="2"/>
    </row>
    <row r="508">
      <c r="A508" s="2"/>
      <c r="B508" s="2"/>
      <c r="C508" s="2"/>
      <c r="D508" s="2"/>
      <c r="E508" s="2"/>
      <c r="F508" s="2"/>
      <c r="G508" s="2"/>
      <c r="H508" s="2"/>
      <c r="I508" s="2"/>
      <c r="J508" s="2"/>
      <c r="K508" s="2"/>
      <c r="L508" s="2"/>
      <c r="M508" s="2"/>
      <c r="N508" s="2"/>
      <c r="O508" s="3"/>
      <c r="P508" s="3"/>
      <c r="Q508" s="2"/>
      <c r="R508" s="2"/>
      <c r="S508" s="2"/>
      <c r="T508" s="2"/>
      <c r="U508" s="2"/>
      <c r="V508" s="2"/>
      <c r="W508" s="2"/>
      <c r="X508" s="2"/>
      <c r="Y508" s="2"/>
      <c r="Z508" s="2"/>
      <c r="AA508" s="2"/>
      <c r="AB508" s="2"/>
      <c r="AC508" s="2"/>
    </row>
    <row r="509">
      <c r="A509" s="2"/>
      <c r="B509" s="2"/>
      <c r="C509" s="2"/>
      <c r="D509" s="2"/>
      <c r="E509" s="2"/>
      <c r="F509" s="2"/>
      <c r="G509" s="2"/>
      <c r="H509" s="2"/>
      <c r="I509" s="2"/>
      <c r="J509" s="2"/>
      <c r="K509" s="2"/>
      <c r="L509" s="2"/>
      <c r="M509" s="2"/>
      <c r="N509" s="2"/>
      <c r="O509" s="3"/>
      <c r="P509" s="3"/>
      <c r="Q509" s="2"/>
      <c r="R509" s="2"/>
      <c r="S509" s="2"/>
      <c r="T509" s="2"/>
      <c r="U509" s="2"/>
      <c r="V509" s="2"/>
      <c r="W509" s="2"/>
      <c r="X509" s="2"/>
      <c r="Y509" s="2"/>
      <c r="Z509" s="2"/>
      <c r="AA509" s="2"/>
      <c r="AB509" s="2"/>
      <c r="AC509" s="2"/>
    </row>
    <row r="510">
      <c r="A510" s="2"/>
      <c r="B510" s="2"/>
      <c r="C510" s="2"/>
      <c r="D510" s="2"/>
      <c r="E510" s="2"/>
      <c r="F510" s="2"/>
      <c r="G510" s="2"/>
      <c r="H510" s="2"/>
      <c r="I510" s="2"/>
      <c r="J510" s="2"/>
      <c r="K510" s="2"/>
      <c r="L510" s="2"/>
      <c r="M510" s="2"/>
      <c r="N510" s="2"/>
      <c r="O510" s="3"/>
      <c r="P510" s="3"/>
      <c r="Q510" s="2"/>
      <c r="R510" s="2"/>
      <c r="S510" s="2"/>
      <c r="T510" s="2"/>
      <c r="U510" s="2"/>
      <c r="V510" s="2"/>
      <c r="W510" s="2"/>
      <c r="X510" s="2"/>
      <c r="Y510" s="2"/>
      <c r="Z510" s="2"/>
      <c r="AA510" s="2"/>
      <c r="AB510" s="2"/>
      <c r="AC510" s="2"/>
    </row>
    <row r="511">
      <c r="A511" s="2"/>
      <c r="B511" s="2"/>
      <c r="C511" s="2"/>
      <c r="D511" s="2"/>
      <c r="E511" s="2"/>
      <c r="F511" s="2"/>
      <c r="G511" s="2"/>
      <c r="H511" s="2"/>
      <c r="I511" s="2"/>
      <c r="J511" s="2"/>
      <c r="K511" s="2"/>
      <c r="L511" s="2"/>
      <c r="M511" s="2"/>
      <c r="N511" s="2"/>
      <c r="O511" s="3"/>
      <c r="P511" s="3"/>
      <c r="Q511" s="2"/>
      <c r="R511" s="2"/>
      <c r="S511" s="2"/>
      <c r="T511" s="2"/>
      <c r="U511" s="2"/>
      <c r="V511" s="2"/>
      <c r="W511" s="2"/>
      <c r="X511" s="2"/>
      <c r="Y511" s="2"/>
      <c r="Z511" s="2"/>
      <c r="AA511" s="2"/>
      <c r="AB511" s="2"/>
      <c r="AC511" s="2"/>
    </row>
    <row r="512">
      <c r="A512" s="2"/>
      <c r="B512" s="2"/>
      <c r="C512" s="2"/>
      <c r="D512" s="2"/>
      <c r="E512" s="2"/>
      <c r="F512" s="2"/>
      <c r="G512" s="2"/>
      <c r="H512" s="2"/>
      <c r="I512" s="2"/>
      <c r="J512" s="2"/>
      <c r="K512" s="2"/>
      <c r="L512" s="2"/>
      <c r="M512" s="2"/>
      <c r="N512" s="2"/>
      <c r="O512" s="3"/>
      <c r="P512" s="3"/>
      <c r="Q512" s="2"/>
      <c r="R512" s="2"/>
      <c r="S512" s="2"/>
      <c r="T512" s="2"/>
      <c r="U512" s="2"/>
      <c r="V512" s="2"/>
      <c r="W512" s="2"/>
      <c r="X512" s="2"/>
      <c r="Y512" s="2"/>
      <c r="Z512" s="2"/>
      <c r="AA512" s="2"/>
      <c r="AB512" s="2"/>
      <c r="AC512" s="2"/>
    </row>
    <row r="513">
      <c r="A513" s="2"/>
      <c r="B513" s="2"/>
      <c r="C513" s="2"/>
      <c r="D513" s="2"/>
      <c r="E513" s="2"/>
      <c r="F513" s="2"/>
      <c r="G513" s="2"/>
      <c r="H513" s="2"/>
      <c r="I513" s="2"/>
      <c r="J513" s="2"/>
      <c r="K513" s="2"/>
      <c r="L513" s="2"/>
      <c r="M513" s="2"/>
      <c r="N513" s="2"/>
      <c r="O513" s="3"/>
      <c r="P513" s="3"/>
      <c r="Q513" s="2"/>
      <c r="R513" s="2"/>
      <c r="S513" s="2"/>
      <c r="T513" s="2"/>
      <c r="U513" s="2"/>
      <c r="V513" s="2"/>
      <c r="W513" s="2"/>
      <c r="X513" s="2"/>
      <c r="Y513" s="2"/>
      <c r="Z513" s="2"/>
      <c r="AA513" s="2"/>
      <c r="AB513" s="2"/>
      <c r="AC513" s="2"/>
    </row>
    <row r="514">
      <c r="A514" s="2"/>
      <c r="B514" s="2"/>
      <c r="C514" s="2"/>
      <c r="D514" s="2"/>
      <c r="E514" s="2"/>
      <c r="F514" s="2"/>
      <c r="G514" s="2"/>
      <c r="H514" s="2"/>
      <c r="I514" s="2"/>
      <c r="J514" s="2"/>
      <c r="K514" s="2"/>
      <c r="L514" s="2"/>
      <c r="M514" s="2"/>
      <c r="N514" s="2"/>
      <c r="O514" s="3"/>
      <c r="P514" s="3"/>
      <c r="Q514" s="2"/>
      <c r="R514" s="2"/>
      <c r="S514" s="2"/>
      <c r="T514" s="2"/>
      <c r="U514" s="2"/>
      <c r="V514" s="2"/>
      <c r="W514" s="2"/>
      <c r="X514" s="2"/>
      <c r="Y514" s="2"/>
      <c r="Z514" s="2"/>
      <c r="AA514" s="2"/>
      <c r="AB514" s="2"/>
      <c r="AC514" s="2"/>
    </row>
    <row r="515">
      <c r="A515" s="2"/>
      <c r="B515" s="2"/>
      <c r="C515" s="2"/>
      <c r="D515" s="2"/>
      <c r="E515" s="2"/>
      <c r="F515" s="2"/>
      <c r="G515" s="2"/>
      <c r="H515" s="2"/>
      <c r="I515" s="2"/>
      <c r="J515" s="2"/>
      <c r="K515" s="2"/>
      <c r="L515" s="2"/>
      <c r="M515" s="2"/>
      <c r="N515" s="2"/>
      <c r="O515" s="3"/>
      <c r="P515" s="3"/>
      <c r="Q515" s="2"/>
      <c r="R515" s="2"/>
      <c r="S515" s="2"/>
      <c r="T515" s="2"/>
      <c r="U515" s="2"/>
      <c r="V515" s="2"/>
      <c r="W515" s="2"/>
      <c r="X515" s="2"/>
      <c r="Y515" s="2"/>
      <c r="Z515" s="2"/>
      <c r="AA515" s="2"/>
      <c r="AB515" s="2"/>
      <c r="AC515" s="2"/>
    </row>
    <row r="516">
      <c r="A516" s="2"/>
      <c r="B516" s="2"/>
      <c r="C516" s="2"/>
      <c r="D516" s="2"/>
      <c r="E516" s="2"/>
      <c r="F516" s="2"/>
      <c r="G516" s="2"/>
      <c r="H516" s="2"/>
      <c r="I516" s="2"/>
      <c r="J516" s="2"/>
      <c r="K516" s="2"/>
      <c r="L516" s="2"/>
      <c r="M516" s="2"/>
      <c r="N516" s="2"/>
      <c r="O516" s="3"/>
      <c r="P516" s="3"/>
      <c r="Q516" s="2"/>
      <c r="R516" s="2"/>
      <c r="S516" s="2"/>
      <c r="T516" s="2"/>
      <c r="U516" s="2"/>
      <c r="V516" s="2"/>
      <c r="W516" s="2"/>
      <c r="X516" s="2"/>
      <c r="Y516" s="2"/>
      <c r="Z516" s="2"/>
      <c r="AA516" s="2"/>
      <c r="AB516" s="2"/>
      <c r="AC516" s="2"/>
    </row>
    <row r="517">
      <c r="A517" s="2"/>
      <c r="B517" s="2"/>
      <c r="C517" s="2"/>
      <c r="D517" s="2"/>
      <c r="E517" s="2"/>
      <c r="F517" s="2"/>
      <c r="G517" s="2"/>
      <c r="H517" s="2"/>
      <c r="I517" s="2"/>
      <c r="J517" s="2"/>
      <c r="K517" s="2"/>
      <c r="L517" s="2"/>
      <c r="M517" s="2"/>
      <c r="N517" s="2"/>
      <c r="O517" s="3"/>
      <c r="P517" s="3"/>
      <c r="Q517" s="2"/>
      <c r="R517" s="2"/>
      <c r="S517" s="2"/>
      <c r="T517" s="2"/>
      <c r="U517" s="2"/>
      <c r="V517" s="2"/>
      <c r="W517" s="2"/>
      <c r="X517" s="2"/>
      <c r="Y517" s="2"/>
      <c r="Z517" s="2"/>
      <c r="AA517" s="2"/>
      <c r="AB517" s="2"/>
      <c r="AC517" s="2"/>
    </row>
    <row r="518">
      <c r="A518" s="2"/>
      <c r="B518" s="2"/>
      <c r="C518" s="2"/>
      <c r="D518" s="2"/>
      <c r="E518" s="2"/>
      <c r="F518" s="2"/>
      <c r="G518" s="2"/>
      <c r="H518" s="2"/>
      <c r="I518" s="2"/>
      <c r="J518" s="2"/>
      <c r="K518" s="2"/>
      <c r="L518" s="2"/>
      <c r="M518" s="2"/>
      <c r="N518" s="2"/>
      <c r="O518" s="3"/>
      <c r="P518" s="3"/>
      <c r="Q518" s="2"/>
      <c r="R518" s="2"/>
      <c r="S518" s="2"/>
      <c r="T518" s="2"/>
      <c r="U518" s="2"/>
      <c r="V518" s="2"/>
      <c r="W518" s="2"/>
      <c r="X518" s="2"/>
      <c r="Y518" s="2"/>
      <c r="Z518" s="2"/>
      <c r="AA518" s="2"/>
      <c r="AB518" s="2"/>
      <c r="AC518" s="2"/>
    </row>
    <row r="519">
      <c r="A519" s="2"/>
      <c r="B519" s="2"/>
      <c r="C519" s="2"/>
      <c r="D519" s="2"/>
      <c r="E519" s="2"/>
      <c r="F519" s="2"/>
      <c r="G519" s="2"/>
      <c r="H519" s="2"/>
      <c r="I519" s="2"/>
      <c r="J519" s="2"/>
      <c r="K519" s="2"/>
      <c r="L519" s="2"/>
      <c r="M519" s="2"/>
      <c r="N519" s="2"/>
      <c r="O519" s="3"/>
      <c r="P519" s="3"/>
      <c r="Q519" s="2"/>
      <c r="R519" s="2"/>
      <c r="S519" s="2"/>
      <c r="T519" s="2"/>
      <c r="U519" s="2"/>
      <c r="V519" s="2"/>
      <c r="W519" s="2"/>
      <c r="X519" s="2"/>
      <c r="Y519" s="2"/>
      <c r="Z519" s="2"/>
      <c r="AA519" s="2"/>
      <c r="AB519" s="2"/>
      <c r="AC519" s="2"/>
    </row>
    <row r="520">
      <c r="A520" s="2"/>
      <c r="B520" s="2"/>
      <c r="C520" s="2"/>
      <c r="D520" s="2"/>
      <c r="E520" s="2"/>
      <c r="F520" s="2"/>
      <c r="G520" s="2"/>
      <c r="H520" s="2"/>
      <c r="I520" s="2"/>
      <c r="J520" s="2"/>
      <c r="K520" s="2"/>
      <c r="L520" s="2"/>
      <c r="M520" s="2"/>
      <c r="N520" s="2"/>
      <c r="O520" s="3"/>
      <c r="P520" s="3"/>
      <c r="Q520" s="2"/>
      <c r="R520" s="2"/>
      <c r="S520" s="2"/>
      <c r="T520" s="2"/>
      <c r="U520" s="2"/>
      <c r="V520" s="2"/>
      <c r="W520" s="2"/>
      <c r="X520" s="2"/>
      <c r="Y520" s="2"/>
      <c r="Z520" s="2"/>
      <c r="AA520" s="2"/>
      <c r="AB520" s="2"/>
      <c r="AC520" s="2"/>
    </row>
    <row r="521">
      <c r="A521" s="2"/>
      <c r="B521" s="2"/>
      <c r="C521" s="2"/>
      <c r="D521" s="2"/>
      <c r="E521" s="2"/>
      <c r="F521" s="2"/>
      <c r="G521" s="2"/>
      <c r="H521" s="2"/>
      <c r="I521" s="2"/>
      <c r="J521" s="2"/>
      <c r="K521" s="2"/>
      <c r="L521" s="2"/>
      <c r="M521" s="2"/>
      <c r="N521" s="2"/>
      <c r="O521" s="3"/>
      <c r="P521" s="3"/>
      <c r="Q521" s="2"/>
      <c r="R521" s="2"/>
      <c r="S521" s="2"/>
      <c r="T521" s="2"/>
      <c r="U521" s="2"/>
      <c r="V521" s="2"/>
      <c r="W521" s="2"/>
      <c r="X521" s="2"/>
      <c r="Y521" s="2"/>
      <c r="Z521" s="2"/>
      <c r="AA521" s="2"/>
      <c r="AB521" s="2"/>
      <c r="AC521" s="2"/>
    </row>
    <row r="522">
      <c r="A522" s="2"/>
      <c r="B522" s="2"/>
      <c r="C522" s="2"/>
      <c r="D522" s="2"/>
      <c r="E522" s="2"/>
      <c r="F522" s="2"/>
      <c r="G522" s="2"/>
      <c r="H522" s="2"/>
      <c r="I522" s="2"/>
      <c r="J522" s="2"/>
      <c r="K522" s="2"/>
      <c r="L522" s="2"/>
      <c r="M522" s="2"/>
      <c r="N522" s="2"/>
      <c r="O522" s="3"/>
      <c r="P522" s="3"/>
      <c r="Q522" s="2"/>
      <c r="R522" s="2"/>
      <c r="S522" s="2"/>
      <c r="T522" s="2"/>
      <c r="U522" s="2"/>
      <c r="V522" s="2"/>
      <c r="W522" s="2"/>
      <c r="X522" s="2"/>
      <c r="Y522" s="2"/>
      <c r="Z522" s="2"/>
      <c r="AA522" s="2"/>
      <c r="AB522" s="2"/>
      <c r="AC522" s="2"/>
    </row>
    <row r="523">
      <c r="A523" s="2"/>
      <c r="B523" s="2"/>
      <c r="C523" s="2"/>
      <c r="D523" s="2"/>
      <c r="E523" s="2"/>
      <c r="F523" s="2"/>
      <c r="G523" s="2"/>
      <c r="H523" s="2"/>
      <c r="I523" s="2"/>
      <c r="J523" s="2"/>
      <c r="K523" s="2"/>
      <c r="L523" s="2"/>
      <c r="M523" s="2"/>
      <c r="N523" s="2"/>
      <c r="O523" s="3"/>
      <c r="P523" s="3"/>
      <c r="Q523" s="2"/>
      <c r="R523" s="2"/>
      <c r="S523" s="2"/>
      <c r="T523" s="2"/>
      <c r="U523" s="2"/>
      <c r="V523" s="2"/>
      <c r="W523" s="2"/>
      <c r="X523" s="2"/>
      <c r="Y523" s="2"/>
      <c r="Z523" s="2"/>
      <c r="AA523" s="2"/>
      <c r="AB523" s="2"/>
      <c r="AC523" s="2"/>
    </row>
    <row r="524">
      <c r="A524" s="2"/>
      <c r="B524" s="2"/>
      <c r="C524" s="2"/>
      <c r="D524" s="2"/>
      <c r="E524" s="2"/>
      <c r="F524" s="2"/>
      <c r="G524" s="2"/>
      <c r="H524" s="2"/>
      <c r="I524" s="2"/>
      <c r="J524" s="2"/>
      <c r="K524" s="2"/>
      <c r="L524" s="2"/>
      <c r="M524" s="2"/>
      <c r="N524" s="2"/>
      <c r="O524" s="3"/>
      <c r="P524" s="3"/>
      <c r="Q524" s="2"/>
      <c r="R524" s="2"/>
      <c r="S524" s="2"/>
      <c r="T524" s="2"/>
      <c r="U524" s="2"/>
      <c r="V524" s="2"/>
      <c r="W524" s="2"/>
      <c r="X524" s="2"/>
      <c r="Y524" s="2"/>
      <c r="Z524" s="2"/>
      <c r="AA524" s="2"/>
      <c r="AB524" s="2"/>
      <c r="AC524" s="2"/>
    </row>
    <row r="525">
      <c r="A525" s="2"/>
      <c r="B525" s="2"/>
      <c r="C525" s="2"/>
      <c r="D525" s="2"/>
      <c r="E525" s="2"/>
      <c r="F525" s="2"/>
      <c r="G525" s="2"/>
      <c r="H525" s="2"/>
      <c r="I525" s="2"/>
      <c r="J525" s="2"/>
      <c r="K525" s="2"/>
      <c r="L525" s="2"/>
      <c r="M525" s="2"/>
      <c r="N525" s="2"/>
      <c r="O525" s="3"/>
      <c r="P525" s="3"/>
      <c r="Q525" s="2"/>
      <c r="R525" s="2"/>
      <c r="S525" s="2"/>
      <c r="T525" s="2"/>
      <c r="U525" s="2"/>
      <c r="V525" s="2"/>
      <c r="W525" s="2"/>
      <c r="X525" s="2"/>
      <c r="Y525" s="2"/>
      <c r="Z525" s="2"/>
      <c r="AA525" s="2"/>
      <c r="AB525" s="2"/>
      <c r="AC525" s="2"/>
    </row>
    <row r="526">
      <c r="A526" s="2"/>
      <c r="B526" s="2"/>
      <c r="C526" s="2"/>
      <c r="D526" s="2"/>
      <c r="E526" s="2"/>
      <c r="F526" s="2"/>
      <c r="G526" s="2"/>
      <c r="H526" s="2"/>
      <c r="I526" s="2"/>
      <c r="J526" s="2"/>
      <c r="K526" s="2"/>
      <c r="L526" s="2"/>
      <c r="M526" s="2"/>
      <c r="N526" s="2"/>
      <c r="O526" s="3"/>
      <c r="P526" s="3"/>
      <c r="Q526" s="2"/>
      <c r="R526" s="2"/>
      <c r="S526" s="2"/>
      <c r="T526" s="2"/>
      <c r="U526" s="2"/>
      <c r="V526" s="2"/>
      <c r="W526" s="2"/>
      <c r="X526" s="2"/>
      <c r="Y526" s="2"/>
      <c r="Z526" s="2"/>
      <c r="AA526" s="2"/>
      <c r="AB526" s="2"/>
      <c r="AC526" s="2"/>
    </row>
    <row r="527">
      <c r="A527" s="2"/>
      <c r="B527" s="2"/>
      <c r="C527" s="2"/>
      <c r="D527" s="2"/>
      <c r="E527" s="2"/>
      <c r="F527" s="2"/>
      <c r="G527" s="2"/>
      <c r="H527" s="2"/>
      <c r="I527" s="2"/>
      <c r="J527" s="2"/>
      <c r="K527" s="2"/>
      <c r="L527" s="2"/>
      <c r="M527" s="2"/>
      <c r="N527" s="2"/>
      <c r="O527" s="3"/>
      <c r="P527" s="3"/>
      <c r="Q527" s="2"/>
      <c r="R527" s="2"/>
      <c r="S527" s="2"/>
      <c r="T527" s="2"/>
      <c r="U527" s="2"/>
      <c r="V527" s="2"/>
      <c r="W527" s="2"/>
      <c r="X527" s="2"/>
      <c r="Y527" s="2"/>
      <c r="Z527" s="2"/>
      <c r="AA527" s="2"/>
      <c r="AB527" s="2"/>
      <c r="AC527" s="2"/>
    </row>
    <row r="528">
      <c r="A528" s="2"/>
      <c r="B528" s="2"/>
      <c r="C528" s="2"/>
      <c r="D528" s="2"/>
      <c r="E528" s="2"/>
      <c r="F528" s="2"/>
      <c r="G528" s="2"/>
      <c r="H528" s="2"/>
      <c r="I528" s="2"/>
      <c r="J528" s="2"/>
      <c r="K528" s="2"/>
      <c r="L528" s="2"/>
      <c r="M528" s="2"/>
      <c r="N528" s="2"/>
      <c r="O528" s="3"/>
      <c r="P528" s="3"/>
      <c r="Q528" s="2"/>
      <c r="R528" s="2"/>
      <c r="S528" s="2"/>
      <c r="T528" s="2"/>
      <c r="U528" s="2"/>
      <c r="V528" s="2"/>
      <c r="W528" s="2"/>
      <c r="X528" s="2"/>
      <c r="Y528" s="2"/>
      <c r="Z528" s="2"/>
      <c r="AA528" s="2"/>
      <c r="AB528" s="2"/>
      <c r="AC528" s="2"/>
    </row>
    <row r="529">
      <c r="A529" s="2"/>
      <c r="B529" s="2"/>
      <c r="C529" s="2"/>
      <c r="D529" s="2"/>
      <c r="E529" s="2"/>
      <c r="F529" s="2"/>
      <c r="G529" s="2"/>
      <c r="H529" s="2"/>
      <c r="I529" s="2"/>
      <c r="J529" s="2"/>
      <c r="K529" s="2"/>
      <c r="L529" s="2"/>
      <c r="M529" s="2"/>
      <c r="N529" s="2"/>
      <c r="O529" s="3"/>
      <c r="P529" s="3"/>
      <c r="Q529" s="2"/>
      <c r="R529" s="2"/>
      <c r="S529" s="2"/>
      <c r="T529" s="2"/>
      <c r="U529" s="2"/>
      <c r="V529" s="2"/>
      <c r="W529" s="2"/>
      <c r="X529" s="2"/>
      <c r="Y529" s="2"/>
      <c r="Z529" s="2"/>
      <c r="AA529" s="2"/>
      <c r="AB529" s="2"/>
      <c r="AC529" s="2"/>
    </row>
    <row r="530">
      <c r="A530" s="2"/>
      <c r="B530" s="2"/>
      <c r="C530" s="2"/>
      <c r="D530" s="2"/>
      <c r="E530" s="2"/>
      <c r="F530" s="2"/>
      <c r="G530" s="2"/>
      <c r="H530" s="2"/>
      <c r="I530" s="2"/>
      <c r="J530" s="2"/>
      <c r="K530" s="2"/>
      <c r="L530" s="2"/>
      <c r="M530" s="2"/>
      <c r="N530" s="2"/>
      <c r="O530" s="3"/>
      <c r="P530" s="3"/>
      <c r="Q530" s="2"/>
      <c r="R530" s="2"/>
      <c r="S530" s="2"/>
      <c r="T530" s="2"/>
      <c r="U530" s="2"/>
      <c r="V530" s="2"/>
      <c r="W530" s="2"/>
      <c r="X530" s="2"/>
      <c r="Y530" s="2"/>
      <c r="Z530" s="2"/>
      <c r="AA530" s="2"/>
      <c r="AB530" s="2"/>
      <c r="AC530" s="2"/>
    </row>
    <row r="531">
      <c r="A531" s="2"/>
      <c r="B531" s="2"/>
      <c r="C531" s="2"/>
      <c r="D531" s="2"/>
      <c r="E531" s="2"/>
      <c r="F531" s="2"/>
      <c r="G531" s="2"/>
      <c r="H531" s="2"/>
      <c r="I531" s="2"/>
      <c r="J531" s="2"/>
      <c r="K531" s="2"/>
      <c r="L531" s="2"/>
      <c r="M531" s="2"/>
      <c r="N531" s="2"/>
      <c r="O531" s="3"/>
      <c r="P531" s="3"/>
      <c r="Q531" s="2"/>
      <c r="R531" s="2"/>
      <c r="S531" s="2"/>
      <c r="T531" s="2"/>
      <c r="U531" s="2"/>
      <c r="V531" s="2"/>
      <c r="W531" s="2"/>
      <c r="X531" s="2"/>
      <c r="Y531" s="2"/>
      <c r="Z531" s="2"/>
      <c r="AA531" s="2"/>
      <c r="AB531" s="2"/>
      <c r="AC531" s="2"/>
    </row>
    <row r="532">
      <c r="A532" s="2"/>
      <c r="B532" s="2"/>
      <c r="C532" s="2"/>
      <c r="D532" s="2"/>
      <c r="E532" s="2"/>
      <c r="F532" s="2"/>
      <c r="G532" s="2"/>
      <c r="H532" s="2"/>
      <c r="I532" s="2"/>
      <c r="J532" s="2"/>
      <c r="K532" s="2"/>
      <c r="L532" s="2"/>
      <c r="M532" s="2"/>
      <c r="N532" s="2"/>
      <c r="O532" s="3"/>
      <c r="P532" s="3"/>
      <c r="Q532" s="2"/>
      <c r="R532" s="2"/>
      <c r="S532" s="2"/>
      <c r="T532" s="2"/>
      <c r="U532" s="2"/>
      <c r="V532" s="2"/>
      <c r="W532" s="2"/>
      <c r="X532" s="2"/>
      <c r="Y532" s="2"/>
      <c r="Z532" s="2"/>
      <c r="AA532" s="2"/>
      <c r="AB532" s="2"/>
      <c r="AC532" s="2"/>
    </row>
    <row r="533">
      <c r="A533" s="2"/>
      <c r="B533" s="2"/>
      <c r="C533" s="2"/>
      <c r="D533" s="2"/>
      <c r="E533" s="2"/>
      <c r="F533" s="2"/>
      <c r="G533" s="2"/>
      <c r="H533" s="2"/>
      <c r="I533" s="2"/>
      <c r="J533" s="2"/>
      <c r="K533" s="2"/>
      <c r="L533" s="2"/>
      <c r="M533" s="2"/>
      <c r="N533" s="2"/>
      <c r="O533" s="3"/>
      <c r="P533" s="3"/>
      <c r="Q533" s="2"/>
      <c r="R533" s="2"/>
      <c r="S533" s="2"/>
      <c r="T533" s="2"/>
      <c r="U533" s="2"/>
      <c r="V533" s="2"/>
      <c r="W533" s="2"/>
      <c r="X533" s="2"/>
      <c r="Y533" s="2"/>
      <c r="Z533" s="2"/>
      <c r="AA533" s="2"/>
      <c r="AB533" s="2"/>
      <c r="AC533" s="2"/>
    </row>
    <row r="534">
      <c r="A534" s="2"/>
      <c r="B534" s="2"/>
      <c r="C534" s="2"/>
      <c r="D534" s="2"/>
      <c r="E534" s="2"/>
      <c r="F534" s="2"/>
      <c r="G534" s="2"/>
      <c r="H534" s="2"/>
      <c r="I534" s="2"/>
      <c r="J534" s="2"/>
      <c r="K534" s="2"/>
      <c r="L534" s="2"/>
      <c r="M534" s="2"/>
      <c r="N534" s="2"/>
      <c r="O534" s="3"/>
      <c r="P534" s="3"/>
      <c r="Q534" s="2"/>
      <c r="R534" s="2"/>
      <c r="S534" s="2"/>
      <c r="T534" s="2"/>
      <c r="U534" s="2"/>
      <c r="V534" s="2"/>
      <c r="W534" s="2"/>
      <c r="X534" s="2"/>
      <c r="Y534" s="2"/>
      <c r="Z534" s="2"/>
      <c r="AA534" s="2"/>
      <c r="AB534" s="2"/>
      <c r="AC534" s="2"/>
    </row>
    <row r="535">
      <c r="A535" s="2"/>
      <c r="B535" s="2"/>
      <c r="C535" s="2"/>
      <c r="D535" s="2"/>
      <c r="E535" s="2"/>
      <c r="F535" s="2"/>
      <c r="G535" s="2"/>
      <c r="H535" s="2"/>
      <c r="I535" s="2"/>
      <c r="J535" s="2"/>
      <c r="K535" s="2"/>
      <c r="L535" s="2"/>
      <c r="M535" s="2"/>
      <c r="N535" s="2"/>
      <c r="O535" s="3"/>
      <c r="P535" s="3"/>
      <c r="Q535" s="2"/>
      <c r="R535" s="2"/>
      <c r="S535" s="2"/>
      <c r="T535" s="2"/>
      <c r="U535" s="2"/>
      <c r="V535" s="2"/>
      <c r="W535" s="2"/>
      <c r="X535" s="2"/>
      <c r="Y535" s="2"/>
      <c r="Z535" s="2"/>
      <c r="AA535" s="2"/>
      <c r="AB535" s="2"/>
      <c r="AC535" s="2"/>
    </row>
    <row r="536">
      <c r="A536" s="2"/>
      <c r="B536" s="2"/>
      <c r="C536" s="2"/>
      <c r="D536" s="2"/>
      <c r="E536" s="2"/>
      <c r="F536" s="2"/>
      <c r="G536" s="2"/>
      <c r="H536" s="2"/>
      <c r="I536" s="2"/>
      <c r="J536" s="2"/>
      <c r="K536" s="2"/>
      <c r="L536" s="2"/>
      <c r="M536" s="2"/>
      <c r="N536" s="2"/>
      <c r="O536" s="3"/>
      <c r="P536" s="3"/>
      <c r="Q536" s="2"/>
      <c r="R536" s="2"/>
      <c r="S536" s="2"/>
      <c r="T536" s="2"/>
      <c r="U536" s="2"/>
      <c r="V536" s="2"/>
      <c r="W536" s="2"/>
      <c r="X536" s="2"/>
      <c r="Y536" s="2"/>
      <c r="Z536" s="2"/>
      <c r="AA536" s="2"/>
      <c r="AB536" s="2"/>
      <c r="AC536" s="2"/>
    </row>
    <row r="537">
      <c r="A537" s="2"/>
      <c r="B537" s="2"/>
      <c r="C537" s="2"/>
      <c r="D537" s="2"/>
      <c r="E537" s="2"/>
      <c r="F537" s="2"/>
      <c r="G537" s="2"/>
      <c r="H537" s="2"/>
      <c r="I537" s="2"/>
      <c r="J537" s="2"/>
      <c r="K537" s="2"/>
      <c r="L537" s="2"/>
      <c r="M537" s="2"/>
      <c r="N537" s="2"/>
      <c r="O537" s="3"/>
      <c r="P537" s="3"/>
      <c r="Q537" s="2"/>
      <c r="R537" s="2"/>
      <c r="S537" s="2"/>
      <c r="T537" s="2"/>
      <c r="U537" s="2"/>
      <c r="V537" s="2"/>
      <c r="W537" s="2"/>
      <c r="X537" s="2"/>
      <c r="Y537" s="2"/>
      <c r="Z537" s="2"/>
      <c r="AA537" s="2"/>
      <c r="AB537" s="2"/>
      <c r="AC537" s="2"/>
    </row>
    <row r="538">
      <c r="A538" s="2"/>
      <c r="B538" s="2"/>
      <c r="C538" s="2"/>
      <c r="D538" s="2"/>
      <c r="E538" s="2"/>
      <c r="F538" s="2"/>
      <c r="G538" s="2"/>
      <c r="H538" s="2"/>
      <c r="I538" s="2"/>
      <c r="J538" s="2"/>
      <c r="K538" s="2"/>
      <c r="L538" s="2"/>
      <c r="M538" s="2"/>
      <c r="N538" s="2"/>
      <c r="O538" s="3"/>
      <c r="P538" s="3"/>
      <c r="Q538" s="2"/>
      <c r="R538" s="2"/>
      <c r="S538" s="2"/>
      <c r="T538" s="2"/>
      <c r="U538" s="2"/>
      <c r="V538" s="2"/>
      <c r="W538" s="2"/>
      <c r="X538" s="2"/>
      <c r="Y538" s="2"/>
      <c r="Z538" s="2"/>
      <c r="AA538" s="2"/>
      <c r="AB538" s="2"/>
      <c r="AC538" s="2"/>
    </row>
    <row r="539">
      <c r="A539" s="2"/>
      <c r="B539" s="2"/>
      <c r="C539" s="2"/>
      <c r="D539" s="2"/>
      <c r="E539" s="2"/>
      <c r="F539" s="2"/>
      <c r="G539" s="2"/>
      <c r="H539" s="2"/>
      <c r="I539" s="2"/>
      <c r="J539" s="2"/>
      <c r="K539" s="2"/>
      <c r="L539" s="2"/>
      <c r="M539" s="2"/>
      <c r="N539" s="2"/>
      <c r="O539" s="3"/>
      <c r="P539" s="3"/>
      <c r="Q539" s="2"/>
      <c r="R539" s="2"/>
      <c r="S539" s="2"/>
      <c r="T539" s="2"/>
      <c r="U539" s="2"/>
      <c r="V539" s="2"/>
      <c r="W539" s="2"/>
      <c r="X539" s="2"/>
      <c r="Y539" s="2"/>
      <c r="Z539" s="2"/>
      <c r="AA539" s="2"/>
      <c r="AB539" s="2"/>
      <c r="AC539" s="2"/>
    </row>
    <row r="540">
      <c r="A540" s="2"/>
      <c r="B540" s="2"/>
      <c r="C540" s="2"/>
      <c r="D540" s="2"/>
      <c r="E540" s="2"/>
      <c r="F540" s="2"/>
      <c r="G540" s="2"/>
      <c r="H540" s="2"/>
      <c r="I540" s="2"/>
      <c r="J540" s="2"/>
      <c r="K540" s="2"/>
      <c r="L540" s="2"/>
      <c r="M540" s="2"/>
      <c r="N540" s="2"/>
      <c r="O540" s="3"/>
      <c r="P540" s="3"/>
      <c r="Q540" s="2"/>
      <c r="R540" s="2"/>
      <c r="S540" s="2"/>
      <c r="T540" s="2"/>
      <c r="U540" s="2"/>
      <c r="V540" s="2"/>
      <c r="W540" s="2"/>
      <c r="X540" s="2"/>
      <c r="Y540" s="2"/>
      <c r="Z540" s="2"/>
      <c r="AA540" s="2"/>
      <c r="AB540" s="2"/>
      <c r="AC540" s="2"/>
    </row>
    <row r="541">
      <c r="A541" s="2"/>
      <c r="B541" s="2"/>
      <c r="C541" s="2"/>
      <c r="D541" s="2"/>
      <c r="E541" s="2"/>
      <c r="F541" s="2"/>
      <c r="G541" s="2"/>
      <c r="H541" s="2"/>
      <c r="I541" s="2"/>
      <c r="J541" s="2"/>
      <c r="K541" s="2"/>
      <c r="L541" s="2"/>
      <c r="M541" s="2"/>
      <c r="N541" s="2"/>
      <c r="O541" s="3"/>
      <c r="P541" s="3"/>
      <c r="Q541" s="2"/>
      <c r="R541" s="2"/>
      <c r="S541" s="2"/>
      <c r="T541" s="2"/>
      <c r="U541" s="2"/>
      <c r="V541" s="2"/>
      <c r="W541" s="2"/>
      <c r="X541" s="2"/>
      <c r="Y541" s="2"/>
      <c r="Z541" s="2"/>
      <c r="AA541" s="2"/>
      <c r="AB541" s="2"/>
      <c r="AC541" s="2"/>
    </row>
    <row r="542">
      <c r="A542" s="2"/>
      <c r="B542" s="2"/>
      <c r="C542" s="2"/>
      <c r="D542" s="2"/>
      <c r="E542" s="2"/>
      <c r="F542" s="2"/>
      <c r="G542" s="2"/>
      <c r="H542" s="2"/>
      <c r="I542" s="2"/>
      <c r="J542" s="2"/>
      <c r="K542" s="2"/>
      <c r="L542" s="2"/>
      <c r="M542" s="2"/>
      <c r="N542" s="2"/>
      <c r="O542" s="3"/>
      <c r="P542" s="3"/>
      <c r="Q542" s="2"/>
      <c r="R542" s="2"/>
      <c r="S542" s="2"/>
      <c r="T542" s="2"/>
      <c r="U542" s="2"/>
      <c r="V542" s="2"/>
      <c r="W542" s="2"/>
      <c r="X542" s="2"/>
      <c r="Y542" s="2"/>
      <c r="Z542" s="2"/>
      <c r="AA542" s="2"/>
      <c r="AB542" s="2"/>
      <c r="AC542" s="2"/>
    </row>
    <row r="543">
      <c r="A543" s="2"/>
      <c r="B543" s="2"/>
      <c r="C543" s="2"/>
      <c r="D543" s="2"/>
      <c r="E543" s="2"/>
      <c r="F543" s="2"/>
      <c r="G543" s="2"/>
      <c r="H543" s="2"/>
      <c r="I543" s="2"/>
      <c r="J543" s="2"/>
      <c r="K543" s="2"/>
      <c r="L543" s="2"/>
      <c r="M543" s="2"/>
      <c r="N543" s="2"/>
      <c r="O543" s="3"/>
      <c r="P543" s="3"/>
      <c r="Q543" s="2"/>
      <c r="R543" s="2"/>
      <c r="S543" s="2"/>
      <c r="T543" s="2"/>
      <c r="U543" s="2"/>
      <c r="V543" s="2"/>
      <c r="W543" s="2"/>
      <c r="X543" s="2"/>
      <c r="Y543" s="2"/>
      <c r="Z543" s="2"/>
      <c r="AA543" s="2"/>
      <c r="AB543" s="2"/>
      <c r="AC543" s="2"/>
    </row>
    <row r="544">
      <c r="A544" s="2"/>
      <c r="B544" s="2"/>
      <c r="C544" s="2"/>
      <c r="D544" s="2"/>
      <c r="E544" s="2"/>
      <c r="F544" s="2"/>
      <c r="G544" s="2"/>
      <c r="H544" s="2"/>
      <c r="I544" s="2"/>
      <c r="J544" s="2"/>
      <c r="K544" s="2"/>
      <c r="L544" s="2"/>
      <c r="M544" s="2"/>
      <c r="N544" s="2"/>
      <c r="O544" s="3"/>
      <c r="P544" s="3"/>
      <c r="Q544" s="2"/>
      <c r="R544" s="2"/>
      <c r="S544" s="2"/>
      <c r="T544" s="2"/>
      <c r="U544" s="2"/>
      <c r="V544" s="2"/>
      <c r="W544" s="2"/>
      <c r="X544" s="2"/>
      <c r="Y544" s="2"/>
      <c r="Z544" s="2"/>
      <c r="AA544" s="2"/>
      <c r="AB544" s="2"/>
      <c r="AC544" s="2"/>
    </row>
    <row r="545">
      <c r="A545" s="2"/>
      <c r="B545" s="2"/>
      <c r="C545" s="2"/>
      <c r="D545" s="2"/>
      <c r="E545" s="2"/>
      <c r="F545" s="2"/>
      <c r="G545" s="2"/>
      <c r="H545" s="2"/>
      <c r="I545" s="2"/>
      <c r="J545" s="2"/>
      <c r="K545" s="2"/>
      <c r="L545" s="2"/>
      <c r="M545" s="2"/>
      <c r="N545" s="2"/>
      <c r="O545" s="3"/>
      <c r="P545" s="3"/>
      <c r="Q545" s="2"/>
      <c r="R545" s="2"/>
      <c r="S545" s="2"/>
      <c r="T545" s="2"/>
      <c r="U545" s="2"/>
      <c r="V545" s="2"/>
      <c r="W545" s="2"/>
      <c r="X545" s="2"/>
      <c r="Y545" s="2"/>
      <c r="Z545" s="2"/>
      <c r="AA545" s="2"/>
      <c r="AB545" s="2"/>
      <c r="AC545" s="2"/>
    </row>
    <row r="546">
      <c r="A546" s="2"/>
      <c r="B546" s="2"/>
      <c r="C546" s="2"/>
      <c r="D546" s="2"/>
      <c r="E546" s="2"/>
      <c r="F546" s="2"/>
      <c r="G546" s="2"/>
      <c r="H546" s="2"/>
      <c r="I546" s="2"/>
      <c r="J546" s="2"/>
      <c r="K546" s="2"/>
      <c r="L546" s="2"/>
      <c r="M546" s="2"/>
      <c r="N546" s="2"/>
      <c r="O546" s="3"/>
      <c r="P546" s="3"/>
      <c r="Q546" s="2"/>
      <c r="R546" s="2"/>
      <c r="S546" s="2"/>
      <c r="T546" s="2"/>
      <c r="U546" s="2"/>
      <c r="V546" s="2"/>
      <c r="W546" s="2"/>
      <c r="X546" s="2"/>
      <c r="Y546" s="2"/>
      <c r="Z546" s="2"/>
      <c r="AA546" s="2"/>
      <c r="AB546" s="2"/>
      <c r="AC546" s="2"/>
    </row>
    <row r="547">
      <c r="A547" s="2"/>
      <c r="B547" s="2"/>
      <c r="C547" s="2"/>
      <c r="D547" s="2"/>
      <c r="E547" s="2"/>
      <c r="F547" s="2"/>
      <c r="G547" s="2"/>
      <c r="H547" s="2"/>
      <c r="I547" s="2"/>
      <c r="J547" s="2"/>
      <c r="K547" s="2"/>
      <c r="L547" s="2"/>
      <c r="M547" s="2"/>
      <c r="N547" s="2"/>
      <c r="O547" s="3"/>
      <c r="P547" s="3"/>
      <c r="Q547" s="2"/>
      <c r="R547" s="2"/>
      <c r="S547" s="2"/>
      <c r="T547" s="2"/>
      <c r="U547" s="2"/>
      <c r="V547" s="2"/>
      <c r="W547" s="2"/>
      <c r="X547" s="2"/>
      <c r="Y547" s="2"/>
      <c r="Z547" s="2"/>
      <c r="AA547" s="2"/>
      <c r="AB547" s="2"/>
      <c r="AC547" s="2"/>
    </row>
    <row r="548">
      <c r="A548" s="2"/>
      <c r="B548" s="2"/>
      <c r="C548" s="2"/>
      <c r="D548" s="2"/>
      <c r="E548" s="2"/>
      <c r="F548" s="2"/>
      <c r="G548" s="2"/>
      <c r="H548" s="2"/>
      <c r="I548" s="2"/>
      <c r="J548" s="2"/>
      <c r="K548" s="2"/>
      <c r="L548" s="2"/>
      <c r="M548" s="2"/>
      <c r="N548" s="2"/>
      <c r="O548" s="3"/>
      <c r="P548" s="3"/>
      <c r="Q548" s="2"/>
      <c r="R548" s="2"/>
      <c r="S548" s="2"/>
      <c r="T548" s="2"/>
      <c r="U548" s="2"/>
      <c r="V548" s="2"/>
      <c r="W548" s="2"/>
      <c r="X548" s="2"/>
      <c r="Y548" s="2"/>
      <c r="Z548" s="2"/>
      <c r="AA548" s="2"/>
      <c r="AB548" s="2"/>
      <c r="AC548" s="2"/>
    </row>
    <row r="549">
      <c r="A549" s="2"/>
      <c r="B549" s="2"/>
      <c r="C549" s="2"/>
      <c r="D549" s="2"/>
      <c r="E549" s="2"/>
      <c r="F549" s="2"/>
      <c r="G549" s="2"/>
      <c r="H549" s="2"/>
      <c r="I549" s="2"/>
      <c r="J549" s="2"/>
      <c r="K549" s="2"/>
      <c r="L549" s="2"/>
      <c r="M549" s="2"/>
      <c r="N549" s="2"/>
      <c r="O549" s="3"/>
      <c r="P549" s="3"/>
      <c r="Q549" s="2"/>
      <c r="R549" s="2"/>
      <c r="S549" s="2"/>
      <c r="T549" s="2"/>
      <c r="U549" s="2"/>
      <c r="V549" s="2"/>
      <c r="W549" s="2"/>
      <c r="X549" s="2"/>
      <c r="Y549" s="2"/>
      <c r="Z549" s="2"/>
      <c r="AA549" s="2"/>
      <c r="AB549" s="2"/>
      <c r="AC549" s="2"/>
    </row>
    <row r="550">
      <c r="A550" s="2"/>
      <c r="B550" s="2"/>
      <c r="C550" s="2"/>
      <c r="D550" s="2"/>
      <c r="E550" s="2"/>
      <c r="F550" s="2"/>
      <c r="G550" s="2"/>
      <c r="H550" s="2"/>
      <c r="I550" s="2"/>
      <c r="J550" s="2"/>
      <c r="K550" s="2"/>
      <c r="L550" s="2"/>
      <c r="M550" s="2"/>
      <c r="N550" s="2"/>
      <c r="O550" s="3"/>
      <c r="P550" s="3"/>
      <c r="Q550" s="2"/>
      <c r="R550" s="2"/>
      <c r="S550" s="2"/>
      <c r="T550" s="2"/>
      <c r="U550" s="2"/>
      <c r="V550" s="2"/>
      <c r="W550" s="2"/>
      <c r="X550" s="2"/>
      <c r="Y550" s="2"/>
      <c r="Z550" s="2"/>
      <c r="AA550" s="2"/>
      <c r="AB550" s="2"/>
      <c r="AC550" s="2"/>
    </row>
    <row r="551">
      <c r="A551" s="2"/>
      <c r="B551" s="2"/>
      <c r="C551" s="2"/>
      <c r="D551" s="2"/>
      <c r="E551" s="2"/>
      <c r="F551" s="2"/>
      <c r="G551" s="2"/>
      <c r="H551" s="2"/>
      <c r="I551" s="2"/>
      <c r="J551" s="2"/>
      <c r="K551" s="2"/>
      <c r="L551" s="2"/>
      <c r="M551" s="2"/>
      <c r="N551" s="2"/>
      <c r="O551" s="3"/>
      <c r="P551" s="3"/>
      <c r="Q551" s="2"/>
      <c r="R551" s="2"/>
      <c r="S551" s="2"/>
      <c r="T551" s="2"/>
      <c r="U551" s="2"/>
      <c r="V551" s="2"/>
      <c r="W551" s="2"/>
      <c r="X551" s="2"/>
      <c r="Y551" s="2"/>
      <c r="Z551" s="2"/>
      <c r="AA551" s="2"/>
      <c r="AB551" s="2"/>
      <c r="AC551" s="2"/>
    </row>
    <row r="552">
      <c r="A552" s="2"/>
      <c r="B552" s="2"/>
      <c r="C552" s="2"/>
      <c r="D552" s="2"/>
      <c r="E552" s="2"/>
      <c r="F552" s="2"/>
      <c r="G552" s="2"/>
      <c r="H552" s="2"/>
      <c r="I552" s="2"/>
      <c r="J552" s="2"/>
      <c r="K552" s="2"/>
      <c r="L552" s="2"/>
      <c r="M552" s="2"/>
      <c r="N552" s="2"/>
      <c r="O552" s="3"/>
      <c r="P552" s="3"/>
      <c r="Q552" s="2"/>
      <c r="R552" s="2"/>
      <c r="S552" s="2"/>
      <c r="T552" s="2"/>
      <c r="U552" s="2"/>
      <c r="V552" s="2"/>
      <c r="W552" s="2"/>
      <c r="X552" s="2"/>
      <c r="Y552" s="2"/>
      <c r="Z552" s="2"/>
      <c r="AA552" s="2"/>
      <c r="AB552" s="2"/>
      <c r="AC552" s="2"/>
    </row>
    <row r="553">
      <c r="A553" s="2"/>
      <c r="B553" s="2"/>
      <c r="C553" s="2"/>
      <c r="D553" s="2"/>
      <c r="E553" s="2"/>
      <c r="F553" s="2"/>
      <c r="G553" s="2"/>
      <c r="H553" s="2"/>
      <c r="I553" s="2"/>
      <c r="J553" s="2"/>
      <c r="K553" s="2"/>
      <c r="L553" s="2"/>
      <c r="M553" s="2"/>
      <c r="N553" s="2"/>
      <c r="O553" s="3"/>
      <c r="P553" s="3"/>
      <c r="Q553" s="2"/>
      <c r="R553" s="2"/>
      <c r="S553" s="2"/>
      <c r="T553" s="2"/>
      <c r="U553" s="2"/>
      <c r="V553" s="2"/>
      <c r="W553" s="2"/>
      <c r="X553" s="2"/>
      <c r="Y553" s="2"/>
      <c r="Z553" s="2"/>
      <c r="AA553" s="2"/>
      <c r="AB553" s="2"/>
      <c r="AC553" s="2"/>
    </row>
    <row r="554">
      <c r="A554" s="2"/>
      <c r="B554" s="2"/>
      <c r="C554" s="2"/>
      <c r="D554" s="2"/>
      <c r="E554" s="2"/>
      <c r="F554" s="2"/>
      <c r="G554" s="2"/>
      <c r="H554" s="2"/>
      <c r="I554" s="2"/>
      <c r="J554" s="2"/>
      <c r="K554" s="2"/>
      <c r="L554" s="2"/>
      <c r="M554" s="2"/>
      <c r="N554" s="2"/>
      <c r="O554" s="3"/>
      <c r="P554" s="3"/>
      <c r="Q554" s="2"/>
      <c r="R554" s="2"/>
      <c r="S554" s="2"/>
      <c r="T554" s="2"/>
      <c r="U554" s="2"/>
      <c r="V554" s="2"/>
      <c r="W554" s="2"/>
      <c r="X554" s="2"/>
      <c r="Y554" s="2"/>
      <c r="Z554" s="2"/>
      <c r="AA554" s="2"/>
      <c r="AB554" s="2"/>
      <c r="AC554" s="2"/>
    </row>
    <row r="555">
      <c r="A555" s="2"/>
      <c r="B555" s="2"/>
      <c r="C555" s="2"/>
      <c r="D555" s="2"/>
      <c r="E555" s="2"/>
      <c r="F555" s="2"/>
      <c r="G555" s="2"/>
      <c r="H555" s="2"/>
      <c r="I555" s="2"/>
      <c r="J555" s="2"/>
      <c r="K555" s="2"/>
      <c r="L555" s="2"/>
      <c r="M555" s="2"/>
      <c r="N555" s="2"/>
      <c r="O555" s="3"/>
      <c r="P555" s="3"/>
      <c r="Q555" s="2"/>
      <c r="R555" s="2"/>
      <c r="S555" s="2"/>
      <c r="T555" s="2"/>
      <c r="U555" s="2"/>
      <c r="V555" s="2"/>
      <c r="W555" s="2"/>
      <c r="X555" s="2"/>
      <c r="Y555" s="2"/>
      <c r="Z555" s="2"/>
      <c r="AA555" s="2"/>
      <c r="AB555" s="2"/>
      <c r="AC555" s="2"/>
    </row>
    <row r="556">
      <c r="A556" s="2"/>
      <c r="B556" s="2"/>
      <c r="C556" s="2"/>
      <c r="D556" s="2"/>
      <c r="E556" s="2"/>
      <c r="F556" s="2"/>
      <c r="G556" s="2"/>
      <c r="H556" s="2"/>
      <c r="I556" s="2"/>
      <c r="J556" s="2"/>
      <c r="K556" s="2"/>
      <c r="L556" s="2"/>
      <c r="M556" s="2"/>
      <c r="N556" s="2"/>
      <c r="O556" s="3"/>
      <c r="P556" s="3"/>
      <c r="Q556" s="2"/>
      <c r="R556" s="2"/>
      <c r="S556" s="2"/>
      <c r="T556" s="2"/>
      <c r="U556" s="2"/>
      <c r="V556" s="2"/>
      <c r="W556" s="2"/>
      <c r="X556" s="2"/>
      <c r="Y556" s="2"/>
      <c r="Z556" s="2"/>
      <c r="AA556" s="2"/>
      <c r="AB556" s="2"/>
      <c r="AC556" s="2"/>
    </row>
    <row r="557">
      <c r="A557" s="2"/>
      <c r="B557" s="2"/>
      <c r="C557" s="2"/>
      <c r="D557" s="2"/>
      <c r="E557" s="2"/>
      <c r="F557" s="2"/>
      <c r="G557" s="2"/>
      <c r="H557" s="2"/>
      <c r="I557" s="2"/>
      <c r="J557" s="2"/>
      <c r="K557" s="2"/>
      <c r="L557" s="2"/>
      <c r="M557" s="2"/>
      <c r="N557" s="2"/>
      <c r="O557" s="3"/>
      <c r="P557" s="3"/>
      <c r="Q557" s="2"/>
      <c r="R557" s="2"/>
      <c r="S557" s="2"/>
      <c r="T557" s="2"/>
      <c r="U557" s="2"/>
      <c r="V557" s="2"/>
      <c r="W557" s="2"/>
      <c r="X557" s="2"/>
      <c r="Y557" s="2"/>
      <c r="Z557" s="2"/>
      <c r="AA557" s="2"/>
      <c r="AB557" s="2"/>
      <c r="AC557" s="2"/>
    </row>
    <row r="558">
      <c r="A558" s="2"/>
      <c r="B558" s="2"/>
      <c r="C558" s="2"/>
      <c r="D558" s="2"/>
      <c r="E558" s="2"/>
      <c r="F558" s="2"/>
      <c r="G558" s="2"/>
      <c r="H558" s="2"/>
      <c r="I558" s="2"/>
      <c r="J558" s="2"/>
      <c r="K558" s="2"/>
      <c r="L558" s="2"/>
      <c r="M558" s="2"/>
      <c r="N558" s="2"/>
      <c r="O558" s="3"/>
      <c r="P558" s="3"/>
      <c r="Q558" s="2"/>
      <c r="R558" s="2"/>
      <c r="S558" s="2"/>
      <c r="T558" s="2"/>
      <c r="U558" s="2"/>
      <c r="V558" s="2"/>
      <c r="W558" s="2"/>
      <c r="X558" s="2"/>
      <c r="Y558" s="2"/>
      <c r="Z558" s="2"/>
      <c r="AA558" s="2"/>
      <c r="AB558" s="2"/>
      <c r="AC558" s="2"/>
    </row>
    <row r="559">
      <c r="A559" s="2"/>
      <c r="B559" s="2"/>
      <c r="C559" s="2"/>
      <c r="D559" s="2"/>
      <c r="E559" s="2"/>
      <c r="F559" s="2"/>
      <c r="G559" s="2"/>
      <c r="H559" s="2"/>
      <c r="I559" s="2"/>
      <c r="J559" s="2"/>
      <c r="K559" s="2"/>
      <c r="L559" s="2"/>
      <c r="M559" s="2"/>
      <c r="N559" s="2"/>
      <c r="O559" s="3"/>
      <c r="P559" s="3"/>
      <c r="Q559" s="2"/>
      <c r="R559" s="2"/>
      <c r="S559" s="2"/>
      <c r="T559" s="2"/>
      <c r="U559" s="2"/>
      <c r="V559" s="2"/>
      <c r="W559" s="2"/>
      <c r="X559" s="2"/>
      <c r="Y559" s="2"/>
      <c r="Z559" s="2"/>
      <c r="AA559" s="2"/>
      <c r="AB559" s="2"/>
      <c r="AC559" s="2"/>
    </row>
    <row r="560">
      <c r="A560" s="2"/>
      <c r="B560" s="2"/>
      <c r="C560" s="2"/>
      <c r="D560" s="2"/>
      <c r="E560" s="2"/>
      <c r="F560" s="2"/>
      <c r="G560" s="2"/>
      <c r="H560" s="2"/>
      <c r="I560" s="2"/>
      <c r="J560" s="2"/>
      <c r="K560" s="2"/>
      <c r="L560" s="2"/>
      <c r="M560" s="2"/>
      <c r="N560" s="2"/>
      <c r="O560" s="3"/>
      <c r="P560" s="3"/>
      <c r="Q560" s="2"/>
      <c r="R560" s="2"/>
      <c r="S560" s="2"/>
      <c r="T560" s="2"/>
      <c r="U560" s="2"/>
      <c r="V560" s="2"/>
      <c r="W560" s="2"/>
      <c r="X560" s="2"/>
      <c r="Y560" s="2"/>
      <c r="Z560" s="2"/>
      <c r="AA560" s="2"/>
      <c r="AB560" s="2"/>
      <c r="AC560" s="2"/>
    </row>
    <row r="561">
      <c r="A561" s="2"/>
      <c r="B561" s="2"/>
      <c r="C561" s="2"/>
      <c r="D561" s="2"/>
      <c r="E561" s="2"/>
      <c r="F561" s="2"/>
      <c r="G561" s="2"/>
      <c r="H561" s="2"/>
      <c r="I561" s="2"/>
      <c r="J561" s="2"/>
      <c r="K561" s="2"/>
      <c r="L561" s="2"/>
      <c r="M561" s="2"/>
      <c r="N561" s="2"/>
      <c r="O561" s="3"/>
      <c r="P561" s="3"/>
      <c r="Q561" s="2"/>
      <c r="R561" s="2"/>
      <c r="S561" s="2"/>
      <c r="T561" s="2"/>
      <c r="U561" s="2"/>
      <c r="V561" s="2"/>
      <c r="W561" s="2"/>
      <c r="X561" s="2"/>
      <c r="Y561" s="2"/>
      <c r="Z561" s="2"/>
      <c r="AA561" s="2"/>
      <c r="AB561" s="2"/>
      <c r="AC561" s="2"/>
    </row>
    <row r="562">
      <c r="A562" s="2"/>
      <c r="B562" s="2"/>
      <c r="C562" s="2"/>
      <c r="D562" s="2"/>
      <c r="E562" s="2"/>
      <c r="F562" s="2"/>
      <c r="G562" s="2"/>
      <c r="H562" s="2"/>
      <c r="I562" s="2"/>
      <c r="J562" s="2"/>
      <c r="K562" s="2"/>
      <c r="L562" s="2"/>
      <c r="M562" s="2"/>
      <c r="N562" s="2"/>
      <c r="O562" s="3"/>
      <c r="P562" s="3"/>
      <c r="Q562" s="2"/>
      <c r="R562" s="2"/>
      <c r="S562" s="2"/>
      <c r="T562" s="2"/>
      <c r="U562" s="2"/>
      <c r="V562" s="2"/>
      <c r="W562" s="2"/>
      <c r="X562" s="2"/>
      <c r="Y562" s="2"/>
      <c r="Z562" s="2"/>
      <c r="AA562" s="2"/>
      <c r="AB562" s="2"/>
      <c r="AC562" s="2"/>
    </row>
    <row r="563">
      <c r="A563" s="2"/>
      <c r="B563" s="2"/>
      <c r="C563" s="2"/>
      <c r="D563" s="2"/>
      <c r="E563" s="2"/>
      <c r="F563" s="2"/>
      <c r="G563" s="2"/>
      <c r="H563" s="2"/>
      <c r="I563" s="2"/>
      <c r="J563" s="2"/>
      <c r="K563" s="2"/>
      <c r="L563" s="2"/>
      <c r="M563" s="2"/>
      <c r="N563" s="2"/>
      <c r="O563" s="3"/>
      <c r="P563" s="3"/>
      <c r="Q563" s="2"/>
      <c r="R563" s="2"/>
      <c r="S563" s="2"/>
      <c r="T563" s="2"/>
      <c r="U563" s="2"/>
      <c r="V563" s="2"/>
      <c r="W563" s="2"/>
      <c r="X563" s="2"/>
      <c r="Y563" s="2"/>
      <c r="Z563" s="2"/>
      <c r="AA563" s="2"/>
      <c r="AB563" s="2"/>
      <c r="AC563" s="2"/>
    </row>
    <row r="564">
      <c r="A564" s="2"/>
      <c r="B564" s="2"/>
      <c r="C564" s="2"/>
      <c r="D564" s="2"/>
      <c r="E564" s="2"/>
      <c r="F564" s="2"/>
      <c r="G564" s="2"/>
      <c r="H564" s="2"/>
      <c r="I564" s="2"/>
      <c r="J564" s="2"/>
      <c r="K564" s="2"/>
      <c r="L564" s="2"/>
      <c r="M564" s="2"/>
      <c r="N564" s="2"/>
      <c r="O564" s="3"/>
      <c r="P564" s="3"/>
      <c r="Q564" s="2"/>
      <c r="R564" s="2"/>
      <c r="S564" s="2"/>
      <c r="T564" s="2"/>
      <c r="U564" s="2"/>
      <c r="V564" s="2"/>
      <c r="W564" s="2"/>
      <c r="X564" s="2"/>
      <c r="Y564" s="2"/>
      <c r="Z564" s="2"/>
      <c r="AA564" s="2"/>
      <c r="AB564" s="2"/>
      <c r="AC564" s="2"/>
    </row>
    <row r="565">
      <c r="A565" s="2"/>
      <c r="B565" s="2"/>
      <c r="C565" s="2"/>
      <c r="D565" s="2"/>
      <c r="E565" s="2"/>
      <c r="F565" s="2"/>
      <c r="G565" s="2"/>
      <c r="H565" s="2"/>
      <c r="I565" s="2"/>
      <c r="J565" s="2"/>
      <c r="K565" s="2"/>
      <c r="L565" s="2"/>
      <c r="M565" s="2"/>
      <c r="N565" s="2"/>
      <c r="O565" s="3"/>
      <c r="P565" s="3"/>
      <c r="Q565" s="2"/>
      <c r="R565" s="2"/>
      <c r="S565" s="2"/>
      <c r="T565" s="2"/>
      <c r="U565" s="2"/>
      <c r="V565" s="2"/>
      <c r="W565" s="2"/>
      <c r="X565" s="2"/>
      <c r="Y565" s="2"/>
      <c r="Z565" s="2"/>
      <c r="AA565" s="2"/>
      <c r="AB565" s="2"/>
      <c r="AC565" s="2"/>
    </row>
    <row r="566">
      <c r="A566" s="2"/>
      <c r="B566" s="2"/>
      <c r="C566" s="2"/>
      <c r="D566" s="2"/>
      <c r="E566" s="2"/>
      <c r="F566" s="2"/>
      <c r="G566" s="2"/>
      <c r="H566" s="2"/>
      <c r="I566" s="2"/>
      <c r="J566" s="2"/>
      <c r="K566" s="2"/>
      <c r="L566" s="2"/>
      <c r="M566" s="2"/>
      <c r="N566" s="2"/>
      <c r="O566" s="3"/>
      <c r="P566" s="3"/>
      <c r="Q566" s="2"/>
      <c r="R566" s="2"/>
      <c r="S566" s="2"/>
      <c r="T566" s="2"/>
      <c r="U566" s="2"/>
      <c r="V566" s="2"/>
      <c r="W566" s="2"/>
      <c r="X566" s="2"/>
      <c r="Y566" s="2"/>
      <c r="Z566" s="2"/>
      <c r="AA566" s="2"/>
      <c r="AB566" s="2"/>
      <c r="AC566" s="2"/>
    </row>
    <row r="567">
      <c r="A567" s="2"/>
      <c r="B567" s="2"/>
      <c r="C567" s="2"/>
      <c r="D567" s="2"/>
      <c r="E567" s="2"/>
      <c r="F567" s="2"/>
      <c r="G567" s="2"/>
      <c r="H567" s="2"/>
      <c r="I567" s="2"/>
      <c r="J567" s="2"/>
      <c r="K567" s="2"/>
      <c r="L567" s="2"/>
      <c r="M567" s="2"/>
      <c r="N567" s="2"/>
      <c r="O567" s="3"/>
      <c r="P567" s="3"/>
      <c r="Q567" s="2"/>
      <c r="R567" s="2"/>
      <c r="S567" s="2"/>
      <c r="T567" s="2"/>
      <c r="U567" s="2"/>
      <c r="V567" s="2"/>
      <c r="W567" s="2"/>
      <c r="X567" s="2"/>
      <c r="Y567" s="2"/>
      <c r="Z567" s="2"/>
      <c r="AA567" s="2"/>
      <c r="AB567" s="2"/>
      <c r="AC567" s="2"/>
    </row>
    <row r="568">
      <c r="A568" s="2"/>
      <c r="B568" s="2"/>
      <c r="C568" s="2"/>
      <c r="D568" s="2"/>
      <c r="E568" s="2"/>
      <c r="F568" s="2"/>
      <c r="G568" s="2"/>
      <c r="H568" s="2"/>
      <c r="I568" s="2"/>
      <c r="J568" s="2"/>
      <c r="K568" s="2"/>
      <c r="L568" s="2"/>
      <c r="M568" s="2"/>
      <c r="N568" s="2"/>
      <c r="O568" s="3"/>
      <c r="P568" s="3"/>
      <c r="Q568" s="2"/>
      <c r="R568" s="2"/>
      <c r="S568" s="2"/>
      <c r="T568" s="2"/>
      <c r="U568" s="2"/>
      <c r="V568" s="2"/>
      <c r="W568" s="2"/>
      <c r="X568" s="2"/>
      <c r="Y568" s="2"/>
      <c r="Z568" s="2"/>
      <c r="AA568" s="2"/>
      <c r="AB568" s="2"/>
      <c r="AC568" s="2"/>
    </row>
    <row r="569">
      <c r="A569" s="2"/>
      <c r="B569" s="2"/>
      <c r="C569" s="2"/>
      <c r="D569" s="2"/>
      <c r="E569" s="2"/>
      <c r="F569" s="2"/>
      <c r="G569" s="2"/>
      <c r="H569" s="2"/>
      <c r="I569" s="2"/>
      <c r="J569" s="2"/>
      <c r="K569" s="2"/>
      <c r="L569" s="2"/>
      <c r="M569" s="2"/>
      <c r="N569" s="2"/>
      <c r="O569" s="3"/>
      <c r="P569" s="3"/>
      <c r="Q569" s="2"/>
      <c r="R569" s="2"/>
      <c r="S569" s="2"/>
      <c r="T569" s="2"/>
      <c r="U569" s="2"/>
      <c r="V569" s="2"/>
      <c r="W569" s="2"/>
      <c r="X569" s="2"/>
      <c r="Y569" s="2"/>
      <c r="Z569" s="2"/>
      <c r="AA569" s="2"/>
      <c r="AB569" s="2"/>
      <c r="AC569" s="2"/>
    </row>
    <row r="570">
      <c r="A570" s="2"/>
      <c r="B570" s="2"/>
      <c r="C570" s="2"/>
      <c r="D570" s="2"/>
      <c r="E570" s="2"/>
      <c r="F570" s="2"/>
      <c r="G570" s="2"/>
      <c r="H570" s="2"/>
      <c r="I570" s="2"/>
      <c r="J570" s="2"/>
      <c r="K570" s="2"/>
      <c r="L570" s="2"/>
      <c r="M570" s="2"/>
      <c r="N570" s="2"/>
      <c r="O570" s="3"/>
      <c r="P570" s="3"/>
      <c r="Q570" s="2"/>
      <c r="R570" s="2"/>
      <c r="S570" s="2"/>
      <c r="T570" s="2"/>
      <c r="U570" s="2"/>
      <c r="V570" s="2"/>
      <c r="W570" s="2"/>
      <c r="X570" s="2"/>
      <c r="Y570" s="2"/>
      <c r="Z570" s="2"/>
      <c r="AA570" s="2"/>
      <c r="AB570" s="2"/>
      <c r="AC570" s="2"/>
    </row>
    <row r="571">
      <c r="A571" s="2"/>
      <c r="B571" s="2"/>
      <c r="C571" s="2"/>
      <c r="D571" s="2"/>
      <c r="E571" s="2"/>
      <c r="F571" s="2"/>
      <c r="G571" s="2"/>
      <c r="H571" s="2"/>
      <c r="I571" s="2"/>
      <c r="J571" s="2"/>
      <c r="K571" s="2"/>
      <c r="L571" s="2"/>
      <c r="M571" s="2"/>
      <c r="N571" s="2"/>
      <c r="O571" s="3"/>
      <c r="P571" s="3"/>
      <c r="Q571" s="2"/>
      <c r="R571" s="2"/>
      <c r="S571" s="2"/>
      <c r="T571" s="2"/>
      <c r="U571" s="2"/>
      <c r="V571" s="2"/>
      <c r="W571" s="2"/>
      <c r="X571" s="2"/>
      <c r="Y571" s="2"/>
      <c r="Z571" s="2"/>
      <c r="AA571" s="2"/>
      <c r="AB571" s="2"/>
      <c r="AC571" s="2"/>
    </row>
    <row r="572">
      <c r="A572" s="2"/>
      <c r="B572" s="2"/>
      <c r="C572" s="2"/>
      <c r="D572" s="2"/>
      <c r="E572" s="2"/>
      <c r="F572" s="2"/>
      <c r="G572" s="2"/>
      <c r="H572" s="2"/>
      <c r="I572" s="2"/>
      <c r="J572" s="2"/>
      <c r="K572" s="2"/>
      <c r="L572" s="2"/>
      <c r="M572" s="2"/>
      <c r="N572" s="2"/>
      <c r="O572" s="3"/>
      <c r="P572" s="3"/>
      <c r="Q572" s="2"/>
      <c r="R572" s="2"/>
      <c r="S572" s="2"/>
      <c r="T572" s="2"/>
      <c r="U572" s="2"/>
      <c r="V572" s="2"/>
      <c r="W572" s="2"/>
      <c r="X572" s="2"/>
      <c r="Y572" s="2"/>
      <c r="Z572" s="2"/>
      <c r="AA572" s="2"/>
      <c r="AB572" s="2"/>
      <c r="AC572" s="2"/>
    </row>
    <row r="573">
      <c r="A573" s="2"/>
      <c r="B573" s="2"/>
      <c r="C573" s="2"/>
      <c r="D573" s="2"/>
      <c r="E573" s="2"/>
      <c r="F573" s="2"/>
      <c r="G573" s="2"/>
      <c r="H573" s="2"/>
      <c r="I573" s="2"/>
      <c r="J573" s="2"/>
      <c r="K573" s="2"/>
      <c r="L573" s="2"/>
      <c r="M573" s="2"/>
      <c r="N573" s="2"/>
      <c r="O573" s="3"/>
      <c r="P573" s="3"/>
      <c r="Q573" s="2"/>
      <c r="R573" s="2"/>
      <c r="S573" s="2"/>
      <c r="T573" s="2"/>
      <c r="U573" s="2"/>
      <c r="V573" s="2"/>
      <c r="W573" s="2"/>
      <c r="X573" s="2"/>
      <c r="Y573" s="2"/>
      <c r="Z573" s="2"/>
      <c r="AA573" s="2"/>
      <c r="AB573" s="2"/>
      <c r="AC573" s="2"/>
    </row>
    <row r="574">
      <c r="A574" s="2"/>
      <c r="B574" s="2"/>
      <c r="C574" s="2"/>
      <c r="D574" s="2"/>
      <c r="E574" s="2"/>
      <c r="F574" s="2"/>
      <c r="G574" s="2"/>
      <c r="H574" s="2"/>
      <c r="I574" s="2"/>
      <c r="J574" s="2"/>
      <c r="K574" s="2"/>
      <c r="L574" s="2"/>
      <c r="M574" s="2"/>
      <c r="N574" s="2"/>
      <c r="O574" s="3"/>
      <c r="P574" s="3"/>
      <c r="Q574" s="2"/>
      <c r="R574" s="2"/>
      <c r="S574" s="2"/>
      <c r="T574" s="2"/>
      <c r="U574" s="2"/>
      <c r="V574" s="2"/>
      <c r="W574" s="2"/>
      <c r="X574" s="2"/>
      <c r="Y574" s="2"/>
      <c r="Z574" s="2"/>
      <c r="AA574" s="2"/>
      <c r="AB574" s="2"/>
      <c r="AC574" s="2"/>
    </row>
    <row r="575">
      <c r="A575" s="2"/>
      <c r="B575" s="2"/>
      <c r="C575" s="2"/>
      <c r="D575" s="2"/>
      <c r="E575" s="2"/>
      <c r="F575" s="2"/>
      <c r="G575" s="2"/>
      <c r="H575" s="2"/>
      <c r="I575" s="2"/>
      <c r="J575" s="2"/>
      <c r="K575" s="2"/>
      <c r="L575" s="2"/>
      <c r="M575" s="2"/>
      <c r="N575" s="2"/>
      <c r="O575" s="3"/>
      <c r="P575" s="3"/>
      <c r="Q575" s="2"/>
      <c r="R575" s="2"/>
      <c r="S575" s="2"/>
      <c r="T575" s="2"/>
      <c r="U575" s="2"/>
      <c r="V575" s="2"/>
      <c r="W575" s="2"/>
      <c r="X575" s="2"/>
      <c r="Y575" s="2"/>
      <c r="Z575" s="2"/>
      <c r="AA575" s="2"/>
      <c r="AB575" s="2"/>
      <c r="AC575" s="2"/>
    </row>
    <row r="576">
      <c r="A576" s="2"/>
      <c r="B576" s="2"/>
      <c r="C576" s="2"/>
      <c r="D576" s="2"/>
      <c r="E576" s="2"/>
      <c r="F576" s="2"/>
      <c r="G576" s="2"/>
      <c r="H576" s="2"/>
      <c r="I576" s="2"/>
      <c r="J576" s="2"/>
      <c r="K576" s="2"/>
      <c r="L576" s="2"/>
      <c r="M576" s="2"/>
      <c r="N576" s="2"/>
      <c r="O576" s="3"/>
      <c r="P576" s="3"/>
      <c r="Q576" s="2"/>
      <c r="R576" s="2"/>
      <c r="S576" s="2"/>
      <c r="T576" s="2"/>
      <c r="U576" s="2"/>
      <c r="V576" s="2"/>
      <c r="W576" s="2"/>
      <c r="X576" s="2"/>
      <c r="Y576" s="2"/>
      <c r="Z576" s="2"/>
      <c r="AA576" s="2"/>
      <c r="AB576" s="2"/>
      <c r="AC576" s="2"/>
    </row>
    <row r="577">
      <c r="A577" s="2"/>
      <c r="B577" s="2"/>
      <c r="C577" s="2"/>
      <c r="D577" s="2"/>
      <c r="E577" s="2"/>
      <c r="F577" s="2"/>
      <c r="G577" s="2"/>
      <c r="H577" s="2"/>
      <c r="I577" s="2"/>
      <c r="J577" s="2"/>
      <c r="K577" s="2"/>
      <c r="L577" s="2"/>
      <c r="M577" s="2"/>
      <c r="N577" s="2"/>
      <c r="O577" s="3"/>
      <c r="P577" s="3"/>
      <c r="Q577" s="2"/>
      <c r="R577" s="2"/>
      <c r="S577" s="2"/>
      <c r="T577" s="2"/>
      <c r="U577" s="2"/>
      <c r="V577" s="2"/>
      <c r="W577" s="2"/>
      <c r="X577" s="2"/>
      <c r="Y577" s="2"/>
      <c r="Z577" s="2"/>
      <c r="AA577" s="2"/>
      <c r="AB577" s="2"/>
      <c r="AC577" s="2"/>
    </row>
    <row r="578">
      <c r="A578" s="2"/>
      <c r="B578" s="2"/>
      <c r="C578" s="2"/>
      <c r="D578" s="2"/>
      <c r="E578" s="2"/>
      <c r="F578" s="2"/>
      <c r="G578" s="2"/>
      <c r="H578" s="2"/>
      <c r="I578" s="2"/>
      <c r="J578" s="2"/>
      <c r="K578" s="2"/>
      <c r="L578" s="2"/>
      <c r="M578" s="2"/>
      <c r="N578" s="2"/>
      <c r="O578" s="3"/>
      <c r="P578" s="3"/>
      <c r="Q578" s="2"/>
      <c r="R578" s="2"/>
      <c r="S578" s="2"/>
      <c r="T578" s="2"/>
      <c r="U578" s="2"/>
      <c r="V578" s="2"/>
      <c r="W578" s="2"/>
      <c r="X578" s="2"/>
      <c r="Y578" s="2"/>
      <c r="Z578" s="2"/>
      <c r="AA578" s="2"/>
      <c r="AB578" s="2"/>
      <c r="AC578" s="2"/>
    </row>
    <row r="579">
      <c r="A579" s="2"/>
      <c r="B579" s="2"/>
      <c r="C579" s="2"/>
      <c r="D579" s="2"/>
      <c r="E579" s="2"/>
      <c r="F579" s="2"/>
      <c r="G579" s="2"/>
      <c r="H579" s="2"/>
      <c r="I579" s="2"/>
      <c r="J579" s="2"/>
      <c r="K579" s="2"/>
      <c r="L579" s="2"/>
      <c r="M579" s="2"/>
      <c r="N579" s="2"/>
      <c r="O579" s="3"/>
      <c r="P579" s="3"/>
      <c r="Q579" s="2"/>
      <c r="R579" s="2"/>
      <c r="S579" s="2"/>
      <c r="T579" s="2"/>
      <c r="U579" s="2"/>
      <c r="V579" s="2"/>
      <c r="W579" s="2"/>
      <c r="X579" s="2"/>
      <c r="Y579" s="2"/>
      <c r="Z579" s="2"/>
      <c r="AA579" s="2"/>
      <c r="AB579" s="2"/>
      <c r="AC579" s="2"/>
    </row>
    <row r="580">
      <c r="A580" s="2"/>
      <c r="B580" s="2"/>
      <c r="C580" s="2"/>
      <c r="D580" s="2"/>
      <c r="E580" s="2"/>
      <c r="F580" s="2"/>
      <c r="G580" s="2"/>
      <c r="H580" s="2"/>
      <c r="I580" s="2"/>
      <c r="J580" s="2"/>
      <c r="K580" s="2"/>
      <c r="L580" s="2"/>
      <c r="M580" s="2"/>
      <c r="N580" s="2"/>
      <c r="O580" s="3"/>
      <c r="P580" s="3"/>
      <c r="Q580" s="2"/>
      <c r="R580" s="2"/>
      <c r="S580" s="2"/>
      <c r="T580" s="2"/>
      <c r="U580" s="2"/>
      <c r="V580" s="2"/>
      <c r="W580" s="2"/>
      <c r="X580" s="2"/>
      <c r="Y580" s="2"/>
      <c r="Z580" s="2"/>
      <c r="AA580" s="2"/>
      <c r="AB580" s="2"/>
      <c r="AC580" s="2"/>
    </row>
    <row r="581">
      <c r="A581" s="2"/>
      <c r="B581" s="2"/>
      <c r="C581" s="2"/>
      <c r="D581" s="2"/>
      <c r="E581" s="2"/>
      <c r="F581" s="2"/>
      <c r="G581" s="2"/>
      <c r="H581" s="2"/>
      <c r="I581" s="2"/>
      <c r="J581" s="2"/>
      <c r="K581" s="2"/>
      <c r="L581" s="2"/>
      <c r="M581" s="2"/>
      <c r="N581" s="2"/>
      <c r="O581" s="3"/>
      <c r="P581" s="3"/>
      <c r="Q581" s="2"/>
      <c r="R581" s="2"/>
      <c r="S581" s="2"/>
      <c r="T581" s="2"/>
      <c r="U581" s="2"/>
      <c r="V581" s="2"/>
      <c r="W581" s="2"/>
      <c r="X581" s="2"/>
      <c r="Y581" s="2"/>
      <c r="Z581" s="2"/>
      <c r="AA581" s="2"/>
      <c r="AB581" s="2"/>
      <c r="AC581" s="2"/>
    </row>
    <row r="582">
      <c r="A582" s="2"/>
      <c r="B582" s="2"/>
      <c r="C582" s="2"/>
      <c r="D582" s="2"/>
      <c r="E582" s="2"/>
      <c r="F582" s="2"/>
      <c r="G582" s="2"/>
      <c r="H582" s="2"/>
      <c r="I582" s="2"/>
      <c r="J582" s="2"/>
      <c r="K582" s="2"/>
      <c r="L582" s="2"/>
      <c r="M582" s="2"/>
      <c r="N582" s="2"/>
      <c r="O582" s="3"/>
      <c r="P582" s="3"/>
      <c r="Q582" s="2"/>
      <c r="R582" s="2"/>
      <c r="S582" s="2"/>
      <c r="T582" s="2"/>
      <c r="U582" s="2"/>
      <c r="V582" s="2"/>
      <c r="W582" s="2"/>
      <c r="X582" s="2"/>
      <c r="Y582" s="2"/>
      <c r="Z582" s="2"/>
      <c r="AA582" s="2"/>
      <c r="AB582" s="2"/>
      <c r="AC582" s="2"/>
    </row>
    <row r="583">
      <c r="A583" s="2"/>
      <c r="B583" s="2"/>
      <c r="C583" s="2"/>
      <c r="D583" s="2"/>
      <c r="E583" s="2"/>
      <c r="F583" s="2"/>
      <c r="G583" s="2"/>
      <c r="H583" s="2"/>
      <c r="I583" s="2"/>
      <c r="J583" s="2"/>
      <c r="K583" s="2"/>
      <c r="L583" s="2"/>
      <c r="M583" s="2"/>
      <c r="N583" s="2"/>
      <c r="O583" s="3"/>
      <c r="P583" s="3"/>
      <c r="Q583" s="2"/>
      <c r="R583" s="2"/>
      <c r="S583" s="2"/>
      <c r="T583" s="2"/>
      <c r="U583" s="2"/>
      <c r="V583" s="2"/>
      <c r="W583" s="2"/>
      <c r="X583" s="2"/>
      <c r="Y583" s="2"/>
      <c r="Z583" s="2"/>
      <c r="AA583" s="2"/>
      <c r="AB583" s="2"/>
      <c r="AC583" s="2"/>
    </row>
    <row r="584">
      <c r="A584" s="2"/>
      <c r="B584" s="2"/>
      <c r="C584" s="2"/>
      <c r="D584" s="2"/>
      <c r="E584" s="2"/>
      <c r="F584" s="2"/>
      <c r="G584" s="2"/>
      <c r="H584" s="2"/>
      <c r="I584" s="2"/>
      <c r="J584" s="2"/>
      <c r="K584" s="2"/>
      <c r="L584" s="2"/>
      <c r="M584" s="2"/>
      <c r="N584" s="2"/>
      <c r="O584" s="3"/>
      <c r="P584" s="3"/>
      <c r="Q584" s="2"/>
      <c r="R584" s="2"/>
      <c r="S584" s="2"/>
      <c r="T584" s="2"/>
      <c r="U584" s="2"/>
      <c r="V584" s="2"/>
      <c r="W584" s="2"/>
      <c r="X584" s="2"/>
      <c r="Y584" s="2"/>
      <c r="Z584" s="2"/>
      <c r="AA584" s="2"/>
      <c r="AB584" s="2"/>
      <c r="AC584" s="2"/>
    </row>
    <row r="585">
      <c r="A585" s="2"/>
      <c r="B585" s="2"/>
      <c r="C585" s="2"/>
      <c r="D585" s="2"/>
      <c r="E585" s="2"/>
      <c r="F585" s="2"/>
      <c r="G585" s="2"/>
      <c r="H585" s="2"/>
      <c r="I585" s="2"/>
      <c r="J585" s="2"/>
      <c r="K585" s="2"/>
      <c r="L585" s="2"/>
      <c r="M585" s="2"/>
      <c r="N585" s="2"/>
      <c r="O585" s="3"/>
      <c r="P585" s="3"/>
      <c r="Q585" s="2"/>
      <c r="R585" s="2"/>
      <c r="S585" s="2"/>
      <c r="T585" s="2"/>
      <c r="U585" s="2"/>
      <c r="V585" s="2"/>
      <c r="W585" s="2"/>
      <c r="X585" s="2"/>
      <c r="Y585" s="2"/>
      <c r="Z585" s="2"/>
      <c r="AA585" s="2"/>
      <c r="AB585" s="2"/>
      <c r="AC585" s="2"/>
    </row>
    <row r="586">
      <c r="A586" s="2"/>
      <c r="B586" s="2"/>
      <c r="C586" s="2"/>
      <c r="D586" s="2"/>
      <c r="E586" s="2"/>
      <c r="F586" s="2"/>
      <c r="G586" s="2"/>
      <c r="H586" s="2"/>
      <c r="I586" s="2"/>
      <c r="J586" s="2"/>
      <c r="K586" s="2"/>
      <c r="L586" s="2"/>
      <c r="M586" s="2"/>
      <c r="N586" s="2"/>
      <c r="O586" s="3"/>
      <c r="P586" s="3"/>
      <c r="Q586" s="2"/>
      <c r="R586" s="2"/>
      <c r="S586" s="2"/>
      <c r="T586" s="2"/>
      <c r="U586" s="2"/>
      <c r="V586" s="2"/>
      <c r="W586" s="2"/>
      <c r="X586" s="2"/>
      <c r="Y586" s="2"/>
      <c r="Z586" s="2"/>
      <c r="AA586" s="2"/>
      <c r="AB586" s="2"/>
      <c r="AC586" s="2"/>
    </row>
    <row r="587">
      <c r="A587" s="2"/>
      <c r="B587" s="2"/>
      <c r="C587" s="2"/>
      <c r="D587" s="2"/>
      <c r="E587" s="2"/>
      <c r="F587" s="2"/>
      <c r="G587" s="2"/>
      <c r="H587" s="2"/>
      <c r="I587" s="2"/>
      <c r="J587" s="2"/>
      <c r="K587" s="2"/>
      <c r="L587" s="2"/>
      <c r="M587" s="2"/>
      <c r="N587" s="2"/>
      <c r="O587" s="3"/>
      <c r="P587" s="3"/>
      <c r="Q587" s="2"/>
      <c r="R587" s="2"/>
      <c r="S587" s="2"/>
      <c r="T587" s="2"/>
      <c r="U587" s="2"/>
      <c r="V587" s="2"/>
      <c r="W587" s="2"/>
      <c r="X587" s="2"/>
      <c r="Y587" s="2"/>
      <c r="Z587" s="2"/>
      <c r="AA587" s="2"/>
      <c r="AB587" s="2"/>
      <c r="AC587" s="2"/>
    </row>
    <row r="588">
      <c r="A588" s="2"/>
      <c r="B588" s="2"/>
      <c r="C588" s="2"/>
      <c r="D588" s="2"/>
      <c r="E588" s="2"/>
      <c r="F588" s="2"/>
      <c r="G588" s="2"/>
      <c r="H588" s="2"/>
      <c r="I588" s="2"/>
      <c r="J588" s="2"/>
      <c r="K588" s="2"/>
      <c r="L588" s="2"/>
      <c r="M588" s="2"/>
      <c r="N588" s="2"/>
      <c r="O588" s="3"/>
      <c r="P588" s="3"/>
      <c r="Q588" s="2"/>
      <c r="R588" s="2"/>
      <c r="S588" s="2"/>
      <c r="T588" s="2"/>
      <c r="U588" s="2"/>
      <c r="V588" s="2"/>
      <c r="W588" s="2"/>
      <c r="X588" s="2"/>
      <c r="Y588" s="2"/>
      <c r="Z588" s="2"/>
      <c r="AA588" s="2"/>
      <c r="AB588" s="2"/>
      <c r="AC588" s="2"/>
    </row>
    <row r="589">
      <c r="A589" s="2"/>
      <c r="B589" s="2"/>
      <c r="C589" s="2"/>
      <c r="D589" s="2"/>
      <c r="E589" s="2"/>
      <c r="F589" s="2"/>
      <c r="G589" s="2"/>
      <c r="H589" s="2"/>
      <c r="I589" s="2"/>
      <c r="J589" s="2"/>
      <c r="K589" s="2"/>
      <c r="L589" s="2"/>
      <c r="M589" s="2"/>
      <c r="N589" s="2"/>
      <c r="O589" s="3"/>
      <c r="P589" s="3"/>
      <c r="Q589" s="2"/>
      <c r="R589" s="2"/>
      <c r="S589" s="2"/>
      <c r="T589" s="2"/>
      <c r="U589" s="2"/>
      <c r="V589" s="2"/>
      <c r="W589" s="2"/>
      <c r="X589" s="2"/>
      <c r="Y589" s="2"/>
      <c r="Z589" s="2"/>
      <c r="AA589" s="2"/>
      <c r="AB589" s="2"/>
      <c r="AC589" s="2"/>
    </row>
    <row r="590">
      <c r="A590" s="2"/>
      <c r="B590" s="2"/>
      <c r="C590" s="2"/>
      <c r="D590" s="2"/>
      <c r="E590" s="2"/>
      <c r="F590" s="2"/>
      <c r="G590" s="2"/>
      <c r="H590" s="2"/>
      <c r="I590" s="2"/>
      <c r="J590" s="2"/>
      <c r="K590" s="2"/>
      <c r="L590" s="2"/>
      <c r="M590" s="2"/>
      <c r="N590" s="2"/>
      <c r="O590" s="3"/>
      <c r="P590" s="3"/>
      <c r="Q590" s="2"/>
      <c r="R590" s="2"/>
      <c r="S590" s="2"/>
      <c r="T590" s="2"/>
      <c r="U590" s="2"/>
      <c r="V590" s="2"/>
      <c r="W590" s="2"/>
      <c r="X590" s="2"/>
      <c r="Y590" s="2"/>
      <c r="Z590" s="2"/>
      <c r="AA590" s="2"/>
      <c r="AB590" s="2"/>
      <c r="AC590" s="2"/>
    </row>
    <row r="591">
      <c r="A591" s="2"/>
      <c r="B591" s="2"/>
      <c r="C591" s="2"/>
      <c r="D591" s="2"/>
      <c r="E591" s="2"/>
      <c r="F591" s="2"/>
      <c r="G591" s="2"/>
      <c r="H591" s="2"/>
      <c r="I591" s="2"/>
      <c r="J591" s="2"/>
      <c r="K591" s="2"/>
      <c r="L591" s="2"/>
      <c r="M591" s="2"/>
      <c r="N591" s="2"/>
      <c r="O591" s="3"/>
      <c r="P591" s="3"/>
      <c r="Q591" s="2"/>
      <c r="R591" s="2"/>
      <c r="S591" s="2"/>
      <c r="T591" s="2"/>
      <c r="U591" s="2"/>
      <c r="V591" s="2"/>
      <c r="W591" s="2"/>
      <c r="X591" s="2"/>
      <c r="Y591" s="2"/>
      <c r="Z591" s="2"/>
      <c r="AA591" s="2"/>
      <c r="AB591" s="2"/>
      <c r="AC591" s="2"/>
    </row>
    <row r="592">
      <c r="A592" s="2"/>
      <c r="B592" s="2"/>
      <c r="C592" s="2"/>
      <c r="D592" s="2"/>
      <c r="E592" s="2"/>
      <c r="F592" s="2"/>
      <c r="G592" s="2"/>
      <c r="H592" s="2"/>
      <c r="I592" s="2"/>
      <c r="J592" s="2"/>
      <c r="K592" s="2"/>
      <c r="L592" s="2"/>
      <c r="M592" s="2"/>
      <c r="N592" s="2"/>
      <c r="O592" s="3"/>
      <c r="P592" s="3"/>
      <c r="Q592" s="2"/>
      <c r="R592" s="2"/>
      <c r="S592" s="2"/>
      <c r="T592" s="2"/>
      <c r="U592" s="2"/>
      <c r="V592" s="2"/>
      <c r="W592" s="2"/>
      <c r="X592" s="2"/>
      <c r="Y592" s="2"/>
      <c r="Z592" s="2"/>
      <c r="AA592" s="2"/>
      <c r="AB592" s="2"/>
      <c r="AC592" s="2"/>
    </row>
    <row r="593">
      <c r="A593" s="2"/>
      <c r="B593" s="2"/>
      <c r="C593" s="2"/>
      <c r="D593" s="2"/>
      <c r="E593" s="2"/>
      <c r="F593" s="2"/>
      <c r="G593" s="2"/>
      <c r="H593" s="2"/>
      <c r="I593" s="2"/>
      <c r="J593" s="2"/>
      <c r="K593" s="2"/>
      <c r="L593" s="2"/>
      <c r="M593" s="2"/>
      <c r="N593" s="2"/>
      <c r="O593" s="3"/>
      <c r="P593" s="3"/>
      <c r="Q593" s="2"/>
      <c r="R593" s="2"/>
      <c r="S593" s="2"/>
      <c r="T593" s="2"/>
      <c r="U593" s="2"/>
      <c r="V593" s="2"/>
      <c r="W593" s="2"/>
      <c r="X593" s="2"/>
      <c r="Y593" s="2"/>
      <c r="Z593" s="2"/>
      <c r="AA593" s="2"/>
      <c r="AB593" s="2"/>
      <c r="AC593" s="2"/>
    </row>
    <row r="594">
      <c r="A594" s="2"/>
      <c r="B594" s="2"/>
      <c r="C594" s="2"/>
      <c r="D594" s="2"/>
      <c r="E594" s="2"/>
      <c r="F594" s="2"/>
      <c r="G594" s="2"/>
      <c r="H594" s="2"/>
      <c r="I594" s="2"/>
      <c r="J594" s="2"/>
      <c r="K594" s="2"/>
      <c r="L594" s="2"/>
      <c r="M594" s="2"/>
      <c r="N594" s="2"/>
      <c r="O594" s="3"/>
      <c r="P594" s="3"/>
      <c r="Q594" s="2"/>
      <c r="R594" s="2"/>
      <c r="S594" s="2"/>
      <c r="T594" s="2"/>
      <c r="U594" s="2"/>
      <c r="V594" s="2"/>
      <c r="W594" s="2"/>
      <c r="X594" s="2"/>
      <c r="Y594" s="2"/>
      <c r="Z594" s="2"/>
      <c r="AA594" s="2"/>
      <c r="AB594" s="2"/>
      <c r="AC594" s="2"/>
    </row>
    <row r="595">
      <c r="A595" s="2"/>
      <c r="B595" s="2"/>
      <c r="C595" s="2"/>
      <c r="D595" s="2"/>
      <c r="E595" s="2"/>
      <c r="F595" s="2"/>
      <c r="G595" s="2"/>
      <c r="H595" s="2"/>
      <c r="I595" s="2"/>
      <c r="J595" s="2"/>
      <c r="K595" s="2"/>
      <c r="L595" s="2"/>
      <c r="M595" s="2"/>
      <c r="N595" s="2"/>
      <c r="O595" s="3"/>
      <c r="P595" s="3"/>
      <c r="Q595" s="2"/>
      <c r="R595" s="2"/>
      <c r="S595" s="2"/>
      <c r="T595" s="2"/>
      <c r="U595" s="2"/>
      <c r="V595" s="2"/>
      <c r="W595" s="2"/>
      <c r="X595" s="2"/>
      <c r="Y595" s="2"/>
      <c r="Z595" s="2"/>
      <c r="AA595" s="2"/>
      <c r="AB595" s="2"/>
      <c r="AC595" s="2"/>
    </row>
    <row r="596">
      <c r="A596" s="2"/>
      <c r="B596" s="2"/>
      <c r="C596" s="2"/>
      <c r="D596" s="2"/>
      <c r="E596" s="2"/>
      <c r="F596" s="2"/>
      <c r="G596" s="2"/>
      <c r="H596" s="2"/>
      <c r="I596" s="2"/>
      <c r="J596" s="2"/>
      <c r="K596" s="2"/>
      <c r="L596" s="2"/>
      <c r="M596" s="2"/>
      <c r="N596" s="2"/>
      <c r="O596" s="3"/>
      <c r="P596" s="3"/>
      <c r="Q596" s="2"/>
      <c r="R596" s="2"/>
      <c r="S596" s="2"/>
      <c r="T596" s="2"/>
      <c r="U596" s="2"/>
      <c r="V596" s="2"/>
      <c r="W596" s="2"/>
      <c r="X596" s="2"/>
      <c r="Y596" s="2"/>
      <c r="Z596" s="2"/>
      <c r="AA596" s="2"/>
      <c r="AB596" s="2"/>
      <c r="AC596" s="2"/>
    </row>
    <row r="597">
      <c r="A597" s="2"/>
      <c r="B597" s="2"/>
      <c r="C597" s="2"/>
      <c r="D597" s="2"/>
      <c r="E597" s="2"/>
      <c r="F597" s="2"/>
      <c r="G597" s="2"/>
      <c r="H597" s="2"/>
      <c r="I597" s="2"/>
      <c r="J597" s="2"/>
      <c r="K597" s="2"/>
      <c r="L597" s="2"/>
      <c r="M597" s="2"/>
      <c r="N597" s="2"/>
      <c r="O597" s="3"/>
      <c r="P597" s="3"/>
      <c r="Q597" s="2"/>
      <c r="R597" s="2"/>
      <c r="S597" s="2"/>
      <c r="T597" s="2"/>
      <c r="U597" s="2"/>
      <c r="V597" s="2"/>
      <c r="W597" s="2"/>
      <c r="X597" s="2"/>
      <c r="Y597" s="2"/>
      <c r="Z597" s="2"/>
      <c r="AA597" s="2"/>
      <c r="AB597" s="2"/>
      <c r="AC597" s="2"/>
    </row>
    <row r="598">
      <c r="A598" s="2"/>
      <c r="B598" s="2"/>
      <c r="C598" s="2"/>
      <c r="D598" s="2"/>
      <c r="E598" s="2"/>
      <c r="F598" s="2"/>
      <c r="G598" s="2"/>
      <c r="H598" s="2"/>
      <c r="I598" s="2"/>
      <c r="J598" s="2"/>
      <c r="K598" s="2"/>
      <c r="L598" s="2"/>
      <c r="M598" s="2"/>
      <c r="N598" s="2"/>
      <c r="O598" s="3"/>
      <c r="P598" s="3"/>
      <c r="Q598" s="2"/>
      <c r="R598" s="2"/>
      <c r="S598" s="2"/>
      <c r="T598" s="2"/>
      <c r="U598" s="2"/>
      <c r="V598" s="2"/>
      <c r="W598" s="2"/>
      <c r="X598" s="2"/>
      <c r="Y598" s="2"/>
      <c r="Z598" s="2"/>
      <c r="AA598" s="2"/>
      <c r="AB598" s="2"/>
      <c r="AC598" s="2"/>
    </row>
    <row r="599">
      <c r="A599" s="2"/>
      <c r="B599" s="2"/>
      <c r="C599" s="2"/>
      <c r="D599" s="2"/>
      <c r="E599" s="2"/>
      <c r="F599" s="2"/>
      <c r="G599" s="2"/>
      <c r="H599" s="2"/>
      <c r="I599" s="2"/>
      <c r="J599" s="2"/>
      <c r="K599" s="2"/>
      <c r="L599" s="2"/>
      <c r="M599" s="2"/>
      <c r="N599" s="2"/>
      <c r="O599" s="3"/>
      <c r="P599" s="3"/>
      <c r="Q599" s="2"/>
      <c r="R599" s="2"/>
      <c r="S599" s="2"/>
      <c r="T599" s="2"/>
      <c r="U599" s="2"/>
      <c r="V599" s="2"/>
      <c r="W599" s="2"/>
      <c r="X599" s="2"/>
      <c r="Y599" s="2"/>
      <c r="Z599" s="2"/>
      <c r="AA599" s="2"/>
      <c r="AB599" s="2"/>
      <c r="AC599" s="2"/>
    </row>
    <row r="600">
      <c r="A600" s="2"/>
      <c r="B600" s="2"/>
      <c r="C600" s="2"/>
      <c r="D600" s="2"/>
      <c r="E600" s="2"/>
      <c r="F600" s="2"/>
      <c r="G600" s="2"/>
      <c r="H600" s="2"/>
      <c r="I600" s="2"/>
      <c r="J600" s="2"/>
      <c r="K600" s="2"/>
      <c r="L600" s="2"/>
      <c r="M600" s="2"/>
      <c r="N600" s="2"/>
      <c r="O600" s="3"/>
      <c r="P600" s="3"/>
      <c r="Q600" s="2"/>
      <c r="R600" s="2"/>
      <c r="S600" s="2"/>
      <c r="T600" s="2"/>
      <c r="U600" s="2"/>
      <c r="V600" s="2"/>
      <c r="W600" s="2"/>
      <c r="X600" s="2"/>
      <c r="Y600" s="2"/>
      <c r="Z600" s="2"/>
      <c r="AA600" s="2"/>
      <c r="AB600" s="2"/>
      <c r="AC600" s="2"/>
    </row>
    <row r="601">
      <c r="A601" s="2"/>
      <c r="B601" s="2"/>
      <c r="C601" s="2"/>
      <c r="D601" s="2"/>
      <c r="E601" s="2"/>
      <c r="F601" s="2"/>
      <c r="G601" s="2"/>
      <c r="H601" s="2"/>
      <c r="I601" s="2"/>
      <c r="J601" s="2"/>
      <c r="K601" s="2"/>
      <c r="L601" s="2"/>
      <c r="M601" s="2"/>
      <c r="N601" s="2"/>
      <c r="O601" s="3"/>
      <c r="P601" s="3"/>
      <c r="Q601" s="2"/>
      <c r="R601" s="2"/>
      <c r="S601" s="2"/>
      <c r="T601" s="2"/>
      <c r="U601" s="2"/>
      <c r="V601" s="2"/>
      <c r="W601" s="2"/>
      <c r="X601" s="2"/>
      <c r="Y601" s="2"/>
      <c r="Z601" s="2"/>
      <c r="AA601" s="2"/>
      <c r="AB601" s="2"/>
      <c r="AC601" s="2"/>
    </row>
    <row r="602">
      <c r="A602" s="2"/>
      <c r="B602" s="2"/>
      <c r="C602" s="2"/>
      <c r="D602" s="2"/>
      <c r="E602" s="2"/>
      <c r="F602" s="2"/>
      <c r="G602" s="2"/>
      <c r="H602" s="2"/>
      <c r="I602" s="2"/>
      <c r="J602" s="2"/>
      <c r="K602" s="2"/>
      <c r="L602" s="2"/>
      <c r="M602" s="2"/>
      <c r="N602" s="2"/>
      <c r="O602" s="3"/>
      <c r="P602" s="3"/>
      <c r="Q602" s="2"/>
      <c r="R602" s="2"/>
      <c r="S602" s="2"/>
      <c r="T602" s="2"/>
      <c r="U602" s="2"/>
      <c r="V602" s="2"/>
      <c r="W602" s="2"/>
      <c r="X602" s="2"/>
      <c r="Y602" s="2"/>
      <c r="Z602" s="2"/>
      <c r="AA602" s="2"/>
      <c r="AB602" s="2"/>
      <c r="AC602" s="2"/>
    </row>
    <row r="603">
      <c r="A603" s="2"/>
      <c r="B603" s="2"/>
      <c r="C603" s="2"/>
      <c r="D603" s="2"/>
      <c r="E603" s="2"/>
      <c r="F603" s="2"/>
      <c r="G603" s="2"/>
      <c r="H603" s="2"/>
      <c r="I603" s="2"/>
      <c r="J603" s="2"/>
      <c r="K603" s="2"/>
      <c r="L603" s="2"/>
      <c r="M603" s="2"/>
      <c r="N603" s="2"/>
      <c r="O603" s="3"/>
      <c r="P603" s="3"/>
      <c r="Q603" s="2"/>
      <c r="R603" s="2"/>
      <c r="S603" s="2"/>
      <c r="T603" s="2"/>
      <c r="U603" s="2"/>
      <c r="V603" s="2"/>
      <c r="W603" s="2"/>
      <c r="X603" s="2"/>
      <c r="Y603" s="2"/>
      <c r="Z603" s="2"/>
      <c r="AA603" s="2"/>
      <c r="AB603" s="2"/>
      <c r="AC603" s="2"/>
    </row>
    <row r="604">
      <c r="A604" s="2"/>
      <c r="B604" s="2"/>
      <c r="C604" s="2"/>
      <c r="D604" s="2"/>
      <c r="E604" s="2"/>
      <c r="F604" s="2"/>
      <c r="G604" s="2"/>
      <c r="H604" s="2"/>
      <c r="I604" s="2"/>
      <c r="J604" s="2"/>
      <c r="K604" s="2"/>
      <c r="L604" s="2"/>
      <c r="M604" s="2"/>
      <c r="N604" s="2"/>
      <c r="O604" s="3"/>
      <c r="P604" s="3"/>
      <c r="Q604" s="2"/>
      <c r="R604" s="2"/>
      <c r="S604" s="2"/>
      <c r="T604" s="2"/>
      <c r="U604" s="2"/>
      <c r="V604" s="2"/>
      <c r="W604" s="2"/>
      <c r="X604" s="2"/>
      <c r="Y604" s="2"/>
      <c r="Z604" s="2"/>
      <c r="AA604" s="2"/>
      <c r="AB604" s="2"/>
      <c r="AC604" s="2"/>
    </row>
    <row r="605">
      <c r="A605" s="2"/>
      <c r="B605" s="2"/>
      <c r="C605" s="2"/>
      <c r="D605" s="2"/>
      <c r="E605" s="2"/>
      <c r="F605" s="2"/>
      <c r="G605" s="2"/>
      <c r="H605" s="2"/>
      <c r="I605" s="2"/>
      <c r="J605" s="2"/>
      <c r="K605" s="2"/>
      <c r="L605" s="2"/>
      <c r="M605" s="2"/>
      <c r="N605" s="2"/>
      <c r="O605" s="3"/>
      <c r="P605" s="3"/>
      <c r="Q605" s="2"/>
      <c r="R605" s="2"/>
      <c r="S605" s="2"/>
      <c r="T605" s="2"/>
      <c r="U605" s="2"/>
      <c r="V605" s="2"/>
      <c r="W605" s="2"/>
      <c r="X605" s="2"/>
      <c r="Y605" s="2"/>
      <c r="Z605" s="2"/>
      <c r="AA605" s="2"/>
      <c r="AB605" s="2"/>
      <c r="AC605" s="2"/>
    </row>
    <row r="606">
      <c r="A606" s="2"/>
      <c r="B606" s="2"/>
      <c r="C606" s="2"/>
      <c r="D606" s="2"/>
      <c r="E606" s="2"/>
      <c r="F606" s="2"/>
      <c r="G606" s="2"/>
      <c r="H606" s="2"/>
      <c r="I606" s="2"/>
      <c r="J606" s="2"/>
      <c r="K606" s="2"/>
      <c r="L606" s="2"/>
      <c r="M606" s="2"/>
      <c r="N606" s="2"/>
      <c r="O606" s="3"/>
      <c r="P606" s="3"/>
      <c r="Q606" s="2"/>
      <c r="R606" s="2"/>
      <c r="S606" s="2"/>
      <c r="T606" s="2"/>
      <c r="U606" s="2"/>
      <c r="V606" s="2"/>
      <c r="W606" s="2"/>
      <c r="X606" s="2"/>
      <c r="Y606" s="2"/>
      <c r="Z606" s="2"/>
      <c r="AA606" s="2"/>
      <c r="AB606" s="2"/>
      <c r="AC606" s="2"/>
    </row>
    <row r="607">
      <c r="A607" s="2"/>
      <c r="B607" s="2"/>
      <c r="C607" s="2"/>
      <c r="D607" s="2"/>
      <c r="E607" s="2"/>
      <c r="F607" s="2"/>
      <c r="G607" s="2"/>
      <c r="H607" s="2"/>
      <c r="I607" s="2"/>
      <c r="J607" s="2"/>
      <c r="K607" s="2"/>
      <c r="L607" s="2"/>
      <c r="M607" s="2"/>
      <c r="N607" s="2"/>
      <c r="O607" s="3"/>
      <c r="P607" s="3"/>
      <c r="Q607" s="2"/>
      <c r="R607" s="2"/>
      <c r="S607" s="2"/>
      <c r="T607" s="2"/>
      <c r="U607" s="2"/>
      <c r="V607" s="2"/>
      <c r="W607" s="2"/>
      <c r="X607" s="2"/>
      <c r="Y607" s="2"/>
      <c r="Z607" s="2"/>
      <c r="AA607" s="2"/>
      <c r="AB607" s="2"/>
      <c r="AC607" s="2"/>
    </row>
    <row r="608">
      <c r="A608" s="2"/>
      <c r="B608" s="2"/>
      <c r="C608" s="2"/>
      <c r="D608" s="2"/>
      <c r="E608" s="2"/>
      <c r="F608" s="2"/>
      <c r="G608" s="2"/>
      <c r="H608" s="2"/>
      <c r="I608" s="2"/>
      <c r="J608" s="2"/>
      <c r="K608" s="2"/>
      <c r="L608" s="2"/>
      <c r="M608" s="2"/>
      <c r="N608" s="2"/>
      <c r="O608" s="3"/>
      <c r="P608" s="3"/>
      <c r="Q608" s="2"/>
      <c r="R608" s="2"/>
      <c r="S608" s="2"/>
      <c r="T608" s="2"/>
      <c r="U608" s="2"/>
      <c r="V608" s="2"/>
      <c r="W608" s="2"/>
      <c r="X608" s="2"/>
      <c r="Y608" s="2"/>
      <c r="Z608" s="2"/>
      <c r="AA608" s="2"/>
      <c r="AB608" s="2"/>
      <c r="AC608" s="2"/>
    </row>
    <row r="609">
      <c r="A609" s="2"/>
      <c r="B609" s="2"/>
      <c r="C609" s="2"/>
      <c r="D609" s="2"/>
      <c r="E609" s="2"/>
      <c r="F609" s="2"/>
      <c r="G609" s="2"/>
      <c r="H609" s="2"/>
      <c r="I609" s="2"/>
      <c r="J609" s="2"/>
      <c r="K609" s="2"/>
      <c r="L609" s="2"/>
      <c r="M609" s="2"/>
      <c r="N609" s="2"/>
      <c r="O609" s="3"/>
      <c r="P609" s="3"/>
      <c r="Q609" s="2"/>
      <c r="R609" s="2"/>
      <c r="S609" s="2"/>
      <c r="T609" s="2"/>
      <c r="U609" s="2"/>
      <c r="V609" s="2"/>
      <c r="W609" s="2"/>
      <c r="X609" s="2"/>
      <c r="Y609" s="2"/>
      <c r="Z609" s="2"/>
      <c r="AA609" s="2"/>
      <c r="AB609" s="2"/>
      <c r="AC609" s="2"/>
    </row>
    <row r="610">
      <c r="A610" s="2"/>
      <c r="B610" s="2"/>
      <c r="C610" s="2"/>
      <c r="D610" s="2"/>
      <c r="E610" s="2"/>
      <c r="F610" s="2"/>
      <c r="G610" s="2"/>
      <c r="H610" s="2"/>
      <c r="I610" s="2"/>
      <c r="J610" s="2"/>
      <c r="K610" s="2"/>
      <c r="L610" s="2"/>
      <c r="M610" s="2"/>
      <c r="N610" s="2"/>
      <c r="O610" s="3"/>
      <c r="P610" s="3"/>
      <c r="Q610" s="2"/>
      <c r="R610" s="2"/>
      <c r="S610" s="2"/>
      <c r="T610" s="2"/>
      <c r="U610" s="2"/>
      <c r="V610" s="2"/>
      <c r="W610" s="2"/>
      <c r="X610" s="2"/>
      <c r="Y610" s="2"/>
      <c r="Z610" s="2"/>
      <c r="AA610" s="2"/>
      <c r="AB610" s="2"/>
      <c r="AC610" s="2"/>
    </row>
    <row r="611">
      <c r="A611" s="2"/>
      <c r="B611" s="2"/>
      <c r="C611" s="2"/>
      <c r="D611" s="2"/>
      <c r="E611" s="2"/>
      <c r="F611" s="2"/>
      <c r="G611" s="2"/>
      <c r="H611" s="2"/>
      <c r="I611" s="2"/>
      <c r="J611" s="2"/>
      <c r="K611" s="2"/>
      <c r="L611" s="2"/>
      <c r="M611" s="2"/>
      <c r="N611" s="2"/>
      <c r="O611" s="3"/>
      <c r="P611" s="3"/>
      <c r="Q611" s="2"/>
      <c r="R611" s="2"/>
      <c r="S611" s="2"/>
      <c r="T611" s="2"/>
      <c r="U611" s="2"/>
      <c r="V611" s="2"/>
      <c r="W611" s="2"/>
      <c r="X611" s="2"/>
      <c r="Y611" s="2"/>
      <c r="Z611" s="2"/>
      <c r="AA611" s="2"/>
      <c r="AB611" s="2"/>
      <c r="AC611" s="2"/>
    </row>
    <row r="612">
      <c r="A612" s="2"/>
      <c r="B612" s="2"/>
      <c r="C612" s="2"/>
      <c r="D612" s="2"/>
      <c r="E612" s="2"/>
      <c r="F612" s="2"/>
      <c r="G612" s="2"/>
      <c r="H612" s="2"/>
      <c r="I612" s="2"/>
      <c r="J612" s="2"/>
      <c r="K612" s="2"/>
      <c r="L612" s="2"/>
      <c r="M612" s="2"/>
      <c r="N612" s="2"/>
      <c r="O612" s="3"/>
      <c r="P612" s="3"/>
      <c r="Q612" s="2"/>
      <c r="R612" s="2"/>
      <c r="S612" s="2"/>
      <c r="T612" s="2"/>
      <c r="U612" s="2"/>
      <c r="V612" s="2"/>
      <c r="W612" s="2"/>
      <c r="X612" s="2"/>
      <c r="Y612" s="2"/>
      <c r="Z612" s="2"/>
      <c r="AA612" s="2"/>
      <c r="AB612" s="2"/>
      <c r="AC612" s="2"/>
    </row>
    <row r="613">
      <c r="A613" s="2"/>
      <c r="B613" s="2"/>
      <c r="C613" s="2"/>
      <c r="D613" s="2"/>
      <c r="E613" s="2"/>
      <c r="F613" s="2"/>
      <c r="G613" s="2"/>
      <c r="H613" s="2"/>
      <c r="I613" s="2"/>
      <c r="J613" s="2"/>
      <c r="K613" s="2"/>
      <c r="L613" s="2"/>
      <c r="M613" s="2"/>
      <c r="N613" s="2"/>
      <c r="O613" s="3"/>
      <c r="P613" s="3"/>
      <c r="Q613" s="2"/>
      <c r="R613" s="2"/>
      <c r="S613" s="2"/>
      <c r="T613" s="2"/>
      <c r="U613" s="2"/>
      <c r="V613" s="2"/>
      <c r="W613" s="2"/>
      <c r="X613" s="2"/>
      <c r="Y613" s="2"/>
      <c r="Z613" s="2"/>
      <c r="AA613" s="2"/>
      <c r="AB613" s="2"/>
      <c r="AC613" s="2"/>
    </row>
    <row r="614">
      <c r="A614" s="2"/>
      <c r="B614" s="2"/>
      <c r="C614" s="2"/>
      <c r="D614" s="2"/>
      <c r="E614" s="2"/>
      <c r="F614" s="2"/>
      <c r="G614" s="2"/>
      <c r="H614" s="2"/>
      <c r="I614" s="2"/>
      <c r="J614" s="2"/>
      <c r="K614" s="2"/>
      <c r="L614" s="2"/>
      <c r="M614" s="2"/>
      <c r="N614" s="2"/>
      <c r="O614" s="3"/>
      <c r="P614" s="3"/>
      <c r="Q614" s="2"/>
      <c r="R614" s="2"/>
      <c r="S614" s="2"/>
      <c r="T614" s="2"/>
      <c r="U614" s="2"/>
      <c r="V614" s="2"/>
      <c r="W614" s="2"/>
      <c r="X614" s="2"/>
      <c r="Y614" s="2"/>
      <c r="Z614" s="2"/>
      <c r="AA614" s="2"/>
      <c r="AB614" s="2"/>
      <c r="AC614" s="2"/>
    </row>
    <row r="615">
      <c r="A615" s="2"/>
      <c r="B615" s="2"/>
      <c r="C615" s="2"/>
      <c r="D615" s="2"/>
      <c r="E615" s="2"/>
      <c r="F615" s="2"/>
      <c r="G615" s="2"/>
      <c r="H615" s="2"/>
      <c r="I615" s="2"/>
      <c r="J615" s="2"/>
      <c r="K615" s="2"/>
      <c r="L615" s="2"/>
      <c r="M615" s="2"/>
      <c r="N615" s="2"/>
      <c r="O615" s="3"/>
      <c r="P615" s="3"/>
      <c r="Q615" s="2"/>
      <c r="R615" s="2"/>
      <c r="S615" s="2"/>
      <c r="T615" s="2"/>
      <c r="U615" s="2"/>
      <c r="V615" s="2"/>
      <c r="W615" s="2"/>
      <c r="X615" s="2"/>
      <c r="Y615" s="2"/>
      <c r="Z615" s="2"/>
      <c r="AA615" s="2"/>
      <c r="AB615" s="2"/>
      <c r="AC615" s="2"/>
    </row>
    <row r="616">
      <c r="A616" s="2"/>
      <c r="B616" s="2"/>
      <c r="C616" s="2"/>
      <c r="D616" s="2"/>
      <c r="E616" s="2"/>
      <c r="F616" s="2"/>
      <c r="G616" s="2"/>
      <c r="H616" s="2"/>
      <c r="I616" s="2"/>
      <c r="J616" s="2"/>
      <c r="K616" s="2"/>
      <c r="L616" s="2"/>
      <c r="M616" s="2"/>
      <c r="N616" s="2"/>
      <c r="O616" s="3"/>
      <c r="P616" s="3"/>
      <c r="Q616" s="2"/>
      <c r="R616" s="2"/>
      <c r="S616" s="2"/>
      <c r="T616" s="2"/>
      <c r="U616" s="2"/>
      <c r="V616" s="2"/>
      <c r="W616" s="2"/>
      <c r="X616" s="2"/>
      <c r="Y616" s="2"/>
      <c r="Z616" s="2"/>
      <c r="AA616" s="2"/>
      <c r="AB616" s="2"/>
      <c r="AC616" s="2"/>
    </row>
    <row r="617">
      <c r="A617" s="2"/>
      <c r="B617" s="2"/>
      <c r="C617" s="2"/>
      <c r="D617" s="2"/>
      <c r="E617" s="2"/>
      <c r="F617" s="2"/>
      <c r="G617" s="2"/>
      <c r="H617" s="2"/>
      <c r="I617" s="2"/>
      <c r="J617" s="2"/>
      <c r="K617" s="2"/>
      <c r="L617" s="2"/>
      <c r="M617" s="2"/>
      <c r="N617" s="2"/>
      <c r="O617" s="3"/>
      <c r="P617" s="3"/>
      <c r="Q617" s="2"/>
      <c r="R617" s="2"/>
      <c r="S617" s="2"/>
      <c r="T617" s="2"/>
      <c r="U617" s="2"/>
      <c r="V617" s="2"/>
      <c r="W617" s="2"/>
      <c r="X617" s="2"/>
      <c r="Y617" s="2"/>
      <c r="Z617" s="2"/>
      <c r="AA617" s="2"/>
      <c r="AB617" s="2"/>
      <c r="AC617" s="2"/>
    </row>
    <row r="618">
      <c r="A618" s="2"/>
      <c r="B618" s="2"/>
      <c r="C618" s="2"/>
      <c r="D618" s="2"/>
      <c r="E618" s="2"/>
      <c r="F618" s="2"/>
      <c r="G618" s="2"/>
      <c r="H618" s="2"/>
      <c r="I618" s="2"/>
      <c r="J618" s="2"/>
      <c r="K618" s="2"/>
      <c r="L618" s="2"/>
      <c r="M618" s="2"/>
      <c r="N618" s="2"/>
      <c r="O618" s="3"/>
      <c r="P618" s="3"/>
      <c r="Q618" s="2"/>
      <c r="R618" s="2"/>
      <c r="S618" s="2"/>
      <c r="T618" s="2"/>
      <c r="U618" s="2"/>
      <c r="V618" s="2"/>
      <c r="W618" s="2"/>
      <c r="X618" s="2"/>
      <c r="Y618" s="2"/>
      <c r="Z618" s="2"/>
      <c r="AA618" s="2"/>
      <c r="AB618" s="2"/>
      <c r="AC618" s="2"/>
    </row>
    <row r="619">
      <c r="A619" s="2"/>
      <c r="B619" s="2"/>
      <c r="C619" s="2"/>
      <c r="D619" s="2"/>
      <c r="E619" s="2"/>
      <c r="F619" s="2"/>
      <c r="G619" s="2"/>
      <c r="H619" s="2"/>
      <c r="I619" s="2"/>
      <c r="J619" s="2"/>
      <c r="K619" s="2"/>
      <c r="L619" s="2"/>
      <c r="M619" s="2"/>
      <c r="N619" s="2"/>
      <c r="O619" s="3"/>
      <c r="P619" s="3"/>
      <c r="Q619" s="2"/>
      <c r="R619" s="2"/>
      <c r="S619" s="2"/>
      <c r="T619" s="2"/>
      <c r="U619" s="2"/>
      <c r="V619" s="2"/>
      <c r="W619" s="2"/>
      <c r="X619" s="2"/>
      <c r="Y619" s="2"/>
      <c r="Z619" s="2"/>
      <c r="AA619" s="2"/>
      <c r="AB619" s="2"/>
      <c r="AC619" s="2"/>
    </row>
    <row r="620">
      <c r="A620" s="2"/>
      <c r="B620" s="2"/>
      <c r="C620" s="2"/>
      <c r="D620" s="2"/>
      <c r="E620" s="2"/>
      <c r="F620" s="2"/>
      <c r="G620" s="2"/>
      <c r="H620" s="2"/>
      <c r="I620" s="2"/>
      <c r="J620" s="2"/>
      <c r="K620" s="2"/>
      <c r="L620" s="2"/>
      <c r="M620" s="2"/>
      <c r="N620" s="2"/>
      <c r="O620" s="3"/>
      <c r="P620" s="3"/>
      <c r="Q620" s="2"/>
      <c r="R620" s="2"/>
      <c r="S620" s="2"/>
      <c r="T620" s="2"/>
      <c r="U620" s="2"/>
      <c r="V620" s="2"/>
      <c r="W620" s="2"/>
      <c r="X620" s="2"/>
      <c r="Y620" s="2"/>
      <c r="Z620" s="2"/>
      <c r="AA620" s="2"/>
      <c r="AB620" s="2"/>
      <c r="AC620" s="2"/>
    </row>
    <row r="621">
      <c r="A621" s="2"/>
      <c r="B621" s="2"/>
      <c r="C621" s="2"/>
      <c r="D621" s="2"/>
      <c r="E621" s="2"/>
      <c r="F621" s="2"/>
      <c r="G621" s="2"/>
      <c r="H621" s="2"/>
      <c r="I621" s="2"/>
      <c r="J621" s="2"/>
      <c r="K621" s="2"/>
      <c r="L621" s="2"/>
      <c r="M621" s="2"/>
      <c r="N621" s="2"/>
      <c r="O621" s="3"/>
      <c r="P621" s="3"/>
      <c r="Q621" s="2"/>
      <c r="R621" s="2"/>
      <c r="S621" s="2"/>
      <c r="T621" s="2"/>
      <c r="U621" s="2"/>
      <c r="V621" s="2"/>
      <c r="W621" s="2"/>
      <c r="X621" s="2"/>
      <c r="Y621" s="2"/>
      <c r="Z621" s="2"/>
      <c r="AA621" s="2"/>
      <c r="AB621" s="2"/>
      <c r="AC621" s="2"/>
    </row>
    <row r="622">
      <c r="A622" s="2"/>
      <c r="B622" s="2"/>
      <c r="C622" s="2"/>
      <c r="D622" s="2"/>
      <c r="E622" s="2"/>
      <c r="F622" s="2"/>
      <c r="G622" s="2"/>
      <c r="H622" s="2"/>
      <c r="I622" s="2"/>
      <c r="J622" s="2"/>
      <c r="K622" s="2"/>
      <c r="L622" s="2"/>
      <c r="M622" s="2"/>
      <c r="N622" s="2"/>
      <c r="O622" s="3"/>
      <c r="P622" s="3"/>
      <c r="Q622" s="2"/>
      <c r="R622" s="2"/>
      <c r="S622" s="2"/>
      <c r="T622" s="2"/>
      <c r="U622" s="2"/>
      <c r="V622" s="2"/>
      <c r="W622" s="2"/>
      <c r="X622" s="2"/>
      <c r="Y622" s="2"/>
      <c r="Z622" s="2"/>
      <c r="AA622" s="2"/>
      <c r="AB622" s="2"/>
      <c r="AC622" s="2"/>
    </row>
    <row r="623">
      <c r="A623" s="2"/>
      <c r="B623" s="2"/>
      <c r="C623" s="2"/>
      <c r="D623" s="2"/>
      <c r="E623" s="2"/>
      <c r="F623" s="2"/>
      <c r="G623" s="2"/>
      <c r="H623" s="2"/>
      <c r="I623" s="2"/>
      <c r="J623" s="2"/>
      <c r="K623" s="2"/>
      <c r="L623" s="2"/>
      <c r="M623" s="2"/>
      <c r="N623" s="2"/>
      <c r="O623" s="3"/>
      <c r="P623" s="3"/>
      <c r="Q623" s="2"/>
      <c r="R623" s="2"/>
      <c r="S623" s="2"/>
      <c r="T623" s="2"/>
      <c r="U623" s="2"/>
      <c r="V623" s="2"/>
      <c r="W623" s="2"/>
      <c r="X623" s="2"/>
      <c r="Y623" s="2"/>
      <c r="Z623" s="2"/>
      <c r="AA623" s="2"/>
      <c r="AB623" s="2"/>
      <c r="AC623" s="2"/>
    </row>
    <row r="624">
      <c r="A624" s="2"/>
      <c r="B624" s="2"/>
      <c r="C624" s="2"/>
      <c r="D624" s="2"/>
      <c r="E624" s="2"/>
      <c r="F624" s="2"/>
      <c r="G624" s="2"/>
      <c r="H624" s="2"/>
      <c r="I624" s="2"/>
      <c r="J624" s="2"/>
      <c r="K624" s="2"/>
      <c r="L624" s="2"/>
      <c r="M624" s="2"/>
      <c r="N624" s="2"/>
      <c r="O624" s="3"/>
      <c r="P624" s="3"/>
      <c r="Q624" s="2"/>
      <c r="R624" s="2"/>
      <c r="S624" s="2"/>
      <c r="T624" s="2"/>
      <c r="U624" s="2"/>
      <c r="V624" s="2"/>
      <c r="W624" s="2"/>
      <c r="X624" s="2"/>
      <c r="Y624" s="2"/>
      <c r="Z624" s="2"/>
      <c r="AA624" s="2"/>
      <c r="AB624" s="2"/>
      <c r="AC624" s="2"/>
    </row>
    <row r="625">
      <c r="A625" s="2"/>
      <c r="B625" s="2"/>
      <c r="C625" s="2"/>
      <c r="D625" s="2"/>
      <c r="E625" s="2"/>
      <c r="F625" s="2"/>
      <c r="G625" s="2"/>
      <c r="H625" s="2"/>
      <c r="I625" s="2"/>
      <c r="J625" s="2"/>
      <c r="K625" s="2"/>
      <c r="L625" s="2"/>
      <c r="M625" s="2"/>
      <c r="N625" s="2"/>
      <c r="O625" s="3"/>
      <c r="P625" s="3"/>
      <c r="Q625" s="2"/>
      <c r="R625" s="2"/>
      <c r="S625" s="2"/>
      <c r="T625" s="2"/>
      <c r="U625" s="2"/>
      <c r="V625" s="2"/>
      <c r="W625" s="2"/>
      <c r="X625" s="2"/>
      <c r="Y625" s="2"/>
      <c r="Z625" s="2"/>
      <c r="AA625" s="2"/>
      <c r="AB625" s="2"/>
      <c r="AC625" s="2"/>
    </row>
    <row r="626">
      <c r="A626" s="2"/>
      <c r="B626" s="2"/>
      <c r="C626" s="2"/>
      <c r="D626" s="2"/>
      <c r="E626" s="2"/>
      <c r="F626" s="2"/>
      <c r="G626" s="2"/>
      <c r="H626" s="2"/>
      <c r="I626" s="2"/>
      <c r="J626" s="2"/>
      <c r="K626" s="2"/>
      <c r="L626" s="2"/>
      <c r="M626" s="2"/>
      <c r="N626" s="2"/>
      <c r="O626" s="3"/>
      <c r="P626" s="3"/>
      <c r="Q626" s="2"/>
      <c r="R626" s="2"/>
      <c r="S626" s="2"/>
      <c r="T626" s="2"/>
      <c r="U626" s="2"/>
      <c r="V626" s="2"/>
      <c r="W626" s="2"/>
      <c r="X626" s="2"/>
      <c r="Y626" s="2"/>
      <c r="Z626" s="2"/>
      <c r="AA626" s="2"/>
      <c r="AB626" s="2"/>
      <c r="AC626" s="2"/>
    </row>
    <row r="627">
      <c r="A627" s="2"/>
      <c r="B627" s="2"/>
      <c r="C627" s="2"/>
      <c r="D627" s="2"/>
      <c r="E627" s="2"/>
      <c r="F627" s="2"/>
      <c r="G627" s="2"/>
      <c r="H627" s="2"/>
      <c r="I627" s="2"/>
      <c r="J627" s="2"/>
      <c r="K627" s="2"/>
      <c r="L627" s="2"/>
      <c r="M627" s="2"/>
      <c r="N627" s="2"/>
      <c r="O627" s="3"/>
      <c r="P627" s="3"/>
      <c r="Q627" s="2"/>
      <c r="R627" s="2"/>
      <c r="S627" s="2"/>
      <c r="T627" s="2"/>
      <c r="U627" s="2"/>
      <c r="V627" s="2"/>
      <c r="W627" s="2"/>
      <c r="X627" s="2"/>
      <c r="Y627" s="2"/>
      <c r="Z627" s="2"/>
      <c r="AA627" s="2"/>
      <c r="AB627" s="2"/>
      <c r="AC627" s="2"/>
    </row>
    <row r="628">
      <c r="A628" s="2"/>
      <c r="B628" s="2"/>
      <c r="C628" s="2"/>
      <c r="D628" s="2"/>
      <c r="E628" s="2"/>
      <c r="F628" s="2"/>
      <c r="G628" s="2"/>
      <c r="H628" s="2"/>
      <c r="I628" s="2"/>
      <c r="J628" s="2"/>
      <c r="K628" s="2"/>
      <c r="L628" s="2"/>
      <c r="M628" s="2"/>
      <c r="N628" s="2"/>
      <c r="O628" s="3"/>
      <c r="P628" s="3"/>
      <c r="Q628" s="2"/>
      <c r="R628" s="2"/>
      <c r="S628" s="2"/>
      <c r="T628" s="2"/>
      <c r="U628" s="2"/>
      <c r="V628" s="2"/>
      <c r="W628" s="2"/>
      <c r="X628" s="2"/>
      <c r="Y628" s="2"/>
      <c r="Z628" s="2"/>
      <c r="AA628" s="2"/>
      <c r="AB628" s="2"/>
      <c r="AC628" s="2"/>
    </row>
    <row r="629">
      <c r="A629" s="2"/>
      <c r="B629" s="2"/>
      <c r="C629" s="2"/>
      <c r="D629" s="2"/>
      <c r="E629" s="2"/>
      <c r="F629" s="2"/>
      <c r="G629" s="2"/>
      <c r="H629" s="2"/>
      <c r="I629" s="2"/>
      <c r="J629" s="2"/>
      <c r="K629" s="2"/>
      <c r="L629" s="2"/>
      <c r="M629" s="2"/>
      <c r="N629" s="2"/>
      <c r="O629" s="3"/>
      <c r="P629" s="3"/>
      <c r="Q629" s="2"/>
      <c r="R629" s="2"/>
      <c r="S629" s="2"/>
      <c r="T629" s="2"/>
      <c r="U629" s="2"/>
      <c r="V629" s="2"/>
      <c r="W629" s="2"/>
      <c r="X629" s="2"/>
      <c r="Y629" s="2"/>
      <c r="Z629" s="2"/>
      <c r="AA629" s="2"/>
      <c r="AB629" s="2"/>
      <c r="AC629" s="2"/>
    </row>
    <row r="630">
      <c r="A630" s="2"/>
      <c r="B630" s="2"/>
      <c r="C630" s="2"/>
      <c r="D630" s="2"/>
      <c r="E630" s="2"/>
      <c r="F630" s="2"/>
      <c r="G630" s="2"/>
      <c r="H630" s="2"/>
      <c r="I630" s="2"/>
      <c r="J630" s="2"/>
      <c r="K630" s="2"/>
      <c r="L630" s="2"/>
      <c r="M630" s="2"/>
      <c r="N630" s="2"/>
      <c r="O630" s="3"/>
      <c r="P630" s="3"/>
      <c r="Q630" s="2"/>
      <c r="R630" s="2"/>
      <c r="S630" s="2"/>
      <c r="T630" s="2"/>
      <c r="U630" s="2"/>
      <c r="V630" s="2"/>
      <c r="W630" s="2"/>
      <c r="X630" s="2"/>
      <c r="Y630" s="2"/>
      <c r="Z630" s="2"/>
      <c r="AA630" s="2"/>
      <c r="AB630" s="2"/>
      <c r="AC630" s="2"/>
    </row>
    <row r="631">
      <c r="A631" s="2"/>
      <c r="B631" s="2"/>
      <c r="C631" s="2"/>
      <c r="D631" s="2"/>
      <c r="E631" s="2"/>
      <c r="F631" s="2"/>
      <c r="G631" s="2"/>
      <c r="H631" s="2"/>
      <c r="I631" s="2"/>
      <c r="J631" s="2"/>
      <c r="K631" s="2"/>
      <c r="L631" s="2"/>
      <c r="M631" s="2"/>
      <c r="N631" s="2"/>
      <c r="O631" s="3"/>
      <c r="P631" s="3"/>
      <c r="Q631" s="2"/>
      <c r="R631" s="2"/>
      <c r="S631" s="2"/>
      <c r="T631" s="2"/>
      <c r="U631" s="2"/>
      <c r="V631" s="2"/>
      <c r="W631" s="2"/>
      <c r="X631" s="2"/>
      <c r="Y631" s="2"/>
      <c r="Z631" s="2"/>
      <c r="AA631" s="2"/>
      <c r="AB631" s="2"/>
      <c r="AC631" s="2"/>
    </row>
    <row r="632">
      <c r="A632" s="2"/>
      <c r="B632" s="2"/>
      <c r="C632" s="2"/>
      <c r="D632" s="2"/>
      <c r="E632" s="2"/>
      <c r="F632" s="2"/>
      <c r="G632" s="2"/>
      <c r="H632" s="2"/>
      <c r="I632" s="2"/>
      <c r="J632" s="2"/>
      <c r="K632" s="2"/>
      <c r="L632" s="2"/>
      <c r="M632" s="2"/>
      <c r="N632" s="2"/>
      <c r="O632" s="3"/>
      <c r="P632" s="3"/>
      <c r="Q632" s="2"/>
      <c r="R632" s="2"/>
      <c r="S632" s="2"/>
      <c r="T632" s="2"/>
      <c r="U632" s="2"/>
      <c r="V632" s="2"/>
      <c r="W632" s="2"/>
      <c r="X632" s="2"/>
      <c r="Y632" s="2"/>
      <c r="Z632" s="2"/>
      <c r="AA632" s="2"/>
      <c r="AB632" s="2"/>
      <c r="AC632" s="2"/>
    </row>
    <row r="633">
      <c r="A633" s="2"/>
      <c r="B633" s="2"/>
      <c r="C633" s="2"/>
      <c r="D633" s="2"/>
      <c r="E633" s="2"/>
      <c r="F633" s="2"/>
      <c r="G633" s="2"/>
      <c r="H633" s="2"/>
      <c r="I633" s="2"/>
      <c r="J633" s="2"/>
      <c r="K633" s="2"/>
      <c r="L633" s="2"/>
      <c r="M633" s="2"/>
      <c r="N633" s="2"/>
      <c r="O633" s="3"/>
      <c r="P633" s="3"/>
      <c r="Q633" s="2"/>
      <c r="R633" s="2"/>
      <c r="S633" s="2"/>
      <c r="T633" s="2"/>
      <c r="U633" s="2"/>
      <c r="V633" s="2"/>
      <c r="W633" s="2"/>
      <c r="X633" s="2"/>
      <c r="Y633" s="2"/>
      <c r="Z633" s="2"/>
      <c r="AA633" s="2"/>
      <c r="AB633" s="2"/>
      <c r="AC633" s="2"/>
    </row>
    <row r="634">
      <c r="A634" s="2"/>
      <c r="B634" s="2"/>
      <c r="C634" s="2"/>
      <c r="D634" s="2"/>
      <c r="E634" s="2"/>
      <c r="F634" s="2"/>
      <c r="G634" s="2"/>
      <c r="H634" s="2"/>
      <c r="I634" s="2"/>
      <c r="J634" s="2"/>
      <c r="K634" s="2"/>
      <c r="L634" s="2"/>
      <c r="M634" s="2"/>
      <c r="N634" s="2"/>
      <c r="O634" s="3"/>
      <c r="P634" s="3"/>
      <c r="Q634" s="2"/>
      <c r="R634" s="2"/>
      <c r="S634" s="2"/>
      <c r="T634" s="2"/>
      <c r="U634" s="2"/>
      <c r="V634" s="2"/>
      <c r="W634" s="2"/>
      <c r="X634" s="2"/>
      <c r="Y634" s="2"/>
      <c r="Z634" s="2"/>
      <c r="AA634" s="2"/>
      <c r="AB634" s="2"/>
      <c r="AC634" s="2"/>
    </row>
    <row r="635">
      <c r="A635" s="2"/>
      <c r="B635" s="2"/>
      <c r="C635" s="2"/>
      <c r="D635" s="2"/>
      <c r="E635" s="2"/>
      <c r="F635" s="2"/>
      <c r="G635" s="2"/>
      <c r="H635" s="2"/>
      <c r="I635" s="2"/>
      <c r="J635" s="2"/>
      <c r="K635" s="2"/>
      <c r="L635" s="2"/>
      <c r="M635" s="2"/>
      <c r="N635" s="2"/>
      <c r="O635" s="3"/>
      <c r="P635" s="3"/>
      <c r="Q635" s="2"/>
      <c r="R635" s="2"/>
      <c r="S635" s="2"/>
      <c r="T635" s="2"/>
      <c r="U635" s="2"/>
      <c r="V635" s="2"/>
      <c r="W635" s="2"/>
      <c r="X635" s="2"/>
      <c r="Y635" s="2"/>
      <c r="Z635" s="2"/>
      <c r="AA635" s="2"/>
      <c r="AB635" s="2"/>
      <c r="AC635" s="2"/>
    </row>
    <row r="636">
      <c r="A636" s="2"/>
      <c r="B636" s="2"/>
      <c r="C636" s="2"/>
      <c r="D636" s="2"/>
      <c r="E636" s="2"/>
      <c r="F636" s="2"/>
      <c r="G636" s="2"/>
      <c r="H636" s="2"/>
      <c r="I636" s="2"/>
      <c r="J636" s="2"/>
      <c r="K636" s="2"/>
      <c r="L636" s="2"/>
      <c r="M636" s="2"/>
      <c r="N636" s="2"/>
      <c r="O636" s="3"/>
      <c r="P636" s="3"/>
      <c r="Q636" s="2"/>
      <c r="R636" s="2"/>
      <c r="S636" s="2"/>
      <c r="T636" s="2"/>
      <c r="U636" s="2"/>
      <c r="V636" s="2"/>
      <c r="W636" s="2"/>
      <c r="X636" s="2"/>
      <c r="Y636" s="2"/>
      <c r="Z636" s="2"/>
      <c r="AA636" s="2"/>
      <c r="AB636" s="2"/>
      <c r="AC636" s="2"/>
    </row>
    <row r="637">
      <c r="A637" s="2"/>
      <c r="B637" s="2"/>
      <c r="C637" s="2"/>
      <c r="D637" s="2"/>
      <c r="E637" s="2"/>
      <c r="F637" s="2"/>
      <c r="G637" s="2"/>
      <c r="H637" s="2"/>
      <c r="I637" s="2"/>
      <c r="J637" s="2"/>
      <c r="K637" s="2"/>
      <c r="L637" s="2"/>
      <c r="M637" s="2"/>
      <c r="N637" s="2"/>
      <c r="O637" s="3"/>
      <c r="P637" s="3"/>
      <c r="Q637" s="2"/>
      <c r="R637" s="2"/>
      <c r="S637" s="2"/>
      <c r="T637" s="2"/>
      <c r="U637" s="2"/>
      <c r="V637" s="2"/>
      <c r="W637" s="2"/>
      <c r="X637" s="2"/>
      <c r="Y637" s="2"/>
      <c r="Z637" s="2"/>
      <c r="AA637" s="2"/>
      <c r="AB637" s="2"/>
      <c r="AC637" s="2"/>
    </row>
    <row r="638">
      <c r="A638" s="2"/>
      <c r="B638" s="2"/>
      <c r="C638" s="2"/>
      <c r="D638" s="2"/>
      <c r="E638" s="2"/>
      <c r="F638" s="2"/>
      <c r="G638" s="2"/>
      <c r="H638" s="2"/>
      <c r="I638" s="2"/>
      <c r="J638" s="2"/>
      <c r="K638" s="2"/>
      <c r="L638" s="2"/>
      <c r="M638" s="2"/>
      <c r="N638" s="2"/>
      <c r="O638" s="3"/>
      <c r="P638" s="3"/>
      <c r="Q638" s="2"/>
      <c r="R638" s="2"/>
      <c r="S638" s="2"/>
      <c r="T638" s="2"/>
      <c r="U638" s="2"/>
      <c r="V638" s="2"/>
      <c r="W638" s="2"/>
      <c r="X638" s="2"/>
      <c r="Y638" s="2"/>
      <c r="Z638" s="2"/>
      <c r="AA638" s="2"/>
      <c r="AB638" s="2"/>
      <c r="AC638" s="2"/>
    </row>
    <row r="639">
      <c r="A639" s="2"/>
      <c r="B639" s="2"/>
      <c r="C639" s="2"/>
      <c r="D639" s="2"/>
      <c r="E639" s="2"/>
      <c r="F639" s="2"/>
      <c r="G639" s="2"/>
      <c r="H639" s="2"/>
      <c r="I639" s="2"/>
      <c r="J639" s="2"/>
      <c r="K639" s="2"/>
      <c r="L639" s="2"/>
      <c r="M639" s="2"/>
      <c r="N639" s="2"/>
      <c r="O639" s="3"/>
      <c r="P639" s="3"/>
      <c r="Q639" s="2"/>
      <c r="R639" s="2"/>
      <c r="S639" s="2"/>
      <c r="T639" s="2"/>
      <c r="U639" s="2"/>
      <c r="V639" s="2"/>
      <c r="W639" s="2"/>
      <c r="X639" s="2"/>
      <c r="Y639" s="2"/>
      <c r="Z639" s="2"/>
      <c r="AA639" s="2"/>
      <c r="AB639" s="2"/>
      <c r="AC639" s="2"/>
    </row>
    <row r="640">
      <c r="A640" s="2"/>
      <c r="B640" s="2"/>
      <c r="C640" s="2"/>
      <c r="D640" s="2"/>
      <c r="E640" s="2"/>
      <c r="F640" s="2"/>
      <c r="G640" s="2"/>
      <c r="H640" s="2"/>
      <c r="I640" s="2"/>
      <c r="J640" s="2"/>
      <c r="K640" s="2"/>
      <c r="L640" s="2"/>
      <c r="M640" s="2"/>
      <c r="N640" s="2"/>
      <c r="O640" s="3"/>
      <c r="P640" s="3"/>
      <c r="Q640" s="2"/>
      <c r="R640" s="2"/>
      <c r="S640" s="2"/>
      <c r="T640" s="2"/>
      <c r="U640" s="2"/>
      <c r="V640" s="2"/>
      <c r="W640" s="2"/>
      <c r="X640" s="2"/>
      <c r="Y640" s="2"/>
      <c r="Z640" s="2"/>
      <c r="AA640" s="2"/>
      <c r="AB640" s="2"/>
      <c r="AC640" s="2"/>
    </row>
    <row r="641">
      <c r="A641" s="2"/>
      <c r="B641" s="2"/>
      <c r="C641" s="2"/>
      <c r="D641" s="2"/>
      <c r="E641" s="2"/>
      <c r="F641" s="2"/>
      <c r="G641" s="2"/>
      <c r="H641" s="2"/>
      <c r="I641" s="2"/>
      <c r="J641" s="2"/>
      <c r="K641" s="2"/>
      <c r="L641" s="2"/>
      <c r="M641" s="2"/>
      <c r="N641" s="2"/>
      <c r="O641" s="3"/>
      <c r="P641" s="3"/>
      <c r="Q641" s="2"/>
      <c r="R641" s="2"/>
      <c r="S641" s="2"/>
      <c r="T641" s="2"/>
      <c r="U641" s="2"/>
      <c r="V641" s="2"/>
      <c r="W641" s="2"/>
      <c r="X641" s="2"/>
      <c r="Y641" s="2"/>
      <c r="Z641" s="2"/>
      <c r="AA641" s="2"/>
      <c r="AB641" s="2"/>
      <c r="AC641" s="2"/>
    </row>
    <row r="642">
      <c r="A642" s="2"/>
      <c r="B642" s="2"/>
      <c r="C642" s="2"/>
      <c r="D642" s="2"/>
      <c r="E642" s="2"/>
      <c r="F642" s="2"/>
      <c r="G642" s="2"/>
      <c r="H642" s="2"/>
      <c r="I642" s="2"/>
      <c r="J642" s="2"/>
      <c r="K642" s="2"/>
      <c r="L642" s="2"/>
      <c r="M642" s="2"/>
      <c r="N642" s="2"/>
      <c r="O642" s="3"/>
      <c r="P642" s="3"/>
      <c r="Q642" s="2"/>
      <c r="R642" s="2"/>
      <c r="S642" s="2"/>
      <c r="T642" s="2"/>
      <c r="U642" s="2"/>
      <c r="V642" s="2"/>
      <c r="W642" s="2"/>
      <c r="X642" s="2"/>
      <c r="Y642" s="2"/>
      <c r="Z642" s="2"/>
      <c r="AA642" s="2"/>
      <c r="AB642" s="2"/>
      <c r="AC642" s="2"/>
    </row>
    <row r="643">
      <c r="A643" s="2"/>
      <c r="B643" s="2"/>
      <c r="C643" s="2"/>
      <c r="D643" s="2"/>
      <c r="E643" s="2"/>
      <c r="F643" s="2"/>
      <c r="G643" s="2"/>
      <c r="H643" s="2"/>
      <c r="I643" s="2"/>
      <c r="J643" s="2"/>
      <c r="K643" s="2"/>
      <c r="L643" s="2"/>
      <c r="M643" s="2"/>
      <c r="N643" s="2"/>
      <c r="O643" s="3"/>
      <c r="P643" s="3"/>
      <c r="Q643" s="2"/>
      <c r="R643" s="2"/>
      <c r="S643" s="2"/>
      <c r="T643" s="2"/>
      <c r="U643" s="2"/>
      <c r="V643" s="2"/>
      <c r="W643" s="2"/>
      <c r="X643" s="2"/>
      <c r="Y643" s="2"/>
      <c r="Z643" s="2"/>
      <c r="AA643" s="2"/>
      <c r="AB643" s="2"/>
      <c r="AC643" s="2"/>
    </row>
    <row r="644">
      <c r="A644" s="2"/>
      <c r="B644" s="2"/>
      <c r="C644" s="2"/>
      <c r="D644" s="2"/>
      <c r="E644" s="2"/>
      <c r="F644" s="2"/>
      <c r="G644" s="2"/>
      <c r="H644" s="2"/>
      <c r="I644" s="2"/>
      <c r="J644" s="2"/>
      <c r="K644" s="2"/>
      <c r="L644" s="2"/>
      <c r="M644" s="2"/>
      <c r="N644" s="2"/>
      <c r="O644" s="3"/>
      <c r="P644" s="3"/>
      <c r="Q644" s="2"/>
      <c r="R644" s="2"/>
      <c r="S644" s="2"/>
      <c r="T644" s="2"/>
      <c r="U644" s="2"/>
      <c r="V644" s="2"/>
      <c r="W644" s="2"/>
      <c r="X644" s="2"/>
      <c r="Y644" s="2"/>
      <c r="Z644" s="2"/>
      <c r="AA644" s="2"/>
      <c r="AB644" s="2"/>
      <c r="AC644" s="2"/>
    </row>
    <row r="645">
      <c r="A645" s="2"/>
      <c r="B645" s="2"/>
      <c r="C645" s="2"/>
      <c r="D645" s="2"/>
      <c r="E645" s="2"/>
      <c r="F645" s="2"/>
      <c r="G645" s="2"/>
      <c r="H645" s="2"/>
      <c r="I645" s="2"/>
      <c r="J645" s="2"/>
      <c r="K645" s="2"/>
      <c r="L645" s="2"/>
      <c r="M645" s="2"/>
      <c r="N645" s="2"/>
      <c r="O645" s="3"/>
      <c r="P645" s="3"/>
      <c r="Q645" s="2"/>
      <c r="R645" s="2"/>
      <c r="S645" s="2"/>
      <c r="T645" s="2"/>
      <c r="U645" s="2"/>
      <c r="V645" s="2"/>
      <c r="W645" s="2"/>
      <c r="X645" s="2"/>
      <c r="Y645" s="2"/>
      <c r="Z645" s="2"/>
      <c r="AA645" s="2"/>
      <c r="AB645" s="2"/>
      <c r="AC645" s="2"/>
    </row>
    <row r="646">
      <c r="A646" s="2"/>
      <c r="B646" s="2"/>
      <c r="C646" s="2"/>
      <c r="D646" s="2"/>
      <c r="E646" s="2"/>
      <c r="F646" s="2"/>
      <c r="G646" s="2"/>
      <c r="H646" s="2"/>
      <c r="I646" s="2"/>
      <c r="J646" s="2"/>
      <c r="K646" s="2"/>
      <c r="L646" s="2"/>
      <c r="M646" s="2"/>
      <c r="N646" s="2"/>
      <c r="O646" s="3"/>
      <c r="P646" s="3"/>
      <c r="Q646" s="2"/>
      <c r="R646" s="2"/>
      <c r="S646" s="2"/>
      <c r="T646" s="2"/>
      <c r="U646" s="2"/>
      <c r="V646" s="2"/>
      <c r="W646" s="2"/>
      <c r="X646" s="2"/>
      <c r="Y646" s="2"/>
      <c r="Z646" s="2"/>
      <c r="AA646" s="2"/>
      <c r="AB646" s="2"/>
      <c r="AC646" s="2"/>
    </row>
    <row r="647">
      <c r="A647" s="2"/>
      <c r="B647" s="2"/>
      <c r="C647" s="2"/>
      <c r="D647" s="2"/>
      <c r="E647" s="2"/>
      <c r="F647" s="2"/>
      <c r="G647" s="2"/>
      <c r="H647" s="2"/>
      <c r="I647" s="2"/>
      <c r="J647" s="2"/>
      <c r="K647" s="2"/>
      <c r="L647" s="2"/>
      <c r="M647" s="2"/>
      <c r="N647" s="2"/>
      <c r="O647" s="3"/>
      <c r="P647" s="3"/>
      <c r="Q647" s="2"/>
      <c r="R647" s="2"/>
      <c r="S647" s="2"/>
      <c r="T647" s="2"/>
      <c r="U647" s="2"/>
      <c r="V647" s="2"/>
      <c r="W647" s="2"/>
      <c r="X647" s="2"/>
      <c r="Y647" s="2"/>
      <c r="Z647" s="2"/>
      <c r="AA647" s="2"/>
      <c r="AB647" s="2"/>
      <c r="AC647" s="2"/>
    </row>
    <row r="648">
      <c r="A648" s="2"/>
      <c r="B648" s="2"/>
      <c r="C648" s="2"/>
      <c r="D648" s="2"/>
      <c r="E648" s="2"/>
      <c r="F648" s="2"/>
      <c r="G648" s="2"/>
      <c r="H648" s="2"/>
      <c r="I648" s="2"/>
      <c r="J648" s="2"/>
      <c r="K648" s="2"/>
      <c r="L648" s="2"/>
      <c r="M648" s="2"/>
      <c r="N648" s="2"/>
      <c r="O648" s="3"/>
      <c r="P648" s="3"/>
      <c r="Q648" s="2"/>
      <c r="R648" s="2"/>
      <c r="S648" s="2"/>
      <c r="T648" s="2"/>
      <c r="U648" s="2"/>
      <c r="V648" s="2"/>
      <c r="W648" s="2"/>
      <c r="X648" s="2"/>
      <c r="Y648" s="2"/>
      <c r="Z648" s="2"/>
      <c r="AA648" s="2"/>
      <c r="AB648" s="2"/>
      <c r="AC648" s="2"/>
    </row>
    <row r="649">
      <c r="A649" s="2"/>
      <c r="B649" s="2"/>
      <c r="C649" s="2"/>
      <c r="D649" s="2"/>
      <c r="E649" s="2"/>
      <c r="F649" s="2"/>
      <c r="G649" s="2"/>
      <c r="H649" s="2"/>
      <c r="I649" s="2"/>
      <c r="J649" s="2"/>
      <c r="K649" s="2"/>
      <c r="L649" s="2"/>
      <c r="M649" s="2"/>
      <c r="N649" s="2"/>
      <c r="O649" s="3"/>
      <c r="P649" s="3"/>
      <c r="Q649" s="2"/>
      <c r="R649" s="2"/>
      <c r="S649" s="2"/>
      <c r="T649" s="2"/>
      <c r="U649" s="2"/>
      <c r="V649" s="2"/>
      <c r="W649" s="2"/>
      <c r="X649" s="2"/>
      <c r="Y649" s="2"/>
      <c r="Z649" s="2"/>
      <c r="AA649" s="2"/>
      <c r="AB649" s="2"/>
      <c r="AC649" s="2"/>
    </row>
    <row r="650">
      <c r="A650" s="2"/>
      <c r="B650" s="2"/>
      <c r="C650" s="2"/>
      <c r="D650" s="2"/>
      <c r="E650" s="2"/>
      <c r="F650" s="2"/>
      <c r="G650" s="2"/>
      <c r="H650" s="2"/>
      <c r="I650" s="2"/>
      <c r="J650" s="2"/>
      <c r="K650" s="2"/>
      <c r="L650" s="2"/>
      <c r="M650" s="2"/>
      <c r="N650" s="2"/>
      <c r="O650" s="3"/>
      <c r="P650" s="3"/>
      <c r="Q650" s="2"/>
      <c r="R650" s="2"/>
      <c r="S650" s="2"/>
      <c r="T650" s="2"/>
      <c r="U650" s="2"/>
      <c r="V650" s="2"/>
      <c r="W650" s="2"/>
      <c r="X650" s="2"/>
      <c r="Y650" s="2"/>
      <c r="Z650" s="2"/>
      <c r="AA650" s="2"/>
      <c r="AB650" s="2"/>
      <c r="AC650" s="2"/>
    </row>
    <row r="651">
      <c r="A651" s="2"/>
      <c r="B651" s="2"/>
      <c r="C651" s="2"/>
      <c r="D651" s="2"/>
      <c r="E651" s="2"/>
      <c r="F651" s="2"/>
      <c r="G651" s="2"/>
      <c r="H651" s="2"/>
      <c r="I651" s="2"/>
      <c r="J651" s="2"/>
      <c r="K651" s="2"/>
      <c r="L651" s="2"/>
      <c r="M651" s="2"/>
      <c r="N651" s="2"/>
      <c r="O651" s="3"/>
      <c r="P651" s="3"/>
      <c r="Q651" s="2"/>
      <c r="R651" s="2"/>
      <c r="S651" s="2"/>
      <c r="T651" s="2"/>
      <c r="U651" s="2"/>
      <c r="V651" s="2"/>
      <c r="W651" s="2"/>
      <c r="X651" s="2"/>
      <c r="Y651" s="2"/>
      <c r="Z651" s="2"/>
      <c r="AA651" s="2"/>
      <c r="AB651" s="2"/>
      <c r="AC651" s="2"/>
    </row>
    <row r="652">
      <c r="A652" s="2"/>
      <c r="B652" s="2"/>
      <c r="C652" s="2"/>
      <c r="D652" s="2"/>
      <c r="E652" s="2"/>
      <c r="F652" s="2"/>
      <c r="G652" s="2"/>
      <c r="H652" s="2"/>
      <c r="I652" s="2"/>
      <c r="J652" s="2"/>
      <c r="K652" s="2"/>
      <c r="L652" s="2"/>
      <c r="M652" s="2"/>
      <c r="N652" s="2"/>
      <c r="O652" s="3"/>
      <c r="P652" s="3"/>
      <c r="Q652" s="2"/>
      <c r="R652" s="2"/>
      <c r="S652" s="2"/>
      <c r="T652" s="2"/>
      <c r="U652" s="2"/>
      <c r="V652" s="2"/>
      <c r="W652" s="2"/>
      <c r="X652" s="2"/>
      <c r="Y652" s="2"/>
      <c r="Z652" s="2"/>
      <c r="AA652" s="2"/>
      <c r="AB652" s="2"/>
      <c r="AC652" s="2"/>
    </row>
    <row r="653">
      <c r="A653" s="2"/>
      <c r="B653" s="2"/>
      <c r="C653" s="2"/>
      <c r="D653" s="2"/>
      <c r="E653" s="2"/>
      <c r="F653" s="2"/>
      <c r="G653" s="2"/>
      <c r="H653" s="2"/>
      <c r="I653" s="2"/>
      <c r="J653" s="2"/>
      <c r="K653" s="2"/>
      <c r="L653" s="2"/>
      <c r="M653" s="2"/>
      <c r="N653" s="2"/>
      <c r="O653" s="3"/>
      <c r="P653" s="3"/>
      <c r="Q653" s="2"/>
      <c r="R653" s="2"/>
      <c r="S653" s="2"/>
      <c r="T653" s="2"/>
      <c r="U653" s="2"/>
      <c r="V653" s="2"/>
      <c r="W653" s="2"/>
      <c r="X653" s="2"/>
      <c r="Y653" s="2"/>
      <c r="Z653" s="2"/>
      <c r="AA653" s="2"/>
      <c r="AB653" s="2"/>
      <c r="AC653" s="2"/>
    </row>
    <row r="654">
      <c r="A654" s="2"/>
      <c r="B654" s="2"/>
      <c r="C654" s="2"/>
      <c r="D654" s="2"/>
      <c r="E654" s="2"/>
      <c r="F654" s="2"/>
      <c r="G654" s="2"/>
      <c r="H654" s="2"/>
      <c r="I654" s="2"/>
      <c r="J654" s="2"/>
      <c r="K654" s="2"/>
      <c r="L654" s="2"/>
      <c r="M654" s="2"/>
      <c r="N654" s="2"/>
      <c r="O654" s="3"/>
      <c r="P654" s="3"/>
      <c r="Q654" s="2"/>
      <c r="R654" s="2"/>
      <c r="S654" s="2"/>
      <c r="T654" s="2"/>
      <c r="U654" s="2"/>
      <c r="V654" s="2"/>
      <c r="W654" s="2"/>
      <c r="X654" s="2"/>
      <c r="Y654" s="2"/>
      <c r="Z654" s="2"/>
      <c r="AA654" s="2"/>
      <c r="AB654" s="2"/>
      <c r="AC654" s="2"/>
    </row>
    <row r="655">
      <c r="A655" s="2"/>
      <c r="B655" s="2"/>
      <c r="C655" s="2"/>
      <c r="D655" s="2"/>
      <c r="E655" s="2"/>
      <c r="F655" s="2"/>
      <c r="G655" s="2"/>
      <c r="H655" s="2"/>
      <c r="I655" s="2"/>
      <c r="J655" s="2"/>
      <c r="K655" s="2"/>
      <c r="L655" s="2"/>
      <c r="M655" s="2"/>
      <c r="N655" s="2"/>
      <c r="O655" s="3"/>
      <c r="P655" s="3"/>
      <c r="Q655" s="2"/>
      <c r="R655" s="2"/>
      <c r="S655" s="2"/>
      <c r="T655" s="2"/>
      <c r="U655" s="2"/>
      <c r="V655" s="2"/>
      <c r="W655" s="2"/>
      <c r="X655" s="2"/>
      <c r="Y655" s="2"/>
      <c r="Z655" s="2"/>
      <c r="AA655" s="2"/>
      <c r="AB655" s="2"/>
      <c r="AC655" s="2"/>
    </row>
    <row r="656">
      <c r="A656" s="2"/>
      <c r="B656" s="2"/>
      <c r="C656" s="2"/>
      <c r="D656" s="2"/>
      <c r="E656" s="2"/>
      <c r="F656" s="2"/>
      <c r="G656" s="2"/>
      <c r="H656" s="2"/>
      <c r="I656" s="2"/>
      <c r="J656" s="2"/>
      <c r="K656" s="2"/>
      <c r="L656" s="2"/>
      <c r="M656" s="2"/>
      <c r="N656" s="2"/>
      <c r="O656" s="3"/>
      <c r="P656" s="3"/>
      <c r="Q656" s="2"/>
      <c r="R656" s="2"/>
      <c r="S656" s="2"/>
      <c r="T656" s="2"/>
      <c r="U656" s="2"/>
      <c r="V656" s="2"/>
      <c r="W656" s="2"/>
      <c r="X656" s="2"/>
      <c r="Y656" s="2"/>
      <c r="Z656" s="2"/>
      <c r="AA656" s="2"/>
      <c r="AB656" s="2"/>
      <c r="AC656" s="2"/>
    </row>
    <row r="657">
      <c r="A657" s="2"/>
      <c r="B657" s="2"/>
      <c r="C657" s="2"/>
      <c r="D657" s="2"/>
      <c r="E657" s="2"/>
      <c r="F657" s="2"/>
      <c r="G657" s="2"/>
      <c r="H657" s="2"/>
      <c r="I657" s="2"/>
      <c r="J657" s="2"/>
      <c r="K657" s="2"/>
      <c r="L657" s="2"/>
      <c r="M657" s="2"/>
      <c r="N657" s="2"/>
      <c r="O657" s="3"/>
      <c r="P657" s="3"/>
      <c r="Q657" s="2"/>
      <c r="R657" s="2"/>
      <c r="S657" s="2"/>
      <c r="T657" s="2"/>
      <c r="U657" s="2"/>
      <c r="V657" s="2"/>
      <c r="W657" s="2"/>
      <c r="X657" s="2"/>
      <c r="Y657" s="2"/>
      <c r="Z657" s="2"/>
      <c r="AA657" s="2"/>
      <c r="AB657" s="2"/>
      <c r="AC657" s="2"/>
    </row>
    <row r="658">
      <c r="A658" s="2"/>
      <c r="B658" s="2"/>
      <c r="C658" s="2"/>
      <c r="D658" s="2"/>
      <c r="E658" s="2"/>
      <c r="F658" s="2"/>
      <c r="G658" s="2"/>
      <c r="H658" s="2"/>
      <c r="I658" s="2"/>
      <c r="J658" s="2"/>
      <c r="K658" s="2"/>
      <c r="L658" s="2"/>
      <c r="M658" s="2"/>
      <c r="N658" s="2"/>
      <c r="O658" s="3"/>
      <c r="P658" s="3"/>
      <c r="Q658" s="2"/>
      <c r="R658" s="2"/>
      <c r="S658" s="2"/>
      <c r="T658" s="2"/>
      <c r="U658" s="2"/>
      <c r="V658" s="2"/>
      <c r="W658" s="2"/>
      <c r="X658" s="2"/>
      <c r="Y658" s="2"/>
      <c r="Z658" s="2"/>
      <c r="AA658" s="2"/>
      <c r="AB658" s="2"/>
      <c r="AC658" s="2"/>
    </row>
    <row r="659">
      <c r="A659" s="2"/>
      <c r="B659" s="2"/>
      <c r="C659" s="2"/>
      <c r="D659" s="2"/>
      <c r="E659" s="2"/>
      <c r="F659" s="2"/>
      <c r="G659" s="2"/>
      <c r="H659" s="2"/>
      <c r="I659" s="2"/>
      <c r="J659" s="2"/>
      <c r="K659" s="2"/>
      <c r="L659" s="2"/>
      <c r="M659" s="2"/>
      <c r="N659" s="2"/>
      <c r="O659" s="3"/>
      <c r="P659" s="3"/>
      <c r="Q659" s="2"/>
      <c r="R659" s="2"/>
      <c r="S659" s="2"/>
      <c r="T659" s="2"/>
      <c r="U659" s="2"/>
      <c r="V659" s="2"/>
      <c r="W659" s="2"/>
      <c r="X659" s="2"/>
      <c r="Y659" s="2"/>
      <c r="Z659" s="2"/>
      <c r="AA659" s="2"/>
      <c r="AB659" s="2"/>
      <c r="AC659" s="2"/>
    </row>
    <row r="660">
      <c r="A660" s="2"/>
      <c r="B660" s="2"/>
      <c r="C660" s="2"/>
      <c r="D660" s="2"/>
      <c r="E660" s="2"/>
      <c r="F660" s="2"/>
      <c r="G660" s="2"/>
      <c r="H660" s="2"/>
      <c r="I660" s="2"/>
      <c r="J660" s="2"/>
      <c r="K660" s="2"/>
      <c r="L660" s="2"/>
      <c r="M660" s="2"/>
      <c r="N660" s="2"/>
      <c r="O660" s="3"/>
      <c r="P660" s="3"/>
      <c r="Q660" s="2"/>
      <c r="R660" s="2"/>
      <c r="S660" s="2"/>
      <c r="T660" s="2"/>
      <c r="U660" s="2"/>
      <c r="V660" s="2"/>
      <c r="W660" s="2"/>
      <c r="X660" s="2"/>
      <c r="Y660" s="2"/>
      <c r="Z660" s="2"/>
      <c r="AA660" s="2"/>
      <c r="AB660" s="2"/>
      <c r="AC660" s="2"/>
    </row>
    <row r="661">
      <c r="A661" s="2"/>
      <c r="B661" s="2"/>
      <c r="C661" s="2"/>
      <c r="D661" s="2"/>
      <c r="E661" s="2"/>
      <c r="F661" s="2"/>
      <c r="G661" s="2"/>
      <c r="H661" s="2"/>
      <c r="I661" s="2"/>
      <c r="J661" s="2"/>
      <c r="K661" s="2"/>
      <c r="L661" s="2"/>
      <c r="M661" s="2"/>
      <c r="N661" s="2"/>
      <c r="O661" s="3"/>
      <c r="P661" s="3"/>
      <c r="Q661" s="2"/>
      <c r="R661" s="2"/>
      <c r="S661" s="2"/>
      <c r="T661" s="2"/>
      <c r="U661" s="2"/>
      <c r="V661" s="2"/>
      <c r="W661" s="2"/>
      <c r="X661" s="2"/>
      <c r="Y661" s="2"/>
      <c r="Z661" s="2"/>
      <c r="AA661" s="2"/>
      <c r="AB661" s="2"/>
      <c r="AC661" s="2"/>
    </row>
    <row r="662">
      <c r="A662" s="2"/>
      <c r="B662" s="2"/>
      <c r="C662" s="2"/>
      <c r="D662" s="2"/>
      <c r="E662" s="2"/>
      <c r="F662" s="2"/>
      <c r="G662" s="2"/>
      <c r="H662" s="2"/>
      <c r="I662" s="2"/>
      <c r="J662" s="2"/>
      <c r="K662" s="2"/>
      <c r="L662" s="2"/>
      <c r="M662" s="2"/>
      <c r="N662" s="2"/>
      <c r="O662" s="3"/>
      <c r="P662" s="3"/>
      <c r="Q662" s="2"/>
      <c r="R662" s="2"/>
      <c r="S662" s="2"/>
      <c r="T662" s="2"/>
      <c r="U662" s="2"/>
      <c r="V662" s="2"/>
      <c r="W662" s="2"/>
      <c r="X662" s="2"/>
      <c r="Y662" s="2"/>
      <c r="Z662" s="2"/>
      <c r="AA662" s="2"/>
      <c r="AB662" s="2"/>
      <c r="AC662" s="2"/>
    </row>
    <row r="663">
      <c r="A663" s="2"/>
      <c r="B663" s="2"/>
      <c r="C663" s="2"/>
      <c r="D663" s="2"/>
      <c r="E663" s="2"/>
      <c r="F663" s="2"/>
      <c r="G663" s="2"/>
      <c r="H663" s="2"/>
      <c r="I663" s="2"/>
      <c r="J663" s="2"/>
      <c r="K663" s="2"/>
      <c r="L663" s="2"/>
      <c r="M663" s="2"/>
      <c r="N663" s="2"/>
      <c r="O663" s="3"/>
      <c r="P663" s="3"/>
      <c r="Q663" s="2"/>
      <c r="R663" s="2"/>
      <c r="S663" s="2"/>
      <c r="T663" s="2"/>
      <c r="U663" s="2"/>
      <c r="V663" s="2"/>
      <c r="W663" s="2"/>
      <c r="X663" s="2"/>
      <c r="Y663" s="2"/>
      <c r="Z663" s="2"/>
      <c r="AA663" s="2"/>
      <c r="AB663" s="2"/>
      <c r="AC663" s="2"/>
    </row>
    <row r="664">
      <c r="A664" s="2"/>
      <c r="B664" s="2"/>
      <c r="C664" s="2"/>
      <c r="D664" s="2"/>
      <c r="E664" s="2"/>
      <c r="F664" s="2"/>
      <c r="G664" s="2"/>
      <c r="H664" s="2"/>
      <c r="I664" s="2"/>
      <c r="J664" s="2"/>
      <c r="K664" s="2"/>
      <c r="L664" s="2"/>
      <c r="M664" s="2"/>
      <c r="N664" s="2"/>
      <c r="O664" s="3"/>
      <c r="P664" s="3"/>
      <c r="Q664" s="2"/>
      <c r="R664" s="2"/>
      <c r="S664" s="2"/>
      <c r="T664" s="2"/>
      <c r="U664" s="2"/>
      <c r="V664" s="2"/>
      <c r="W664" s="2"/>
      <c r="X664" s="2"/>
      <c r="Y664" s="2"/>
      <c r="Z664" s="2"/>
      <c r="AA664" s="2"/>
      <c r="AB664" s="2"/>
      <c r="AC664" s="2"/>
    </row>
    <row r="665">
      <c r="A665" s="2"/>
      <c r="B665" s="2"/>
      <c r="C665" s="2"/>
      <c r="D665" s="2"/>
      <c r="E665" s="2"/>
      <c r="F665" s="2"/>
      <c r="G665" s="2"/>
      <c r="H665" s="2"/>
      <c r="I665" s="2"/>
      <c r="J665" s="2"/>
      <c r="K665" s="2"/>
      <c r="L665" s="2"/>
      <c r="M665" s="2"/>
      <c r="N665" s="2"/>
      <c r="O665" s="3"/>
      <c r="P665" s="3"/>
      <c r="Q665" s="2"/>
      <c r="R665" s="2"/>
      <c r="S665" s="2"/>
      <c r="T665" s="2"/>
      <c r="U665" s="2"/>
      <c r="V665" s="2"/>
      <c r="W665" s="2"/>
      <c r="X665" s="2"/>
      <c r="Y665" s="2"/>
      <c r="Z665" s="2"/>
      <c r="AA665" s="2"/>
      <c r="AB665" s="2"/>
      <c r="AC665" s="2"/>
    </row>
    <row r="666">
      <c r="A666" s="2"/>
      <c r="B666" s="2"/>
      <c r="C666" s="2"/>
      <c r="D666" s="2"/>
      <c r="E666" s="2"/>
      <c r="F666" s="2"/>
      <c r="G666" s="2"/>
      <c r="H666" s="2"/>
      <c r="I666" s="2"/>
      <c r="J666" s="2"/>
      <c r="K666" s="2"/>
      <c r="L666" s="2"/>
      <c r="M666" s="2"/>
      <c r="N666" s="2"/>
      <c r="O666" s="3"/>
      <c r="P666" s="3"/>
      <c r="Q666" s="2"/>
      <c r="R666" s="2"/>
      <c r="S666" s="2"/>
      <c r="T666" s="2"/>
      <c r="U666" s="2"/>
      <c r="V666" s="2"/>
      <c r="W666" s="2"/>
      <c r="X666" s="2"/>
      <c r="Y666" s="2"/>
      <c r="Z666" s="2"/>
      <c r="AA666" s="2"/>
      <c r="AB666" s="2"/>
      <c r="AC666" s="2"/>
    </row>
    <row r="667">
      <c r="A667" s="2"/>
      <c r="B667" s="2"/>
      <c r="C667" s="2"/>
      <c r="D667" s="2"/>
      <c r="E667" s="2"/>
      <c r="F667" s="2"/>
      <c r="G667" s="2"/>
      <c r="H667" s="2"/>
      <c r="I667" s="2"/>
      <c r="J667" s="2"/>
      <c r="K667" s="2"/>
      <c r="L667" s="2"/>
      <c r="M667" s="2"/>
      <c r="N667" s="2"/>
      <c r="O667" s="3"/>
      <c r="P667" s="3"/>
      <c r="Q667" s="2"/>
      <c r="R667" s="2"/>
      <c r="S667" s="2"/>
      <c r="T667" s="2"/>
      <c r="U667" s="2"/>
      <c r="V667" s="2"/>
      <c r="W667" s="2"/>
      <c r="X667" s="2"/>
      <c r="Y667" s="2"/>
      <c r="Z667" s="2"/>
      <c r="AA667" s="2"/>
      <c r="AB667" s="2"/>
      <c r="AC667" s="2"/>
    </row>
    <row r="668">
      <c r="A668" s="2"/>
      <c r="B668" s="2"/>
      <c r="C668" s="2"/>
      <c r="D668" s="2"/>
      <c r="E668" s="2"/>
      <c r="F668" s="2"/>
      <c r="G668" s="2"/>
      <c r="H668" s="2"/>
      <c r="I668" s="2"/>
      <c r="J668" s="2"/>
      <c r="K668" s="2"/>
      <c r="L668" s="2"/>
      <c r="M668" s="2"/>
      <c r="N668" s="2"/>
      <c r="O668" s="3"/>
      <c r="P668" s="3"/>
      <c r="Q668" s="2"/>
      <c r="R668" s="2"/>
      <c r="S668" s="2"/>
      <c r="T668" s="2"/>
      <c r="U668" s="2"/>
      <c r="V668" s="2"/>
      <c r="W668" s="2"/>
      <c r="X668" s="2"/>
      <c r="Y668" s="2"/>
      <c r="Z668" s="2"/>
      <c r="AA668" s="2"/>
      <c r="AB668" s="2"/>
      <c r="AC668" s="2"/>
    </row>
    <row r="669">
      <c r="A669" s="2"/>
      <c r="B669" s="2"/>
      <c r="C669" s="2"/>
      <c r="D669" s="2"/>
      <c r="E669" s="2"/>
      <c r="F669" s="2"/>
      <c r="G669" s="2"/>
      <c r="H669" s="2"/>
      <c r="I669" s="2"/>
      <c r="J669" s="2"/>
      <c r="K669" s="2"/>
      <c r="L669" s="2"/>
      <c r="M669" s="2"/>
      <c r="N669" s="2"/>
      <c r="O669" s="3"/>
      <c r="P669" s="3"/>
      <c r="Q669" s="2"/>
      <c r="R669" s="2"/>
      <c r="S669" s="2"/>
      <c r="T669" s="2"/>
      <c r="U669" s="2"/>
      <c r="V669" s="2"/>
      <c r="W669" s="2"/>
      <c r="X669" s="2"/>
      <c r="Y669" s="2"/>
      <c r="Z669" s="2"/>
      <c r="AA669" s="2"/>
      <c r="AB669" s="2"/>
      <c r="AC669" s="2"/>
    </row>
    <row r="670">
      <c r="A670" s="2"/>
      <c r="B670" s="2"/>
      <c r="C670" s="2"/>
      <c r="D670" s="2"/>
      <c r="E670" s="2"/>
      <c r="F670" s="2"/>
      <c r="G670" s="2"/>
      <c r="H670" s="2"/>
      <c r="I670" s="2"/>
      <c r="J670" s="2"/>
      <c r="K670" s="2"/>
      <c r="L670" s="2"/>
      <c r="M670" s="2"/>
      <c r="N670" s="2"/>
      <c r="O670" s="3"/>
      <c r="P670" s="3"/>
      <c r="Q670" s="2"/>
      <c r="R670" s="2"/>
      <c r="S670" s="2"/>
      <c r="T670" s="2"/>
      <c r="U670" s="2"/>
      <c r="V670" s="2"/>
      <c r="W670" s="2"/>
      <c r="X670" s="2"/>
      <c r="Y670" s="2"/>
      <c r="Z670" s="2"/>
      <c r="AA670" s="2"/>
      <c r="AB670" s="2"/>
      <c r="AC670" s="2"/>
    </row>
    <row r="671">
      <c r="A671" s="2"/>
      <c r="B671" s="2"/>
      <c r="C671" s="2"/>
      <c r="D671" s="2"/>
      <c r="E671" s="2"/>
      <c r="F671" s="2"/>
      <c r="G671" s="2"/>
      <c r="H671" s="2"/>
      <c r="I671" s="2"/>
      <c r="J671" s="2"/>
      <c r="K671" s="2"/>
      <c r="L671" s="2"/>
      <c r="M671" s="2"/>
      <c r="N671" s="2"/>
      <c r="O671" s="3"/>
      <c r="P671" s="3"/>
      <c r="Q671" s="2"/>
      <c r="R671" s="2"/>
      <c r="S671" s="2"/>
      <c r="T671" s="2"/>
      <c r="U671" s="2"/>
      <c r="V671" s="2"/>
      <c r="W671" s="2"/>
      <c r="X671" s="2"/>
      <c r="Y671" s="2"/>
      <c r="Z671" s="2"/>
      <c r="AA671" s="2"/>
      <c r="AB671" s="2"/>
      <c r="AC671" s="2"/>
    </row>
    <row r="672">
      <c r="A672" s="2"/>
      <c r="B672" s="2"/>
      <c r="C672" s="2"/>
      <c r="D672" s="2"/>
      <c r="E672" s="2"/>
      <c r="F672" s="2"/>
      <c r="G672" s="2"/>
      <c r="H672" s="2"/>
      <c r="I672" s="2"/>
      <c r="J672" s="2"/>
      <c r="K672" s="2"/>
      <c r="L672" s="2"/>
      <c r="M672" s="2"/>
      <c r="N672" s="2"/>
      <c r="O672" s="3"/>
      <c r="P672" s="3"/>
      <c r="Q672" s="2"/>
      <c r="R672" s="2"/>
      <c r="S672" s="2"/>
      <c r="T672" s="2"/>
      <c r="U672" s="2"/>
      <c r="V672" s="2"/>
      <c r="W672" s="2"/>
      <c r="X672" s="2"/>
      <c r="Y672" s="2"/>
      <c r="Z672" s="2"/>
      <c r="AA672" s="2"/>
      <c r="AB672" s="2"/>
      <c r="AC672" s="2"/>
    </row>
    <row r="673">
      <c r="A673" s="2"/>
      <c r="B673" s="2"/>
      <c r="C673" s="2"/>
      <c r="D673" s="2"/>
      <c r="E673" s="2"/>
      <c r="F673" s="2"/>
      <c r="G673" s="2"/>
      <c r="H673" s="2"/>
      <c r="I673" s="2"/>
      <c r="J673" s="2"/>
      <c r="K673" s="2"/>
      <c r="L673" s="2"/>
      <c r="M673" s="2"/>
      <c r="N673" s="2"/>
      <c r="O673" s="3"/>
      <c r="P673" s="3"/>
      <c r="Q673" s="2"/>
      <c r="R673" s="2"/>
      <c r="S673" s="2"/>
      <c r="T673" s="2"/>
      <c r="U673" s="2"/>
      <c r="V673" s="2"/>
      <c r="W673" s="2"/>
      <c r="X673" s="2"/>
      <c r="Y673" s="2"/>
      <c r="Z673" s="2"/>
      <c r="AA673" s="2"/>
      <c r="AB673" s="2"/>
      <c r="AC673" s="2"/>
    </row>
    <row r="674">
      <c r="A674" s="2"/>
      <c r="B674" s="2"/>
      <c r="C674" s="2"/>
      <c r="D674" s="2"/>
      <c r="E674" s="2"/>
      <c r="F674" s="2"/>
      <c r="G674" s="2"/>
      <c r="H674" s="2"/>
      <c r="I674" s="2"/>
      <c r="J674" s="2"/>
      <c r="K674" s="2"/>
      <c r="L674" s="2"/>
      <c r="M674" s="2"/>
      <c r="N674" s="2"/>
      <c r="O674" s="3"/>
      <c r="P674" s="3"/>
      <c r="Q674" s="2"/>
      <c r="R674" s="2"/>
      <c r="S674" s="2"/>
      <c r="T674" s="2"/>
      <c r="U674" s="2"/>
      <c r="V674" s="2"/>
      <c r="W674" s="2"/>
      <c r="X674" s="2"/>
      <c r="Y674" s="2"/>
      <c r="Z674" s="2"/>
      <c r="AA674" s="2"/>
      <c r="AB674" s="2"/>
      <c r="AC674" s="2"/>
    </row>
    <row r="675">
      <c r="A675" s="2"/>
      <c r="B675" s="2"/>
      <c r="C675" s="2"/>
      <c r="D675" s="2"/>
      <c r="E675" s="2"/>
      <c r="F675" s="2"/>
      <c r="G675" s="2"/>
      <c r="H675" s="2"/>
      <c r="I675" s="2"/>
      <c r="J675" s="2"/>
      <c r="K675" s="2"/>
      <c r="L675" s="2"/>
      <c r="M675" s="2"/>
      <c r="N675" s="2"/>
      <c r="O675" s="3"/>
      <c r="P675" s="3"/>
      <c r="Q675" s="2"/>
      <c r="R675" s="2"/>
      <c r="S675" s="2"/>
      <c r="T675" s="2"/>
      <c r="U675" s="2"/>
      <c r="V675" s="2"/>
      <c r="W675" s="2"/>
      <c r="X675" s="2"/>
      <c r="Y675" s="2"/>
      <c r="Z675" s="2"/>
      <c r="AA675" s="2"/>
      <c r="AB675" s="2"/>
      <c r="AC675" s="2"/>
    </row>
    <row r="676">
      <c r="A676" s="2"/>
      <c r="B676" s="2"/>
      <c r="C676" s="2"/>
      <c r="D676" s="2"/>
      <c r="E676" s="2"/>
      <c r="F676" s="2"/>
      <c r="G676" s="2"/>
      <c r="H676" s="2"/>
      <c r="I676" s="2"/>
      <c r="J676" s="2"/>
      <c r="K676" s="2"/>
      <c r="L676" s="2"/>
      <c r="M676" s="2"/>
      <c r="N676" s="2"/>
      <c r="O676" s="3"/>
      <c r="P676" s="3"/>
      <c r="Q676" s="2"/>
      <c r="R676" s="2"/>
      <c r="S676" s="2"/>
      <c r="T676" s="2"/>
      <c r="U676" s="2"/>
      <c r="V676" s="2"/>
      <c r="W676" s="2"/>
      <c r="X676" s="2"/>
      <c r="Y676" s="2"/>
      <c r="Z676" s="2"/>
      <c r="AA676" s="2"/>
      <c r="AB676" s="2"/>
      <c r="AC676" s="2"/>
    </row>
    <row r="677">
      <c r="A677" s="2"/>
      <c r="B677" s="2"/>
      <c r="C677" s="2"/>
      <c r="D677" s="2"/>
      <c r="E677" s="2"/>
      <c r="F677" s="2"/>
      <c r="G677" s="2"/>
      <c r="H677" s="2"/>
      <c r="I677" s="2"/>
      <c r="J677" s="2"/>
      <c r="K677" s="2"/>
      <c r="L677" s="2"/>
      <c r="M677" s="2"/>
      <c r="N677" s="2"/>
      <c r="O677" s="3"/>
      <c r="P677" s="3"/>
      <c r="Q677" s="2"/>
      <c r="R677" s="2"/>
      <c r="S677" s="2"/>
      <c r="T677" s="2"/>
      <c r="U677" s="2"/>
      <c r="V677" s="2"/>
      <c r="W677" s="2"/>
      <c r="X677" s="2"/>
      <c r="Y677" s="2"/>
      <c r="Z677" s="2"/>
      <c r="AA677" s="2"/>
      <c r="AB677" s="2"/>
      <c r="AC677" s="2"/>
    </row>
    <row r="678">
      <c r="A678" s="2"/>
      <c r="B678" s="2"/>
      <c r="C678" s="2"/>
      <c r="D678" s="2"/>
      <c r="E678" s="2"/>
      <c r="F678" s="2"/>
      <c r="G678" s="2"/>
      <c r="H678" s="2"/>
      <c r="I678" s="2"/>
      <c r="J678" s="2"/>
      <c r="K678" s="2"/>
      <c r="L678" s="2"/>
      <c r="M678" s="2"/>
      <c r="N678" s="2"/>
      <c r="O678" s="3"/>
      <c r="P678" s="3"/>
      <c r="Q678" s="2"/>
      <c r="R678" s="2"/>
      <c r="S678" s="2"/>
      <c r="T678" s="2"/>
      <c r="U678" s="2"/>
      <c r="V678" s="2"/>
      <c r="W678" s="2"/>
      <c r="X678" s="2"/>
      <c r="Y678" s="2"/>
      <c r="Z678" s="2"/>
      <c r="AA678" s="2"/>
      <c r="AB678" s="2"/>
      <c r="AC678" s="2"/>
    </row>
    <row r="679">
      <c r="A679" s="2"/>
      <c r="B679" s="2"/>
      <c r="C679" s="2"/>
      <c r="D679" s="2"/>
      <c r="E679" s="2"/>
      <c r="F679" s="2"/>
      <c r="G679" s="2"/>
      <c r="H679" s="2"/>
      <c r="I679" s="2"/>
      <c r="J679" s="2"/>
      <c r="K679" s="2"/>
      <c r="L679" s="2"/>
      <c r="M679" s="2"/>
      <c r="N679" s="2"/>
      <c r="O679" s="3"/>
      <c r="P679" s="3"/>
      <c r="Q679" s="2"/>
      <c r="R679" s="2"/>
      <c r="S679" s="2"/>
      <c r="T679" s="2"/>
      <c r="U679" s="2"/>
      <c r="V679" s="2"/>
      <c r="W679" s="2"/>
      <c r="X679" s="2"/>
      <c r="Y679" s="2"/>
      <c r="Z679" s="2"/>
      <c r="AA679" s="2"/>
      <c r="AB679" s="2"/>
      <c r="AC679" s="2"/>
    </row>
    <row r="680">
      <c r="A680" s="2"/>
      <c r="B680" s="2"/>
      <c r="C680" s="2"/>
      <c r="D680" s="2"/>
      <c r="E680" s="2"/>
      <c r="F680" s="2"/>
      <c r="G680" s="2"/>
      <c r="H680" s="2"/>
      <c r="I680" s="2"/>
      <c r="J680" s="2"/>
      <c r="K680" s="2"/>
      <c r="L680" s="2"/>
      <c r="M680" s="2"/>
      <c r="N680" s="2"/>
      <c r="O680" s="3"/>
      <c r="P680" s="3"/>
      <c r="Q680" s="2"/>
      <c r="R680" s="2"/>
      <c r="S680" s="2"/>
      <c r="T680" s="2"/>
      <c r="U680" s="2"/>
      <c r="V680" s="2"/>
      <c r="W680" s="2"/>
      <c r="X680" s="2"/>
      <c r="Y680" s="2"/>
      <c r="Z680" s="2"/>
      <c r="AA680" s="2"/>
      <c r="AB680" s="2"/>
      <c r="AC680" s="2"/>
    </row>
    <row r="681">
      <c r="A681" s="2"/>
      <c r="B681" s="2"/>
      <c r="C681" s="2"/>
      <c r="D681" s="2"/>
      <c r="E681" s="2"/>
      <c r="F681" s="2"/>
      <c r="G681" s="2"/>
      <c r="H681" s="2"/>
      <c r="I681" s="2"/>
      <c r="J681" s="2"/>
      <c r="K681" s="2"/>
      <c r="L681" s="2"/>
      <c r="M681" s="2"/>
      <c r="N681" s="2"/>
      <c r="O681" s="3"/>
      <c r="P681" s="3"/>
      <c r="Q681" s="2"/>
      <c r="R681" s="2"/>
      <c r="S681" s="2"/>
      <c r="T681" s="2"/>
      <c r="U681" s="2"/>
      <c r="V681" s="2"/>
      <c r="W681" s="2"/>
      <c r="X681" s="2"/>
      <c r="Y681" s="2"/>
      <c r="Z681" s="2"/>
      <c r="AA681" s="2"/>
      <c r="AB681" s="2"/>
      <c r="AC681" s="2"/>
    </row>
    <row r="682">
      <c r="A682" s="2"/>
      <c r="B682" s="2"/>
      <c r="C682" s="2"/>
      <c r="D682" s="2"/>
      <c r="E682" s="2"/>
      <c r="F682" s="2"/>
      <c r="G682" s="2"/>
      <c r="H682" s="2"/>
      <c r="I682" s="2"/>
      <c r="J682" s="2"/>
      <c r="K682" s="2"/>
      <c r="L682" s="2"/>
      <c r="M682" s="2"/>
      <c r="N682" s="2"/>
      <c r="O682" s="3"/>
      <c r="P682" s="3"/>
      <c r="Q682" s="2"/>
      <c r="R682" s="2"/>
      <c r="S682" s="2"/>
      <c r="T682" s="2"/>
      <c r="U682" s="2"/>
      <c r="V682" s="2"/>
      <c r="W682" s="2"/>
      <c r="X682" s="2"/>
      <c r="Y682" s="2"/>
      <c r="Z682" s="2"/>
      <c r="AA682" s="2"/>
      <c r="AB682" s="2"/>
      <c r="AC682" s="2"/>
    </row>
    <row r="683">
      <c r="A683" s="2"/>
      <c r="B683" s="2"/>
      <c r="C683" s="2"/>
      <c r="D683" s="2"/>
      <c r="E683" s="2"/>
      <c r="F683" s="2"/>
      <c r="G683" s="2"/>
      <c r="H683" s="2"/>
      <c r="I683" s="2"/>
      <c r="J683" s="2"/>
      <c r="K683" s="2"/>
      <c r="L683" s="2"/>
      <c r="M683" s="2"/>
      <c r="N683" s="2"/>
      <c r="O683" s="3"/>
      <c r="P683" s="3"/>
      <c r="Q683" s="2"/>
      <c r="R683" s="2"/>
      <c r="S683" s="2"/>
      <c r="T683" s="2"/>
      <c r="U683" s="2"/>
      <c r="V683" s="2"/>
      <c r="W683" s="2"/>
      <c r="X683" s="2"/>
      <c r="Y683" s="2"/>
      <c r="Z683" s="2"/>
      <c r="AA683" s="2"/>
      <c r="AB683" s="2"/>
      <c r="AC683" s="2"/>
    </row>
    <row r="684">
      <c r="A684" s="2"/>
      <c r="B684" s="2"/>
      <c r="C684" s="2"/>
      <c r="D684" s="2"/>
      <c r="E684" s="2"/>
      <c r="F684" s="2"/>
      <c r="G684" s="2"/>
      <c r="H684" s="2"/>
      <c r="I684" s="2"/>
      <c r="J684" s="2"/>
      <c r="K684" s="2"/>
      <c r="L684" s="2"/>
      <c r="M684" s="2"/>
      <c r="N684" s="2"/>
      <c r="O684" s="3"/>
      <c r="P684" s="3"/>
      <c r="Q684" s="2"/>
      <c r="R684" s="2"/>
      <c r="S684" s="2"/>
      <c r="T684" s="2"/>
      <c r="U684" s="2"/>
      <c r="V684" s="2"/>
      <c r="W684" s="2"/>
      <c r="X684" s="2"/>
      <c r="Y684" s="2"/>
      <c r="Z684" s="2"/>
      <c r="AA684" s="2"/>
      <c r="AB684" s="2"/>
      <c r="AC684" s="2"/>
    </row>
    <row r="685">
      <c r="A685" s="2"/>
      <c r="B685" s="2"/>
      <c r="C685" s="2"/>
      <c r="D685" s="2"/>
      <c r="E685" s="2"/>
      <c r="F685" s="2"/>
      <c r="G685" s="2"/>
      <c r="H685" s="2"/>
      <c r="I685" s="2"/>
      <c r="J685" s="2"/>
      <c r="K685" s="2"/>
      <c r="L685" s="2"/>
      <c r="M685" s="2"/>
      <c r="N685" s="2"/>
      <c r="O685" s="3"/>
      <c r="P685" s="3"/>
      <c r="Q685" s="2"/>
      <c r="R685" s="2"/>
      <c r="S685" s="2"/>
      <c r="T685" s="2"/>
      <c r="U685" s="2"/>
      <c r="V685" s="2"/>
      <c r="W685" s="2"/>
      <c r="X685" s="2"/>
      <c r="Y685" s="2"/>
      <c r="Z685" s="2"/>
      <c r="AA685" s="2"/>
      <c r="AB685" s="2"/>
      <c r="AC685" s="2"/>
    </row>
    <row r="686">
      <c r="A686" s="2"/>
      <c r="B686" s="2"/>
      <c r="C686" s="2"/>
      <c r="D686" s="2"/>
      <c r="E686" s="2"/>
      <c r="F686" s="2"/>
      <c r="G686" s="2"/>
      <c r="H686" s="2"/>
      <c r="I686" s="2"/>
      <c r="J686" s="2"/>
      <c r="K686" s="2"/>
      <c r="L686" s="2"/>
      <c r="M686" s="2"/>
      <c r="N686" s="2"/>
      <c r="O686" s="3"/>
      <c r="P686" s="3"/>
      <c r="Q686" s="2"/>
      <c r="R686" s="2"/>
      <c r="S686" s="2"/>
      <c r="T686" s="2"/>
      <c r="U686" s="2"/>
      <c r="V686" s="2"/>
      <c r="W686" s="2"/>
      <c r="X686" s="2"/>
      <c r="Y686" s="2"/>
      <c r="Z686" s="2"/>
      <c r="AA686" s="2"/>
      <c r="AB686" s="2"/>
      <c r="AC686" s="2"/>
    </row>
    <row r="687">
      <c r="A687" s="2"/>
      <c r="B687" s="2"/>
      <c r="C687" s="2"/>
      <c r="D687" s="2"/>
      <c r="E687" s="2"/>
      <c r="F687" s="2"/>
      <c r="G687" s="2"/>
      <c r="H687" s="2"/>
      <c r="I687" s="2"/>
      <c r="J687" s="2"/>
      <c r="K687" s="2"/>
      <c r="L687" s="2"/>
      <c r="M687" s="2"/>
      <c r="N687" s="2"/>
      <c r="O687" s="3"/>
      <c r="P687" s="3"/>
      <c r="Q687" s="2"/>
      <c r="R687" s="2"/>
      <c r="S687" s="2"/>
      <c r="T687" s="2"/>
      <c r="U687" s="2"/>
      <c r="V687" s="2"/>
      <c r="W687" s="2"/>
      <c r="X687" s="2"/>
      <c r="Y687" s="2"/>
      <c r="Z687" s="2"/>
      <c r="AA687" s="2"/>
      <c r="AB687" s="2"/>
      <c r="AC687" s="2"/>
    </row>
    <row r="688">
      <c r="A688" s="2"/>
      <c r="B688" s="2"/>
      <c r="C688" s="2"/>
      <c r="D688" s="2"/>
      <c r="E688" s="2"/>
      <c r="F688" s="2"/>
      <c r="G688" s="2"/>
      <c r="H688" s="2"/>
      <c r="I688" s="2"/>
      <c r="J688" s="2"/>
      <c r="K688" s="2"/>
      <c r="L688" s="2"/>
      <c r="M688" s="2"/>
      <c r="N688" s="2"/>
      <c r="O688" s="3"/>
      <c r="P688" s="3"/>
      <c r="Q688" s="2"/>
      <c r="R688" s="2"/>
      <c r="S688" s="2"/>
      <c r="T688" s="2"/>
      <c r="U688" s="2"/>
      <c r="V688" s="2"/>
      <c r="W688" s="2"/>
      <c r="X688" s="2"/>
      <c r="Y688" s="2"/>
      <c r="Z688" s="2"/>
      <c r="AA688" s="2"/>
      <c r="AB688" s="2"/>
      <c r="AC688" s="2"/>
    </row>
    <row r="689">
      <c r="A689" s="2"/>
      <c r="B689" s="2"/>
      <c r="C689" s="2"/>
      <c r="D689" s="2"/>
      <c r="E689" s="2"/>
      <c r="F689" s="2"/>
      <c r="G689" s="2"/>
      <c r="H689" s="2"/>
      <c r="I689" s="2"/>
      <c r="J689" s="2"/>
      <c r="K689" s="2"/>
      <c r="L689" s="2"/>
      <c r="M689" s="2"/>
      <c r="N689" s="2"/>
      <c r="O689" s="3"/>
      <c r="P689" s="3"/>
      <c r="Q689" s="2"/>
      <c r="R689" s="2"/>
      <c r="S689" s="2"/>
      <c r="T689" s="2"/>
      <c r="U689" s="2"/>
      <c r="V689" s="2"/>
      <c r="W689" s="2"/>
      <c r="X689" s="2"/>
      <c r="Y689" s="2"/>
      <c r="Z689" s="2"/>
      <c r="AA689" s="2"/>
      <c r="AB689" s="2"/>
      <c r="AC689" s="2"/>
    </row>
    <row r="690">
      <c r="A690" s="2"/>
      <c r="B690" s="2"/>
      <c r="C690" s="2"/>
      <c r="D690" s="2"/>
      <c r="E690" s="2"/>
      <c r="F690" s="2"/>
      <c r="G690" s="2"/>
      <c r="H690" s="2"/>
      <c r="I690" s="2"/>
      <c r="J690" s="2"/>
      <c r="K690" s="2"/>
      <c r="L690" s="2"/>
      <c r="M690" s="2"/>
      <c r="N690" s="2"/>
      <c r="O690" s="3"/>
      <c r="P690" s="3"/>
      <c r="Q690" s="2"/>
      <c r="R690" s="2"/>
      <c r="S690" s="2"/>
      <c r="T690" s="2"/>
      <c r="U690" s="2"/>
      <c r="V690" s="2"/>
      <c r="W690" s="2"/>
      <c r="X690" s="2"/>
      <c r="Y690" s="2"/>
      <c r="Z690" s="2"/>
      <c r="AA690" s="2"/>
      <c r="AB690" s="2"/>
      <c r="AC690" s="2"/>
    </row>
    <row r="691">
      <c r="A691" s="2"/>
      <c r="B691" s="2"/>
      <c r="C691" s="2"/>
      <c r="D691" s="2"/>
      <c r="E691" s="2"/>
      <c r="F691" s="2"/>
      <c r="G691" s="2"/>
      <c r="H691" s="2"/>
      <c r="I691" s="2"/>
      <c r="J691" s="2"/>
      <c r="K691" s="2"/>
      <c r="L691" s="2"/>
      <c r="M691" s="2"/>
      <c r="N691" s="2"/>
      <c r="O691" s="3"/>
      <c r="P691" s="3"/>
      <c r="Q691" s="2"/>
      <c r="R691" s="2"/>
      <c r="S691" s="2"/>
      <c r="T691" s="2"/>
      <c r="U691" s="2"/>
      <c r="V691" s="2"/>
      <c r="W691" s="2"/>
      <c r="X691" s="2"/>
      <c r="Y691" s="2"/>
      <c r="Z691" s="2"/>
      <c r="AA691" s="2"/>
      <c r="AB691" s="2"/>
      <c r="AC691" s="2"/>
    </row>
    <row r="692">
      <c r="A692" s="2"/>
      <c r="B692" s="2"/>
      <c r="C692" s="2"/>
      <c r="D692" s="2"/>
      <c r="E692" s="2"/>
      <c r="F692" s="2"/>
      <c r="G692" s="2"/>
      <c r="H692" s="2"/>
      <c r="I692" s="2"/>
      <c r="J692" s="2"/>
      <c r="K692" s="2"/>
      <c r="L692" s="2"/>
      <c r="M692" s="2"/>
      <c r="N692" s="2"/>
      <c r="O692" s="3"/>
      <c r="P692" s="3"/>
      <c r="Q692" s="2"/>
      <c r="R692" s="2"/>
      <c r="S692" s="2"/>
      <c r="T692" s="2"/>
      <c r="U692" s="2"/>
      <c r="V692" s="2"/>
      <c r="W692" s="2"/>
      <c r="X692" s="2"/>
      <c r="Y692" s="2"/>
      <c r="Z692" s="2"/>
      <c r="AA692" s="2"/>
      <c r="AB692" s="2"/>
      <c r="AC692" s="2"/>
    </row>
    <row r="693">
      <c r="A693" s="2"/>
      <c r="B693" s="2"/>
      <c r="C693" s="2"/>
      <c r="D693" s="2"/>
      <c r="E693" s="2"/>
      <c r="F693" s="2"/>
      <c r="G693" s="2"/>
      <c r="H693" s="2"/>
      <c r="I693" s="2"/>
      <c r="J693" s="2"/>
      <c r="K693" s="2"/>
      <c r="L693" s="2"/>
      <c r="M693" s="2"/>
      <c r="N693" s="2"/>
      <c r="O693" s="3"/>
      <c r="P693" s="3"/>
      <c r="Q693" s="2"/>
      <c r="R693" s="2"/>
      <c r="S693" s="2"/>
      <c r="T693" s="2"/>
      <c r="U693" s="2"/>
      <c r="V693" s="2"/>
      <c r="W693" s="2"/>
      <c r="X693" s="2"/>
      <c r="Y693" s="2"/>
      <c r="Z693" s="2"/>
      <c r="AA693" s="2"/>
      <c r="AB693" s="2"/>
      <c r="AC693" s="2"/>
    </row>
    <row r="694">
      <c r="A694" s="2"/>
      <c r="B694" s="2"/>
      <c r="C694" s="2"/>
      <c r="D694" s="2"/>
      <c r="E694" s="2"/>
      <c r="F694" s="2"/>
      <c r="G694" s="2"/>
      <c r="H694" s="2"/>
      <c r="I694" s="2"/>
      <c r="J694" s="2"/>
      <c r="K694" s="2"/>
      <c r="L694" s="2"/>
      <c r="M694" s="2"/>
      <c r="N694" s="2"/>
      <c r="O694" s="3"/>
      <c r="P694" s="3"/>
      <c r="Q694" s="2"/>
      <c r="R694" s="2"/>
      <c r="S694" s="2"/>
      <c r="T694" s="2"/>
      <c r="U694" s="2"/>
      <c r="V694" s="2"/>
      <c r="W694" s="2"/>
      <c r="X694" s="2"/>
      <c r="Y694" s="2"/>
      <c r="Z694" s="2"/>
      <c r="AA694" s="2"/>
      <c r="AB694" s="2"/>
      <c r="AC694" s="2"/>
    </row>
    <row r="695">
      <c r="A695" s="2"/>
      <c r="B695" s="2"/>
      <c r="C695" s="2"/>
      <c r="D695" s="2"/>
      <c r="E695" s="2"/>
      <c r="F695" s="2"/>
      <c r="G695" s="2"/>
      <c r="H695" s="2"/>
      <c r="I695" s="2"/>
      <c r="J695" s="2"/>
      <c r="K695" s="2"/>
      <c r="L695" s="2"/>
      <c r="M695" s="2"/>
      <c r="N695" s="2"/>
      <c r="O695" s="3"/>
      <c r="P695" s="3"/>
      <c r="Q695" s="2"/>
      <c r="R695" s="2"/>
      <c r="S695" s="2"/>
      <c r="T695" s="2"/>
      <c r="U695" s="2"/>
      <c r="V695" s="2"/>
      <c r="W695" s="2"/>
      <c r="X695" s="2"/>
      <c r="Y695" s="2"/>
      <c r="Z695" s="2"/>
      <c r="AA695" s="2"/>
      <c r="AB695" s="2"/>
      <c r="AC695" s="2"/>
    </row>
    <row r="696">
      <c r="A696" s="2"/>
      <c r="B696" s="2"/>
      <c r="C696" s="2"/>
      <c r="D696" s="2"/>
      <c r="E696" s="2"/>
      <c r="F696" s="2"/>
      <c r="G696" s="2"/>
      <c r="H696" s="2"/>
      <c r="I696" s="2"/>
      <c r="J696" s="2"/>
      <c r="K696" s="2"/>
      <c r="L696" s="2"/>
      <c r="M696" s="2"/>
      <c r="N696" s="2"/>
      <c r="O696" s="3"/>
      <c r="P696" s="3"/>
      <c r="Q696" s="2"/>
      <c r="R696" s="2"/>
      <c r="S696" s="2"/>
      <c r="T696" s="2"/>
      <c r="U696" s="2"/>
      <c r="V696" s="2"/>
      <c r="W696" s="2"/>
      <c r="X696" s="2"/>
      <c r="Y696" s="2"/>
      <c r="Z696" s="2"/>
      <c r="AA696" s="2"/>
      <c r="AB696" s="2"/>
      <c r="AC696" s="2"/>
    </row>
    <row r="697">
      <c r="A697" s="2"/>
      <c r="B697" s="2"/>
      <c r="C697" s="2"/>
      <c r="D697" s="2"/>
      <c r="E697" s="2"/>
      <c r="F697" s="2"/>
      <c r="G697" s="2"/>
      <c r="H697" s="2"/>
      <c r="I697" s="2"/>
      <c r="J697" s="2"/>
      <c r="K697" s="2"/>
      <c r="L697" s="2"/>
      <c r="M697" s="2"/>
      <c r="N697" s="2"/>
      <c r="O697" s="3"/>
      <c r="P697" s="3"/>
      <c r="Q697" s="2"/>
      <c r="R697" s="2"/>
      <c r="S697" s="2"/>
      <c r="T697" s="2"/>
      <c r="U697" s="2"/>
      <c r="V697" s="2"/>
      <c r="W697" s="2"/>
      <c r="X697" s="2"/>
      <c r="Y697" s="2"/>
      <c r="Z697" s="2"/>
      <c r="AA697" s="2"/>
      <c r="AB697" s="2"/>
      <c r="AC697" s="2"/>
    </row>
    <row r="698">
      <c r="A698" s="2"/>
      <c r="B698" s="2"/>
      <c r="C698" s="2"/>
      <c r="D698" s="2"/>
      <c r="E698" s="2"/>
      <c r="F698" s="2"/>
      <c r="G698" s="2"/>
      <c r="H698" s="2"/>
      <c r="I698" s="2"/>
      <c r="J698" s="2"/>
      <c r="K698" s="2"/>
      <c r="L698" s="2"/>
      <c r="M698" s="2"/>
      <c r="N698" s="2"/>
      <c r="O698" s="3"/>
      <c r="P698" s="3"/>
      <c r="Q698" s="2"/>
      <c r="R698" s="2"/>
      <c r="S698" s="2"/>
      <c r="T698" s="2"/>
      <c r="U698" s="2"/>
      <c r="V698" s="2"/>
      <c r="W698" s="2"/>
      <c r="X698" s="2"/>
      <c r="Y698" s="2"/>
      <c r="Z698" s="2"/>
      <c r="AA698" s="2"/>
      <c r="AB698" s="2"/>
      <c r="AC698" s="2"/>
    </row>
    <row r="699">
      <c r="A699" s="2"/>
      <c r="B699" s="2"/>
      <c r="C699" s="2"/>
      <c r="D699" s="2"/>
      <c r="E699" s="2"/>
      <c r="F699" s="2"/>
      <c r="G699" s="2"/>
      <c r="H699" s="2"/>
      <c r="I699" s="2"/>
      <c r="J699" s="2"/>
      <c r="K699" s="2"/>
      <c r="L699" s="2"/>
      <c r="M699" s="2"/>
      <c r="N699" s="2"/>
      <c r="O699" s="3"/>
      <c r="P699" s="3"/>
      <c r="Q699" s="2"/>
      <c r="R699" s="2"/>
      <c r="S699" s="2"/>
      <c r="T699" s="2"/>
      <c r="U699" s="2"/>
      <c r="V699" s="2"/>
      <c r="W699" s="2"/>
      <c r="X699" s="2"/>
      <c r="Y699" s="2"/>
      <c r="Z699" s="2"/>
      <c r="AA699" s="2"/>
      <c r="AB699" s="2"/>
      <c r="AC699" s="2"/>
    </row>
    <row r="700">
      <c r="A700" s="2"/>
      <c r="B700" s="2"/>
      <c r="C700" s="2"/>
      <c r="D700" s="2"/>
      <c r="E700" s="2"/>
      <c r="F700" s="2"/>
      <c r="G700" s="2"/>
      <c r="H700" s="2"/>
      <c r="I700" s="2"/>
      <c r="J700" s="2"/>
      <c r="K700" s="2"/>
      <c r="L700" s="2"/>
      <c r="M700" s="2"/>
      <c r="N700" s="2"/>
      <c r="O700" s="3"/>
      <c r="P700" s="3"/>
      <c r="Q700" s="2"/>
      <c r="R700" s="2"/>
      <c r="S700" s="2"/>
      <c r="T700" s="2"/>
      <c r="U700" s="2"/>
      <c r="V700" s="2"/>
      <c r="W700" s="2"/>
      <c r="X700" s="2"/>
      <c r="Y700" s="2"/>
      <c r="Z700" s="2"/>
      <c r="AA700" s="2"/>
      <c r="AB700" s="2"/>
      <c r="AC700" s="2"/>
    </row>
    <row r="701">
      <c r="A701" s="2"/>
      <c r="B701" s="2"/>
      <c r="C701" s="2"/>
      <c r="D701" s="2"/>
      <c r="E701" s="2"/>
      <c r="F701" s="2"/>
      <c r="G701" s="2"/>
      <c r="H701" s="2"/>
      <c r="I701" s="2"/>
      <c r="J701" s="2"/>
      <c r="K701" s="2"/>
      <c r="L701" s="2"/>
      <c r="M701" s="2"/>
      <c r="N701" s="2"/>
      <c r="O701" s="3"/>
      <c r="P701" s="3"/>
      <c r="Q701" s="2"/>
      <c r="R701" s="2"/>
      <c r="S701" s="2"/>
      <c r="T701" s="2"/>
      <c r="U701" s="2"/>
      <c r="V701" s="2"/>
      <c r="W701" s="2"/>
      <c r="X701" s="2"/>
      <c r="Y701" s="2"/>
      <c r="Z701" s="2"/>
      <c r="AA701" s="2"/>
      <c r="AB701" s="2"/>
      <c r="AC701" s="2"/>
    </row>
    <row r="702">
      <c r="A702" s="2"/>
      <c r="B702" s="2"/>
      <c r="C702" s="2"/>
      <c r="D702" s="2"/>
      <c r="E702" s="2"/>
      <c r="F702" s="2"/>
      <c r="G702" s="2"/>
      <c r="H702" s="2"/>
      <c r="I702" s="2"/>
      <c r="J702" s="2"/>
      <c r="K702" s="2"/>
      <c r="L702" s="2"/>
      <c r="M702" s="2"/>
      <c r="N702" s="2"/>
      <c r="O702" s="3"/>
      <c r="P702" s="3"/>
      <c r="Q702" s="2"/>
      <c r="R702" s="2"/>
      <c r="S702" s="2"/>
      <c r="T702" s="2"/>
      <c r="U702" s="2"/>
      <c r="V702" s="2"/>
      <c r="W702" s="2"/>
      <c r="X702" s="2"/>
      <c r="Y702" s="2"/>
      <c r="Z702" s="2"/>
      <c r="AA702" s="2"/>
      <c r="AB702" s="2"/>
      <c r="AC702" s="2"/>
    </row>
    <row r="703">
      <c r="A703" s="2"/>
      <c r="B703" s="2"/>
      <c r="C703" s="2"/>
      <c r="D703" s="2"/>
      <c r="E703" s="2"/>
      <c r="F703" s="2"/>
      <c r="G703" s="2"/>
      <c r="H703" s="2"/>
      <c r="I703" s="2"/>
      <c r="J703" s="2"/>
      <c r="K703" s="2"/>
      <c r="L703" s="2"/>
      <c r="M703" s="2"/>
      <c r="N703" s="2"/>
      <c r="O703" s="3"/>
      <c r="P703" s="3"/>
      <c r="Q703" s="2"/>
      <c r="R703" s="2"/>
      <c r="S703" s="2"/>
      <c r="T703" s="2"/>
      <c r="U703" s="2"/>
      <c r="V703" s="2"/>
      <c r="W703" s="2"/>
      <c r="X703" s="2"/>
      <c r="Y703" s="2"/>
      <c r="Z703" s="2"/>
      <c r="AA703" s="2"/>
      <c r="AB703" s="2"/>
      <c r="AC703" s="2"/>
    </row>
    <row r="704">
      <c r="A704" s="2"/>
      <c r="B704" s="2"/>
      <c r="C704" s="2"/>
      <c r="D704" s="2"/>
      <c r="E704" s="2"/>
      <c r="F704" s="2"/>
      <c r="G704" s="2"/>
      <c r="H704" s="2"/>
      <c r="I704" s="2"/>
      <c r="J704" s="2"/>
      <c r="K704" s="2"/>
      <c r="L704" s="2"/>
      <c r="M704" s="2"/>
      <c r="N704" s="2"/>
      <c r="O704" s="3"/>
      <c r="P704" s="3"/>
      <c r="Q704" s="2"/>
      <c r="R704" s="2"/>
      <c r="S704" s="2"/>
      <c r="T704" s="2"/>
      <c r="U704" s="2"/>
      <c r="V704" s="2"/>
      <c r="W704" s="2"/>
      <c r="X704" s="2"/>
      <c r="Y704" s="2"/>
      <c r="Z704" s="2"/>
      <c r="AA704" s="2"/>
      <c r="AB704" s="2"/>
      <c r="AC704" s="2"/>
    </row>
    <row r="705">
      <c r="A705" s="2"/>
      <c r="B705" s="2"/>
      <c r="C705" s="2"/>
      <c r="D705" s="2"/>
      <c r="E705" s="2"/>
      <c r="F705" s="2"/>
      <c r="G705" s="2"/>
      <c r="H705" s="2"/>
      <c r="I705" s="2"/>
      <c r="J705" s="2"/>
      <c r="K705" s="2"/>
      <c r="L705" s="2"/>
      <c r="M705" s="2"/>
      <c r="N705" s="2"/>
      <c r="O705" s="3"/>
      <c r="P705" s="3"/>
      <c r="Q705" s="2"/>
      <c r="R705" s="2"/>
      <c r="S705" s="2"/>
      <c r="T705" s="2"/>
      <c r="U705" s="2"/>
      <c r="V705" s="2"/>
      <c r="W705" s="2"/>
      <c r="X705" s="2"/>
      <c r="Y705" s="2"/>
      <c r="Z705" s="2"/>
      <c r="AA705" s="2"/>
      <c r="AB705" s="2"/>
      <c r="AC705" s="2"/>
    </row>
    <row r="706">
      <c r="A706" s="2"/>
      <c r="B706" s="2"/>
      <c r="C706" s="2"/>
      <c r="D706" s="2"/>
      <c r="E706" s="2"/>
      <c r="F706" s="2"/>
      <c r="G706" s="2"/>
      <c r="H706" s="2"/>
      <c r="I706" s="2"/>
      <c r="J706" s="2"/>
      <c r="K706" s="2"/>
      <c r="L706" s="2"/>
      <c r="M706" s="2"/>
      <c r="N706" s="2"/>
      <c r="O706" s="3"/>
      <c r="P706" s="3"/>
      <c r="Q706" s="2"/>
      <c r="R706" s="2"/>
      <c r="S706" s="2"/>
      <c r="T706" s="2"/>
      <c r="U706" s="2"/>
      <c r="V706" s="2"/>
      <c r="W706" s="2"/>
      <c r="X706" s="2"/>
      <c r="Y706" s="2"/>
      <c r="Z706" s="2"/>
      <c r="AA706" s="2"/>
      <c r="AB706" s="2"/>
      <c r="AC706" s="2"/>
    </row>
    <row r="707">
      <c r="A707" s="2"/>
      <c r="B707" s="2"/>
      <c r="C707" s="2"/>
      <c r="D707" s="2"/>
      <c r="E707" s="2"/>
      <c r="F707" s="2"/>
      <c r="G707" s="2"/>
      <c r="H707" s="2"/>
      <c r="I707" s="2"/>
      <c r="J707" s="2"/>
      <c r="K707" s="2"/>
      <c r="L707" s="2"/>
      <c r="M707" s="2"/>
      <c r="N707" s="2"/>
      <c r="O707" s="3"/>
      <c r="P707" s="3"/>
      <c r="Q707" s="2"/>
      <c r="R707" s="2"/>
      <c r="S707" s="2"/>
      <c r="T707" s="2"/>
      <c r="U707" s="2"/>
      <c r="V707" s="2"/>
      <c r="W707" s="2"/>
      <c r="X707" s="2"/>
      <c r="Y707" s="2"/>
      <c r="Z707" s="2"/>
      <c r="AA707" s="2"/>
      <c r="AB707" s="2"/>
      <c r="AC707" s="2"/>
    </row>
    <row r="708">
      <c r="A708" s="2"/>
      <c r="B708" s="2"/>
      <c r="C708" s="2"/>
      <c r="D708" s="2"/>
      <c r="E708" s="2"/>
      <c r="F708" s="2"/>
      <c r="G708" s="2"/>
      <c r="H708" s="2"/>
      <c r="I708" s="2"/>
      <c r="J708" s="2"/>
      <c r="K708" s="2"/>
      <c r="L708" s="2"/>
      <c r="M708" s="2"/>
      <c r="N708" s="2"/>
      <c r="O708" s="3"/>
      <c r="P708" s="3"/>
      <c r="Q708" s="2"/>
      <c r="R708" s="2"/>
      <c r="S708" s="2"/>
      <c r="T708" s="2"/>
      <c r="U708" s="2"/>
      <c r="V708" s="2"/>
      <c r="W708" s="2"/>
      <c r="X708" s="2"/>
      <c r="Y708" s="2"/>
      <c r="Z708" s="2"/>
      <c r="AA708" s="2"/>
      <c r="AB708" s="2"/>
      <c r="AC708" s="2"/>
    </row>
    <row r="709">
      <c r="A709" s="2"/>
      <c r="B709" s="2"/>
      <c r="C709" s="2"/>
      <c r="D709" s="2"/>
      <c r="E709" s="2"/>
      <c r="F709" s="2"/>
      <c r="G709" s="2"/>
      <c r="H709" s="2"/>
      <c r="I709" s="2"/>
      <c r="J709" s="2"/>
      <c r="K709" s="2"/>
      <c r="L709" s="2"/>
      <c r="M709" s="2"/>
      <c r="N709" s="2"/>
      <c r="O709" s="3"/>
      <c r="P709" s="3"/>
      <c r="Q709" s="2"/>
      <c r="R709" s="2"/>
      <c r="S709" s="2"/>
      <c r="T709" s="2"/>
      <c r="U709" s="2"/>
      <c r="V709" s="2"/>
      <c r="W709" s="2"/>
      <c r="X709" s="2"/>
      <c r="Y709" s="2"/>
      <c r="Z709" s="2"/>
      <c r="AA709" s="2"/>
      <c r="AB709" s="2"/>
      <c r="AC709" s="2"/>
    </row>
    <row r="710">
      <c r="A710" s="2"/>
      <c r="B710" s="2"/>
      <c r="C710" s="2"/>
      <c r="D710" s="2"/>
      <c r="E710" s="2"/>
      <c r="F710" s="2"/>
      <c r="G710" s="2"/>
      <c r="H710" s="2"/>
      <c r="I710" s="2"/>
      <c r="J710" s="2"/>
      <c r="K710" s="2"/>
      <c r="L710" s="2"/>
      <c r="M710" s="2"/>
      <c r="N710" s="2"/>
      <c r="O710" s="3"/>
      <c r="P710" s="3"/>
      <c r="Q710" s="2"/>
      <c r="R710" s="2"/>
      <c r="S710" s="2"/>
      <c r="T710" s="2"/>
      <c r="U710" s="2"/>
      <c r="V710" s="2"/>
      <c r="W710" s="2"/>
      <c r="X710" s="2"/>
      <c r="Y710" s="2"/>
      <c r="Z710" s="2"/>
      <c r="AA710" s="2"/>
      <c r="AB710" s="2"/>
      <c r="AC710" s="2"/>
    </row>
    <row r="711">
      <c r="A711" s="2"/>
      <c r="B711" s="2"/>
      <c r="C711" s="2"/>
      <c r="D711" s="2"/>
      <c r="E711" s="2"/>
      <c r="F711" s="2"/>
      <c r="G711" s="2"/>
      <c r="H711" s="2"/>
      <c r="I711" s="2"/>
      <c r="J711" s="2"/>
      <c r="K711" s="2"/>
      <c r="L711" s="2"/>
      <c r="M711" s="2"/>
      <c r="N711" s="2"/>
      <c r="O711" s="3"/>
      <c r="P711" s="3"/>
      <c r="Q711" s="2"/>
      <c r="R711" s="2"/>
      <c r="S711" s="2"/>
      <c r="T711" s="2"/>
      <c r="U711" s="2"/>
      <c r="V711" s="2"/>
      <c r="W711" s="2"/>
      <c r="X711" s="2"/>
      <c r="Y711" s="2"/>
      <c r="Z711" s="2"/>
      <c r="AA711" s="2"/>
      <c r="AB711" s="2"/>
      <c r="AC711" s="2"/>
    </row>
    <row r="712">
      <c r="A712" s="2"/>
      <c r="B712" s="2"/>
      <c r="C712" s="2"/>
      <c r="D712" s="2"/>
      <c r="E712" s="2"/>
      <c r="F712" s="2"/>
      <c r="G712" s="2"/>
      <c r="H712" s="2"/>
      <c r="I712" s="2"/>
      <c r="J712" s="2"/>
      <c r="K712" s="2"/>
      <c r="L712" s="2"/>
      <c r="M712" s="2"/>
      <c r="N712" s="2"/>
      <c r="O712" s="3"/>
      <c r="P712" s="3"/>
      <c r="Q712" s="2"/>
      <c r="R712" s="2"/>
      <c r="S712" s="2"/>
      <c r="T712" s="2"/>
      <c r="U712" s="2"/>
      <c r="V712" s="2"/>
      <c r="W712" s="2"/>
      <c r="X712" s="2"/>
      <c r="Y712" s="2"/>
      <c r="Z712" s="2"/>
      <c r="AA712" s="2"/>
      <c r="AB712" s="2"/>
      <c r="AC712" s="2"/>
    </row>
    <row r="713">
      <c r="A713" s="2"/>
      <c r="B713" s="2"/>
      <c r="C713" s="2"/>
      <c r="D713" s="2"/>
      <c r="E713" s="2"/>
      <c r="F713" s="2"/>
      <c r="G713" s="2"/>
      <c r="H713" s="2"/>
      <c r="I713" s="2"/>
      <c r="J713" s="2"/>
      <c r="K713" s="2"/>
      <c r="L713" s="2"/>
      <c r="M713" s="2"/>
      <c r="N713" s="2"/>
      <c r="O713" s="3"/>
      <c r="P713" s="3"/>
      <c r="Q713" s="2"/>
      <c r="R713" s="2"/>
      <c r="S713" s="2"/>
      <c r="T713" s="2"/>
      <c r="U713" s="2"/>
      <c r="V713" s="2"/>
      <c r="W713" s="2"/>
      <c r="X713" s="2"/>
      <c r="Y713" s="2"/>
      <c r="Z713" s="2"/>
      <c r="AA713" s="2"/>
      <c r="AB713" s="2"/>
      <c r="AC713" s="2"/>
    </row>
    <row r="714">
      <c r="A714" s="2"/>
      <c r="B714" s="2"/>
      <c r="C714" s="2"/>
      <c r="D714" s="2"/>
      <c r="E714" s="2"/>
      <c r="F714" s="2"/>
      <c r="G714" s="2"/>
      <c r="H714" s="2"/>
      <c r="I714" s="2"/>
      <c r="J714" s="2"/>
      <c r="K714" s="2"/>
      <c r="L714" s="2"/>
      <c r="M714" s="2"/>
      <c r="N714" s="2"/>
      <c r="O714" s="3"/>
      <c r="P714" s="3"/>
      <c r="Q714" s="2"/>
      <c r="R714" s="2"/>
      <c r="S714" s="2"/>
      <c r="T714" s="2"/>
      <c r="U714" s="2"/>
      <c r="V714" s="2"/>
      <c r="W714" s="2"/>
      <c r="X714" s="2"/>
      <c r="Y714" s="2"/>
      <c r="Z714" s="2"/>
      <c r="AA714" s="2"/>
      <c r="AB714" s="2"/>
      <c r="AC714" s="2"/>
    </row>
    <row r="715">
      <c r="A715" s="2"/>
      <c r="B715" s="2"/>
      <c r="C715" s="2"/>
      <c r="D715" s="2"/>
      <c r="E715" s="2"/>
      <c r="F715" s="2"/>
      <c r="G715" s="2"/>
      <c r="H715" s="2"/>
      <c r="I715" s="2"/>
      <c r="J715" s="2"/>
      <c r="K715" s="2"/>
      <c r="L715" s="2"/>
      <c r="M715" s="2"/>
      <c r="N715" s="2"/>
      <c r="O715" s="3"/>
      <c r="P715" s="3"/>
      <c r="Q715" s="2"/>
      <c r="R715" s="2"/>
      <c r="S715" s="2"/>
      <c r="T715" s="2"/>
      <c r="U715" s="2"/>
      <c r="V715" s="2"/>
      <c r="W715" s="2"/>
      <c r="X715" s="2"/>
      <c r="Y715" s="2"/>
      <c r="Z715" s="2"/>
      <c r="AA715" s="2"/>
      <c r="AB715" s="2"/>
      <c r="AC715" s="2"/>
    </row>
    <row r="716">
      <c r="A716" s="2"/>
      <c r="B716" s="2"/>
      <c r="C716" s="2"/>
      <c r="D716" s="2"/>
      <c r="E716" s="2"/>
      <c r="F716" s="2"/>
      <c r="G716" s="2"/>
      <c r="H716" s="2"/>
      <c r="I716" s="2"/>
      <c r="J716" s="2"/>
      <c r="K716" s="2"/>
      <c r="L716" s="2"/>
      <c r="M716" s="2"/>
      <c r="N716" s="2"/>
      <c r="O716" s="3"/>
      <c r="P716" s="3"/>
      <c r="Q716" s="2"/>
      <c r="R716" s="2"/>
      <c r="S716" s="2"/>
      <c r="T716" s="2"/>
      <c r="U716" s="2"/>
      <c r="V716" s="2"/>
      <c r="W716" s="2"/>
      <c r="X716" s="2"/>
      <c r="Y716" s="2"/>
      <c r="Z716" s="2"/>
      <c r="AA716" s="2"/>
      <c r="AB716" s="2"/>
      <c r="AC716" s="2"/>
    </row>
    <row r="717">
      <c r="A717" s="2"/>
      <c r="B717" s="2"/>
      <c r="C717" s="2"/>
      <c r="D717" s="2"/>
      <c r="E717" s="2"/>
      <c r="F717" s="2"/>
      <c r="G717" s="2"/>
      <c r="H717" s="2"/>
      <c r="I717" s="2"/>
      <c r="J717" s="2"/>
      <c r="K717" s="2"/>
      <c r="L717" s="2"/>
      <c r="M717" s="2"/>
      <c r="N717" s="2"/>
      <c r="O717" s="3"/>
      <c r="P717" s="3"/>
      <c r="Q717" s="2"/>
      <c r="R717" s="2"/>
      <c r="S717" s="2"/>
      <c r="T717" s="2"/>
      <c r="U717" s="2"/>
      <c r="V717" s="2"/>
      <c r="W717" s="2"/>
      <c r="X717" s="2"/>
      <c r="Y717" s="2"/>
      <c r="Z717" s="2"/>
      <c r="AA717" s="2"/>
      <c r="AB717" s="2"/>
      <c r="AC717" s="2"/>
    </row>
    <row r="718">
      <c r="A718" s="2"/>
      <c r="B718" s="2"/>
      <c r="C718" s="2"/>
      <c r="D718" s="2"/>
      <c r="E718" s="2"/>
      <c r="F718" s="2"/>
      <c r="G718" s="2"/>
      <c r="H718" s="2"/>
      <c r="I718" s="2"/>
      <c r="J718" s="2"/>
      <c r="K718" s="2"/>
      <c r="L718" s="2"/>
      <c r="M718" s="2"/>
      <c r="N718" s="2"/>
      <c r="O718" s="3"/>
      <c r="P718" s="3"/>
      <c r="Q718" s="2"/>
      <c r="R718" s="2"/>
      <c r="S718" s="2"/>
      <c r="T718" s="2"/>
      <c r="U718" s="2"/>
      <c r="V718" s="2"/>
      <c r="W718" s="2"/>
      <c r="X718" s="2"/>
      <c r="Y718" s="2"/>
      <c r="Z718" s="2"/>
      <c r="AA718" s="2"/>
      <c r="AB718" s="2"/>
      <c r="AC718" s="2"/>
    </row>
    <row r="719">
      <c r="A719" s="2"/>
      <c r="B719" s="2"/>
      <c r="C719" s="2"/>
      <c r="D719" s="2"/>
      <c r="E719" s="2"/>
      <c r="F719" s="2"/>
      <c r="G719" s="2"/>
      <c r="H719" s="2"/>
      <c r="I719" s="2"/>
      <c r="J719" s="2"/>
      <c r="K719" s="2"/>
      <c r="L719" s="2"/>
      <c r="M719" s="2"/>
      <c r="N719" s="2"/>
      <c r="O719" s="3"/>
      <c r="P719" s="3"/>
      <c r="Q719" s="2"/>
      <c r="R719" s="2"/>
      <c r="S719" s="2"/>
      <c r="T719" s="2"/>
      <c r="U719" s="2"/>
      <c r="V719" s="2"/>
      <c r="W719" s="2"/>
      <c r="X719" s="2"/>
      <c r="Y719" s="2"/>
      <c r="Z719" s="2"/>
      <c r="AA719" s="2"/>
      <c r="AB719" s="2"/>
      <c r="AC719" s="2"/>
    </row>
    <row r="720">
      <c r="A720" s="2"/>
      <c r="B720" s="2"/>
      <c r="C720" s="2"/>
      <c r="D720" s="2"/>
      <c r="E720" s="2"/>
      <c r="F720" s="2"/>
      <c r="G720" s="2"/>
      <c r="H720" s="2"/>
      <c r="I720" s="2"/>
      <c r="J720" s="2"/>
      <c r="K720" s="2"/>
      <c r="L720" s="2"/>
      <c r="M720" s="2"/>
      <c r="N720" s="2"/>
      <c r="O720" s="3"/>
      <c r="P720" s="3"/>
      <c r="Q720" s="2"/>
      <c r="R720" s="2"/>
      <c r="S720" s="2"/>
      <c r="T720" s="2"/>
      <c r="U720" s="2"/>
      <c r="V720" s="2"/>
      <c r="W720" s="2"/>
      <c r="X720" s="2"/>
      <c r="Y720" s="2"/>
      <c r="Z720" s="2"/>
      <c r="AA720" s="2"/>
      <c r="AB720" s="2"/>
      <c r="AC720" s="2"/>
    </row>
    <row r="721">
      <c r="A721" s="2"/>
      <c r="B721" s="2"/>
      <c r="C721" s="2"/>
      <c r="D721" s="2"/>
      <c r="E721" s="2"/>
      <c r="F721" s="2"/>
      <c r="G721" s="2"/>
      <c r="H721" s="2"/>
      <c r="I721" s="2"/>
      <c r="J721" s="2"/>
      <c r="K721" s="2"/>
      <c r="L721" s="2"/>
      <c r="M721" s="2"/>
      <c r="N721" s="2"/>
      <c r="O721" s="3"/>
      <c r="P721" s="3"/>
      <c r="Q721" s="2"/>
      <c r="R721" s="2"/>
      <c r="S721" s="2"/>
      <c r="T721" s="2"/>
      <c r="U721" s="2"/>
      <c r="V721" s="2"/>
      <c r="W721" s="2"/>
      <c r="X721" s="2"/>
      <c r="Y721" s="2"/>
      <c r="Z721" s="2"/>
      <c r="AA721" s="2"/>
      <c r="AB721" s="2"/>
      <c r="AC721" s="2"/>
    </row>
    <row r="722">
      <c r="A722" s="2"/>
      <c r="B722" s="2"/>
      <c r="C722" s="2"/>
      <c r="D722" s="2"/>
      <c r="E722" s="2"/>
      <c r="F722" s="2"/>
      <c r="G722" s="2"/>
      <c r="H722" s="2"/>
      <c r="I722" s="2"/>
      <c r="J722" s="2"/>
      <c r="K722" s="2"/>
      <c r="L722" s="2"/>
      <c r="M722" s="2"/>
      <c r="N722" s="2"/>
      <c r="O722" s="3"/>
      <c r="P722" s="3"/>
      <c r="Q722" s="2"/>
      <c r="R722" s="2"/>
      <c r="S722" s="2"/>
      <c r="T722" s="2"/>
      <c r="U722" s="2"/>
      <c r="V722" s="2"/>
      <c r="W722" s="2"/>
      <c r="X722" s="2"/>
      <c r="Y722" s="2"/>
      <c r="Z722" s="2"/>
      <c r="AA722" s="2"/>
      <c r="AB722" s="2"/>
      <c r="AC722" s="2"/>
    </row>
    <row r="723">
      <c r="A723" s="2"/>
      <c r="B723" s="2"/>
      <c r="C723" s="2"/>
      <c r="D723" s="2"/>
      <c r="E723" s="2"/>
      <c r="F723" s="2"/>
      <c r="G723" s="2"/>
      <c r="H723" s="2"/>
      <c r="I723" s="2"/>
      <c r="J723" s="2"/>
      <c r="K723" s="2"/>
      <c r="L723" s="2"/>
      <c r="M723" s="2"/>
      <c r="N723" s="2"/>
      <c r="O723" s="3"/>
      <c r="P723" s="3"/>
      <c r="Q723" s="2"/>
      <c r="R723" s="2"/>
      <c r="S723" s="2"/>
      <c r="T723" s="2"/>
      <c r="U723" s="2"/>
      <c r="V723" s="2"/>
      <c r="W723" s="2"/>
      <c r="X723" s="2"/>
      <c r="Y723" s="2"/>
      <c r="Z723" s="2"/>
      <c r="AA723" s="2"/>
      <c r="AB723" s="2"/>
      <c r="AC723" s="2"/>
    </row>
    <row r="724">
      <c r="A724" s="2"/>
      <c r="B724" s="2"/>
      <c r="C724" s="2"/>
      <c r="D724" s="2"/>
      <c r="E724" s="2"/>
      <c r="F724" s="2"/>
      <c r="G724" s="2"/>
      <c r="H724" s="2"/>
      <c r="I724" s="2"/>
      <c r="J724" s="2"/>
      <c r="K724" s="2"/>
      <c r="L724" s="2"/>
      <c r="M724" s="2"/>
      <c r="N724" s="2"/>
      <c r="O724" s="3"/>
      <c r="P724" s="3"/>
      <c r="Q724" s="2"/>
      <c r="R724" s="2"/>
      <c r="S724" s="2"/>
      <c r="T724" s="2"/>
      <c r="U724" s="2"/>
      <c r="V724" s="2"/>
      <c r="W724" s="2"/>
      <c r="X724" s="2"/>
      <c r="Y724" s="2"/>
      <c r="Z724" s="2"/>
      <c r="AA724" s="2"/>
      <c r="AB724" s="2"/>
      <c r="AC724" s="2"/>
    </row>
    <row r="725">
      <c r="A725" s="2"/>
      <c r="B725" s="2"/>
      <c r="C725" s="2"/>
      <c r="D725" s="2"/>
      <c r="E725" s="2"/>
      <c r="F725" s="2"/>
      <c r="G725" s="2"/>
      <c r="H725" s="2"/>
      <c r="I725" s="2"/>
      <c r="J725" s="2"/>
      <c r="K725" s="2"/>
      <c r="L725" s="2"/>
      <c r="M725" s="2"/>
      <c r="N725" s="2"/>
      <c r="O725" s="3"/>
      <c r="P725" s="3"/>
      <c r="Q725" s="2"/>
      <c r="R725" s="2"/>
      <c r="S725" s="2"/>
      <c r="T725" s="2"/>
      <c r="U725" s="2"/>
      <c r="V725" s="2"/>
      <c r="W725" s="2"/>
      <c r="X725" s="2"/>
      <c r="Y725" s="2"/>
      <c r="Z725" s="2"/>
      <c r="AA725" s="2"/>
      <c r="AB725" s="2"/>
      <c r="AC725" s="2"/>
    </row>
    <row r="726">
      <c r="A726" s="2"/>
      <c r="B726" s="2"/>
      <c r="C726" s="2"/>
      <c r="D726" s="2"/>
      <c r="E726" s="2"/>
      <c r="F726" s="2"/>
      <c r="G726" s="2"/>
      <c r="H726" s="2"/>
      <c r="I726" s="2"/>
      <c r="J726" s="2"/>
      <c r="K726" s="2"/>
      <c r="L726" s="2"/>
      <c r="M726" s="2"/>
      <c r="N726" s="2"/>
      <c r="O726" s="3"/>
      <c r="P726" s="3"/>
      <c r="Q726" s="2"/>
      <c r="R726" s="2"/>
      <c r="S726" s="2"/>
      <c r="T726" s="2"/>
      <c r="U726" s="2"/>
      <c r="V726" s="2"/>
      <c r="W726" s="2"/>
      <c r="X726" s="2"/>
      <c r="Y726" s="2"/>
      <c r="Z726" s="2"/>
      <c r="AA726" s="2"/>
      <c r="AB726" s="2"/>
      <c r="AC726" s="2"/>
    </row>
    <row r="727">
      <c r="A727" s="2"/>
      <c r="B727" s="2"/>
      <c r="C727" s="2"/>
      <c r="D727" s="2"/>
      <c r="E727" s="2"/>
      <c r="F727" s="2"/>
      <c r="G727" s="2"/>
      <c r="H727" s="2"/>
      <c r="I727" s="2"/>
      <c r="J727" s="2"/>
      <c r="K727" s="2"/>
      <c r="L727" s="2"/>
      <c r="M727" s="2"/>
      <c r="N727" s="2"/>
      <c r="O727" s="3"/>
      <c r="P727" s="3"/>
      <c r="Q727" s="2"/>
      <c r="R727" s="2"/>
      <c r="S727" s="2"/>
      <c r="T727" s="2"/>
      <c r="U727" s="2"/>
      <c r="V727" s="2"/>
      <c r="W727" s="2"/>
      <c r="X727" s="2"/>
      <c r="Y727" s="2"/>
      <c r="Z727" s="2"/>
      <c r="AA727" s="2"/>
      <c r="AB727" s="2"/>
      <c r="AC727" s="2"/>
    </row>
    <row r="728">
      <c r="A728" s="2"/>
      <c r="B728" s="2"/>
      <c r="C728" s="2"/>
      <c r="D728" s="2"/>
      <c r="E728" s="2"/>
      <c r="F728" s="2"/>
      <c r="G728" s="2"/>
      <c r="H728" s="2"/>
      <c r="I728" s="2"/>
      <c r="J728" s="2"/>
      <c r="K728" s="2"/>
      <c r="L728" s="2"/>
      <c r="M728" s="2"/>
      <c r="N728" s="2"/>
      <c r="O728" s="3"/>
      <c r="P728" s="3"/>
      <c r="Q728" s="2"/>
      <c r="R728" s="2"/>
      <c r="S728" s="2"/>
      <c r="T728" s="2"/>
      <c r="U728" s="2"/>
      <c r="V728" s="2"/>
      <c r="W728" s="2"/>
      <c r="X728" s="2"/>
      <c r="Y728" s="2"/>
      <c r="Z728" s="2"/>
      <c r="AA728" s="2"/>
      <c r="AB728" s="2"/>
      <c r="AC728" s="2"/>
    </row>
    <row r="729">
      <c r="A729" s="2"/>
      <c r="B729" s="2"/>
      <c r="C729" s="2"/>
      <c r="D729" s="2"/>
      <c r="E729" s="2"/>
      <c r="F729" s="2"/>
      <c r="G729" s="2"/>
      <c r="H729" s="2"/>
      <c r="I729" s="2"/>
      <c r="J729" s="2"/>
      <c r="K729" s="2"/>
      <c r="L729" s="2"/>
      <c r="M729" s="2"/>
      <c r="N729" s="2"/>
      <c r="O729" s="3"/>
      <c r="P729" s="3"/>
      <c r="Q729" s="2"/>
      <c r="R729" s="2"/>
      <c r="S729" s="2"/>
      <c r="T729" s="2"/>
      <c r="U729" s="2"/>
      <c r="V729" s="2"/>
      <c r="W729" s="2"/>
      <c r="X729" s="2"/>
      <c r="Y729" s="2"/>
      <c r="Z729" s="2"/>
      <c r="AA729" s="2"/>
      <c r="AB729" s="2"/>
      <c r="AC729" s="2"/>
    </row>
    <row r="730">
      <c r="A730" s="2"/>
      <c r="B730" s="2"/>
      <c r="C730" s="2"/>
      <c r="D730" s="2"/>
      <c r="E730" s="2"/>
      <c r="F730" s="2"/>
      <c r="G730" s="2"/>
      <c r="H730" s="2"/>
      <c r="I730" s="2"/>
      <c r="J730" s="2"/>
      <c r="K730" s="2"/>
      <c r="L730" s="2"/>
      <c r="M730" s="2"/>
      <c r="N730" s="2"/>
      <c r="O730" s="3"/>
      <c r="P730" s="3"/>
      <c r="Q730" s="2"/>
      <c r="R730" s="2"/>
      <c r="S730" s="2"/>
      <c r="T730" s="2"/>
      <c r="U730" s="2"/>
      <c r="V730" s="2"/>
      <c r="W730" s="2"/>
      <c r="X730" s="2"/>
      <c r="Y730" s="2"/>
      <c r="Z730" s="2"/>
      <c r="AA730" s="2"/>
      <c r="AB730" s="2"/>
      <c r="AC730" s="2"/>
    </row>
    <row r="731">
      <c r="A731" s="2"/>
      <c r="B731" s="2"/>
      <c r="C731" s="2"/>
      <c r="D731" s="2"/>
      <c r="E731" s="2"/>
      <c r="F731" s="2"/>
      <c r="G731" s="2"/>
      <c r="H731" s="2"/>
      <c r="I731" s="2"/>
      <c r="J731" s="2"/>
      <c r="K731" s="2"/>
      <c r="L731" s="2"/>
      <c r="M731" s="2"/>
      <c r="N731" s="2"/>
      <c r="O731" s="3"/>
      <c r="P731" s="3"/>
      <c r="Q731" s="2"/>
      <c r="R731" s="2"/>
      <c r="S731" s="2"/>
      <c r="T731" s="2"/>
      <c r="U731" s="2"/>
      <c r="V731" s="2"/>
      <c r="W731" s="2"/>
      <c r="X731" s="2"/>
      <c r="Y731" s="2"/>
      <c r="Z731" s="2"/>
      <c r="AA731" s="2"/>
      <c r="AB731" s="2"/>
      <c r="AC731" s="2"/>
    </row>
    <row r="732">
      <c r="A732" s="2"/>
      <c r="B732" s="2"/>
      <c r="C732" s="2"/>
      <c r="D732" s="2"/>
      <c r="E732" s="2"/>
      <c r="F732" s="2"/>
      <c r="G732" s="2"/>
      <c r="H732" s="2"/>
      <c r="I732" s="2"/>
      <c r="J732" s="2"/>
      <c r="K732" s="2"/>
      <c r="L732" s="2"/>
      <c r="M732" s="2"/>
      <c r="N732" s="2"/>
      <c r="O732" s="3"/>
      <c r="P732" s="3"/>
      <c r="Q732" s="2"/>
      <c r="R732" s="2"/>
      <c r="S732" s="2"/>
      <c r="T732" s="2"/>
      <c r="U732" s="2"/>
      <c r="V732" s="2"/>
      <c r="W732" s="2"/>
      <c r="X732" s="2"/>
      <c r="Y732" s="2"/>
      <c r="Z732" s="2"/>
      <c r="AA732" s="2"/>
      <c r="AB732" s="2"/>
      <c r="AC732" s="2"/>
    </row>
    <row r="733">
      <c r="A733" s="2"/>
      <c r="B733" s="2"/>
      <c r="C733" s="2"/>
      <c r="D733" s="2"/>
      <c r="E733" s="2"/>
      <c r="F733" s="2"/>
      <c r="G733" s="2"/>
      <c r="H733" s="2"/>
      <c r="I733" s="2"/>
      <c r="J733" s="2"/>
      <c r="K733" s="2"/>
      <c r="L733" s="2"/>
      <c r="M733" s="2"/>
      <c r="N733" s="2"/>
      <c r="O733" s="3"/>
      <c r="P733" s="3"/>
      <c r="Q733" s="2"/>
      <c r="R733" s="2"/>
      <c r="S733" s="2"/>
      <c r="T733" s="2"/>
      <c r="U733" s="2"/>
      <c r="V733" s="2"/>
      <c r="W733" s="2"/>
      <c r="X733" s="2"/>
      <c r="Y733" s="2"/>
      <c r="Z733" s="2"/>
      <c r="AA733" s="2"/>
      <c r="AB733" s="2"/>
      <c r="AC733" s="2"/>
    </row>
    <row r="734">
      <c r="A734" s="2"/>
      <c r="B734" s="2"/>
      <c r="C734" s="2"/>
      <c r="D734" s="2"/>
      <c r="E734" s="2"/>
      <c r="F734" s="2"/>
      <c r="G734" s="2"/>
      <c r="H734" s="2"/>
      <c r="I734" s="2"/>
      <c r="J734" s="2"/>
      <c r="K734" s="2"/>
      <c r="L734" s="2"/>
      <c r="M734" s="2"/>
      <c r="N734" s="2"/>
      <c r="O734" s="3"/>
      <c r="P734" s="3"/>
      <c r="Q734" s="2"/>
      <c r="R734" s="2"/>
      <c r="S734" s="2"/>
      <c r="T734" s="2"/>
      <c r="U734" s="2"/>
      <c r="V734" s="2"/>
      <c r="W734" s="2"/>
      <c r="X734" s="2"/>
      <c r="Y734" s="2"/>
      <c r="Z734" s="2"/>
      <c r="AA734" s="2"/>
      <c r="AB734" s="2"/>
      <c r="AC734" s="2"/>
    </row>
    <row r="735">
      <c r="A735" s="2"/>
      <c r="B735" s="2"/>
      <c r="C735" s="2"/>
      <c r="D735" s="2"/>
      <c r="E735" s="2"/>
      <c r="F735" s="2"/>
      <c r="G735" s="2"/>
      <c r="H735" s="2"/>
      <c r="I735" s="2"/>
      <c r="J735" s="2"/>
      <c r="K735" s="2"/>
      <c r="L735" s="2"/>
      <c r="M735" s="2"/>
      <c r="N735" s="2"/>
      <c r="O735" s="3"/>
      <c r="P735" s="3"/>
      <c r="Q735" s="2"/>
      <c r="R735" s="2"/>
      <c r="S735" s="2"/>
      <c r="T735" s="2"/>
      <c r="U735" s="2"/>
      <c r="V735" s="2"/>
      <c r="W735" s="2"/>
      <c r="X735" s="2"/>
      <c r="Y735" s="2"/>
      <c r="Z735" s="2"/>
      <c r="AA735" s="2"/>
      <c r="AB735" s="2"/>
      <c r="AC735" s="2"/>
    </row>
    <row r="736">
      <c r="A736" s="2"/>
      <c r="B736" s="2"/>
      <c r="C736" s="2"/>
      <c r="D736" s="2"/>
      <c r="E736" s="2"/>
      <c r="F736" s="2"/>
      <c r="G736" s="2"/>
      <c r="H736" s="2"/>
      <c r="I736" s="2"/>
      <c r="J736" s="2"/>
      <c r="K736" s="2"/>
      <c r="L736" s="2"/>
      <c r="M736" s="2"/>
      <c r="N736" s="2"/>
      <c r="O736" s="3"/>
      <c r="P736" s="3"/>
      <c r="Q736" s="2"/>
      <c r="R736" s="2"/>
      <c r="S736" s="2"/>
      <c r="T736" s="2"/>
      <c r="U736" s="2"/>
      <c r="V736" s="2"/>
      <c r="W736" s="2"/>
      <c r="X736" s="2"/>
      <c r="Y736" s="2"/>
      <c r="Z736" s="2"/>
      <c r="AA736" s="2"/>
      <c r="AB736" s="2"/>
      <c r="AC736" s="2"/>
    </row>
    <row r="737">
      <c r="A737" s="2"/>
      <c r="B737" s="2"/>
      <c r="C737" s="2"/>
      <c r="D737" s="2"/>
      <c r="E737" s="2"/>
      <c r="F737" s="2"/>
      <c r="G737" s="2"/>
      <c r="H737" s="2"/>
      <c r="I737" s="2"/>
      <c r="J737" s="2"/>
      <c r="K737" s="2"/>
      <c r="L737" s="2"/>
      <c r="M737" s="2"/>
      <c r="N737" s="2"/>
      <c r="O737" s="3"/>
      <c r="P737" s="3"/>
      <c r="Q737" s="2"/>
      <c r="R737" s="2"/>
      <c r="S737" s="2"/>
      <c r="T737" s="2"/>
      <c r="U737" s="2"/>
      <c r="V737" s="2"/>
      <c r="W737" s="2"/>
      <c r="X737" s="2"/>
      <c r="Y737" s="2"/>
      <c r="Z737" s="2"/>
      <c r="AA737" s="2"/>
      <c r="AB737" s="2"/>
      <c r="AC737" s="2"/>
    </row>
    <row r="738">
      <c r="A738" s="2"/>
      <c r="B738" s="2"/>
      <c r="C738" s="2"/>
      <c r="D738" s="2"/>
      <c r="E738" s="2"/>
      <c r="F738" s="2"/>
      <c r="G738" s="2"/>
      <c r="H738" s="2"/>
      <c r="I738" s="2"/>
      <c r="J738" s="2"/>
      <c r="K738" s="2"/>
      <c r="L738" s="2"/>
      <c r="M738" s="2"/>
      <c r="N738" s="2"/>
      <c r="O738" s="3"/>
      <c r="P738" s="3"/>
      <c r="Q738" s="2"/>
      <c r="R738" s="2"/>
      <c r="S738" s="2"/>
      <c r="T738" s="2"/>
      <c r="U738" s="2"/>
      <c r="V738" s="2"/>
      <c r="W738" s="2"/>
      <c r="X738" s="2"/>
      <c r="Y738" s="2"/>
      <c r="Z738" s="2"/>
      <c r="AA738" s="2"/>
      <c r="AB738" s="2"/>
      <c r="AC738" s="2"/>
    </row>
    <row r="739">
      <c r="A739" s="2"/>
      <c r="B739" s="2"/>
      <c r="C739" s="2"/>
      <c r="D739" s="2"/>
      <c r="E739" s="2"/>
      <c r="F739" s="2"/>
      <c r="G739" s="2"/>
      <c r="H739" s="2"/>
      <c r="I739" s="2"/>
      <c r="J739" s="2"/>
      <c r="K739" s="2"/>
      <c r="L739" s="2"/>
      <c r="M739" s="2"/>
      <c r="N739" s="2"/>
      <c r="O739" s="3"/>
      <c r="P739" s="3"/>
      <c r="Q739" s="2"/>
      <c r="R739" s="2"/>
      <c r="S739" s="2"/>
      <c r="T739" s="2"/>
      <c r="U739" s="2"/>
      <c r="V739" s="2"/>
      <c r="W739" s="2"/>
      <c r="X739" s="2"/>
      <c r="Y739" s="2"/>
      <c r="Z739" s="2"/>
      <c r="AA739" s="2"/>
      <c r="AB739" s="2"/>
      <c r="AC739" s="2"/>
    </row>
    <row r="740">
      <c r="A740" s="2"/>
      <c r="B740" s="2"/>
      <c r="C740" s="2"/>
      <c r="D740" s="2"/>
      <c r="E740" s="2"/>
      <c r="F740" s="2"/>
      <c r="G740" s="2"/>
      <c r="H740" s="2"/>
      <c r="I740" s="2"/>
      <c r="J740" s="2"/>
      <c r="K740" s="2"/>
      <c r="L740" s="2"/>
      <c r="M740" s="2"/>
      <c r="N740" s="2"/>
      <c r="O740" s="3"/>
      <c r="P740" s="3"/>
      <c r="Q740" s="2"/>
      <c r="R740" s="2"/>
      <c r="S740" s="2"/>
      <c r="T740" s="2"/>
      <c r="U740" s="2"/>
      <c r="V740" s="2"/>
      <c r="W740" s="2"/>
      <c r="X740" s="2"/>
      <c r="Y740" s="2"/>
      <c r="Z740" s="2"/>
      <c r="AA740" s="2"/>
      <c r="AB740" s="2"/>
      <c r="AC740" s="2"/>
    </row>
    <row r="741">
      <c r="A741" s="2"/>
      <c r="B741" s="2"/>
      <c r="C741" s="2"/>
      <c r="D741" s="2"/>
      <c r="E741" s="2"/>
      <c r="F741" s="2"/>
      <c r="G741" s="2"/>
      <c r="H741" s="2"/>
      <c r="I741" s="2"/>
      <c r="J741" s="2"/>
      <c r="K741" s="2"/>
      <c r="L741" s="2"/>
      <c r="M741" s="2"/>
      <c r="N741" s="2"/>
      <c r="O741" s="3"/>
      <c r="P741" s="3"/>
      <c r="Q741" s="2"/>
      <c r="R741" s="2"/>
      <c r="S741" s="2"/>
      <c r="T741" s="2"/>
      <c r="U741" s="2"/>
      <c r="V741" s="2"/>
      <c r="W741" s="2"/>
      <c r="X741" s="2"/>
      <c r="Y741" s="2"/>
      <c r="Z741" s="2"/>
      <c r="AA741" s="2"/>
      <c r="AB741" s="2"/>
      <c r="AC741" s="2"/>
    </row>
    <row r="742">
      <c r="A742" s="2"/>
      <c r="B742" s="2"/>
      <c r="C742" s="2"/>
      <c r="D742" s="2"/>
      <c r="E742" s="2"/>
      <c r="F742" s="2"/>
      <c r="G742" s="2"/>
      <c r="H742" s="2"/>
      <c r="I742" s="2"/>
      <c r="J742" s="2"/>
      <c r="K742" s="2"/>
      <c r="L742" s="2"/>
      <c r="M742" s="2"/>
      <c r="N742" s="2"/>
      <c r="O742" s="3"/>
      <c r="P742" s="3"/>
      <c r="Q742" s="2"/>
      <c r="R742" s="2"/>
      <c r="S742" s="2"/>
      <c r="T742" s="2"/>
      <c r="U742" s="2"/>
      <c r="V742" s="2"/>
      <c r="W742" s="2"/>
      <c r="X742" s="2"/>
      <c r="Y742" s="2"/>
      <c r="Z742" s="2"/>
      <c r="AA742" s="2"/>
      <c r="AB742" s="2"/>
      <c r="AC742" s="2"/>
    </row>
    <row r="743">
      <c r="A743" s="2"/>
      <c r="B743" s="2"/>
      <c r="C743" s="2"/>
      <c r="D743" s="2"/>
      <c r="E743" s="2"/>
      <c r="F743" s="2"/>
      <c r="G743" s="2"/>
      <c r="H743" s="2"/>
      <c r="I743" s="2"/>
      <c r="J743" s="2"/>
      <c r="K743" s="2"/>
      <c r="L743" s="2"/>
      <c r="M743" s="2"/>
      <c r="N743" s="2"/>
      <c r="O743" s="3"/>
      <c r="P743" s="3"/>
      <c r="Q743" s="2"/>
      <c r="R743" s="2"/>
      <c r="S743" s="2"/>
      <c r="T743" s="2"/>
      <c r="U743" s="2"/>
      <c r="V743" s="2"/>
      <c r="W743" s="2"/>
      <c r="X743" s="2"/>
      <c r="Y743" s="2"/>
      <c r="Z743" s="2"/>
      <c r="AA743" s="2"/>
      <c r="AB743" s="2"/>
      <c r="AC743" s="2"/>
    </row>
    <row r="744">
      <c r="A744" s="2"/>
      <c r="B744" s="2"/>
      <c r="C744" s="2"/>
      <c r="D744" s="2"/>
      <c r="E744" s="2"/>
      <c r="F744" s="2"/>
      <c r="G744" s="2"/>
      <c r="H744" s="2"/>
      <c r="I744" s="2"/>
      <c r="J744" s="2"/>
      <c r="K744" s="2"/>
      <c r="L744" s="2"/>
      <c r="M744" s="2"/>
      <c r="N744" s="2"/>
      <c r="O744" s="3"/>
      <c r="P744" s="3"/>
      <c r="Q744" s="2"/>
      <c r="R744" s="2"/>
      <c r="S744" s="2"/>
      <c r="T744" s="2"/>
      <c r="U744" s="2"/>
      <c r="V744" s="2"/>
      <c r="W744" s="2"/>
      <c r="X744" s="2"/>
      <c r="Y744" s="2"/>
      <c r="Z744" s="2"/>
      <c r="AA744" s="2"/>
      <c r="AB744" s="2"/>
      <c r="AC744" s="2"/>
    </row>
    <row r="745">
      <c r="A745" s="2"/>
      <c r="B745" s="2"/>
      <c r="C745" s="2"/>
      <c r="D745" s="2"/>
      <c r="E745" s="2"/>
      <c r="F745" s="2"/>
      <c r="G745" s="2"/>
      <c r="H745" s="2"/>
      <c r="I745" s="2"/>
      <c r="J745" s="2"/>
      <c r="K745" s="2"/>
      <c r="L745" s="2"/>
      <c r="M745" s="2"/>
      <c r="N745" s="2"/>
      <c r="O745" s="3"/>
      <c r="P745" s="3"/>
      <c r="Q745" s="2"/>
      <c r="R745" s="2"/>
      <c r="S745" s="2"/>
      <c r="T745" s="2"/>
      <c r="U745" s="2"/>
      <c r="V745" s="2"/>
      <c r="W745" s="2"/>
      <c r="X745" s="2"/>
      <c r="Y745" s="2"/>
      <c r="Z745" s="2"/>
      <c r="AA745" s="2"/>
      <c r="AB745" s="2"/>
      <c r="AC745" s="2"/>
    </row>
    <row r="746">
      <c r="A746" s="2"/>
      <c r="B746" s="2"/>
      <c r="C746" s="2"/>
      <c r="D746" s="2"/>
      <c r="E746" s="2"/>
      <c r="F746" s="2"/>
      <c r="G746" s="2"/>
      <c r="H746" s="2"/>
      <c r="I746" s="2"/>
      <c r="J746" s="2"/>
      <c r="K746" s="2"/>
      <c r="L746" s="2"/>
      <c r="M746" s="2"/>
      <c r="N746" s="2"/>
      <c r="O746" s="3"/>
      <c r="P746" s="3"/>
      <c r="Q746" s="2"/>
      <c r="R746" s="2"/>
      <c r="S746" s="2"/>
      <c r="T746" s="2"/>
      <c r="U746" s="2"/>
      <c r="V746" s="2"/>
      <c r="W746" s="2"/>
      <c r="X746" s="2"/>
      <c r="Y746" s="2"/>
      <c r="Z746" s="2"/>
      <c r="AA746" s="2"/>
      <c r="AB746" s="2"/>
      <c r="AC746" s="2"/>
    </row>
    <row r="747">
      <c r="A747" s="2"/>
      <c r="B747" s="2"/>
      <c r="C747" s="2"/>
      <c r="D747" s="2"/>
      <c r="E747" s="2"/>
      <c r="F747" s="2"/>
      <c r="G747" s="2"/>
      <c r="H747" s="2"/>
      <c r="I747" s="2"/>
      <c r="J747" s="2"/>
      <c r="K747" s="2"/>
      <c r="L747" s="2"/>
      <c r="M747" s="2"/>
      <c r="N747" s="2"/>
      <c r="O747" s="3"/>
      <c r="P747" s="3"/>
      <c r="Q747" s="2"/>
      <c r="R747" s="2"/>
      <c r="S747" s="2"/>
      <c r="T747" s="2"/>
      <c r="U747" s="2"/>
      <c r="V747" s="2"/>
      <c r="W747" s="2"/>
      <c r="X747" s="2"/>
      <c r="Y747" s="2"/>
      <c r="Z747" s="2"/>
      <c r="AA747" s="2"/>
      <c r="AB747" s="2"/>
      <c r="AC747" s="2"/>
    </row>
    <row r="748">
      <c r="A748" s="2"/>
      <c r="B748" s="2"/>
      <c r="C748" s="2"/>
      <c r="D748" s="2"/>
      <c r="E748" s="2"/>
      <c r="F748" s="2"/>
      <c r="G748" s="2"/>
      <c r="H748" s="2"/>
      <c r="I748" s="2"/>
      <c r="J748" s="2"/>
      <c r="K748" s="2"/>
      <c r="L748" s="2"/>
      <c r="M748" s="2"/>
      <c r="N748" s="2"/>
      <c r="O748" s="3"/>
      <c r="P748" s="3"/>
      <c r="Q748" s="2"/>
      <c r="R748" s="2"/>
      <c r="S748" s="2"/>
      <c r="T748" s="2"/>
      <c r="U748" s="2"/>
      <c r="V748" s="2"/>
      <c r="W748" s="2"/>
      <c r="X748" s="2"/>
      <c r="Y748" s="2"/>
      <c r="Z748" s="2"/>
      <c r="AA748" s="2"/>
      <c r="AB748" s="2"/>
      <c r="AC748" s="2"/>
    </row>
    <row r="749">
      <c r="A749" s="2"/>
      <c r="B749" s="2"/>
      <c r="C749" s="2"/>
      <c r="D749" s="2"/>
      <c r="E749" s="2"/>
      <c r="F749" s="2"/>
      <c r="G749" s="2"/>
      <c r="H749" s="2"/>
      <c r="I749" s="2"/>
      <c r="J749" s="2"/>
      <c r="K749" s="2"/>
      <c r="L749" s="2"/>
      <c r="M749" s="2"/>
      <c r="N749" s="2"/>
      <c r="O749" s="3"/>
      <c r="P749" s="3"/>
      <c r="Q749" s="2"/>
      <c r="R749" s="2"/>
      <c r="S749" s="2"/>
      <c r="T749" s="2"/>
      <c r="U749" s="2"/>
      <c r="V749" s="2"/>
      <c r="W749" s="2"/>
      <c r="X749" s="2"/>
      <c r="Y749" s="2"/>
      <c r="Z749" s="2"/>
      <c r="AA749" s="2"/>
      <c r="AB749" s="2"/>
      <c r="AC749" s="2"/>
    </row>
    <row r="750">
      <c r="A750" s="2"/>
      <c r="B750" s="2"/>
      <c r="C750" s="2"/>
      <c r="D750" s="2"/>
      <c r="E750" s="2"/>
      <c r="F750" s="2"/>
      <c r="G750" s="2"/>
      <c r="H750" s="2"/>
      <c r="I750" s="2"/>
      <c r="J750" s="2"/>
      <c r="K750" s="2"/>
      <c r="L750" s="2"/>
      <c r="M750" s="2"/>
      <c r="N750" s="2"/>
      <c r="O750" s="3"/>
      <c r="P750" s="3"/>
      <c r="Q750" s="2"/>
      <c r="R750" s="2"/>
      <c r="S750" s="2"/>
      <c r="T750" s="2"/>
      <c r="U750" s="2"/>
      <c r="V750" s="2"/>
      <c r="W750" s="2"/>
      <c r="X750" s="2"/>
      <c r="Y750" s="2"/>
      <c r="Z750" s="2"/>
      <c r="AA750" s="2"/>
      <c r="AB750" s="2"/>
      <c r="AC750" s="2"/>
    </row>
    <row r="751">
      <c r="A751" s="2"/>
      <c r="B751" s="2"/>
      <c r="C751" s="2"/>
      <c r="D751" s="2"/>
      <c r="E751" s="2"/>
      <c r="F751" s="2"/>
      <c r="G751" s="2"/>
      <c r="H751" s="2"/>
      <c r="I751" s="2"/>
      <c r="J751" s="2"/>
      <c r="K751" s="2"/>
      <c r="L751" s="2"/>
      <c r="M751" s="2"/>
      <c r="N751" s="2"/>
      <c r="O751" s="3"/>
      <c r="P751" s="3"/>
      <c r="Q751" s="2"/>
      <c r="R751" s="2"/>
      <c r="S751" s="2"/>
      <c r="T751" s="2"/>
      <c r="U751" s="2"/>
      <c r="V751" s="2"/>
      <c r="W751" s="2"/>
      <c r="X751" s="2"/>
      <c r="Y751" s="2"/>
      <c r="Z751" s="2"/>
      <c r="AA751" s="2"/>
      <c r="AB751" s="2"/>
      <c r="AC751" s="2"/>
    </row>
    <row r="752">
      <c r="A752" s="2"/>
      <c r="B752" s="2"/>
      <c r="C752" s="2"/>
      <c r="D752" s="2"/>
      <c r="E752" s="2"/>
      <c r="F752" s="2"/>
      <c r="G752" s="2"/>
      <c r="H752" s="2"/>
      <c r="I752" s="2"/>
      <c r="J752" s="2"/>
      <c r="K752" s="2"/>
      <c r="L752" s="2"/>
      <c r="M752" s="2"/>
      <c r="N752" s="2"/>
      <c r="O752" s="3"/>
      <c r="P752" s="3"/>
      <c r="Q752" s="2"/>
      <c r="R752" s="2"/>
      <c r="S752" s="2"/>
      <c r="T752" s="2"/>
      <c r="U752" s="2"/>
      <c r="V752" s="2"/>
      <c r="W752" s="2"/>
      <c r="X752" s="2"/>
      <c r="Y752" s="2"/>
      <c r="Z752" s="2"/>
      <c r="AA752" s="2"/>
      <c r="AB752" s="2"/>
      <c r="AC752" s="2"/>
    </row>
    <row r="753">
      <c r="A753" s="2"/>
      <c r="B753" s="2"/>
      <c r="C753" s="2"/>
      <c r="D753" s="2"/>
      <c r="E753" s="2"/>
      <c r="F753" s="2"/>
      <c r="G753" s="2"/>
      <c r="H753" s="2"/>
      <c r="I753" s="2"/>
      <c r="J753" s="2"/>
      <c r="K753" s="2"/>
      <c r="L753" s="2"/>
      <c r="M753" s="2"/>
      <c r="N753" s="2"/>
      <c r="O753" s="3"/>
      <c r="P753" s="3"/>
      <c r="Q753" s="2"/>
      <c r="R753" s="2"/>
      <c r="S753" s="2"/>
      <c r="T753" s="2"/>
      <c r="U753" s="2"/>
      <c r="V753" s="2"/>
      <c r="W753" s="2"/>
      <c r="X753" s="2"/>
      <c r="Y753" s="2"/>
      <c r="Z753" s="2"/>
      <c r="AA753" s="2"/>
      <c r="AB753" s="2"/>
      <c r="AC753" s="2"/>
    </row>
    <row r="754">
      <c r="A754" s="2"/>
      <c r="B754" s="2"/>
      <c r="C754" s="2"/>
      <c r="D754" s="2"/>
      <c r="E754" s="2"/>
      <c r="F754" s="2"/>
      <c r="G754" s="2"/>
      <c r="H754" s="2"/>
      <c r="I754" s="2"/>
      <c r="J754" s="2"/>
      <c r="K754" s="2"/>
      <c r="L754" s="2"/>
      <c r="M754" s="2"/>
      <c r="N754" s="2"/>
      <c r="O754" s="3"/>
      <c r="P754" s="3"/>
      <c r="Q754" s="2"/>
      <c r="R754" s="2"/>
      <c r="S754" s="2"/>
      <c r="T754" s="2"/>
      <c r="U754" s="2"/>
      <c r="V754" s="2"/>
      <c r="W754" s="2"/>
      <c r="X754" s="2"/>
      <c r="Y754" s="2"/>
      <c r="Z754" s="2"/>
      <c r="AA754" s="2"/>
      <c r="AB754" s="2"/>
      <c r="AC754" s="2"/>
    </row>
    <row r="755">
      <c r="A755" s="2"/>
      <c r="B755" s="2"/>
      <c r="C755" s="2"/>
      <c r="D755" s="2"/>
      <c r="E755" s="2"/>
      <c r="F755" s="2"/>
      <c r="G755" s="2"/>
      <c r="H755" s="2"/>
      <c r="I755" s="2"/>
      <c r="J755" s="2"/>
      <c r="K755" s="2"/>
      <c r="L755" s="2"/>
      <c r="M755" s="2"/>
      <c r="N755" s="2"/>
      <c r="O755" s="3"/>
      <c r="P755" s="3"/>
      <c r="Q755" s="2"/>
      <c r="R755" s="2"/>
      <c r="S755" s="2"/>
      <c r="T755" s="2"/>
      <c r="U755" s="2"/>
      <c r="V755" s="2"/>
      <c r="W755" s="2"/>
      <c r="X755" s="2"/>
      <c r="Y755" s="2"/>
      <c r="Z755" s="2"/>
      <c r="AA755" s="2"/>
      <c r="AB755" s="2"/>
      <c r="AC755" s="2"/>
    </row>
    <row r="756">
      <c r="A756" s="2"/>
      <c r="B756" s="2"/>
      <c r="C756" s="2"/>
      <c r="D756" s="2"/>
      <c r="E756" s="2"/>
      <c r="F756" s="2"/>
      <c r="G756" s="2"/>
      <c r="H756" s="2"/>
      <c r="I756" s="2"/>
      <c r="J756" s="2"/>
      <c r="K756" s="2"/>
      <c r="L756" s="2"/>
      <c r="M756" s="2"/>
      <c r="N756" s="2"/>
      <c r="O756" s="3"/>
      <c r="P756" s="3"/>
      <c r="Q756" s="2"/>
      <c r="R756" s="2"/>
      <c r="S756" s="2"/>
      <c r="T756" s="2"/>
      <c r="U756" s="2"/>
      <c r="V756" s="2"/>
      <c r="W756" s="2"/>
      <c r="X756" s="2"/>
      <c r="Y756" s="2"/>
      <c r="Z756" s="2"/>
      <c r="AA756" s="2"/>
      <c r="AB756" s="2"/>
      <c r="AC756" s="2"/>
    </row>
    <row r="757">
      <c r="A757" s="2"/>
      <c r="B757" s="2"/>
      <c r="C757" s="2"/>
      <c r="D757" s="2"/>
      <c r="E757" s="2"/>
      <c r="F757" s="2"/>
      <c r="G757" s="2"/>
      <c r="H757" s="2"/>
      <c r="I757" s="2"/>
      <c r="J757" s="2"/>
      <c r="K757" s="2"/>
      <c r="L757" s="2"/>
      <c r="M757" s="2"/>
      <c r="N757" s="2"/>
      <c r="O757" s="3"/>
      <c r="P757" s="3"/>
      <c r="Q757" s="2"/>
      <c r="R757" s="2"/>
      <c r="S757" s="2"/>
      <c r="T757" s="2"/>
      <c r="U757" s="2"/>
      <c r="V757" s="2"/>
      <c r="W757" s="2"/>
      <c r="X757" s="2"/>
      <c r="Y757" s="2"/>
      <c r="Z757" s="2"/>
      <c r="AA757" s="2"/>
      <c r="AB757" s="2"/>
      <c r="AC757" s="2"/>
    </row>
    <row r="758">
      <c r="A758" s="2"/>
      <c r="B758" s="2"/>
      <c r="C758" s="2"/>
      <c r="D758" s="2"/>
      <c r="E758" s="2"/>
      <c r="F758" s="2"/>
      <c r="G758" s="2"/>
      <c r="H758" s="2"/>
      <c r="I758" s="2"/>
      <c r="J758" s="2"/>
      <c r="K758" s="2"/>
      <c r="L758" s="2"/>
      <c r="M758" s="2"/>
      <c r="N758" s="2"/>
      <c r="O758" s="3"/>
      <c r="P758" s="3"/>
      <c r="Q758" s="2"/>
      <c r="R758" s="2"/>
      <c r="S758" s="2"/>
      <c r="T758" s="2"/>
      <c r="U758" s="2"/>
      <c r="V758" s="2"/>
      <c r="W758" s="2"/>
      <c r="X758" s="2"/>
      <c r="Y758" s="2"/>
      <c r="Z758" s="2"/>
      <c r="AA758" s="2"/>
      <c r="AB758" s="2"/>
      <c r="AC758" s="2"/>
    </row>
    <row r="759">
      <c r="A759" s="2"/>
      <c r="B759" s="2"/>
      <c r="C759" s="2"/>
      <c r="D759" s="2"/>
      <c r="E759" s="2"/>
      <c r="F759" s="2"/>
      <c r="G759" s="2"/>
      <c r="H759" s="2"/>
      <c r="I759" s="2"/>
      <c r="J759" s="2"/>
      <c r="K759" s="2"/>
      <c r="L759" s="2"/>
      <c r="M759" s="2"/>
      <c r="N759" s="2"/>
      <c r="O759" s="3"/>
      <c r="P759" s="3"/>
      <c r="Q759" s="2"/>
      <c r="R759" s="2"/>
      <c r="S759" s="2"/>
      <c r="T759" s="2"/>
      <c r="U759" s="2"/>
      <c r="V759" s="2"/>
      <c r="W759" s="2"/>
      <c r="X759" s="2"/>
      <c r="Y759" s="2"/>
      <c r="Z759" s="2"/>
      <c r="AA759" s="2"/>
      <c r="AB759" s="2"/>
      <c r="AC759" s="2"/>
    </row>
    <row r="760">
      <c r="A760" s="2"/>
      <c r="B760" s="2"/>
      <c r="C760" s="2"/>
      <c r="D760" s="2"/>
      <c r="E760" s="2"/>
      <c r="F760" s="2"/>
      <c r="G760" s="2"/>
      <c r="H760" s="2"/>
      <c r="I760" s="2"/>
      <c r="J760" s="2"/>
      <c r="K760" s="2"/>
      <c r="L760" s="2"/>
      <c r="M760" s="2"/>
      <c r="N760" s="2"/>
      <c r="O760" s="3"/>
      <c r="P760" s="3"/>
      <c r="Q760" s="2"/>
      <c r="R760" s="2"/>
      <c r="S760" s="2"/>
      <c r="T760" s="2"/>
      <c r="U760" s="2"/>
      <c r="V760" s="2"/>
      <c r="W760" s="2"/>
      <c r="X760" s="2"/>
      <c r="Y760" s="2"/>
      <c r="Z760" s="2"/>
      <c r="AA760" s="2"/>
      <c r="AB760" s="2"/>
      <c r="AC760" s="2"/>
    </row>
    <row r="761">
      <c r="A761" s="2"/>
      <c r="B761" s="2"/>
      <c r="C761" s="2"/>
      <c r="D761" s="2"/>
      <c r="E761" s="2"/>
      <c r="F761" s="2"/>
      <c r="G761" s="2"/>
      <c r="H761" s="2"/>
      <c r="I761" s="2"/>
      <c r="J761" s="2"/>
      <c r="K761" s="2"/>
      <c r="L761" s="2"/>
      <c r="M761" s="2"/>
      <c r="N761" s="2"/>
      <c r="O761" s="3"/>
      <c r="P761" s="3"/>
      <c r="Q761" s="2"/>
      <c r="R761" s="2"/>
      <c r="S761" s="2"/>
      <c r="T761" s="2"/>
      <c r="U761" s="2"/>
      <c r="V761" s="2"/>
      <c r="W761" s="2"/>
      <c r="X761" s="2"/>
      <c r="Y761" s="2"/>
      <c r="Z761" s="2"/>
      <c r="AA761" s="2"/>
      <c r="AB761" s="2"/>
      <c r="AC761" s="2"/>
    </row>
    <row r="762">
      <c r="A762" s="2"/>
      <c r="B762" s="2"/>
      <c r="C762" s="2"/>
      <c r="D762" s="2"/>
      <c r="E762" s="2"/>
      <c r="F762" s="2"/>
      <c r="G762" s="2"/>
      <c r="H762" s="2"/>
      <c r="I762" s="2"/>
      <c r="J762" s="2"/>
      <c r="K762" s="2"/>
      <c r="L762" s="2"/>
      <c r="M762" s="2"/>
      <c r="N762" s="2"/>
      <c r="O762" s="3"/>
      <c r="P762" s="3"/>
      <c r="Q762" s="2"/>
      <c r="R762" s="2"/>
      <c r="S762" s="2"/>
      <c r="T762" s="2"/>
      <c r="U762" s="2"/>
      <c r="V762" s="2"/>
      <c r="W762" s="2"/>
      <c r="X762" s="2"/>
      <c r="Y762" s="2"/>
      <c r="Z762" s="2"/>
      <c r="AA762" s="2"/>
      <c r="AB762" s="2"/>
      <c r="AC762" s="2"/>
    </row>
    <row r="763">
      <c r="A763" s="2"/>
      <c r="B763" s="2"/>
      <c r="C763" s="2"/>
      <c r="D763" s="2"/>
      <c r="E763" s="2"/>
      <c r="F763" s="2"/>
      <c r="G763" s="2"/>
      <c r="H763" s="2"/>
      <c r="I763" s="2"/>
      <c r="J763" s="2"/>
      <c r="K763" s="2"/>
      <c r="L763" s="2"/>
      <c r="M763" s="2"/>
      <c r="N763" s="2"/>
      <c r="O763" s="3"/>
      <c r="P763" s="3"/>
      <c r="Q763" s="2"/>
      <c r="R763" s="2"/>
      <c r="S763" s="2"/>
      <c r="T763" s="2"/>
      <c r="U763" s="2"/>
      <c r="V763" s="2"/>
      <c r="W763" s="2"/>
      <c r="X763" s="2"/>
      <c r="Y763" s="2"/>
      <c r="Z763" s="2"/>
      <c r="AA763" s="2"/>
      <c r="AB763" s="2"/>
      <c r="AC763" s="2"/>
    </row>
    <row r="764">
      <c r="A764" s="2"/>
      <c r="B764" s="2"/>
      <c r="C764" s="2"/>
      <c r="D764" s="2"/>
      <c r="E764" s="2"/>
      <c r="F764" s="2"/>
      <c r="G764" s="2"/>
      <c r="H764" s="2"/>
      <c r="I764" s="2"/>
      <c r="J764" s="2"/>
      <c r="K764" s="2"/>
      <c r="L764" s="2"/>
      <c r="M764" s="2"/>
      <c r="N764" s="2"/>
      <c r="O764" s="3"/>
      <c r="P764" s="3"/>
      <c r="Q764" s="2"/>
      <c r="R764" s="2"/>
      <c r="S764" s="2"/>
      <c r="T764" s="2"/>
      <c r="U764" s="2"/>
      <c r="V764" s="2"/>
      <c r="W764" s="2"/>
      <c r="X764" s="2"/>
      <c r="Y764" s="2"/>
      <c r="Z764" s="2"/>
      <c r="AA764" s="2"/>
      <c r="AB764" s="2"/>
      <c r="AC764" s="2"/>
    </row>
    <row r="765">
      <c r="A765" s="2"/>
      <c r="B765" s="2"/>
      <c r="C765" s="2"/>
      <c r="D765" s="2"/>
      <c r="E765" s="2"/>
      <c r="F765" s="2"/>
      <c r="G765" s="2"/>
      <c r="H765" s="2"/>
      <c r="I765" s="2"/>
      <c r="J765" s="2"/>
      <c r="K765" s="2"/>
      <c r="L765" s="2"/>
      <c r="M765" s="2"/>
      <c r="N765" s="2"/>
      <c r="O765" s="3"/>
      <c r="P765" s="3"/>
      <c r="Q765" s="2"/>
      <c r="R765" s="2"/>
      <c r="S765" s="2"/>
      <c r="T765" s="2"/>
      <c r="U765" s="2"/>
      <c r="V765" s="2"/>
      <c r="W765" s="2"/>
      <c r="X765" s="2"/>
      <c r="Y765" s="2"/>
      <c r="Z765" s="2"/>
      <c r="AA765" s="2"/>
      <c r="AB765" s="2"/>
      <c r="AC765" s="2"/>
    </row>
    <row r="766">
      <c r="A766" s="2"/>
      <c r="B766" s="2"/>
      <c r="C766" s="2"/>
      <c r="D766" s="2"/>
      <c r="E766" s="2"/>
      <c r="F766" s="2"/>
      <c r="G766" s="2"/>
      <c r="H766" s="2"/>
      <c r="I766" s="2"/>
      <c r="J766" s="2"/>
      <c r="K766" s="2"/>
      <c r="L766" s="2"/>
      <c r="M766" s="2"/>
      <c r="N766" s="2"/>
      <c r="O766" s="3"/>
      <c r="P766" s="3"/>
      <c r="Q766" s="2"/>
      <c r="R766" s="2"/>
      <c r="S766" s="2"/>
      <c r="T766" s="2"/>
      <c r="U766" s="2"/>
      <c r="V766" s="2"/>
      <c r="W766" s="2"/>
      <c r="X766" s="2"/>
      <c r="Y766" s="2"/>
      <c r="Z766" s="2"/>
      <c r="AA766" s="2"/>
      <c r="AB766" s="2"/>
      <c r="AC766" s="2"/>
    </row>
    <row r="767">
      <c r="A767" s="2"/>
      <c r="B767" s="2"/>
      <c r="C767" s="2"/>
      <c r="D767" s="2"/>
      <c r="E767" s="2"/>
      <c r="F767" s="2"/>
      <c r="G767" s="2"/>
      <c r="H767" s="2"/>
      <c r="I767" s="2"/>
      <c r="J767" s="2"/>
      <c r="K767" s="2"/>
      <c r="L767" s="2"/>
      <c r="M767" s="2"/>
      <c r="N767" s="2"/>
      <c r="O767" s="3"/>
      <c r="P767" s="3"/>
      <c r="Q767" s="2"/>
      <c r="R767" s="2"/>
      <c r="S767" s="2"/>
      <c r="T767" s="2"/>
      <c r="U767" s="2"/>
      <c r="V767" s="2"/>
      <c r="W767" s="2"/>
      <c r="X767" s="2"/>
      <c r="Y767" s="2"/>
      <c r="Z767" s="2"/>
      <c r="AA767" s="2"/>
      <c r="AB767" s="2"/>
      <c r="AC767" s="2"/>
    </row>
    <row r="768">
      <c r="A768" s="2"/>
      <c r="B768" s="2"/>
      <c r="C768" s="2"/>
      <c r="D768" s="2"/>
      <c r="E768" s="2"/>
      <c r="F768" s="2"/>
      <c r="G768" s="2"/>
      <c r="H768" s="2"/>
      <c r="I768" s="2"/>
      <c r="J768" s="2"/>
      <c r="K768" s="2"/>
      <c r="L768" s="2"/>
      <c r="M768" s="2"/>
      <c r="N768" s="2"/>
      <c r="O768" s="3"/>
      <c r="P768" s="3"/>
      <c r="Q768" s="2"/>
      <c r="R768" s="2"/>
      <c r="S768" s="2"/>
      <c r="T768" s="2"/>
      <c r="U768" s="2"/>
      <c r="V768" s="2"/>
      <c r="W768" s="2"/>
      <c r="X768" s="2"/>
      <c r="Y768" s="2"/>
      <c r="Z768" s="2"/>
      <c r="AA768" s="2"/>
      <c r="AB768" s="2"/>
      <c r="AC768" s="2"/>
    </row>
    <row r="769">
      <c r="A769" s="2"/>
      <c r="B769" s="2"/>
      <c r="C769" s="2"/>
      <c r="D769" s="2"/>
      <c r="E769" s="2"/>
      <c r="F769" s="2"/>
      <c r="G769" s="2"/>
      <c r="H769" s="2"/>
      <c r="I769" s="2"/>
      <c r="J769" s="2"/>
      <c r="K769" s="2"/>
      <c r="L769" s="2"/>
      <c r="M769" s="2"/>
      <c r="N769" s="2"/>
      <c r="O769" s="3"/>
      <c r="P769" s="3"/>
      <c r="Q769" s="2"/>
      <c r="R769" s="2"/>
      <c r="S769" s="2"/>
      <c r="T769" s="2"/>
      <c r="U769" s="2"/>
      <c r="V769" s="2"/>
      <c r="W769" s="2"/>
      <c r="X769" s="2"/>
      <c r="Y769" s="2"/>
      <c r="Z769" s="2"/>
      <c r="AA769" s="2"/>
      <c r="AB769" s="2"/>
      <c r="AC769" s="2"/>
    </row>
    <row r="770">
      <c r="A770" s="2"/>
      <c r="B770" s="2"/>
      <c r="C770" s="2"/>
      <c r="D770" s="2"/>
      <c r="E770" s="2"/>
      <c r="F770" s="2"/>
      <c r="G770" s="2"/>
      <c r="H770" s="2"/>
      <c r="I770" s="2"/>
      <c r="J770" s="2"/>
      <c r="K770" s="2"/>
      <c r="L770" s="2"/>
      <c r="M770" s="2"/>
      <c r="N770" s="2"/>
      <c r="O770" s="3"/>
      <c r="P770" s="3"/>
      <c r="Q770" s="2"/>
      <c r="R770" s="2"/>
      <c r="S770" s="2"/>
      <c r="T770" s="2"/>
      <c r="U770" s="2"/>
      <c r="V770" s="2"/>
      <c r="W770" s="2"/>
      <c r="X770" s="2"/>
      <c r="Y770" s="2"/>
      <c r="Z770" s="2"/>
      <c r="AA770" s="2"/>
      <c r="AB770" s="2"/>
      <c r="AC770" s="2"/>
    </row>
    <row r="771">
      <c r="A771" s="2"/>
      <c r="B771" s="2"/>
      <c r="C771" s="2"/>
      <c r="D771" s="2"/>
      <c r="E771" s="2"/>
      <c r="F771" s="2"/>
      <c r="G771" s="2"/>
      <c r="H771" s="2"/>
      <c r="I771" s="2"/>
      <c r="J771" s="2"/>
      <c r="K771" s="2"/>
      <c r="L771" s="2"/>
      <c r="M771" s="2"/>
      <c r="N771" s="2"/>
      <c r="O771" s="3"/>
      <c r="P771" s="3"/>
      <c r="Q771" s="2"/>
      <c r="R771" s="2"/>
      <c r="S771" s="2"/>
      <c r="T771" s="2"/>
      <c r="U771" s="2"/>
      <c r="V771" s="2"/>
      <c r="W771" s="2"/>
      <c r="X771" s="2"/>
      <c r="Y771" s="2"/>
      <c r="Z771" s="2"/>
      <c r="AA771" s="2"/>
      <c r="AB771" s="2"/>
      <c r="AC771" s="2"/>
    </row>
    <row r="772">
      <c r="A772" s="2"/>
      <c r="B772" s="2"/>
      <c r="C772" s="2"/>
      <c r="D772" s="2"/>
      <c r="E772" s="2"/>
      <c r="F772" s="2"/>
      <c r="G772" s="2"/>
      <c r="H772" s="2"/>
      <c r="I772" s="2"/>
      <c r="J772" s="2"/>
      <c r="K772" s="2"/>
      <c r="L772" s="2"/>
      <c r="M772" s="2"/>
      <c r="N772" s="2"/>
      <c r="O772" s="3"/>
      <c r="P772" s="3"/>
      <c r="Q772" s="2"/>
      <c r="R772" s="2"/>
      <c r="S772" s="2"/>
      <c r="T772" s="2"/>
      <c r="U772" s="2"/>
      <c r="V772" s="2"/>
      <c r="W772" s="2"/>
      <c r="X772" s="2"/>
      <c r="Y772" s="2"/>
      <c r="Z772" s="2"/>
      <c r="AA772" s="2"/>
      <c r="AB772" s="2"/>
      <c r="AC772" s="2"/>
    </row>
    <row r="773">
      <c r="A773" s="2"/>
      <c r="B773" s="2"/>
      <c r="C773" s="2"/>
      <c r="D773" s="2"/>
      <c r="E773" s="2"/>
      <c r="F773" s="2"/>
      <c r="G773" s="2"/>
      <c r="H773" s="2"/>
      <c r="I773" s="2"/>
      <c r="J773" s="2"/>
      <c r="K773" s="2"/>
      <c r="L773" s="2"/>
      <c r="M773" s="2"/>
      <c r="N773" s="2"/>
      <c r="O773" s="3"/>
      <c r="P773" s="3"/>
      <c r="Q773" s="2"/>
      <c r="R773" s="2"/>
      <c r="S773" s="2"/>
      <c r="T773" s="2"/>
      <c r="U773" s="2"/>
      <c r="V773" s="2"/>
      <c r="W773" s="2"/>
      <c r="X773" s="2"/>
      <c r="Y773" s="2"/>
      <c r="Z773" s="2"/>
      <c r="AA773" s="2"/>
      <c r="AB773" s="2"/>
      <c r="AC773" s="2"/>
    </row>
    <row r="774">
      <c r="A774" s="2"/>
      <c r="B774" s="2"/>
      <c r="C774" s="2"/>
      <c r="D774" s="2"/>
      <c r="E774" s="2"/>
      <c r="F774" s="2"/>
      <c r="G774" s="2"/>
      <c r="H774" s="2"/>
      <c r="I774" s="2"/>
      <c r="J774" s="2"/>
      <c r="K774" s="2"/>
      <c r="L774" s="2"/>
      <c r="M774" s="2"/>
      <c r="N774" s="2"/>
      <c r="O774" s="3"/>
      <c r="P774" s="3"/>
      <c r="Q774" s="2"/>
      <c r="R774" s="2"/>
      <c r="S774" s="2"/>
      <c r="T774" s="2"/>
      <c r="U774" s="2"/>
      <c r="V774" s="2"/>
      <c r="W774" s="2"/>
      <c r="X774" s="2"/>
      <c r="Y774" s="2"/>
      <c r="Z774" s="2"/>
      <c r="AA774" s="2"/>
      <c r="AB774" s="2"/>
      <c r="AC774" s="2"/>
    </row>
    <row r="775">
      <c r="A775" s="2"/>
      <c r="B775" s="2"/>
      <c r="C775" s="2"/>
      <c r="D775" s="2"/>
      <c r="E775" s="2"/>
      <c r="F775" s="2"/>
      <c r="G775" s="2"/>
      <c r="H775" s="2"/>
      <c r="I775" s="2"/>
      <c r="J775" s="2"/>
      <c r="K775" s="2"/>
      <c r="L775" s="2"/>
      <c r="M775" s="2"/>
      <c r="N775" s="2"/>
      <c r="O775" s="3"/>
      <c r="P775" s="3"/>
      <c r="Q775" s="2"/>
      <c r="R775" s="2"/>
      <c r="S775" s="2"/>
      <c r="T775" s="2"/>
      <c r="U775" s="2"/>
      <c r="V775" s="2"/>
      <c r="W775" s="2"/>
      <c r="X775" s="2"/>
      <c r="Y775" s="2"/>
      <c r="Z775" s="2"/>
      <c r="AA775" s="2"/>
      <c r="AB775" s="2"/>
      <c r="AC775" s="2"/>
    </row>
    <row r="776">
      <c r="A776" s="2"/>
      <c r="B776" s="2"/>
      <c r="C776" s="2"/>
      <c r="D776" s="2"/>
      <c r="E776" s="2"/>
      <c r="F776" s="2"/>
      <c r="G776" s="2"/>
      <c r="H776" s="2"/>
      <c r="I776" s="2"/>
      <c r="J776" s="2"/>
      <c r="K776" s="2"/>
      <c r="L776" s="2"/>
      <c r="M776" s="2"/>
      <c r="N776" s="2"/>
      <c r="O776" s="3"/>
      <c r="P776" s="3"/>
      <c r="Q776" s="2"/>
      <c r="R776" s="2"/>
      <c r="S776" s="2"/>
      <c r="T776" s="2"/>
      <c r="U776" s="2"/>
      <c r="V776" s="2"/>
      <c r="W776" s="2"/>
      <c r="X776" s="2"/>
      <c r="Y776" s="2"/>
      <c r="Z776" s="2"/>
      <c r="AA776" s="2"/>
      <c r="AB776" s="2"/>
      <c r="AC776" s="2"/>
    </row>
    <row r="777">
      <c r="A777" s="2"/>
      <c r="B777" s="2"/>
      <c r="C777" s="2"/>
      <c r="D777" s="2"/>
      <c r="E777" s="2"/>
      <c r="F777" s="2"/>
      <c r="G777" s="2"/>
      <c r="H777" s="2"/>
      <c r="I777" s="2"/>
      <c r="J777" s="2"/>
      <c r="K777" s="2"/>
      <c r="L777" s="2"/>
      <c r="M777" s="2"/>
      <c r="N777" s="2"/>
      <c r="O777" s="3"/>
      <c r="P777" s="3"/>
      <c r="Q777" s="2"/>
      <c r="R777" s="2"/>
      <c r="S777" s="2"/>
      <c r="T777" s="2"/>
      <c r="U777" s="2"/>
      <c r="V777" s="2"/>
      <c r="W777" s="2"/>
      <c r="X777" s="2"/>
      <c r="Y777" s="2"/>
      <c r="Z777" s="2"/>
      <c r="AA777" s="2"/>
      <c r="AB777" s="2"/>
      <c r="AC777" s="2"/>
    </row>
    <row r="778">
      <c r="A778" s="2"/>
      <c r="B778" s="2"/>
      <c r="C778" s="2"/>
      <c r="D778" s="2"/>
      <c r="E778" s="2"/>
      <c r="F778" s="2"/>
      <c r="G778" s="2"/>
      <c r="H778" s="2"/>
      <c r="I778" s="2"/>
      <c r="J778" s="2"/>
      <c r="K778" s="2"/>
      <c r="L778" s="2"/>
      <c r="M778" s="2"/>
      <c r="N778" s="2"/>
      <c r="O778" s="3"/>
      <c r="P778" s="3"/>
      <c r="Q778" s="2"/>
      <c r="R778" s="2"/>
      <c r="S778" s="2"/>
      <c r="T778" s="2"/>
      <c r="U778" s="2"/>
      <c r="V778" s="2"/>
      <c r="W778" s="2"/>
      <c r="X778" s="2"/>
      <c r="Y778" s="2"/>
      <c r="Z778" s="2"/>
      <c r="AA778" s="2"/>
      <c r="AB778" s="2"/>
      <c r="AC778" s="2"/>
    </row>
    <row r="779">
      <c r="A779" s="2"/>
      <c r="B779" s="2"/>
      <c r="C779" s="2"/>
      <c r="D779" s="2"/>
      <c r="E779" s="2"/>
      <c r="F779" s="2"/>
      <c r="G779" s="2"/>
      <c r="H779" s="2"/>
      <c r="I779" s="2"/>
      <c r="J779" s="2"/>
      <c r="K779" s="2"/>
      <c r="L779" s="2"/>
      <c r="M779" s="2"/>
      <c r="N779" s="2"/>
      <c r="O779" s="3"/>
      <c r="P779" s="3"/>
      <c r="Q779" s="2"/>
      <c r="R779" s="2"/>
      <c r="S779" s="2"/>
      <c r="T779" s="2"/>
      <c r="U779" s="2"/>
      <c r="V779" s="2"/>
      <c r="W779" s="2"/>
      <c r="X779" s="2"/>
      <c r="Y779" s="2"/>
      <c r="Z779" s="2"/>
      <c r="AA779" s="2"/>
      <c r="AB779" s="2"/>
      <c r="AC779" s="2"/>
    </row>
    <row r="780">
      <c r="A780" s="2"/>
      <c r="B780" s="2"/>
      <c r="C780" s="2"/>
      <c r="D780" s="2"/>
      <c r="E780" s="2"/>
      <c r="F780" s="2"/>
      <c r="G780" s="2"/>
      <c r="H780" s="2"/>
      <c r="I780" s="2"/>
      <c r="J780" s="2"/>
      <c r="K780" s="2"/>
      <c r="L780" s="2"/>
      <c r="M780" s="2"/>
      <c r="N780" s="2"/>
      <c r="O780" s="3"/>
      <c r="P780" s="3"/>
      <c r="Q780" s="2"/>
      <c r="R780" s="2"/>
      <c r="S780" s="2"/>
      <c r="T780" s="2"/>
      <c r="U780" s="2"/>
      <c r="V780" s="2"/>
      <c r="W780" s="2"/>
      <c r="X780" s="2"/>
      <c r="Y780" s="2"/>
      <c r="Z780" s="2"/>
      <c r="AA780" s="2"/>
      <c r="AB780" s="2"/>
      <c r="AC780" s="2"/>
    </row>
    <row r="781">
      <c r="A781" s="2"/>
      <c r="B781" s="2"/>
      <c r="C781" s="2"/>
      <c r="D781" s="2"/>
      <c r="E781" s="2"/>
      <c r="F781" s="2"/>
      <c r="G781" s="2"/>
      <c r="H781" s="2"/>
      <c r="I781" s="2"/>
      <c r="J781" s="2"/>
      <c r="K781" s="2"/>
      <c r="L781" s="2"/>
      <c r="M781" s="2"/>
      <c r="N781" s="2"/>
      <c r="O781" s="3"/>
      <c r="P781" s="3"/>
      <c r="Q781" s="2"/>
      <c r="R781" s="2"/>
      <c r="S781" s="2"/>
      <c r="T781" s="2"/>
      <c r="U781" s="2"/>
      <c r="V781" s="2"/>
      <c r="W781" s="2"/>
      <c r="X781" s="2"/>
      <c r="Y781" s="2"/>
      <c r="Z781" s="2"/>
      <c r="AA781" s="2"/>
      <c r="AB781" s="2"/>
      <c r="AC781" s="2"/>
    </row>
    <row r="782">
      <c r="A782" s="2"/>
      <c r="B782" s="2"/>
      <c r="C782" s="2"/>
      <c r="D782" s="2"/>
      <c r="E782" s="2"/>
      <c r="F782" s="2"/>
      <c r="G782" s="2"/>
      <c r="H782" s="2"/>
      <c r="I782" s="2"/>
      <c r="J782" s="2"/>
      <c r="K782" s="2"/>
      <c r="L782" s="2"/>
      <c r="M782" s="2"/>
      <c r="N782" s="2"/>
      <c r="O782" s="3"/>
      <c r="P782" s="3"/>
      <c r="Q782" s="2"/>
      <c r="R782" s="2"/>
      <c r="S782" s="2"/>
      <c r="T782" s="2"/>
      <c r="U782" s="2"/>
      <c r="V782" s="2"/>
      <c r="W782" s="2"/>
      <c r="X782" s="2"/>
      <c r="Y782" s="2"/>
      <c r="Z782" s="2"/>
      <c r="AA782" s="2"/>
      <c r="AB782" s="2"/>
      <c r="AC782" s="2"/>
    </row>
    <row r="783">
      <c r="A783" s="2"/>
      <c r="B783" s="2"/>
      <c r="C783" s="2"/>
      <c r="D783" s="2"/>
      <c r="E783" s="2"/>
      <c r="F783" s="2"/>
      <c r="G783" s="2"/>
      <c r="H783" s="2"/>
      <c r="I783" s="2"/>
      <c r="J783" s="2"/>
      <c r="K783" s="2"/>
      <c r="L783" s="2"/>
      <c r="M783" s="2"/>
      <c r="N783" s="2"/>
      <c r="O783" s="3"/>
      <c r="P783" s="3"/>
      <c r="Q783" s="2"/>
      <c r="R783" s="2"/>
      <c r="S783" s="2"/>
      <c r="T783" s="2"/>
      <c r="U783" s="2"/>
      <c r="V783" s="2"/>
      <c r="W783" s="2"/>
      <c r="X783" s="2"/>
      <c r="Y783" s="2"/>
      <c r="Z783" s="2"/>
      <c r="AA783" s="2"/>
      <c r="AB783" s="2"/>
      <c r="AC783" s="2"/>
    </row>
    <row r="784">
      <c r="A784" s="2"/>
      <c r="B784" s="2"/>
      <c r="C784" s="2"/>
      <c r="D784" s="2"/>
      <c r="E784" s="2"/>
      <c r="F784" s="2"/>
      <c r="G784" s="2"/>
      <c r="H784" s="2"/>
      <c r="I784" s="2"/>
      <c r="J784" s="2"/>
      <c r="K784" s="2"/>
      <c r="L784" s="2"/>
      <c r="M784" s="2"/>
      <c r="N784" s="2"/>
      <c r="O784" s="3"/>
      <c r="P784" s="3"/>
      <c r="Q784" s="2"/>
      <c r="R784" s="2"/>
      <c r="S784" s="2"/>
      <c r="T784" s="2"/>
      <c r="U784" s="2"/>
      <c r="V784" s="2"/>
      <c r="W784" s="2"/>
      <c r="X784" s="2"/>
      <c r="Y784" s="2"/>
      <c r="Z784" s="2"/>
      <c r="AA784" s="2"/>
      <c r="AB784" s="2"/>
      <c r="AC784" s="2"/>
    </row>
    <row r="785">
      <c r="A785" s="2"/>
      <c r="B785" s="2"/>
      <c r="C785" s="2"/>
      <c r="D785" s="2"/>
      <c r="E785" s="2"/>
      <c r="F785" s="2"/>
      <c r="G785" s="2"/>
      <c r="H785" s="2"/>
      <c r="I785" s="2"/>
      <c r="J785" s="2"/>
      <c r="K785" s="2"/>
      <c r="L785" s="2"/>
      <c r="M785" s="2"/>
      <c r="N785" s="2"/>
      <c r="O785" s="3"/>
      <c r="P785" s="3"/>
      <c r="Q785" s="2"/>
      <c r="R785" s="2"/>
      <c r="S785" s="2"/>
      <c r="T785" s="2"/>
      <c r="U785" s="2"/>
      <c r="V785" s="2"/>
      <c r="W785" s="2"/>
      <c r="X785" s="2"/>
      <c r="Y785" s="2"/>
      <c r="Z785" s="2"/>
      <c r="AA785" s="2"/>
      <c r="AB785" s="2"/>
      <c r="AC785" s="2"/>
    </row>
    <row r="786">
      <c r="A786" s="2"/>
      <c r="B786" s="2"/>
      <c r="C786" s="2"/>
      <c r="D786" s="2"/>
      <c r="E786" s="2"/>
      <c r="F786" s="2"/>
      <c r="G786" s="2"/>
      <c r="H786" s="2"/>
      <c r="I786" s="2"/>
      <c r="J786" s="2"/>
      <c r="K786" s="2"/>
      <c r="L786" s="2"/>
      <c r="M786" s="2"/>
      <c r="N786" s="2"/>
      <c r="O786" s="3"/>
      <c r="P786" s="3"/>
      <c r="Q786" s="2"/>
      <c r="R786" s="2"/>
      <c r="S786" s="2"/>
      <c r="T786" s="2"/>
      <c r="U786" s="2"/>
      <c r="V786" s="2"/>
      <c r="W786" s="2"/>
      <c r="X786" s="2"/>
      <c r="Y786" s="2"/>
      <c r="Z786" s="2"/>
      <c r="AA786" s="2"/>
      <c r="AB786" s="2"/>
      <c r="AC786" s="2"/>
    </row>
    <row r="787">
      <c r="A787" s="2"/>
      <c r="B787" s="2"/>
      <c r="C787" s="2"/>
      <c r="D787" s="2"/>
      <c r="E787" s="2"/>
      <c r="F787" s="2"/>
      <c r="G787" s="2"/>
      <c r="H787" s="2"/>
      <c r="I787" s="2"/>
      <c r="J787" s="2"/>
      <c r="K787" s="2"/>
      <c r="L787" s="2"/>
      <c r="M787" s="2"/>
      <c r="N787" s="2"/>
      <c r="O787" s="3"/>
      <c r="P787" s="3"/>
      <c r="Q787" s="2"/>
      <c r="R787" s="2"/>
      <c r="S787" s="2"/>
      <c r="T787" s="2"/>
      <c r="U787" s="2"/>
      <c r="V787" s="2"/>
      <c r="W787" s="2"/>
      <c r="X787" s="2"/>
      <c r="Y787" s="2"/>
      <c r="Z787" s="2"/>
      <c r="AA787" s="2"/>
      <c r="AB787" s="2"/>
      <c r="AC787" s="2"/>
    </row>
    <row r="788">
      <c r="A788" s="2"/>
      <c r="B788" s="2"/>
      <c r="C788" s="2"/>
      <c r="D788" s="2"/>
      <c r="E788" s="2"/>
      <c r="F788" s="2"/>
      <c r="G788" s="2"/>
      <c r="H788" s="2"/>
      <c r="I788" s="2"/>
      <c r="J788" s="2"/>
      <c r="K788" s="2"/>
      <c r="L788" s="2"/>
      <c r="M788" s="2"/>
      <c r="N788" s="2"/>
      <c r="O788" s="3"/>
      <c r="P788" s="3"/>
      <c r="Q788" s="2"/>
      <c r="R788" s="2"/>
      <c r="S788" s="2"/>
      <c r="T788" s="2"/>
      <c r="U788" s="2"/>
      <c r="V788" s="2"/>
      <c r="W788" s="2"/>
      <c r="X788" s="2"/>
      <c r="Y788" s="2"/>
      <c r="Z788" s="2"/>
      <c r="AA788" s="2"/>
      <c r="AB788" s="2"/>
      <c r="AC788" s="2"/>
    </row>
    <row r="789">
      <c r="A789" s="2"/>
      <c r="B789" s="2"/>
      <c r="C789" s="2"/>
      <c r="D789" s="2"/>
      <c r="E789" s="2"/>
      <c r="F789" s="2"/>
      <c r="G789" s="2"/>
      <c r="H789" s="2"/>
      <c r="I789" s="2"/>
      <c r="J789" s="2"/>
      <c r="K789" s="2"/>
      <c r="L789" s="2"/>
      <c r="M789" s="2"/>
      <c r="N789" s="2"/>
      <c r="O789" s="3"/>
      <c r="P789" s="3"/>
      <c r="Q789" s="2"/>
      <c r="R789" s="2"/>
      <c r="S789" s="2"/>
      <c r="T789" s="2"/>
      <c r="U789" s="2"/>
      <c r="V789" s="2"/>
      <c r="W789" s="2"/>
      <c r="X789" s="2"/>
      <c r="Y789" s="2"/>
      <c r="Z789" s="2"/>
      <c r="AA789" s="2"/>
      <c r="AB789" s="2"/>
      <c r="AC789" s="2"/>
    </row>
    <row r="790">
      <c r="A790" s="2"/>
      <c r="B790" s="2"/>
      <c r="C790" s="2"/>
      <c r="D790" s="2"/>
      <c r="E790" s="2"/>
      <c r="F790" s="2"/>
      <c r="G790" s="2"/>
      <c r="H790" s="2"/>
      <c r="I790" s="2"/>
      <c r="J790" s="2"/>
      <c r="K790" s="2"/>
      <c r="L790" s="2"/>
      <c r="M790" s="2"/>
      <c r="N790" s="2"/>
      <c r="O790" s="3"/>
      <c r="P790" s="3"/>
      <c r="Q790" s="2"/>
      <c r="R790" s="2"/>
      <c r="S790" s="2"/>
      <c r="T790" s="2"/>
      <c r="U790" s="2"/>
      <c r="V790" s="2"/>
      <c r="W790" s="2"/>
      <c r="X790" s="2"/>
      <c r="Y790" s="2"/>
      <c r="Z790" s="2"/>
      <c r="AA790" s="2"/>
      <c r="AB790" s="2"/>
      <c r="AC790" s="2"/>
    </row>
    <row r="791">
      <c r="A791" s="2"/>
      <c r="B791" s="2"/>
      <c r="C791" s="2"/>
      <c r="D791" s="2"/>
      <c r="E791" s="2"/>
      <c r="F791" s="2"/>
      <c r="G791" s="2"/>
      <c r="H791" s="2"/>
      <c r="I791" s="2"/>
      <c r="J791" s="2"/>
      <c r="K791" s="2"/>
      <c r="L791" s="2"/>
      <c r="M791" s="2"/>
      <c r="N791" s="2"/>
      <c r="O791" s="3"/>
      <c r="P791" s="3"/>
      <c r="Q791" s="2"/>
      <c r="R791" s="2"/>
      <c r="S791" s="2"/>
      <c r="T791" s="2"/>
      <c r="U791" s="2"/>
      <c r="V791" s="2"/>
      <c r="W791" s="2"/>
      <c r="X791" s="2"/>
      <c r="Y791" s="2"/>
      <c r="Z791" s="2"/>
      <c r="AA791" s="2"/>
      <c r="AB791" s="2"/>
      <c r="AC791" s="2"/>
    </row>
    <row r="792">
      <c r="A792" s="2"/>
      <c r="B792" s="2"/>
      <c r="C792" s="2"/>
      <c r="D792" s="2"/>
      <c r="E792" s="2"/>
      <c r="F792" s="2"/>
      <c r="G792" s="2"/>
      <c r="H792" s="2"/>
      <c r="I792" s="2"/>
      <c r="J792" s="2"/>
      <c r="K792" s="2"/>
      <c r="L792" s="2"/>
      <c r="M792" s="2"/>
      <c r="N792" s="2"/>
      <c r="O792" s="3"/>
      <c r="P792" s="3"/>
      <c r="Q792" s="2"/>
      <c r="R792" s="2"/>
      <c r="S792" s="2"/>
      <c r="T792" s="2"/>
      <c r="U792" s="2"/>
      <c r="V792" s="2"/>
      <c r="W792" s="2"/>
      <c r="X792" s="2"/>
      <c r="Y792" s="2"/>
      <c r="Z792" s="2"/>
      <c r="AA792" s="2"/>
      <c r="AB792" s="2"/>
      <c r="AC792" s="2"/>
    </row>
    <row r="793">
      <c r="A793" s="2"/>
      <c r="B793" s="2"/>
      <c r="C793" s="2"/>
      <c r="D793" s="2"/>
      <c r="E793" s="2"/>
      <c r="F793" s="2"/>
      <c r="G793" s="2"/>
      <c r="H793" s="2"/>
      <c r="I793" s="2"/>
      <c r="J793" s="2"/>
      <c r="K793" s="2"/>
      <c r="L793" s="2"/>
      <c r="M793" s="2"/>
      <c r="N793" s="2"/>
      <c r="O793" s="3"/>
      <c r="P793" s="3"/>
      <c r="Q793" s="2"/>
      <c r="R793" s="2"/>
      <c r="S793" s="2"/>
      <c r="T793" s="2"/>
      <c r="U793" s="2"/>
      <c r="V793" s="2"/>
      <c r="W793" s="2"/>
      <c r="X793" s="2"/>
      <c r="Y793" s="2"/>
      <c r="Z793" s="2"/>
      <c r="AA793" s="2"/>
      <c r="AB793" s="2"/>
      <c r="AC793" s="2"/>
    </row>
    <row r="794">
      <c r="A794" s="2"/>
      <c r="B794" s="2"/>
      <c r="C794" s="2"/>
      <c r="D794" s="2"/>
      <c r="E794" s="2"/>
      <c r="F794" s="2"/>
      <c r="G794" s="2"/>
      <c r="H794" s="2"/>
      <c r="I794" s="2"/>
      <c r="J794" s="2"/>
      <c r="K794" s="2"/>
      <c r="L794" s="2"/>
      <c r="M794" s="2"/>
      <c r="N794" s="2"/>
      <c r="O794" s="3"/>
      <c r="P794" s="3"/>
      <c r="Q794" s="2"/>
      <c r="R794" s="2"/>
      <c r="S794" s="2"/>
      <c r="T794" s="2"/>
      <c r="U794" s="2"/>
      <c r="V794" s="2"/>
      <c r="W794" s="2"/>
      <c r="X794" s="2"/>
      <c r="Y794" s="2"/>
      <c r="Z794" s="2"/>
      <c r="AA794" s="2"/>
      <c r="AB794" s="2"/>
      <c r="AC794" s="2"/>
    </row>
    <row r="795">
      <c r="A795" s="2"/>
      <c r="B795" s="2"/>
      <c r="C795" s="2"/>
      <c r="D795" s="2"/>
      <c r="E795" s="2"/>
      <c r="F795" s="2"/>
      <c r="G795" s="2"/>
      <c r="H795" s="2"/>
      <c r="I795" s="2"/>
      <c r="J795" s="2"/>
      <c r="K795" s="2"/>
      <c r="L795" s="2"/>
      <c r="M795" s="2"/>
      <c r="N795" s="2"/>
      <c r="O795" s="3"/>
      <c r="P795" s="3"/>
      <c r="Q795" s="2"/>
      <c r="R795" s="2"/>
      <c r="S795" s="2"/>
      <c r="T795" s="2"/>
      <c r="U795" s="2"/>
      <c r="V795" s="2"/>
      <c r="W795" s="2"/>
      <c r="X795" s="2"/>
      <c r="Y795" s="2"/>
      <c r="Z795" s="2"/>
      <c r="AA795" s="2"/>
      <c r="AB795" s="2"/>
      <c r="AC795" s="2"/>
    </row>
    <row r="796">
      <c r="A796" s="2"/>
      <c r="B796" s="2"/>
      <c r="C796" s="2"/>
      <c r="D796" s="2"/>
      <c r="E796" s="2"/>
      <c r="F796" s="2"/>
      <c r="G796" s="2"/>
      <c r="H796" s="2"/>
      <c r="I796" s="2"/>
      <c r="J796" s="2"/>
      <c r="K796" s="2"/>
      <c r="L796" s="2"/>
      <c r="M796" s="2"/>
      <c r="N796" s="2"/>
      <c r="O796" s="3"/>
      <c r="P796" s="3"/>
      <c r="Q796" s="2"/>
      <c r="R796" s="2"/>
      <c r="S796" s="2"/>
      <c r="T796" s="2"/>
      <c r="U796" s="2"/>
      <c r="V796" s="2"/>
      <c r="W796" s="2"/>
      <c r="X796" s="2"/>
      <c r="Y796" s="2"/>
      <c r="Z796" s="2"/>
      <c r="AA796" s="2"/>
      <c r="AB796" s="2"/>
      <c r="AC796" s="2"/>
    </row>
    <row r="797">
      <c r="A797" s="2"/>
      <c r="B797" s="2"/>
      <c r="C797" s="2"/>
      <c r="D797" s="2"/>
      <c r="E797" s="2"/>
      <c r="F797" s="2"/>
      <c r="G797" s="2"/>
      <c r="H797" s="2"/>
      <c r="I797" s="2"/>
      <c r="J797" s="2"/>
      <c r="K797" s="2"/>
      <c r="L797" s="2"/>
      <c r="M797" s="2"/>
      <c r="N797" s="2"/>
      <c r="O797" s="3"/>
      <c r="P797" s="3"/>
      <c r="Q797" s="2"/>
      <c r="R797" s="2"/>
      <c r="S797" s="2"/>
      <c r="T797" s="2"/>
      <c r="U797" s="2"/>
      <c r="V797" s="2"/>
      <c r="W797" s="2"/>
      <c r="X797" s="2"/>
      <c r="Y797" s="2"/>
      <c r="Z797" s="2"/>
      <c r="AA797" s="2"/>
      <c r="AB797" s="2"/>
      <c r="AC797" s="2"/>
    </row>
    <row r="798">
      <c r="A798" s="2"/>
      <c r="B798" s="2"/>
      <c r="C798" s="2"/>
      <c r="D798" s="2"/>
      <c r="E798" s="2"/>
      <c r="F798" s="2"/>
      <c r="G798" s="2"/>
      <c r="H798" s="2"/>
      <c r="I798" s="2"/>
      <c r="J798" s="2"/>
      <c r="K798" s="2"/>
      <c r="L798" s="2"/>
      <c r="M798" s="2"/>
      <c r="N798" s="2"/>
      <c r="O798" s="3"/>
      <c r="P798" s="3"/>
      <c r="Q798" s="2"/>
      <c r="R798" s="2"/>
      <c r="S798" s="2"/>
      <c r="T798" s="2"/>
      <c r="U798" s="2"/>
      <c r="V798" s="2"/>
      <c r="W798" s="2"/>
      <c r="X798" s="2"/>
      <c r="Y798" s="2"/>
      <c r="Z798" s="2"/>
      <c r="AA798" s="2"/>
      <c r="AB798" s="2"/>
      <c r="AC798" s="2"/>
    </row>
    <row r="799">
      <c r="A799" s="2"/>
      <c r="B799" s="2"/>
      <c r="C799" s="2"/>
      <c r="D799" s="2"/>
      <c r="E799" s="2"/>
      <c r="F799" s="2"/>
      <c r="G799" s="2"/>
      <c r="H799" s="2"/>
      <c r="I799" s="2"/>
      <c r="J799" s="2"/>
      <c r="K799" s="2"/>
      <c r="L799" s="2"/>
      <c r="M799" s="2"/>
      <c r="N799" s="2"/>
      <c r="O799" s="3"/>
      <c r="P799" s="3"/>
      <c r="Q799" s="2"/>
      <c r="R799" s="2"/>
      <c r="S799" s="2"/>
      <c r="T799" s="2"/>
      <c r="U799" s="2"/>
      <c r="V799" s="2"/>
      <c r="W799" s="2"/>
      <c r="X799" s="2"/>
      <c r="Y799" s="2"/>
      <c r="Z799" s="2"/>
      <c r="AA799" s="2"/>
      <c r="AB799" s="2"/>
      <c r="AC799" s="2"/>
    </row>
    <row r="800">
      <c r="A800" s="2"/>
      <c r="B800" s="2"/>
      <c r="C800" s="2"/>
      <c r="D800" s="2"/>
      <c r="E800" s="2"/>
      <c r="F800" s="2"/>
      <c r="G800" s="2"/>
      <c r="H800" s="2"/>
      <c r="I800" s="2"/>
      <c r="J800" s="2"/>
      <c r="K800" s="2"/>
      <c r="L800" s="2"/>
      <c r="M800" s="2"/>
      <c r="N800" s="2"/>
      <c r="O800" s="3"/>
      <c r="P800" s="3"/>
      <c r="Q800" s="2"/>
      <c r="R800" s="2"/>
      <c r="S800" s="2"/>
      <c r="T800" s="2"/>
      <c r="U800" s="2"/>
      <c r="V800" s="2"/>
      <c r="W800" s="2"/>
      <c r="X800" s="2"/>
      <c r="Y800" s="2"/>
      <c r="Z800" s="2"/>
      <c r="AA800" s="2"/>
      <c r="AB800" s="2"/>
      <c r="AC800" s="2"/>
    </row>
    <row r="801">
      <c r="A801" s="2"/>
      <c r="B801" s="2"/>
      <c r="C801" s="2"/>
      <c r="D801" s="2"/>
      <c r="E801" s="2"/>
      <c r="F801" s="2"/>
      <c r="G801" s="2"/>
      <c r="H801" s="2"/>
      <c r="I801" s="2"/>
      <c r="J801" s="2"/>
      <c r="K801" s="2"/>
      <c r="L801" s="2"/>
      <c r="M801" s="2"/>
      <c r="N801" s="2"/>
      <c r="O801" s="3"/>
      <c r="P801" s="3"/>
      <c r="Q801" s="2"/>
      <c r="R801" s="2"/>
      <c r="S801" s="2"/>
      <c r="T801" s="2"/>
      <c r="U801" s="2"/>
      <c r="V801" s="2"/>
      <c r="W801" s="2"/>
      <c r="X801" s="2"/>
      <c r="Y801" s="2"/>
      <c r="Z801" s="2"/>
      <c r="AA801" s="2"/>
      <c r="AB801" s="2"/>
      <c r="AC801" s="2"/>
    </row>
    <row r="802">
      <c r="A802" s="2"/>
      <c r="B802" s="2"/>
      <c r="C802" s="2"/>
      <c r="D802" s="2"/>
      <c r="E802" s="2"/>
      <c r="F802" s="2"/>
      <c r="G802" s="2"/>
      <c r="H802" s="2"/>
      <c r="I802" s="2"/>
      <c r="J802" s="2"/>
      <c r="K802" s="2"/>
      <c r="L802" s="2"/>
      <c r="M802" s="2"/>
      <c r="N802" s="2"/>
      <c r="O802" s="3"/>
      <c r="P802" s="3"/>
      <c r="Q802" s="2"/>
      <c r="R802" s="2"/>
      <c r="S802" s="2"/>
      <c r="T802" s="2"/>
      <c r="U802" s="2"/>
      <c r="V802" s="2"/>
      <c r="W802" s="2"/>
      <c r="X802" s="2"/>
      <c r="Y802" s="2"/>
      <c r="Z802" s="2"/>
      <c r="AA802" s="2"/>
      <c r="AB802" s="2"/>
      <c r="AC802" s="2"/>
    </row>
    <row r="803">
      <c r="A803" s="2"/>
      <c r="B803" s="2"/>
      <c r="C803" s="2"/>
      <c r="D803" s="2"/>
      <c r="E803" s="2"/>
      <c r="F803" s="2"/>
      <c r="G803" s="2"/>
      <c r="H803" s="2"/>
      <c r="I803" s="2"/>
      <c r="J803" s="2"/>
      <c r="K803" s="2"/>
      <c r="L803" s="2"/>
      <c r="M803" s="2"/>
      <c r="N803" s="2"/>
      <c r="O803" s="3"/>
      <c r="P803" s="3"/>
      <c r="Q803" s="2"/>
      <c r="R803" s="2"/>
      <c r="S803" s="2"/>
      <c r="T803" s="2"/>
      <c r="U803" s="2"/>
      <c r="V803" s="2"/>
      <c r="W803" s="2"/>
      <c r="X803" s="2"/>
      <c r="Y803" s="2"/>
      <c r="Z803" s="2"/>
      <c r="AA803" s="2"/>
      <c r="AB803" s="2"/>
      <c r="AC803" s="2"/>
    </row>
    <row r="804">
      <c r="A804" s="2"/>
      <c r="B804" s="2"/>
      <c r="C804" s="2"/>
      <c r="D804" s="2"/>
      <c r="E804" s="2"/>
      <c r="F804" s="2"/>
      <c r="G804" s="2"/>
      <c r="H804" s="2"/>
      <c r="I804" s="2"/>
      <c r="J804" s="2"/>
      <c r="K804" s="2"/>
      <c r="L804" s="2"/>
      <c r="M804" s="2"/>
      <c r="N804" s="2"/>
      <c r="O804" s="3"/>
      <c r="P804" s="3"/>
      <c r="Q804" s="2"/>
      <c r="R804" s="2"/>
      <c r="S804" s="2"/>
      <c r="T804" s="2"/>
      <c r="U804" s="2"/>
      <c r="V804" s="2"/>
      <c r="W804" s="2"/>
      <c r="X804" s="2"/>
      <c r="Y804" s="2"/>
      <c r="Z804" s="2"/>
      <c r="AA804" s="2"/>
      <c r="AB804" s="2"/>
      <c r="AC804" s="2"/>
    </row>
    <row r="805">
      <c r="A805" s="2"/>
      <c r="B805" s="2"/>
      <c r="C805" s="2"/>
      <c r="D805" s="2"/>
      <c r="E805" s="2"/>
      <c r="F805" s="2"/>
      <c r="G805" s="2"/>
      <c r="H805" s="2"/>
      <c r="I805" s="2"/>
      <c r="J805" s="2"/>
      <c r="K805" s="2"/>
      <c r="L805" s="2"/>
      <c r="M805" s="2"/>
      <c r="N805" s="2"/>
      <c r="O805" s="3"/>
      <c r="P805" s="3"/>
      <c r="Q805" s="2"/>
      <c r="R805" s="2"/>
      <c r="S805" s="2"/>
      <c r="T805" s="2"/>
      <c r="U805" s="2"/>
      <c r="V805" s="2"/>
      <c r="W805" s="2"/>
      <c r="X805" s="2"/>
      <c r="Y805" s="2"/>
      <c r="Z805" s="2"/>
      <c r="AA805" s="2"/>
      <c r="AB805" s="2"/>
      <c r="AC805" s="2"/>
    </row>
    <row r="806">
      <c r="A806" s="2"/>
      <c r="B806" s="2"/>
      <c r="C806" s="2"/>
      <c r="D806" s="2"/>
      <c r="E806" s="2"/>
      <c r="F806" s="2"/>
      <c r="G806" s="2"/>
      <c r="H806" s="2"/>
      <c r="I806" s="2"/>
      <c r="J806" s="2"/>
      <c r="K806" s="2"/>
      <c r="L806" s="2"/>
      <c r="M806" s="2"/>
      <c r="N806" s="2"/>
      <c r="O806" s="3"/>
      <c r="P806" s="3"/>
      <c r="Q806" s="2"/>
      <c r="R806" s="2"/>
      <c r="S806" s="2"/>
      <c r="T806" s="2"/>
      <c r="U806" s="2"/>
      <c r="V806" s="2"/>
      <c r="W806" s="2"/>
      <c r="X806" s="2"/>
      <c r="Y806" s="2"/>
      <c r="Z806" s="2"/>
      <c r="AA806" s="2"/>
      <c r="AB806" s="2"/>
      <c r="AC806" s="2"/>
    </row>
    <row r="807">
      <c r="A807" s="2"/>
      <c r="B807" s="2"/>
      <c r="C807" s="2"/>
      <c r="D807" s="2"/>
      <c r="E807" s="2"/>
      <c r="F807" s="2"/>
      <c r="G807" s="2"/>
      <c r="H807" s="2"/>
      <c r="I807" s="2"/>
      <c r="J807" s="2"/>
      <c r="K807" s="2"/>
      <c r="L807" s="2"/>
      <c r="M807" s="2"/>
      <c r="N807" s="2"/>
      <c r="O807" s="3"/>
      <c r="P807" s="3"/>
      <c r="Q807" s="2"/>
      <c r="R807" s="2"/>
      <c r="S807" s="2"/>
      <c r="T807" s="2"/>
      <c r="U807" s="2"/>
      <c r="V807" s="2"/>
      <c r="W807" s="2"/>
      <c r="X807" s="2"/>
      <c r="Y807" s="2"/>
      <c r="Z807" s="2"/>
      <c r="AA807" s="2"/>
      <c r="AB807" s="2"/>
      <c r="AC807" s="2"/>
    </row>
    <row r="808">
      <c r="A808" s="2"/>
      <c r="B808" s="2"/>
      <c r="C808" s="2"/>
      <c r="D808" s="2"/>
      <c r="E808" s="2"/>
      <c r="F808" s="2"/>
      <c r="G808" s="2"/>
      <c r="H808" s="2"/>
      <c r="I808" s="2"/>
      <c r="J808" s="2"/>
      <c r="K808" s="2"/>
      <c r="L808" s="2"/>
      <c r="M808" s="2"/>
      <c r="N808" s="2"/>
      <c r="O808" s="3"/>
      <c r="P808" s="3"/>
      <c r="Q808" s="2"/>
      <c r="R808" s="2"/>
      <c r="S808" s="2"/>
      <c r="T808" s="2"/>
      <c r="U808" s="2"/>
      <c r="V808" s="2"/>
      <c r="W808" s="2"/>
      <c r="X808" s="2"/>
      <c r="Y808" s="2"/>
      <c r="Z808" s="2"/>
      <c r="AA808" s="2"/>
      <c r="AB808" s="2"/>
      <c r="AC808" s="2"/>
    </row>
    <row r="809">
      <c r="A809" s="2"/>
      <c r="B809" s="2"/>
      <c r="C809" s="2"/>
      <c r="D809" s="2"/>
      <c r="E809" s="2"/>
      <c r="F809" s="2"/>
      <c r="G809" s="2"/>
      <c r="H809" s="2"/>
      <c r="I809" s="2"/>
      <c r="J809" s="2"/>
      <c r="K809" s="2"/>
      <c r="L809" s="2"/>
      <c r="M809" s="2"/>
      <c r="N809" s="2"/>
      <c r="O809" s="3"/>
      <c r="P809" s="3"/>
      <c r="Q809" s="2"/>
      <c r="R809" s="2"/>
      <c r="S809" s="2"/>
      <c r="T809" s="2"/>
      <c r="U809" s="2"/>
      <c r="V809" s="2"/>
      <c r="W809" s="2"/>
      <c r="X809" s="2"/>
      <c r="Y809" s="2"/>
      <c r="Z809" s="2"/>
      <c r="AA809" s="2"/>
      <c r="AB809" s="2"/>
      <c r="AC809" s="2"/>
    </row>
    <row r="810">
      <c r="A810" s="2"/>
      <c r="B810" s="2"/>
      <c r="C810" s="2"/>
      <c r="D810" s="2"/>
      <c r="E810" s="2"/>
      <c r="F810" s="2"/>
      <c r="G810" s="2"/>
      <c r="H810" s="2"/>
      <c r="I810" s="2"/>
      <c r="J810" s="2"/>
      <c r="K810" s="2"/>
      <c r="L810" s="2"/>
      <c r="M810" s="2"/>
      <c r="N810" s="2"/>
      <c r="O810" s="3"/>
      <c r="P810" s="3"/>
      <c r="Q810" s="2"/>
      <c r="R810" s="2"/>
      <c r="S810" s="2"/>
      <c r="T810" s="2"/>
      <c r="U810" s="2"/>
      <c r="V810" s="2"/>
      <c r="W810" s="2"/>
      <c r="X810" s="2"/>
      <c r="Y810" s="2"/>
      <c r="Z810" s="2"/>
      <c r="AA810" s="2"/>
      <c r="AB810" s="2"/>
      <c r="AC810" s="2"/>
    </row>
    <row r="811">
      <c r="A811" s="2"/>
      <c r="B811" s="2"/>
      <c r="C811" s="2"/>
      <c r="D811" s="2"/>
      <c r="E811" s="2"/>
      <c r="F811" s="2"/>
      <c r="G811" s="2"/>
      <c r="H811" s="2"/>
      <c r="I811" s="2"/>
      <c r="J811" s="2"/>
      <c r="K811" s="2"/>
      <c r="L811" s="2"/>
      <c r="M811" s="2"/>
      <c r="N811" s="2"/>
      <c r="O811" s="3"/>
      <c r="P811" s="3"/>
      <c r="Q811" s="2"/>
      <c r="R811" s="2"/>
      <c r="S811" s="2"/>
      <c r="T811" s="2"/>
      <c r="U811" s="2"/>
      <c r="V811" s="2"/>
      <c r="W811" s="2"/>
      <c r="X811" s="2"/>
      <c r="Y811" s="2"/>
      <c r="Z811" s="2"/>
      <c r="AA811" s="2"/>
      <c r="AB811" s="2"/>
      <c r="AC811" s="2"/>
    </row>
    <row r="812">
      <c r="A812" s="2"/>
      <c r="B812" s="2"/>
      <c r="C812" s="2"/>
      <c r="D812" s="2"/>
      <c r="E812" s="2"/>
      <c r="F812" s="2"/>
      <c r="G812" s="2"/>
      <c r="H812" s="2"/>
      <c r="I812" s="2"/>
      <c r="J812" s="2"/>
      <c r="K812" s="2"/>
      <c r="L812" s="2"/>
      <c r="M812" s="2"/>
      <c r="N812" s="2"/>
      <c r="O812" s="3"/>
      <c r="P812" s="3"/>
      <c r="Q812" s="2"/>
      <c r="R812" s="2"/>
      <c r="S812" s="2"/>
      <c r="T812" s="2"/>
      <c r="U812" s="2"/>
      <c r="V812" s="2"/>
      <c r="W812" s="2"/>
      <c r="X812" s="2"/>
      <c r="Y812" s="2"/>
      <c r="Z812" s="2"/>
      <c r="AA812" s="2"/>
      <c r="AB812" s="2"/>
      <c r="AC812" s="2"/>
    </row>
    <row r="813">
      <c r="A813" s="2"/>
      <c r="B813" s="2"/>
      <c r="C813" s="2"/>
      <c r="D813" s="2"/>
      <c r="E813" s="2"/>
      <c r="F813" s="2"/>
      <c r="G813" s="2"/>
      <c r="H813" s="2"/>
      <c r="I813" s="2"/>
      <c r="J813" s="2"/>
      <c r="K813" s="2"/>
      <c r="L813" s="2"/>
      <c r="M813" s="2"/>
      <c r="N813" s="2"/>
      <c r="O813" s="3"/>
      <c r="P813" s="3"/>
      <c r="Q813" s="2"/>
      <c r="R813" s="2"/>
      <c r="S813" s="2"/>
      <c r="T813" s="2"/>
      <c r="U813" s="2"/>
      <c r="V813" s="2"/>
      <c r="W813" s="2"/>
      <c r="X813" s="2"/>
      <c r="Y813" s="2"/>
      <c r="Z813" s="2"/>
      <c r="AA813" s="2"/>
      <c r="AB813" s="2"/>
      <c r="AC813" s="2"/>
    </row>
    <row r="814">
      <c r="A814" s="2"/>
      <c r="B814" s="2"/>
      <c r="C814" s="2"/>
      <c r="D814" s="2"/>
      <c r="E814" s="2"/>
      <c r="F814" s="2"/>
      <c r="G814" s="2"/>
      <c r="H814" s="2"/>
      <c r="I814" s="2"/>
      <c r="J814" s="2"/>
      <c r="K814" s="2"/>
      <c r="L814" s="2"/>
      <c r="M814" s="2"/>
      <c r="N814" s="2"/>
      <c r="O814" s="3"/>
      <c r="P814" s="3"/>
      <c r="Q814" s="2"/>
      <c r="R814" s="2"/>
      <c r="S814" s="2"/>
      <c r="T814" s="2"/>
      <c r="U814" s="2"/>
      <c r="V814" s="2"/>
      <c r="W814" s="2"/>
      <c r="X814" s="2"/>
      <c r="Y814" s="2"/>
      <c r="Z814" s="2"/>
      <c r="AA814" s="2"/>
      <c r="AB814" s="2"/>
      <c r="AC814" s="2"/>
    </row>
    <row r="815">
      <c r="A815" s="2"/>
      <c r="B815" s="2"/>
      <c r="C815" s="2"/>
      <c r="D815" s="2"/>
      <c r="E815" s="2"/>
      <c r="F815" s="2"/>
      <c r="G815" s="2"/>
      <c r="H815" s="2"/>
      <c r="I815" s="2"/>
      <c r="J815" s="2"/>
      <c r="K815" s="2"/>
      <c r="L815" s="2"/>
      <c r="M815" s="2"/>
      <c r="N815" s="2"/>
      <c r="O815" s="3"/>
      <c r="P815" s="3"/>
      <c r="Q815" s="2"/>
      <c r="R815" s="2"/>
      <c r="S815" s="2"/>
      <c r="T815" s="2"/>
      <c r="U815" s="2"/>
      <c r="V815" s="2"/>
      <c r="W815" s="2"/>
      <c r="X815" s="2"/>
      <c r="Y815" s="2"/>
      <c r="Z815" s="2"/>
      <c r="AA815" s="2"/>
      <c r="AB815" s="2"/>
      <c r="AC815" s="2"/>
    </row>
    <row r="816">
      <c r="A816" s="2"/>
      <c r="B816" s="2"/>
      <c r="C816" s="2"/>
      <c r="D816" s="2"/>
      <c r="E816" s="2"/>
      <c r="F816" s="2"/>
      <c r="G816" s="2"/>
      <c r="H816" s="2"/>
      <c r="I816" s="2"/>
      <c r="J816" s="2"/>
      <c r="K816" s="2"/>
      <c r="L816" s="2"/>
      <c r="M816" s="2"/>
      <c r="N816" s="2"/>
      <c r="O816" s="3"/>
      <c r="P816" s="3"/>
      <c r="Q816" s="2"/>
      <c r="R816" s="2"/>
      <c r="S816" s="2"/>
      <c r="T816" s="2"/>
      <c r="U816" s="2"/>
      <c r="V816" s="2"/>
      <c r="W816" s="2"/>
      <c r="X816" s="2"/>
      <c r="Y816" s="2"/>
      <c r="Z816" s="2"/>
      <c r="AA816" s="2"/>
      <c r="AB816" s="2"/>
      <c r="AC816" s="2"/>
    </row>
    <row r="817">
      <c r="A817" s="2"/>
      <c r="B817" s="2"/>
      <c r="C817" s="2"/>
      <c r="D817" s="2"/>
      <c r="E817" s="2"/>
      <c r="F817" s="2"/>
      <c r="G817" s="2"/>
      <c r="H817" s="2"/>
      <c r="I817" s="2"/>
      <c r="J817" s="2"/>
      <c r="K817" s="2"/>
      <c r="L817" s="2"/>
      <c r="M817" s="2"/>
      <c r="N817" s="2"/>
      <c r="O817" s="3"/>
      <c r="P817" s="3"/>
      <c r="Q817" s="2"/>
      <c r="R817" s="2"/>
      <c r="S817" s="2"/>
      <c r="T817" s="2"/>
      <c r="U817" s="2"/>
      <c r="V817" s="2"/>
      <c r="W817" s="2"/>
      <c r="X817" s="2"/>
      <c r="Y817" s="2"/>
      <c r="Z817" s="2"/>
      <c r="AA817" s="2"/>
      <c r="AB817" s="2"/>
      <c r="AC817" s="2"/>
    </row>
    <row r="818">
      <c r="A818" s="2"/>
      <c r="B818" s="2"/>
      <c r="C818" s="2"/>
      <c r="D818" s="2"/>
      <c r="E818" s="2"/>
      <c r="F818" s="2"/>
      <c r="G818" s="2"/>
      <c r="H818" s="2"/>
      <c r="I818" s="2"/>
      <c r="J818" s="2"/>
      <c r="K818" s="2"/>
      <c r="L818" s="2"/>
      <c r="M818" s="2"/>
      <c r="N818" s="2"/>
      <c r="O818" s="3"/>
      <c r="P818" s="3"/>
      <c r="Q818" s="2"/>
      <c r="R818" s="2"/>
      <c r="S818" s="2"/>
      <c r="T818" s="2"/>
      <c r="U818" s="2"/>
      <c r="V818" s="2"/>
      <c r="W818" s="2"/>
      <c r="X818" s="2"/>
      <c r="Y818" s="2"/>
      <c r="Z818" s="2"/>
      <c r="AA818" s="2"/>
      <c r="AB818" s="2"/>
      <c r="AC818" s="2"/>
    </row>
    <row r="819">
      <c r="A819" s="2"/>
      <c r="B819" s="2"/>
      <c r="C819" s="2"/>
      <c r="D819" s="2"/>
      <c r="E819" s="2"/>
      <c r="F819" s="2"/>
      <c r="G819" s="2"/>
      <c r="H819" s="2"/>
      <c r="I819" s="2"/>
      <c r="J819" s="2"/>
      <c r="K819" s="2"/>
      <c r="L819" s="2"/>
      <c r="M819" s="2"/>
      <c r="N819" s="2"/>
      <c r="O819" s="3"/>
      <c r="P819" s="3"/>
      <c r="Q819" s="2"/>
      <c r="R819" s="2"/>
      <c r="S819" s="2"/>
      <c r="T819" s="2"/>
      <c r="U819" s="2"/>
      <c r="V819" s="2"/>
      <c r="W819" s="2"/>
      <c r="X819" s="2"/>
      <c r="Y819" s="2"/>
      <c r="Z819" s="2"/>
      <c r="AA819" s="2"/>
      <c r="AB819" s="2"/>
      <c r="AC819" s="2"/>
    </row>
    <row r="820">
      <c r="A820" s="2"/>
      <c r="B820" s="2"/>
      <c r="C820" s="2"/>
      <c r="D820" s="2"/>
      <c r="E820" s="2"/>
      <c r="F820" s="2"/>
      <c r="G820" s="2"/>
      <c r="H820" s="2"/>
      <c r="I820" s="2"/>
      <c r="J820" s="2"/>
      <c r="K820" s="2"/>
      <c r="L820" s="2"/>
      <c r="M820" s="2"/>
      <c r="N820" s="2"/>
      <c r="O820" s="3"/>
      <c r="P820" s="3"/>
      <c r="Q820" s="2"/>
      <c r="R820" s="2"/>
      <c r="S820" s="2"/>
      <c r="T820" s="2"/>
      <c r="U820" s="2"/>
      <c r="V820" s="2"/>
      <c r="W820" s="2"/>
      <c r="X820" s="2"/>
      <c r="Y820" s="2"/>
      <c r="Z820" s="2"/>
      <c r="AA820" s="2"/>
      <c r="AB820" s="2"/>
      <c r="AC820" s="2"/>
    </row>
    <row r="821">
      <c r="A821" s="2"/>
      <c r="B821" s="2"/>
      <c r="C821" s="2"/>
      <c r="D821" s="2"/>
      <c r="E821" s="2"/>
      <c r="F821" s="2"/>
      <c r="G821" s="2"/>
      <c r="H821" s="2"/>
      <c r="I821" s="2"/>
      <c r="J821" s="2"/>
      <c r="K821" s="2"/>
      <c r="L821" s="2"/>
      <c r="M821" s="2"/>
      <c r="N821" s="2"/>
      <c r="O821" s="3"/>
      <c r="P821" s="3"/>
      <c r="Q821" s="2"/>
      <c r="R821" s="2"/>
      <c r="S821" s="2"/>
      <c r="T821" s="2"/>
      <c r="U821" s="2"/>
      <c r="V821" s="2"/>
      <c r="W821" s="2"/>
      <c r="X821" s="2"/>
      <c r="Y821" s="2"/>
      <c r="Z821" s="2"/>
      <c r="AA821" s="2"/>
      <c r="AB821" s="2"/>
      <c r="AC821" s="2"/>
    </row>
    <row r="822">
      <c r="A822" s="2"/>
      <c r="B822" s="2"/>
      <c r="C822" s="2"/>
      <c r="D822" s="2"/>
      <c r="E822" s="2"/>
      <c r="F822" s="2"/>
      <c r="G822" s="2"/>
      <c r="H822" s="2"/>
      <c r="I822" s="2"/>
      <c r="J822" s="2"/>
      <c r="K822" s="2"/>
      <c r="L822" s="2"/>
      <c r="M822" s="2"/>
      <c r="N822" s="2"/>
      <c r="O822" s="3"/>
      <c r="P822" s="3"/>
      <c r="Q822" s="2"/>
      <c r="R822" s="2"/>
      <c r="S822" s="2"/>
      <c r="T822" s="2"/>
      <c r="U822" s="2"/>
      <c r="V822" s="2"/>
      <c r="W822" s="2"/>
      <c r="X822" s="2"/>
      <c r="Y822" s="2"/>
      <c r="Z822" s="2"/>
      <c r="AA822" s="2"/>
      <c r="AB822" s="2"/>
      <c r="AC822" s="2"/>
    </row>
    <row r="823">
      <c r="A823" s="2"/>
      <c r="B823" s="2"/>
      <c r="C823" s="2"/>
      <c r="D823" s="2"/>
      <c r="E823" s="2"/>
      <c r="F823" s="2"/>
      <c r="G823" s="2"/>
      <c r="H823" s="2"/>
      <c r="I823" s="2"/>
      <c r="J823" s="2"/>
      <c r="K823" s="2"/>
      <c r="L823" s="2"/>
      <c r="M823" s="2"/>
      <c r="N823" s="2"/>
      <c r="O823" s="3"/>
      <c r="P823" s="3"/>
      <c r="Q823" s="2"/>
      <c r="R823" s="2"/>
      <c r="S823" s="2"/>
      <c r="T823" s="2"/>
      <c r="U823" s="2"/>
      <c r="V823" s="2"/>
      <c r="W823" s="2"/>
      <c r="X823" s="2"/>
      <c r="Y823" s="2"/>
      <c r="Z823" s="2"/>
      <c r="AA823" s="2"/>
      <c r="AB823" s="2"/>
      <c r="AC823" s="2"/>
    </row>
    <row r="824">
      <c r="A824" s="2"/>
      <c r="B824" s="2"/>
      <c r="C824" s="2"/>
      <c r="D824" s="2"/>
      <c r="E824" s="2"/>
      <c r="F824" s="2"/>
      <c r="G824" s="2"/>
      <c r="H824" s="2"/>
      <c r="I824" s="2"/>
      <c r="J824" s="2"/>
      <c r="K824" s="2"/>
      <c r="L824" s="2"/>
      <c r="M824" s="2"/>
      <c r="N824" s="2"/>
      <c r="O824" s="3"/>
      <c r="P824" s="3"/>
      <c r="Q824" s="2"/>
      <c r="R824" s="2"/>
      <c r="S824" s="2"/>
      <c r="T824" s="2"/>
      <c r="U824" s="2"/>
      <c r="V824" s="2"/>
      <c r="W824" s="2"/>
      <c r="X824" s="2"/>
      <c r="Y824" s="2"/>
      <c r="Z824" s="2"/>
      <c r="AA824" s="2"/>
      <c r="AB824" s="2"/>
      <c r="AC824" s="2"/>
    </row>
    <row r="825">
      <c r="A825" s="2"/>
      <c r="B825" s="2"/>
      <c r="C825" s="2"/>
      <c r="D825" s="2"/>
      <c r="E825" s="2"/>
      <c r="F825" s="2"/>
      <c r="G825" s="2"/>
      <c r="H825" s="2"/>
      <c r="I825" s="2"/>
      <c r="J825" s="2"/>
      <c r="K825" s="2"/>
      <c r="L825" s="2"/>
      <c r="M825" s="2"/>
      <c r="N825" s="2"/>
      <c r="O825" s="3"/>
      <c r="P825" s="3"/>
      <c r="Q825" s="2"/>
      <c r="R825" s="2"/>
      <c r="S825" s="2"/>
      <c r="T825" s="2"/>
      <c r="U825" s="2"/>
      <c r="V825" s="2"/>
      <c r="W825" s="2"/>
      <c r="X825" s="2"/>
      <c r="Y825" s="2"/>
      <c r="Z825" s="2"/>
      <c r="AA825" s="2"/>
      <c r="AB825" s="2"/>
      <c r="AC825" s="2"/>
    </row>
    <row r="826">
      <c r="A826" s="2"/>
      <c r="B826" s="2"/>
      <c r="C826" s="2"/>
      <c r="D826" s="2"/>
      <c r="E826" s="2"/>
      <c r="F826" s="2"/>
      <c r="G826" s="2"/>
      <c r="H826" s="2"/>
      <c r="I826" s="2"/>
      <c r="J826" s="2"/>
      <c r="K826" s="2"/>
      <c r="L826" s="2"/>
      <c r="M826" s="2"/>
      <c r="N826" s="2"/>
      <c r="O826" s="3"/>
      <c r="P826" s="3"/>
      <c r="Q826" s="2"/>
      <c r="R826" s="2"/>
      <c r="S826" s="2"/>
      <c r="T826" s="2"/>
      <c r="U826" s="2"/>
      <c r="V826" s="2"/>
      <c r="W826" s="2"/>
      <c r="X826" s="2"/>
      <c r="Y826" s="2"/>
      <c r="Z826" s="2"/>
      <c r="AA826" s="2"/>
      <c r="AB826" s="2"/>
      <c r="AC826" s="2"/>
    </row>
    <row r="827">
      <c r="A827" s="2"/>
      <c r="B827" s="2"/>
      <c r="C827" s="2"/>
      <c r="D827" s="2"/>
      <c r="E827" s="2"/>
      <c r="F827" s="2"/>
      <c r="G827" s="2"/>
      <c r="H827" s="2"/>
      <c r="I827" s="2"/>
      <c r="J827" s="2"/>
      <c r="K827" s="2"/>
      <c r="L827" s="2"/>
      <c r="M827" s="2"/>
      <c r="N827" s="2"/>
      <c r="O827" s="3"/>
      <c r="P827" s="3"/>
      <c r="Q827" s="2"/>
      <c r="R827" s="2"/>
      <c r="S827" s="2"/>
      <c r="T827" s="2"/>
      <c r="U827" s="2"/>
      <c r="V827" s="2"/>
      <c r="W827" s="2"/>
      <c r="X827" s="2"/>
      <c r="Y827" s="2"/>
      <c r="Z827" s="2"/>
      <c r="AA827" s="2"/>
      <c r="AB827" s="2"/>
      <c r="AC827" s="2"/>
    </row>
    <row r="828">
      <c r="A828" s="2"/>
      <c r="B828" s="2"/>
      <c r="C828" s="2"/>
      <c r="D828" s="2"/>
      <c r="E828" s="2"/>
      <c r="F828" s="2"/>
      <c r="G828" s="2"/>
      <c r="H828" s="2"/>
      <c r="I828" s="2"/>
      <c r="J828" s="2"/>
      <c r="K828" s="2"/>
      <c r="L828" s="2"/>
      <c r="M828" s="2"/>
      <c r="N828" s="2"/>
      <c r="O828" s="3"/>
      <c r="P828" s="3"/>
      <c r="Q828" s="2"/>
      <c r="R828" s="2"/>
      <c r="S828" s="2"/>
      <c r="T828" s="2"/>
      <c r="U828" s="2"/>
      <c r="V828" s="2"/>
      <c r="W828" s="2"/>
      <c r="X828" s="2"/>
      <c r="Y828" s="2"/>
      <c r="Z828" s="2"/>
      <c r="AA828" s="2"/>
      <c r="AB828" s="2"/>
      <c r="AC828" s="2"/>
    </row>
    <row r="829">
      <c r="A829" s="2"/>
      <c r="B829" s="2"/>
      <c r="C829" s="2"/>
      <c r="D829" s="2"/>
      <c r="E829" s="2"/>
      <c r="F829" s="2"/>
      <c r="G829" s="2"/>
      <c r="H829" s="2"/>
      <c r="I829" s="2"/>
      <c r="J829" s="2"/>
      <c r="K829" s="2"/>
      <c r="L829" s="2"/>
      <c r="M829" s="2"/>
      <c r="N829" s="2"/>
      <c r="O829" s="3"/>
      <c r="P829" s="3"/>
      <c r="Q829" s="2"/>
      <c r="R829" s="2"/>
      <c r="S829" s="2"/>
      <c r="T829" s="2"/>
      <c r="U829" s="2"/>
      <c r="V829" s="2"/>
      <c r="W829" s="2"/>
      <c r="X829" s="2"/>
      <c r="Y829" s="2"/>
      <c r="Z829" s="2"/>
      <c r="AA829" s="2"/>
      <c r="AB829" s="2"/>
      <c r="AC829" s="2"/>
    </row>
    <row r="830">
      <c r="A830" s="2"/>
      <c r="B830" s="2"/>
      <c r="C830" s="2"/>
      <c r="D830" s="2"/>
      <c r="E830" s="2"/>
      <c r="F830" s="2"/>
      <c r="G830" s="2"/>
      <c r="H830" s="2"/>
      <c r="I830" s="2"/>
      <c r="J830" s="2"/>
      <c r="K830" s="2"/>
      <c r="L830" s="2"/>
      <c r="M830" s="2"/>
      <c r="N830" s="2"/>
      <c r="O830" s="3"/>
      <c r="P830" s="3"/>
      <c r="Q830" s="2"/>
      <c r="R830" s="2"/>
      <c r="S830" s="2"/>
      <c r="T830" s="2"/>
      <c r="U830" s="2"/>
      <c r="V830" s="2"/>
      <c r="W830" s="2"/>
      <c r="X830" s="2"/>
      <c r="Y830" s="2"/>
      <c r="Z830" s="2"/>
      <c r="AA830" s="2"/>
      <c r="AB830" s="2"/>
      <c r="AC830" s="2"/>
    </row>
    <row r="831">
      <c r="A831" s="2"/>
      <c r="B831" s="2"/>
      <c r="C831" s="2"/>
      <c r="D831" s="2"/>
      <c r="E831" s="2"/>
      <c r="F831" s="2"/>
      <c r="G831" s="2"/>
      <c r="H831" s="2"/>
      <c r="I831" s="2"/>
      <c r="J831" s="2"/>
      <c r="K831" s="2"/>
      <c r="L831" s="2"/>
      <c r="M831" s="2"/>
      <c r="N831" s="2"/>
      <c r="O831" s="3"/>
      <c r="P831" s="3"/>
      <c r="Q831" s="2"/>
      <c r="R831" s="2"/>
      <c r="S831" s="2"/>
      <c r="T831" s="2"/>
      <c r="U831" s="2"/>
      <c r="V831" s="2"/>
      <c r="W831" s="2"/>
      <c r="X831" s="2"/>
      <c r="Y831" s="2"/>
      <c r="Z831" s="2"/>
      <c r="AA831" s="2"/>
      <c r="AB831" s="2"/>
      <c r="AC831" s="2"/>
    </row>
    <row r="832">
      <c r="A832" s="2"/>
      <c r="B832" s="2"/>
      <c r="C832" s="2"/>
      <c r="D832" s="2"/>
      <c r="E832" s="2"/>
      <c r="F832" s="2"/>
      <c r="G832" s="2"/>
      <c r="H832" s="2"/>
      <c r="I832" s="2"/>
      <c r="J832" s="2"/>
      <c r="K832" s="2"/>
      <c r="L832" s="2"/>
      <c r="M832" s="2"/>
      <c r="N832" s="2"/>
      <c r="O832" s="3"/>
      <c r="P832" s="3"/>
      <c r="Q832" s="2"/>
      <c r="R832" s="2"/>
      <c r="S832" s="2"/>
      <c r="T832" s="2"/>
      <c r="U832" s="2"/>
      <c r="V832" s="2"/>
      <c r="W832" s="2"/>
      <c r="X832" s="2"/>
      <c r="Y832" s="2"/>
      <c r="Z832" s="2"/>
      <c r="AA832" s="2"/>
      <c r="AB832" s="2"/>
      <c r="AC832" s="2"/>
    </row>
    <row r="833">
      <c r="A833" s="2"/>
      <c r="B833" s="2"/>
      <c r="C833" s="2"/>
      <c r="D833" s="2"/>
      <c r="E833" s="2"/>
      <c r="F833" s="2"/>
      <c r="G833" s="2"/>
      <c r="H833" s="2"/>
      <c r="I833" s="2"/>
      <c r="J833" s="2"/>
      <c r="K833" s="2"/>
      <c r="L833" s="2"/>
      <c r="M833" s="2"/>
      <c r="N833" s="2"/>
      <c r="O833" s="3"/>
      <c r="P833" s="3"/>
      <c r="Q833" s="2"/>
      <c r="R833" s="2"/>
      <c r="S833" s="2"/>
      <c r="T833" s="2"/>
      <c r="U833" s="2"/>
      <c r="V833" s="2"/>
      <c r="W833" s="2"/>
      <c r="X833" s="2"/>
      <c r="Y833" s="2"/>
      <c r="Z833" s="2"/>
      <c r="AA833" s="2"/>
      <c r="AB833" s="2"/>
      <c r="AC833" s="2"/>
    </row>
    <row r="834">
      <c r="A834" s="2"/>
      <c r="B834" s="2"/>
      <c r="C834" s="2"/>
      <c r="D834" s="2"/>
      <c r="E834" s="2"/>
      <c r="F834" s="2"/>
      <c r="G834" s="2"/>
      <c r="H834" s="2"/>
      <c r="I834" s="2"/>
      <c r="J834" s="2"/>
      <c r="K834" s="2"/>
      <c r="L834" s="2"/>
      <c r="M834" s="2"/>
      <c r="N834" s="2"/>
      <c r="O834" s="3"/>
      <c r="P834" s="3"/>
      <c r="Q834" s="2"/>
      <c r="R834" s="2"/>
      <c r="S834" s="2"/>
      <c r="T834" s="2"/>
      <c r="U834" s="2"/>
      <c r="V834" s="2"/>
      <c r="W834" s="2"/>
      <c r="X834" s="2"/>
      <c r="Y834" s="2"/>
      <c r="Z834" s="2"/>
      <c r="AA834" s="2"/>
      <c r="AB834" s="2"/>
      <c r="AC834" s="2"/>
    </row>
    <row r="835">
      <c r="A835" s="2"/>
      <c r="B835" s="2"/>
      <c r="C835" s="2"/>
      <c r="D835" s="2"/>
      <c r="E835" s="2"/>
      <c r="F835" s="2"/>
      <c r="G835" s="2"/>
      <c r="H835" s="2"/>
      <c r="I835" s="2"/>
      <c r="J835" s="2"/>
      <c r="K835" s="2"/>
      <c r="L835" s="2"/>
      <c r="M835" s="2"/>
      <c r="N835" s="2"/>
      <c r="O835" s="3"/>
      <c r="P835" s="3"/>
      <c r="Q835" s="2"/>
      <c r="R835" s="2"/>
      <c r="S835" s="2"/>
      <c r="T835" s="2"/>
      <c r="U835" s="2"/>
      <c r="V835" s="2"/>
      <c r="W835" s="2"/>
      <c r="X835" s="2"/>
      <c r="Y835" s="2"/>
      <c r="Z835" s="2"/>
      <c r="AA835" s="2"/>
      <c r="AB835" s="2"/>
      <c r="AC835" s="2"/>
    </row>
    <row r="836">
      <c r="A836" s="2"/>
      <c r="B836" s="2"/>
      <c r="C836" s="2"/>
      <c r="D836" s="2"/>
      <c r="E836" s="2"/>
      <c r="F836" s="2"/>
      <c r="G836" s="2"/>
      <c r="H836" s="2"/>
      <c r="I836" s="2"/>
      <c r="J836" s="2"/>
      <c r="K836" s="2"/>
      <c r="L836" s="2"/>
      <c r="M836" s="2"/>
      <c r="N836" s="2"/>
      <c r="O836" s="3"/>
      <c r="P836" s="3"/>
      <c r="Q836" s="2"/>
      <c r="R836" s="2"/>
      <c r="S836" s="2"/>
      <c r="T836" s="2"/>
      <c r="U836" s="2"/>
      <c r="V836" s="2"/>
      <c r="W836" s="2"/>
      <c r="X836" s="2"/>
      <c r="Y836" s="2"/>
      <c r="Z836" s="2"/>
      <c r="AA836" s="2"/>
      <c r="AB836" s="2"/>
      <c r="AC836" s="2"/>
    </row>
    <row r="837">
      <c r="A837" s="2"/>
      <c r="B837" s="2"/>
      <c r="C837" s="2"/>
      <c r="D837" s="2"/>
      <c r="E837" s="2"/>
      <c r="F837" s="2"/>
      <c r="G837" s="2"/>
      <c r="H837" s="2"/>
      <c r="I837" s="2"/>
      <c r="J837" s="2"/>
      <c r="K837" s="2"/>
      <c r="L837" s="2"/>
      <c r="M837" s="2"/>
      <c r="N837" s="2"/>
      <c r="O837" s="3"/>
      <c r="P837" s="3"/>
      <c r="Q837" s="2"/>
      <c r="R837" s="2"/>
      <c r="S837" s="2"/>
      <c r="T837" s="2"/>
      <c r="U837" s="2"/>
      <c r="V837" s="2"/>
      <c r="W837" s="2"/>
      <c r="X837" s="2"/>
      <c r="Y837" s="2"/>
      <c r="Z837" s="2"/>
      <c r="AA837" s="2"/>
      <c r="AB837" s="2"/>
      <c r="AC837" s="2"/>
    </row>
    <row r="838">
      <c r="A838" s="2"/>
      <c r="B838" s="2"/>
      <c r="C838" s="2"/>
      <c r="D838" s="2"/>
      <c r="E838" s="2"/>
      <c r="F838" s="2"/>
      <c r="G838" s="2"/>
      <c r="H838" s="2"/>
      <c r="I838" s="2"/>
      <c r="J838" s="2"/>
      <c r="K838" s="2"/>
      <c r="L838" s="2"/>
      <c r="M838" s="2"/>
      <c r="N838" s="2"/>
      <c r="O838" s="3"/>
      <c r="P838" s="3"/>
      <c r="Q838" s="2"/>
      <c r="R838" s="2"/>
      <c r="S838" s="2"/>
      <c r="T838" s="2"/>
      <c r="U838" s="2"/>
      <c r="V838" s="2"/>
      <c r="W838" s="2"/>
      <c r="X838" s="2"/>
      <c r="Y838" s="2"/>
      <c r="Z838" s="2"/>
      <c r="AA838" s="2"/>
      <c r="AB838" s="2"/>
      <c r="AC838" s="2"/>
    </row>
    <row r="839">
      <c r="A839" s="2"/>
      <c r="B839" s="2"/>
      <c r="C839" s="2"/>
      <c r="D839" s="2"/>
      <c r="E839" s="2"/>
      <c r="F839" s="2"/>
      <c r="G839" s="2"/>
      <c r="H839" s="2"/>
      <c r="I839" s="2"/>
      <c r="J839" s="2"/>
      <c r="K839" s="2"/>
      <c r="L839" s="2"/>
      <c r="M839" s="2"/>
      <c r="N839" s="2"/>
      <c r="O839" s="3"/>
      <c r="P839" s="3"/>
      <c r="Q839" s="2"/>
      <c r="R839" s="2"/>
      <c r="S839" s="2"/>
      <c r="T839" s="2"/>
      <c r="U839" s="2"/>
      <c r="V839" s="2"/>
      <c r="W839" s="2"/>
      <c r="X839" s="2"/>
      <c r="Y839" s="2"/>
      <c r="Z839" s="2"/>
      <c r="AA839" s="2"/>
      <c r="AB839" s="2"/>
      <c r="AC839" s="2"/>
    </row>
    <row r="840">
      <c r="A840" s="2"/>
      <c r="B840" s="2"/>
      <c r="C840" s="2"/>
      <c r="D840" s="2"/>
      <c r="E840" s="2"/>
      <c r="F840" s="2"/>
      <c r="G840" s="2"/>
      <c r="H840" s="2"/>
      <c r="I840" s="2"/>
      <c r="J840" s="2"/>
      <c r="K840" s="2"/>
      <c r="L840" s="2"/>
      <c r="M840" s="2"/>
      <c r="N840" s="2"/>
      <c r="O840" s="3"/>
      <c r="P840" s="3"/>
      <c r="Q840" s="2"/>
      <c r="R840" s="2"/>
      <c r="S840" s="2"/>
      <c r="T840" s="2"/>
      <c r="U840" s="2"/>
      <c r="V840" s="2"/>
      <c r="W840" s="2"/>
      <c r="X840" s="2"/>
      <c r="Y840" s="2"/>
      <c r="Z840" s="2"/>
      <c r="AA840" s="2"/>
      <c r="AB840" s="2"/>
      <c r="AC840" s="2"/>
    </row>
    <row r="841">
      <c r="A841" s="2"/>
      <c r="B841" s="2"/>
      <c r="C841" s="2"/>
      <c r="D841" s="2"/>
      <c r="E841" s="2"/>
      <c r="F841" s="2"/>
      <c r="G841" s="2"/>
      <c r="H841" s="2"/>
      <c r="I841" s="2"/>
      <c r="J841" s="2"/>
      <c r="K841" s="2"/>
      <c r="L841" s="2"/>
      <c r="M841" s="2"/>
      <c r="N841" s="2"/>
      <c r="O841" s="3"/>
      <c r="P841" s="3"/>
      <c r="Q841" s="2"/>
      <c r="R841" s="2"/>
      <c r="S841" s="2"/>
      <c r="T841" s="2"/>
      <c r="U841" s="2"/>
      <c r="V841" s="2"/>
      <c r="W841" s="2"/>
      <c r="X841" s="2"/>
      <c r="Y841" s="2"/>
      <c r="Z841" s="2"/>
      <c r="AA841" s="2"/>
      <c r="AB841" s="2"/>
      <c r="AC841" s="2"/>
    </row>
    <row r="842">
      <c r="A842" s="2"/>
      <c r="B842" s="2"/>
      <c r="C842" s="2"/>
      <c r="D842" s="2"/>
      <c r="E842" s="2"/>
      <c r="F842" s="2"/>
      <c r="G842" s="2"/>
      <c r="H842" s="2"/>
      <c r="I842" s="2"/>
      <c r="J842" s="2"/>
      <c r="K842" s="2"/>
      <c r="L842" s="2"/>
      <c r="M842" s="2"/>
      <c r="N842" s="2"/>
      <c r="O842" s="3"/>
      <c r="P842" s="3"/>
      <c r="Q842" s="2"/>
      <c r="R842" s="2"/>
      <c r="S842" s="2"/>
      <c r="T842" s="2"/>
      <c r="U842" s="2"/>
      <c r="V842" s="2"/>
      <c r="W842" s="2"/>
      <c r="X842" s="2"/>
      <c r="Y842" s="2"/>
      <c r="Z842" s="2"/>
      <c r="AA842" s="2"/>
      <c r="AB842" s="2"/>
      <c r="AC842" s="2"/>
    </row>
    <row r="843">
      <c r="A843" s="2"/>
      <c r="B843" s="2"/>
      <c r="C843" s="2"/>
      <c r="D843" s="2"/>
      <c r="E843" s="2"/>
      <c r="F843" s="2"/>
      <c r="G843" s="2"/>
      <c r="H843" s="2"/>
      <c r="I843" s="2"/>
      <c r="J843" s="2"/>
      <c r="K843" s="2"/>
      <c r="L843" s="2"/>
      <c r="M843" s="2"/>
      <c r="N843" s="2"/>
      <c r="O843" s="3"/>
      <c r="P843" s="3"/>
      <c r="Q843" s="2"/>
      <c r="R843" s="2"/>
      <c r="S843" s="2"/>
      <c r="T843" s="2"/>
      <c r="U843" s="2"/>
      <c r="V843" s="2"/>
      <c r="W843" s="2"/>
      <c r="X843" s="2"/>
      <c r="Y843" s="2"/>
      <c r="Z843" s="2"/>
      <c r="AA843" s="2"/>
      <c r="AB843" s="2"/>
      <c r="AC843" s="2"/>
    </row>
    <row r="844">
      <c r="A844" s="2"/>
      <c r="B844" s="2"/>
      <c r="C844" s="2"/>
      <c r="D844" s="2"/>
      <c r="E844" s="2"/>
      <c r="F844" s="2"/>
      <c r="G844" s="2"/>
      <c r="H844" s="2"/>
      <c r="I844" s="2"/>
      <c r="J844" s="2"/>
      <c r="K844" s="2"/>
      <c r="L844" s="2"/>
      <c r="M844" s="2"/>
      <c r="N844" s="2"/>
      <c r="O844" s="3"/>
      <c r="P844" s="3"/>
      <c r="Q844" s="2"/>
      <c r="R844" s="2"/>
      <c r="S844" s="2"/>
      <c r="T844" s="2"/>
      <c r="U844" s="2"/>
      <c r="V844" s="2"/>
      <c r="W844" s="2"/>
      <c r="X844" s="2"/>
      <c r="Y844" s="2"/>
      <c r="Z844" s="2"/>
      <c r="AA844" s="2"/>
      <c r="AB844" s="2"/>
      <c r="AC844" s="2"/>
    </row>
    <row r="845">
      <c r="A845" s="2"/>
      <c r="B845" s="2"/>
      <c r="C845" s="2"/>
      <c r="D845" s="2"/>
      <c r="E845" s="2"/>
      <c r="F845" s="2"/>
      <c r="G845" s="2"/>
      <c r="H845" s="2"/>
      <c r="I845" s="2"/>
      <c r="J845" s="2"/>
      <c r="K845" s="2"/>
      <c r="L845" s="2"/>
      <c r="M845" s="2"/>
      <c r="N845" s="2"/>
      <c r="O845" s="3"/>
      <c r="P845" s="3"/>
      <c r="Q845" s="2"/>
      <c r="R845" s="2"/>
      <c r="S845" s="2"/>
      <c r="T845" s="2"/>
      <c r="U845" s="2"/>
      <c r="V845" s="2"/>
      <c r="W845" s="2"/>
      <c r="X845" s="2"/>
      <c r="Y845" s="2"/>
      <c r="Z845" s="2"/>
      <c r="AA845" s="2"/>
      <c r="AB845" s="2"/>
      <c r="AC845" s="2"/>
    </row>
    <row r="846">
      <c r="A846" s="2"/>
      <c r="B846" s="2"/>
      <c r="C846" s="2"/>
      <c r="D846" s="2"/>
      <c r="E846" s="2"/>
      <c r="F846" s="2"/>
      <c r="G846" s="2"/>
      <c r="H846" s="2"/>
      <c r="I846" s="2"/>
      <c r="J846" s="2"/>
      <c r="K846" s="2"/>
      <c r="L846" s="2"/>
      <c r="M846" s="2"/>
      <c r="N846" s="2"/>
      <c r="O846" s="3"/>
      <c r="P846" s="3"/>
      <c r="Q846" s="2"/>
      <c r="R846" s="2"/>
      <c r="S846" s="2"/>
      <c r="T846" s="2"/>
      <c r="U846" s="2"/>
      <c r="V846" s="2"/>
      <c r="W846" s="2"/>
      <c r="X846" s="2"/>
      <c r="Y846" s="2"/>
      <c r="Z846" s="2"/>
      <c r="AA846" s="2"/>
      <c r="AB846" s="2"/>
      <c r="AC846" s="2"/>
    </row>
    <row r="847">
      <c r="A847" s="2"/>
      <c r="B847" s="2"/>
      <c r="C847" s="2"/>
      <c r="D847" s="2"/>
      <c r="E847" s="2"/>
      <c r="F847" s="2"/>
      <c r="G847" s="2"/>
      <c r="H847" s="2"/>
      <c r="I847" s="2"/>
      <c r="J847" s="2"/>
      <c r="K847" s="2"/>
      <c r="L847" s="2"/>
      <c r="M847" s="2"/>
      <c r="N847" s="2"/>
      <c r="O847" s="3"/>
      <c r="P847" s="3"/>
      <c r="Q847" s="2"/>
      <c r="R847" s="2"/>
      <c r="S847" s="2"/>
      <c r="T847" s="2"/>
      <c r="U847" s="2"/>
      <c r="V847" s="2"/>
      <c r="W847" s="2"/>
      <c r="X847" s="2"/>
      <c r="Y847" s="2"/>
      <c r="Z847" s="2"/>
      <c r="AA847" s="2"/>
      <c r="AB847" s="2"/>
      <c r="AC847" s="2"/>
    </row>
    <row r="848">
      <c r="A848" s="2"/>
      <c r="B848" s="2"/>
      <c r="C848" s="2"/>
      <c r="D848" s="2"/>
      <c r="E848" s="2"/>
      <c r="F848" s="2"/>
      <c r="G848" s="2"/>
      <c r="H848" s="2"/>
      <c r="I848" s="2"/>
      <c r="J848" s="2"/>
      <c r="K848" s="2"/>
      <c r="L848" s="2"/>
      <c r="M848" s="2"/>
      <c r="N848" s="2"/>
      <c r="O848" s="3"/>
      <c r="P848" s="3"/>
      <c r="Q848" s="2"/>
      <c r="R848" s="2"/>
      <c r="S848" s="2"/>
      <c r="T848" s="2"/>
      <c r="U848" s="2"/>
      <c r="V848" s="2"/>
      <c r="W848" s="2"/>
      <c r="X848" s="2"/>
      <c r="Y848" s="2"/>
      <c r="Z848" s="2"/>
      <c r="AA848" s="2"/>
      <c r="AB848" s="2"/>
      <c r="AC848" s="2"/>
    </row>
    <row r="849">
      <c r="A849" s="2"/>
      <c r="B849" s="2"/>
      <c r="C849" s="2"/>
      <c r="D849" s="2"/>
      <c r="E849" s="2"/>
      <c r="F849" s="2"/>
      <c r="G849" s="2"/>
      <c r="H849" s="2"/>
      <c r="I849" s="2"/>
      <c r="J849" s="2"/>
      <c r="K849" s="2"/>
      <c r="L849" s="2"/>
      <c r="M849" s="2"/>
      <c r="N849" s="2"/>
      <c r="O849" s="3"/>
      <c r="P849" s="3"/>
      <c r="Q849" s="2"/>
      <c r="R849" s="2"/>
      <c r="S849" s="2"/>
      <c r="T849" s="2"/>
      <c r="U849" s="2"/>
      <c r="V849" s="2"/>
      <c r="W849" s="2"/>
      <c r="X849" s="2"/>
      <c r="Y849" s="2"/>
      <c r="Z849" s="2"/>
      <c r="AA849" s="2"/>
      <c r="AB849" s="2"/>
      <c r="AC849" s="2"/>
    </row>
    <row r="850">
      <c r="A850" s="2"/>
      <c r="B850" s="2"/>
      <c r="C850" s="2"/>
      <c r="D850" s="2"/>
      <c r="E850" s="2"/>
      <c r="F850" s="2"/>
      <c r="G850" s="2"/>
      <c r="H850" s="2"/>
      <c r="I850" s="2"/>
      <c r="J850" s="2"/>
      <c r="K850" s="2"/>
      <c r="L850" s="2"/>
      <c r="M850" s="2"/>
      <c r="N850" s="2"/>
      <c r="O850" s="3"/>
      <c r="P850" s="3"/>
      <c r="Q850" s="2"/>
      <c r="R850" s="2"/>
      <c r="S850" s="2"/>
      <c r="T850" s="2"/>
      <c r="U850" s="2"/>
      <c r="V850" s="2"/>
      <c r="W850" s="2"/>
      <c r="X850" s="2"/>
      <c r="Y850" s="2"/>
      <c r="Z850" s="2"/>
      <c r="AA850" s="2"/>
      <c r="AB850" s="2"/>
      <c r="AC850" s="2"/>
    </row>
    <row r="851">
      <c r="A851" s="2"/>
      <c r="B851" s="2"/>
      <c r="C851" s="2"/>
      <c r="D851" s="2"/>
      <c r="E851" s="2"/>
      <c r="F851" s="2"/>
      <c r="G851" s="2"/>
      <c r="H851" s="2"/>
      <c r="I851" s="2"/>
      <c r="J851" s="2"/>
      <c r="K851" s="2"/>
      <c r="L851" s="2"/>
      <c r="M851" s="2"/>
      <c r="N851" s="2"/>
      <c r="O851" s="3"/>
      <c r="P851" s="3"/>
      <c r="Q851" s="2"/>
      <c r="R851" s="2"/>
      <c r="S851" s="2"/>
      <c r="T851" s="2"/>
      <c r="U851" s="2"/>
      <c r="V851" s="2"/>
      <c r="W851" s="2"/>
      <c r="X851" s="2"/>
      <c r="Y851" s="2"/>
      <c r="Z851" s="2"/>
      <c r="AA851" s="2"/>
      <c r="AB851" s="2"/>
      <c r="AC851" s="2"/>
    </row>
    <row r="852">
      <c r="A852" s="2"/>
      <c r="B852" s="2"/>
      <c r="C852" s="2"/>
      <c r="D852" s="2"/>
      <c r="E852" s="2"/>
      <c r="F852" s="2"/>
      <c r="G852" s="2"/>
      <c r="H852" s="2"/>
      <c r="I852" s="2"/>
      <c r="J852" s="2"/>
      <c r="K852" s="2"/>
      <c r="L852" s="2"/>
      <c r="M852" s="2"/>
      <c r="N852" s="2"/>
      <c r="O852" s="3"/>
      <c r="P852" s="3"/>
      <c r="Q852" s="2"/>
      <c r="R852" s="2"/>
      <c r="S852" s="2"/>
      <c r="T852" s="2"/>
      <c r="U852" s="2"/>
      <c r="V852" s="2"/>
      <c r="W852" s="2"/>
      <c r="X852" s="2"/>
      <c r="Y852" s="2"/>
      <c r="Z852" s="2"/>
      <c r="AA852" s="2"/>
      <c r="AB852" s="2"/>
      <c r="AC852" s="2"/>
    </row>
    <row r="853">
      <c r="A853" s="2"/>
      <c r="B853" s="2"/>
      <c r="C853" s="2"/>
      <c r="D853" s="2"/>
      <c r="E853" s="2"/>
      <c r="F853" s="2"/>
      <c r="G853" s="2"/>
      <c r="H853" s="2"/>
      <c r="I853" s="2"/>
      <c r="J853" s="2"/>
      <c r="K853" s="2"/>
      <c r="L853" s="2"/>
      <c r="M853" s="2"/>
      <c r="N853" s="2"/>
      <c r="O853" s="3"/>
      <c r="P853" s="3"/>
      <c r="Q853" s="2"/>
      <c r="R853" s="2"/>
      <c r="S853" s="2"/>
      <c r="T853" s="2"/>
      <c r="U853" s="2"/>
      <c r="V853" s="2"/>
      <c r="W853" s="2"/>
      <c r="X853" s="2"/>
      <c r="Y853" s="2"/>
      <c r="Z853" s="2"/>
      <c r="AA853" s="2"/>
      <c r="AB853" s="2"/>
      <c r="AC853" s="2"/>
    </row>
    <row r="854">
      <c r="A854" s="2"/>
      <c r="B854" s="2"/>
      <c r="C854" s="2"/>
      <c r="D854" s="2"/>
      <c r="E854" s="2"/>
      <c r="F854" s="2"/>
      <c r="G854" s="2"/>
      <c r="H854" s="2"/>
      <c r="I854" s="2"/>
      <c r="J854" s="2"/>
      <c r="K854" s="2"/>
      <c r="L854" s="2"/>
      <c r="M854" s="2"/>
      <c r="N854" s="2"/>
      <c r="O854" s="3"/>
      <c r="P854" s="3"/>
      <c r="Q854" s="2"/>
      <c r="R854" s="2"/>
      <c r="S854" s="2"/>
      <c r="T854" s="2"/>
      <c r="U854" s="2"/>
      <c r="V854" s="2"/>
      <c r="W854" s="2"/>
      <c r="X854" s="2"/>
      <c r="Y854" s="2"/>
      <c r="Z854" s="2"/>
      <c r="AA854" s="2"/>
      <c r="AB854" s="2"/>
      <c r="AC854" s="2"/>
    </row>
    <row r="855">
      <c r="A855" s="2"/>
      <c r="B855" s="2"/>
      <c r="C855" s="2"/>
      <c r="D855" s="2"/>
      <c r="E855" s="2"/>
      <c r="F855" s="2"/>
      <c r="G855" s="2"/>
      <c r="H855" s="2"/>
      <c r="I855" s="2"/>
      <c r="J855" s="2"/>
      <c r="K855" s="2"/>
      <c r="L855" s="2"/>
      <c r="M855" s="2"/>
      <c r="N855" s="2"/>
      <c r="O855" s="3"/>
      <c r="P855" s="3"/>
      <c r="Q855" s="2"/>
      <c r="R855" s="2"/>
      <c r="S855" s="2"/>
      <c r="T855" s="2"/>
      <c r="U855" s="2"/>
      <c r="V855" s="2"/>
      <c r="W855" s="2"/>
      <c r="X855" s="2"/>
      <c r="Y855" s="2"/>
      <c r="Z855" s="2"/>
      <c r="AA855" s="2"/>
      <c r="AB855" s="2"/>
      <c r="AC855" s="2"/>
    </row>
    <row r="856">
      <c r="A856" s="2"/>
      <c r="B856" s="2"/>
      <c r="C856" s="2"/>
      <c r="D856" s="2"/>
      <c r="E856" s="2"/>
      <c r="F856" s="2"/>
      <c r="G856" s="2"/>
      <c r="H856" s="2"/>
      <c r="I856" s="2"/>
      <c r="J856" s="2"/>
      <c r="K856" s="2"/>
      <c r="L856" s="2"/>
      <c r="M856" s="2"/>
      <c r="N856" s="2"/>
      <c r="O856" s="3"/>
      <c r="P856" s="3"/>
      <c r="Q856" s="2"/>
      <c r="R856" s="2"/>
      <c r="S856" s="2"/>
      <c r="T856" s="2"/>
      <c r="U856" s="2"/>
      <c r="V856" s="2"/>
      <c r="W856" s="2"/>
      <c r="X856" s="2"/>
      <c r="Y856" s="2"/>
      <c r="Z856" s="2"/>
      <c r="AA856" s="2"/>
      <c r="AB856" s="2"/>
      <c r="AC856" s="2"/>
    </row>
    <row r="857">
      <c r="A857" s="2"/>
      <c r="B857" s="2"/>
      <c r="C857" s="2"/>
      <c r="D857" s="2"/>
      <c r="E857" s="2"/>
      <c r="F857" s="2"/>
      <c r="G857" s="2"/>
      <c r="H857" s="2"/>
      <c r="I857" s="2"/>
      <c r="J857" s="2"/>
      <c r="K857" s="2"/>
      <c r="L857" s="2"/>
      <c r="M857" s="2"/>
      <c r="N857" s="2"/>
      <c r="O857" s="3"/>
      <c r="P857" s="3"/>
      <c r="Q857" s="2"/>
      <c r="R857" s="2"/>
      <c r="S857" s="2"/>
      <c r="T857" s="2"/>
      <c r="U857" s="2"/>
      <c r="V857" s="2"/>
      <c r="W857" s="2"/>
      <c r="X857" s="2"/>
      <c r="Y857" s="2"/>
      <c r="Z857" s="2"/>
      <c r="AA857" s="2"/>
      <c r="AB857" s="2"/>
      <c r="AC857" s="2"/>
    </row>
    <row r="858">
      <c r="A858" s="2"/>
      <c r="B858" s="2"/>
      <c r="C858" s="2"/>
      <c r="D858" s="2"/>
      <c r="E858" s="2"/>
      <c r="F858" s="2"/>
      <c r="G858" s="2"/>
      <c r="H858" s="2"/>
      <c r="I858" s="2"/>
      <c r="J858" s="2"/>
      <c r="K858" s="2"/>
      <c r="L858" s="2"/>
      <c r="M858" s="2"/>
      <c r="N858" s="2"/>
      <c r="O858" s="3"/>
      <c r="P858" s="3"/>
      <c r="Q858" s="2"/>
      <c r="R858" s="2"/>
      <c r="S858" s="2"/>
      <c r="T858" s="2"/>
      <c r="U858" s="2"/>
      <c r="V858" s="2"/>
      <c r="W858" s="2"/>
      <c r="X858" s="2"/>
      <c r="Y858" s="2"/>
      <c r="Z858" s="2"/>
      <c r="AA858" s="2"/>
      <c r="AB858" s="2"/>
      <c r="AC858" s="2"/>
    </row>
    <row r="859">
      <c r="A859" s="2"/>
      <c r="B859" s="2"/>
      <c r="C859" s="2"/>
      <c r="D859" s="2"/>
      <c r="E859" s="2"/>
      <c r="F859" s="2"/>
      <c r="G859" s="2"/>
      <c r="H859" s="2"/>
      <c r="I859" s="2"/>
      <c r="J859" s="2"/>
      <c r="K859" s="2"/>
      <c r="L859" s="2"/>
      <c r="M859" s="2"/>
      <c r="N859" s="2"/>
      <c r="O859" s="3"/>
      <c r="P859" s="3"/>
      <c r="Q859" s="2"/>
      <c r="R859" s="2"/>
      <c r="S859" s="2"/>
      <c r="T859" s="2"/>
      <c r="U859" s="2"/>
      <c r="V859" s="2"/>
      <c r="W859" s="2"/>
      <c r="X859" s="2"/>
      <c r="Y859" s="2"/>
      <c r="Z859" s="2"/>
      <c r="AA859" s="2"/>
      <c r="AB859" s="2"/>
      <c r="AC859" s="2"/>
    </row>
    <row r="860">
      <c r="A860" s="2"/>
      <c r="B860" s="2"/>
      <c r="C860" s="2"/>
      <c r="D860" s="2"/>
      <c r="E860" s="2"/>
      <c r="F860" s="2"/>
      <c r="G860" s="2"/>
      <c r="H860" s="2"/>
      <c r="I860" s="2"/>
      <c r="J860" s="2"/>
      <c r="K860" s="2"/>
      <c r="L860" s="2"/>
      <c r="M860" s="2"/>
      <c r="N860" s="2"/>
      <c r="O860" s="3"/>
      <c r="P860" s="3"/>
      <c r="Q860" s="2"/>
      <c r="R860" s="2"/>
      <c r="S860" s="2"/>
      <c r="T860" s="2"/>
      <c r="U860" s="2"/>
      <c r="V860" s="2"/>
      <c r="W860" s="2"/>
      <c r="X860" s="2"/>
      <c r="Y860" s="2"/>
      <c r="Z860" s="2"/>
      <c r="AA860" s="2"/>
      <c r="AB860" s="2"/>
      <c r="AC860" s="2"/>
    </row>
    <row r="861">
      <c r="A861" s="2"/>
      <c r="B861" s="2"/>
      <c r="C861" s="2"/>
      <c r="D861" s="2"/>
      <c r="E861" s="2"/>
      <c r="F861" s="2"/>
      <c r="G861" s="2"/>
      <c r="H861" s="2"/>
      <c r="I861" s="2"/>
      <c r="J861" s="2"/>
      <c r="K861" s="2"/>
      <c r="L861" s="2"/>
      <c r="M861" s="2"/>
      <c r="N861" s="2"/>
      <c r="O861" s="3"/>
      <c r="P861" s="3"/>
      <c r="Q861" s="2"/>
      <c r="R861" s="2"/>
      <c r="S861" s="2"/>
      <c r="T861" s="2"/>
      <c r="U861" s="2"/>
      <c r="V861" s="2"/>
      <c r="W861" s="2"/>
      <c r="X861" s="2"/>
      <c r="Y861" s="2"/>
      <c r="Z861" s="2"/>
      <c r="AA861" s="2"/>
      <c r="AB861" s="2"/>
      <c r="AC861" s="2"/>
    </row>
    <row r="862">
      <c r="A862" s="2"/>
      <c r="B862" s="2"/>
      <c r="C862" s="2"/>
      <c r="D862" s="2"/>
      <c r="E862" s="2"/>
      <c r="F862" s="2"/>
      <c r="G862" s="2"/>
      <c r="H862" s="2"/>
      <c r="I862" s="2"/>
      <c r="J862" s="2"/>
      <c r="K862" s="2"/>
      <c r="L862" s="2"/>
      <c r="M862" s="2"/>
      <c r="N862" s="2"/>
      <c r="O862" s="3"/>
      <c r="P862" s="3"/>
      <c r="Q862" s="2"/>
      <c r="R862" s="2"/>
      <c r="S862" s="2"/>
      <c r="T862" s="2"/>
      <c r="U862" s="2"/>
      <c r="V862" s="2"/>
      <c r="W862" s="2"/>
      <c r="X862" s="2"/>
      <c r="Y862" s="2"/>
      <c r="Z862" s="2"/>
      <c r="AA862" s="2"/>
      <c r="AB862" s="2"/>
      <c r="AC862" s="2"/>
    </row>
    <row r="863">
      <c r="A863" s="2"/>
      <c r="B863" s="2"/>
      <c r="C863" s="2"/>
      <c r="D863" s="2"/>
      <c r="E863" s="2"/>
      <c r="F863" s="2"/>
      <c r="G863" s="2"/>
      <c r="H863" s="2"/>
      <c r="I863" s="2"/>
      <c r="J863" s="2"/>
      <c r="K863" s="2"/>
      <c r="L863" s="2"/>
      <c r="M863" s="2"/>
      <c r="N863" s="2"/>
      <c r="O863" s="3"/>
      <c r="P863" s="3"/>
      <c r="Q863" s="2"/>
      <c r="R863" s="2"/>
      <c r="S863" s="2"/>
      <c r="T863" s="2"/>
      <c r="U863" s="2"/>
      <c r="V863" s="2"/>
      <c r="W863" s="2"/>
      <c r="X863" s="2"/>
      <c r="Y863" s="2"/>
      <c r="Z863" s="2"/>
      <c r="AA863" s="2"/>
      <c r="AB863" s="2"/>
      <c r="AC863" s="2"/>
    </row>
    <row r="864">
      <c r="A864" s="2"/>
      <c r="B864" s="2"/>
      <c r="C864" s="2"/>
      <c r="D864" s="2"/>
      <c r="E864" s="2"/>
      <c r="F864" s="2"/>
      <c r="G864" s="2"/>
      <c r="H864" s="2"/>
      <c r="I864" s="2"/>
      <c r="J864" s="2"/>
      <c r="K864" s="2"/>
      <c r="L864" s="2"/>
      <c r="M864" s="2"/>
      <c r="N864" s="2"/>
      <c r="O864" s="3"/>
      <c r="P864" s="3"/>
      <c r="Q864" s="2"/>
      <c r="R864" s="2"/>
      <c r="S864" s="2"/>
      <c r="T864" s="2"/>
      <c r="U864" s="2"/>
      <c r="V864" s="2"/>
      <c r="W864" s="2"/>
      <c r="X864" s="2"/>
      <c r="Y864" s="2"/>
      <c r="Z864" s="2"/>
      <c r="AA864" s="2"/>
      <c r="AB864" s="2"/>
      <c r="AC864" s="2"/>
    </row>
    <row r="865">
      <c r="A865" s="2"/>
      <c r="B865" s="2"/>
      <c r="C865" s="2"/>
      <c r="D865" s="2"/>
      <c r="E865" s="2"/>
      <c r="F865" s="2"/>
      <c r="G865" s="2"/>
      <c r="H865" s="2"/>
      <c r="I865" s="2"/>
      <c r="J865" s="2"/>
      <c r="K865" s="2"/>
      <c r="L865" s="2"/>
      <c r="M865" s="2"/>
      <c r="N865" s="2"/>
      <c r="O865" s="3"/>
      <c r="P865" s="3"/>
      <c r="Q865" s="2"/>
      <c r="R865" s="2"/>
      <c r="S865" s="2"/>
      <c r="T865" s="2"/>
      <c r="U865" s="2"/>
      <c r="V865" s="2"/>
      <c r="W865" s="2"/>
      <c r="X865" s="2"/>
      <c r="Y865" s="2"/>
      <c r="Z865" s="2"/>
      <c r="AA865" s="2"/>
      <c r="AB865" s="2"/>
      <c r="AC865" s="2"/>
    </row>
    <row r="866">
      <c r="A866" s="2"/>
      <c r="B866" s="2"/>
      <c r="C866" s="2"/>
      <c r="D866" s="2"/>
      <c r="E866" s="2"/>
      <c r="F866" s="2"/>
      <c r="G866" s="2"/>
      <c r="H866" s="2"/>
      <c r="I866" s="2"/>
      <c r="J866" s="2"/>
      <c r="K866" s="2"/>
      <c r="L866" s="2"/>
      <c r="M866" s="2"/>
      <c r="N866" s="2"/>
      <c r="O866" s="3"/>
      <c r="P866" s="3"/>
      <c r="Q866" s="2"/>
      <c r="R866" s="2"/>
      <c r="S866" s="2"/>
      <c r="T866" s="2"/>
      <c r="U866" s="2"/>
      <c r="V866" s="2"/>
      <c r="W866" s="2"/>
      <c r="X866" s="2"/>
      <c r="Y866" s="2"/>
      <c r="Z866" s="2"/>
      <c r="AA866" s="2"/>
      <c r="AB866" s="2"/>
      <c r="AC866" s="2"/>
    </row>
    <row r="867">
      <c r="A867" s="2"/>
      <c r="B867" s="2"/>
      <c r="C867" s="2"/>
      <c r="D867" s="2"/>
      <c r="E867" s="2"/>
      <c r="F867" s="2"/>
      <c r="G867" s="2"/>
      <c r="H867" s="2"/>
      <c r="I867" s="2"/>
      <c r="J867" s="2"/>
      <c r="K867" s="2"/>
      <c r="L867" s="2"/>
      <c r="M867" s="2"/>
      <c r="N867" s="2"/>
      <c r="O867" s="3"/>
      <c r="P867" s="3"/>
      <c r="Q867" s="2"/>
      <c r="R867" s="2"/>
      <c r="S867" s="2"/>
      <c r="T867" s="2"/>
      <c r="U867" s="2"/>
      <c r="V867" s="2"/>
      <c r="W867" s="2"/>
      <c r="X867" s="2"/>
      <c r="Y867" s="2"/>
      <c r="Z867" s="2"/>
      <c r="AA867" s="2"/>
      <c r="AB867" s="2"/>
      <c r="AC867" s="2"/>
    </row>
    <row r="868">
      <c r="M868" s="2"/>
      <c r="N868" s="2"/>
      <c r="O868" s="3"/>
      <c r="P868" s="3"/>
      <c r="Q868" s="2"/>
      <c r="R868" s="2"/>
      <c r="S868" s="2"/>
      <c r="T868" s="2"/>
      <c r="U868" s="2"/>
      <c r="V868" s="2"/>
      <c r="W868" s="2"/>
      <c r="X868" s="2"/>
      <c r="Y868" s="2"/>
      <c r="Z868" s="2"/>
      <c r="AA868" s="2"/>
      <c r="AB868" s="2"/>
      <c r="AC868" s="2"/>
    </row>
  </sheetData>
  <mergeCells count="1">
    <mergeCell ref="A2:C2"/>
  </mergeCells>
  <printOptions/>
  <pageMargins bottom="0.75" footer="0.0" header="0.0" left="0.7" right="0.7" top="0.75"/>
  <pageSetup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46.71"/>
    <col customWidth="1" min="2" max="2" width="23.86"/>
    <col customWidth="1" min="3" max="10" width="14.14"/>
  </cols>
  <sheetData>
    <row r="1">
      <c r="A1" s="8" t="s">
        <v>5</v>
      </c>
      <c r="B1" s="9">
        <f>IFERROR(__xludf.DUMMYFUNCTION("EOMONTH(DATE(MAX('Fund Investment Data'!$A:$A), MAX(FILTER('Fund Investment Data'!$B:$B,'Fund Investment Data'!$A:$A = MAX('Fund Investment Data'!$A:$A))),1),0) + 0"),44012.0)</f>
        <v>44012</v>
      </c>
      <c r="C1" s="10" t="s">
        <v>6</v>
      </c>
      <c r="D1" s="5"/>
      <c r="E1" s="11"/>
      <c r="F1" s="12" t="s">
        <v>7</v>
      </c>
      <c r="G1" s="13"/>
      <c r="H1" s="14" t="s">
        <v>8</v>
      </c>
      <c r="I1" s="15"/>
      <c r="J1" s="13"/>
      <c r="K1" s="14" t="s">
        <v>9</v>
      </c>
      <c r="L1" s="15"/>
      <c r="M1" s="15"/>
      <c r="N1" s="15"/>
      <c r="O1" s="15"/>
    </row>
    <row r="2">
      <c r="A2" s="16" t="s">
        <v>10</v>
      </c>
      <c r="B2" s="17" t="s">
        <v>11</v>
      </c>
      <c r="C2" s="18" t="s">
        <v>12</v>
      </c>
      <c r="D2" s="18" t="s">
        <v>13</v>
      </c>
      <c r="E2" s="19" t="s">
        <v>14</v>
      </c>
      <c r="F2" s="20" t="s">
        <v>15</v>
      </c>
      <c r="G2" s="21" t="s">
        <v>16</v>
      </c>
      <c r="H2" s="22" t="s">
        <v>17</v>
      </c>
      <c r="I2" s="22" t="s">
        <v>18</v>
      </c>
      <c r="J2" s="23" t="s">
        <v>19</v>
      </c>
      <c r="K2" s="24" t="s">
        <v>20</v>
      </c>
      <c r="L2" s="24" t="s">
        <v>21</v>
      </c>
      <c r="M2" s="25" t="s">
        <v>22</v>
      </c>
      <c r="N2" s="25" t="s">
        <v>23</v>
      </c>
      <c r="O2" s="25" t="s">
        <v>24</v>
      </c>
    </row>
    <row r="3">
      <c r="A3" s="26" t="s">
        <v>25</v>
      </c>
      <c r="B3" s="27" t="str">
        <f>IFERROR(__xludf.DUMMYFUNCTION("FILTER('Endowed Funds'!$B:$B,'Endowed Funds'!$A:$A = $A3)")," American Indian Initiatives ")</f>
        <v>American Indian Initiatives</v>
      </c>
      <c r="C3" s="28">
        <f>IFERROR(__xludf.DUMMYFUNCTION("IFERROR(sum(FILTER('Fund Investment Data'!$V:$V, 'Fund Investment Data'!$C:$C = $A3)),0)"),81000.0)</f>
        <v>81000</v>
      </c>
      <c r="D3" s="28">
        <f>IFERROR(__xludf.DUMMYFUNCTION("IFERROR(FILTER('Fund Investment Data'!$R:$R,'Fund Investment Data'!$C:$C = $A3,'Fund Investment Data'!$A:$A = MAX('Fund Investment Data'!$A:$A), 'Fund Investment Data'!$B:$B = MAX(FILTER('Fund Investment Data'!$B:$B,'Fund Investment Data'!$C:$C = $A3,'Fun"&amp;"d Investment Data'!$A:$A = MAX('Fund Investment Data'!$A:$A)))),0)"),113832.92349155319)</f>
        <v>113832.9235</v>
      </c>
      <c r="E3" s="29">
        <f>IFERROR(__xludf.DUMMYFUNCTION("IFERROR(FILTER('Fund Investment Data'!$P:$P,'Fund Investment Data'!$C:$C = $A3,'Fund Investment Data'!$A:$A = MAX('Fund Investment Data'!$A:$A), 'Fund Investment Data'!$B:$B = MAX(FILTER('Fund Investment Data'!$B:$B,'Fund Investment Data'!$C:$C = $A3,'Fun"&amp;"d Investment Data'!$A:$A = MAX('Fund Investment Data'!$A:$A)))),0)"),78183.49999999997)</f>
        <v>78183.5</v>
      </c>
      <c r="F3" s="30">
        <f t="shared" ref="F3:F37" si="1">$E3/$C3</f>
        <v>0.9652283951</v>
      </c>
      <c r="G3" s="31">
        <f t="shared" ref="G3:G37" si="2">$E3/$D3</f>
        <v>0.6868267774</v>
      </c>
      <c r="H3" s="32">
        <f>IFERROR(__xludf.DUMMYFUNCTION("IFERROR(FILTER('Fund Investment Data'!$AD:$AD,'Fund Investment Data'!$C:$C = $A3,'Fund Investment Data'!$A:$A = MAX('Fund Investment Data'!$A:$A), 'Fund Investment Data'!$B:$B = MAX(FILTER('Fund Investment Data'!$B:$B,'Fund Investment Data'!$C:$C = $A3,'F"&amp;"und Investment Data'!$A:$A = MAX('Fund Investment Data'!$A:$A)))),0)"),4320.330699714215)</f>
        <v>4320.3307</v>
      </c>
      <c r="I3" s="32">
        <f>IFERROR(__xludf.DUMMYFUNCTION("IFERROR(FILTER('Fund Investment Data'!$E:$E,'Fund Investment Data'!$C:$C = $A3,'Fund Investment Data'!$A:$A = MAX('Fund Investment Data'!$A:$A), 'Fund Investment Data'!$B:$B = MAX(FILTER('Fund Investment Data'!$B:$B,'Fund Investment Data'!$C:$C = $A3,'Fun"&amp;"d Investment Data'!$A:$A = MAX('Fund Investment Data'!$A:$A)))),0)"),0.0)</f>
        <v>0</v>
      </c>
      <c r="J3" s="33">
        <f t="shared" ref="J3:J36" si="3">H3+I3</f>
        <v>4320.3307</v>
      </c>
      <c r="K3" s="32">
        <f>IFERROR(__xludf.DUMMYFUNCTION("IFERROR(SUM(FILTER('Fund Spending Data'!$F:$F,'Fund Spending Data'!$A:$A = $A3,'Fund Spending Data'!$C:$C &lt;&gt; 688)) + SUM(FILTER('Fund Spending Data'!$G:$G,'Fund Spending Data'!$A:$A = $A3,'Fund Spending Data'!$C:$C &lt;&gt; 688)),0)"),-4045.0)</f>
        <v>-4045</v>
      </c>
      <c r="L3" s="32">
        <f>IFERROR(__xludf.DUMMYFUNCTION("IFERROR(SUM(FILTER('Fund Spending Data'!$F:$F,'Fund Spending Data'!$A:$A = $A3,'Fund Spending Data'!$C:$C = 688)) + SUM(FILTER('Fund Spending Data'!$G:$G,'Fund Spending Data'!$A:$A = $A3,'Fund Spending Data'!$C:$C = 688)),0)"),0.0)</f>
        <v>0</v>
      </c>
      <c r="M3" s="34">
        <f t="shared" ref="M3:M36" si="4">K3 + L3 + H3</f>
        <v>275.3306997</v>
      </c>
      <c r="N3" s="35"/>
      <c r="O3" s="34">
        <f t="shared" ref="O3:O36" si="5">M3+N3</f>
        <v>275.3306997</v>
      </c>
    </row>
    <row r="4">
      <c r="A4" s="36" t="s">
        <v>26</v>
      </c>
      <c r="B4" s="27" t="str">
        <f>IFERROR(__xludf.DUMMYFUNCTION("FILTER('Endowed Funds'!$B:$B,'Endowed Funds'!$A:$A = $A4)")," Archaeology ")</f>
        <v>Archaeology</v>
      </c>
      <c r="C4" s="28">
        <f>IFERROR(__xludf.DUMMYFUNCTION("IFERROR(sum(FILTER('Fund Investment Data'!$V:$V, 'Fund Investment Data'!$C:$C = $A4)),0)"),317377.01)</f>
        <v>317377.01</v>
      </c>
      <c r="D4" s="28">
        <f>IFERROR(__xludf.DUMMYFUNCTION("IFERROR(FILTER('Fund Investment Data'!$R:$R,'Fund Investment Data'!$C:$C = $A4,'Fund Investment Data'!$A:$A = MAX('Fund Investment Data'!$A:$A), 'Fund Investment Data'!$B:$B = MAX(FILTER('Fund Investment Data'!$B:$B,'Fund Investment Data'!$C:$C = $A4,'Fun"&amp;"d Investment Data'!$A:$A = MAX('Fund Investment Data'!$A:$A)))),0)"),401541.8822943746)</f>
        <v>401541.8823</v>
      </c>
      <c r="E4" s="29">
        <f>IFERROR(__xludf.DUMMYFUNCTION("IFERROR(FILTER('Fund Investment Data'!$P:$P,'Fund Investment Data'!$C:$C = $A4,'Fund Investment Data'!$A:$A = MAX('Fund Investment Data'!$A:$A), 'Fund Investment Data'!$B:$B = MAX(FILTER('Fund Investment Data'!$B:$B,'Fund Investment Data'!$C:$C = $A4,'Fun"&amp;"d Investment Data'!$A:$A = MAX('Fund Investment Data'!$A:$A)))),0)"),332086.31999999995)</f>
        <v>332086.32</v>
      </c>
      <c r="F4" s="30">
        <f t="shared" si="1"/>
        <v>1.046346489</v>
      </c>
      <c r="G4" s="31">
        <f t="shared" si="2"/>
        <v>0.827027851</v>
      </c>
      <c r="H4" s="32">
        <f>IFERROR(__xludf.DUMMYFUNCTION("IFERROR(FILTER('Fund Investment Data'!$AD:$AD,'Fund Investment Data'!$C:$C = $A4,'Fund Investment Data'!$A:$A = MAX('Fund Investment Data'!$A:$A), 'Fund Investment Data'!$B:$B = MAX(FILTER('Fund Investment Data'!$B:$B,'Fund Investment Data'!$C:$C = $A4,'F"&amp;"und Investment Data'!$A:$A = MAX('Fund Investment Data'!$A:$A)))),0)"),16429.70058170934)</f>
        <v>16429.70058</v>
      </c>
      <c r="I4" s="32">
        <f>IFERROR(__xludf.DUMMYFUNCTION("IFERROR(FILTER('Fund Investment Data'!$E:$E,'Fund Investment Data'!$C:$C = $A4,'Fund Investment Data'!$A:$A = MAX('Fund Investment Data'!$A:$A), 'Fund Investment Data'!$B:$B = MAX(FILTER('Fund Investment Data'!$B:$B,'Fund Investment Data'!$C:$C = $A4,'Fun"&amp;"d Investment Data'!$A:$A = MAX('Fund Investment Data'!$A:$A)))),0)"),0.0)</f>
        <v>0</v>
      </c>
      <c r="J4" s="33">
        <f t="shared" si="3"/>
        <v>16429.70058</v>
      </c>
      <c r="K4" s="32">
        <f>IFERROR(__xludf.DUMMYFUNCTION("IFERROR(SUM(FILTER('Fund Spending Data'!$F:$F,'Fund Spending Data'!$A:$A = $A4,'Fund Spending Data'!$C:$C &lt;&gt; 688)) + SUM(FILTER('Fund Spending Data'!$G:$G,'Fund Spending Data'!$A:$A = $A4,'Fund Spending Data'!$C:$C &lt;&gt; 688)),0)"),0.0)</f>
        <v>0</v>
      </c>
      <c r="L4" s="32">
        <f>IFERROR(__xludf.DUMMYFUNCTION("IFERROR(SUM(FILTER('Fund Spending Data'!$F:$F,'Fund Spending Data'!$A:$A = $A4,'Fund Spending Data'!$C:$C = 688)) + SUM(FILTER('Fund Spending Data'!$G:$G,'Fund Spending Data'!$A:$A = $A4,'Fund Spending Data'!$C:$C = 688)),0)"),0.0)</f>
        <v>0</v>
      </c>
      <c r="M4" s="34">
        <f t="shared" si="4"/>
        <v>16429.70058</v>
      </c>
      <c r="N4" s="35"/>
      <c r="O4" s="34">
        <f t="shared" si="5"/>
        <v>16429.70058</v>
      </c>
    </row>
    <row r="5">
      <c r="A5" s="36" t="s">
        <v>27</v>
      </c>
      <c r="B5" s="27" t="str">
        <f>IFERROR(__xludf.DUMMYFUNCTION("FILTER('Endowed Funds'!$B:$B,'Endowed Funds'!$A:$A = $A5)")," Archaeology ")</f>
        <v>Archaeology</v>
      </c>
      <c r="C5" s="28">
        <f>IFERROR(__xludf.DUMMYFUNCTION("IFERROR(sum(FILTER('Fund Investment Data'!$V:$V, 'Fund Investment Data'!$C:$C = $A5)),0)"),276213.69999999995)</f>
        <v>276213.7</v>
      </c>
      <c r="D5" s="28">
        <f>IFERROR(__xludf.DUMMYFUNCTION("IFERROR(FILTER('Fund Investment Data'!$R:$R,'Fund Investment Data'!$C:$C = $A5,'Fund Investment Data'!$A:$A = MAX('Fund Investment Data'!$A:$A), 'Fund Investment Data'!$B:$B = MAX(FILTER('Fund Investment Data'!$B:$B,'Fund Investment Data'!$C:$C = $A5,'Fun"&amp;"d Investment Data'!$A:$A = MAX('Fund Investment Data'!$A:$A)))),0)"),410076.5953811168)</f>
        <v>410076.5954</v>
      </c>
      <c r="E5" s="29">
        <f>IFERROR(__xludf.DUMMYFUNCTION("IFERROR(FILTER('Fund Investment Data'!$P:$P,'Fund Investment Data'!$C:$C = $A5,'Fund Investment Data'!$A:$A = MAX('Fund Investment Data'!$A:$A), 'Fund Investment Data'!$B:$B = MAX(FILTER('Fund Investment Data'!$B:$B,'Fund Investment Data'!$C:$C = $A5,'Fun"&amp;"d Investment Data'!$A:$A = MAX('Fund Investment Data'!$A:$A)))),0)"),285526.3900000001)</f>
        <v>285526.39</v>
      </c>
      <c r="F5" s="30">
        <f t="shared" si="1"/>
        <v>1.033715525</v>
      </c>
      <c r="G5" s="31">
        <f t="shared" si="2"/>
        <v>0.6962757524</v>
      </c>
      <c r="H5" s="32">
        <f>IFERROR(__xludf.DUMMYFUNCTION("IFERROR(FILTER('Fund Investment Data'!$AD:$AD,'Fund Investment Data'!$C:$C = $A5,'Fund Investment Data'!$A:$A = MAX('Fund Investment Data'!$A:$A), 'Fund Investment Data'!$B:$B = MAX(FILTER('Fund Investment Data'!$B:$B,'Fund Investment Data'!$C:$C = $A5,'F"&amp;"und Investment Data'!$A:$A = MAX('Fund Investment Data'!$A:$A)))),0)"),13760.120687444476)</f>
        <v>13760.12069</v>
      </c>
      <c r="I5" s="32">
        <f>IFERROR(__xludf.DUMMYFUNCTION("IFERROR(FILTER('Fund Investment Data'!$E:$E,'Fund Investment Data'!$C:$C = $A5,'Fund Investment Data'!$A:$A = MAX('Fund Investment Data'!$A:$A), 'Fund Investment Data'!$B:$B = MAX(FILTER('Fund Investment Data'!$B:$B,'Fund Investment Data'!$C:$C = $A5,'Fun"&amp;"d Investment Data'!$A:$A = MAX('Fund Investment Data'!$A:$A)))),0)"),0.0)</f>
        <v>0</v>
      </c>
      <c r="J5" s="33">
        <f t="shared" si="3"/>
        <v>13760.12069</v>
      </c>
      <c r="K5" s="32">
        <f>IFERROR(__xludf.DUMMYFUNCTION("IFERROR(SUM(FILTER('Fund Spending Data'!$F:$F,'Fund Spending Data'!$A:$A = $A5,'Fund Spending Data'!$C:$C &lt;&gt; 688)) + SUM(FILTER('Fund Spending Data'!$G:$G,'Fund Spending Data'!$A:$A = $A5,'Fund Spending Data'!$C:$C &lt;&gt; 688)),0)"),0.0)</f>
        <v>0</v>
      </c>
      <c r="L5" s="32">
        <f>IFERROR(__xludf.DUMMYFUNCTION("IFERROR(SUM(FILTER('Fund Spending Data'!$F:$F,'Fund Spending Data'!$A:$A = $A5,'Fund Spending Data'!$C:$C = 688)) + SUM(FILTER('Fund Spending Data'!$G:$G,'Fund Spending Data'!$A:$A = $A5,'Fund Spending Data'!$C:$C = 688)),0)"),0.0)</f>
        <v>0</v>
      </c>
      <c r="M5" s="34">
        <f t="shared" si="4"/>
        <v>13760.12069</v>
      </c>
      <c r="N5" s="35"/>
      <c r="O5" s="34">
        <f t="shared" si="5"/>
        <v>13760.12069</v>
      </c>
    </row>
    <row r="6">
      <c r="A6" s="36" t="s">
        <v>28</v>
      </c>
      <c r="B6" s="27" t="str">
        <f>IFERROR(__xludf.DUMMYFUNCTION("FILTER('Endowed Funds'!$B:$B,'Endowed Funds'!$A:$A = $A6)")," Archaeology ")</f>
        <v>Archaeology</v>
      </c>
      <c r="C6" s="28">
        <f>IFERROR(__xludf.DUMMYFUNCTION("IFERROR(sum(FILTER('Fund Investment Data'!$V:$V, 'Fund Investment Data'!$C:$C = $A6)),0)"),2960091.25)</f>
        <v>2960091.25</v>
      </c>
      <c r="D6" s="28">
        <f>IFERROR(__xludf.DUMMYFUNCTION("IFERROR(FILTER('Fund Investment Data'!$R:$R,'Fund Investment Data'!$C:$C = $A6,'Fund Investment Data'!$A:$A = MAX('Fund Investment Data'!$A:$A), 'Fund Investment Data'!$B:$B = MAX(FILTER('Fund Investment Data'!$B:$B,'Fund Investment Data'!$C:$C = $A6,'Fun"&amp;"d Investment Data'!$A:$A = MAX('Fund Investment Data'!$A:$A)))),0)"),4004331.8752406454)</f>
        <v>4004331.875</v>
      </c>
      <c r="E6" s="29">
        <f>IFERROR(__xludf.DUMMYFUNCTION("IFERROR(FILTER('Fund Investment Data'!$P:$P,'Fund Investment Data'!$C:$C = $A6,'Fund Investment Data'!$A:$A = MAX('Fund Investment Data'!$A:$A), 'Fund Investment Data'!$B:$B = MAX(FILTER('Fund Investment Data'!$B:$B,'Fund Investment Data'!$C:$C = $A6,'Fun"&amp;"d Investment Data'!$A:$A = MAX('Fund Investment Data'!$A:$A)))),0)"),3059579.75)</f>
        <v>3059579.75</v>
      </c>
      <c r="F6" s="30">
        <f t="shared" si="1"/>
        <v>1.033609944</v>
      </c>
      <c r="G6" s="31">
        <f t="shared" si="2"/>
        <v>0.7640674763</v>
      </c>
      <c r="H6" s="32">
        <f>IFERROR(__xludf.DUMMYFUNCTION("IFERROR(FILTER('Fund Investment Data'!$AD:$AD,'Fund Investment Data'!$C:$C = $A6,'Fund Investment Data'!$A:$A = MAX('Fund Investment Data'!$A:$A), 'Fund Investment Data'!$B:$B = MAX(FILTER('Fund Investment Data'!$B:$B,'Fund Investment Data'!$C:$C = $A6,'F"&amp;"und Investment Data'!$A:$A = MAX('Fund Investment Data'!$A:$A)))),0)"),147560.52293132656)</f>
        <v>147560.5229</v>
      </c>
      <c r="I6" s="32">
        <f>IFERROR(__xludf.DUMMYFUNCTION("IFERROR(FILTER('Fund Investment Data'!$E:$E,'Fund Investment Data'!$C:$C = $A6,'Fund Investment Data'!$A:$A = MAX('Fund Investment Data'!$A:$A), 'Fund Investment Data'!$B:$B = MAX(FILTER('Fund Investment Data'!$B:$B,'Fund Investment Data'!$C:$C = $A6,'Fun"&amp;"d Investment Data'!$A:$A = MAX('Fund Investment Data'!$A:$A)))),0)"),0.0)</f>
        <v>0</v>
      </c>
      <c r="J6" s="33">
        <f t="shared" si="3"/>
        <v>147560.5229</v>
      </c>
      <c r="K6" s="32">
        <f>IFERROR(__xludf.DUMMYFUNCTION("IFERROR(SUM(FILTER('Fund Spending Data'!$F:$F,'Fund Spending Data'!$A:$A = $A6,'Fund Spending Data'!$C:$C &lt;&gt; 688)) + SUM(FILTER('Fund Spending Data'!$G:$G,'Fund Spending Data'!$A:$A = $A6,'Fund Spending Data'!$C:$C &lt;&gt; 688)),0)"),0.0)</f>
        <v>0</v>
      </c>
      <c r="L6" s="32">
        <f>IFERROR(__xludf.DUMMYFUNCTION("IFERROR(SUM(FILTER('Fund Spending Data'!$F:$F,'Fund Spending Data'!$A:$A = $A6,'Fund Spending Data'!$C:$C = 688)) + SUM(FILTER('Fund Spending Data'!$G:$G,'Fund Spending Data'!$A:$A = $A6,'Fund Spending Data'!$C:$C = 688)),0)"),0.0)</f>
        <v>0</v>
      </c>
      <c r="M6" s="34">
        <f t="shared" si="4"/>
        <v>147560.5229</v>
      </c>
      <c r="N6" s="35"/>
      <c r="O6" s="34">
        <f t="shared" si="5"/>
        <v>147560.5229</v>
      </c>
    </row>
    <row r="7">
      <c r="A7" s="36" t="s">
        <v>29</v>
      </c>
      <c r="B7" s="27" t="str">
        <f>IFERROR(__xludf.DUMMYFUNCTION("FILTER('Endowed Funds'!$B:$B,'Endowed Funds'!$A:$A = $A7)")," Archaeology ")</f>
        <v>Archaeology</v>
      </c>
      <c r="C7" s="28">
        <f>IFERROR(__xludf.DUMMYFUNCTION("IFERROR(sum(FILTER('Fund Investment Data'!$V:$V, 'Fund Investment Data'!$C:$C = $A7)),0)"),50000.0)</f>
        <v>50000</v>
      </c>
      <c r="D7" s="28">
        <f>IFERROR(__xludf.DUMMYFUNCTION("IFERROR(FILTER('Fund Investment Data'!$R:$R,'Fund Investment Data'!$C:$C = $A7,'Fund Investment Data'!$A:$A = MAX('Fund Investment Data'!$A:$A), 'Fund Investment Data'!$B:$B = MAX(FILTER('Fund Investment Data'!$B:$B,'Fund Investment Data'!$C:$C = $A7,'Fun"&amp;"d Investment Data'!$A:$A = MAX('Fund Investment Data'!$A:$A)))),0)"),80343.33092462117)</f>
        <v>80343.33092</v>
      </c>
      <c r="E7" s="29">
        <f>IFERROR(__xludf.DUMMYFUNCTION("IFERROR(FILTER('Fund Investment Data'!$P:$P,'Fund Investment Data'!$C:$C = $A7,'Fund Investment Data'!$A:$A = MAX('Fund Investment Data'!$A:$A), 'Fund Investment Data'!$B:$B = MAX(FILTER('Fund Investment Data'!$B:$B,'Fund Investment Data'!$C:$C = $A7,'Fun"&amp;"d Investment Data'!$A:$A = MAX('Fund Investment Data'!$A:$A)))),0)"),56700.219999999914)</f>
        <v>56700.22</v>
      </c>
      <c r="F7" s="30">
        <f t="shared" si="1"/>
        <v>1.1340044</v>
      </c>
      <c r="G7" s="31">
        <f t="shared" si="2"/>
        <v>0.7057240389</v>
      </c>
      <c r="H7" s="32">
        <f>IFERROR(__xludf.DUMMYFUNCTION("IFERROR(FILTER('Fund Investment Data'!$AD:$AD,'Fund Investment Data'!$C:$C = $A7,'Fund Investment Data'!$A:$A = MAX('Fund Investment Data'!$A:$A), 'Fund Investment Data'!$B:$B = MAX(FILTER('Fund Investment Data'!$B:$B,'Fund Investment Data'!$C:$C = $A7,'F"&amp;"und Investment Data'!$A:$A = MAX('Fund Investment Data'!$A:$A)))),0)"),2630.157796557053)</f>
        <v>2630.157797</v>
      </c>
      <c r="I7" s="32">
        <f>IFERROR(__xludf.DUMMYFUNCTION("IFERROR(FILTER('Fund Investment Data'!$E:$E,'Fund Investment Data'!$C:$C = $A7,'Fund Investment Data'!$A:$A = MAX('Fund Investment Data'!$A:$A), 'Fund Investment Data'!$B:$B = MAX(FILTER('Fund Investment Data'!$B:$B,'Fund Investment Data'!$C:$C = $A7,'Fun"&amp;"d Investment Data'!$A:$A = MAX('Fund Investment Data'!$A:$A)))),0)"),0.0)</f>
        <v>0</v>
      </c>
      <c r="J7" s="33">
        <f t="shared" si="3"/>
        <v>2630.157797</v>
      </c>
      <c r="K7" s="32">
        <f>IFERROR(__xludf.DUMMYFUNCTION("IFERROR(SUM(FILTER('Fund Spending Data'!$F:$F,'Fund Spending Data'!$A:$A = $A7,'Fund Spending Data'!$C:$C &lt;&gt; 688)) + SUM(FILTER('Fund Spending Data'!$G:$G,'Fund Spending Data'!$A:$A = $A7,'Fund Spending Data'!$C:$C &lt;&gt; 688)),0)"),-50.0)</f>
        <v>-50</v>
      </c>
      <c r="L7" s="32">
        <f>IFERROR(__xludf.DUMMYFUNCTION("IFERROR(SUM(FILTER('Fund Spending Data'!$F:$F,'Fund Spending Data'!$A:$A = $A7,'Fund Spending Data'!$C:$C = 688)) + SUM(FILTER('Fund Spending Data'!$G:$G,'Fund Spending Data'!$A:$A = $A7,'Fund Spending Data'!$C:$C = 688)),0)"),0.0)</f>
        <v>0</v>
      </c>
      <c r="M7" s="34">
        <f t="shared" si="4"/>
        <v>2580.157797</v>
      </c>
      <c r="N7" s="35"/>
      <c r="O7" s="34">
        <f t="shared" si="5"/>
        <v>2580.157797</v>
      </c>
    </row>
    <row r="8">
      <c r="A8" s="36" t="s">
        <v>30</v>
      </c>
      <c r="B8" s="27" t="str">
        <f>IFERROR(__xludf.DUMMYFUNCTION("FILTER('Endowed Funds'!$B:$B,'Endowed Funds'!$A:$A = $A8)")," Archaeology ")</f>
        <v>Archaeology</v>
      </c>
      <c r="C8" s="28">
        <f>IFERROR(__xludf.DUMMYFUNCTION("IFERROR(sum(FILTER('Fund Investment Data'!$V:$V, 'Fund Investment Data'!$C:$C = $A8)),0)"),11540.75)</f>
        <v>11540.75</v>
      </c>
      <c r="D8" s="28">
        <f>IFERROR(__xludf.DUMMYFUNCTION("IFERROR(FILTER('Fund Investment Data'!$R:$R,'Fund Investment Data'!$C:$C = $A8,'Fund Investment Data'!$A:$A = MAX('Fund Investment Data'!$A:$A), 'Fund Investment Data'!$B:$B = MAX(FILTER('Fund Investment Data'!$B:$B,'Fund Investment Data'!$C:$C = $A8,'Fun"&amp;"d Investment Data'!$A:$A = MAX('Fund Investment Data'!$A:$A)))),0)"),19273.166926802733)</f>
        <v>19273.16693</v>
      </c>
      <c r="E8" s="29">
        <f>IFERROR(__xludf.DUMMYFUNCTION("IFERROR(FILTER('Fund Investment Data'!$P:$P,'Fund Investment Data'!$C:$C = $A8,'Fund Investment Data'!$A:$A = MAX('Fund Investment Data'!$A:$A), 'Fund Investment Data'!$B:$B = MAX(FILTER('Fund Investment Data'!$B:$B,'Fund Investment Data'!$C:$C = $A8,'Fun"&amp;"d Investment Data'!$A:$A = MAX('Fund Investment Data'!$A:$A)))),0)"),16928.519999999986)</f>
        <v>16928.52</v>
      </c>
      <c r="F8" s="30">
        <f t="shared" si="1"/>
        <v>1.466847475</v>
      </c>
      <c r="G8" s="31">
        <f t="shared" si="2"/>
        <v>0.8783465667</v>
      </c>
      <c r="H8" s="32">
        <f>IFERROR(__xludf.DUMMYFUNCTION("IFERROR(FILTER('Fund Investment Data'!$AD:$AD,'Fund Investment Data'!$C:$C = $A8,'Fund Investment Data'!$A:$A = MAX('Fund Investment Data'!$A:$A), 'Fund Investment Data'!$B:$B = MAX(FILTER('Fund Investment Data'!$B:$B,'Fund Investment Data'!$C:$C = $A8,'F"&amp;"und Investment Data'!$A:$A = MAX('Fund Investment Data'!$A:$A)))),0)"),785.3267194561832)</f>
        <v>785.3267195</v>
      </c>
      <c r="I8" s="32">
        <f>IFERROR(__xludf.DUMMYFUNCTION("IFERROR(FILTER('Fund Investment Data'!$E:$E,'Fund Investment Data'!$C:$C = $A8,'Fund Investment Data'!$A:$A = MAX('Fund Investment Data'!$A:$A), 'Fund Investment Data'!$B:$B = MAX(FILTER('Fund Investment Data'!$B:$B,'Fund Investment Data'!$C:$C = $A8,'Fun"&amp;"d Investment Data'!$A:$A = MAX('Fund Investment Data'!$A:$A)))),0)"),0.0)</f>
        <v>0</v>
      </c>
      <c r="J8" s="33">
        <f t="shared" si="3"/>
        <v>785.3267195</v>
      </c>
      <c r="K8" s="32">
        <f>IFERROR(__xludf.DUMMYFUNCTION("IFERROR(SUM(FILTER('Fund Spending Data'!$F:$F,'Fund Spending Data'!$A:$A = $A8,'Fund Spending Data'!$C:$C &lt;&gt; 688)) + SUM(FILTER('Fund Spending Data'!$G:$G,'Fund Spending Data'!$A:$A = $A8,'Fund Spending Data'!$C:$C &lt;&gt; 688)),0)"),0.0)</f>
        <v>0</v>
      </c>
      <c r="L8" s="32">
        <f>IFERROR(__xludf.DUMMYFUNCTION("IFERROR(SUM(FILTER('Fund Spending Data'!$F:$F,'Fund Spending Data'!$A:$A = $A8,'Fund Spending Data'!$C:$C = 688)) + SUM(FILTER('Fund Spending Data'!$G:$G,'Fund Spending Data'!$A:$A = $A8,'Fund Spending Data'!$C:$C = 688)),0)"),0.0)</f>
        <v>0</v>
      </c>
      <c r="M8" s="34">
        <f t="shared" si="4"/>
        <v>785.3267195</v>
      </c>
      <c r="N8" s="35"/>
      <c r="O8" s="34">
        <f t="shared" si="5"/>
        <v>785.3267195</v>
      </c>
    </row>
    <row r="9">
      <c r="A9" s="36" t="s">
        <v>31</v>
      </c>
      <c r="B9" s="27" t="str">
        <f>IFERROR(__xludf.DUMMYFUNCTION("FILTER('Endowed Funds'!$B:$B,'Endowed Funds'!$A:$A = $A9)")," Archaeology ")</f>
        <v>Archaeology</v>
      </c>
      <c r="C9" s="28">
        <f>IFERROR(__xludf.DUMMYFUNCTION("IFERROR(sum(FILTER('Fund Investment Data'!$V:$V, 'Fund Investment Data'!$C:$C = $A9)),0)"),158200.0)</f>
        <v>158200</v>
      </c>
      <c r="D9" s="28">
        <f>IFERROR(__xludf.DUMMYFUNCTION("IFERROR(FILTER('Fund Investment Data'!$R:$R,'Fund Investment Data'!$C:$C = $A9,'Fund Investment Data'!$A:$A = MAX('Fund Investment Data'!$A:$A), 'Fund Investment Data'!$B:$B = MAX(FILTER('Fund Investment Data'!$B:$B,'Fund Investment Data'!$C:$C = $A9,'Fun"&amp;"d Investment Data'!$A:$A = MAX('Fund Investment Data'!$A:$A)))),0)"),219640.36164692175)</f>
        <v>219640.3616</v>
      </c>
      <c r="E9" s="29">
        <f>IFERROR(__xludf.DUMMYFUNCTION("IFERROR(FILTER('Fund Investment Data'!$P:$P,'Fund Investment Data'!$C:$C = $A9,'Fund Investment Data'!$A:$A = MAX('Fund Investment Data'!$A:$A), 'Fund Investment Data'!$B:$B = MAX(FILTER('Fund Investment Data'!$B:$B,'Fund Investment Data'!$C:$C = $A9,'Fun"&amp;"d Investment Data'!$A:$A = MAX('Fund Investment Data'!$A:$A)))),0)"),174514.41999999995)</f>
        <v>174514.42</v>
      </c>
      <c r="F9" s="30">
        <f t="shared" si="1"/>
        <v>1.103125284</v>
      </c>
      <c r="G9" s="31">
        <f t="shared" si="2"/>
        <v>0.7945462241</v>
      </c>
      <c r="H9" s="32">
        <f>IFERROR(__xludf.DUMMYFUNCTION("IFERROR(FILTER('Fund Investment Data'!$AD:$AD,'Fund Investment Data'!$C:$C = $A9,'Fund Investment Data'!$A:$A = MAX('Fund Investment Data'!$A:$A), 'Fund Investment Data'!$B:$B = MAX(FILTER('Fund Investment Data'!$B:$B,'Fund Investment Data'!$C:$C = $A9,'F"&amp;"und Investment Data'!$A:$A = MAX('Fund Investment Data'!$A:$A)))),0)"),8504.327667288651)</f>
        <v>8504.327667</v>
      </c>
      <c r="I9" s="32">
        <f>IFERROR(__xludf.DUMMYFUNCTION("IFERROR(FILTER('Fund Investment Data'!$E:$E,'Fund Investment Data'!$C:$C = $A9,'Fund Investment Data'!$A:$A = MAX('Fund Investment Data'!$A:$A), 'Fund Investment Data'!$B:$B = MAX(FILTER('Fund Investment Data'!$B:$B,'Fund Investment Data'!$C:$C = $A9,'Fun"&amp;"d Investment Data'!$A:$A = MAX('Fund Investment Data'!$A:$A)))),0)"),0.0)</f>
        <v>0</v>
      </c>
      <c r="J9" s="33">
        <f t="shared" si="3"/>
        <v>8504.327667</v>
      </c>
      <c r="K9" s="32">
        <f>IFERROR(__xludf.DUMMYFUNCTION("IFERROR(SUM(FILTER('Fund Spending Data'!$F:$F,'Fund Spending Data'!$A:$A = $A9,'Fund Spending Data'!$C:$C &lt;&gt; 688)) + SUM(FILTER('Fund Spending Data'!$G:$G,'Fund Spending Data'!$A:$A = $A9,'Fund Spending Data'!$C:$C &lt;&gt; 688)),0)"),0.0)</f>
        <v>0</v>
      </c>
      <c r="L9" s="32">
        <f>IFERROR(__xludf.DUMMYFUNCTION("IFERROR(SUM(FILTER('Fund Spending Data'!$F:$F,'Fund Spending Data'!$A:$A = $A9,'Fund Spending Data'!$C:$C = 688)) + SUM(FILTER('Fund Spending Data'!$G:$G,'Fund Spending Data'!$A:$A = $A9,'Fund Spending Data'!$C:$C = 688)),0)"),0.0)</f>
        <v>0</v>
      </c>
      <c r="M9" s="34">
        <f t="shared" si="4"/>
        <v>8504.327667</v>
      </c>
      <c r="N9" s="35"/>
      <c r="O9" s="34">
        <f t="shared" si="5"/>
        <v>8504.327667</v>
      </c>
    </row>
    <row r="10">
      <c r="A10" s="26" t="s">
        <v>32</v>
      </c>
      <c r="B10" s="27" t="str">
        <f>IFERROR(__xludf.DUMMYFUNCTION("FILTER('Endowed Funds'!$B:$B,'Endowed Funds'!$A:$A = $A10)")," Archaeology ")</f>
        <v>Archaeology</v>
      </c>
      <c r="C10" s="28">
        <f>IFERROR(__xludf.DUMMYFUNCTION("IFERROR(sum(FILTER('Fund Investment Data'!$V:$V, 'Fund Investment Data'!$C:$C = $A10)),0)"),49449.04)</f>
        <v>49449.04</v>
      </c>
      <c r="D10" s="28">
        <f>IFERROR(__xludf.DUMMYFUNCTION("IFERROR(FILTER('Fund Investment Data'!$R:$R,'Fund Investment Data'!$C:$C = $A10,'Fund Investment Data'!$A:$A = MAX('Fund Investment Data'!$A:$A), 'Fund Investment Data'!$B:$B = MAX(FILTER('Fund Investment Data'!$B:$B,'Fund Investment Data'!$C:$C = $A10,'F"&amp;"und Investment Data'!$A:$A = MAX('Fund Investment Data'!$A:$A)))),0)"),82557.0846281666)</f>
        <v>82557.08463</v>
      </c>
      <c r="E10" s="29">
        <f>IFERROR(__xludf.DUMMYFUNCTION("IFERROR(FILTER('Fund Investment Data'!$P:$P,'Fund Investment Data'!$C:$C = $A10,'Fund Investment Data'!$A:$A = MAX('Fund Investment Data'!$A:$A), 'Fund Investment Data'!$B:$B = MAX(FILTER('Fund Investment Data'!$B:$B,'Fund Investment Data'!$C:$C = $A10,'F"&amp;"und Investment Data'!$A:$A = MAX('Fund Investment Data'!$A:$A)))),0)"),50074.260000000024)</f>
        <v>50074.26</v>
      </c>
      <c r="F10" s="30">
        <f t="shared" si="1"/>
        <v>1.012643724</v>
      </c>
      <c r="G10" s="31">
        <f t="shared" si="2"/>
        <v>0.6065410404</v>
      </c>
      <c r="H10" s="32">
        <f>IFERROR(__xludf.DUMMYFUNCTION("IFERROR(FILTER('Fund Investment Data'!$AD:$AD,'Fund Investment Data'!$C:$C = $A10,'Fund Investment Data'!$A:$A = MAX('Fund Investment Data'!$A:$A), 'Fund Investment Data'!$B:$B = MAX(FILTER('Fund Investment Data'!$B:$B,'Fund Investment Data'!$C:$C = $A10,"&amp;"'Fund Investment Data'!$A:$A = MAX('Fund Investment Data'!$A:$A)))),0)"),2390.4870251922157)</f>
        <v>2390.487025</v>
      </c>
      <c r="I10" s="32">
        <f>IFERROR(__xludf.DUMMYFUNCTION("IFERROR(FILTER('Fund Investment Data'!$E:$E,'Fund Investment Data'!$C:$C = $A10,'Fund Investment Data'!$A:$A = MAX('Fund Investment Data'!$A:$A), 'Fund Investment Data'!$B:$B = MAX(FILTER('Fund Investment Data'!$B:$B,'Fund Investment Data'!$C:$C = $A10,'F"&amp;"und Investment Data'!$A:$A = MAX('Fund Investment Data'!$A:$A)))),0)"),0.0)</f>
        <v>0</v>
      </c>
      <c r="J10" s="33">
        <f t="shared" si="3"/>
        <v>2390.487025</v>
      </c>
      <c r="K10" s="32">
        <f>IFERROR(__xludf.DUMMYFUNCTION("IFERROR(SUM(FILTER('Fund Spending Data'!$F:$F,'Fund Spending Data'!$A:$A = $A10,'Fund Spending Data'!$C:$C &lt;&gt; 688)) + SUM(FILTER('Fund Spending Data'!$G:$G,'Fund Spending Data'!$A:$A = $A10,'Fund Spending Data'!$C:$C &lt;&gt; 688)),0)"),0.0)</f>
        <v>0</v>
      </c>
      <c r="L10" s="32">
        <f>IFERROR(__xludf.DUMMYFUNCTION("IFERROR(SUM(FILTER('Fund Spending Data'!$F:$F,'Fund Spending Data'!$A:$A = $A10,'Fund Spending Data'!$C:$C = 688)) + SUM(FILTER('Fund Spending Data'!$G:$G,'Fund Spending Data'!$A:$A = $A10,'Fund Spending Data'!$C:$C = 688)),0)"),0.0)</f>
        <v>0</v>
      </c>
      <c r="M10" s="34">
        <f t="shared" si="4"/>
        <v>2390.487025</v>
      </c>
      <c r="N10" s="35"/>
      <c r="O10" s="34">
        <f t="shared" si="5"/>
        <v>2390.487025</v>
      </c>
    </row>
    <row r="11">
      <c r="A11" s="36" t="s">
        <v>33</v>
      </c>
      <c r="B11" s="27" t="str">
        <f>IFERROR(__xludf.DUMMYFUNCTION("FILTER('Endowed Funds'!$B:$B,'Endowed Funds'!$A:$A = $A11)")," Archaeology ")</f>
        <v>Archaeology</v>
      </c>
      <c r="C11" s="28">
        <f>IFERROR(__xludf.DUMMYFUNCTION("IFERROR(sum(FILTER('Fund Investment Data'!$V:$V, 'Fund Investment Data'!$C:$C = $A11)),0)"),325871.6399999999)</f>
        <v>325871.64</v>
      </c>
      <c r="D11" s="28">
        <f>IFERROR(__xludf.DUMMYFUNCTION("IFERROR(FILTER('Fund Investment Data'!$R:$R,'Fund Investment Data'!$C:$C = $A11,'Fund Investment Data'!$A:$A = MAX('Fund Investment Data'!$A:$A), 'Fund Investment Data'!$B:$B = MAX(FILTER('Fund Investment Data'!$B:$B,'Fund Investment Data'!$C:$C = $A11,'F"&amp;"und Investment Data'!$A:$A = MAX('Fund Investment Data'!$A:$A)))),0)"),534811.3234285899)</f>
        <v>534811.3234</v>
      </c>
      <c r="E11" s="29">
        <f>IFERROR(__xludf.DUMMYFUNCTION("IFERROR(FILTER('Fund Investment Data'!$P:$P,'Fund Investment Data'!$C:$C = $A11,'Fund Investment Data'!$A:$A = MAX('Fund Investment Data'!$A:$A), 'Fund Investment Data'!$B:$B = MAX(FILTER('Fund Investment Data'!$B:$B,'Fund Investment Data'!$C:$C = $A11,'F"&amp;"und Investment Data'!$A:$A = MAX('Fund Investment Data'!$A:$A)))),0)"),330390.5599999998)</f>
        <v>330390.56</v>
      </c>
      <c r="F11" s="30">
        <f t="shared" si="1"/>
        <v>1.013867178</v>
      </c>
      <c r="G11" s="31">
        <f t="shared" si="2"/>
        <v>0.6177703155</v>
      </c>
      <c r="H11" s="32">
        <f>IFERROR(__xludf.DUMMYFUNCTION("IFERROR(FILTER('Fund Investment Data'!$AD:$AD,'Fund Investment Data'!$C:$C = $A11,'Fund Investment Data'!$A:$A = MAX('Fund Investment Data'!$A:$A), 'Fund Investment Data'!$B:$B = MAX(FILTER('Fund Investment Data'!$B:$B,'Fund Investment Data'!$C:$C = $A11,"&amp;"'Fund Investment Data'!$A:$A = MAX('Fund Investment Data'!$A:$A)))),0)"),15919.38487863704)</f>
        <v>15919.38488</v>
      </c>
      <c r="I11" s="32">
        <f>IFERROR(__xludf.DUMMYFUNCTION("IFERROR(FILTER('Fund Investment Data'!$E:$E,'Fund Investment Data'!$C:$C = $A11,'Fund Investment Data'!$A:$A = MAX('Fund Investment Data'!$A:$A), 'Fund Investment Data'!$B:$B = MAX(FILTER('Fund Investment Data'!$B:$B,'Fund Investment Data'!$C:$C = $A11,'F"&amp;"und Investment Data'!$A:$A = MAX('Fund Investment Data'!$A:$A)))),0)"),0.0)</f>
        <v>0</v>
      </c>
      <c r="J11" s="33">
        <f t="shared" si="3"/>
        <v>15919.38488</v>
      </c>
      <c r="K11" s="32">
        <f>IFERROR(__xludf.DUMMYFUNCTION("IFERROR(SUM(FILTER('Fund Spending Data'!$F:$F,'Fund Spending Data'!$A:$A = $A11,'Fund Spending Data'!$C:$C &lt;&gt; 688)) + SUM(FILTER('Fund Spending Data'!$G:$G,'Fund Spending Data'!$A:$A = $A11,'Fund Spending Data'!$C:$C &lt;&gt; 688)),0)"),0.0)</f>
        <v>0</v>
      </c>
      <c r="L11" s="32">
        <f>IFERROR(__xludf.DUMMYFUNCTION("IFERROR(SUM(FILTER('Fund Spending Data'!$F:$F,'Fund Spending Data'!$A:$A = $A11,'Fund Spending Data'!$C:$C = 688)) + SUM(FILTER('Fund Spending Data'!$G:$G,'Fund Spending Data'!$A:$A = $A11,'Fund Spending Data'!$C:$C = 688)),0)"),0.0)</f>
        <v>0</v>
      </c>
      <c r="M11" s="34">
        <f t="shared" si="4"/>
        <v>15919.38488</v>
      </c>
      <c r="N11" s="35"/>
      <c r="O11" s="34">
        <f t="shared" si="5"/>
        <v>15919.38488</v>
      </c>
    </row>
    <row r="12">
      <c r="A12" s="36" t="s">
        <v>34</v>
      </c>
      <c r="B12" s="27" t="str">
        <f>IFERROR(__xludf.DUMMYFUNCTION("FILTER('Endowed Funds'!$B:$B,'Endowed Funds'!$A:$A = $A12)")," Archaeology ")</f>
        <v>Archaeology</v>
      </c>
      <c r="C12" s="28">
        <f>IFERROR(__xludf.DUMMYFUNCTION("IFERROR(sum(FILTER('Fund Investment Data'!$V:$V, 'Fund Investment Data'!$C:$C = $A12)),0)"),125000.0)</f>
        <v>125000</v>
      </c>
      <c r="D12" s="28">
        <f>IFERROR(__xludf.DUMMYFUNCTION("IFERROR(FILTER('Fund Investment Data'!$R:$R,'Fund Investment Data'!$C:$C = $A12,'Fund Investment Data'!$A:$A = MAX('Fund Investment Data'!$A:$A), 'Fund Investment Data'!$B:$B = MAX(FILTER('Fund Investment Data'!$B:$B,'Fund Investment Data'!$C:$C = $A12,'F"&amp;"und Investment Data'!$A:$A = MAX('Fund Investment Data'!$A:$A)))),0)"),141101.06025716526)</f>
        <v>141101.0603</v>
      </c>
      <c r="E12" s="29">
        <f>IFERROR(__xludf.DUMMYFUNCTION("IFERROR(FILTER('Fund Investment Data'!$P:$P,'Fund Investment Data'!$C:$C = $A12,'Fund Investment Data'!$A:$A = MAX('Fund Investment Data'!$A:$A), 'Fund Investment Data'!$B:$B = MAX(FILTER('Fund Investment Data'!$B:$B,'Fund Investment Data'!$C:$C = $A12,'F"&amp;"und Investment Data'!$A:$A = MAX('Fund Investment Data'!$A:$A)))),0)"),138908.96999999997)</f>
        <v>138908.97</v>
      </c>
      <c r="F12" s="30">
        <f t="shared" si="1"/>
        <v>1.11127176</v>
      </c>
      <c r="G12" s="31">
        <f t="shared" si="2"/>
        <v>0.9844643956</v>
      </c>
      <c r="H12" s="32">
        <f>IFERROR(__xludf.DUMMYFUNCTION("IFERROR(FILTER('Fund Investment Data'!$AD:$AD,'Fund Investment Data'!$C:$C = $A12,'Fund Investment Data'!$A:$A = MAX('Fund Investment Data'!$A:$A), 'Fund Investment Data'!$B:$B = MAX(FILTER('Fund Investment Data'!$B:$B,'Fund Investment Data'!$C:$C = $A12,"&amp;"'Fund Investment Data'!$A:$A = MAX('Fund Investment Data'!$A:$A)))),0)"),6494.4426054152345)</f>
        <v>6494.442605</v>
      </c>
      <c r="I12" s="32">
        <f>IFERROR(__xludf.DUMMYFUNCTION("IFERROR(FILTER('Fund Investment Data'!$E:$E,'Fund Investment Data'!$C:$C = $A12,'Fund Investment Data'!$A:$A = MAX('Fund Investment Data'!$A:$A), 'Fund Investment Data'!$B:$B = MAX(FILTER('Fund Investment Data'!$B:$B,'Fund Investment Data'!$C:$C = $A12,'F"&amp;"und Investment Data'!$A:$A = MAX('Fund Investment Data'!$A:$A)))),0)"),0.0)</f>
        <v>0</v>
      </c>
      <c r="J12" s="33">
        <f t="shared" si="3"/>
        <v>6494.442605</v>
      </c>
      <c r="K12" s="32">
        <f>IFERROR(__xludf.DUMMYFUNCTION("IFERROR(SUM(FILTER('Fund Spending Data'!$F:$F,'Fund Spending Data'!$A:$A = $A12,'Fund Spending Data'!$C:$C &lt;&gt; 688)) + SUM(FILTER('Fund Spending Data'!$G:$G,'Fund Spending Data'!$A:$A = $A12,'Fund Spending Data'!$C:$C &lt;&gt; 688)),0)"),0.0)</f>
        <v>0</v>
      </c>
      <c r="L12" s="32">
        <f>IFERROR(__xludf.DUMMYFUNCTION("IFERROR(SUM(FILTER('Fund Spending Data'!$F:$F,'Fund Spending Data'!$A:$A = $A12,'Fund Spending Data'!$C:$C = 688)) + SUM(FILTER('Fund Spending Data'!$G:$G,'Fund Spending Data'!$A:$A = $A12,'Fund Spending Data'!$C:$C = 688)),0)"),0.0)</f>
        <v>0</v>
      </c>
      <c r="M12" s="34">
        <f t="shared" si="4"/>
        <v>6494.442605</v>
      </c>
      <c r="N12" s="35"/>
      <c r="O12" s="34">
        <f t="shared" si="5"/>
        <v>6494.442605</v>
      </c>
    </row>
    <row r="13">
      <c r="A13" s="36" t="s">
        <v>35</v>
      </c>
      <c r="B13" s="27" t="str">
        <f>IFERROR(__xludf.DUMMYFUNCTION("FILTER('Endowed Funds'!$B:$B,'Endowed Funds'!$A:$A = $A13)")," Archaeology ")</f>
        <v>Archaeology</v>
      </c>
      <c r="C13" s="28">
        <f>IFERROR(__xludf.DUMMYFUNCTION("IFERROR(sum(FILTER('Fund Investment Data'!$V:$V, 'Fund Investment Data'!$C:$C = $A13)),0)"),1086625.0)</f>
        <v>1086625</v>
      </c>
      <c r="D13" s="28">
        <f>IFERROR(__xludf.DUMMYFUNCTION("IFERROR(FILTER('Fund Investment Data'!$R:$R,'Fund Investment Data'!$C:$C = $A13,'Fund Investment Data'!$A:$A = MAX('Fund Investment Data'!$A:$A), 'Fund Investment Data'!$B:$B = MAX(FILTER('Fund Investment Data'!$B:$B,'Fund Investment Data'!$C:$C = $A13,'F"&amp;"und Investment Data'!$A:$A = MAX('Fund Investment Data'!$A:$A)))),0)"),1646621.8302502343)</f>
        <v>1646621.83</v>
      </c>
      <c r="E13" s="29">
        <f>IFERROR(__xludf.DUMMYFUNCTION("IFERROR(FILTER('Fund Investment Data'!$P:$P,'Fund Investment Data'!$C:$C = $A13,'Fund Investment Data'!$A:$A = MAX('Fund Investment Data'!$A:$A), 'Fund Investment Data'!$B:$B = MAX(FILTER('Fund Investment Data'!$B:$B,'Fund Investment Data'!$C:$C = $A13,'F"&amp;"und Investment Data'!$A:$A = MAX('Fund Investment Data'!$A:$A)))),0)"),1365440.4200000004)</f>
        <v>1365440.42</v>
      </c>
      <c r="F13" s="30">
        <f t="shared" si="1"/>
        <v>1.256588446</v>
      </c>
      <c r="G13" s="31">
        <f t="shared" si="2"/>
        <v>0.8292374089</v>
      </c>
      <c r="H13" s="32">
        <f>IFERROR(__xludf.DUMMYFUNCTION("IFERROR(FILTER('Fund Investment Data'!$AD:$AD,'Fund Investment Data'!$C:$C = $A13,'Fund Investment Data'!$A:$A = MAX('Fund Investment Data'!$A:$A), 'Fund Investment Data'!$B:$B = MAX(FILTER('Fund Investment Data'!$B:$B,'Fund Investment Data'!$C:$C = $A13,"&amp;"'Fund Investment Data'!$A:$A = MAX('Fund Investment Data'!$A:$A)))),0)"),65486.33773894091)</f>
        <v>65486.33774</v>
      </c>
      <c r="I13" s="32">
        <f>IFERROR(__xludf.DUMMYFUNCTION("IFERROR(FILTER('Fund Investment Data'!$E:$E,'Fund Investment Data'!$C:$C = $A13,'Fund Investment Data'!$A:$A = MAX('Fund Investment Data'!$A:$A), 'Fund Investment Data'!$B:$B = MAX(FILTER('Fund Investment Data'!$B:$B,'Fund Investment Data'!$C:$C = $A13,'F"&amp;"und Investment Data'!$A:$A = MAX('Fund Investment Data'!$A:$A)))),0)"),0.0)</f>
        <v>0</v>
      </c>
      <c r="J13" s="33">
        <f t="shared" si="3"/>
        <v>65486.33774</v>
      </c>
      <c r="K13" s="32">
        <f>IFERROR(__xludf.DUMMYFUNCTION("IFERROR(SUM(FILTER('Fund Spending Data'!$F:$F,'Fund Spending Data'!$A:$A = $A13,'Fund Spending Data'!$C:$C &lt;&gt; 688)) + SUM(FILTER('Fund Spending Data'!$G:$G,'Fund Spending Data'!$A:$A = $A13,'Fund Spending Data'!$C:$C &lt;&gt; 688)),0)"),-41603.76999999998)</f>
        <v>-41603.77</v>
      </c>
      <c r="L13" s="32">
        <f>IFERROR(__xludf.DUMMYFUNCTION("IFERROR(SUM(FILTER('Fund Spending Data'!$F:$F,'Fund Spending Data'!$A:$A = $A13,'Fund Spending Data'!$C:$C = 688)) + SUM(FILTER('Fund Spending Data'!$G:$G,'Fund Spending Data'!$A:$A = $A13,'Fund Spending Data'!$C:$C = 688)),0)"),0.0)</f>
        <v>0</v>
      </c>
      <c r="M13" s="34">
        <f t="shared" si="4"/>
        <v>23882.56774</v>
      </c>
      <c r="N13" s="35"/>
      <c r="O13" s="34">
        <f t="shared" si="5"/>
        <v>23882.56774</v>
      </c>
    </row>
    <row r="14">
      <c r="A14" s="26" t="s">
        <v>36</v>
      </c>
      <c r="B14" s="27" t="str">
        <f>IFERROR(__xludf.DUMMYFUNCTION("FILTER('Endowed Funds'!$B:$B,'Endowed Funds'!$A:$A = $A14)")," Education ")</f>
        <v>Education</v>
      </c>
      <c r="C14" s="28">
        <f>IFERROR(__xludf.DUMMYFUNCTION("IFERROR(sum(FILTER('Fund Investment Data'!$V:$V, 'Fund Investment Data'!$C:$C = $A14)),0)"),429067.24)</f>
        <v>429067.24</v>
      </c>
      <c r="D14" s="28">
        <f>IFERROR(__xludf.DUMMYFUNCTION("IFERROR(FILTER('Fund Investment Data'!$R:$R,'Fund Investment Data'!$C:$C = $A14,'Fund Investment Data'!$A:$A = MAX('Fund Investment Data'!$A:$A), 'Fund Investment Data'!$B:$B = MAX(FILTER('Fund Investment Data'!$B:$B,'Fund Investment Data'!$C:$C = $A14,'F"&amp;"und Investment Data'!$A:$A = MAX('Fund Investment Data'!$A:$A)))),0)"),662598.0199007782)</f>
        <v>662598.0199</v>
      </c>
      <c r="E14" s="29">
        <f>IFERROR(__xludf.DUMMYFUNCTION("IFERROR(FILTER('Fund Investment Data'!$P:$P,'Fund Investment Data'!$C:$C = $A14,'Fund Investment Data'!$A:$A = MAX('Fund Investment Data'!$A:$A), 'Fund Investment Data'!$B:$B = MAX(FILTER('Fund Investment Data'!$B:$B,'Fund Investment Data'!$C:$C = $A14,'F"&amp;"und Investment Data'!$A:$A = MAX('Fund Investment Data'!$A:$A)))),0)"),415069.2)</f>
        <v>415069.2</v>
      </c>
      <c r="F14" s="30">
        <f t="shared" si="1"/>
        <v>0.9673756496</v>
      </c>
      <c r="G14" s="31">
        <f t="shared" si="2"/>
        <v>0.6264268645</v>
      </c>
      <c r="H14" s="32">
        <f>IFERROR(__xludf.DUMMYFUNCTION("IFERROR(FILTER('Fund Investment Data'!$AD:$AD,'Fund Investment Data'!$C:$C = $A14,'Fund Investment Data'!$A:$A = MAX('Fund Investment Data'!$A:$A), 'Fund Investment Data'!$B:$B = MAX(FILTER('Fund Investment Data'!$B:$B,'Fund Investment Data'!$C:$C = $A14,"&amp;"'Fund Investment Data'!$A:$A = MAX('Fund Investment Data'!$A:$A)))),0)"),20080.70080927512)</f>
        <v>20080.70081</v>
      </c>
      <c r="I14" s="32">
        <f>IFERROR(__xludf.DUMMYFUNCTION("IFERROR(FILTER('Fund Investment Data'!$E:$E,'Fund Investment Data'!$C:$C = $A14,'Fund Investment Data'!$A:$A = MAX('Fund Investment Data'!$A:$A), 'Fund Investment Data'!$B:$B = MAX(FILTER('Fund Investment Data'!$B:$B,'Fund Investment Data'!$C:$C = $A14,'F"&amp;"und Investment Data'!$A:$A = MAX('Fund Investment Data'!$A:$A)))),0)"),0.0)</f>
        <v>0</v>
      </c>
      <c r="J14" s="33">
        <f t="shared" si="3"/>
        <v>20080.70081</v>
      </c>
      <c r="K14" s="32">
        <f>IFERROR(__xludf.DUMMYFUNCTION("IFERROR(SUM(FILTER('Fund Spending Data'!$F:$F,'Fund Spending Data'!$A:$A = $A14,'Fund Spending Data'!$C:$C &lt;&gt; 688)) + SUM(FILTER('Fund Spending Data'!$G:$G,'Fund Spending Data'!$A:$A = $A14,'Fund Spending Data'!$C:$C &lt;&gt; 688)),0)"),0.0)</f>
        <v>0</v>
      </c>
      <c r="L14" s="32">
        <f>IFERROR(__xludf.DUMMYFUNCTION("IFERROR(SUM(FILTER('Fund Spending Data'!$F:$F,'Fund Spending Data'!$A:$A = $A14,'Fund Spending Data'!$C:$C = 688)) + SUM(FILTER('Fund Spending Data'!$G:$G,'Fund Spending Data'!$A:$A = $A14,'Fund Spending Data'!$C:$C = 688)),0)"),0.0)</f>
        <v>0</v>
      </c>
      <c r="M14" s="34">
        <f t="shared" si="4"/>
        <v>20080.70081</v>
      </c>
      <c r="N14" s="35"/>
      <c r="O14" s="34">
        <f t="shared" si="5"/>
        <v>20080.70081</v>
      </c>
    </row>
    <row r="15">
      <c r="A15" s="36" t="s">
        <v>37</v>
      </c>
      <c r="B15" s="27" t="str">
        <f>IFERROR(__xludf.DUMMYFUNCTION("FILTER('Endowed Funds'!$B:$B,'Endowed Funds'!$A:$A = $A15)")," Education ")</f>
        <v>Education</v>
      </c>
      <c r="C15" s="28">
        <f>IFERROR(__xludf.DUMMYFUNCTION("IFERROR(sum(FILTER('Fund Investment Data'!$V:$V, 'Fund Investment Data'!$C:$C = $A15)),0)"),758137.86)</f>
        <v>758137.86</v>
      </c>
      <c r="D15" s="28">
        <f>IFERROR(__xludf.DUMMYFUNCTION("IFERROR(FILTER('Fund Investment Data'!$R:$R,'Fund Investment Data'!$C:$C = $A15,'Fund Investment Data'!$A:$A = MAX('Fund Investment Data'!$A:$A), 'Fund Investment Data'!$B:$B = MAX(FILTER('Fund Investment Data'!$B:$B,'Fund Investment Data'!$C:$C = $A15,'F"&amp;"und Investment Data'!$A:$A = MAX('Fund Investment Data'!$A:$A)))),0)"),881697.588746364)</f>
        <v>881697.5887</v>
      </c>
      <c r="E15" s="29">
        <f>IFERROR(__xludf.DUMMYFUNCTION("IFERROR(FILTER('Fund Investment Data'!$P:$P,'Fund Investment Data'!$C:$C = $A15,'Fund Investment Data'!$A:$A = MAX('Fund Investment Data'!$A:$A), 'Fund Investment Data'!$B:$B = MAX(FILTER('Fund Investment Data'!$B:$B,'Fund Investment Data'!$C:$C = $A15,'F"&amp;"und Investment Data'!$A:$A = MAX('Fund Investment Data'!$A:$A)))),0)"),762052.7999999999)</f>
        <v>762052.8</v>
      </c>
      <c r="F15" s="30">
        <f t="shared" si="1"/>
        <v>1.005163889</v>
      </c>
      <c r="G15" s="31">
        <f t="shared" si="2"/>
        <v>0.8643017852</v>
      </c>
      <c r="H15" s="32">
        <f>IFERROR(__xludf.DUMMYFUNCTION("IFERROR(FILTER('Fund Investment Data'!$AD:$AD,'Fund Investment Data'!$C:$C = $A15,'Fund Investment Data'!$A:$A = MAX('Fund Investment Data'!$A:$A), 'Fund Investment Data'!$B:$B = MAX(FILTER('Fund Investment Data'!$B:$B,'Fund Investment Data'!$C:$C = $A15,"&amp;"'Fund Investment Data'!$A:$A = MAX('Fund Investment Data'!$A:$A)))),0)"),36725.50349978539)</f>
        <v>36725.5035</v>
      </c>
      <c r="I15" s="32">
        <f>IFERROR(__xludf.DUMMYFUNCTION("IFERROR(FILTER('Fund Investment Data'!$E:$E,'Fund Investment Data'!$C:$C = $A15,'Fund Investment Data'!$A:$A = MAX('Fund Investment Data'!$A:$A), 'Fund Investment Data'!$B:$B = MAX(FILTER('Fund Investment Data'!$B:$B,'Fund Investment Data'!$C:$C = $A15,'F"&amp;"und Investment Data'!$A:$A = MAX('Fund Investment Data'!$A:$A)))),0)"),0.0)</f>
        <v>0</v>
      </c>
      <c r="J15" s="33">
        <f t="shared" si="3"/>
        <v>36725.5035</v>
      </c>
      <c r="K15" s="32">
        <f>IFERROR(__xludf.DUMMYFUNCTION("IFERROR(SUM(FILTER('Fund Spending Data'!$F:$F,'Fund Spending Data'!$A:$A = $A15,'Fund Spending Data'!$C:$C &lt;&gt; 688)) + SUM(FILTER('Fund Spending Data'!$G:$G,'Fund Spending Data'!$A:$A = $A15,'Fund Spending Data'!$C:$C &lt;&gt; 688)),0)"),0.0)</f>
        <v>0</v>
      </c>
      <c r="L15" s="32">
        <f>IFERROR(__xludf.DUMMYFUNCTION("IFERROR(SUM(FILTER('Fund Spending Data'!$F:$F,'Fund Spending Data'!$A:$A = $A15,'Fund Spending Data'!$C:$C = 688)) + SUM(FILTER('Fund Spending Data'!$G:$G,'Fund Spending Data'!$A:$A = $A15,'Fund Spending Data'!$C:$C = 688)),0)"),0.0)</f>
        <v>0</v>
      </c>
      <c r="M15" s="34">
        <f t="shared" si="4"/>
        <v>36725.5035</v>
      </c>
      <c r="N15" s="35"/>
      <c r="O15" s="34">
        <f t="shared" si="5"/>
        <v>36725.5035</v>
      </c>
    </row>
    <row r="16">
      <c r="A16" s="36" t="s">
        <v>38</v>
      </c>
      <c r="B16" s="27" t="str">
        <f>IFERROR(__xludf.DUMMYFUNCTION("FILTER('Endowed Funds'!$B:$B,'Endowed Funds'!$A:$A = $A16)")," Education ")</f>
        <v>Education</v>
      </c>
      <c r="C16" s="28">
        <f>IFERROR(__xludf.DUMMYFUNCTION("IFERROR(sum(FILTER('Fund Investment Data'!$V:$V, 'Fund Investment Data'!$C:$C = $A16)),0)"),556601.64)</f>
        <v>556601.64</v>
      </c>
      <c r="D16" s="28">
        <f>IFERROR(__xludf.DUMMYFUNCTION("IFERROR(FILTER('Fund Investment Data'!$R:$R,'Fund Investment Data'!$C:$C = $A16,'Fund Investment Data'!$A:$A = MAX('Fund Investment Data'!$A:$A), 'Fund Investment Data'!$B:$B = MAX(FILTER('Fund Investment Data'!$B:$B,'Fund Investment Data'!$C:$C = $A16,'F"&amp;"und Investment Data'!$A:$A = MAX('Fund Investment Data'!$A:$A)))),0)"),732485.9457678949)</f>
        <v>732485.9458</v>
      </c>
      <c r="E16" s="29">
        <f>IFERROR(__xludf.DUMMYFUNCTION("IFERROR(FILTER('Fund Investment Data'!$P:$P,'Fund Investment Data'!$C:$C = $A16,'Fund Investment Data'!$A:$A = MAX('Fund Investment Data'!$A:$A), 'Fund Investment Data'!$B:$B = MAX(FILTER('Fund Investment Data'!$B:$B,'Fund Investment Data'!$C:$C = $A16,'F"&amp;"und Investment Data'!$A:$A = MAX('Fund Investment Data'!$A:$A)))),0)"),776227.9700000001)</f>
        <v>776227.97</v>
      </c>
      <c r="F16" s="30">
        <f t="shared" si="1"/>
        <v>1.39458441</v>
      </c>
      <c r="G16" s="31">
        <f t="shared" si="2"/>
        <v>1.05971722</v>
      </c>
      <c r="H16" s="32">
        <f>IFERROR(__xludf.DUMMYFUNCTION("IFERROR(FILTER('Fund Investment Data'!$AD:$AD,'Fund Investment Data'!$C:$C = $A16,'Fund Investment Data'!$A:$A = MAX('Fund Investment Data'!$A:$A), 'Fund Investment Data'!$B:$B = MAX(FILTER('Fund Investment Data'!$B:$B,'Fund Investment Data'!$C:$C = $A16,"&amp;"'Fund Investment Data'!$A:$A = MAX('Fund Investment Data'!$A:$A)))),0)"),33458.91992813064)</f>
        <v>33458.91993</v>
      </c>
      <c r="I16" s="32">
        <f>IFERROR(__xludf.DUMMYFUNCTION("IFERROR(FILTER('Fund Investment Data'!$E:$E,'Fund Investment Data'!$C:$C = $A16,'Fund Investment Data'!$A:$A = MAX('Fund Investment Data'!$A:$A), 'Fund Investment Data'!$B:$B = MAX(FILTER('Fund Investment Data'!$B:$B,'Fund Investment Data'!$C:$C = $A16,'F"&amp;"und Investment Data'!$A:$A = MAX('Fund Investment Data'!$A:$A)))),0)"),0.0)</f>
        <v>0</v>
      </c>
      <c r="J16" s="33">
        <f t="shared" si="3"/>
        <v>33458.91993</v>
      </c>
      <c r="K16" s="32">
        <f>IFERROR(__xludf.DUMMYFUNCTION("IFERROR(SUM(FILTER('Fund Spending Data'!$F:$F,'Fund Spending Data'!$A:$A = $A16,'Fund Spending Data'!$C:$C &lt;&gt; 688)) + SUM(FILTER('Fund Spending Data'!$G:$G,'Fund Spending Data'!$A:$A = $A16,'Fund Spending Data'!$C:$C &lt;&gt; 688)),0)"),0.0)</f>
        <v>0</v>
      </c>
      <c r="L16" s="32">
        <f>IFERROR(__xludf.DUMMYFUNCTION("IFERROR(SUM(FILTER('Fund Spending Data'!$F:$F,'Fund Spending Data'!$A:$A = $A16,'Fund Spending Data'!$C:$C = 688)) + SUM(FILTER('Fund Spending Data'!$G:$G,'Fund Spending Data'!$A:$A = $A16,'Fund Spending Data'!$C:$C = 688)),0)"),0.0)</f>
        <v>0</v>
      </c>
      <c r="M16" s="34">
        <f t="shared" si="4"/>
        <v>33458.91993</v>
      </c>
      <c r="N16" s="35"/>
      <c r="O16" s="34">
        <f t="shared" si="5"/>
        <v>33458.91993</v>
      </c>
    </row>
    <row r="17">
      <c r="A17" s="36" t="s">
        <v>39</v>
      </c>
      <c r="B17" s="27" t="str">
        <f>IFERROR(__xludf.DUMMYFUNCTION("FILTER('Endowed Funds'!$B:$B,'Endowed Funds'!$A:$A = $A17)")," Education ")</f>
        <v>Education</v>
      </c>
      <c r="C17" s="28">
        <f>IFERROR(__xludf.DUMMYFUNCTION("IFERROR(sum(FILTER('Fund Investment Data'!$V:$V, 'Fund Investment Data'!$C:$C = $A17)),0)"),185000.0)</f>
        <v>185000</v>
      </c>
      <c r="D17" s="28">
        <f>IFERROR(__xludf.DUMMYFUNCTION("IFERROR(FILTER('Fund Investment Data'!$R:$R,'Fund Investment Data'!$C:$C = $A17,'Fund Investment Data'!$A:$A = MAX('Fund Investment Data'!$A:$A), 'Fund Investment Data'!$B:$B = MAX(FILTER('Fund Investment Data'!$B:$B,'Fund Investment Data'!$C:$C = $A17,'F"&amp;"und Investment Data'!$A:$A = MAX('Fund Investment Data'!$A:$A)))),0)"),208132.69866039557)</f>
        <v>208132.6987</v>
      </c>
      <c r="E17" s="29">
        <f>IFERROR(__xludf.DUMMYFUNCTION("IFERROR(FILTER('Fund Investment Data'!$P:$P,'Fund Investment Data'!$C:$C = $A17,'Fund Investment Data'!$A:$A = MAX('Fund Investment Data'!$A:$A), 'Fund Investment Data'!$B:$B = MAX(FILTER('Fund Investment Data'!$B:$B,'Fund Investment Data'!$C:$C = $A17,'F"&amp;"und Investment Data'!$A:$A = MAX('Fund Investment Data'!$A:$A)))),0)"),195147.41000000006)</f>
        <v>195147.41</v>
      </c>
      <c r="F17" s="30">
        <f t="shared" si="1"/>
        <v>1.054850865</v>
      </c>
      <c r="G17" s="31">
        <f t="shared" si="2"/>
        <v>0.9376105305</v>
      </c>
      <c r="H17" s="32">
        <f>IFERROR(__xludf.DUMMYFUNCTION("IFERROR(FILTER('Fund Investment Data'!$AD:$AD,'Fund Investment Data'!$C:$C = $A17,'Fund Investment Data'!$A:$A = MAX('Fund Investment Data'!$A:$A), 'Fund Investment Data'!$B:$B = MAX(FILTER('Fund Investment Data'!$B:$B,'Fund Investment Data'!$C:$C = $A17,"&amp;"'Fund Investment Data'!$A:$A = MAX('Fund Investment Data'!$A:$A)))),0)"),8851.804091542224)</f>
        <v>8851.804092</v>
      </c>
      <c r="I17" s="32">
        <f>IFERROR(__xludf.DUMMYFUNCTION("IFERROR(FILTER('Fund Investment Data'!$E:$E,'Fund Investment Data'!$C:$C = $A17,'Fund Investment Data'!$A:$A = MAX('Fund Investment Data'!$A:$A), 'Fund Investment Data'!$B:$B = MAX(FILTER('Fund Investment Data'!$B:$B,'Fund Investment Data'!$C:$C = $A17,'F"&amp;"und Investment Data'!$A:$A = MAX('Fund Investment Data'!$A:$A)))),0)"),0.0)</f>
        <v>0</v>
      </c>
      <c r="J17" s="33">
        <f t="shared" si="3"/>
        <v>8851.804092</v>
      </c>
      <c r="K17" s="32">
        <f>IFERROR(__xludf.DUMMYFUNCTION("IFERROR(SUM(FILTER('Fund Spending Data'!$F:$F,'Fund Spending Data'!$A:$A = $A17,'Fund Spending Data'!$C:$C &lt;&gt; 688)) + SUM(FILTER('Fund Spending Data'!$G:$G,'Fund Spending Data'!$A:$A = $A17,'Fund Spending Data'!$C:$C &lt;&gt; 688)),0)"),0.0)</f>
        <v>0</v>
      </c>
      <c r="L17" s="32">
        <f>IFERROR(__xludf.DUMMYFUNCTION("IFERROR(SUM(FILTER('Fund Spending Data'!$F:$F,'Fund Spending Data'!$A:$A = $A17,'Fund Spending Data'!$C:$C = 688)) + SUM(FILTER('Fund Spending Data'!$G:$G,'Fund Spending Data'!$A:$A = $A17,'Fund Spending Data'!$C:$C = 688)),0)"),0.0)</f>
        <v>0</v>
      </c>
      <c r="M17" s="34">
        <f t="shared" si="4"/>
        <v>8851.804092</v>
      </c>
      <c r="N17" s="35"/>
      <c r="O17" s="34">
        <f t="shared" si="5"/>
        <v>8851.804092</v>
      </c>
    </row>
    <row r="18">
      <c r="A18" s="26" t="s">
        <v>40</v>
      </c>
      <c r="B18" s="27" t="str">
        <f>IFERROR(__xludf.DUMMYFUNCTION("FILTER('Endowed Funds'!$B:$B,'Endowed Funds'!$A:$A = $A18)")," Education ")</f>
        <v>Education</v>
      </c>
      <c r="C18" s="28">
        <f>IFERROR(__xludf.DUMMYFUNCTION("IFERROR(sum(FILTER('Fund Investment Data'!$V:$V, 'Fund Investment Data'!$C:$C = $A18)),0)"),129703.74)</f>
        <v>129703.74</v>
      </c>
      <c r="D18" s="28">
        <f>IFERROR(__xludf.DUMMYFUNCTION("IFERROR(FILTER('Fund Investment Data'!$R:$R,'Fund Investment Data'!$C:$C = $A18,'Fund Investment Data'!$A:$A = MAX('Fund Investment Data'!$A:$A), 'Fund Investment Data'!$B:$B = MAX(FILTER('Fund Investment Data'!$B:$B,'Fund Investment Data'!$C:$C = $A18,'F"&amp;"und Investment Data'!$A:$A = MAX('Fund Investment Data'!$A:$A)))),0)"),168247.09927307974)</f>
        <v>168247.0993</v>
      </c>
      <c r="E18" s="29">
        <f>IFERROR(__xludf.DUMMYFUNCTION("IFERROR(FILTER('Fund Investment Data'!$P:$P,'Fund Investment Data'!$C:$C = $A18,'Fund Investment Data'!$A:$A = MAX('Fund Investment Data'!$A:$A), 'Fund Investment Data'!$B:$B = MAX(FILTER('Fund Investment Data'!$B:$B,'Fund Investment Data'!$C:$C = $A18,'F"&amp;"und Investment Data'!$A:$A = MAX('Fund Investment Data'!$A:$A)))),0)"),143909.93999999992)</f>
        <v>143909.94</v>
      </c>
      <c r="F18" s="30">
        <f t="shared" si="1"/>
        <v>1.109528068</v>
      </c>
      <c r="G18" s="31">
        <f t="shared" si="2"/>
        <v>0.855348714</v>
      </c>
      <c r="H18" s="32">
        <f>IFERROR(__xludf.DUMMYFUNCTION("IFERROR(FILTER('Fund Investment Data'!$AD:$AD,'Fund Investment Data'!$C:$C = $A18,'Fund Investment Data'!$A:$A = MAX('Fund Investment Data'!$A:$A), 'Fund Investment Data'!$B:$B = MAX(FILTER('Fund Investment Data'!$B:$B,'Fund Investment Data'!$C:$C = $A18,"&amp;"'Fund Investment Data'!$A:$A = MAX('Fund Investment Data'!$A:$A)))),0)"),6912.271979014637)</f>
        <v>6912.271979</v>
      </c>
      <c r="I18" s="32">
        <f>IFERROR(__xludf.DUMMYFUNCTION("IFERROR(FILTER('Fund Investment Data'!$E:$E,'Fund Investment Data'!$C:$C = $A18,'Fund Investment Data'!$A:$A = MAX('Fund Investment Data'!$A:$A), 'Fund Investment Data'!$B:$B = MAX(FILTER('Fund Investment Data'!$B:$B,'Fund Investment Data'!$C:$C = $A18,'F"&amp;"und Investment Data'!$A:$A = MAX('Fund Investment Data'!$A:$A)))),0)"),0.0)</f>
        <v>0</v>
      </c>
      <c r="J18" s="33">
        <f t="shared" si="3"/>
        <v>6912.271979</v>
      </c>
      <c r="K18" s="32">
        <f>IFERROR(__xludf.DUMMYFUNCTION("IFERROR(SUM(FILTER('Fund Spending Data'!$F:$F,'Fund Spending Data'!$A:$A = $A18,'Fund Spending Data'!$C:$C &lt;&gt; 688)) + SUM(FILTER('Fund Spending Data'!$G:$G,'Fund Spending Data'!$A:$A = $A18,'Fund Spending Data'!$C:$C &lt;&gt; 688)),0)"),0.0)</f>
        <v>0</v>
      </c>
      <c r="L18" s="32">
        <f>IFERROR(__xludf.DUMMYFUNCTION("IFERROR(SUM(FILTER('Fund Spending Data'!$F:$F,'Fund Spending Data'!$A:$A = $A18,'Fund Spending Data'!$C:$C = 688)) + SUM(FILTER('Fund Spending Data'!$G:$G,'Fund Spending Data'!$A:$A = $A18,'Fund Spending Data'!$C:$C = 688)),0)"),0.0)</f>
        <v>0</v>
      </c>
      <c r="M18" s="34">
        <f t="shared" si="4"/>
        <v>6912.271979</v>
      </c>
      <c r="N18" s="35"/>
      <c r="O18" s="34">
        <f t="shared" si="5"/>
        <v>6912.271979</v>
      </c>
    </row>
    <row r="19">
      <c r="A19" s="26" t="s">
        <v>41</v>
      </c>
      <c r="B19" s="27" t="str">
        <f>IFERROR(__xludf.DUMMYFUNCTION("FILTER('Endowed Funds'!$B:$B,'Endowed Funds'!$A:$A = $A19)")," Education ")</f>
        <v>Education</v>
      </c>
      <c r="C19" s="28">
        <f>IFERROR(__xludf.DUMMYFUNCTION("IFERROR(sum(FILTER('Fund Investment Data'!$V:$V, 'Fund Investment Data'!$C:$C = $A19)),0)"),433755.86)</f>
        <v>433755.86</v>
      </c>
      <c r="D19" s="28">
        <f>IFERROR(__xludf.DUMMYFUNCTION("IFERROR(FILTER('Fund Investment Data'!$R:$R,'Fund Investment Data'!$C:$C = $A19,'Fund Investment Data'!$A:$A = MAX('Fund Investment Data'!$A:$A), 'Fund Investment Data'!$B:$B = MAX(FILTER('Fund Investment Data'!$B:$B,'Fund Investment Data'!$C:$C = $A19,'F"&amp;"und Investment Data'!$A:$A = MAX('Fund Investment Data'!$A:$A)))),0)"),613052.4595189982)</f>
        <v>613052.4595</v>
      </c>
      <c r="E19" s="29">
        <f>IFERROR(__xludf.DUMMYFUNCTION("IFERROR(FILTER('Fund Investment Data'!$P:$P,'Fund Investment Data'!$C:$C = $A19,'Fund Investment Data'!$A:$A = MAX('Fund Investment Data'!$A:$A), 'Fund Investment Data'!$B:$B = MAX(FILTER('Fund Investment Data'!$B:$B,'Fund Investment Data'!$C:$C = $A19,'F"&amp;"und Investment Data'!$A:$A = MAX('Fund Investment Data'!$A:$A)))),0)"),618084.36)</f>
        <v>618084.36</v>
      </c>
      <c r="F19" s="30">
        <f t="shared" si="1"/>
        <v>1.4249591</v>
      </c>
      <c r="G19" s="31">
        <f t="shared" si="2"/>
        <v>1.008207944</v>
      </c>
      <c r="H19" s="32">
        <f>IFERROR(__xludf.DUMMYFUNCTION("IFERROR(FILTER('Fund Investment Data'!$AD:$AD,'Fund Investment Data'!$C:$C = $A19,'Fund Investment Data'!$A:$A = MAX('Fund Investment Data'!$A:$A), 'Fund Investment Data'!$B:$B = MAX(FILTER('Fund Investment Data'!$B:$B,'Fund Investment Data'!$C:$C = $A19,"&amp;"'Fund Investment Data'!$A:$A = MAX('Fund Investment Data'!$A:$A)))),0)"),27436.70626719621)</f>
        <v>27436.70627</v>
      </c>
      <c r="I19" s="32">
        <f>IFERROR(__xludf.DUMMYFUNCTION("IFERROR(FILTER('Fund Investment Data'!$E:$E,'Fund Investment Data'!$C:$C = $A19,'Fund Investment Data'!$A:$A = MAX('Fund Investment Data'!$A:$A), 'Fund Investment Data'!$B:$B = MAX(FILTER('Fund Investment Data'!$B:$B,'Fund Investment Data'!$C:$C = $A19,'F"&amp;"und Investment Data'!$A:$A = MAX('Fund Investment Data'!$A:$A)))),0)"),0.0)</f>
        <v>0</v>
      </c>
      <c r="J19" s="33">
        <f t="shared" si="3"/>
        <v>27436.70627</v>
      </c>
      <c r="K19" s="32">
        <f>IFERROR(__xludf.DUMMYFUNCTION("IFERROR(SUM(FILTER('Fund Spending Data'!$F:$F,'Fund Spending Data'!$A:$A = $A19,'Fund Spending Data'!$C:$C &lt;&gt; 688)) + SUM(FILTER('Fund Spending Data'!$G:$G,'Fund Spending Data'!$A:$A = $A19,'Fund Spending Data'!$C:$C &lt;&gt; 688)),0)"),0.0)</f>
        <v>0</v>
      </c>
      <c r="L19" s="32">
        <f>IFERROR(__xludf.DUMMYFUNCTION("IFERROR(SUM(FILTER('Fund Spending Data'!$F:$F,'Fund Spending Data'!$A:$A = $A19,'Fund Spending Data'!$C:$C = 688)) + SUM(FILTER('Fund Spending Data'!$G:$G,'Fund Spending Data'!$A:$A = $A19,'Fund Spending Data'!$C:$C = 688)),0)"),0.0)</f>
        <v>0</v>
      </c>
      <c r="M19" s="34">
        <f t="shared" si="4"/>
        <v>27436.70627</v>
      </c>
      <c r="N19" s="35"/>
      <c r="O19" s="34">
        <f t="shared" si="5"/>
        <v>27436.70627</v>
      </c>
    </row>
    <row r="20">
      <c r="A20" s="36" t="s">
        <v>42</v>
      </c>
      <c r="B20" s="27" t="str">
        <f>IFERROR(__xludf.DUMMYFUNCTION("FILTER('Endowed Funds'!$B:$B,'Endowed Funds'!$A:$A = $A20)")," Education ")</f>
        <v>Education</v>
      </c>
      <c r="C20" s="28">
        <f>IFERROR(__xludf.DUMMYFUNCTION("IFERROR(sum(FILTER('Fund Investment Data'!$V:$V, 'Fund Investment Data'!$C:$C = $A20)),0)"),194469.0)</f>
        <v>194469</v>
      </c>
      <c r="D20" s="28">
        <f>IFERROR(__xludf.DUMMYFUNCTION("IFERROR(FILTER('Fund Investment Data'!$R:$R,'Fund Investment Data'!$C:$C = $A20,'Fund Investment Data'!$A:$A = MAX('Fund Investment Data'!$A:$A), 'Fund Investment Data'!$B:$B = MAX(FILTER('Fund Investment Data'!$B:$B,'Fund Investment Data'!$C:$C = $A20,'F"&amp;"und Investment Data'!$A:$A = MAX('Fund Investment Data'!$A:$A)))),0)"),250432.6143431344)</f>
        <v>250432.6143</v>
      </c>
      <c r="E20" s="29">
        <f>IFERROR(__xludf.DUMMYFUNCTION("IFERROR(FILTER('Fund Investment Data'!$P:$P,'Fund Investment Data'!$C:$C = $A20,'Fund Investment Data'!$A:$A = MAX('Fund Investment Data'!$A:$A), 'Fund Investment Data'!$B:$B = MAX(FILTER('Fund Investment Data'!$B:$B,'Fund Investment Data'!$C:$C = $A20,'F"&amp;"und Investment Data'!$A:$A = MAX('Fund Investment Data'!$A:$A)))),0)"),287999.37000000005)</f>
        <v>287999.37</v>
      </c>
      <c r="F20" s="30">
        <f t="shared" si="1"/>
        <v>1.480952594</v>
      </c>
      <c r="G20" s="31">
        <f t="shared" si="2"/>
        <v>1.150007441</v>
      </c>
      <c r="H20" s="32">
        <f>IFERROR(__xludf.DUMMYFUNCTION("IFERROR(FILTER('Fund Investment Data'!$AD:$AD,'Fund Investment Data'!$C:$C = $A20,'Fund Investment Data'!$A:$A = MAX('Fund Investment Data'!$A:$A), 'Fund Investment Data'!$B:$B = MAX(FILTER('Fund Investment Data'!$B:$B,'Fund Investment Data'!$C:$C = $A20,"&amp;"'Fund Investment Data'!$A:$A = MAX('Fund Investment Data'!$A:$A)))),0)"),11964.717004244381)</f>
        <v>11964.717</v>
      </c>
      <c r="I20" s="32">
        <f>IFERROR(__xludf.DUMMYFUNCTION("IFERROR(FILTER('Fund Investment Data'!$E:$E,'Fund Investment Data'!$C:$C = $A20,'Fund Investment Data'!$A:$A = MAX('Fund Investment Data'!$A:$A), 'Fund Investment Data'!$B:$B = MAX(FILTER('Fund Investment Data'!$B:$B,'Fund Investment Data'!$C:$C = $A20,'F"&amp;"und Investment Data'!$A:$A = MAX('Fund Investment Data'!$A:$A)))),0)"),0.0)</f>
        <v>0</v>
      </c>
      <c r="J20" s="33">
        <f t="shared" si="3"/>
        <v>11964.717</v>
      </c>
      <c r="K20" s="32">
        <f>IFERROR(__xludf.DUMMYFUNCTION("IFERROR(SUM(FILTER('Fund Spending Data'!$F:$F,'Fund Spending Data'!$A:$A = $A20,'Fund Spending Data'!$C:$C &lt;&gt; 688)) + SUM(FILTER('Fund Spending Data'!$G:$G,'Fund Spending Data'!$A:$A = $A20,'Fund Spending Data'!$C:$C &lt;&gt; 688)),0)"),-2154.9500000000003)</f>
        <v>-2154.95</v>
      </c>
      <c r="L20" s="32">
        <f>IFERROR(__xludf.DUMMYFUNCTION("IFERROR(SUM(FILTER('Fund Spending Data'!$F:$F,'Fund Spending Data'!$A:$A = $A20,'Fund Spending Data'!$C:$C = 688)) + SUM(FILTER('Fund Spending Data'!$G:$G,'Fund Spending Data'!$A:$A = $A20,'Fund Spending Data'!$C:$C = 688)),0)"),0.0)</f>
        <v>0</v>
      </c>
      <c r="M20" s="34">
        <f t="shared" si="4"/>
        <v>9809.767004</v>
      </c>
      <c r="N20" s="35"/>
      <c r="O20" s="34">
        <f t="shared" si="5"/>
        <v>9809.767004</v>
      </c>
    </row>
    <row r="21">
      <c r="A21" s="36" t="s">
        <v>43</v>
      </c>
      <c r="B21" s="27" t="str">
        <f>IFERROR(__xludf.DUMMYFUNCTION("FILTER('Endowed Funds'!$B:$B,'Endowed Funds'!$A:$A = $A21)")," Education ")</f>
        <v>Education</v>
      </c>
      <c r="C21" s="28">
        <f>IFERROR(__xludf.DUMMYFUNCTION("IFERROR(sum(FILTER('Fund Investment Data'!$V:$V, 'Fund Investment Data'!$C:$C = $A21)),0)"),100000.0)</f>
        <v>100000</v>
      </c>
      <c r="D21" s="28">
        <f>IFERROR(__xludf.DUMMYFUNCTION("IFERROR(FILTER('Fund Investment Data'!$R:$R,'Fund Investment Data'!$C:$C = $A21,'Fund Investment Data'!$A:$A = MAX('Fund Investment Data'!$A:$A), 'Fund Investment Data'!$B:$B = MAX(FILTER('Fund Investment Data'!$B:$B,'Fund Investment Data'!$C:$C = $A21,'F"&amp;"und Investment Data'!$A:$A = MAX('Fund Investment Data'!$A:$A)))),0)"),136272.94536437158)</f>
        <v>136272.9454</v>
      </c>
      <c r="E21" s="29">
        <f>IFERROR(__xludf.DUMMYFUNCTION("IFERROR(FILTER('Fund Investment Data'!$P:$P,'Fund Investment Data'!$C:$C = $A21,'Fund Investment Data'!$A:$A = MAX('Fund Investment Data'!$A:$A), 'Fund Investment Data'!$B:$B = MAX(FILTER('Fund Investment Data'!$B:$B,'Fund Investment Data'!$C:$C = $A21,'F"&amp;"und Investment Data'!$A:$A = MAX('Fund Investment Data'!$A:$A)))),0)"),116317.48000000004)</f>
        <v>116317.48</v>
      </c>
      <c r="F21" s="30">
        <f t="shared" si="1"/>
        <v>1.1631748</v>
      </c>
      <c r="G21" s="31">
        <f t="shared" si="2"/>
        <v>0.8535625299</v>
      </c>
      <c r="H21" s="32">
        <f>IFERROR(__xludf.DUMMYFUNCTION("IFERROR(FILTER('Fund Investment Data'!$AD:$AD,'Fund Investment Data'!$C:$C = $A21,'Fund Investment Data'!$A:$A = MAX('Fund Investment Data'!$A:$A), 'Fund Investment Data'!$B:$B = MAX(FILTER('Fund Investment Data'!$B:$B,'Fund Investment Data'!$C:$C = $A21,"&amp;"'Fund Investment Data'!$A:$A = MAX('Fund Investment Data'!$A:$A)))),0)"),5599.670961425052)</f>
        <v>5599.670961</v>
      </c>
      <c r="I21" s="32">
        <f>IFERROR(__xludf.DUMMYFUNCTION("IFERROR(FILTER('Fund Investment Data'!$E:$E,'Fund Investment Data'!$C:$C = $A21,'Fund Investment Data'!$A:$A = MAX('Fund Investment Data'!$A:$A), 'Fund Investment Data'!$B:$B = MAX(FILTER('Fund Investment Data'!$B:$B,'Fund Investment Data'!$C:$C = $A21,'F"&amp;"und Investment Data'!$A:$A = MAX('Fund Investment Data'!$A:$A)))),0)"),0.0)</f>
        <v>0</v>
      </c>
      <c r="J21" s="33">
        <f t="shared" si="3"/>
        <v>5599.670961</v>
      </c>
      <c r="K21" s="32">
        <f>IFERROR(__xludf.DUMMYFUNCTION("IFERROR(SUM(FILTER('Fund Spending Data'!$F:$F,'Fund Spending Data'!$A:$A = $A21,'Fund Spending Data'!$C:$C &lt;&gt; 688)) + SUM(FILTER('Fund Spending Data'!$G:$G,'Fund Spending Data'!$A:$A = $A21,'Fund Spending Data'!$C:$C &lt;&gt; 688)),0)"),0.0)</f>
        <v>0</v>
      </c>
      <c r="L21" s="32">
        <f>IFERROR(__xludf.DUMMYFUNCTION("IFERROR(SUM(FILTER('Fund Spending Data'!$F:$F,'Fund Spending Data'!$A:$A = $A21,'Fund Spending Data'!$C:$C = 688)) + SUM(FILTER('Fund Spending Data'!$G:$G,'Fund Spending Data'!$A:$A = $A21,'Fund Spending Data'!$C:$C = 688)),0)"),0.0)</f>
        <v>0</v>
      </c>
      <c r="M21" s="34">
        <f t="shared" si="4"/>
        <v>5599.670961</v>
      </c>
      <c r="N21" s="35"/>
      <c r="O21" s="34">
        <f t="shared" si="5"/>
        <v>5599.670961</v>
      </c>
    </row>
    <row r="22">
      <c r="A22" s="36" t="s">
        <v>44</v>
      </c>
      <c r="B22" s="27" t="str">
        <f>IFERROR(__xludf.DUMMYFUNCTION("FILTER('Endowed Funds'!$B:$B,'Endowed Funds'!$A:$A = $A22)")," Education ")</f>
        <v>Education</v>
      </c>
      <c r="C22" s="28">
        <f>IFERROR(__xludf.DUMMYFUNCTION("IFERROR(sum(FILTER('Fund Investment Data'!$V:$V, 'Fund Investment Data'!$C:$C = $A22)),0)"),250000.0)</f>
        <v>250000</v>
      </c>
      <c r="D22" s="28">
        <f>IFERROR(__xludf.DUMMYFUNCTION("IFERROR(FILTER('Fund Investment Data'!$R:$R,'Fund Investment Data'!$C:$C = $A22,'Fund Investment Data'!$A:$A = MAX('Fund Investment Data'!$A:$A), 'Fund Investment Data'!$B:$B = MAX(FILTER('Fund Investment Data'!$B:$B,'Fund Investment Data'!$C:$C = $A22,'F"&amp;"und Investment Data'!$A:$A = MAX('Fund Investment Data'!$A:$A)))),0)"),335306.21169992455)</f>
        <v>335306.2117</v>
      </c>
      <c r="E22" s="29">
        <f>IFERROR(__xludf.DUMMYFUNCTION("IFERROR(FILTER('Fund Investment Data'!$P:$P,'Fund Investment Data'!$C:$C = $A22,'Fund Investment Data'!$A:$A = MAX('Fund Investment Data'!$A:$A), 'Fund Investment Data'!$B:$B = MAX(FILTER('Fund Investment Data'!$B:$B,'Fund Investment Data'!$C:$C = $A22,'F"&amp;"und Investment Data'!$A:$A = MAX('Fund Investment Data'!$A:$A)))),0)"),264338.2800000001)</f>
        <v>264338.28</v>
      </c>
      <c r="F22" s="30">
        <f t="shared" si="1"/>
        <v>1.05735312</v>
      </c>
      <c r="G22" s="31">
        <f t="shared" si="2"/>
        <v>0.7883488906</v>
      </c>
      <c r="H22" s="32">
        <f>IFERROR(__xludf.DUMMYFUNCTION("IFERROR(FILTER('Fund Investment Data'!$AD:$AD,'Fund Investment Data'!$C:$C = $A22,'Fund Investment Data'!$A:$A = MAX('Fund Investment Data'!$A:$A), 'Fund Investment Data'!$B:$B = MAX(FILTER('Fund Investment Data'!$B:$B,'Fund Investment Data'!$C:$C = $A22,"&amp;"'Fund Investment Data'!$A:$A = MAX('Fund Investment Data'!$A:$A)))),0)"),12772.321640113343)</f>
        <v>12772.32164</v>
      </c>
      <c r="I22" s="32">
        <f>IFERROR(__xludf.DUMMYFUNCTION("IFERROR(FILTER('Fund Investment Data'!$E:$E,'Fund Investment Data'!$C:$C = $A22,'Fund Investment Data'!$A:$A = MAX('Fund Investment Data'!$A:$A), 'Fund Investment Data'!$B:$B = MAX(FILTER('Fund Investment Data'!$B:$B,'Fund Investment Data'!$C:$C = $A22,'F"&amp;"und Investment Data'!$A:$A = MAX('Fund Investment Data'!$A:$A)))),0)"),0.0)</f>
        <v>0</v>
      </c>
      <c r="J22" s="33">
        <f t="shared" si="3"/>
        <v>12772.32164</v>
      </c>
      <c r="K22" s="32">
        <f>IFERROR(__xludf.DUMMYFUNCTION("IFERROR(SUM(FILTER('Fund Spending Data'!$F:$F,'Fund Spending Data'!$A:$A = $A22,'Fund Spending Data'!$C:$C &lt;&gt; 688)) + SUM(FILTER('Fund Spending Data'!$G:$G,'Fund Spending Data'!$A:$A = $A22,'Fund Spending Data'!$C:$C &lt;&gt; 688)),0)"),0.0)</f>
        <v>0</v>
      </c>
      <c r="L22" s="32">
        <f>IFERROR(__xludf.DUMMYFUNCTION("IFERROR(SUM(FILTER('Fund Spending Data'!$F:$F,'Fund Spending Data'!$A:$A = $A22,'Fund Spending Data'!$C:$C = 688)) + SUM(FILTER('Fund Spending Data'!$G:$G,'Fund Spending Data'!$A:$A = $A22,'Fund Spending Data'!$C:$C = 688)),0)"),0.0)</f>
        <v>0</v>
      </c>
      <c r="M22" s="34">
        <f t="shared" si="4"/>
        <v>12772.32164</v>
      </c>
      <c r="N22" s="35"/>
      <c r="O22" s="34">
        <f t="shared" si="5"/>
        <v>12772.32164</v>
      </c>
    </row>
    <row r="23">
      <c r="A23" s="36" t="s">
        <v>45</v>
      </c>
      <c r="B23" s="27" t="str">
        <f>IFERROR(__xludf.DUMMYFUNCTION("FILTER('Endowed Funds'!$B:$B,'Endowed Funds'!$A:$A = $A23)")," Education ")</f>
        <v>Education</v>
      </c>
      <c r="C23" s="28">
        <f>IFERROR(__xludf.DUMMYFUNCTION("IFERROR(sum(FILTER('Fund Investment Data'!$V:$V, 'Fund Investment Data'!$C:$C = $A23)),0)"),100000.0)</f>
        <v>100000</v>
      </c>
      <c r="D23" s="28">
        <f>IFERROR(__xludf.DUMMYFUNCTION("IFERROR(FILTER('Fund Investment Data'!$R:$R,'Fund Investment Data'!$C:$C = $A23,'Fund Investment Data'!$A:$A = MAX('Fund Investment Data'!$A:$A), 'Fund Investment Data'!$B:$B = MAX(FILTER('Fund Investment Data'!$B:$B,'Fund Investment Data'!$C:$C = $A23,'F"&amp;"und Investment Data'!$A:$A = MAX('Fund Investment Data'!$A:$A)))),0)"),126414.6127754795)</f>
        <v>126414.6128</v>
      </c>
      <c r="E23" s="29">
        <f>IFERROR(__xludf.DUMMYFUNCTION("IFERROR(FILTER('Fund Investment Data'!$P:$P,'Fund Investment Data'!$C:$C = $A23,'Fund Investment Data'!$A:$A = MAX('Fund Investment Data'!$A:$A), 'Fund Investment Data'!$B:$B = MAX(FILTER('Fund Investment Data'!$B:$B,'Fund Investment Data'!$C:$C = $A23,'F"&amp;"und Investment Data'!$A:$A = MAX('Fund Investment Data'!$A:$A)))),0)"),140589.02999999997)</f>
        <v>140589.03</v>
      </c>
      <c r="F23" s="30">
        <f t="shared" si="1"/>
        <v>1.4058903</v>
      </c>
      <c r="G23" s="31">
        <f t="shared" si="2"/>
        <v>1.112126414</v>
      </c>
      <c r="H23" s="32">
        <f>IFERROR(__xludf.DUMMYFUNCTION("IFERROR(FILTER('Fund Investment Data'!$AD:$AD,'Fund Investment Data'!$C:$C = $A23,'Fund Investment Data'!$A:$A = MAX('Fund Investment Data'!$A:$A), 'Fund Investment Data'!$B:$B = MAX(FILTER('Fund Investment Data'!$B:$B,'Fund Investment Data'!$C:$C = $A23,"&amp;"'Fund Investment Data'!$A:$A = MAX('Fund Investment Data'!$A:$A)))),0)"),5953.570924324798)</f>
        <v>5953.570924</v>
      </c>
      <c r="I23" s="32">
        <f>IFERROR(__xludf.DUMMYFUNCTION("IFERROR(FILTER('Fund Investment Data'!$E:$E,'Fund Investment Data'!$C:$C = $A23,'Fund Investment Data'!$A:$A = MAX('Fund Investment Data'!$A:$A), 'Fund Investment Data'!$B:$B = MAX(FILTER('Fund Investment Data'!$B:$B,'Fund Investment Data'!$C:$C = $A23,'F"&amp;"und Investment Data'!$A:$A = MAX('Fund Investment Data'!$A:$A)))),0)"),0.0)</f>
        <v>0</v>
      </c>
      <c r="J23" s="33">
        <f t="shared" si="3"/>
        <v>5953.570924</v>
      </c>
      <c r="K23" s="32">
        <f>IFERROR(__xludf.DUMMYFUNCTION("IFERROR(SUM(FILTER('Fund Spending Data'!$F:$F,'Fund Spending Data'!$A:$A = $A23,'Fund Spending Data'!$C:$C &lt;&gt; 688)) + SUM(FILTER('Fund Spending Data'!$G:$G,'Fund Spending Data'!$A:$A = $A23,'Fund Spending Data'!$C:$C &lt;&gt; 688)),0)"),0.0)</f>
        <v>0</v>
      </c>
      <c r="L23" s="32">
        <f>IFERROR(__xludf.DUMMYFUNCTION("IFERROR(SUM(FILTER('Fund Spending Data'!$F:$F,'Fund Spending Data'!$A:$A = $A23,'Fund Spending Data'!$C:$C = 688)) + SUM(FILTER('Fund Spending Data'!$G:$G,'Fund Spending Data'!$A:$A = $A23,'Fund Spending Data'!$C:$C = 688)),0)"),0.0)</f>
        <v>0</v>
      </c>
      <c r="M23" s="34">
        <f t="shared" si="4"/>
        <v>5953.570924</v>
      </c>
      <c r="N23" s="35"/>
      <c r="O23" s="34">
        <f t="shared" si="5"/>
        <v>5953.570924</v>
      </c>
    </row>
    <row r="24">
      <c r="A24" s="26" t="s">
        <v>46</v>
      </c>
      <c r="B24" s="27" t="str">
        <f>IFERROR(__xludf.DUMMYFUNCTION("FILTER('Endowed Funds'!$B:$B,'Endowed Funds'!$A:$A = $A24)")," General Operations ")</f>
        <v>General Operations</v>
      </c>
      <c r="C24" s="28">
        <f>IFERROR(__xludf.DUMMYFUNCTION("IFERROR(sum(FILTER('Fund Investment Data'!$V:$V, 'Fund Investment Data'!$C:$C = $A24)),0)"),366400.0)</f>
        <v>366400</v>
      </c>
      <c r="D24" s="28">
        <f>IFERROR(__xludf.DUMMYFUNCTION("IFERROR(FILTER('Fund Investment Data'!$R:$R,'Fund Investment Data'!$C:$C = $A24,'Fund Investment Data'!$A:$A = MAX('Fund Investment Data'!$A:$A), 'Fund Investment Data'!$B:$B = MAX(FILTER('Fund Investment Data'!$B:$B,'Fund Investment Data'!$C:$C = $A24,'F"&amp;"und Investment Data'!$A:$A = MAX('Fund Investment Data'!$A:$A)))),0)"),476024.34858025314)</f>
        <v>476024.3486</v>
      </c>
      <c r="E24" s="29">
        <f>IFERROR(__xludf.DUMMYFUNCTION("IFERROR(FILTER('Fund Investment Data'!$P:$P,'Fund Investment Data'!$C:$C = $A24,'Fund Investment Data'!$A:$A = MAX('Fund Investment Data'!$A:$A), 'Fund Investment Data'!$B:$B = MAX(FILTER('Fund Investment Data'!$B:$B,'Fund Investment Data'!$C:$C = $A24,'F"&amp;"und Investment Data'!$A:$A = MAX('Fund Investment Data'!$A:$A)))),0)"),352341.48)</f>
        <v>352341.48</v>
      </c>
      <c r="F24" s="30">
        <f t="shared" si="1"/>
        <v>0.9616306769</v>
      </c>
      <c r="G24" s="31">
        <f t="shared" si="2"/>
        <v>0.7401753315</v>
      </c>
      <c r="H24" s="32">
        <f>IFERROR(__xludf.DUMMYFUNCTION("IFERROR(FILTER('Fund Investment Data'!$AD:$AD,'Fund Investment Data'!$C:$C = $A24,'Fund Investment Data'!$A:$A = MAX('Fund Investment Data'!$A:$A), 'Fund Investment Data'!$B:$B = MAX(FILTER('Fund Investment Data'!$B:$B,'Fund Investment Data'!$C:$C = $A24,"&amp;"'Fund Investment Data'!$A:$A = MAX('Fund Investment Data'!$A:$A)))),0)"),17407.43248704988)</f>
        <v>17407.43249</v>
      </c>
      <c r="I24" s="32">
        <f>IFERROR(__xludf.DUMMYFUNCTION("IFERROR(FILTER('Fund Investment Data'!$E:$E,'Fund Investment Data'!$C:$C = $A24,'Fund Investment Data'!$A:$A = MAX('Fund Investment Data'!$A:$A), 'Fund Investment Data'!$B:$B = MAX(FILTER('Fund Investment Data'!$B:$B,'Fund Investment Data'!$C:$C = $A24,'F"&amp;"und Investment Data'!$A:$A = MAX('Fund Investment Data'!$A:$A)))),0)"),0.0)</f>
        <v>0</v>
      </c>
      <c r="J24" s="33">
        <f t="shared" si="3"/>
        <v>17407.43249</v>
      </c>
      <c r="K24" s="32">
        <f>IFERROR(__xludf.DUMMYFUNCTION("IFERROR(SUM(FILTER('Fund Spending Data'!$F:$F,'Fund Spending Data'!$A:$A = $A24,'Fund Spending Data'!$C:$C &lt;&gt; 688)) + SUM(FILTER('Fund Spending Data'!$G:$G,'Fund Spending Data'!$A:$A = $A24,'Fund Spending Data'!$C:$C &lt;&gt; 688)),0)"),0.0)</f>
        <v>0</v>
      </c>
      <c r="L24" s="32">
        <f>IFERROR(__xludf.DUMMYFUNCTION("IFERROR(SUM(FILTER('Fund Spending Data'!$F:$F,'Fund Spending Data'!$A:$A = $A24,'Fund Spending Data'!$C:$C = 688)) + SUM(FILTER('Fund Spending Data'!$G:$G,'Fund Spending Data'!$A:$A = $A24,'Fund Spending Data'!$C:$C = 688)),0)"),0.0)</f>
        <v>0</v>
      </c>
      <c r="M24" s="34">
        <f t="shared" si="4"/>
        <v>17407.43249</v>
      </c>
      <c r="N24" s="35"/>
      <c r="O24" s="34">
        <f t="shared" si="5"/>
        <v>17407.43249</v>
      </c>
    </row>
    <row r="25">
      <c r="A25" s="36" t="s">
        <v>47</v>
      </c>
      <c r="B25" s="27" t="str">
        <f>IFERROR(__xludf.DUMMYFUNCTION("FILTER('Endowed Funds'!$B:$B,'Endowed Funds'!$A:$A = $A25)")," General Operations ")</f>
        <v>General Operations</v>
      </c>
      <c r="C25" s="28">
        <f>IFERROR(__xludf.DUMMYFUNCTION("IFERROR(sum(FILTER('Fund Investment Data'!$V:$V, 'Fund Investment Data'!$C:$C = $A25)),0)"),1456367.46)</f>
        <v>1456367.46</v>
      </c>
      <c r="D25" s="28">
        <f>IFERROR(__xludf.DUMMYFUNCTION("IFERROR(FILTER('Fund Investment Data'!$R:$R,'Fund Investment Data'!$C:$C = $A25,'Fund Investment Data'!$A:$A = MAX('Fund Investment Data'!$A:$A), 'Fund Investment Data'!$B:$B = MAX(FILTER('Fund Investment Data'!$B:$B,'Fund Investment Data'!$C:$C = $A25,'F"&amp;"und Investment Data'!$A:$A = MAX('Fund Investment Data'!$A:$A)))),0)"),2083999.770012471)</f>
        <v>2083999.77</v>
      </c>
      <c r="E25" s="29">
        <f>IFERROR(__xludf.DUMMYFUNCTION("IFERROR(FILTER('Fund Investment Data'!$P:$P,'Fund Investment Data'!$C:$C = $A25,'Fund Investment Data'!$A:$A = MAX('Fund Investment Data'!$A:$A), 'Fund Investment Data'!$B:$B = MAX(FILTER('Fund Investment Data'!$B:$B,'Fund Investment Data'!$C:$C = $A25,'F"&amp;"und Investment Data'!$A:$A = MAX('Fund Investment Data'!$A:$A)))),0)"),1403685.7199999995)</f>
        <v>1403685.72</v>
      </c>
      <c r="F25" s="30">
        <f t="shared" si="1"/>
        <v>0.9638266156</v>
      </c>
      <c r="G25" s="31">
        <f t="shared" si="2"/>
        <v>0.6735536828</v>
      </c>
      <c r="H25" s="32">
        <f>IFERROR(__xludf.DUMMYFUNCTION("IFERROR(FILTER('Fund Investment Data'!$AD:$AD,'Fund Investment Data'!$C:$C = $A25,'Fund Investment Data'!$A:$A = MAX('Fund Investment Data'!$A:$A), 'Fund Investment Data'!$B:$B = MAX(FILTER('Fund Investment Data'!$B:$B,'Fund Investment Data'!$C:$C = $A25,"&amp;"'Fund Investment Data'!$A:$A = MAX('Fund Investment Data'!$A:$A)))),0)"),67560.81845165882)</f>
        <v>67560.81845</v>
      </c>
      <c r="I25" s="32">
        <f>IFERROR(__xludf.DUMMYFUNCTION("IFERROR(FILTER('Fund Investment Data'!$E:$E,'Fund Investment Data'!$C:$C = $A25,'Fund Investment Data'!$A:$A = MAX('Fund Investment Data'!$A:$A), 'Fund Investment Data'!$B:$B = MAX(FILTER('Fund Investment Data'!$B:$B,'Fund Investment Data'!$C:$C = $A25,'F"&amp;"und Investment Data'!$A:$A = MAX('Fund Investment Data'!$A:$A)))),0)"),0.0)</f>
        <v>0</v>
      </c>
      <c r="J25" s="33">
        <f t="shared" si="3"/>
        <v>67560.81845</v>
      </c>
      <c r="K25" s="32">
        <f>IFERROR(__xludf.DUMMYFUNCTION("IFERROR(SUM(FILTER('Fund Spending Data'!$F:$F,'Fund Spending Data'!$A:$A = $A25,'Fund Spending Data'!$C:$C &lt;&gt; 688)) + SUM(FILTER('Fund Spending Data'!$G:$G,'Fund Spending Data'!$A:$A = $A25,'Fund Spending Data'!$C:$C &lt;&gt; 688)),0)"),0.0)</f>
        <v>0</v>
      </c>
      <c r="L25" s="32">
        <f>IFERROR(__xludf.DUMMYFUNCTION("IFERROR(SUM(FILTER('Fund Spending Data'!$F:$F,'Fund Spending Data'!$A:$A = $A25,'Fund Spending Data'!$C:$C = 688)) + SUM(FILTER('Fund Spending Data'!$G:$G,'Fund Spending Data'!$A:$A = $A25,'Fund Spending Data'!$C:$C = 688)),0)"),0.0)</f>
        <v>0</v>
      </c>
      <c r="M25" s="34">
        <f t="shared" si="4"/>
        <v>67560.81845</v>
      </c>
      <c r="N25" s="35"/>
      <c r="O25" s="34">
        <f t="shared" si="5"/>
        <v>67560.81845</v>
      </c>
    </row>
    <row r="26">
      <c r="A26" s="36" t="s">
        <v>48</v>
      </c>
      <c r="B26" s="27" t="str">
        <f>IFERROR(__xludf.DUMMYFUNCTION("FILTER('Endowed Funds'!$B:$B,'Endowed Funds'!$A:$A = $A26)")," General Operations ")</f>
        <v>General Operations</v>
      </c>
      <c r="C26" s="28">
        <f>IFERROR(__xludf.DUMMYFUNCTION("IFERROR(sum(FILTER('Fund Investment Data'!$V:$V, 'Fund Investment Data'!$C:$C = $A26)),0)"),1183929.39)</f>
        <v>1183929.39</v>
      </c>
      <c r="D26" s="28">
        <f>IFERROR(__xludf.DUMMYFUNCTION("IFERROR(FILTER('Fund Investment Data'!$R:$R,'Fund Investment Data'!$C:$C = $A26,'Fund Investment Data'!$A:$A = MAX('Fund Investment Data'!$A:$A), 'Fund Investment Data'!$B:$B = MAX(FILTER('Fund Investment Data'!$B:$B,'Fund Investment Data'!$C:$C = $A26,'F"&amp;"und Investment Data'!$A:$A = MAX('Fund Investment Data'!$A:$A)))),0)"),1977173.8199872389)</f>
        <v>1977173.82</v>
      </c>
      <c r="E26" s="29">
        <f>IFERROR(__xludf.DUMMYFUNCTION("IFERROR(FILTER('Fund Investment Data'!$P:$P,'Fund Investment Data'!$C:$C = $A26,'Fund Investment Data'!$A:$A = MAX('Fund Investment Data'!$A:$A), 'Fund Investment Data'!$B:$B = MAX(FILTER('Fund Investment Data'!$B:$B,'Fund Investment Data'!$C:$C = $A26,'F"&amp;"und Investment Data'!$A:$A = MAX('Fund Investment Data'!$A:$A)))),0)"),1152764.5799999998)</f>
        <v>1152764.58</v>
      </c>
      <c r="F26" s="30">
        <f t="shared" si="1"/>
        <v>0.9736768001</v>
      </c>
      <c r="G26" s="31">
        <f t="shared" si="2"/>
        <v>0.5830365385</v>
      </c>
      <c r="H26" s="32">
        <f>IFERROR(__xludf.DUMMYFUNCTION("IFERROR(FILTER('Fund Investment Data'!$AD:$AD,'Fund Investment Data'!$C:$C = $A26,'Fund Investment Data'!$A:$A = MAX('Fund Investment Data'!$A:$A), 'Fund Investment Data'!$B:$B = MAX(FILTER('Fund Investment Data'!$B:$B,'Fund Investment Data'!$C:$C = $A26,"&amp;"'Fund Investment Data'!$A:$A = MAX('Fund Investment Data'!$A:$A)))),0)"),55652.57900095643)</f>
        <v>55652.579</v>
      </c>
      <c r="I26" s="32">
        <f>IFERROR(__xludf.DUMMYFUNCTION("IFERROR(FILTER('Fund Investment Data'!$E:$E,'Fund Investment Data'!$C:$C = $A26,'Fund Investment Data'!$A:$A = MAX('Fund Investment Data'!$A:$A), 'Fund Investment Data'!$B:$B = MAX(FILTER('Fund Investment Data'!$B:$B,'Fund Investment Data'!$C:$C = $A26,'F"&amp;"und Investment Data'!$A:$A = MAX('Fund Investment Data'!$A:$A)))),0)"),0.0)</f>
        <v>0</v>
      </c>
      <c r="J26" s="33">
        <f t="shared" si="3"/>
        <v>55652.579</v>
      </c>
      <c r="K26" s="32">
        <f>IFERROR(__xludf.DUMMYFUNCTION("IFERROR(SUM(FILTER('Fund Spending Data'!$F:$F,'Fund Spending Data'!$A:$A = $A26,'Fund Spending Data'!$C:$C &lt;&gt; 688)) + SUM(FILTER('Fund Spending Data'!$G:$G,'Fund Spending Data'!$A:$A = $A26,'Fund Spending Data'!$C:$C &lt;&gt; 688)),0)"),0.0)</f>
        <v>0</v>
      </c>
      <c r="L26" s="32">
        <f>IFERROR(__xludf.DUMMYFUNCTION("IFERROR(SUM(FILTER('Fund Spending Data'!$F:$F,'Fund Spending Data'!$A:$A = $A26,'Fund Spending Data'!$C:$C = 688)) + SUM(FILTER('Fund Spending Data'!$G:$G,'Fund Spending Data'!$A:$A = $A26,'Fund Spending Data'!$C:$C = 688)),0)"),0.0)</f>
        <v>0</v>
      </c>
      <c r="M26" s="34">
        <f t="shared" si="4"/>
        <v>55652.579</v>
      </c>
      <c r="N26" s="35"/>
      <c r="O26" s="34">
        <f t="shared" si="5"/>
        <v>55652.579</v>
      </c>
    </row>
    <row r="27">
      <c r="A27" s="36" t="s">
        <v>49</v>
      </c>
      <c r="B27" s="27" t="str">
        <f>IFERROR(__xludf.DUMMYFUNCTION("FILTER('Endowed Funds'!$B:$B,'Endowed Funds'!$A:$A = $A27)")," General Operations ")</f>
        <v>General Operations</v>
      </c>
      <c r="C27" s="28">
        <f>IFERROR(__xludf.DUMMYFUNCTION("IFERROR(sum(FILTER('Fund Investment Data'!$V:$V, 'Fund Investment Data'!$C:$C = $A27)),0)"),500000.0)</f>
        <v>500000</v>
      </c>
      <c r="D27" s="28">
        <f>IFERROR(__xludf.DUMMYFUNCTION("IFERROR(FILTER('Fund Investment Data'!$R:$R,'Fund Investment Data'!$C:$C = $A27,'Fund Investment Data'!$A:$A = MAX('Fund Investment Data'!$A:$A), 'Fund Investment Data'!$B:$B = MAX(FILTER('Fund Investment Data'!$B:$B,'Fund Investment Data'!$C:$C = $A27,'F"&amp;"und Investment Data'!$A:$A = MAX('Fund Investment Data'!$A:$A)))),0)"),731305.956847474)</f>
        <v>731305.9568</v>
      </c>
      <c r="E27" s="29">
        <f>IFERROR(__xludf.DUMMYFUNCTION("IFERROR(FILTER('Fund Investment Data'!$P:$P,'Fund Investment Data'!$C:$C = $A27, 'Fund Investment Data'!$A:$A = MAX('Fund Investment Data'!$A:$A), 'Fund Investment Data'!$B:$B = MAX(FILTER('Fund Investment Data'!$B:$B,'Fund Investment Data'!$C:$C = $A27,'"&amp;"Fund Investment Data'!$A:$A = MAX('Fund Investment Data'!$A:$A)))),0)"),499774.20999999996)</f>
        <v>499774.21</v>
      </c>
      <c r="F27" s="30">
        <f t="shared" si="1"/>
        <v>0.99954842</v>
      </c>
      <c r="G27" s="31">
        <f t="shared" si="2"/>
        <v>0.6833996159</v>
      </c>
      <c r="H27" s="32">
        <f>IFERROR(__xludf.DUMMYFUNCTION("IFERROR(FILTER('Fund Investment Data'!$AD:$AD,'Fund Investment Data'!$C:$C = $A27,'Fund Investment Data'!$A:$A = MAX('Fund Investment Data'!$A:$A), 'Fund Investment Data'!$B:$B = MAX(FILTER('Fund Investment Data'!$B:$B,'Fund Investment Data'!$C:$C = $A27,"&amp;"'Fund Investment Data'!$A:$A = MAX('Fund Investment Data'!$A:$A)))),0)"),24340.287812992578)</f>
        <v>24340.28781</v>
      </c>
      <c r="I27" s="32">
        <f>IFERROR(__xludf.DUMMYFUNCTION("IFERROR(FILTER('Fund Investment Data'!$E:$E,'Fund Investment Data'!$C:$C = $A27,'Fund Investment Data'!$A:$A = MAX('Fund Investment Data'!$A:$A), 'Fund Investment Data'!$B:$B = MAX(FILTER('Fund Investment Data'!$B:$B,'Fund Investment Data'!$C:$C = $A27,'F"&amp;"und Investment Data'!$A:$A = MAX('Fund Investment Data'!$A:$A)))),0)"),0.0)</f>
        <v>0</v>
      </c>
      <c r="J27" s="33">
        <f t="shared" si="3"/>
        <v>24340.28781</v>
      </c>
      <c r="K27" s="32">
        <f>IFERROR(__xludf.DUMMYFUNCTION("IFERROR(SUM(FILTER('Fund Spending Data'!$F:$F,'Fund Spending Data'!$A:$A = $A27,'Fund Spending Data'!$C:$C &lt;&gt; 688)) + SUM(FILTER('Fund Spending Data'!$G:$G,'Fund Spending Data'!$A:$A = $A27,'Fund Spending Data'!$C:$C &lt;&gt; 688)),0)"),0.0)</f>
        <v>0</v>
      </c>
      <c r="L27" s="32">
        <f>IFERROR(__xludf.DUMMYFUNCTION("IFERROR(SUM(FILTER('Fund Spending Data'!$F:$F,'Fund Spending Data'!$A:$A = $A27,'Fund Spending Data'!$C:$C = 688)) + SUM(FILTER('Fund Spending Data'!$G:$G,'Fund Spending Data'!$A:$A = $A27,'Fund Spending Data'!$C:$C = 688)),0)"),0.0)</f>
        <v>0</v>
      </c>
      <c r="M27" s="34">
        <f t="shared" si="4"/>
        <v>24340.28781</v>
      </c>
      <c r="N27" s="35"/>
      <c r="O27" s="34">
        <f t="shared" si="5"/>
        <v>24340.28781</v>
      </c>
    </row>
    <row r="28">
      <c r="A28" s="36" t="s">
        <v>50</v>
      </c>
      <c r="B28" s="27" t="str">
        <f>IFERROR(__xludf.DUMMYFUNCTION("FILTER('Endowed Funds'!$B:$B,'Endowed Funds'!$A:$A = $A28)")," Research Institute ")</f>
        <v>Research Institute</v>
      </c>
      <c r="C28" s="28">
        <f>IFERROR(__xludf.DUMMYFUNCTION("IFERROR(sum(FILTER('Fund Investment Data'!$V:$V, 'Fund Investment Data'!$C:$C = $A28)),0)"),185189.56)</f>
        <v>185189.56</v>
      </c>
      <c r="D28" s="28">
        <f>IFERROR(__xludf.DUMMYFUNCTION("IFERROR(FILTER('Fund Investment Data'!$R:$R,'Fund Investment Data'!$C:$C = $A28,'Fund Investment Data'!$A:$A = MAX('Fund Investment Data'!$A:$A), 'Fund Investment Data'!$B:$B = MAX(FILTER('Fund Investment Data'!$B:$B,'Fund Investment Data'!$C:$C = $A28,'F"&amp;"und Investment Data'!$A:$A = MAX('Fund Investment Data'!$A:$A)))),0)"),226949.7266273127)</f>
        <v>226949.7266</v>
      </c>
      <c r="E28" s="29">
        <f>IFERROR(__xludf.DUMMYFUNCTION("IFERROR(FILTER('Fund Investment Data'!$P:$P,'Fund Investment Data'!$C:$C = $A28,'Fund Investment Data'!$A:$A = MAX('Fund Investment Data'!$A:$A), 'Fund Investment Data'!$B:$B = MAX(FILTER('Fund Investment Data'!$B:$B,'Fund Investment Data'!$C:$C = $A28,'F"&amp;"und Investment Data'!$A:$A = MAX('Fund Investment Data'!$A:$A)))),0)"),199336.18000000005)</f>
        <v>199336.18</v>
      </c>
      <c r="F28" s="30">
        <f t="shared" si="1"/>
        <v>1.076389943</v>
      </c>
      <c r="G28" s="31">
        <f t="shared" si="2"/>
        <v>0.8783274735</v>
      </c>
      <c r="H28" s="32">
        <f>IFERROR(__xludf.DUMMYFUNCTION("IFERROR(FILTER('Fund Investment Data'!$AD:$AD,'Fund Investment Data'!$C:$C = $A28,'Fund Investment Data'!$A:$A = MAX('Fund Investment Data'!$A:$A), 'Fund Investment Data'!$B:$B = MAX(FILTER('Fund Investment Data'!$B:$B,'Fund Investment Data'!$C:$C = $A28,"&amp;"'Fund Investment Data'!$A:$A = MAX('Fund Investment Data'!$A:$A)))),0)"),10008.04175245473)</f>
        <v>10008.04175</v>
      </c>
      <c r="I28" s="32">
        <f>IFERROR(__xludf.DUMMYFUNCTION("IFERROR(FILTER('Fund Investment Data'!$E:$E,'Fund Investment Data'!$C:$C = $A28,'Fund Investment Data'!$A:$A = MAX('Fund Investment Data'!$A:$A), 'Fund Investment Data'!$B:$B = MAX(FILTER('Fund Investment Data'!$B:$B,'Fund Investment Data'!$C:$C = $A28,'F"&amp;"und Investment Data'!$A:$A = MAX('Fund Investment Data'!$A:$A)))),0)"),0.0)</f>
        <v>0</v>
      </c>
      <c r="J28" s="33">
        <f t="shared" si="3"/>
        <v>10008.04175</v>
      </c>
      <c r="K28" s="32">
        <f>IFERROR(__xludf.DUMMYFUNCTION("IFERROR(SUM(FILTER('Fund Spending Data'!$F:$F,'Fund Spending Data'!$A:$A = $A28,'Fund Spending Data'!$C:$C &lt;&gt; 688)) + SUM(FILTER('Fund Spending Data'!$G:$G,'Fund Spending Data'!$A:$A = $A28,'Fund Spending Data'!$C:$C &lt;&gt; 688)),0)"),-511.5)</f>
        <v>-511.5</v>
      </c>
      <c r="L28" s="32">
        <f>IFERROR(__xludf.DUMMYFUNCTION("IFERROR(SUM(FILTER('Fund Spending Data'!$F:$F,'Fund Spending Data'!$A:$A = $A28,'Fund Spending Data'!$C:$C = 688)) + SUM(FILTER('Fund Spending Data'!$G:$G,'Fund Spending Data'!$A:$A = $A28,'Fund Spending Data'!$C:$C = 688)),0)"),0.0)</f>
        <v>0</v>
      </c>
      <c r="M28" s="34">
        <f t="shared" si="4"/>
        <v>9496.541752</v>
      </c>
      <c r="N28" s="35"/>
      <c r="O28" s="34">
        <f t="shared" si="5"/>
        <v>9496.541752</v>
      </c>
    </row>
    <row r="29">
      <c r="A29" s="26" t="s">
        <v>51</v>
      </c>
      <c r="B29" s="27" t="str">
        <f>IFERROR(__xludf.DUMMYFUNCTION("FILTER('Endowed Funds'!$B:$B,'Endowed Funds'!$A:$A = $A29)")," Research Institute ")</f>
        <v>Research Institute</v>
      </c>
      <c r="C29" s="28">
        <f>IFERROR(__xludf.DUMMYFUNCTION("IFERROR(sum(FILTER('Fund Investment Data'!$V:$V, 'Fund Investment Data'!$C:$C = $A29)),0)"),425073.55)</f>
        <v>425073.55</v>
      </c>
      <c r="D29" s="28">
        <f>IFERROR(__xludf.DUMMYFUNCTION("IFERROR(FILTER('Fund Investment Data'!$R:$R,'Fund Investment Data'!$C:$C = $A29,'Fund Investment Data'!$A:$A = MAX('Fund Investment Data'!$A:$A), 'Fund Investment Data'!$B:$B = MAX(FILTER('Fund Investment Data'!$B:$B,'Fund Investment Data'!$C:$C = $A29,'F"&amp;"und Investment Data'!$A:$A = MAX('Fund Investment Data'!$A:$A)))),0)"),471452.8971912523)</f>
        <v>471452.8972</v>
      </c>
      <c r="E29" s="29">
        <f>IFERROR(__xludf.DUMMYFUNCTION("IFERROR(FILTER('Fund Investment Data'!$P:$P,'Fund Investment Data'!$C:$C = $A29,'Fund Investment Data'!$A:$A = MAX('Fund Investment Data'!$A:$A), 'Fund Investment Data'!$B:$B = MAX(FILTER('Fund Investment Data'!$B:$B,'Fund Investment Data'!$C:$C = $A29,'F"&amp;"und Investment Data'!$A:$A = MAX('Fund Investment Data'!$A:$A)))),0)"),457583.74000000005)</f>
        <v>457583.74</v>
      </c>
      <c r="F29" s="30">
        <f t="shared" si="1"/>
        <v>1.076481329</v>
      </c>
      <c r="G29" s="31">
        <f t="shared" si="2"/>
        <v>0.9705820936</v>
      </c>
      <c r="H29" s="32">
        <f>IFERROR(__xludf.DUMMYFUNCTION("IFERROR(FILTER('Fund Investment Data'!$AD:$AD,'Fund Investment Data'!$C:$C = $A29,'Fund Investment Data'!$A:$A = MAX('Fund Investment Data'!$A:$A), 'Fund Investment Data'!$B:$B = MAX(FILTER('Fund Investment Data'!$B:$B,'Fund Investment Data'!$C:$C = $A29,"&amp;"'Fund Investment Data'!$A:$A = MAX('Fund Investment Data'!$A:$A)))),0)"),20919.167873325023)</f>
        <v>20919.16787</v>
      </c>
      <c r="I29" s="32">
        <f>IFERROR(__xludf.DUMMYFUNCTION("IFERROR(FILTER('Fund Investment Data'!$E:$E,'Fund Investment Data'!$C:$C = $A29,'Fund Investment Data'!$A:$A = MAX('Fund Investment Data'!$A:$A), 'Fund Investment Data'!$B:$B = MAX(FILTER('Fund Investment Data'!$B:$B,'Fund Investment Data'!$C:$C = $A29,'F"&amp;"und Investment Data'!$A:$A = MAX('Fund Investment Data'!$A:$A)))),0)"),0.0)</f>
        <v>0</v>
      </c>
      <c r="J29" s="33">
        <f t="shared" si="3"/>
        <v>20919.16787</v>
      </c>
      <c r="K29" s="32">
        <f>IFERROR(__xludf.DUMMYFUNCTION("IFERROR(SUM(FILTER('Fund Spending Data'!$F:$F,'Fund Spending Data'!$A:$A = $A29,'Fund Spending Data'!$C:$C &lt;&gt; 688)) + SUM(FILTER('Fund Spending Data'!$G:$G,'Fund Spending Data'!$A:$A = $A29,'Fund Spending Data'!$C:$C &lt;&gt; 688)),0)"),-248.85)</f>
        <v>-248.85</v>
      </c>
      <c r="L29" s="32">
        <f>IFERROR(__xludf.DUMMYFUNCTION("IFERROR(SUM(FILTER('Fund Spending Data'!$F:$F,'Fund Spending Data'!$A:$A = $A29,'Fund Spending Data'!$C:$C = 688)) + SUM(FILTER('Fund Spending Data'!$G:$G,'Fund Spending Data'!$A:$A = $A29,'Fund Spending Data'!$C:$C = 688)),0)"),0.0)</f>
        <v>0</v>
      </c>
      <c r="M29" s="34">
        <f t="shared" si="4"/>
        <v>20670.31787</v>
      </c>
      <c r="N29" s="35"/>
      <c r="O29" s="34">
        <f t="shared" si="5"/>
        <v>20670.31787</v>
      </c>
    </row>
    <row r="30">
      <c r="A30" s="36" t="s">
        <v>52</v>
      </c>
      <c r="B30" s="27" t="str">
        <f>IFERROR(__xludf.DUMMYFUNCTION("FILTER('Endowed Funds'!$B:$B,'Endowed Funds'!$A:$A = $A30)")," Research Institute ")</f>
        <v>Research Institute</v>
      </c>
      <c r="C30" s="28">
        <f>IFERROR(__xludf.DUMMYFUNCTION("IFERROR(sum(FILTER('Fund Investment Data'!$V:$V, 'Fund Investment Data'!$C:$C = $A30)),0)"),1081136.0)</f>
        <v>1081136</v>
      </c>
      <c r="D30" s="28">
        <f>IFERROR(__xludf.DUMMYFUNCTION("IFERROR(FILTER('Fund Investment Data'!$R:$R,'Fund Investment Data'!$C:$C = $A30,'Fund Investment Data'!$A:$A = MAX('Fund Investment Data'!$A:$A), 'Fund Investment Data'!$B:$B = MAX(FILTER('Fund Investment Data'!$B:$B,'Fund Investment Data'!$C:$C = $A30,'F"&amp;"und Investment Data'!$A:$A = MAX('Fund Investment Data'!$A:$A)))),0)"),1199021.687473426)</f>
        <v>1199021.687</v>
      </c>
      <c r="E30" s="29">
        <f>IFERROR(__xludf.DUMMYFUNCTION("IFERROR(FILTER('Fund Investment Data'!$P:$P,'Fund Investment Data'!$C:$C = $A30,'Fund Investment Data'!$A:$A = MAX('Fund Investment Data'!$A:$A), 'Fund Investment Data'!$B:$B = MAX(FILTER('Fund Investment Data'!$B:$B,'Fund Investment Data'!$C:$C = $A30,'F"&amp;"und Investment Data'!$A:$A = MAX('Fund Investment Data'!$A:$A)))),0)"),1155440.7899999998)</f>
        <v>1155440.79</v>
      </c>
      <c r="F30" s="30">
        <f t="shared" si="1"/>
        <v>1.068728439</v>
      </c>
      <c r="G30" s="31">
        <f t="shared" si="2"/>
        <v>0.9636529531</v>
      </c>
      <c r="H30" s="32">
        <f>IFERROR(__xludf.DUMMYFUNCTION("IFERROR(FILTER('Fund Investment Data'!$AD:$AD,'Fund Investment Data'!$C:$C = $A30,'Fund Investment Data'!$A:$A = MAX('Fund Investment Data'!$A:$A), 'Fund Investment Data'!$B:$B = MAX(FILTER('Fund Investment Data'!$B:$B,'Fund Investment Data'!$C:$C = $A30,"&amp;"'Fund Investment Data'!$A:$A = MAX('Fund Investment Data'!$A:$A)))),0)"),52681.32806915215)</f>
        <v>52681.32807</v>
      </c>
      <c r="I30" s="32">
        <f>IFERROR(__xludf.DUMMYFUNCTION("IFERROR(FILTER('Fund Investment Data'!$E:$E,'Fund Investment Data'!$C:$C = $A30,'Fund Investment Data'!$A:$A = MAX('Fund Investment Data'!$A:$A), 'Fund Investment Data'!$B:$B = MAX(FILTER('Fund Investment Data'!$B:$B,'Fund Investment Data'!$C:$C = $A30,'F"&amp;"und Investment Data'!$A:$A = MAX('Fund Investment Data'!$A:$A)))),0)"),0.0)</f>
        <v>0</v>
      </c>
      <c r="J30" s="33">
        <f t="shared" si="3"/>
        <v>52681.32807</v>
      </c>
      <c r="K30" s="32">
        <f>IFERROR(__xludf.DUMMYFUNCTION("IFERROR(SUM(FILTER('Fund Spending Data'!$F:$F,'Fund Spending Data'!$A:$A = $A30,'Fund Spending Data'!$C:$C &lt;&gt; 688)) + SUM(FILTER('Fund Spending Data'!$G:$G,'Fund Spending Data'!$A:$A = $A30,'Fund Spending Data'!$C:$C &lt;&gt; 688)),0)"),-20626.249999999996)</f>
        <v>-20626.25</v>
      </c>
      <c r="L30" s="32">
        <f>IFERROR(__xludf.DUMMYFUNCTION("IFERROR(SUM(FILTER('Fund Spending Data'!$F:$F,'Fund Spending Data'!$A:$A = $A30,'Fund Spending Data'!$C:$C = 688)) + SUM(FILTER('Fund Spending Data'!$G:$G,'Fund Spending Data'!$A:$A = $A30,'Fund Spending Data'!$C:$C = 688)),0)"),0.0)</f>
        <v>0</v>
      </c>
      <c r="M30" s="34">
        <f t="shared" si="4"/>
        <v>32055.07807</v>
      </c>
      <c r="N30" s="35"/>
      <c r="O30" s="34">
        <f t="shared" si="5"/>
        <v>32055.07807</v>
      </c>
    </row>
    <row r="31">
      <c r="A31" s="36" t="s">
        <v>53</v>
      </c>
      <c r="B31" s="27" t="str">
        <f>IFERROR(__xludf.DUMMYFUNCTION("FILTER('Endowed Funds'!$B:$B,'Endowed Funds'!$A:$A = $A31)")," Research Institute ")</f>
        <v>Research Institute</v>
      </c>
      <c r="C31" s="28">
        <f>IFERROR(__xludf.DUMMYFUNCTION("IFERROR(sum(FILTER('Fund Investment Data'!$V:$V, 'Fund Investment Data'!$C:$C = $A31)),0)"),2005500.0)</f>
        <v>2005500</v>
      </c>
      <c r="D31" s="28">
        <f>IFERROR(__xludf.DUMMYFUNCTION("IFERROR(FILTER('Fund Investment Data'!$R:$R,'Fund Investment Data'!$C:$C = $A31,'Fund Investment Data'!$A:$A = MAX('Fund Investment Data'!$A:$A), 'Fund Investment Data'!$B:$B = MAX(FILTER('Fund Investment Data'!$B:$B,'Fund Investment Data'!$C:$C = $A31,'F"&amp;"und Investment Data'!$A:$A = MAX('Fund Investment Data'!$A:$A)))),0)"),2319668.1148554995)</f>
        <v>2319668.115</v>
      </c>
      <c r="E31" s="29">
        <f>IFERROR(__xludf.DUMMYFUNCTION("IFERROR(FILTER('Fund Investment Data'!$P:$P,'Fund Investment Data'!$C:$C = $A31,'Fund Investment Data'!$A:$A = MAX('Fund Investment Data'!$A:$A), 'Fund Investment Data'!$B:$B = MAX(FILTER('Fund Investment Data'!$B:$B,'Fund Investment Data'!$C:$C = $A31,'F"&amp;"und Investment Data'!$A:$A = MAX('Fund Investment Data'!$A:$A)))),0)"),2114900.31)</f>
        <v>2114900.31</v>
      </c>
      <c r="F31" s="30">
        <f t="shared" si="1"/>
        <v>1.054550142</v>
      </c>
      <c r="G31" s="31">
        <f t="shared" si="2"/>
        <v>0.9117253871</v>
      </c>
      <c r="H31" s="32">
        <f>IFERROR(__xludf.DUMMYFUNCTION("IFERROR(FILTER('Fund Investment Data'!$AD:$AD,'Fund Investment Data'!$C:$C = $A31,'Fund Investment Data'!$A:$A = MAX('Fund Investment Data'!$A:$A), 'Fund Investment Data'!$B:$B = MAX(FILTER('Fund Investment Data'!$B:$B,'Fund Investment Data'!$C:$C = $A31,"&amp;"'Fund Investment Data'!$A:$A = MAX('Fund Investment Data'!$A:$A)))),0)"),99756.68818332639)</f>
        <v>99756.68818</v>
      </c>
      <c r="I31" s="32">
        <f>IFERROR(__xludf.DUMMYFUNCTION("IFERROR(FILTER('Fund Investment Data'!$E:$E,'Fund Investment Data'!$C:$C = $A31,'Fund Investment Data'!$A:$A = MAX('Fund Investment Data'!$A:$A), 'Fund Investment Data'!$B:$B = MAX(FILTER('Fund Investment Data'!$B:$B,'Fund Investment Data'!$C:$C = $A31,'F"&amp;"und Investment Data'!$A:$A = MAX('Fund Investment Data'!$A:$A)))),0)"),0.0)</f>
        <v>0</v>
      </c>
      <c r="J31" s="33">
        <f t="shared" si="3"/>
        <v>99756.68818</v>
      </c>
      <c r="K31" s="32">
        <f>IFERROR(__xludf.DUMMYFUNCTION("IFERROR(SUM(FILTER('Fund Spending Data'!$F:$F,'Fund Spending Data'!$A:$A = $A31,'Fund Spending Data'!$C:$C &lt;&gt; 688)) + SUM(FILTER('Fund Spending Data'!$G:$G,'Fund Spending Data'!$A:$A = $A31,'Fund Spending Data'!$C:$C &lt;&gt; 688)),0)"),-42632.32)</f>
        <v>-42632.32</v>
      </c>
      <c r="L31" s="32">
        <f>IFERROR(__xludf.DUMMYFUNCTION("IFERROR(SUM(FILTER('Fund Spending Data'!$F:$F,'Fund Spending Data'!$A:$A = $A31,'Fund Spending Data'!$C:$C = 688)) + SUM(FILTER('Fund Spending Data'!$G:$G,'Fund Spending Data'!$A:$A = $A31,'Fund Spending Data'!$C:$C = 688)),0)"),0.0)</f>
        <v>0</v>
      </c>
      <c r="M31" s="34">
        <f t="shared" si="4"/>
        <v>57124.36818</v>
      </c>
      <c r="N31" s="35"/>
      <c r="O31" s="34">
        <f t="shared" si="5"/>
        <v>57124.36818</v>
      </c>
    </row>
    <row r="32">
      <c r="A32" s="26" t="s">
        <v>54</v>
      </c>
      <c r="B32" s="27" t="str">
        <f>IFERROR(__xludf.DUMMYFUNCTION("FILTER('Endowed Funds'!$B:$B,'Endowed Funds'!$A:$A = $A32)")," Research Institute ")</f>
        <v>Research Institute</v>
      </c>
      <c r="C32" s="28">
        <f>IFERROR(__xludf.DUMMYFUNCTION("IFERROR(sum(FILTER('Fund Investment Data'!$V:$V, 'Fund Investment Data'!$C:$C = $A32)),0)"),113274.14999999998)</f>
        <v>113274.15</v>
      </c>
      <c r="D32" s="28">
        <f>IFERROR(__xludf.DUMMYFUNCTION("IFERROR(FILTER('Fund Investment Data'!$R:$R,'Fund Investment Data'!$C:$C = $A32,'Fund Investment Data'!$A:$A = MAX('Fund Investment Data'!$A:$A), 'Fund Investment Data'!$B:$B = MAX(FILTER('Fund Investment Data'!$B:$B,'Fund Investment Data'!$C:$C = $A32,'F"&amp;"und Investment Data'!$A:$A = MAX('Fund Investment Data'!$A:$A)))),0)"),162317.79070678545)</f>
        <v>162317.7907</v>
      </c>
      <c r="E32" s="29">
        <f>IFERROR(__xludf.DUMMYFUNCTION("IFERROR(FILTER('Fund Investment Data'!$P:$P,'Fund Investment Data'!$C:$C = $A32,'Fund Investment Data'!$A:$A = MAX('Fund Investment Data'!$A:$A), 'Fund Investment Data'!$B:$B = MAX(FILTER('Fund Investment Data'!$B:$B,'Fund Investment Data'!$C:$C = $A32,'F"&amp;"und Investment Data'!$A:$A = MAX('Fund Investment Data'!$A:$A)))),0)"),164525.85999999996)</f>
        <v>164525.86</v>
      </c>
      <c r="F32" s="30">
        <f t="shared" si="1"/>
        <v>1.452457246</v>
      </c>
      <c r="G32" s="31">
        <f t="shared" si="2"/>
        <v>1.013603372</v>
      </c>
      <c r="H32" s="32">
        <f>IFERROR(__xludf.DUMMYFUNCTION("IFERROR(FILTER('Fund Investment Data'!$AD:$AD,'Fund Investment Data'!$C:$C = $A32,'Fund Investment Data'!$A:$A = MAX('Fund Investment Data'!$A:$A), 'Fund Investment Data'!$B:$B = MAX(FILTER('Fund Investment Data'!$B:$B,'Fund Investment Data'!$C:$C = $A32,"&amp;"'Fund Investment Data'!$A:$A = MAX('Fund Investment Data'!$A:$A)))),0)"),7583.721969592103)</f>
        <v>7583.72197</v>
      </c>
      <c r="I32" s="32">
        <f>IFERROR(__xludf.DUMMYFUNCTION("IFERROR(FILTER('Fund Investment Data'!$E:$E,'Fund Investment Data'!$C:$C = $A32,'Fund Investment Data'!$A:$A = MAX('Fund Investment Data'!$A:$A), 'Fund Investment Data'!$B:$B = MAX(FILTER('Fund Investment Data'!$B:$B,'Fund Investment Data'!$C:$C = $A32,'F"&amp;"und Investment Data'!$A:$A = MAX('Fund Investment Data'!$A:$A)))),0)"),0.0)</f>
        <v>0</v>
      </c>
      <c r="J32" s="33">
        <f t="shared" si="3"/>
        <v>7583.72197</v>
      </c>
      <c r="K32" s="32">
        <f>IFERROR(__xludf.DUMMYFUNCTION("IFERROR(SUM(FILTER('Fund Spending Data'!$F:$F,'Fund Spending Data'!$A:$A = $A32,'Fund Spending Data'!$C:$C &lt;&gt; 688)) + SUM(FILTER('Fund Spending Data'!$G:$G,'Fund Spending Data'!$A:$A = $A32,'Fund Spending Data'!$C:$C &lt;&gt; 688)),0)"),-2350.0)</f>
        <v>-2350</v>
      </c>
      <c r="L32" s="32">
        <f>IFERROR(__xludf.DUMMYFUNCTION("IFERROR(SUM(FILTER('Fund Spending Data'!$F:$F,'Fund Spending Data'!$A:$A = $A32,'Fund Spending Data'!$C:$C = 688)) + SUM(FILTER('Fund Spending Data'!$G:$G,'Fund Spending Data'!$A:$A = $A32,'Fund Spending Data'!$C:$C = 688)),0)"),0.0)</f>
        <v>0</v>
      </c>
      <c r="M32" s="34">
        <f t="shared" si="4"/>
        <v>5233.72197</v>
      </c>
      <c r="N32" s="35"/>
      <c r="O32" s="34">
        <f t="shared" si="5"/>
        <v>5233.72197</v>
      </c>
    </row>
    <row r="33">
      <c r="A33" s="36" t="s">
        <v>55</v>
      </c>
      <c r="B33" s="27" t="str">
        <f>IFERROR(__xludf.DUMMYFUNCTION("FILTER('Endowed Funds'!$B:$B,'Endowed Funds'!$A:$A = $A33)")," Research Institute ")</f>
        <v>Research Institute</v>
      </c>
      <c r="C33" s="28">
        <f>IFERROR(__xludf.DUMMYFUNCTION("IFERROR(sum(FILTER('Fund Investment Data'!$V:$V, 'Fund Investment Data'!$C:$C = $A33)),0)"),350000.0)</f>
        <v>350000</v>
      </c>
      <c r="D33" s="28">
        <f>IFERROR(__xludf.DUMMYFUNCTION("IFERROR(FILTER('Fund Investment Data'!$R:$R,'Fund Investment Data'!$C:$C = $A33,'Fund Investment Data'!$A:$A = MAX('Fund Investment Data'!$A:$A), 'Fund Investment Data'!$B:$B = MAX(FILTER('Fund Investment Data'!$B:$B,'Fund Investment Data'!$C:$C = $A33,'F"&amp;"und Investment Data'!$A:$A = MAX('Fund Investment Data'!$A:$A)))),0)"),373132.6186566857)</f>
        <v>373132.6187</v>
      </c>
      <c r="E33" s="29">
        <f>IFERROR(__xludf.DUMMYFUNCTION("IFERROR(FILTER('Fund Investment Data'!$P:$P,'Fund Investment Data'!$C:$C = $A33,'Fund Investment Data'!$A:$A = MAX('Fund Investment Data'!$A:$A), 'Fund Investment Data'!$B:$B = MAX(FILTER('Fund Investment Data'!$B:$B,'Fund Investment Data'!$C:$C = $A33,'F"&amp;"und Investment Data'!$A:$A = MAX('Fund Investment Data'!$A:$A)))),0)"),348403.7099999999)</f>
        <v>348403.71</v>
      </c>
      <c r="F33" s="30">
        <f t="shared" si="1"/>
        <v>0.9954391714</v>
      </c>
      <c r="G33" s="31">
        <f t="shared" si="2"/>
        <v>0.9337262211</v>
      </c>
      <c r="H33" s="32">
        <f>IFERROR(__xludf.DUMMYFUNCTION("IFERROR(FILTER('Fund Investment Data'!$AD:$AD,'Fund Investment Data'!$C:$C = $A33,'Fund Investment Data'!$A:$A = MAX('Fund Investment Data'!$A:$A), 'Fund Investment Data'!$B:$B = MAX(FILTER('Fund Investment Data'!$B:$B,'Fund Investment Data'!$C:$C = $A33,"&amp;"'Fund Investment Data'!$A:$A = MAX('Fund Investment Data'!$A:$A)))),0)"),14684.79157790319)</f>
        <v>14684.79158</v>
      </c>
      <c r="I33" s="32">
        <f>IFERROR(__xludf.DUMMYFUNCTION("IFERROR(FILTER('Fund Investment Data'!$E:$E,'Fund Investment Data'!$C:$C = $A33,'Fund Investment Data'!$A:$A = MAX('Fund Investment Data'!$A:$A), 'Fund Investment Data'!$B:$B = MAX(FILTER('Fund Investment Data'!$B:$B,'Fund Investment Data'!$C:$C = $A33,'F"&amp;"und Investment Data'!$A:$A = MAX('Fund Investment Data'!$A:$A)))),0)"),0.0)</f>
        <v>0</v>
      </c>
      <c r="J33" s="33">
        <f t="shared" si="3"/>
        <v>14684.79158</v>
      </c>
      <c r="K33" s="32">
        <f>IFERROR(__xludf.DUMMYFUNCTION("IFERROR(SUM(FILTER('Fund Spending Data'!$F:$F,'Fund Spending Data'!$A:$A = $A33,'Fund Spending Data'!$C:$C &lt;&gt; 688)) + SUM(FILTER('Fund Spending Data'!$G:$G,'Fund Spending Data'!$A:$A = $A33,'Fund Spending Data'!$C:$C &lt;&gt; 688)),0)"),0.0)</f>
        <v>0</v>
      </c>
      <c r="L33" s="32">
        <f>IFERROR(__xludf.DUMMYFUNCTION("IFERROR(SUM(FILTER('Fund Spending Data'!$F:$F,'Fund Spending Data'!$A:$A = $A33,'Fund Spending Data'!$C:$C = 688)) + SUM(FILTER('Fund Spending Data'!$G:$G,'Fund Spending Data'!$A:$A = $A33,'Fund Spending Data'!$C:$C = 688)),0)"),0.0)</f>
        <v>0</v>
      </c>
      <c r="M33" s="34">
        <f t="shared" si="4"/>
        <v>14684.79158</v>
      </c>
      <c r="N33" s="35"/>
      <c r="O33" s="34">
        <f t="shared" si="5"/>
        <v>14684.79158</v>
      </c>
    </row>
    <row r="34">
      <c r="A34" s="36" t="s">
        <v>56</v>
      </c>
      <c r="B34" s="27" t="str">
        <f>IFERROR(__xludf.DUMMYFUNCTION("FILTER('Endowed Funds'!$B:$B,'Endowed Funds'!$A:$A = $A34)")," Research Institute ")</f>
        <v>Research Institute</v>
      </c>
      <c r="C34" s="28">
        <f>IFERROR(__xludf.DUMMYFUNCTION("IFERROR(sum(FILTER('Fund Investment Data'!$V:$V, 'Fund Investment Data'!$C:$C = $A34)),0)"),1000000.0)</f>
        <v>1000000</v>
      </c>
      <c r="D34" s="28">
        <f>IFERROR(__xludf.DUMMYFUNCTION("IFERROR(FILTER('Fund Investment Data'!$R:$R,'Fund Investment Data'!$C:$C = $A34,'Fund Investment Data'!$A:$A = MAX('Fund Investment Data'!$A:$A), 'Fund Investment Data'!$B:$B = MAX(FILTER('Fund Investment Data'!$B:$B,'Fund Investment Data'!$C:$C = $A34,'F"&amp;"und Investment Data'!$A:$A = MAX('Fund Investment Data'!$A:$A)))),0)"),1105978.6804699122)</f>
        <v>1105978.68</v>
      </c>
      <c r="E34" s="29">
        <f>IFERROR(__xludf.DUMMYFUNCTION("IFERROR(FILTER('Fund Investment Data'!$P:$P,'Fund Investment Data'!$C:$C = $A34,'Fund Investment Data'!$A:$A = MAX('Fund Investment Data'!$A:$A), 'Fund Investment Data'!$B:$B = MAX(FILTER('Fund Investment Data'!$B:$B,'Fund Investment Data'!$C:$C = $A34,'F"&amp;"und Investment Data'!$A:$A = MAX('Fund Investment Data'!$A:$A)))),0)"),1057153.7899999998)</f>
        <v>1057153.79</v>
      </c>
      <c r="F34" s="30">
        <f t="shared" si="1"/>
        <v>1.05715379</v>
      </c>
      <c r="G34" s="31">
        <f t="shared" si="2"/>
        <v>0.9558536784</v>
      </c>
      <c r="H34" s="32">
        <f>IFERROR(__xludf.DUMMYFUNCTION("IFERROR(FILTER('Fund Investment Data'!$AD:$AD,'Fund Investment Data'!$C:$C = $A34,'Fund Investment Data'!$A:$A = MAX('Fund Investment Data'!$A:$A), 'Fund Investment Data'!$B:$B = MAX(FILTER('Fund Investment Data'!$B:$B,'Fund Investment Data'!$C:$C = $A34,"&amp;"'Fund Investment Data'!$A:$A = MAX('Fund Investment Data'!$A:$A)))),0)"),48347.804314234156)</f>
        <v>48347.80431</v>
      </c>
      <c r="I34" s="32">
        <f>IFERROR(__xludf.DUMMYFUNCTION("IFERROR(FILTER('Fund Investment Data'!$E:$E,'Fund Investment Data'!$C:$C = $A34,'Fund Investment Data'!$A:$A = MAX('Fund Investment Data'!$A:$A), 'Fund Investment Data'!$B:$B = MAX(FILTER('Fund Investment Data'!$B:$B,'Fund Investment Data'!$C:$C = $A34,'F"&amp;"und Investment Data'!$A:$A = MAX('Fund Investment Data'!$A:$A)))),0)"),0.0)</f>
        <v>0</v>
      </c>
      <c r="J34" s="33">
        <f t="shared" si="3"/>
        <v>48347.80431</v>
      </c>
      <c r="K34" s="32">
        <f>IFERROR(__xludf.DUMMYFUNCTION("IFERROR(SUM(FILTER('Fund Spending Data'!$F:$F,'Fund Spending Data'!$A:$A = $A34,'Fund Spending Data'!$C:$C &lt;&gt; 688)) + SUM(FILTER('Fund Spending Data'!$G:$G,'Fund Spending Data'!$A:$A = $A34,'Fund Spending Data'!$C:$C &lt;&gt; 688)),0)"),-572.31)</f>
        <v>-572.31</v>
      </c>
      <c r="L34" s="32">
        <f>IFERROR(__xludf.DUMMYFUNCTION("IFERROR(SUM(FILTER('Fund Spending Data'!$F:$F,'Fund Spending Data'!$A:$A = $A34,'Fund Spending Data'!$C:$C = 688)) + SUM(FILTER('Fund Spending Data'!$G:$G,'Fund Spending Data'!$A:$A = $A34,'Fund Spending Data'!$C:$C = 688)),0)"),0.0)</f>
        <v>0</v>
      </c>
      <c r="M34" s="34">
        <f t="shared" si="4"/>
        <v>47775.49431</v>
      </c>
      <c r="N34" s="35"/>
      <c r="O34" s="34">
        <f t="shared" si="5"/>
        <v>47775.49431</v>
      </c>
    </row>
    <row r="35">
      <c r="A35" s="26" t="s">
        <v>57</v>
      </c>
      <c r="B35" s="27" t="str">
        <f>IFERROR(__xludf.DUMMYFUNCTION("FILTER('Endowed Funds'!$B:$B,'Endowed Funds'!$A:$A = $A35)")," Research Institute ")</f>
        <v>Research Institute</v>
      </c>
      <c r="C35" s="28">
        <f>IFERROR(__xludf.DUMMYFUNCTION("IFERROR(sum(FILTER('Fund Investment Data'!$V:$V, 'Fund Investment Data'!$C:$C = $A35)),0)"),2000000.0)</f>
        <v>2000000</v>
      </c>
      <c r="D35" s="28">
        <f>IFERROR(__xludf.DUMMYFUNCTION("IFERROR(FILTER('Fund Investment Data'!$R:$R,'Fund Investment Data'!$C:$C = $A35,'Fund Investment Data'!$A:$A = MAX('Fund Investment Data'!$A:$A), 'Fund Investment Data'!$B:$B = MAX(FILTER('Fund Investment Data'!$B:$B,'Fund Investment Data'!$C:$C = $A35,'F"&amp;"und Investment Data'!$A:$A = MAX('Fund Investment Data'!$A:$A)))),0)"),2136262.6791038057)</f>
        <v>2136262.679</v>
      </c>
      <c r="E35" s="29">
        <f>IFERROR(__xludf.DUMMYFUNCTION("IFERROR(FILTER('Fund Investment Data'!$P:$P,'Fund Investment Data'!$C:$C = $A35,'Fund Investment Data'!$A:$A = MAX('Fund Investment Data'!$A:$A), 'Fund Investment Data'!$B:$B = MAX(FILTER('Fund Investment Data'!$B:$B,'Fund Investment Data'!$C:$C = $A35,'F"&amp;"und Investment Data'!$A:$A = MAX('Fund Investment Data'!$A:$A)))),0)"),1941306.9700000002)</f>
        <v>1941306.97</v>
      </c>
      <c r="F35" s="30">
        <f t="shared" si="1"/>
        <v>0.970653485</v>
      </c>
      <c r="G35" s="31">
        <f t="shared" si="2"/>
        <v>0.9087398235</v>
      </c>
      <c r="H35" s="32">
        <f>IFERROR(__xludf.DUMMYFUNCTION("IFERROR(FILTER('Fund Investment Data'!$AD:$AD,'Fund Investment Data'!$C:$C = $A35,'Fund Investment Data'!$A:$A = MAX('Fund Investment Data'!$A:$A), 'Fund Investment Data'!$B:$B = MAX(FILTER('Fund Investment Data'!$B:$B,'Fund Investment Data'!$C:$C = $A35,"&amp;"'Fund Investment Data'!$A:$A = MAX('Fund Investment Data'!$A:$A)))),0)"),90266.39702997103)</f>
        <v>90266.39703</v>
      </c>
      <c r="I35" s="32">
        <f>IFERROR(__xludf.DUMMYFUNCTION("IFERROR(FILTER('Fund Investment Data'!$E:$E,'Fund Investment Data'!$C:$C = $A35,'Fund Investment Data'!$A:$A = MAX('Fund Investment Data'!$A:$A), 'Fund Investment Data'!$B:$B = MAX(FILTER('Fund Investment Data'!$B:$B,'Fund Investment Data'!$C:$C = $A35,'F"&amp;"und Investment Data'!$A:$A = MAX('Fund Investment Data'!$A:$A)))),0)"),0.0)</f>
        <v>0</v>
      </c>
      <c r="J35" s="33">
        <f t="shared" si="3"/>
        <v>90266.39703</v>
      </c>
      <c r="K35" s="32">
        <f>IFERROR(__xludf.DUMMYFUNCTION("IFERROR(SUM(FILTER('Fund Spending Data'!$F:$F,'Fund Spending Data'!$A:$A = $A35,'Fund Spending Data'!$C:$C &lt;&gt; 688)) + SUM(FILTER('Fund Spending Data'!$G:$G,'Fund Spending Data'!$A:$A = $A35,'Fund Spending Data'!$C:$C &lt;&gt; 688)),0)"),-7165.16)</f>
        <v>-7165.16</v>
      </c>
      <c r="L35" s="32">
        <f>IFERROR(__xludf.DUMMYFUNCTION("IFERROR(SUM(FILTER('Fund Spending Data'!$F:$F,'Fund Spending Data'!$A:$A = $A35,'Fund Spending Data'!$C:$C = 688)) + SUM(FILTER('Fund Spending Data'!$G:$G,'Fund Spending Data'!$A:$A = $A35,'Fund Spending Data'!$C:$C = 688)),0)"),0.0)</f>
        <v>0</v>
      </c>
      <c r="M35" s="34">
        <f t="shared" si="4"/>
        <v>83101.23703</v>
      </c>
      <c r="N35" s="35"/>
      <c r="O35" s="34">
        <f t="shared" si="5"/>
        <v>83101.23703</v>
      </c>
    </row>
    <row r="36">
      <c r="A36" s="26" t="s">
        <v>58</v>
      </c>
      <c r="B36" s="27" t="str">
        <f>IFERROR(__xludf.DUMMYFUNCTION("FILTER('Endowed Funds'!$B:$B,'Endowed Funds'!$A:$A = $A36)")," Research Institute ")</f>
        <v>Research Institute</v>
      </c>
      <c r="C36" s="28">
        <f>IFERROR(__xludf.DUMMYFUNCTION("IFERROR(sum(FILTER('Fund Investment Data'!$V:$V, 'Fund Investment Data'!$C:$C = $A36)),0)"),2000000.0)</f>
        <v>2000000</v>
      </c>
      <c r="D36" s="28">
        <f>IFERROR(__xludf.DUMMYFUNCTION("IFERROR(FILTER('Fund Investment Data'!$R:$R,'Fund Investment Data'!$C:$C = $A36,'Fund Investment Data'!$A:$A = MAX('Fund Investment Data'!$A:$A), 'Fund Investment Data'!$B:$B = MAX(FILTER('Fund Investment Data'!$B:$B,'Fund Investment Data'!$C:$C = $A36,'F"&amp;"und Investment Data'!$A:$A = MAX('Fund Investment Data'!$A:$A)))),0)"),2136262.6791038057)</f>
        <v>2136262.679</v>
      </c>
      <c r="E36" s="37">
        <f>IFERROR(__xludf.DUMMYFUNCTION("IFERROR(FILTER('Fund Investment Data'!$P:$P,'Fund Investment Data'!$C:$C = $A36,'Fund Investment Data'!$A:$A = MAX('Fund Investment Data'!$A:$A), 'Fund Investment Data'!$B:$B = MAX(FILTER('Fund Investment Data'!$B:$B,'Fund Investment Data'!$C:$C = $A36,'F"&amp;"und Investment Data'!$A:$A = MAX('Fund Investment Data'!$A:$A)))),0)"),1941023.26)</f>
        <v>1941023.26</v>
      </c>
      <c r="F36" s="30">
        <f t="shared" si="1"/>
        <v>0.97051163</v>
      </c>
      <c r="G36" s="31">
        <f t="shared" si="2"/>
        <v>0.9086070168</v>
      </c>
      <c r="H36" s="32">
        <f>IFERROR(__xludf.DUMMYFUNCTION("IFERROR(FILTER('Fund Investment Data'!$AD:$AD,'Fund Investment Data'!$C:$C = $A36,'Fund Investment Data'!$A:$A = MAX('Fund Investment Data'!$A:$A), 'Fund Investment Data'!$B:$B = MAX(FILTER('Fund Investment Data'!$B:$B,'Fund Investment Data'!$C:$C = $A36,"&amp;"'Fund Investment Data'!$A:$A = MAX('Fund Investment Data'!$A:$A)))),0)"),89996.39675997103)</f>
        <v>89996.39676</v>
      </c>
      <c r="I36" s="32">
        <f>IFERROR(__xludf.DUMMYFUNCTION("IFERROR(FILTER('Fund Investment Data'!$E:$E,'Fund Investment Data'!$C:$C = $A36,'Fund Investment Data'!$A:$A = MAX('Fund Investment Data'!$A:$A), 'Fund Investment Data'!$B:$B = MAX(FILTER('Fund Investment Data'!$B:$B,'Fund Investment Data'!$C:$C = $A36,'F"&amp;"und Investment Data'!$A:$A = MAX('Fund Investment Data'!$A:$A)))),0)"),0.0)</f>
        <v>0</v>
      </c>
      <c r="J36" s="33">
        <f t="shared" si="3"/>
        <v>89996.39676</v>
      </c>
      <c r="K36" s="32">
        <f>IFERROR(__xludf.DUMMYFUNCTION("IFERROR(SUM(FILTER('Fund Spending Data'!$F:$F,'Fund Spending Data'!$A:$A = $A36,'Fund Spending Data'!$C:$C &lt;&gt; 688)) + SUM(FILTER('Fund Spending Data'!$G:$G,'Fund Spending Data'!$A:$A = $A36,'Fund Spending Data'!$C:$C &lt;&gt; 688)),0)"),-42530.20999999999)</f>
        <v>-42530.21</v>
      </c>
      <c r="L36" s="32">
        <f>IFERROR(__xludf.DUMMYFUNCTION("IFERROR(SUM(FILTER('Fund Spending Data'!$F:$F,'Fund Spending Data'!$A:$A = $A36,'Fund Spending Data'!$C:$C = 688)) + SUM(FILTER('Fund Spending Data'!$G:$G,'Fund Spending Data'!$A:$A = $A36,'Fund Spending Data'!$C:$C = 688)),0)"),0.0)</f>
        <v>0</v>
      </c>
      <c r="M36" s="34">
        <f t="shared" si="4"/>
        <v>47466.18676</v>
      </c>
      <c r="N36" s="35"/>
      <c r="O36" s="34">
        <f t="shared" si="5"/>
        <v>47466.18676</v>
      </c>
    </row>
    <row r="37">
      <c r="A37" s="38" t="s">
        <v>59</v>
      </c>
      <c r="B37" s="39"/>
      <c r="C37" s="40">
        <f t="shared" ref="C37:E37" si="6">sum(C3:C36)</f>
        <v>21244973.84</v>
      </c>
      <c r="D37" s="40">
        <f t="shared" si="6"/>
        <v>27168322.4</v>
      </c>
      <c r="E37" s="41">
        <f t="shared" si="6"/>
        <v>22396309.77</v>
      </c>
      <c r="F37" s="42">
        <f t="shared" si="1"/>
        <v>1.054193332</v>
      </c>
      <c r="G37" s="43">
        <f t="shared" si="2"/>
        <v>0.8243537985</v>
      </c>
      <c r="H37" s="40">
        <f t="shared" ref="H37:O37" si="7">sum(H3:H36)</f>
        <v>1053242.782</v>
      </c>
      <c r="I37" s="40">
        <f t="shared" si="7"/>
        <v>0</v>
      </c>
      <c r="J37" s="41">
        <f t="shared" si="7"/>
        <v>1053242.782</v>
      </c>
      <c r="K37" s="40">
        <f t="shared" si="7"/>
        <v>-164490.32</v>
      </c>
      <c r="L37" s="40">
        <f t="shared" si="7"/>
        <v>0</v>
      </c>
      <c r="M37" s="44">
        <f t="shared" si="7"/>
        <v>888752.4617</v>
      </c>
      <c r="N37" s="44">
        <f t="shared" si="7"/>
        <v>0</v>
      </c>
      <c r="O37" s="44">
        <f t="shared" si="7"/>
        <v>888752.4617</v>
      </c>
    </row>
    <row r="38">
      <c r="A38" s="45"/>
      <c r="B38" s="45"/>
      <c r="C38" s="45"/>
      <c r="D38" s="45"/>
      <c r="E38" s="45"/>
      <c r="F38" s="30"/>
      <c r="G38" s="30"/>
      <c r="H38" s="32"/>
      <c r="I38" s="32"/>
      <c r="J38" s="32"/>
      <c r="K38" s="32"/>
      <c r="L38" s="32"/>
      <c r="M38" s="34"/>
      <c r="N38" s="34"/>
      <c r="O38" s="34"/>
    </row>
    <row r="39">
      <c r="A39" s="45"/>
      <c r="B39" s="45"/>
      <c r="C39" s="45"/>
      <c r="D39" s="45"/>
      <c r="E39" s="45"/>
      <c r="F39" s="30"/>
      <c r="G39" s="30"/>
      <c r="H39" s="32"/>
      <c r="I39" s="32"/>
      <c r="J39" s="32"/>
      <c r="K39" s="32"/>
      <c r="L39" s="32"/>
      <c r="M39" s="34"/>
      <c r="N39" s="34"/>
      <c r="O39" s="34"/>
    </row>
    <row r="40">
      <c r="A40" s="45"/>
      <c r="B40" s="45"/>
      <c r="C40" s="45"/>
      <c r="D40" s="45"/>
      <c r="E40" s="45"/>
      <c r="F40" s="30"/>
      <c r="G40" s="30"/>
      <c r="H40" s="32"/>
      <c r="I40" s="32"/>
      <c r="J40" s="32"/>
      <c r="K40" s="32"/>
      <c r="L40" s="32"/>
      <c r="M40" s="34"/>
      <c r="N40" s="34"/>
      <c r="O40" s="34"/>
    </row>
    <row r="41">
      <c r="A41" s="45"/>
      <c r="B41" s="45"/>
      <c r="C41" s="45"/>
      <c r="D41" s="45"/>
      <c r="E41" s="45"/>
      <c r="F41" s="30"/>
      <c r="G41" s="30"/>
      <c r="H41" s="32"/>
      <c r="I41" s="32"/>
      <c r="J41" s="32"/>
      <c r="K41" s="32"/>
      <c r="L41" s="32"/>
      <c r="M41" s="34"/>
      <c r="N41" s="34"/>
      <c r="O41" s="34"/>
    </row>
    <row r="42">
      <c r="A42" s="45"/>
      <c r="B42" s="45"/>
      <c r="C42" s="45"/>
      <c r="D42" s="45"/>
      <c r="E42" s="45"/>
      <c r="F42" s="30"/>
      <c r="G42" s="30"/>
      <c r="H42" s="32"/>
      <c r="I42" s="32"/>
      <c r="J42" s="32"/>
      <c r="K42" s="32"/>
      <c r="L42" s="32"/>
      <c r="M42" s="34"/>
      <c r="N42" s="34"/>
      <c r="O42" s="34"/>
    </row>
    <row r="43">
      <c r="A43" s="45"/>
      <c r="B43" s="45"/>
      <c r="C43" s="45"/>
      <c r="D43" s="45"/>
      <c r="E43" s="45"/>
      <c r="F43" s="30"/>
      <c r="G43" s="30"/>
      <c r="H43" s="32"/>
      <c r="I43" s="32"/>
      <c r="J43" s="32"/>
      <c r="K43" s="32"/>
      <c r="L43" s="32"/>
      <c r="M43" s="34"/>
      <c r="N43" s="34"/>
      <c r="O43" s="34"/>
    </row>
    <row r="44">
      <c r="A44" s="45"/>
      <c r="B44" s="45"/>
      <c r="C44" s="45"/>
      <c r="D44" s="45"/>
      <c r="E44" s="45"/>
      <c r="F44" s="30"/>
      <c r="G44" s="30"/>
      <c r="H44" s="32"/>
      <c r="I44" s="32"/>
      <c r="J44" s="32"/>
      <c r="K44" s="32"/>
      <c r="L44" s="32"/>
      <c r="M44" s="34"/>
      <c r="N44" s="34"/>
      <c r="O44" s="34"/>
    </row>
    <row r="45">
      <c r="A45" s="45"/>
      <c r="B45" s="45"/>
      <c r="C45" s="45"/>
      <c r="D45" s="45"/>
      <c r="E45" s="45"/>
      <c r="F45" s="30"/>
      <c r="G45" s="30"/>
      <c r="H45" s="32"/>
      <c r="I45" s="32"/>
      <c r="J45" s="32"/>
      <c r="K45" s="32"/>
      <c r="L45" s="32"/>
      <c r="M45" s="34"/>
      <c r="N45" s="34"/>
      <c r="O45" s="34"/>
    </row>
    <row r="46">
      <c r="A46" s="45"/>
      <c r="B46" s="45"/>
      <c r="C46" s="45"/>
      <c r="D46" s="45"/>
      <c r="E46" s="45"/>
      <c r="F46" s="30"/>
      <c r="G46" s="30"/>
      <c r="H46" s="32"/>
      <c r="I46" s="32"/>
      <c r="J46" s="32"/>
      <c r="K46" s="32"/>
      <c r="L46" s="32"/>
      <c r="M46" s="34"/>
      <c r="N46" s="34"/>
      <c r="O46" s="34"/>
    </row>
    <row r="47">
      <c r="A47" s="45"/>
      <c r="B47" s="45"/>
      <c r="C47" s="45"/>
      <c r="D47" s="45"/>
      <c r="E47" s="45"/>
      <c r="F47" s="30"/>
      <c r="G47" s="30"/>
      <c r="H47" s="32"/>
      <c r="I47" s="32"/>
      <c r="J47" s="32"/>
      <c r="K47" s="32"/>
      <c r="L47" s="32"/>
      <c r="M47" s="34"/>
      <c r="N47" s="34"/>
      <c r="O47" s="34"/>
    </row>
    <row r="48">
      <c r="A48" s="45"/>
      <c r="B48" s="45"/>
      <c r="C48" s="45"/>
      <c r="D48" s="45"/>
      <c r="E48" s="45"/>
      <c r="F48" s="30"/>
      <c r="G48" s="30"/>
      <c r="H48" s="32"/>
      <c r="I48" s="32"/>
      <c r="J48" s="32"/>
      <c r="K48" s="32"/>
      <c r="L48" s="32"/>
      <c r="M48" s="34"/>
      <c r="N48" s="34"/>
      <c r="O48" s="34"/>
    </row>
    <row r="49">
      <c r="A49" s="45"/>
      <c r="B49" s="45"/>
      <c r="C49" s="45"/>
      <c r="D49" s="45"/>
      <c r="E49" s="45"/>
      <c r="F49" s="30"/>
      <c r="G49" s="30"/>
      <c r="H49" s="32"/>
      <c r="I49" s="32"/>
      <c r="J49" s="32"/>
      <c r="K49" s="32"/>
      <c r="L49" s="32"/>
      <c r="M49" s="34"/>
      <c r="N49" s="34"/>
      <c r="O49" s="34"/>
    </row>
    <row r="50">
      <c r="A50" s="45"/>
      <c r="B50" s="45"/>
      <c r="C50" s="45"/>
      <c r="D50" s="45"/>
      <c r="E50" s="45"/>
      <c r="F50" s="30"/>
      <c r="G50" s="30"/>
      <c r="H50" s="32"/>
      <c r="I50" s="32"/>
      <c r="J50" s="32"/>
      <c r="K50" s="32"/>
      <c r="L50" s="32"/>
      <c r="M50" s="34"/>
      <c r="N50" s="34"/>
      <c r="O50" s="34"/>
    </row>
    <row r="51">
      <c r="A51" s="45"/>
      <c r="B51" s="45"/>
      <c r="C51" s="45"/>
      <c r="D51" s="45"/>
      <c r="E51" s="45"/>
      <c r="F51" s="30"/>
      <c r="G51" s="30"/>
      <c r="H51" s="32"/>
      <c r="I51" s="32"/>
      <c r="J51" s="32"/>
      <c r="K51" s="32"/>
      <c r="L51" s="32"/>
      <c r="M51" s="34"/>
      <c r="N51" s="34"/>
      <c r="O51" s="34"/>
    </row>
    <row r="52">
      <c r="A52" s="45"/>
      <c r="B52" s="45"/>
      <c r="C52" s="45"/>
      <c r="D52" s="45"/>
      <c r="E52" s="45"/>
      <c r="F52" s="30"/>
      <c r="G52" s="30"/>
      <c r="H52" s="32"/>
      <c r="I52" s="32"/>
      <c r="J52" s="32"/>
      <c r="K52" s="32"/>
      <c r="L52" s="32"/>
      <c r="M52" s="34"/>
      <c r="N52" s="34"/>
      <c r="O52" s="34"/>
    </row>
    <row r="53">
      <c r="A53" s="45"/>
      <c r="B53" s="45"/>
      <c r="C53" s="45"/>
      <c r="D53" s="45"/>
      <c r="E53" s="45"/>
      <c r="F53" s="30"/>
      <c r="G53" s="30"/>
      <c r="H53" s="32"/>
      <c r="I53" s="32"/>
      <c r="J53" s="32"/>
      <c r="K53" s="32"/>
      <c r="L53" s="32"/>
      <c r="M53" s="34"/>
      <c r="N53" s="34"/>
      <c r="O53" s="34"/>
    </row>
    <row r="54">
      <c r="A54" s="45"/>
      <c r="B54" s="45"/>
      <c r="C54" s="45"/>
      <c r="D54" s="45"/>
      <c r="E54" s="45"/>
      <c r="F54" s="30"/>
      <c r="G54" s="30"/>
      <c r="H54" s="32"/>
      <c r="I54" s="32"/>
      <c r="J54" s="32"/>
      <c r="K54" s="32"/>
      <c r="L54" s="32"/>
      <c r="M54" s="34"/>
      <c r="N54" s="34"/>
      <c r="O54" s="34"/>
    </row>
    <row r="55">
      <c r="A55" s="45"/>
      <c r="B55" s="45"/>
      <c r="C55" s="45"/>
      <c r="D55" s="45"/>
      <c r="E55" s="45"/>
      <c r="F55" s="30"/>
      <c r="G55" s="30"/>
      <c r="H55" s="32"/>
      <c r="I55" s="32"/>
      <c r="J55" s="32"/>
      <c r="K55" s="32"/>
      <c r="L55" s="32"/>
      <c r="M55" s="34"/>
      <c r="N55" s="34"/>
      <c r="O55" s="34"/>
    </row>
    <row r="56">
      <c r="A56" s="45"/>
      <c r="B56" s="45"/>
      <c r="C56" s="45"/>
      <c r="D56" s="45"/>
      <c r="E56" s="45"/>
      <c r="F56" s="30"/>
      <c r="G56" s="30"/>
      <c r="H56" s="32"/>
      <c r="I56" s="32"/>
      <c r="J56" s="32"/>
      <c r="K56" s="32"/>
      <c r="L56" s="32"/>
      <c r="M56" s="34"/>
      <c r="N56" s="34"/>
      <c r="O56" s="34"/>
    </row>
    <row r="57">
      <c r="A57" s="45"/>
      <c r="B57" s="45"/>
      <c r="C57" s="45"/>
      <c r="D57" s="45"/>
      <c r="E57" s="45"/>
      <c r="F57" s="30"/>
      <c r="G57" s="30"/>
      <c r="H57" s="32"/>
      <c r="I57" s="32"/>
      <c r="J57" s="32"/>
      <c r="K57" s="32"/>
      <c r="L57" s="32"/>
      <c r="M57" s="34"/>
      <c r="N57" s="34"/>
      <c r="O57" s="34"/>
    </row>
    <row r="58">
      <c r="A58" s="45"/>
      <c r="B58" s="45"/>
      <c r="C58" s="45"/>
      <c r="D58" s="45"/>
      <c r="E58" s="45"/>
      <c r="F58" s="30"/>
      <c r="G58" s="30"/>
      <c r="H58" s="32"/>
      <c r="I58" s="32"/>
      <c r="J58" s="32"/>
      <c r="K58" s="32"/>
      <c r="L58" s="32"/>
      <c r="M58" s="34"/>
      <c r="N58" s="34"/>
      <c r="O58" s="34"/>
    </row>
    <row r="59">
      <c r="A59" s="45"/>
      <c r="B59" s="45"/>
      <c r="C59" s="45"/>
      <c r="D59" s="45"/>
      <c r="E59" s="45"/>
      <c r="F59" s="30"/>
      <c r="G59" s="30"/>
      <c r="H59" s="32"/>
      <c r="I59" s="32"/>
      <c r="J59" s="32"/>
      <c r="K59" s="32"/>
      <c r="L59" s="32"/>
      <c r="M59" s="34"/>
      <c r="N59" s="34"/>
      <c r="O59" s="34"/>
    </row>
    <row r="60">
      <c r="A60" s="45"/>
      <c r="B60" s="45"/>
      <c r="C60" s="45"/>
      <c r="D60" s="45"/>
      <c r="E60" s="45"/>
      <c r="F60" s="30"/>
      <c r="G60" s="30"/>
      <c r="H60" s="32"/>
      <c r="I60" s="32"/>
      <c r="J60" s="32"/>
      <c r="K60" s="32"/>
      <c r="L60" s="32"/>
      <c r="M60" s="34"/>
      <c r="N60" s="34"/>
      <c r="O60" s="34"/>
    </row>
    <row r="61">
      <c r="A61" s="45"/>
      <c r="B61" s="45"/>
      <c r="C61" s="45"/>
      <c r="D61" s="45"/>
      <c r="E61" s="45"/>
      <c r="F61" s="30"/>
      <c r="G61" s="30"/>
      <c r="H61" s="32"/>
      <c r="I61" s="32"/>
      <c r="J61" s="32"/>
      <c r="K61" s="32"/>
      <c r="L61" s="32"/>
      <c r="M61" s="34"/>
      <c r="N61" s="34"/>
      <c r="O61" s="34"/>
    </row>
    <row r="62">
      <c r="A62" s="45"/>
      <c r="B62" s="45"/>
      <c r="C62" s="45"/>
      <c r="D62" s="45"/>
      <c r="E62" s="45"/>
      <c r="F62" s="30"/>
      <c r="G62" s="30"/>
      <c r="H62" s="32"/>
      <c r="I62" s="32"/>
      <c r="J62" s="32"/>
      <c r="K62" s="32"/>
      <c r="L62" s="32"/>
      <c r="M62" s="34"/>
      <c r="N62" s="34"/>
      <c r="O62" s="34"/>
    </row>
    <row r="63">
      <c r="A63" s="45"/>
      <c r="B63" s="45"/>
      <c r="C63" s="45"/>
      <c r="D63" s="45"/>
      <c r="E63" s="45"/>
      <c r="F63" s="30"/>
      <c r="G63" s="30"/>
      <c r="H63" s="32"/>
      <c r="I63" s="32"/>
      <c r="J63" s="32"/>
      <c r="K63" s="32"/>
      <c r="L63" s="32"/>
      <c r="M63" s="34"/>
      <c r="N63" s="34"/>
      <c r="O63" s="34"/>
    </row>
    <row r="64">
      <c r="A64" s="45"/>
      <c r="B64" s="45"/>
      <c r="C64" s="45"/>
      <c r="D64" s="45"/>
      <c r="E64" s="45"/>
      <c r="F64" s="30"/>
      <c r="G64" s="30"/>
      <c r="H64" s="32"/>
      <c r="I64" s="32"/>
      <c r="J64" s="32"/>
      <c r="K64" s="32"/>
      <c r="L64" s="32"/>
      <c r="M64" s="34"/>
      <c r="N64" s="34"/>
      <c r="O64" s="34"/>
    </row>
    <row r="65">
      <c r="A65" s="45"/>
      <c r="B65" s="45"/>
      <c r="C65" s="45"/>
      <c r="D65" s="45"/>
      <c r="E65" s="45"/>
      <c r="F65" s="30"/>
      <c r="G65" s="30"/>
      <c r="H65" s="32"/>
      <c r="I65" s="32"/>
      <c r="J65" s="32"/>
      <c r="K65" s="32"/>
      <c r="L65" s="32"/>
      <c r="M65" s="34"/>
      <c r="N65" s="34"/>
      <c r="O65" s="34"/>
    </row>
    <row r="66">
      <c r="A66" s="45"/>
      <c r="B66" s="45"/>
      <c r="C66" s="45"/>
      <c r="D66" s="45"/>
      <c r="E66" s="45"/>
      <c r="F66" s="30"/>
      <c r="G66" s="30"/>
      <c r="H66" s="32"/>
      <c r="I66" s="32"/>
      <c r="J66" s="32"/>
      <c r="K66" s="32"/>
      <c r="L66" s="32"/>
      <c r="M66" s="34"/>
      <c r="N66" s="34"/>
      <c r="O66" s="34"/>
    </row>
    <row r="67">
      <c r="A67" s="45"/>
      <c r="B67" s="45"/>
      <c r="C67" s="45"/>
      <c r="D67" s="45"/>
      <c r="E67" s="45"/>
      <c r="F67" s="30"/>
      <c r="G67" s="30"/>
      <c r="H67" s="32"/>
      <c r="I67" s="32"/>
      <c r="J67" s="32"/>
      <c r="K67" s="32"/>
      <c r="L67" s="32"/>
      <c r="M67" s="34"/>
      <c r="N67" s="34"/>
      <c r="O67" s="34"/>
    </row>
    <row r="68">
      <c r="A68" s="45"/>
      <c r="B68" s="45"/>
      <c r="C68" s="45"/>
      <c r="D68" s="45"/>
      <c r="E68" s="45"/>
      <c r="F68" s="30"/>
      <c r="G68" s="30"/>
      <c r="H68" s="32"/>
      <c r="I68" s="32"/>
      <c r="J68" s="32"/>
      <c r="K68" s="32"/>
      <c r="L68" s="32"/>
      <c r="M68" s="34"/>
      <c r="N68" s="34"/>
      <c r="O68" s="34"/>
    </row>
    <row r="69">
      <c r="A69" s="45"/>
      <c r="B69" s="45"/>
      <c r="C69" s="45"/>
      <c r="D69" s="45"/>
      <c r="E69" s="45"/>
      <c r="F69" s="30"/>
      <c r="G69" s="30"/>
      <c r="H69" s="32"/>
      <c r="I69" s="32"/>
      <c r="J69" s="32"/>
      <c r="K69" s="32"/>
      <c r="L69" s="32"/>
      <c r="M69" s="34"/>
      <c r="N69" s="34"/>
      <c r="O69" s="34"/>
    </row>
    <row r="70">
      <c r="A70" s="45"/>
      <c r="B70" s="45"/>
      <c r="C70" s="45"/>
      <c r="D70" s="45"/>
      <c r="E70" s="45"/>
      <c r="F70" s="30"/>
      <c r="G70" s="30"/>
      <c r="H70" s="32"/>
      <c r="I70" s="32"/>
      <c r="J70" s="32"/>
      <c r="K70" s="32"/>
      <c r="L70" s="32"/>
      <c r="M70" s="34"/>
      <c r="N70" s="34"/>
      <c r="O70" s="34"/>
    </row>
    <row r="71">
      <c r="A71" s="45"/>
      <c r="B71" s="45"/>
      <c r="C71" s="45"/>
      <c r="D71" s="45"/>
      <c r="E71" s="45"/>
      <c r="F71" s="30"/>
      <c r="G71" s="30"/>
      <c r="H71" s="32"/>
      <c r="I71" s="32"/>
      <c r="J71" s="32"/>
      <c r="K71" s="32"/>
      <c r="L71" s="32"/>
      <c r="M71" s="34"/>
      <c r="N71" s="34"/>
      <c r="O71" s="34"/>
    </row>
    <row r="72">
      <c r="A72" s="45"/>
      <c r="B72" s="45"/>
      <c r="C72" s="45"/>
      <c r="D72" s="45"/>
      <c r="E72" s="45"/>
      <c r="F72" s="30"/>
      <c r="G72" s="30"/>
      <c r="H72" s="32"/>
      <c r="I72" s="32"/>
      <c r="J72" s="32"/>
      <c r="K72" s="32"/>
      <c r="L72" s="32"/>
      <c r="M72" s="34"/>
      <c r="N72" s="34"/>
      <c r="O72" s="34"/>
    </row>
    <row r="73">
      <c r="A73" s="45"/>
      <c r="B73" s="45"/>
      <c r="C73" s="45"/>
      <c r="D73" s="45"/>
      <c r="E73" s="45"/>
      <c r="F73" s="30"/>
      <c r="G73" s="30"/>
      <c r="H73" s="32"/>
      <c r="I73" s="32"/>
      <c r="J73" s="32"/>
      <c r="K73" s="32"/>
      <c r="L73" s="32"/>
      <c r="M73" s="34"/>
      <c r="N73" s="34"/>
      <c r="O73" s="34"/>
    </row>
    <row r="74">
      <c r="A74" s="45"/>
      <c r="B74" s="45"/>
      <c r="C74" s="45"/>
      <c r="D74" s="45"/>
      <c r="E74" s="45"/>
      <c r="F74" s="30"/>
      <c r="G74" s="30"/>
      <c r="H74" s="32"/>
      <c r="I74" s="32"/>
      <c r="J74" s="32"/>
      <c r="K74" s="32"/>
      <c r="L74" s="32"/>
      <c r="M74" s="34"/>
      <c r="N74" s="34"/>
      <c r="O74" s="34"/>
    </row>
    <row r="75">
      <c r="A75" s="45"/>
      <c r="B75" s="45"/>
      <c r="C75" s="45"/>
      <c r="D75" s="45"/>
      <c r="E75" s="45"/>
      <c r="F75" s="30"/>
      <c r="G75" s="30"/>
      <c r="H75" s="32"/>
      <c r="I75" s="32"/>
      <c r="J75" s="32"/>
      <c r="K75" s="32"/>
      <c r="L75" s="32"/>
      <c r="M75" s="34"/>
      <c r="N75" s="34"/>
      <c r="O75" s="34"/>
    </row>
    <row r="76">
      <c r="A76" s="45"/>
      <c r="B76" s="45"/>
      <c r="C76" s="45"/>
      <c r="D76" s="45"/>
      <c r="E76" s="45"/>
      <c r="F76" s="30"/>
      <c r="G76" s="30"/>
      <c r="H76" s="32"/>
      <c r="I76" s="32"/>
      <c r="J76" s="32"/>
      <c r="K76" s="32"/>
      <c r="L76" s="32"/>
      <c r="M76" s="34"/>
      <c r="N76" s="34"/>
      <c r="O76" s="34"/>
    </row>
    <row r="77">
      <c r="A77" s="45"/>
      <c r="B77" s="45"/>
      <c r="C77" s="45"/>
      <c r="D77" s="45"/>
      <c r="E77" s="45"/>
      <c r="F77" s="30"/>
      <c r="G77" s="30"/>
      <c r="H77" s="32"/>
      <c r="I77" s="32"/>
      <c r="J77" s="32"/>
      <c r="K77" s="32"/>
      <c r="L77" s="32"/>
      <c r="M77" s="34"/>
      <c r="N77" s="34"/>
      <c r="O77" s="34"/>
    </row>
    <row r="78">
      <c r="A78" s="45"/>
      <c r="B78" s="45"/>
      <c r="C78" s="45"/>
      <c r="D78" s="45"/>
      <c r="E78" s="45"/>
      <c r="F78" s="30"/>
      <c r="G78" s="30"/>
      <c r="H78" s="32"/>
      <c r="I78" s="32"/>
      <c r="J78" s="32"/>
      <c r="K78" s="32"/>
      <c r="L78" s="32"/>
      <c r="M78" s="34"/>
      <c r="N78" s="34"/>
      <c r="O78" s="34"/>
    </row>
    <row r="79">
      <c r="A79" s="45"/>
      <c r="B79" s="45"/>
      <c r="C79" s="45"/>
      <c r="D79" s="45"/>
      <c r="E79" s="45"/>
      <c r="F79" s="30"/>
      <c r="G79" s="30"/>
      <c r="H79" s="32"/>
      <c r="I79" s="32"/>
      <c r="J79" s="32"/>
      <c r="K79" s="32"/>
      <c r="L79" s="32"/>
      <c r="M79" s="34"/>
      <c r="N79" s="34"/>
      <c r="O79" s="34"/>
    </row>
    <row r="80">
      <c r="A80" s="45"/>
      <c r="B80" s="45"/>
      <c r="C80" s="45"/>
      <c r="D80" s="45"/>
      <c r="E80" s="45"/>
      <c r="F80" s="30"/>
      <c r="G80" s="30"/>
      <c r="H80" s="32"/>
      <c r="I80" s="32"/>
      <c r="J80" s="32"/>
      <c r="K80" s="32"/>
      <c r="L80" s="32"/>
      <c r="M80" s="34"/>
      <c r="N80" s="34"/>
      <c r="O80" s="34"/>
    </row>
    <row r="81">
      <c r="A81" s="45"/>
      <c r="B81" s="45"/>
      <c r="C81" s="45"/>
      <c r="D81" s="45"/>
      <c r="E81" s="45"/>
      <c r="F81" s="30"/>
      <c r="G81" s="30"/>
      <c r="H81" s="32"/>
      <c r="I81" s="32"/>
      <c r="J81" s="32"/>
      <c r="K81" s="32"/>
      <c r="L81" s="32"/>
      <c r="M81" s="34"/>
      <c r="N81" s="34"/>
      <c r="O81" s="34"/>
    </row>
    <row r="82">
      <c r="A82" s="45"/>
      <c r="B82" s="45"/>
      <c r="C82" s="45"/>
      <c r="D82" s="45"/>
      <c r="E82" s="45"/>
      <c r="F82" s="30"/>
      <c r="G82" s="30"/>
      <c r="H82" s="32"/>
      <c r="I82" s="32"/>
      <c r="J82" s="32"/>
      <c r="K82" s="32"/>
      <c r="L82" s="32"/>
      <c r="M82" s="34"/>
      <c r="N82" s="34"/>
      <c r="O82" s="34"/>
    </row>
    <row r="83">
      <c r="A83" s="45"/>
      <c r="B83" s="45"/>
      <c r="C83" s="45"/>
      <c r="D83" s="45"/>
      <c r="E83" s="45"/>
      <c r="F83" s="30"/>
      <c r="G83" s="30"/>
      <c r="H83" s="32"/>
      <c r="I83" s="32"/>
      <c r="J83" s="32"/>
      <c r="K83" s="32"/>
      <c r="L83" s="32"/>
      <c r="M83" s="34"/>
      <c r="N83" s="34"/>
      <c r="O83" s="34"/>
    </row>
    <row r="84">
      <c r="A84" s="45"/>
      <c r="B84" s="45"/>
      <c r="C84" s="45"/>
      <c r="D84" s="45"/>
      <c r="E84" s="45"/>
      <c r="F84" s="30"/>
      <c r="G84" s="30"/>
      <c r="H84" s="32"/>
      <c r="I84" s="32"/>
      <c r="J84" s="32"/>
      <c r="K84" s="32"/>
      <c r="L84" s="32"/>
      <c r="M84" s="34"/>
      <c r="N84" s="34"/>
      <c r="O84" s="34"/>
    </row>
    <row r="85">
      <c r="A85" s="45"/>
      <c r="B85" s="45"/>
      <c r="C85" s="45"/>
      <c r="D85" s="45"/>
      <c r="E85" s="45"/>
      <c r="F85" s="30"/>
      <c r="G85" s="30"/>
      <c r="H85" s="32"/>
      <c r="I85" s="32"/>
      <c r="J85" s="32"/>
      <c r="K85" s="32"/>
      <c r="L85" s="32"/>
      <c r="M85" s="34"/>
      <c r="N85" s="34"/>
      <c r="O85" s="34"/>
    </row>
    <row r="86">
      <c r="A86" s="45"/>
      <c r="B86" s="45"/>
      <c r="C86" s="45"/>
      <c r="D86" s="45"/>
      <c r="E86" s="45"/>
      <c r="F86" s="30"/>
      <c r="G86" s="30"/>
      <c r="H86" s="32"/>
      <c r="I86" s="32"/>
      <c r="J86" s="32"/>
      <c r="K86" s="32"/>
      <c r="L86" s="32"/>
      <c r="M86" s="34"/>
      <c r="N86" s="34"/>
      <c r="O86" s="34"/>
    </row>
    <row r="87">
      <c r="A87" s="45"/>
      <c r="B87" s="45"/>
      <c r="C87" s="45"/>
      <c r="D87" s="45"/>
      <c r="E87" s="45"/>
      <c r="F87" s="30"/>
      <c r="G87" s="30"/>
      <c r="H87" s="32"/>
      <c r="I87" s="32"/>
      <c r="J87" s="32"/>
      <c r="K87" s="32"/>
      <c r="L87" s="32"/>
      <c r="M87" s="34"/>
      <c r="N87" s="34"/>
      <c r="O87" s="34"/>
    </row>
    <row r="88">
      <c r="A88" s="45"/>
      <c r="B88" s="45"/>
      <c r="C88" s="45"/>
      <c r="D88" s="45"/>
      <c r="E88" s="45"/>
      <c r="F88" s="30"/>
      <c r="G88" s="30"/>
      <c r="H88" s="32"/>
      <c r="I88" s="32"/>
      <c r="J88" s="32"/>
      <c r="K88" s="32"/>
      <c r="L88" s="32"/>
      <c r="M88" s="34"/>
      <c r="N88" s="34"/>
      <c r="O88" s="34"/>
    </row>
    <row r="89">
      <c r="A89" s="45"/>
      <c r="B89" s="45"/>
      <c r="C89" s="45"/>
      <c r="D89" s="45"/>
      <c r="E89" s="45"/>
      <c r="F89" s="30"/>
      <c r="G89" s="30"/>
      <c r="H89" s="32"/>
      <c r="I89" s="32"/>
      <c r="J89" s="32"/>
      <c r="K89" s="32"/>
      <c r="L89" s="32"/>
      <c r="M89" s="34"/>
      <c r="N89" s="34"/>
      <c r="O89" s="34"/>
    </row>
    <row r="90">
      <c r="A90" s="45"/>
      <c r="B90" s="45"/>
      <c r="C90" s="45"/>
      <c r="D90" s="45"/>
      <c r="E90" s="45"/>
      <c r="F90" s="30"/>
      <c r="G90" s="30"/>
      <c r="H90" s="32"/>
      <c r="I90" s="32"/>
      <c r="J90" s="32"/>
      <c r="K90" s="32"/>
      <c r="L90" s="32"/>
      <c r="M90" s="34"/>
      <c r="N90" s="34"/>
      <c r="O90" s="34"/>
    </row>
    <row r="91">
      <c r="A91" s="45"/>
      <c r="B91" s="45"/>
      <c r="C91" s="45"/>
      <c r="D91" s="45"/>
      <c r="E91" s="45"/>
      <c r="F91" s="30"/>
      <c r="G91" s="30"/>
      <c r="H91" s="32"/>
      <c r="I91" s="32"/>
      <c r="J91" s="32"/>
      <c r="K91" s="32"/>
      <c r="L91" s="32"/>
      <c r="M91" s="34"/>
      <c r="N91" s="34"/>
      <c r="O91" s="34"/>
    </row>
    <row r="92">
      <c r="A92" s="45"/>
      <c r="B92" s="45"/>
      <c r="C92" s="45"/>
      <c r="D92" s="45"/>
      <c r="E92" s="45"/>
      <c r="F92" s="30"/>
      <c r="G92" s="30"/>
      <c r="H92" s="32"/>
      <c r="I92" s="32"/>
      <c r="J92" s="32"/>
      <c r="K92" s="32"/>
      <c r="L92" s="32"/>
      <c r="M92" s="34"/>
      <c r="N92" s="34"/>
      <c r="O92" s="34"/>
    </row>
    <row r="93">
      <c r="A93" s="45"/>
      <c r="B93" s="45"/>
      <c r="C93" s="45"/>
      <c r="D93" s="45"/>
      <c r="E93" s="45"/>
      <c r="F93" s="30"/>
      <c r="G93" s="30"/>
      <c r="H93" s="32"/>
      <c r="I93" s="32"/>
      <c r="J93" s="32"/>
      <c r="K93" s="32"/>
      <c r="L93" s="32"/>
      <c r="M93" s="34"/>
      <c r="N93" s="34"/>
      <c r="O93" s="34"/>
    </row>
    <row r="94">
      <c r="A94" s="45"/>
      <c r="B94" s="45"/>
      <c r="C94" s="45"/>
      <c r="D94" s="45"/>
      <c r="E94" s="45"/>
      <c r="F94" s="30"/>
      <c r="G94" s="30"/>
      <c r="H94" s="32"/>
      <c r="I94" s="32"/>
      <c r="J94" s="32"/>
      <c r="K94" s="32"/>
      <c r="L94" s="32"/>
      <c r="M94" s="34"/>
      <c r="N94" s="34"/>
      <c r="O94" s="34"/>
    </row>
    <row r="95">
      <c r="A95" s="45"/>
      <c r="B95" s="45"/>
      <c r="C95" s="45"/>
      <c r="D95" s="45"/>
      <c r="E95" s="45"/>
      <c r="F95" s="30"/>
      <c r="G95" s="30"/>
      <c r="H95" s="32"/>
      <c r="I95" s="32"/>
      <c r="J95" s="32"/>
      <c r="K95" s="32"/>
      <c r="L95" s="32"/>
      <c r="M95" s="34"/>
      <c r="N95" s="34"/>
      <c r="O95" s="34"/>
    </row>
    <row r="96">
      <c r="A96" s="45"/>
      <c r="B96" s="45"/>
      <c r="C96" s="45"/>
      <c r="D96" s="45"/>
      <c r="E96" s="45"/>
      <c r="F96" s="30"/>
      <c r="G96" s="30"/>
      <c r="H96" s="32"/>
      <c r="I96" s="32"/>
      <c r="J96" s="32"/>
      <c r="K96" s="32"/>
      <c r="L96" s="32"/>
      <c r="M96" s="34"/>
      <c r="N96" s="34"/>
      <c r="O96" s="34"/>
    </row>
    <row r="97">
      <c r="A97" s="45"/>
      <c r="B97" s="45"/>
      <c r="C97" s="45"/>
      <c r="D97" s="45"/>
      <c r="E97" s="45"/>
      <c r="F97" s="30"/>
      <c r="G97" s="30"/>
      <c r="H97" s="32"/>
      <c r="I97" s="32"/>
      <c r="J97" s="32"/>
      <c r="K97" s="32"/>
      <c r="L97" s="32"/>
      <c r="M97" s="34"/>
      <c r="N97" s="34"/>
      <c r="O97" s="34"/>
    </row>
    <row r="98">
      <c r="A98" s="45"/>
      <c r="B98" s="45"/>
      <c r="C98" s="45"/>
      <c r="D98" s="45"/>
      <c r="E98" s="45"/>
      <c r="F98" s="30"/>
      <c r="G98" s="30"/>
      <c r="H98" s="32"/>
      <c r="I98" s="32"/>
      <c r="J98" s="32"/>
      <c r="K98" s="32"/>
      <c r="L98" s="32"/>
      <c r="M98" s="34"/>
      <c r="N98" s="34"/>
      <c r="O98" s="34"/>
    </row>
    <row r="99">
      <c r="A99" s="45"/>
      <c r="B99" s="45"/>
      <c r="C99" s="45"/>
      <c r="D99" s="45"/>
      <c r="E99" s="45"/>
      <c r="F99" s="30"/>
      <c r="G99" s="30"/>
      <c r="H99" s="32"/>
      <c r="I99" s="32"/>
      <c r="J99" s="32"/>
      <c r="K99" s="32"/>
      <c r="L99" s="32"/>
      <c r="M99" s="34"/>
      <c r="N99" s="34"/>
      <c r="O99" s="34"/>
    </row>
    <row r="100">
      <c r="A100" s="45"/>
      <c r="B100" s="45"/>
      <c r="C100" s="45"/>
      <c r="D100" s="45"/>
      <c r="E100" s="45"/>
      <c r="F100" s="30"/>
      <c r="G100" s="30"/>
      <c r="H100" s="32"/>
      <c r="I100" s="32"/>
      <c r="J100" s="32"/>
      <c r="K100" s="32"/>
      <c r="L100" s="32"/>
      <c r="M100" s="34"/>
      <c r="N100" s="34"/>
      <c r="O100" s="34"/>
    </row>
    <row r="101">
      <c r="A101" s="45"/>
      <c r="B101" s="45"/>
      <c r="C101" s="45"/>
      <c r="D101" s="45"/>
      <c r="E101" s="45"/>
      <c r="F101" s="30"/>
      <c r="G101" s="30"/>
      <c r="H101" s="32"/>
      <c r="I101" s="32"/>
      <c r="J101" s="32"/>
      <c r="K101" s="32"/>
      <c r="L101" s="32"/>
      <c r="M101" s="34"/>
      <c r="N101" s="34"/>
      <c r="O101" s="34"/>
    </row>
    <row r="102">
      <c r="A102" s="45"/>
      <c r="B102" s="45"/>
      <c r="C102" s="45"/>
      <c r="D102" s="45"/>
      <c r="E102" s="45"/>
      <c r="F102" s="30"/>
      <c r="G102" s="30"/>
      <c r="H102" s="32"/>
      <c r="I102" s="32"/>
      <c r="J102" s="32"/>
      <c r="K102" s="32"/>
      <c r="L102" s="32"/>
      <c r="M102" s="34"/>
      <c r="N102" s="34"/>
      <c r="O102" s="34"/>
    </row>
    <row r="103">
      <c r="A103" s="45"/>
      <c r="B103" s="45"/>
      <c r="C103" s="45"/>
      <c r="D103" s="45"/>
      <c r="E103" s="45"/>
      <c r="F103" s="30"/>
      <c r="G103" s="30"/>
      <c r="H103" s="32"/>
      <c r="I103" s="32"/>
      <c r="J103" s="32"/>
      <c r="K103" s="32"/>
      <c r="L103" s="32"/>
      <c r="M103" s="34"/>
      <c r="N103" s="34"/>
      <c r="O103" s="34"/>
    </row>
    <row r="104">
      <c r="A104" s="45"/>
      <c r="B104" s="45"/>
      <c r="C104" s="45"/>
      <c r="D104" s="45"/>
      <c r="E104" s="45"/>
      <c r="F104" s="30"/>
      <c r="G104" s="30"/>
      <c r="H104" s="32"/>
      <c r="I104" s="32"/>
      <c r="J104" s="32"/>
      <c r="K104" s="32"/>
      <c r="L104" s="32"/>
      <c r="M104" s="34"/>
      <c r="N104" s="34"/>
      <c r="O104" s="34"/>
    </row>
    <row r="105">
      <c r="A105" s="45"/>
      <c r="B105" s="45"/>
      <c r="C105" s="45"/>
      <c r="D105" s="45"/>
      <c r="E105" s="45"/>
      <c r="F105" s="30"/>
      <c r="G105" s="30"/>
      <c r="H105" s="32"/>
      <c r="I105" s="32"/>
      <c r="J105" s="32"/>
      <c r="K105" s="32"/>
      <c r="L105" s="32"/>
      <c r="M105" s="34"/>
      <c r="N105" s="34"/>
      <c r="O105" s="34"/>
    </row>
    <row r="106">
      <c r="A106" s="45"/>
      <c r="B106" s="45"/>
      <c r="C106" s="45"/>
      <c r="D106" s="45"/>
      <c r="E106" s="45"/>
      <c r="F106" s="30"/>
      <c r="G106" s="30"/>
      <c r="H106" s="32"/>
      <c r="I106" s="32"/>
      <c r="J106" s="32"/>
      <c r="K106" s="32"/>
      <c r="L106" s="32"/>
      <c r="M106" s="34"/>
      <c r="N106" s="34"/>
      <c r="O106" s="34"/>
    </row>
    <row r="107">
      <c r="A107" s="45"/>
      <c r="B107" s="45"/>
      <c r="C107" s="45"/>
      <c r="D107" s="45"/>
      <c r="E107" s="45"/>
      <c r="F107" s="30"/>
      <c r="G107" s="30"/>
      <c r="H107" s="32"/>
      <c r="I107" s="32"/>
      <c r="J107" s="32"/>
      <c r="K107" s="32"/>
      <c r="L107" s="32"/>
      <c r="M107" s="34"/>
      <c r="N107" s="34"/>
      <c r="O107" s="34"/>
    </row>
    <row r="108">
      <c r="A108" s="45"/>
      <c r="B108" s="45"/>
      <c r="C108" s="45"/>
      <c r="D108" s="45"/>
      <c r="E108" s="45"/>
      <c r="F108" s="30"/>
      <c r="G108" s="30"/>
      <c r="H108" s="32"/>
      <c r="I108" s="32"/>
      <c r="J108" s="32"/>
      <c r="K108" s="32"/>
      <c r="L108" s="32"/>
      <c r="M108" s="34"/>
      <c r="N108" s="34"/>
      <c r="O108" s="34"/>
    </row>
    <row r="109">
      <c r="A109" s="45"/>
      <c r="B109" s="45"/>
      <c r="C109" s="45"/>
      <c r="D109" s="45"/>
      <c r="E109" s="45"/>
      <c r="F109" s="30"/>
      <c r="G109" s="30"/>
      <c r="H109" s="32"/>
      <c r="I109" s="32"/>
      <c r="J109" s="32"/>
      <c r="K109" s="32"/>
      <c r="L109" s="32"/>
      <c r="M109" s="34"/>
      <c r="N109" s="34"/>
      <c r="O109" s="34"/>
    </row>
    <row r="110">
      <c r="A110" s="45"/>
      <c r="B110" s="45"/>
      <c r="C110" s="45"/>
      <c r="D110" s="45"/>
      <c r="E110" s="45"/>
      <c r="F110" s="30"/>
      <c r="G110" s="30"/>
      <c r="H110" s="32"/>
      <c r="I110" s="32"/>
      <c r="J110" s="32"/>
      <c r="K110" s="32"/>
      <c r="L110" s="32"/>
      <c r="M110" s="34"/>
      <c r="N110" s="34"/>
      <c r="O110" s="34"/>
    </row>
    <row r="111">
      <c r="A111" s="45"/>
      <c r="B111" s="45"/>
      <c r="C111" s="45"/>
      <c r="D111" s="45"/>
      <c r="E111" s="45"/>
      <c r="F111" s="30"/>
      <c r="G111" s="30"/>
      <c r="H111" s="32"/>
      <c r="I111" s="32"/>
      <c r="J111" s="32"/>
      <c r="K111" s="32"/>
      <c r="L111" s="32"/>
      <c r="M111" s="34"/>
      <c r="N111" s="34"/>
      <c r="O111" s="34"/>
    </row>
    <row r="112">
      <c r="A112" s="45"/>
      <c r="B112" s="45"/>
      <c r="C112" s="45"/>
      <c r="D112" s="45"/>
      <c r="E112" s="45"/>
      <c r="F112" s="30"/>
      <c r="G112" s="30"/>
      <c r="H112" s="32"/>
      <c r="I112" s="32"/>
      <c r="J112" s="32"/>
      <c r="K112" s="32"/>
      <c r="L112" s="32"/>
      <c r="M112" s="34"/>
      <c r="N112" s="34"/>
      <c r="O112" s="34"/>
    </row>
    <row r="113">
      <c r="A113" s="45"/>
      <c r="B113" s="45"/>
      <c r="C113" s="45"/>
      <c r="D113" s="45"/>
      <c r="E113" s="45"/>
      <c r="F113" s="30"/>
      <c r="G113" s="30"/>
      <c r="H113" s="32"/>
      <c r="I113" s="32"/>
      <c r="J113" s="32"/>
      <c r="K113" s="32"/>
      <c r="L113" s="32"/>
      <c r="M113" s="34"/>
      <c r="N113" s="34"/>
      <c r="O113" s="34"/>
    </row>
    <row r="114">
      <c r="A114" s="45"/>
      <c r="B114" s="45"/>
      <c r="C114" s="45"/>
      <c r="D114" s="45"/>
      <c r="E114" s="45"/>
      <c r="F114" s="30"/>
      <c r="G114" s="30"/>
      <c r="H114" s="32"/>
      <c r="I114" s="32"/>
      <c r="J114" s="32"/>
      <c r="K114" s="32"/>
      <c r="L114" s="32"/>
      <c r="M114" s="34"/>
      <c r="N114" s="34"/>
      <c r="O114" s="34"/>
    </row>
    <row r="115">
      <c r="A115" s="45"/>
      <c r="B115" s="45"/>
      <c r="C115" s="45"/>
      <c r="D115" s="45"/>
      <c r="E115" s="45"/>
      <c r="F115" s="30"/>
      <c r="G115" s="30"/>
      <c r="H115" s="32"/>
      <c r="I115" s="32"/>
      <c r="J115" s="32"/>
      <c r="K115" s="32"/>
      <c r="L115" s="32"/>
      <c r="M115" s="34"/>
      <c r="N115" s="34"/>
      <c r="O115" s="34"/>
    </row>
    <row r="116">
      <c r="A116" s="45"/>
      <c r="B116" s="45"/>
      <c r="C116" s="45"/>
      <c r="D116" s="45"/>
      <c r="E116" s="45"/>
      <c r="F116" s="30"/>
      <c r="G116" s="30"/>
      <c r="H116" s="32"/>
      <c r="I116" s="32"/>
      <c r="J116" s="32"/>
      <c r="K116" s="32"/>
      <c r="L116" s="32"/>
      <c r="M116" s="34"/>
      <c r="N116" s="34"/>
      <c r="O116" s="34"/>
    </row>
    <row r="117">
      <c r="A117" s="45"/>
      <c r="B117" s="45"/>
      <c r="C117" s="45"/>
      <c r="D117" s="45"/>
      <c r="E117" s="45"/>
      <c r="F117" s="30"/>
      <c r="G117" s="30"/>
      <c r="H117" s="32"/>
      <c r="I117" s="32"/>
      <c r="J117" s="32"/>
      <c r="K117" s="32"/>
      <c r="L117" s="32"/>
      <c r="M117" s="34"/>
      <c r="N117" s="34"/>
      <c r="O117" s="34"/>
    </row>
    <row r="118">
      <c r="A118" s="45"/>
      <c r="B118" s="45"/>
      <c r="C118" s="45"/>
      <c r="D118" s="45"/>
      <c r="E118" s="45"/>
      <c r="F118" s="30"/>
      <c r="G118" s="30"/>
      <c r="H118" s="32"/>
      <c r="I118" s="32"/>
      <c r="J118" s="32"/>
      <c r="K118" s="32"/>
      <c r="L118" s="32"/>
      <c r="M118" s="34"/>
      <c r="N118" s="34"/>
      <c r="O118" s="34"/>
    </row>
    <row r="119">
      <c r="A119" s="45"/>
      <c r="B119" s="45"/>
      <c r="C119" s="45"/>
      <c r="D119" s="45"/>
      <c r="E119" s="45"/>
      <c r="F119" s="30"/>
      <c r="G119" s="30"/>
      <c r="H119" s="32"/>
      <c r="I119" s="32"/>
      <c r="J119" s="32"/>
      <c r="K119" s="32"/>
      <c r="L119" s="32"/>
      <c r="M119" s="34"/>
      <c r="N119" s="34"/>
      <c r="O119" s="34"/>
    </row>
    <row r="120">
      <c r="A120" s="45"/>
      <c r="B120" s="45"/>
      <c r="C120" s="45"/>
      <c r="D120" s="45"/>
      <c r="E120" s="45"/>
      <c r="F120" s="30"/>
      <c r="G120" s="30"/>
      <c r="H120" s="32"/>
      <c r="I120" s="32"/>
      <c r="J120" s="32"/>
      <c r="K120" s="32"/>
      <c r="L120" s="32"/>
      <c r="M120" s="34"/>
      <c r="N120" s="34"/>
      <c r="O120" s="34"/>
    </row>
    <row r="121">
      <c r="A121" s="45"/>
      <c r="B121" s="45"/>
      <c r="C121" s="45"/>
      <c r="D121" s="45"/>
      <c r="E121" s="45"/>
      <c r="F121" s="30"/>
      <c r="G121" s="30"/>
      <c r="H121" s="32"/>
      <c r="I121" s="32"/>
      <c r="J121" s="32"/>
      <c r="K121" s="32"/>
      <c r="L121" s="32"/>
      <c r="M121" s="34"/>
      <c r="N121" s="34"/>
      <c r="O121" s="34"/>
    </row>
    <row r="122">
      <c r="A122" s="45"/>
      <c r="B122" s="45"/>
      <c r="C122" s="45"/>
      <c r="D122" s="45"/>
      <c r="E122" s="45"/>
      <c r="F122" s="30"/>
      <c r="G122" s="30"/>
      <c r="H122" s="32"/>
      <c r="I122" s="32"/>
      <c r="J122" s="32"/>
      <c r="K122" s="32"/>
      <c r="L122" s="32"/>
      <c r="M122" s="34"/>
      <c r="N122" s="34"/>
      <c r="O122" s="34"/>
    </row>
    <row r="123">
      <c r="A123" s="45"/>
      <c r="B123" s="45"/>
      <c r="C123" s="45"/>
      <c r="D123" s="45"/>
      <c r="E123" s="45"/>
      <c r="F123" s="30"/>
      <c r="G123" s="30"/>
      <c r="H123" s="32"/>
      <c r="I123" s="32"/>
      <c r="J123" s="32"/>
      <c r="K123" s="32"/>
      <c r="L123" s="32"/>
      <c r="M123" s="34"/>
      <c r="N123" s="34"/>
      <c r="O123" s="34"/>
    </row>
    <row r="124">
      <c r="A124" s="45"/>
      <c r="B124" s="45"/>
      <c r="C124" s="45"/>
      <c r="D124" s="45"/>
      <c r="E124" s="45"/>
      <c r="F124" s="30"/>
      <c r="G124" s="30"/>
      <c r="H124" s="32"/>
      <c r="I124" s="32"/>
      <c r="J124" s="32"/>
      <c r="K124" s="32"/>
      <c r="L124" s="32"/>
      <c r="M124" s="34"/>
      <c r="N124" s="34"/>
      <c r="O124" s="34"/>
    </row>
    <row r="125">
      <c r="A125" s="45"/>
      <c r="B125" s="45"/>
      <c r="C125" s="45"/>
      <c r="D125" s="45"/>
      <c r="E125" s="45"/>
      <c r="F125" s="30"/>
      <c r="G125" s="30"/>
      <c r="H125" s="32"/>
      <c r="I125" s="32"/>
      <c r="J125" s="32"/>
      <c r="K125" s="32"/>
      <c r="L125" s="32"/>
      <c r="M125" s="34"/>
      <c r="N125" s="34"/>
      <c r="O125" s="34"/>
    </row>
    <row r="126">
      <c r="A126" s="45"/>
      <c r="B126" s="45"/>
      <c r="C126" s="45"/>
      <c r="D126" s="45"/>
      <c r="E126" s="45"/>
      <c r="F126" s="30"/>
      <c r="G126" s="30"/>
      <c r="H126" s="32"/>
      <c r="I126" s="32"/>
      <c r="J126" s="32"/>
      <c r="K126" s="32"/>
      <c r="L126" s="32"/>
      <c r="M126" s="34"/>
      <c r="N126" s="34"/>
      <c r="O126" s="34"/>
    </row>
    <row r="127">
      <c r="A127" s="45"/>
      <c r="B127" s="45"/>
      <c r="C127" s="45"/>
      <c r="D127" s="45"/>
      <c r="E127" s="45"/>
      <c r="F127" s="30"/>
      <c r="G127" s="30"/>
      <c r="H127" s="32"/>
      <c r="I127" s="32"/>
      <c r="J127" s="32"/>
      <c r="K127" s="32"/>
      <c r="L127" s="32"/>
      <c r="M127" s="34"/>
      <c r="N127" s="34"/>
      <c r="O127" s="34"/>
    </row>
    <row r="128">
      <c r="A128" s="45"/>
      <c r="B128" s="45"/>
      <c r="C128" s="45"/>
      <c r="D128" s="45"/>
      <c r="E128" s="45"/>
      <c r="F128" s="30"/>
      <c r="G128" s="30"/>
      <c r="H128" s="32"/>
      <c r="I128" s="32"/>
      <c r="J128" s="32"/>
      <c r="K128" s="32"/>
      <c r="L128" s="32"/>
      <c r="M128" s="34"/>
      <c r="N128" s="34"/>
      <c r="O128" s="34"/>
    </row>
    <row r="129">
      <c r="A129" s="45"/>
      <c r="B129" s="45"/>
      <c r="C129" s="45"/>
      <c r="D129" s="45"/>
      <c r="E129" s="45"/>
      <c r="F129" s="30"/>
      <c r="G129" s="30"/>
      <c r="H129" s="32"/>
      <c r="I129" s="32"/>
      <c r="J129" s="32"/>
      <c r="K129" s="32"/>
      <c r="L129" s="32"/>
      <c r="M129" s="34"/>
      <c r="N129" s="34"/>
      <c r="O129" s="34"/>
    </row>
    <row r="130">
      <c r="A130" s="45"/>
      <c r="B130" s="45"/>
      <c r="C130" s="45"/>
      <c r="D130" s="45"/>
      <c r="E130" s="45"/>
      <c r="F130" s="30"/>
      <c r="G130" s="30"/>
      <c r="H130" s="32"/>
      <c r="I130" s="32"/>
      <c r="J130" s="32"/>
      <c r="K130" s="32"/>
      <c r="L130" s="32"/>
      <c r="M130" s="34"/>
      <c r="N130" s="34"/>
      <c r="O130" s="34"/>
    </row>
    <row r="131">
      <c r="A131" s="45"/>
      <c r="B131" s="45"/>
      <c r="C131" s="45"/>
      <c r="D131" s="45"/>
      <c r="E131" s="45"/>
      <c r="F131" s="30"/>
      <c r="G131" s="30"/>
      <c r="H131" s="32"/>
      <c r="I131" s="32"/>
      <c r="J131" s="32"/>
      <c r="K131" s="32"/>
      <c r="L131" s="32"/>
      <c r="M131" s="34"/>
      <c r="N131" s="34"/>
      <c r="O131" s="34"/>
    </row>
    <row r="132">
      <c r="A132" s="45"/>
      <c r="B132" s="45"/>
      <c r="C132" s="45"/>
      <c r="D132" s="45"/>
      <c r="E132" s="45"/>
      <c r="F132" s="30"/>
      <c r="G132" s="30"/>
      <c r="H132" s="32"/>
      <c r="I132" s="32"/>
      <c r="J132" s="32"/>
      <c r="K132" s="32"/>
      <c r="L132" s="32"/>
      <c r="M132" s="34"/>
      <c r="N132" s="34"/>
      <c r="O132" s="34"/>
    </row>
    <row r="133">
      <c r="A133" s="45"/>
      <c r="B133" s="45"/>
      <c r="C133" s="45"/>
      <c r="D133" s="45"/>
      <c r="E133" s="45"/>
      <c r="F133" s="30"/>
      <c r="G133" s="30"/>
      <c r="H133" s="32"/>
      <c r="I133" s="32"/>
      <c r="J133" s="32"/>
      <c r="K133" s="32"/>
      <c r="L133" s="32"/>
      <c r="M133" s="34"/>
      <c r="N133" s="34"/>
      <c r="O133" s="34"/>
    </row>
    <row r="134">
      <c r="A134" s="45"/>
      <c r="B134" s="45"/>
      <c r="C134" s="45"/>
      <c r="D134" s="45"/>
      <c r="E134" s="45"/>
      <c r="F134" s="30"/>
      <c r="G134" s="30"/>
      <c r="H134" s="32"/>
      <c r="I134" s="32"/>
      <c r="J134" s="32"/>
      <c r="K134" s="32"/>
      <c r="L134" s="32"/>
      <c r="M134" s="34"/>
      <c r="N134" s="34"/>
      <c r="O134" s="34"/>
    </row>
    <row r="135">
      <c r="A135" s="45"/>
      <c r="B135" s="45"/>
      <c r="C135" s="45"/>
      <c r="D135" s="45"/>
      <c r="E135" s="45"/>
      <c r="F135" s="30"/>
      <c r="G135" s="30"/>
      <c r="H135" s="32"/>
      <c r="I135" s="32"/>
      <c r="J135" s="32"/>
      <c r="K135" s="32"/>
      <c r="L135" s="32"/>
      <c r="M135" s="34"/>
      <c r="N135" s="34"/>
      <c r="O135" s="34"/>
    </row>
    <row r="136">
      <c r="A136" s="45"/>
      <c r="B136" s="45"/>
      <c r="C136" s="45"/>
      <c r="D136" s="45"/>
      <c r="E136" s="45"/>
      <c r="F136" s="30"/>
      <c r="G136" s="30"/>
      <c r="H136" s="32"/>
      <c r="I136" s="32"/>
      <c r="J136" s="32"/>
      <c r="K136" s="32"/>
      <c r="L136" s="32"/>
      <c r="M136" s="34"/>
      <c r="N136" s="34"/>
      <c r="O136" s="34"/>
    </row>
    <row r="137">
      <c r="A137" s="45"/>
      <c r="B137" s="45"/>
      <c r="C137" s="45"/>
      <c r="D137" s="45"/>
      <c r="E137" s="45"/>
      <c r="F137" s="30"/>
      <c r="G137" s="30"/>
      <c r="H137" s="32"/>
      <c r="I137" s="32"/>
      <c r="J137" s="32"/>
      <c r="K137" s="32"/>
      <c r="L137" s="32"/>
      <c r="M137" s="34"/>
      <c r="N137" s="34"/>
      <c r="O137" s="34"/>
    </row>
    <row r="138">
      <c r="A138" s="45"/>
      <c r="B138" s="45"/>
      <c r="C138" s="45"/>
      <c r="D138" s="45"/>
      <c r="E138" s="45"/>
      <c r="F138" s="30"/>
      <c r="G138" s="30"/>
      <c r="H138" s="32"/>
      <c r="I138" s="32"/>
      <c r="J138" s="32"/>
      <c r="K138" s="32"/>
      <c r="L138" s="32"/>
      <c r="M138" s="34"/>
      <c r="N138" s="34"/>
      <c r="O138" s="34"/>
    </row>
    <row r="139">
      <c r="A139" s="45"/>
      <c r="B139" s="45"/>
      <c r="C139" s="45"/>
      <c r="D139" s="45"/>
      <c r="E139" s="45"/>
      <c r="F139" s="30"/>
      <c r="G139" s="30"/>
      <c r="H139" s="32"/>
      <c r="I139" s="32"/>
      <c r="J139" s="32"/>
      <c r="K139" s="32"/>
      <c r="L139" s="32"/>
      <c r="M139" s="34"/>
      <c r="N139" s="34"/>
      <c r="O139" s="34"/>
    </row>
    <row r="140">
      <c r="A140" s="45"/>
      <c r="B140" s="45"/>
      <c r="C140" s="45"/>
      <c r="D140" s="45"/>
      <c r="E140" s="45"/>
      <c r="F140" s="30"/>
      <c r="G140" s="30"/>
      <c r="H140" s="32"/>
      <c r="I140" s="32"/>
      <c r="J140" s="32"/>
      <c r="K140" s="32"/>
      <c r="L140" s="32"/>
      <c r="M140" s="34"/>
      <c r="N140" s="34"/>
      <c r="O140" s="34"/>
    </row>
    <row r="141">
      <c r="A141" s="45"/>
      <c r="B141" s="45"/>
      <c r="C141" s="45"/>
      <c r="D141" s="45"/>
      <c r="E141" s="45"/>
      <c r="F141" s="30"/>
      <c r="G141" s="30"/>
      <c r="H141" s="32"/>
      <c r="I141" s="32"/>
      <c r="J141" s="32"/>
      <c r="K141" s="32"/>
      <c r="L141" s="32"/>
      <c r="M141" s="34"/>
      <c r="N141" s="34"/>
      <c r="O141" s="34"/>
    </row>
    <row r="142">
      <c r="A142" s="45"/>
      <c r="B142" s="45"/>
      <c r="C142" s="45"/>
      <c r="D142" s="45"/>
      <c r="E142" s="45"/>
      <c r="F142" s="30"/>
      <c r="G142" s="30"/>
      <c r="H142" s="32"/>
      <c r="I142" s="32"/>
      <c r="J142" s="32"/>
      <c r="K142" s="32"/>
      <c r="L142" s="32"/>
      <c r="M142" s="34"/>
      <c r="N142" s="34"/>
      <c r="O142" s="34"/>
    </row>
    <row r="143">
      <c r="A143" s="45"/>
      <c r="B143" s="45"/>
      <c r="C143" s="45"/>
      <c r="D143" s="45"/>
      <c r="E143" s="45"/>
      <c r="F143" s="30"/>
      <c r="G143" s="30"/>
      <c r="H143" s="32"/>
      <c r="I143" s="32"/>
      <c r="J143" s="32"/>
      <c r="K143" s="32"/>
      <c r="L143" s="32"/>
      <c r="M143" s="34"/>
      <c r="N143" s="34"/>
      <c r="O143" s="34"/>
    </row>
    <row r="144">
      <c r="A144" s="45"/>
      <c r="B144" s="45"/>
      <c r="C144" s="45"/>
      <c r="D144" s="45"/>
      <c r="E144" s="45"/>
      <c r="F144" s="30"/>
      <c r="G144" s="30"/>
      <c r="H144" s="32"/>
      <c r="I144" s="32"/>
      <c r="J144" s="32"/>
      <c r="K144" s="32"/>
      <c r="L144" s="32"/>
      <c r="M144" s="34"/>
      <c r="N144" s="34"/>
      <c r="O144" s="34"/>
    </row>
    <row r="145">
      <c r="A145" s="45"/>
      <c r="B145" s="45"/>
      <c r="C145" s="45"/>
      <c r="D145" s="45"/>
      <c r="E145" s="45"/>
      <c r="F145" s="30"/>
      <c r="G145" s="30"/>
      <c r="H145" s="32"/>
      <c r="I145" s="32"/>
      <c r="J145" s="32"/>
      <c r="K145" s="32"/>
      <c r="L145" s="32"/>
      <c r="M145" s="34"/>
      <c r="N145" s="34"/>
      <c r="O145" s="34"/>
    </row>
    <row r="146">
      <c r="A146" s="45"/>
      <c r="B146" s="45"/>
      <c r="C146" s="45"/>
      <c r="D146" s="45"/>
      <c r="E146" s="45"/>
      <c r="F146" s="30"/>
      <c r="G146" s="30"/>
      <c r="H146" s="32"/>
      <c r="I146" s="32"/>
      <c r="J146" s="32"/>
      <c r="K146" s="32"/>
      <c r="L146" s="32"/>
      <c r="M146" s="34"/>
      <c r="N146" s="34"/>
      <c r="O146" s="34"/>
    </row>
    <row r="147">
      <c r="A147" s="45"/>
      <c r="B147" s="45"/>
      <c r="C147" s="45"/>
      <c r="D147" s="45"/>
      <c r="E147" s="45"/>
      <c r="F147" s="30"/>
      <c r="G147" s="30"/>
      <c r="H147" s="32"/>
      <c r="I147" s="32"/>
      <c r="J147" s="32"/>
      <c r="K147" s="32"/>
      <c r="L147" s="32"/>
      <c r="M147" s="34"/>
      <c r="N147" s="34"/>
      <c r="O147" s="34"/>
    </row>
    <row r="148">
      <c r="A148" s="45"/>
      <c r="B148" s="45"/>
      <c r="C148" s="45"/>
      <c r="D148" s="45"/>
      <c r="E148" s="45"/>
      <c r="F148" s="30"/>
      <c r="G148" s="30"/>
      <c r="H148" s="32"/>
      <c r="I148" s="32"/>
      <c r="J148" s="32"/>
      <c r="K148" s="32"/>
      <c r="L148" s="32"/>
      <c r="M148" s="34"/>
      <c r="N148" s="34"/>
      <c r="O148" s="34"/>
    </row>
    <row r="149">
      <c r="A149" s="45"/>
      <c r="B149" s="45"/>
      <c r="C149" s="45"/>
      <c r="D149" s="45"/>
      <c r="E149" s="45"/>
      <c r="F149" s="30"/>
      <c r="G149" s="30"/>
      <c r="H149" s="32"/>
      <c r="I149" s="32"/>
      <c r="J149" s="32"/>
      <c r="K149" s="32"/>
      <c r="L149" s="32"/>
      <c r="M149" s="34"/>
      <c r="N149" s="34"/>
      <c r="O149" s="34"/>
    </row>
    <row r="150">
      <c r="A150" s="45"/>
      <c r="B150" s="45"/>
      <c r="C150" s="45"/>
      <c r="D150" s="45"/>
      <c r="E150" s="45"/>
      <c r="F150" s="30"/>
      <c r="G150" s="30"/>
      <c r="H150" s="32"/>
      <c r="I150" s="32"/>
      <c r="J150" s="32"/>
      <c r="K150" s="32"/>
      <c r="L150" s="32"/>
      <c r="M150" s="34"/>
      <c r="N150" s="34"/>
      <c r="O150" s="34"/>
    </row>
    <row r="151">
      <c r="A151" s="45"/>
      <c r="B151" s="45"/>
      <c r="C151" s="45"/>
      <c r="D151" s="45"/>
      <c r="E151" s="45"/>
      <c r="F151" s="30"/>
      <c r="G151" s="30"/>
      <c r="H151" s="32"/>
      <c r="I151" s="32"/>
      <c r="J151" s="32"/>
      <c r="K151" s="32"/>
      <c r="L151" s="32"/>
      <c r="M151" s="34"/>
      <c r="N151" s="34"/>
      <c r="O151" s="34"/>
    </row>
    <row r="152">
      <c r="A152" s="45"/>
      <c r="B152" s="45"/>
      <c r="C152" s="45"/>
      <c r="D152" s="45"/>
      <c r="E152" s="45"/>
      <c r="F152" s="30"/>
      <c r="G152" s="30"/>
      <c r="H152" s="32"/>
      <c r="I152" s="32"/>
      <c r="J152" s="32"/>
      <c r="K152" s="32"/>
      <c r="L152" s="32"/>
      <c r="M152" s="34"/>
      <c r="N152" s="34"/>
      <c r="O152" s="34"/>
    </row>
    <row r="153">
      <c r="A153" s="45"/>
      <c r="B153" s="45"/>
      <c r="C153" s="45"/>
      <c r="D153" s="45"/>
      <c r="E153" s="45"/>
      <c r="F153" s="30"/>
      <c r="G153" s="30"/>
      <c r="H153" s="32"/>
      <c r="I153" s="32"/>
      <c r="J153" s="32"/>
      <c r="K153" s="32"/>
      <c r="L153" s="32"/>
      <c r="M153" s="34"/>
      <c r="N153" s="34"/>
      <c r="O153" s="34"/>
    </row>
    <row r="154">
      <c r="A154" s="45"/>
      <c r="B154" s="45"/>
      <c r="C154" s="45"/>
      <c r="D154" s="45"/>
      <c r="E154" s="45"/>
      <c r="F154" s="30"/>
      <c r="G154" s="30"/>
      <c r="H154" s="32"/>
      <c r="I154" s="32"/>
      <c r="J154" s="32"/>
      <c r="K154" s="32"/>
      <c r="L154" s="32"/>
      <c r="M154" s="34"/>
      <c r="N154" s="34"/>
      <c r="O154" s="34"/>
    </row>
    <row r="155">
      <c r="A155" s="45"/>
      <c r="B155" s="45"/>
      <c r="C155" s="45"/>
      <c r="D155" s="45"/>
      <c r="E155" s="45"/>
      <c r="F155" s="30"/>
      <c r="G155" s="30"/>
      <c r="H155" s="32"/>
      <c r="I155" s="32"/>
      <c r="J155" s="32"/>
      <c r="K155" s="32"/>
      <c r="L155" s="32"/>
      <c r="M155" s="34"/>
      <c r="N155" s="34"/>
      <c r="O155" s="34"/>
    </row>
    <row r="156">
      <c r="A156" s="45"/>
      <c r="B156" s="45"/>
      <c r="C156" s="45"/>
      <c r="D156" s="45"/>
      <c r="E156" s="45"/>
      <c r="F156" s="30"/>
      <c r="G156" s="30"/>
      <c r="H156" s="32"/>
      <c r="I156" s="32"/>
      <c r="J156" s="32"/>
      <c r="K156" s="32"/>
      <c r="L156" s="32"/>
      <c r="M156" s="34"/>
      <c r="N156" s="34"/>
      <c r="O156" s="34"/>
    </row>
    <row r="157">
      <c r="A157" s="45"/>
      <c r="B157" s="45"/>
      <c r="C157" s="45"/>
      <c r="D157" s="45"/>
      <c r="E157" s="45"/>
      <c r="F157" s="30"/>
      <c r="G157" s="30"/>
      <c r="H157" s="32"/>
      <c r="I157" s="32"/>
      <c r="J157" s="32"/>
      <c r="K157" s="32"/>
      <c r="L157" s="32"/>
      <c r="M157" s="34"/>
      <c r="N157" s="34"/>
      <c r="O157" s="34"/>
    </row>
    <row r="158">
      <c r="A158" s="45"/>
      <c r="B158" s="45"/>
      <c r="C158" s="45"/>
      <c r="D158" s="45"/>
      <c r="E158" s="45"/>
      <c r="F158" s="30"/>
      <c r="G158" s="30"/>
      <c r="H158" s="32"/>
      <c r="I158" s="32"/>
      <c r="J158" s="32"/>
      <c r="K158" s="32"/>
      <c r="L158" s="32"/>
      <c r="M158" s="34"/>
      <c r="N158" s="34"/>
      <c r="O158" s="34"/>
    </row>
    <row r="159">
      <c r="A159" s="45"/>
      <c r="B159" s="45"/>
      <c r="C159" s="45"/>
      <c r="D159" s="45"/>
      <c r="E159" s="45"/>
      <c r="F159" s="30"/>
      <c r="G159" s="30"/>
      <c r="H159" s="32"/>
      <c r="I159" s="32"/>
      <c r="J159" s="32"/>
      <c r="K159" s="32"/>
      <c r="L159" s="32"/>
      <c r="M159" s="34"/>
      <c r="N159" s="34"/>
      <c r="O159" s="34"/>
    </row>
    <row r="160">
      <c r="A160" s="45"/>
      <c r="B160" s="45"/>
      <c r="C160" s="45"/>
      <c r="D160" s="45"/>
      <c r="E160" s="45"/>
      <c r="F160" s="30"/>
      <c r="G160" s="30"/>
      <c r="H160" s="32"/>
      <c r="I160" s="32"/>
      <c r="J160" s="32"/>
      <c r="K160" s="32"/>
      <c r="L160" s="32"/>
      <c r="M160" s="34"/>
      <c r="N160" s="34"/>
      <c r="O160" s="34"/>
    </row>
    <row r="161">
      <c r="A161" s="45"/>
      <c r="B161" s="45"/>
      <c r="C161" s="45"/>
      <c r="D161" s="45"/>
      <c r="E161" s="45"/>
      <c r="F161" s="30"/>
      <c r="G161" s="30"/>
      <c r="H161" s="32"/>
      <c r="I161" s="32"/>
      <c r="J161" s="32"/>
      <c r="K161" s="32"/>
      <c r="L161" s="32"/>
      <c r="M161" s="34"/>
      <c r="N161" s="34"/>
      <c r="O161" s="34"/>
    </row>
    <row r="162">
      <c r="A162" s="45"/>
      <c r="B162" s="45"/>
      <c r="C162" s="45"/>
      <c r="D162" s="45"/>
      <c r="E162" s="45"/>
      <c r="F162" s="30"/>
      <c r="G162" s="30"/>
      <c r="H162" s="32"/>
      <c r="I162" s="32"/>
      <c r="J162" s="32"/>
      <c r="K162" s="32"/>
      <c r="L162" s="32"/>
      <c r="M162" s="34"/>
      <c r="N162" s="34"/>
      <c r="O162" s="34"/>
    </row>
    <row r="163">
      <c r="A163" s="45"/>
      <c r="B163" s="45"/>
      <c r="C163" s="45"/>
      <c r="D163" s="45"/>
      <c r="E163" s="45"/>
      <c r="F163" s="30"/>
      <c r="G163" s="30"/>
      <c r="H163" s="32"/>
      <c r="I163" s="32"/>
      <c r="J163" s="32"/>
      <c r="K163" s="32"/>
      <c r="L163" s="32"/>
      <c r="M163" s="34"/>
      <c r="N163" s="34"/>
      <c r="O163" s="34"/>
    </row>
    <row r="164">
      <c r="A164" s="45"/>
      <c r="B164" s="45"/>
      <c r="C164" s="45"/>
      <c r="D164" s="45"/>
      <c r="E164" s="45"/>
      <c r="F164" s="30"/>
      <c r="G164" s="30"/>
      <c r="H164" s="32"/>
      <c r="I164" s="32"/>
      <c r="J164" s="32"/>
      <c r="K164" s="32"/>
      <c r="L164" s="32"/>
      <c r="M164" s="34"/>
      <c r="N164" s="34"/>
      <c r="O164" s="34"/>
    </row>
    <row r="165">
      <c r="A165" s="45"/>
      <c r="B165" s="45"/>
      <c r="C165" s="45"/>
      <c r="D165" s="45"/>
      <c r="E165" s="45"/>
      <c r="F165" s="30"/>
      <c r="G165" s="30"/>
      <c r="H165" s="32"/>
      <c r="I165" s="32"/>
      <c r="J165" s="32"/>
      <c r="K165" s="32"/>
      <c r="L165" s="32"/>
      <c r="M165" s="34"/>
      <c r="N165" s="34"/>
      <c r="O165" s="34"/>
    </row>
    <row r="166">
      <c r="A166" s="45"/>
      <c r="B166" s="45"/>
      <c r="C166" s="45"/>
      <c r="D166" s="45"/>
      <c r="E166" s="45"/>
      <c r="F166" s="30"/>
      <c r="G166" s="30"/>
      <c r="H166" s="32"/>
      <c r="I166" s="32"/>
      <c r="J166" s="32"/>
      <c r="K166" s="32"/>
      <c r="L166" s="32"/>
      <c r="M166" s="34"/>
      <c r="N166" s="34"/>
      <c r="O166" s="34"/>
    </row>
    <row r="167">
      <c r="A167" s="45"/>
      <c r="B167" s="45"/>
      <c r="C167" s="45"/>
      <c r="D167" s="45"/>
      <c r="E167" s="45"/>
      <c r="F167" s="30"/>
      <c r="G167" s="30"/>
      <c r="H167" s="32"/>
      <c r="I167" s="32"/>
      <c r="J167" s="32"/>
      <c r="K167" s="32"/>
      <c r="L167" s="32"/>
      <c r="M167" s="34"/>
      <c r="N167" s="34"/>
      <c r="O167" s="34"/>
    </row>
    <row r="168">
      <c r="A168" s="45"/>
      <c r="B168" s="45"/>
      <c r="C168" s="45"/>
      <c r="D168" s="45"/>
      <c r="E168" s="45"/>
      <c r="F168" s="30"/>
      <c r="G168" s="30"/>
      <c r="H168" s="32"/>
      <c r="I168" s="32"/>
      <c r="J168" s="32"/>
      <c r="K168" s="32"/>
      <c r="L168" s="32"/>
      <c r="M168" s="34"/>
      <c r="N168" s="34"/>
      <c r="O168" s="34"/>
    </row>
    <row r="169">
      <c r="A169" s="45"/>
      <c r="B169" s="45"/>
      <c r="C169" s="45"/>
      <c r="D169" s="45"/>
      <c r="E169" s="45"/>
      <c r="F169" s="30"/>
      <c r="G169" s="30"/>
      <c r="H169" s="32"/>
      <c r="I169" s="32"/>
      <c r="J169" s="32"/>
      <c r="K169" s="32"/>
      <c r="L169" s="32"/>
      <c r="M169" s="34"/>
      <c r="N169" s="34"/>
      <c r="O169" s="34"/>
    </row>
    <row r="170">
      <c r="A170" s="45"/>
      <c r="B170" s="45"/>
      <c r="C170" s="45"/>
      <c r="D170" s="45"/>
      <c r="E170" s="45"/>
      <c r="F170" s="30"/>
      <c r="G170" s="30"/>
      <c r="H170" s="32"/>
      <c r="I170" s="32"/>
      <c r="J170" s="32"/>
      <c r="K170" s="32"/>
      <c r="L170" s="32"/>
      <c r="M170" s="34"/>
      <c r="N170" s="34"/>
      <c r="O170" s="34"/>
    </row>
    <row r="171">
      <c r="A171" s="45"/>
      <c r="B171" s="45"/>
      <c r="C171" s="45"/>
      <c r="D171" s="45"/>
      <c r="E171" s="45"/>
      <c r="F171" s="30"/>
      <c r="G171" s="30"/>
      <c r="H171" s="32"/>
      <c r="I171" s="32"/>
      <c r="J171" s="32"/>
      <c r="K171" s="32"/>
      <c r="L171" s="32"/>
      <c r="M171" s="34"/>
      <c r="N171" s="34"/>
      <c r="O171" s="34"/>
    </row>
    <row r="172">
      <c r="A172" s="45"/>
      <c r="B172" s="45"/>
      <c r="C172" s="45"/>
      <c r="D172" s="45"/>
      <c r="E172" s="45"/>
      <c r="F172" s="30"/>
      <c r="G172" s="30"/>
      <c r="H172" s="32"/>
      <c r="I172" s="32"/>
      <c r="J172" s="32"/>
      <c r="K172" s="32"/>
      <c r="L172" s="32"/>
      <c r="M172" s="34"/>
      <c r="N172" s="34"/>
      <c r="O172" s="34"/>
    </row>
    <row r="173">
      <c r="A173" s="45"/>
      <c r="B173" s="45"/>
      <c r="C173" s="45"/>
      <c r="D173" s="45"/>
      <c r="E173" s="45"/>
      <c r="F173" s="30"/>
      <c r="G173" s="30"/>
      <c r="H173" s="32"/>
      <c r="I173" s="32"/>
      <c r="J173" s="32"/>
      <c r="K173" s="32"/>
      <c r="L173" s="32"/>
      <c r="M173" s="34"/>
      <c r="N173" s="34"/>
      <c r="O173" s="34"/>
    </row>
    <row r="174">
      <c r="A174" s="45"/>
      <c r="B174" s="45"/>
      <c r="C174" s="45"/>
      <c r="D174" s="45"/>
      <c r="E174" s="45"/>
      <c r="F174" s="30"/>
      <c r="G174" s="30"/>
      <c r="H174" s="32"/>
      <c r="I174" s="32"/>
      <c r="J174" s="32"/>
      <c r="K174" s="32"/>
      <c r="L174" s="32"/>
      <c r="M174" s="34"/>
      <c r="N174" s="34"/>
      <c r="O174" s="34"/>
    </row>
    <row r="175">
      <c r="A175" s="45"/>
      <c r="B175" s="45"/>
      <c r="C175" s="45"/>
      <c r="D175" s="45"/>
      <c r="E175" s="45"/>
      <c r="F175" s="30"/>
      <c r="G175" s="30"/>
      <c r="H175" s="32"/>
      <c r="I175" s="32"/>
      <c r="J175" s="32"/>
      <c r="K175" s="32"/>
      <c r="L175" s="32"/>
      <c r="M175" s="34"/>
      <c r="N175" s="34"/>
      <c r="O175" s="34"/>
    </row>
    <row r="176">
      <c r="A176" s="45"/>
      <c r="B176" s="45"/>
      <c r="C176" s="45"/>
      <c r="D176" s="45"/>
      <c r="E176" s="45"/>
      <c r="F176" s="30"/>
      <c r="G176" s="30"/>
      <c r="H176" s="32"/>
      <c r="I176" s="32"/>
      <c r="J176" s="32"/>
      <c r="K176" s="32"/>
      <c r="L176" s="32"/>
      <c r="M176" s="34"/>
      <c r="N176" s="34"/>
      <c r="O176" s="34"/>
    </row>
    <row r="177">
      <c r="A177" s="45"/>
      <c r="B177" s="45"/>
      <c r="C177" s="45"/>
      <c r="D177" s="45"/>
      <c r="E177" s="45"/>
      <c r="F177" s="30"/>
      <c r="G177" s="30"/>
      <c r="H177" s="32"/>
      <c r="I177" s="32"/>
      <c r="J177" s="32"/>
      <c r="K177" s="32"/>
      <c r="L177" s="32"/>
      <c r="M177" s="34"/>
      <c r="N177" s="34"/>
      <c r="O177" s="34"/>
    </row>
    <row r="178">
      <c r="A178" s="45"/>
      <c r="B178" s="45"/>
      <c r="C178" s="45"/>
      <c r="D178" s="45"/>
      <c r="E178" s="45"/>
      <c r="F178" s="30"/>
      <c r="G178" s="30"/>
      <c r="H178" s="32"/>
      <c r="I178" s="32"/>
      <c r="J178" s="32"/>
      <c r="K178" s="32"/>
      <c r="L178" s="32"/>
      <c r="M178" s="34"/>
      <c r="N178" s="34"/>
      <c r="O178" s="34"/>
    </row>
    <row r="179">
      <c r="A179" s="45"/>
      <c r="B179" s="45"/>
      <c r="C179" s="45"/>
      <c r="D179" s="45"/>
      <c r="E179" s="45"/>
      <c r="F179" s="30"/>
      <c r="G179" s="30"/>
      <c r="H179" s="32"/>
      <c r="I179" s="32"/>
      <c r="J179" s="32"/>
      <c r="K179" s="32"/>
      <c r="L179" s="32"/>
      <c r="M179" s="34"/>
      <c r="N179" s="34"/>
      <c r="O179" s="34"/>
    </row>
    <row r="180">
      <c r="A180" s="45"/>
      <c r="B180" s="45"/>
      <c r="C180" s="45"/>
      <c r="D180" s="45"/>
      <c r="E180" s="45"/>
      <c r="F180" s="30"/>
      <c r="G180" s="30"/>
      <c r="H180" s="32"/>
      <c r="I180" s="32"/>
      <c r="J180" s="32"/>
      <c r="K180" s="32"/>
      <c r="L180" s="32"/>
      <c r="M180" s="34"/>
      <c r="N180" s="34"/>
      <c r="O180" s="34"/>
    </row>
    <row r="181">
      <c r="A181" s="45"/>
      <c r="B181" s="45"/>
      <c r="C181" s="45"/>
      <c r="D181" s="45"/>
      <c r="E181" s="45"/>
      <c r="F181" s="30"/>
      <c r="G181" s="30"/>
      <c r="H181" s="32"/>
      <c r="I181" s="32"/>
      <c r="J181" s="32"/>
      <c r="K181" s="32"/>
      <c r="L181" s="32"/>
      <c r="M181" s="34"/>
      <c r="N181" s="34"/>
      <c r="O181" s="34"/>
    </row>
    <row r="182">
      <c r="A182" s="45"/>
      <c r="B182" s="45"/>
      <c r="C182" s="45"/>
      <c r="D182" s="45"/>
      <c r="E182" s="45"/>
      <c r="F182" s="30"/>
      <c r="G182" s="30"/>
      <c r="H182" s="32"/>
      <c r="I182" s="32"/>
      <c r="J182" s="32"/>
      <c r="K182" s="32"/>
      <c r="L182" s="32"/>
      <c r="M182" s="34"/>
      <c r="N182" s="34"/>
      <c r="O182" s="34"/>
    </row>
    <row r="183">
      <c r="A183" s="45"/>
      <c r="B183" s="45"/>
      <c r="C183" s="45"/>
      <c r="D183" s="45"/>
      <c r="E183" s="45"/>
      <c r="F183" s="30"/>
      <c r="G183" s="30"/>
      <c r="H183" s="32"/>
      <c r="I183" s="32"/>
      <c r="J183" s="32"/>
      <c r="K183" s="32"/>
      <c r="L183" s="32"/>
      <c r="M183" s="34"/>
      <c r="N183" s="34"/>
      <c r="O183" s="34"/>
    </row>
    <row r="184">
      <c r="A184" s="45"/>
      <c r="B184" s="45"/>
      <c r="C184" s="45"/>
      <c r="D184" s="45"/>
      <c r="E184" s="45"/>
      <c r="F184" s="30"/>
      <c r="G184" s="30"/>
      <c r="H184" s="32"/>
      <c r="I184" s="32"/>
      <c r="J184" s="32"/>
      <c r="K184" s="32"/>
      <c r="L184" s="32"/>
      <c r="M184" s="34"/>
      <c r="N184" s="34"/>
      <c r="O184" s="34"/>
    </row>
    <row r="185">
      <c r="A185" s="45"/>
      <c r="B185" s="45"/>
      <c r="C185" s="45"/>
      <c r="D185" s="45"/>
      <c r="E185" s="45"/>
      <c r="F185" s="30"/>
      <c r="G185" s="30"/>
      <c r="H185" s="32"/>
      <c r="I185" s="32"/>
      <c r="J185" s="32"/>
      <c r="K185" s="32"/>
      <c r="L185" s="32"/>
      <c r="M185" s="34"/>
      <c r="N185" s="34"/>
      <c r="O185" s="34"/>
    </row>
    <row r="186">
      <c r="A186" s="45"/>
      <c r="B186" s="45"/>
      <c r="C186" s="45"/>
      <c r="D186" s="45"/>
      <c r="E186" s="45"/>
      <c r="F186" s="30"/>
      <c r="G186" s="30"/>
      <c r="H186" s="32"/>
      <c r="I186" s="32"/>
      <c r="J186" s="32"/>
      <c r="K186" s="32"/>
      <c r="L186" s="32"/>
      <c r="M186" s="34"/>
      <c r="N186" s="34"/>
      <c r="O186" s="34"/>
    </row>
    <row r="187">
      <c r="A187" s="45"/>
      <c r="B187" s="45"/>
      <c r="C187" s="45"/>
      <c r="D187" s="45"/>
      <c r="E187" s="45"/>
      <c r="F187" s="30"/>
      <c r="G187" s="30"/>
      <c r="H187" s="32"/>
      <c r="I187" s="32"/>
      <c r="J187" s="32"/>
      <c r="K187" s="32"/>
      <c r="L187" s="32"/>
      <c r="M187" s="34"/>
      <c r="N187" s="34"/>
      <c r="O187" s="34"/>
    </row>
    <row r="188">
      <c r="A188" s="45"/>
      <c r="B188" s="45"/>
      <c r="C188" s="45"/>
      <c r="D188" s="45"/>
      <c r="E188" s="45"/>
      <c r="F188" s="30"/>
      <c r="G188" s="30"/>
      <c r="H188" s="32"/>
      <c r="I188" s="32"/>
      <c r="J188" s="32"/>
      <c r="K188" s="32"/>
      <c r="L188" s="32"/>
      <c r="M188" s="34"/>
      <c r="N188" s="34"/>
      <c r="O188" s="34"/>
    </row>
    <row r="189">
      <c r="A189" s="45"/>
      <c r="B189" s="45"/>
      <c r="C189" s="45"/>
      <c r="D189" s="45"/>
      <c r="E189" s="45"/>
      <c r="F189" s="30"/>
      <c r="G189" s="30"/>
      <c r="H189" s="32"/>
      <c r="I189" s="32"/>
      <c r="J189" s="32"/>
      <c r="K189" s="32"/>
      <c r="L189" s="32"/>
      <c r="M189" s="34"/>
      <c r="N189" s="34"/>
      <c r="O189" s="34"/>
    </row>
    <row r="190">
      <c r="A190" s="45"/>
      <c r="B190" s="45"/>
      <c r="C190" s="45"/>
      <c r="D190" s="45"/>
      <c r="E190" s="45"/>
      <c r="F190" s="30"/>
      <c r="G190" s="30"/>
      <c r="H190" s="32"/>
      <c r="I190" s="32"/>
      <c r="J190" s="32"/>
      <c r="K190" s="32"/>
      <c r="L190" s="32"/>
      <c r="M190" s="34"/>
      <c r="N190" s="34"/>
      <c r="O190" s="34"/>
    </row>
    <row r="191">
      <c r="A191" s="45"/>
      <c r="B191" s="45"/>
      <c r="C191" s="45"/>
      <c r="D191" s="45"/>
      <c r="E191" s="45"/>
      <c r="F191" s="30"/>
      <c r="G191" s="30"/>
      <c r="H191" s="32"/>
      <c r="I191" s="32"/>
      <c r="J191" s="32"/>
      <c r="K191" s="32"/>
      <c r="L191" s="32"/>
      <c r="M191" s="34"/>
      <c r="N191" s="34"/>
      <c r="O191" s="34"/>
    </row>
    <row r="192">
      <c r="A192" s="45"/>
      <c r="B192" s="45"/>
      <c r="C192" s="45"/>
      <c r="D192" s="45"/>
      <c r="E192" s="45"/>
      <c r="F192" s="30"/>
      <c r="G192" s="30"/>
      <c r="H192" s="32"/>
      <c r="I192" s="32"/>
      <c r="J192" s="32"/>
      <c r="K192" s="32"/>
      <c r="L192" s="32"/>
      <c r="M192" s="34"/>
      <c r="N192" s="34"/>
      <c r="O192" s="34"/>
    </row>
    <row r="193">
      <c r="A193" s="45"/>
      <c r="B193" s="45"/>
      <c r="C193" s="45"/>
      <c r="D193" s="45"/>
      <c r="E193" s="45"/>
      <c r="F193" s="30"/>
      <c r="G193" s="30"/>
      <c r="H193" s="32"/>
      <c r="I193" s="32"/>
      <c r="J193" s="32"/>
      <c r="K193" s="32"/>
      <c r="L193" s="32"/>
      <c r="M193" s="34"/>
      <c r="N193" s="34"/>
      <c r="O193" s="34"/>
    </row>
    <row r="194">
      <c r="A194" s="45"/>
      <c r="B194" s="45"/>
      <c r="C194" s="45"/>
      <c r="D194" s="45"/>
      <c r="E194" s="45"/>
      <c r="F194" s="30"/>
      <c r="G194" s="30"/>
      <c r="H194" s="32"/>
      <c r="I194" s="32"/>
      <c r="J194" s="32"/>
      <c r="K194" s="32"/>
      <c r="L194" s="32"/>
      <c r="M194" s="34"/>
      <c r="N194" s="34"/>
      <c r="O194" s="34"/>
    </row>
    <row r="195">
      <c r="A195" s="45"/>
      <c r="B195" s="45"/>
      <c r="C195" s="45"/>
      <c r="D195" s="45"/>
      <c r="E195" s="45"/>
      <c r="F195" s="30"/>
      <c r="G195" s="30"/>
      <c r="H195" s="32"/>
      <c r="I195" s="32"/>
      <c r="J195" s="32"/>
      <c r="K195" s="32"/>
      <c r="L195" s="32"/>
      <c r="M195" s="34"/>
      <c r="N195" s="34"/>
      <c r="O195" s="34"/>
    </row>
    <row r="196">
      <c r="A196" s="45"/>
      <c r="B196" s="45"/>
      <c r="C196" s="45"/>
      <c r="D196" s="45"/>
      <c r="E196" s="45"/>
      <c r="F196" s="30"/>
      <c r="G196" s="30"/>
      <c r="H196" s="32"/>
      <c r="I196" s="32"/>
      <c r="J196" s="32"/>
      <c r="K196" s="32"/>
      <c r="L196" s="32"/>
      <c r="M196" s="34"/>
      <c r="N196" s="34"/>
      <c r="O196" s="34"/>
    </row>
    <row r="197">
      <c r="A197" s="45"/>
      <c r="B197" s="45"/>
      <c r="C197" s="45"/>
      <c r="D197" s="45"/>
      <c r="E197" s="45"/>
      <c r="F197" s="30"/>
      <c r="G197" s="30"/>
      <c r="H197" s="32"/>
      <c r="I197" s="32"/>
      <c r="J197" s="32"/>
      <c r="K197" s="32"/>
      <c r="L197" s="32"/>
      <c r="M197" s="34"/>
      <c r="N197" s="34"/>
      <c r="O197" s="34"/>
    </row>
    <row r="198">
      <c r="A198" s="45"/>
      <c r="B198" s="45"/>
      <c r="C198" s="45"/>
      <c r="D198" s="45"/>
      <c r="E198" s="45"/>
      <c r="F198" s="30"/>
      <c r="G198" s="30"/>
      <c r="H198" s="32"/>
      <c r="I198" s="32"/>
      <c r="J198" s="32"/>
      <c r="K198" s="32"/>
      <c r="L198" s="32"/>
      <c r="M198" s="34"/>
      <c r="N198" s="34"/>
      <c r="O198" s="34"/>
    </row>
    <row r="199">
      <c r="A199" s="45"/>
      <c r="B199" s="45"/>
      <c r="C199" s="45"/>
      <c r="D199" s="45"/>
      <c r="E199" s="45"/>
      <c r="F199" s="30"/>
      <c r="G199" s="30"/>
      <c r="H199" s="32"/>
      <c r="I199" s="32"/>
      <c r="J199" s="32"/>
      <c r="K199" s="32"/>
      <c r="L199" s="32"/>
      <c r="M199" s="34"/>
      <c r="N199" s="34"/>
      <c r="O199" s="34"/>
    </row>
    <row r="200">
      <c r="A200" s="45"/>
      <c r="B200" s="45"/>
      <c r="C200" s="45"/>
      <c r="D200" s="45"/>
      <c r="E200" s="45"/>
      <c r="F200" s="30"/>
      <c r="G200" s="30"/>
      <c r="H200" s="32"/>
      <c r="I200" s="32"/>
      <c r="J200" s="32"/>
      <c r="K200" s="32"/>
      <c r="L200" s="32"/>
      <c r="M200" s="34"/>
      <c r="N200" s="34"/>
      <c r="O200" s="34"/>
    </row>
    <row r="201">
      <c r="A201" s="45"/>
      <c r="B201" s="45"/>
      <c r="C201" s="45"/>
      <c r="D201" s="45"/>
      <c r="E201" s="45"/>
      <c r="F201" s="30"/>
      <c r="G201" s="30"/>
      <c r="H201" s="32"/>
      <c r="I201" s="32"/>
      <c r="J201" s="32"/>
      <c r="K201" s="32"/>
      <c r="L201" s="32"/>
      <c r="M201" s="34"/>
      <c r="N201" s="34"/>
      <c r="O201" s="34"/>
    </row>
    <row r="202">
      <c r="A202" s="45"/>
      <c r="B202" s="45"/>
      <c r="C202" s="45"/>
      <c r="D202" s="45"/>
      <c r="E202" s="45"/>
      <c r="F202" s="30"/>
      <c r="G202" s="30"/>
      <c r="H202" s="32"/>
      <c r="I202" s="32"/>
      <c r="J202" s="32"/>
      <c r="K202" s="32"/>
      <c r="L202" s="32"/>
      <c r="M202" s="34"/>
      <c r="N202" s="34"/>
      <c r="O202" s="34"/>
    </row>
    <row r="203">
      <c r="A203" s="45"/>
      <c r="B203" s="45"/>
      <c r="C203" s="45"/>
      <c r="D203" s="45"/>
      <c r="E203" s="45"/>
      <c r="F203" s="30"/>
      <c r="G203" s="30"/>
      <c r="H203" s="32"/>
      <c r="I203" s="32"/>
      <c r="J203" s="32"/>
      <c r="K203" s="32"/>
      <c r="L203" s="32"/>
      <c r="M203" s="34"/>
      <c r="N203" s="34"/>
      <c r="O203" s="34"/>
    </row>
    <row r="204">
      <c r="A204" s="45"/>
      <c r="B204" s="45"/>
      <c r="C204" s="45"/>
      <c r="D204" s="45"/>
      <c r="E204" s="45"/>
      <c r="F204" s="30"/>
      <c r="G204" s="30"/>
      <c r="H204" s="32"/>
      <c r="I204" s="32"/>
      <c r="J204" s="32"/>
      <c r="K204" s="32"/>
      <c r="L204" s="32"/>
      <c r="M204" s="34"/>
      <c r="N204" s="34"/>
      <c r="O204" s="34"/>
    </row>
    <row r="205">
      <c r="A205" s="45"/>
      <c r="B205" s="45"/>
      <c r="C205" s="45"/>
      <c r="D205" s="45"/>
      <c r="E205" s="45"/>
      <c r="F205" s="30"/>
      <c r="G205" s="30"/>
      <c r="H205" s="32"/>
      <c r="I205" s="32"/>
      <c r="J205" s="32"/>
      <c r="K205" s="32"/>
      <c r="L205" s="32"/>
      <c r="M205" s="34"/>
      <c r="N205" s="34"/>
      <c r="O205" s="34"/>
    </row>
    <row r="206">
      <c r="A206" s="45"/>
      <c r="B206" s="45"/>
      <c r="C206" s="45"/>
      <c r="D206" s="45"/>
      <c r="E206" s="45"/>
      <c r="F206" s="30"/>
      <c r="G206" s="30"/>
      <c r="H206" s="32"/>
      <c r="I206" s="32"/>
      <c r="J206" s="32"/>
      <c r="K206" s="32"/>
      <c r="L206" s="32"/>
      <c r="M206" s="34"/>
      <c r="N206" s="34"/>
      <c r="O206" s="34"/>
    </row>
    <row r="207">
      <c r="A207" s="45"/>
      <c r="B207" s="45"/>
      <c r="C207" s="45"/>
      <c r="D207" s="45"/>
      <c r="E207" s="45"/>
      <c r="F207" s="30"/>
      <c r="G207" s="30"/>
      <c r="H207" s="32"/>
      <c r="I207" s="32"/>
      <c r="J207" s="32"/>
      <c r="K207" s="32"/>
      <c r="L207" s="32"/>
      <c r="M207" s="34"/>
      <c r="N207" s="34"/>
      <c r="O207" s="34"/>
    </row>
    <row r="208">
      <c r="A208" s="45"/>
      <c r="B208" s="45"/>
      <c r="C208" s="45"/>
      <c r="D208" s="45"/>
      <c r="E208" s="45"/>
      <c r="F208" s="30"/>
      <c r="G208" s="30"/>
      <c r="H208" s="32"/>
      <c r="I208" s="32"/>
      <c r="J208" s="32"/>
      <c r="K208" s="32"/>
      <c r="L208" s="32"/>
      <c r="M208" s="34"/>
      <c r="N208" s="34"/>
      <c r="O208" s="34"/>
    </row>
    <row r="209">
      <c r="A209" s="45"/>
      <c r="B209" s="45"/>
      <c r="C209" s="45"/>
      <c r="D209" s="45"/>
      <c r="E209" s="45"/>
      <c r="F209" s="30"/>
      <c r="G209" s="30"/>
      <c r="H209" s="32"/>
      <c r="I209" s="32"/>
      <c r="J209" s="32"/>
      <c r="K209" s="32"/>
      <c r="L209" s="32"/>
      <c r="M209" s="34"/>
      <c r="N209" s="34"/>
      <c r="O209" s="34"/>
    </row>
    <row r="210">
      <c r="A210" s="45"/>
      <c r="B210" s="45"/>
      <c r="C210" s="45"/>
      <c r="D210" s="45"/>
      <c r="E210" s="45"/>
      <c r="F210" s="30"/>
      <c r="G210" s="30"/>
      <c r="H210" s="32"/>
      <c r="I210" s="32"/>
      <c r="J210" s="32"/>
      <c r="K210" s="32"/>
      <c r="L210" s="32"/>
      <c r="M210" s="34"/>
      <c r="N210" s="34"/>
      <c r="O210" s="34"/>
    </row>
    <row r="211">
      <c r="A211" s="45"/>
      <c r="B211" s="45"/>
      <c r="C211" s="45"/>
      <c r="D211" s="45"/>
      <c r="E211" s="45"/>
      <c r="F211" s="30"/>
      <c r="G211" s="30"/>
      <c r="H211" s="32"/>
      <c r="I211" s="32"/>
      <c r="J211" s="32"/>
      <c r="K211" s="32"/>
      <c r="L211" s="32"/>
      <c r="M211" s="34"/>
      <c r="N211" s="34"/>
      <c r="O211" s="34"/>
    </row>
    <row r="212">
      <c r="A212" s="45"/>
      <c r="B212" s="45"/>
      <c r="C212" s="45"/>
      <c r="D212" s="45"/>
      <c r="E212" s="45"/>
      <c r="F212" s="30"/>
      <c r="G212" s="30"/>
      <c r="H212" s="32"/>
      <c r="I212" s="32"/>
      <c r="J212" s="32"/>
      <c r="K212" s="32"/>
      <c r="L212" s="32"/>
      <c r="M212" s="34"/>
      <c r="N212" s="34"/>
      <c r="O212" s="34"/>
    </row>
    <row r="213">
      <c r="A213" s="45"/>
      <c r="B213" s="45"/>
      <c r="C213" s="45"/>
      <c r="D213" s="45"/>
      <c r="E213" s="45"/>
      <c r="F213" s="30"/>
      <c r="G213" s="30"/>
      <c r="H213" s="32"/>
      <c r="I213" s="32"/>
      <c r="J213" s="32"/>
      <c r="K213" s="32"/>
      <c r="L213" s="32"/>
      <c r="M213" s="34"/>
      <c r="N213" s="34"/>
      <c r="O213" s="34"/>
    </row>
    <row r="214">
      <c r="A214" s="45"/>
      <c r="B214" s="45"/>
      <c r="C214" s="45"/>
      <c r="D214" s="45"/>
      <c r="E214" s="45"/>
      <c r="F214" s="30"/>
      <c r="G214" s="30"/>
      <c r="H214" s="32"/>
      <c r="I214" s="32"/>
      <c r="J214" s="32"/>
      <c r="K214" s="32"/>
      <c r="L214" s="32"/>
      <c r="M214" s="34"/>
      <c r="N214" s="34"/>
      <c r="O214" s="34"/>
    </row>
    <row r="215">
      <c r="A215" s="45"/>
      <c r="B215" s="45"/>
      <c r="C215" s="45"/>
      <c r="D215" s="45"/>
      <c r="E215" s="45"/>
      <c r="F215" s="30"/>
      <c r="G215" s="30"/>
      <c r="H215" s="32"/>
      <c r="I215" s="32"/>
      <c r="J215" s="32"/>
      <c r="K215" s="32"/>
      <c r="L215" s="32"/>
      <c r="M215" s="34"/>
      <c r="N215" s="34"/>
      <c r="O215" s="34"/>
    </row>
    <row r="216">
      <c r="A216" s="45"/>
      <c r="B216" s="45"/>
      <c r="C216" s="45"/>
      <c r="D216" s="45"/>
      <c r="E216" s="45"/>
      <c r="F216" s="30"/>
      <c r="G216" s="30"/>
      <c r="H216" s="32"/>
      <c r="I216" s="32"/>
      <c r="J216" s="32"/>
      <c r="K216" s="32"/>
      <c r="L216" s="32"/>
      <c r="M216" s="34"/>
      <c r="N216" s="34"/>
      <c r="O216" s="34"/>
    </row>
    <row r="217">
      <c r="A217" s="45"/>
      <c r="B217" s="45"/>
      <c r="C217" s="45"/>
      <c r="D217" s="45"/>
      <c r="E217" s="45"/>
      <c r="F217" s="30"/>
      <c r="G217" s="30"/>
      <c r="H217" s="32"/>
      <c r="I217" s="32"/>
      <c r="J217" s="32"/>
      <c r="K217" s="32"/>
      <c r="L217" s="32"/>
      <c r="M217" s="34"/>
      <c r="N217" s="34"/>
      <c r="O217" s="34"/>
    </row>
    <row r="218">
      <c r="A218" s="45"/>
      <c r="B218" s="45"/>
      <c r="C218" s="45"/>
      <c r="D218" s="45"/>
      <c r="E218" s="45"/>
      <c r="F218" s="30"/>
      <c r="G218" s="30"/>
      <c r="H218" s="32"/>
      <c r="I218" s="32"/>
      <c r="J218" s="32"/>
      <c r="K218" s="32"/>
      <c r="L218" s="32"/>
      <c r="M218" s="34"/>
      <c r="N218" s="34"/>
      <c r="O218" s="34"/>
    </row>
    <row r="219">
      <c r="A219" s="45"/>
      <c r="B219" s="45"/>
      <c r="C219" s="45"/>
      <c r="D219" s="45"/>
      <c r="E219" s="45"/>
      <c r="F219" s="30"/>
      <c r="G219" s="30"/>
      <c r="H219" s="32"/>
      <c r="I219" s="32"/>
      <c r="J219" s="32"/>
      <c r="K219" s="32"/>
      <c r="L219" s="32"/>
      <c r="M219" s="34"/>
      <c r="N219" s="34"/>
      <c r="O219" s="34"/>
    </row>
    <row r="220">
      <c r="A220" s="45"/>
      <c r="B220" s="45"/>
      <c r="C220" s="45"/>
      <c r="D220" s="45"/>
      <c r="E220" s="45"/>
      <c r="F220" s="30"/>
      <c r="G220" s="30"/>
      <c r="H220" s="32"/>
      <c r="I220" s="32"/>
      <c r="J220" s="32"/>
      <c r="K220" s="32"/>
      <c r="L220" s="32"/>
      <c r="M220" s="34"/>
      <c r="N220" s="34"/>
      <c r="O220" s="34"/>
    </row>
    <row r="221">
      <c r="A221" s="45"/>
      <c r="B221" s="45"/>
      <c r="C221" s="45"/>
      <c r="D221" s="45"/>
      <c r="E221" s="45"/>
      <c r="F221" s="30"/>
      <c r="G221" s="30"/>
      <c r="H221" s="32"/>
      <c r="I221" s="32"/>
      <c r="J221" s="32"/>
      <c r="K221" s="32"/>
      <c r="L221" s="32"/>
      <c r="M221" s="34"/>
      <c r="N221" s="34"/>
      <c r="O221" s="34"/>
    </row>
    <row r="222">
      <c r="A222" s="45"/>
      <c r="B222" s="45"/>
      <c r="C222" s="45"/>
      <c r="D222" s="45"/>
      <c r="E222" s="45"/>
      <c r="F222" s="30"/>
      <c r="G222" s="30"/>
      <c r="H222" s="32"/>
      <c r="I222" s="32"/>
      <c r="J222" s="32"/>
      <c r="K222" s="32"/>
      <c r="L222" s="32"/>
      <c r="M222" s="34"/>
      <c r="N222" s="34"/>
      <c r="O222" s="34"/>
    </row>
    <row r="223">
      <c r="A223" s="45"/>
      <c r="B223" s="45"/>
      <c r="C223" s="45"/>
      <c r="D223" s="45"/>
      <c r="E223" s="45"/>
      <c r="F223" s="30"/>
      <c r="G223" s="30"/>
      <c r="H223" s="32"/>
      <c r="I223" s="32"/>
      <c r="J223" s="32"/>
      <c r="K223" s="32"/>
      <c r="L223" s="32"/>
      <c r="M223" s="34"/>
      <c r="N223" s="34"/>
      <c r="O223" s="34"/>
    </row>
    <row r="224">
      <c r="A224" s="45"/>
      <c r="B224" s="45"/>
      <c r="C224" s="45"/>
      <c r="D224" s="45"/>
      <c r="E224" s="45"/>
      <c r="F224" s="30"/>
      <c r="G224" s="30"/>
      <c r="H224" s="32"/>
      <c r="I224" s="32"/>
      <c r="J224" s="32"/>
      <c r="K224" s="32"/>
      <c r="L224" s="32"/>
      <c r="M224" s="34"/>
      <c r="N224" s="34"/>
      <c r="O224" s="34"/>
    </row>
    <row r="225">
      <c r="A225" s="45"/>
      <c r="B225" s="45"/>
      <c r="C225" s="45"/>
      <c r="D225" s="45"/>
      <c r="E225" s="45"/>
      <c r="F225" s="30"/>
      <c r="G225" s="30"/>
      <c r="H225" s="32"/>
      <c r="I225" s="32"/>
      <c r="J225" s="32"/>
      <c r="K225" s="32"/>
      <c r="L225" s="32"/>
      <c r="M225" s="34"/>
      <c r="N225" s="34"/>
      <c r="O225" s="34"/>
    </row>
    <row r="226">
      <c r="A226" s="45"/>
      <c r="B226" s="45"/>
      <c r="C226" s="45"/>
      <c r="D226" s="45"/>
      <c r="E226" s="45"/>
      <c r="F226" s="30"/>
      <c r="G226" s="30"/>
      <c r="H226" s="32"/>
      <c r="I226" s="32"/>
      <c r="J226" s="32"/>
      <c r="K226" s="32"/>
      <c r="L226" s="32"/>
      <c r="M226" s="34"/>
      <c r="N226" s="34"/>
      <c r="O226" s="34"/>
    </row>
    <row r="227">
      <c r="A227" s="45"/>
      <c r="B227" s="45"/>
      <c r="C227" s="45"/>
      <c r="D227" s="45"/>
      <c r="E227" s="45"/>
      <c r="F227" s="30"/>
      <c r="G227" s="30"/>
      <c r="H227" s="32"/>
      <c r="I227" s="32"/>
      <c r="J227" s="32"/>
      <c r="K227" s="32"/>
      <c r="L227" s="32"/>
      <c r="M227" s="34"/>
      <c r="N227" s="34"/>
      <c r="O227" s="34"/>
    </row>
    <row r="228">
      <c r="A228" s="45"/>
      <c r="B228" s="45"/>
      <c r="C228" s="45"/>
      <c r="D228" s="45"/>
      <c r="E228" s="45"/>
      <c r="F228" s="30"/>
      <c r="G228" s="30"/>
      <c r="H228" s="32"/>
      <c r="I228" s="32"/>
      <c r="J228" s="32"/>
      <c r="K228" s="32"/>
      <c r="L228" s="32"/>
      <c r="M228" s="34"/>
      <c r="N228" s="34"/>
      <c r="O228" s="34"/>
    </row>
    <row r="229">
      <c r="A229" s="45"/>
      <c r="B229" s="45"/>
      <c r="C229" s="45"/>
      <c r="D229" s="45"/>
      <c r="E229" s="45"/>
      <c r="F229" s="30"/>
      <c r="G229" s="30"/>
      <c r="H229" s="32"/>
      <c r="I229" s="32"/>
      <c r="J229" s="32"/>
      <c r="K229" s="32"/>
      <c r="L229" s="32"/>
      <c r="M229" s="34"/>
      <c r="N229" s="34"/>
      <c r="O229" s="34"/>
    </row>
    <row r="230">
      <c r="A230" s="45"/>
      <c r="B230" s="45"/>
      <c r="C230" s="45"/>
      <c r="D230" s="45"/>
      <c r="E230" s="45"/>
      <c r="F230" s="30"/>
      <c r="G230" s="30"/>
      <c r="H230" s="32"/>
      <c r="I230" s="32"/>
      <c r="J230" s="32"/>
      <c r="K230" s="32"/>
      <c r="L230" s="32"/>
      <c r="M230" s="34"/>
      <c r="N230" s="34"/>
      <c r="O230" s="34"/>
    </row>
    <row r="231">
      <c r="A231" s="45"/>
      <c r="B231" s="45"/>
      <c r="C231" s="45"/>
      <c r="D231" s="45"/>
      <c r="E231" s="45"/>
      <c r="F231" s="30"/>
      <c r="G231" s="30"/>
      <c r="H231" s="32"/>
      <c r="I231" s="32"/>
      <c r="J231" s="32"/>
      <c r="K231" s="32"/>
      <c r="L231" s="32"/>
      <c r="M231" s="34"/>
      <c r="N231" s="34"/>
      <c r="O231" s="34"/>
    </row>
    <row r="232">
      <c r="A232" s="45"/>
      <c r="B232" s="45"/>
      <c r="C232" s="45"/>
      <c r="D232" s="45"/>
      <c r="E232" s="45"/>
      <c r="F232" s="30"/>
      <c r="G232" s="30"/>
      <c r="H232" s="32"/>
      <c r="I232" s="32"/>
      <c r="J232" s="32"/>
      <c r="K232" s="32"/>
      <c r="L232" s="32"/>
      <c r="M232" s="34"/>
      <c r="N232" s="34"/>
      <c r="O232" s="34"/>
    </row>
    <row r="233">
      <c r="A233" s="45"/>
      <c r="B233" s="45"/>
      <c r="C233" s="45"/>
      <c r="D233" s="45"/>
      <c r="E233" s="45"/>
      <c r="F233" s="30"/>
      <c r="G233" s="30"/>
      <c r="H233" s="32"/>
      <c r="I233" s="32"/>
      <c r="J233" s="32"/>
      <c r="K233" s="32"/>
      <c r="L233" s="32"/>
      <c r="M233" s="34"/>
      <c r="N233" s="34"/>
      <c r="O233" s="34"/>
    </row>
    <row r="234">
      <c r="A234" s="45"/>
      <c r="B234" s="45"/>
      <c r="C234" s="45"/>
      <c r="D234" s="45"/>
      <c r="E234" s="45"/>
      <c r="F234" s="30"/>
      <c r="G234" s="30"/>
      <c r="H234" s="32"/>
      <c r="I234" s="32"/>
      <c r="J234" s="32"/>
      <c r="K234" s="32"/>
      <c r="L234" s="32"/>
      <c r="M234" s="34"/>
      <c r="N234" s="34"/>
      <c r="O234" s="34"/>
    </row>
    <row r="235">
      <c r="A235" s="45"/>
      <c r="B235" s="45"/>
      <c r="C235" s="45"/>
      <c r="D235" s="45"/>
      <c r="E235" s="45"/>
      <c r="F235" s="30"/>
      <c r="G235" s="30"/>
      <c r="H235" s="32"/>
      <c r="I235" s="32"/>
      <c r="J235" s="32"/>
      <c r="K235" s="32"/>
      <c r="L235" s="32"/>
      <c r="M235" s="34"/>
      <c r="N235" s="34"/>
      <c r="O235" s="34"/>
    </row>
    <row r="236">
      <c r="A236" s="45"/>
      <c r="B236" s="45"/>
      <c r="C236" s="45"/>
      <c r="D236" s="45"/>
      <c r="E236" s="45"/>
      <c r="F236" s="30"/>
      <c r="G236" s="30"/>
      <c r="H236" s="32"/>
      <c r="I236" s="32"/>
      <c r="J236" s="32"/>
      <c r="K236" s="32"/>
      <c r="L236" s="32"/>
      <c r="M236" s="34"/>
      <c r="N236" s="34"/>
      <c r="O236" s="34"/>
    </row>
    <row r="237">
      <c r="A237" s="45"/>
      <c r="B237" s="45"/>
      <c r="C237" s="45"/>
      <c r="D237" s="45"/>
      <c r="E237" s="45"/>
      <c r="F237" s="30"/>
      <c r="G237" s="30"/>
      <c r="H237" s="32"/>
      <c r="I237" s="32"/>
      <c r="J237" s="32"/>
      <c r="K237" s="32"/>
      <c r="L237" s="32"/>
      <c r="M237" s="34"/>
      <c r="N237" s="34"/>
      <c r="O237" s="34"/>
    </row>
    <row r="238">
      <c r="A238" s="45"/>
      <c r="B238" s="45"/>
      <c r="C238" s="45"/>
      <c r="D238" s="45"/>
      <c r="E238" s="45"/>
      <c r="F238" s="30"/>
      <c r="G238" s="30"/>
      <c r="H238" s="32"/>
      <c r="I238" s="32"/>
      <c r="J238" s="32"/>
      <c r="K238" s="32"/>
      <c r="L238" s="32"/>
      <c r="M238" s="34"/>
      <c r="N238" s="34"/>
      <c r="O238" s="34"/>
    </row>
    <row r="239">
      <c r="A239" s="45"/>
      <c r="B239" s="45"/>
      <c r="C239" s="45"/>
      <c r="D239" s="45"/>
      <c r="E239" s="45"/>
      <c r="F239" s="30"/>
      <c r="G239" s="30"/>
      <c r="H239" s="32"/>
      <c r="I239" s="32"/>
      <c r="J239" s="32"/>
      <c r="K239" s="32"/>
      <c r="L239" s="32"/>
      <c r="M239" s="34"/>
      <c r="N239" s="34"/>
      <c r="O239" s="34"/>
    </row>
    <row r="240">
      <c r="A240" s="45"/>
      <c r="B240" s="45"/>
      <c r="C240" s="45"/>
      <c r="D240" s="45"/>
      <c r="E240" s="45"/>
      <c r="F240" s="30"/>
      <c r="G240" s="30"/>
      <c r="H240" s="32"/>
      <c r="I240" s="32"/>
      <c r="J240" s="32"/>
      <c r="K240" s="32"/>
      <c r="L240" s="32"/>
      <c r="M240" s="34"/>
      <c r="N240" s="34"/>
      <c r="O240" s="34"/>
    </row>
    <row r="241">
      <c r="A241" s="45"/>
      <c r="B241" s="45"/>
      <c r="C241" s="45"/>
      <c r="D241" s="45"/>
      <c r="E241" s="45"/>
      <c r="F241" s="30"/>
      <c r="G241" s="30"/>
      <c r="H241" s="32"/>
      <c r="I241" s="32"/>
      <c r="J241" s="32"/>
      <c r="K241" s="32"/>
      <c r="L241" s="32"/>
      <c r="M241" s="34"/>
      <c r="N241" s="34"/>
      <c r="O241" s="34"/>
    </row>
    <row r="242">
      <c r="A242" s="45"/>
      <c r="B242" s="45"/>
      <c r="C242" s="45"/>
      <c r="D242" s="45"/>
      <c r="E242" s="45"/>
      <c r="F242" s="30"/>
      <c r="G242" s="30"/>
      <c r="H242" s="32"/>
      <c r="I242" s="32"/>
      <c r="J242" s="32"/>
      <c r="K242" s="32"/>
      <c r="L242" s="32"/>
      <c r="M242" s="34"/>
      <c r="N242" s="34"/>
      <c r="O242" s="34"/>
    </row>
    <row r="243">
      <c r="A243" s="45"/>
      <c r="B243" s="45"/>
      <c r="C243" s="45"/>
      <c r="D243" s="45"/>
      <c r="E243" s="45"/>
      <c r="F243" s="30"/>
      <c r="G243" s="30"/>
      <c r="H243" s="32"/>
      <c r="I243" s="32"/>
      <c r="J243" s="32"/>
      <c r="K243" s="32"/>
      <c r="L243" s="32"/>
      <c r="M243" s="34"/>
      <c r="N243" s="34"/>
      <c r="O243" s="34"/>
    </row>
    <row r="244">
      <c r="A244" s="45"/>
      <c r="B244" s="45"/>
      <c r="C244" s="45"/>
      <c r="D244" s="45"/>
      <c r="E244" s="45"/>
      <c r="F244" s="30"/>
      <c r="G244" s="30"/>
      <c r="H244" s="32"/>
      <c r="I244" s="32"/>
      <c r="J244" s="32"/>
      <c r="K244" s="32"/>
      <c r="L244" s="32"/>
      <c r="M244" s="34"/>
      <c r="N244" s="34"/>
      <c r="O244" s="34"/>
    </row>
    <row r="245">
      <c r="A245" s="45"/>
      <c r="B245" s="45"/>
      <c r="C245" s="45"/>
      <c r="D245" s="45"/>
      <c r="E245" s="45"/>
      <c r="F245" s="30"/>
      <c r="G245" s="30"/>
      <c r="H245" s="32"/>
      <c r="I245" s="32"/>
      <c r="J245" s="32"/>
      <c r="K245" s="32"/>
      <c r="L245" s="32"/>
      <c r="M245" s="34"/>
      <c r="N245" s="34"/>
      <c r="O245" s="34"/>
    </row>
    <row r="246">
      <c r="A246" s="45"/>
      <c r="B246" s="45"/>
      <c r="C246" s="45"/>
      <c r="D246" s="45"/>
      <c r="E246" s="45"/>
      <c r="F246" s="30"/>
      <c r="G246" s="30"/>
      <c r="H246" s="32"/>
      <c r="I246" s="32"/>
      <c r="J246" s="32"/>
      <c r="K246" s="32"/>
      <c r="L246" s="32"/>
      <c r="M246" s="34"/>
      <c r="N246" s="34"/>
      <c r="O246" s="34"/>
    </row>
    <row r="247">
      <c r="A247" s="45"/>
      <c r="B247" s="45"/>
      <c r="C247" s="45"/>
      <c r="D247" s="45"/>
      <c r="E247" s="45"/>
      <c r="F247" s="30"/>
      <c r="G247" s="30"/>
      <c r="H247" s="32"/>
      <c r="I247" s="32"/>
      <c r="J247" s="32"/>
      <c r="K247" s="32"/>
      <c r="L247" s="32"/>
      <c r="M247" s="34"/>
      <c r="N247" s="34"/>
      <c r="O247" s="34"/>
    </row>
    <row r="248">
      <c r="A248" s="45"/>
      <c r="B248" s="45"/>
      <c r="C248" s="45"/>
      <c r="D248" s="45"/>
      <c r="E248" s="45"/>
      <c r="F248" s="30"/>
      <c r="G248" s="30"/>
      <c r="H248" s="32"/>
      <c r="I248" s="32"/>
      <c r="J248" s="32"/>
      <c r="K248" s="32"/>
      <c r="L248" s="32"/>
      <c r="M248" s="34"/>
      <c r="N248" s="34"/>
      <c r="O248" s="34"/>
    </row>
    <row r="249">
      <c r="A249" s="45"/>
      <c r="B249" s="45"/>
      <c r="C249" s="45"/>
      <c r="D249" s="45"/>
      <c r="E249" s="45"/>
      <c r="F249" s="30"/>
      <c r="G249" s="30"/>
      <c r="H249" s="32"/>
      <c r="I249" s="32"/>
      <c r="J249" s="32"/>
      <c r="K249" s="32"/>
      <c r="L249" s="32"/>
      <c r="M249" s="34"/>
      <c r="N249" s="34"/>
      <c r="O249" s="34"/>
    </row>
    <row r="250">
      <c r="A250" s="45"/>
      <c r="B250" s="45"/>
      <c r="C250" s="45"/>
      <c r="D250" s="45"/>
      <c r="E250" s="45"/>
      <c r="F250" s="30"/>
      <c r="G250" s="30"/>
      <c r="H250" s="32"/>
      <c r="I250" s="32"/>
      <c r="J250" s="32"/>
      <c r="K250" s="32"/>
      <c r="L250" s="32"/>
      <c r="M250" s="34"/>
      <c r="N250" s="34"/>
      <c r="O250" s="34"/>
    </row>
    <row r="251">
      <c r="A251" s="45"/>
      <c r="B251" s="45"/>
      <c r="C251" s="45"/>
      <c r="D251" s="45"/>
      <c r="E251" s="45"/>
      <c r="F251" s="30"/>
      <c r="G251" s="30"/>
      <c r="H251" s="32"/>
      <c r="I251" s="32"/>
      <c r="J251" s="32"/>
      <c r="K251" s="32"/>
      <c r="L251" s="32"/>
      <c r="M251" s="34"/>
      <c r="N251" s="34"/>
      <c r="O251" s="34"/>
    </row>
    <row r="252">
      <c r="A252" s="45"/>
      <c r="B252" s="45"/>
      <c r="C252" s="45"/>
      <c r="D252" s="45"/>
      <c r="E252" s="45"/>
      <c r="F252" s="30"/>
      <c r="G252" s="30"/>
      <c r="H252" s="32"/>
      <c r="I252" s="32"/>
      <c r="J252" s="32"/>
      <c r="K252" s="32"/>
      <c r="L252" s="32"/>
      <c r="M252" s="34"/>
      <c r="N252" s="34"/>
      <c r="O252" s="34"/>
    </row>
    <row r="253">
      <c r="A253" s="45"/>
      <c r="B253" s="45"/>
      <c r="C253" s="45"/>
      <c r="D253" s="45"/>
      <c r="E253" s="45"/>
      <c r="F253" s="30"/>
      <c r="G253" s="30"/>
      <c r="H253" s="32"/>
      <c r="I253" s="32"/>
      <c r="J253" s="32"/>
      <c r="K253" s="32"/>
      <c r="L253" s="32"/>
      <c r="M253" s="34"/>
      <c r="N253" s="34"/>
      <c r="O253" s="34"/>
    </row>
    <row r="254">
      <c r="A254" s="45"/>
      <c r="B254" s="45"/>
      <c r="C254" s="45"/>
      <c r="D254" s="45"/>
      <c r="E254" s="45"/>
      <c r="F254" s="30"/>
      <c r="G254" s="30"/>
      <c r="H254" s="32"/>
      <c r="I254" s="32"/>
      <c r="J254" s="32"/>
      <c r="K254" s="32"/>
      <c r="L254" s="32"/>
      <c r="M254" s="34"/>
      <c r="N254" s="34"/>
      <c r="O254" s="34"/>
    </row>
    <row r="255">
      <c r="A255" s="45"/>
      <c r="B255" s="45"/>
      <c r="C255" s="45"/>
      <c r="D255" s="45"/>
      <c r="E255" s="45"/>
      <c r="F255" s="30"/>
      <c r="G255" s="30"/>
      <c r="H255" s="32"/>
      <c r="I255" s="32"/>
      <c r="J255" s="32"/>
      <c r="K255" s="32"/>
      <c r="L255" s="32"/>
      <c r="M255" s="34"/>
      <c r="N255" s="34"/>
      <c r="O255" s="34"/>
    </row>
    <row r="256">
      <c r="A256" s="45"/>
      <c r="B256" s="45"/>
      <c r="C256" s="45"/>
      <c r="D256" s="45"/>
      <c r="E256" s="45"/>
      <c r="F256" s="30"/>
      <c r="G256" s="30"/>
      <c r="H256" s="32"/>
      <c r="I256" s="32"/>
      <c r="J256" s="32"/>
      <c r="K256" s="32"/>
      <c r="L256" s="32"/>
      <c r="M256" s="34"/>
      <c r="N256" s="34"/>
      <c r="O256" s="34"/>
    </row>
    <row r="257">
      <c r="A257" s="45"/>
      <c r="B257" s="45"/>
      <c r="C257" s="45"/>
      <c r="D257" s="45"/>
      <c r="E257" s="45"/>
      <c r="F257" s="30"/>
      <c r="G257" s="30"/>
      <c r="H257" s="32"/>
      <c r="I257" s="32"/>
      <c r="J257" s="32"/>
      <c r="K257" s="32"/>
      <c r="L257" s="32"/>
      <c r="M257" s="34"/>
      <c r="N257" s="34"/>
      <c r="O257" s="34"/>
    </row>
    <row r="258">
      <c r="A258" s="45"/>
      <c r="B258" s="45"/>
      <c r="C258" s="45"/>
      <c r="D258" s="45"/>
      <c r="E258" s="45"/>
      <c r="F258" s="30"/>
      <c r="G258" s="30"/>
      <c r="H258" s="32"/>
      <c r="I258" s="32"/>
      <c r="J258" s="32"/>
      <c r="K258" s="32"/>
      <c r="L258" s="32"/>
      <c r="M258" s="34"/>
      <c r="N258" s="34"/>
      <c r="O258" s="34"/>
    </row>
    <row r="259">
      <c r="A259" s="45"/>
      <c r="B259" s="45"/>
      <c r="C259" s="45"/>
      <c r="D259" s="45"/>
      <c r="E259" s="45"/>
      <c r="F259" s="30"/>
      <c r="G259" s="30"/>
      <c r="H259" s="32"/>
      <c r="I259" s="32"/>
      <c r="J259" s="32"/>
      <c r="K259" s="32"/>
      <c r="L259" s="32"/>
      <c r="M259" s="34"/>
      <c r="N259" s="34"/>
      <c r="O259" s="34"/>
    </row>
    <row r="260">
      <c r="A260" s="45"/>
      <c r="B260" s="45"/>
      <c r="C260" s="45"/>
      <c r="D260" s="45"/>
      <c r="E260" s="45"/>
      <c r="F260" s="30"/>
      <c r="G260" s="30"/>
      <c r="H260" s="32"/>
      <c r="I260" s="32"/>
      <c r="J260" s="32"/>
      <c r="K260" s="32"/>
      <c r="L260" s="32"/>
      <c r="M260" s="34"/>
      <c r="N260" s="34"/>
      <c r="O260" s="34"/>
    </row>
    <row r="261">
      <c r="A261" s="45"/>
      <c r="B261" s="45"/>
      <c r="C261" s="45"/>
      <c r="D261" s="45"/>
      <c r="E261" s="45"/>
      <c r="F261" s="30"/>
      <c r="G261" s="30"/>
      <c r="H261" s="32"/>
      <c r="I261" s="32"/>
      <c r="J261" s="32"/>
      <c r="K261" s="32"/>
      <c r="L261" s="32"/>
      <c r="M261" s="34"/>
      <c r="N261" s="34"/>
      <c r="O261" s="34"/>
    </row>
    <row r="262">
      <c r="A262" s="45"/>
      <c r="B262" s="45"/>
      <c r="C262" s="45"/>
      <c r="D262" s="45"/>
      <c r="E262" s="45"/>
      <c r="F262" s="30"/>
      <c r="G262" s="30"/>
      <c r="H262" s="32"/>
      <c r="I262" s="32"/>
      <c r="J262" s="32"/>
      <c r="K262" s="32"/>
      <c r="L262" s="32"/>
      <c r="M262" s="34"/>
      <c r="N262" s="34"/>
      <c r="O262" s="34"/>
    </row>
    <row r="263">
      <c r="A263" s="45"/>
      <c r="B263" s="45"/>
      <c r="C263" s="45"/>
      <c r="D263" s="45"/>
      <c r="E263" s="45"/>
      <c r="F263" s="30"/>
      <c r="G263" s="30"/>
      <c r="H263" s="32"/>
      <c r="I263" s="32"/>
      <c r="J263" s="32"/>
      <c r="K263" s="32"/>
      <c r="L263" s="32"/>
      <c r="M263" s="34"/>
      <c r="N263" s="34"/>
      <c r="O263" s="34"/>
    </row>
    <row r="264">
      <c r="A264" s="45"/>
      <c r="B264" s="45"/>
      <c r="C264" s="45"/>
      <c r="D264" s="45"/>
      <c r="E264" s="45"/>
      <c r="F264" s="30"/>
      <c r="G264" s="30"/>
      <c r="H264" s="32"/>
      <c r="I264" s="32"/>
      <c r="J264" s="32"/>
      <c r="K264" s="32"/>
      <c r="L264" s="32"/>
      <c r="M264" s="34"/>
      <c r="N264" s="34"/>
      <c r="O264" s="34"/>
    </row>
    <row r="265">
      <c r="A265" s="45"/>
      <c r="B265" s="45"/>
      <c r="C265" s="45"/>
      <c r="D265" s="45"/>
      <c r="E265" s="45"/>
      <c r="F265" s="30"/>
      <c r="G265" s="30"/>
      <c r="H265" s="32"/>
      <c r="I265" s="32"/>
      <c r="J265" s="32"/>
      <c r="K265" s="32"/>
      <c r="L265" s="32"/>
      <c r="M265" s="34"/>
      <c r="N265" s="34"/>
      <c r="O265" s="34"/>
    </row>
    <row r="266">
      <c r="A266" s="45"/>
      <c r="B266" s="45"/>
      <c r="C266" s="45"/>
      <c r="D266" s="45"/>
      <c r="E266" s="45"/>
      <c r="F266" s="30"/>
      <c r="G266" s="30"/>
      <c r="H266" s="32"/>
      <c r="I266" s="32"/>
      <c r="J266" s="32"/>
      <c r="K266" s="32"/>
      <c r="L266" s="32"/>
      <c r="M266" s="34"/>
      <c r="N266" s="34"/>
      <c r="O266" s="34"/>
    </row>
    <row r="267">
      <c r="A267" s="45"/>
      <c r="B267" s="45"/>
      <c r="C267" s="45"/>
      <c r="D267" s="45"/>
      <c r="E267" s="45"/>
      <c r="F267" s="30"/>
      <c r="G267" s="30"/>
      <c r="H267" s="32"/>
      <c r="I267" s="32"/>
      <c r="J267" s="32"/>
      <c r="K267" s="32"/>
      <c r="L267" s="32"/>
      <c r="M267" s="34"/>
      <c r="N267" s="34"/>
      <c r="O267" s="34"/>
    </row>
    <row r="268">
      <c r="A268" s="45"/>
      <c r="B268" s="45"/>
      <c r="C268" s="45"/>
      <c r="D268" s="45"/>
      <c r="E268" s="45"/>
      <c r="F268" s="30"/>
      <c r="G268" s="30"/>
      <c r="H268" s="32"/>
      <c r="I268" s="32"/>
      <c r="J268" s="32"/>
      <c r="K268" s="32"/>
      <c r="L268" s="32"/>
      <c r="M268" s="34"/>
      <c r="N268" s="34"/>
      <c r="O268" s="34"/>
    </row>
    <row r="269">
      <c r="A269" s="45"/>
      <c r="B269" s="45"/>
      <c r="C269" s="45"/>
      <c r="D269" s="45"/>
      <c r="E269" s="45"/>
      <c r="F269" s="30"/>
      <c r="G269" s="30"/>
      <c r="H269" s="32"/>
      <c r="I269" s="32"/>
      <c r="J269" s="32"/>
      <c r="K269" s="32"/>
      <c r="L269" s="32"/>
      <c r="M269" s="34"/>
      <c r="N269" s="34"/>
      <c r="O269" s="34"/>
    </row>
    <row r="270">
      <c r="A270" s="45"/>
      <c r="B270" s="45"/>
      <c r="C270" s="45"/>
      <c r="D270" s="45"/>
      <c r="E270" s="45"/>
      <c r="F270" s="30"/>
      <c r="G270" s="30"/>
      <c r="H270" s="32"/>
      <c r="I270" s="32"/>
      <c r="J270" s="32"/>
      <c r="K270" s="32"/>
      <c r="L270" s="32"/>
      <c r="M270" s="34"/>
      <c r="N270" s="34"/>
      <c r="O270" s="34"/>
    </row>
    <row r="271">
      <c r="A271" s="45"/>
      <c r="B271" s="45"/>
      <c r="C271" s="45"/>
      <c r="D271" s="45"/>
      <c r="E271" s="45"/>
      <c r="F271" s="30"/>
      <c r="G271" s="30"/>
      <c r="H271" s="32"/>
      <c r="I271" s="32"/>
      <c r="J271" s="32"/>
      <c r="K271" s="32"/>
      <c r="L271" s="32"/>
      <c r="M271" s="34"/>
      <c r="N271" s="34"/>
      <c r="O271" s="34"/>
    </row>
    <row r="272">
      <c r="A272" s="45"/>
      <c r="B272" s="45"/>
      <c r="C272" s="45"/>
      <c r="D272" s="45"/>
      <c r="E272" s="45"/>
      <c r="F272" s="30"/>
      <c r="G272" s="30"/>
      <c r="H272" s="32"/>
      <c r="I272" s="32"/>
      <c r="J272" s="32"/>
      <c r="K272" s="32"/>
      <c r="L272" s="32"/>
      <c r="M272" s="34"/>
      <c r="N272" s="34"/>
      <c r="O272" s="34"/>
    </row>
    <row r="273">
      <c r="A273" s="45"/>
      <c r="B273" s="45"/>
      <c r="C273" s="45"/>
      <c r="D273" s="45"/>
      <c r="E273" s="45"/>
      <c r="F273" s="30"/>
      <c r="G273" s="30"/>
      <c r="H273" s="32"/>
      <c r="I273" s="32"/>
      <c r="J273" s="32"/>
      <c r="K273" s="32"/>
      <c r="L273" s="32"/>
      <c r="M273" s="34"/>
      <c r="N273" s="34"/>
      <c r="O273" s="34"/>
    </row>
    <row r="274">
      <c r="A274" s="45"/>
      <c r="B274" s="45"/>
      <c r="C274" s="45"/>
      <c r="D274" s="45"/>
      <c r="E274" s="45"/>
      <c r="F274" s="30"/>
      <c r="G274" s="30"/>
      <c r="H274" s="32"/>
      <c r="I274" s="32"/>
      <c r="J274" s="32"/>
      <c r="K274" s="32"/>
      <c r="L274" s="32"/>
      <c r="M274" s="34"/>
      <c r="N274" s="34"/>
      <c r="O274" s="34"/>
    </row>
    <row r="275">
      <c r="A275" s="45"/>
      <c r="B275" s="45"/>
      <c r="C275" s="45"/>
      <c r="D275" s="45"/>
      <c r="E275" s="45"/>
      <c r="F275" s="30"/>
      <c r="G275" s="30"/>
      <c r="H275" s="32"/>
      <c r="I275" s="32"/>
      <c r="J275" s="32"/>
      <c r="K275" s="32"/>
      <c r="L275" s="32"/>
      <c r="M275" s="34"/>
      <c r="N275" s="34"/>
      <c r="O275" s="34"/>
    </row>
    <row r="276">
      <c r="A276" s="45"/>
      <c r="B276" s="45"/>
      <c r="C276" s="45"/>
      <c r="D276" s="45"/>
      <c r="E276" s="45"/>
      <c r="F276" s="30"/>
      <c r="G276" s="30"/>
      <c r="H276" s="32"/>
      <c r="I276" s="32"/>
      <c r="J276" s="32"/>
      <c r="K276" s="32"/>
      <c r="L276" s="32"/>
      <c r="M276" s="34"/>
      <c r="N276" s="34"/>
      <c r="O276" s="34"/>
    </row>
    <row r="277">
      <c r="A277" s="45"/>
      <c r="B277" s="45"/>
      <c r="C277" s="45"/>
      <c r="D277" s="45"/>
      <c r="E277" s="45"/>
      <c r="F277" s="30"/>
      <c r="G277" s="30"/>
      <c r="H277" s="32"/>
      <c r="I277" s="32"/>
      <c r="J277" s="32"/>
      <c r="K277" s="32"/>
      <c r="L277" s="32"/>
      <c r="M277" s="34"/>
      <c r="N277" s="34"/>
      <c r="O277" s="34"/>
    </row>
    <row r="278">
      <c r="A278" s="45"/>
      <c r="B278" s="45"/>
      <c r="C278" s="45"/>
      <c r="D278" s="45"/>
      <c r="E278" s="45"/>
      <c r="F278" s="30"/>
      <c r="G278" s="30"/>
      <c r="H278" s="32"/>
      <c r="I278" s="32"/>
      <c r="J278" s="32"/>
      <c r="K278" s="32"/>
      <c r="L278" s="32"/>
      <c r="M278" s="34"/>
      <c r="N278" s="34"/>
      <c r="O278" s="34"/>
    </row>
    <row r="279">
      <c r="A279" s="45"/>
      <c r="B279" s="45"/>
      <c r="C279" s="45"/>
      <c r="D279" s="45"/>
      <c r="E279" s="45"/>
      <c r="F279" s="30"/>
      <c r="G279" s="30"/>
      <c r="H279" s="32"/>
      <c r="I279" s="32"/>
      <c r="J279" s="32"/>
      <c r="K279" s="32"/>
      <c r="L279" s="32"/>
      <c r="M279" s="34"/>
      <c r="N279" s="34"/>
      <c r="O279" s="34"/>
    </row>
    <row r="280">
      <c r="A280" s="45"/>
      <c r="B280" s="45"/>
      <c r="C280" s="45"/>
      <c r="D280" s="45"/>
      <c r="E280" s="45"/>
      <c r="F280" s="30"/>
      <c r="G280" s="30"/>
      <c r="H280" s="32"/>
      <c r="I280" s="32"/>
      <c r="J280" s="32"/>
      <c r="K280" s="32"/>
      <c r="L280" s="32"/>
      <c r="M280" s="34"/>
      <c r="N280" s="34"/>
      <c r="O280" s="34"/>
    </row>
    <row r="281">
      <c r="A281" s="45"/>
      <c r="B281" s="45"/>
      <c r="C281" s="45"/>
      <c r="D281" s="45"/>
      <c r="E281" s="45"/>
      <c r="F281" s="30"/>
      <c r="G281" s="30"/>
      <c r="H281" s="32"/>
      <c r="I281" s="32"/>
      <c r="J281" s="32"/>
      <c r="K281" s="32"/>
      <c r="L281" s="32"/>
      <c r="M281" s="34"/>
      <c r="N281" s="34"/>
      <c r="O281" s="34"/>
    </row>
    <row r="282">
      <c r="A282" s="45"/>
      <c r="B282" s="45"/>
      <c r="C282" s="45"/>
      <c r="D282" s="45"/>
      <c r="E282" s="45"/>
      <c r="F282" s="30"/>
      <c r="G282" s="30"/>
      <c r="H282" s="32"/>
      <c r="I282" s="32"/>
      <c r="J282" s="32"/>
      <c r="K282" s="32"/>
      <c r="L282" s="32"/>
      <c r="M282" s="34"/>
      <c r="N282" s="34"/>
      <c r="O282" s="34"/>
    </row>
    <row r="283">
      <c r="A283" s="45"/>
      <c r="B283" s="45"/>
      <c r="C283" s="45"/>
      <c r="D283" s="45"/>
      <c r="E283" s="45"/>
      <c r="F283" s="30"/>
      <c r="G283" s="30"/>
      <c r="H283" s="32"/>
      <c r="I283" s="32"/>
      <c r="J283" s="32"/>
      <c r="K283" s="32"/>
      <c r="L283" s="32"/>
      <c r="M283" s="34"/>
      <c r="N283" s="34"/>
      <c r="O283" s="34"/>
    </row>
    <row r="284">
      <c r="A284" s="45"/>
      <c r="B284" s="45"/>
      <c r="C284" s="45"/>
      <c r="D284" s="45"/>
      <c r="E284" s="45"/>
      <c r="F284" s="30"/>
      <c r="G284" s="30"/>
      <c r="H284" s="32"/>
      <c r="I284" s="32"/>
      <c r="J284" s="32"/>
      <c r="K284" s="32"/>
      <c r="L284" s="32"/>
      <c r="M284" s="34"/>
      <c r="N284" s="34"/>
      <c r="O284" s="34"/>
    </row>
    <row r="285">
      <c r="A285" s="45"/>
      <c r="B285" s="45"/>
      <c r="C285" s="45"/>
      <c r="D285" s="45"/>
      <c r="E285" s="45"/>
      <c r="F285" s="30"/>
      <c r="G285" s="30"/>
      <c r="H285" s="32"/>
      <c r="I285" s="32"/>
      <c r="J285" s="32"/>
      <c r="K285" s="32"/>
      <c r="L285" s="32"/>
      <c r="M285" s="34"/>
      <c r="N285" s="34"/>
      <c r="O285" s="34"/>
    </row>
    <row r="286">
      <c r="A286" s="45"/>
      <c r="B286" s="45"/>
      <c r="C286" s="45"/>
      <c r="D286" s="45"/>
      <c r="E286" s="45"/>
      <c r="F286" s="30"/>
      <c r="G286" s="30"/>
      <c r="H286" s="32"/>
      <c r="I286" s="32"/>
      <c r="J286" s="32"/>
      <c r="K286" s="32"/>
      <c r="L286" s="32"/>
      <c r="M286" s="34"/>
      <c r="N286" s="34"/>
      <c r="O286" s="34"/>
    </row>
    <row r="287">
      <c r="A287" s="45"/>
      <c r="B287" s="45"/>
      <c r="C287" s="45"/>
      <c r="D287" s="45"/>
      <c r="E287" s="45"/>
      <c r="F287" s="30"/>
      <c r="G287" s="30"/>
      <c r="H287" s="32"/>
      <c r="I287" s="32"/>
      <c r="J287" s="32"/>
      <c r="K287" s="32"/>
      <c r="L287" s="32"/>
      <c r="M287" s="34"/>
      <c r="N287" s="34"/>
      <c r="O287" s="34"/>
    </row>
    <row r="288">
      <c r="A288" s="45"/>
      <c r="B288" s="45"/>
      <c r="C288" s="45"/>
      <c r="D288" s="45"/>
      <c r="E288" s="45"/>
      <c r="F288" s="30"/>
      <c r="G288" s="30"/>
      <c r="H288" s="32"/>
      <c r="I288" s="32"/>
      <c r="J288" s="32"/>
      <c r="K288" s="32"/>
      <c r="L288" s="32"/>
      <c r="M288" s="34"/>
      <c r="N288" s="34"/>
      <c r="O288" s="34"/>
    </row>
    <row r="289">
      <c r="A289" s="45"/>
      <c r="B289" s="45"/>
      <c r="C289" s="45"/>
      <c r="D289" s="45"/>
      <c r="E289" s="45"/>
      <c r="F289" s="30"/>
      <c r="G289" s="30"/>
      <c r="H289" s="32"/>
      <c r="I289" s="32"/>
      <c r="J289" s="32"/>
      <c r="K289" s="32"/>
      <c r="L289" s="32"/>
      <c r="M289" s="34"/>
      <c r="N289" s="34"/>
      <c r="O289" s="34"/>
    </row>
    <row r="290">
      <c r="A290" s="45"/>
      <c r="B290" s="45"/>
      <c r="C290" s="45"/>
      <c r="D290" s="45"/>
      <c r="E290" s="45"/>
      <c r="F290" s="30"/>
      <c r="G290" s="30"/>
      <c r="H290" s="32"/>
      <c r="I290" s="32"/>
      <c r="J290" s="32"/>
      <c r="K290" s="32"/>
      <c r="L290" s="32"/>
      <c r="M290" s="34"/>
      <c r="N290" s="34"/>
      <c r="O290" s="34"/>
    </row>
    <row r="291">
      <c r="A291" s="45"/>
      <c r="B291" s="45"/>
      <c r="C291" s="45"/>
      <c r="D291" s="45"/>
      <c r="E291" s="45"/>
      <c r="F291" s="30"/>
      <c r="G291" s="30"/>
      <c r="H291" s="32"/>
      <c r="I291" s="32"/>
      <c r="J291" s="32"/>
      <c r="K291" s="32"/>
      <c r="L291" s="32"/>
      <c r="M291" s="34"/>
      <c r="N291" s="34"/>
      <c r="O291" s="34"/>
    </row>
    <row r="292">
      <c r="A292" s="45"/>
      <c r="B292" s="45"/>
      <c r="C292" s="45"/>
      <c r="D292" s="45"/>
      <c r="E292" s="45"/>
      <c r="F292" s="30"/>
      <c r="G292" s="30"/>
      <c r="H292" s="32"/>
      <c r="I292" s="32"/>
      <c r="J292" s="32"/>
      <c r="K292" s="32"/>
      <c r="L292" s="32"/>
      <c r="M292" s="34"/>
      <c r="N292" s="34"/>
      <c r="O292" s="34"/>
    </row>
    <row r="293">
      <c r="A293" s="45"/>
      <c r="B293" s="45"/>
      <c r="C293" s="45"/>
      <c r="D293" s="45"/>
      <c r="E293" s="45"/>
      <c r="F293" s="30"/>
      <c r="G293" s="30"/>
      <c r="H293" s="32"/>
      <c r="I293" s="32"/>
      <c r="J293" s="32"/>
      <c r="K293" s="32"/>
      <c r="L293" s="32"/>
      <c r="M293" s="34"/>
      <c r="N293" s="34"/>
      <c r="O293" s="34"/>
    </row>
    <row r="294">
      <c r="A294" s="45"/>
      <c r="B294" s="45"/>
      <c r="C294" s="45"/>
      <c r="D294" s="45"/>
      <c r="E294" s="45"/>
      <c r="F294" s="30"/>
      <c r="G294" s="30"/>
      <c r="H294" s="32"/>
      <c r="I294" s="32"/>
      <c r="J294" s="32"/>
      <c r="K294" s="32"/>
      <c r="L294" s="32"/>
      <c r="M294" s="34"/>
      <c r="N294" s="34"/>
      <c r="O294" s="34"/>
    </row>
    <row r="295">
      <c r="A295" s="45"/>
      <c r="B295" s="45"/>
      <c r="C295" s="45"/>
      <c r="D295" s="45"/>
      <c r="E295" s="45"/>
      <c r="F295" s="30"/>
      <c r="G295" s="30"/>
      <c r="H295" s="32"/>
      <c r="I295" s="32"/>
      <c r="J295" s="32"/>
      <c r="K295" s="32"/>
      <c r="L295" s="32"/>
      <c r="M295" s="34"/>
      <c r="N295" s="34"/>
      <c r="O295" s="34"/>
    </row>
    <row r="296">
      <c r="A296" s="45"/>
      <c r="B296" s="45"/>
      <c r="C296" s="45"/>
      <c r="D296" s="45"/>
      <c r="E296" s="45"/>
      <c r="F296" s="30"/>
      <c r="G296" s="30"/>
      <c r="H296" s="32"/>
      <c r="I296" s="32"/>
      <c r="J296" s="32"/>
      <c r="K296" s="32"/>
      <c r="L296" s="32"/>
      <c r="M296" s="34"/>
      <c r="N296" s="34"/>
      <c r="O296" s="34"/>
    </row>
    <row r="297">
      <c r="A297" s="45"/>
      <c r="B297" s="45"/>
      <c r="C297" s="45"/>
      <c r="D297" s="45"/>
      <c r="E297" s="45"/>
      <c r="F297" s="30"/>
      <c r="G297" s="30"/>
      <c r="H297" s="32"/>
      <c r="I297" s="32"/>
      <c r="J297" s="32"/>
      <c r="K297" s="32"/>
      <c r="L297" s="32"/>
      <c r="M297" s="34"/>
      <c r="N297" s="34"/>
      <c r="O297" s="34"/>
    </row>
    <row r="298">
      <c r="A298" s="45"/>
      <c r="B298" s="45"/>
      <c r="C298" s="45"/>
      <c r="D298" s="45"/>
      <c r="E298" s="45"/>
      <c r="F298" s="30"/>
      <c r="G298" s="30"/>
      <c r="H298" s="32"/>
      <c r="I298" s="32"/>
      <c r="J298" s="32"/>
      <c r="K298" s="32"/>
      <c r="L298" s="32"/>
      <c r="M298" s="34"/>
      <c r="N298" s="34"/>
      <c r="O298" s="34"/>
    </row>
    <row r="299">
      <c r="A299" s="45"/>
      <c r="B299" s="45"/>
      <c r="C299" s="45"/>
      <c r="D299" s="45"/>
      <c r="E299" s="45"/>
      <c r="F299" s="30"/>
      <c r="G299" s="30"/>
      <c r="H299" s="32"/>
      <c r="I299" s="32"/>
      <c r="J299" s="32"/>
      <c r="K299" s="32"/>
      <c r="L299" s="32"/>
      <c r="M299" s="34"/>
      <c r="N299" s="34"/>
      <c r="O299" s="34"/>
    </row>
    <row r="300">
      <c r="A300" s="45"/>
      <c r="B300" s="45"/>
      <c r="C300" s="45"/>
      <c r="D300" s="45"/>
      <c r="E300" s="45"/>
      <c r="F300" s="30"/>
      <c r="G300" s="30"/>
      <c r="H300" s="32"/>
      <c r="I300" s="32"/>
      <c r="J300" s="32"/>
      <c r="K300" s="32"/>
      <c r="L300" s="32"/>
      <c r="M300" s="34"/>
      <c r="N300" s="34"/>
      <c r="O300" s="34"/>
    </row>
    <row r="301">
      <c r="A301" s="45"/>
      <c r="B301" s="45"/>
      <c r="C301" s="45"/>
      <c r="D301" s="45"/>
      <c r="E301" s="45"/>
      <c r="F301" s="30"/>
      <c r="G301" s="30"/>
      <c r="H301" s="32"/>
      <c r="I301" s="32"/>
      <c r="J301" s="32"/>
      <c r="K301" s="32"/>
      <c r="L301" s="32"/>
      <c r="M301" s="34"/>
      <c r="N301" s="34"/>
      <c r="O301" s="34"/>
    </row>
    <row r="302">
      <c r="A302" s="45"/>
      <c r="B302" s="45"/>
      <c r="C302" s="45"/>
      <c r="D302" s="45"/>
      <c r="E302" s="45"/>
      <c r="F302" s="30"/>
      <c r="G302" s="30"/>
      <c r="H302" s="32"/>
      <c r="I302" s="32"/>
      <c r="J302" s="32"/>
      <c r="K302" s="32"/>
      <c r="L302" s="32"/>
      <c r="M302" s="34"/>
      <c r="N302" s="34"/>
      <c r="O302" s="34"/>
    </row>
    <row r="303">
      <c r="A303" s="45"/>
      <c r="B303" s="45"/>
      <c r="C303" s="45"/>
      <c r="D303" s="45"/>
      <c r="E303" s="45"/>
      <c r="F303" s="30"/>
      <c r="G303" s="30"/>
      <c r="H303" s="32"/>
      <c r="I303" s="32"/>
      <c r="J303" s="32"/>
      <c r="K303" s="32"/>
      <c r="L303" s="32"/>
      <c r="M303" s="34"/>
      <c r="N303" s="34"/>
      <c r="O303" s="34"/>
    </row>
    <row r="304">
      <c r="A304" s="45"/>
      <c r="B304" s="45"/>
      <c r="C304" s="45"/>
      <c r="D304" s="45"/>
      <c r="E304" s="45"/>
      <c r="F304" s="30"/>
      <c r="G304" s="30"/>
      <c r="H304" s="32"/>
      <c r="I304" s="32"/>
      <c r="J304" s="32"/>
      <c r="K304" s="32"/>
      <c r="L304" s="32"/>
      <c r="M304" s="34"/>
      <c r="N304" s="34"/>
      <c r="O304" s="34"/>
    </row>
    <row r="305">
      <c r="A305" s="45"/>
      <c r="B305" s="45"/>
      <c r="C305" s="45"/>
      <c r="D305" s="45"/>
      <c r="E305" s="45"/>
      <c r="F305" s="30"/>
      <c r="G305" s="30"/>
      <c r="H305" s="32"/>
      <c r="I305" s="32"/>
      <c r="J305" s="32"/>
      <c r="K305" s="32"/>
      <c r="L305" s="32"/>
      <c r="M305" s="34"/>
      <c r="N305" s="34"/>
      <c r="O305" s="34"/>
    </row>
    <row r="306">
      <c r="A306" s="45"/>
      <c r="B306" s="45"/>
      <c r="C306" s="45"/>
      <c r="D306" s="45"/>
      <c r="E306" s="45"/>
      <c r="F306" s="30"/>
      <c r="G306" s="30"/>
      <c r="H306" s="32"/>
      <c r="I306" s="32"/>
      <c r="J306" s="32"/>
      <c r="K306" s="32"/>
      <c r="L306" s="32"/>
      <c r="M306" s="34"/>
      <c r="N306" s="34"/>
      <c r="O306" s="34"/>
    </row>
    <row r="307">
      <c r="A307" s="45"/>
      <c r="B307" s="45"/>
      <c r="C307" s="45"/>
      <c r="D307" s="45"/>
      <c r="E307" s="45"/>
      <c r="F307" s="30"/>
      <c r="G307" s="30"/>
      <c r="H307" s="32"/>
      <c r="I307" s="32"/>
      <c r="J307" s="32"/>
      <c r="K307" s="32"/>
      <c r="L307" s="32"/>
      <c r="M307" s="34"/>
      <c r="N307" s="34"/>
      <c r="O307" s="34"/>
    </row>
    <row r="308">
      <c r="A308" s="45"/>
      <c r="B308" s="45"/>
      <c r="C308" s="45"/>
      <c r="D308" s="45"/>
      <c r="E308" s="45"/>
      <c r="F308" s="30"/>
      <c r="G308" s="30"/>
      <c r="H308" s="32"/>
      <c r="I308" s="32"/>
      <c r="J308" s="32"/>
      <c r="K308" s="32"/>
      <c r="L308" s="32"/>
      <c r="M308" s="34"/>
      <c r="N308" s="34"/>
      <c r="O308" s="34"/>
    </row>
    <row r="309">
      <c r="A309" s="45"/>
      <c r="B309" s="45"/>
      <c r="C309" s="45"/>
      <c r="D309" s="45"/>
      <c r="E309" s="45"/>
      <c r="F309" s="30"/>
      <c r="G309" s="30"/>
      <c r="H309" s="32"/>
      <c r="I309" s="32"/>
      <c r="J309" s="32"/>
      <c r="K309" s="32"/>
      <c r="L309" s="32"/>
      <c r="M309" s="34"/>
      <c r="N309" s="34"/>
      <c r="O309" s="34"/>
    </row>
    <row r="310">
      <c r="A310" s="45"/>
      <c r="B310" s="45"/>
      <c r="C310" s="45"/>
      <c r="D310" s="45"/>
      <c r="E310" s="45"/>
      <c r="F310" s="30"/>
      <c r="G310" s="30"/>
      <c r="H310" s="32"/>
      <c r="I310" s="32"/>
      <c r="J310" s="32"/>
      <c r="K310" s="32"/>
      <c r="L310" s="32"/>
      <c r="M310" s="34"/>
      <c r="N310" s="34"/>
      <c r="O310" s="34"/>
    </row>
    <row r="311">
      <c r="A311" s="45"/>
      <c r="B311" s="45"/>
      <c r="C311" s="45"/>
      <c r="D311" s="45"/>
      <c r="E311" s="45"/>
      <c r="F311" s="30"/>
      <c r="G311" s="30"/>
      <c r="H311" s="32"/>
      <c r="I311" s="32"/>
      <c r="J311" s="32"/>
      <c r="K311" s="32"/>
      <c r="L311" s="32"/>
      <c r="M311" s="34"/>
      <c r="N311" s="34"/>
      <c r="O311" s="34"/>
    </row>
    <row r="312">
      <c r="A312" s="45"/>
      <c r="B312" s="45"/>
      <c r="C312" s="45"/>
      <c r="D312" s="45"/>
      <c r="E312" s="45"/>
      <c r="F312" s="30"/>
      <c r="G312" s="30"/>
      <c r="H312" s="32"/>
      <c r="I312" s="32"/>
      <c r="J312" s="32"/>
      <c r="K312" s="32"/>
      <c r="L312" s="32"/>
      <c r="M312" s="34"/>
      <c r="N312" s="34"/>
      <c r="O312" s="34"/>
    </row>
    <row r="313">
      <c r="A313" s="45"/>
      <c r="B313" s="45"/>
      <c r="C313" s="45"/>
      <c r="D313" s="45"/>
      <c r="E313" s="45"/>
      <c r="F313" s="30"/>
      <c r="G313" s="30"/>
      <c r="H313" s="32"/>
      <c r="I313" s="32"/>
      <c r="J313" s="32"/>
      <c r="K313" s="32"/>
      <c r="L313" s="32"/>
      <c r="M313" s="34"/>
      <c r="N313" s="34"/>
      <c r="O313" s="34"/>
    </row>
    <row r="314">
      <c r="A314" s="45"/>
      <c r="B314" s="45"/>
      <c r="C314" s="45"/>
      <c r="D314" s="45"/>
      <c r="E314" s="45"/>
      <c r="F314" s="30"/>
      <c r="G314" s="30"/>
      <c r="H314" s="32"/>
      <c r="I314" s="32"/>
      <c r="J314" s="32"/>
      <c r="K314" s="32"/>
      <c r="L314" s="32"/>
      <c r="M314" s="34"/>
      <c r="N314" s="34"/>
      <c r="O314" s="34"/>
    </row>
    <row r="315">
      <c r="A315" s="45"/>
      <c r="B315" s="45"/>
      <c r="C315" s="45"/>
      <c r="D315" s="45"/>
      <c r="E315" s="45"/>
      <c r="F315" s="30"/>
      <c r="G315" s="30"/>
      <c r="H315" s="32"/>
      <c r="I315" s="32"/>
      <c r="J315" s="32"/>
      <c r="K315" s="32"/>
      <c r="L315" s="32"/>
      <c r="M315" s="34"/>
      <c r="N315" s="34"/>
      <c r="O315" s="34"/>
    </row>
    <row r="316">
      <c r="A316" s="45"/>
      <c r="B316" s="45"/>
      <c r="C316" s="45"/>
      <c r="D316" s="45"/>
      <c r="E316" s="45"/>
      <c r="F316" s="30"/>
      <c r="G316" s="30"/>
      <c r="H316" s="32"/>
      <c r="I316" s="32"/>
      <c r="J316" s="32"/>
      <c r="K316" s="32"/>
      <c r="L316" s="32"/>
      <c r="M316" s="34"/>
      <c r="N316" s="34"/>
      <c r="O316" s="34"/>
    </row>
    <row r="317">
      <c r="A317" s="45"/>
      <c r="B317" s="45"/>
      <c r="C317" s="45"/>
      <c r="D317" s="45"/>
      <c r="E317" s="45"/>
      <c r="F317" s="30"/>
      <c r="G317" s="30"/>
      <c r="H317" s="32"/>
      <c r="I317" s="32"/>
      <c r="J317" s="32"/>
      <c r="K317" s="32"/>
      <c r="L317" s="32"/>
      <c r="M317" s="34"/>
      <c r="N317" s="34"/>
      <c r="O317" s="34"/>
    </row>
    <row r="318">
      <c r="A318" s="45"/>
      <c r="B318" s="45"/>
      <c r="C318" s="45"/>
      <c r="D318" s="45"/>
      <c r="E318" s="45"/>
      <c r="F318" s="30"/>
      <c r="G318" s="30"/>
      <c r="H318" s="32"/>
      <c r="I318" s="32"/>
      <c r="J318" s="32"/>
      <c r="K318" s="32"/>
      <c r="L318" s="32"/>
      <c r="M318" s="34"/>
      <c r="N318" s="34"/>
      <c r="O318" s="34"/>
    </row>
    <row r="319">
      <c r="A319" s="45"/>
      <c r="B319" s="45"/>
      <c r="C319" s="45"/>
      <c r="D319" s="45"/>
      <c r="E319" s="45"/>
      <c r="F319" s="30"/>
      <c r="G319" s="30"/>
      <c r="H319" s="32"/>
      <c r="I319" s="32"/>
      <c r="J319" s="32"/>
      <c r="K319" s="32"/>
      <c r="L319" s="32"/>
      <c r="M319" s="34"/>
      <c r="N319" s="34"/>
      <c r="O319" s="34"/>
    </row>
    <row r="320">
      <c r="A320" s="45"/>
      <c r="B320" s="45"/>
      <c r="C320" s="45"/>
      <c r="D320" s="45"/>
      <c r="E320" s="45"/>
      <c r="F320" s="30"/>
      <c r="G320" s="30"/>
      <c r="H320" s="32"/>
      <c r="I320" s="32"/>
      <c r="J320" s="32"/>
      <c r="K320" s="32"/>
      <c r="L320" s="32"/>
      <c r="M320" s="34"/>
      <c r="N320" s="34"/>
      <c r="O320" s="34"/>
    </row>
    <row r="321">
      <c r="A321" s="45"/>
      <c r="B321" s="45"/>
      <c r="C321" s="45"/>
      <c r="D321" s="45"/>
      <c r="E321" s="45"/>
      <c r="F321" s="30"/>
      <c r="G321" s="30"/>
      <c r="H321" s="32"/>
      <c r="I321" s="32"/>
      <c r="J321" s="32"/>
      <c r="K321" s="32"/>
      <c r="L321" s="32"/>
      <c r="M321" s="34"/>
      <c r="N321" s="34"/>
      <c r="O321" s="34"/>
    </row>
    <row r="322">
      <c r="A322" s="45"/>
      <c r="B322" s="45"/>
      <c r="C322" s="45"/>
      <c r="D322" s="45"/>
      <c r="E322" s="45"/>
      <c r="F322" s="30"/>
      <c r="G322" s="30"/>
      <c r="H322" s="32"/>
      <c r="I322" s="32"/>
      <c r="J322" s="32"/>
      <c r="K322" s="32"/>
      <c r="L322" s="32"/>
      <c r="M322" s="34"/>
      <c r="N322" s="34"/>
      <c r="O322" s="34"/>
    </row>
    <row r="323">
      <c r="A323" s="45"/>
      <c r="B323" s="45"/>
      <c r="C323" s="45"/>
      <c r="D323" s="45"/>
      <c r="E323" s="45"/>
      <c r="F323" s="30"/>
      <c r="G323" s="30"/>
      <c r="H323" s="32"/>
      <c r="I323" s="32"/>
      <c r="J323" s="32"/>
      <c r="K323" s="32"/>
      <c r="L323" s="32"/>
      <c r="M323" s="34"/>
      <c r="N323" s="34"/>
      <c r="O323" s="34"/>
    </row>
    <row r="324">
      <c r="A324" s="45"/>
      <c r="B324" s="45"/>
      <c r="C324" s="45"/>
      <c r="D324" s="45"/>
      <c r="E324" s="45"/>
      <c r="F324" s="30"/>
      <c r="G324" s="30"/>
      <c r="H324" s="32"/>
      <c r="I324" s="32"/>
      <c r="J324" s="32"/>
      <c r="K324" s="32"/>
      <c r="L324" s="32"/>
      <c r="M324" s="34"/>
      <c r="N324" s="34"/>
      <c r="O324" s="34"/>
    </row>
    <row r="325">
      <c r="A325" s="45"/>
      <c r="B325" s="45"/>
      <c r="C325" s="45"/>
      <c r="D325" s="45"/>
      <c r="E325" s="45"/>
      <c r="F325" s="30"/>
      <c r="G325" s="30"/>
      <c r="H325" s="32"/>
      <c r="I325" s="32"/>
      <c r="J325" s="32"/>
      <c r="K325" s="32"/>
      <c r="L325" s="32"/>
      <c r="M325" s="34"/>
      <c r="N325" s="34"/>
      <c r="O325" s="34"/>
    </row>
    <row r="326">
      <c r="A326" s="45"/>
      <c r="B326" s="45"/>
      <c r="C326" s="45"/>
      <c r="D326" s="45"/>
      <c r="E326" s="45"/>
      <c r="F326" s="30"/>
      <c r="G326" s="30"/>
      <c r="H326" s="32"/>
      <c r="I326" s="32"/>
      <c r="J326" s="32"/>
      <c r="K326" s="32"/>
      <c r="L326" s="32"/>
      <c r="M326" s="34"/>
      <c r="N326" s="34"/>
      <c r="O326" s="34"/>
    </row>
    <row r="327">
      <c r="A327" s="45"/>
      <c r="B327" s="45"/>
      <c r="C327" s="45"/>
      <c r="D327" s="45"/>
      <c r="E327" s="45"/>
      <c r="F327" s="30"/>
      <c r="G327" s="30"/>
      <c r="H327" s="32"/>
      <c r="I327" s="32"/>
      <c r="J327" s="32"/>
      <c r="K327" s="32"/>
      <c r="L327" s="32"/>
      <c r="M327" s="34"/>
      <c r="N327" s="34"/>
      <c r="O327" s="34"/>
    </row>
    <row r="328">
      <c r="A328" s="45"/>
      <c r="B328" s="45"/>
      <c r="C328" s="45"/>
      <c r="D328" s="45"/>
      <c r="E328" s="45"/>
      <c r="F328" s="30"/>
      <c r="G328" s="30"/>
      <c r="H328" s="32"/>
      <c r="I328" s="32"/>
      <c r="J328" s="32"/>
      <c r="K328" s="32"/>
      <c r="L328" s="32"/>
      <c r="M328" s="34"/>
      <c r="N328" s="34"/>
      <c r="O328" s="34"/>
    </row>
    <row r="329">
      <c r="A329" s="45"/>
      <c r="B329" s="45"/>
      <c r="C329" s="45"/>
      <c r="D329" s="45"/>
      <c r="E329" s="45"/>
      <c r="F329" s="30"/>
      <c r="G329" s="30"/>
      <c r="H329" s="32"/>
      <c r="I329" s="32"/>
      <c r="J329" s="32"/>
      <c r="K329" s="32"/>
      <c r="L329" s="32"/>
      <c r="M329" s="34"/>
      <c r="N329" s="34"/>
      <c r="O329" s="34"/>
    </row>
    <row r="330">
      <c r="A330" s="45"/>
      <c r="B330" s="45"/>
      <c r="C330" s="45"/>
      <c r="D330" s="45"/>
      <c r="E330" s="45"/>
      <c r="F330" s="30"/>
      <c r="G330" s="30"/>
      <c r="H330" s="32"/>
      <c r="I330" s="32"/>
      <c r="J330" s="32"/>
      <c r="K330" s="32"/>
      <c r="L330" s="32"/>
      <c r="M330" s="34"/>
      <c r="N330" s="34"/>
      <c r="O330" s="34"/>
    </row>
    <row r="331">
      <c r="A331" s="45"/>
      <c r="B331" s="45"/>
      <c r="C331" s="45"/>
      <c r="D331" s="45"/>
      <c r="E331" s="45"/>
      <c r="F331" s="30"/>
      <c r="G331" s="30"/>
      <c r="H331" s="32"/>
      <c r="I331" s="32"/>
      <c r="J331" s="32"/>
      <c r="K331" s="32"/>
      <c r="L331" s="32"/>
      <c r="M331" s="34"/>
      <c r="N331" s="34"/>
      <c r="O331" s="34"/>
    </row>
    <row r="332">
      <c r="A332" s="45"/>
      <c r="B332" s="45"/>
      <c r="C332" s="45"/>
      <c r="D332" s="45"/>
      <c r="E332" s="45"/>
      <c r="F332" s="30"/>
      <c r="G332" s="30"/>
      <c r="H332" s="32"/>
      <c r="I332" s="32"/>
      <c r="J332" s="32"/>
      <c r="K332" s="32"/>
      <c r="L332" s="32"/>
      <c r="M332" s="34"/>
      <c r="N332" s="34"/>
      <c r="O332" s="34"/>
    </row>
    <row r="333">
      <c r="A333" s="45"/>
      <c r="B333" s="45"/>
      <c r="C333" s="45"/>
      <c r="D333" s="45"/>
      <c r="E333" s="45"/>
      <c r="F333" s="30"/>
      <c r="G333" s="30"/>
      <c r="H333" s="32"/>
      <c r="I333" s="32"/>
      <c r="J333" s="32"/>
      <c r="K333" s="32"/>
      <c r="L333" s="32"/>
      <c r="M333" s="34"/>
      <c r="N333" s="34"/>
      <c r="O333" s="34"/>
    </row>
    <row r="334">
      <c r="A334" s="45"/>
      <c r="B334" s="45"/>
      <c r="C334" s="45"/>
      <c r="D334" s="45"/>
      <c r="E334" s="45"/>
      <c r="F334" s="30"/>
      <c r="G334" s="30"/>
      <c r="H334" s="32"/>
      <c r="I334" s="32"/>
      <c r="J334" s="32"/>
      <c r="K334" s="32"/>
      <c r="L334" s="32"/>
      <c r="M334" s="34"/>
      <c r="N334" s="34"/>
      <c r="O334" s="34"/>
    </row>
    <row r="335">
      <c r="A335" s="45"/>
      <c r="B335" s="45"/>
      <c r="C335" s="45"/>
      <c r="D335" s="45"/>
      <c r="E335" s="45"/>
      <c r="F335" s="30"/>
      <c r="G335" s="30"/>
      <c r="H335" s="32"/>
      <c r="I335" s="32"/>
      <c r="J335" s="32"/>
      <c r="K335" s="32"/>
      <c r="L335" s="32"/>
      <c r="M335" s="34"/>
      <c r="N335" s="34"/>
      <c r="O335" s="34"/>
    </row>
    <row r="336">
      <c r="A336" s="45"/>
      <c r="B336" s="45"/>
      <c r="C336" s="45"/>
      <c r="D336" s="45"/>
      <c r="E336" s="45"/>
      <c r="F336" s="30"/>
      <c r="G336" s="30"/>
      <c r="H336" s="32"/>
      <c r="I336" s="32"/>
      <c r="J336" s="32"/>
      <c r="K336" s="32"/>
      <c r="L336" s="32"/>
      <c r="M336" s="34"/>
      <c r="N336" s="34"/>
      <c r="O336" s="34"/>
    </row>
    <row r="337">
      <c r="A337" s="45"/>
      <c r="B337" s="45"/>
      <c r="C337" s="45"/>
      <c r="D337" s="45"/>
      <c r="E337" s="45"/>
      <c r="F337" s="30"/>
      <c r="G337" s="30"/>
      <c r="H337" s="32"/>
      <c r="I337" s="32"/>
      <c r="J337" s="32"/>
      <c r="K337" s="32"/>
      <c r="L337" s="32"/>
      <c r="M337" s="34"/>
      <c r="N337" s="34"/>
      <c r="O337" s="34"/>
    </row>
    <row r="338">
      <c r="A338" s="45"/>
      <c r="B338" s="45"/>
      <c r="C338" s="45"/>
      <c r="D338" s="45"/>
      <c r="E338" s="45"/>
      <c r="F338" s="30"/>
      <c r="G338" s="30"/>
      <c r="H338" s="32"/>
      <c r="I338" s="32"/>
      <c r="J338" s="32"/>
      <c r="K338" s="32"/>
      <c r="L338" s="32"/>
      <c r="M338" s="34"/>
      <c r="N338" s="34"/>
      <c r="O338" s="34"/>
    </row>
    <row r="339">
      <c r="A339" s="45"/>
      <c r="B339" s="45"/>
      <c r="C339" s="45"/>
      <c r="D339" s="45"/>
      <c r="E339" s="45"/>
      <c r="F339" s="30"/>
      <c r="G339" s="30"/>
      <c r="H339" s="32"/>
      <c r="I339" s="32"/>
      <c r="J339" s="32"/>
      <c r="K339" s="32"/>
      <c r="L339" s="32"/>
      <c r="M339" s="34"/>
      <c r="N339" s="34"/>
      <c r="O339" s="34"/>
    </row>
    <row r="340">
      <c r="A340" s="45"/>
      <c r="B340" s="45"/>
      <c r="C340" s="45"/>
      <c r="D340" s="45"/>
      <c r="E340" s="45"/>
      <c r="F340" s="30"/>
      <c r="G340" s="30"/>
      <c r="H340" s="32"/>
      <c r="I340" s="32"/>
      <c r="J340" s="32"/>
      <c r="K340" s="32"/>
      <c r="L340" s="32"/>
      <c r="M340" s="34"/>
      <c r="N340" s="34"/>
      <c r="O340" s="34"/>
    </row>
    <row r="341">
      <c r="A341" s="45"/>
      <c r="B341" s="45"/>
      <c r="C341" s="45"/>
      <c r="D341" s="45"/>
      <c r="E341" s="45"/>
      <c r="F341" s="30"/>
      <c r="G341" s="30"/>
      <c r="H341" s="32"/>
      <c r="I341" s="32"/>
      <c r="J341" s="32"/>
      <c r="K341" s="32"/>
      <c r="L341" s="32"/>
      <c r="M341" s="34"/>
      <c r="N341" s="34"/>
      <c r="O341" s="34"/>
    </row>
    <row r="342">
      <c r="A342" s="45"/>
      <c r="B342" s="45"/>
      <c r="C342" s="45"/>
      <c r="D342" s="45"/>
      <c r="E342" s="45"/>
      <c r="F342" s="30"/>
      <c r="G342" s="30"/>
      <c r="H342" s="32"/>
      <c r="I342" s="32"/>
      <c r="J342" s="32"/>
      <c r="K342" s="32"/>
      <c r="L342" s="32"/>
      <c r="M342" s="34"/>
      <c r="N342" s="34"/>
      <c r="O342" s="34"/>
    </row>
    <row r="343">
      <c r="A343" s="45"/>
      <c r="B343" s="45"/>
      <c r="C343" s="45"/>
      <c r="D343" s="45"/>
      <c r="E343" s="45"/>
      <c r="F343" s="30"/>
      <c r="G343" s="30"/>
      <c r="H343" s="32"/>
      <c r="I343" s="32"/>
      <c r="J343" s="32"/>
      <c r="K343" s="32"/>
      <c r="L343" s="32"/>
      <c r="M343" s="34"/>
      <c r="N343" s="34"/>
      <c r="O343" s="34"/>
    </row>
    <row r="344">
      <c r="A344" s="45"/>
      <c r="B344" s="45"/>
      <c r="C344" s="45"/>
      <c r="D344" s="45"/>
      <c r="E344" s="45"/>
      <c r="F344" s="30"/>
      <c r="G344" s="30"/>
      <c r="H344" s="32"/>
      <c r="I344" s="32"/>
      <c r="J344" s="32"/>
      <c r="K344" s="32"/>
      <c r="L344" s="32"/>
      <c r="M344" s="34"/>
      <c r="N344" s="34"/>
      <c r="O344" s="34"/>
    </row>
    <row r="345">
      <c r="A345" s="45"/>
      <c r="B345" s="45"/>
      <c r="C345" s="45"/>
      <c r="D345" s="45"/>
      <c r="E345" s="45"/>
      <c r="F345" s="30"/>
      <c r="G345" s="30"/>
      <c r="H345" s="32"/>
      <c r="I345" s="32"/>
      <c r="J345" s="32"/>
      <c r="K345" s="32"/>
      <c r="L345" s="32"/>
      <c r="M345" s="34"/>
      <c r="N345" s="34"/>
      <c r="O345" s="34"/>
    </row>
    <row r="346">
      <c r="A346" s="45"/>
      <c r="B346" s="45"/>
      <c r="C346" s="45"/>
      <c r="D346" s="45"/>
      <c r="E346" s="45"/>
      <c r="F346" s="30"/>
      <c r="G346" s="30"/>
      <c r="H346" s="32"/>
      <c r="I346" s="32"/>
      <c r="J346" s="32"/>
      <c r="K346" s="32"/>
      <c r="L346" s="32"/>
      <c r="M346" s="34"/>
      <c r="N346" s="34"/>
      <c r="O346" s="34"/>
    </row>
    <row r="347">
      <c r="A347" s="45"/>
      <c r="B347" s="45"/>
      <c r="C347" s="45"/>
      <c r="D347" s="45"/>
      <c r="E347" s="45"/>
      <c r="F347" s="30"/>
      <c r="G347" s="30"/>
      <c r="H347" s="32"/>
      <c r="I347" s="32"/>
      <c r="J347" s="32"/>
      <c r="K347" s="32"/>
      <c r="L347" s="32"/>
      <c r="M347" s="34"/>
      <c r="N347" s="34"/>
      <c r="O347" s="34"/>
    </row>
    <row r="348">
      <c r="A348" s="45"/>
      <c r="B348" s="45"/>
      <c r="C348" s="45"/>
      <c r="D348" s="45"/>
      <c r="E348" s="45"/>
      <c r="F348" s="30"/>
      <c r="G348" s="30"/>
      <c r="H348" s="32"/>
      <c r="I348" s="32"/>
      <c r="J348" s="32"/>
      <c r="K348" s="32"/>
      <c r="L348" s="32"/>
      <c r="M348" s="34"/>
      <c r="N348" s="34"/>
      <c r="O348" s="34"/>
    </row>
    <row r="349">
      <c r="A349" s="45"/>
      <c r="B349" s="45"/>
      <c r="C349" s="45"/>
      <c r="D349" s="45"/>
      <c r="E349" s="45"/>
      <c r="F349" s="30"/>
      <c r="G349" s="30"/>
      <c r="H349" s="32"/>
      <c r="I349" s="32"/>
      <c r="J349" s="32"/>
      <c r="K349" s="32"/>
      <c r="L349" s="32"/>
      <c r="M349" s="34"/>
      <c r="N349" s="34"/>
      <c r="O349" s="34"/>
    </row>
    <row r="350">
      <c r="A350" s="45"/>
      <c r="B350" s="45"/>
      <c r="C350" s="45"/>
      <c r="D350" s="45"/>
      <c r="E350" s="45"/>
      <c r="F350" s="30"/>
      <c r="G350" s="30"/>
      <c r="H350" s="32"/>
      <c r="I350" s="32"/>
      <c r="J350" s="32"/>
      <c r="K350" s="32"/>
      <c r="L350" s="32"/>
      <c r="M350" s="34"/>
      <c r="N350" s="34"/>
      <c r="O350" s="34"/>
    </row>
    <row r="351">
      <c r="A351" s="45"/>
      <c r="B351" s="45"/>
      <c r="C351" s="45"/>
      <c r="D351" s="45"/>
      <c r="E351" s="45"/>
      <c r="F351" s="30"/>
      <c r="G351" s="30"/>
      <c r="H351" s="32"/>
      <c r="I351" s="32"/>
      <c r="J351" s="32"/>
      <c r="K351" s="32"/>
      <c r="L351" s="32"/>
      <c r="M351" s="34"/>
      <c r="N351" s="34"/>
      <c r="O351" s="34"/>
    </row>
    <row r="352">
      <c r="A352" s="45"/>
      <c r="B352" s="45"/>
      <c r="C352" s="45"/>
      <c r="D352" s="45"/>
      <c r="E352" s="45"/>
      <c r="F352" s="30"/>
      <c r="G352" s="30"/>
      <c r="H352" s="32"/>
      <c r="I352" s="32"/>
      <c r="J352" s="32"/>
      <c r="K352" s="32"/>
      <c r="L352" s="32"/>
      <c r="M352" s="34"/>
      <c r="N352" s="34"/>
      <c r="O352" s="34"/>
    </row>
    <row r="353">
      <c r="A353" s="45"/>
      <c r="B353" s="45"/>
      <c r="C353" s="45"/>
      <c r="D353" s="45"/>
      <c r="E353" s="45"/>
      <c r="F353" s="30"/>
      <c r="G353" s="30"/>
      <c r="H353" s="32"/>
      <c r="I353" s="32"/>
      <c r="J353" s="32"/>
      <c r="K353" s="32"/>
      <c r="L353" s="32"/>
      <c r="M353" s="34"/>
      <c r="N353" s="34"/>
      <c r="O353" s="34"/>
    </row>
    <row r="354">
      <c r="A354" s="45"/>
      <c r="B354" s="45"/>
      <c r="C354" s="45"/>
      <c r="D354" s="45"/>
      <c r="E354" s="45"/>
      <c r="F354" s="30"/>
      <c r="G354" s="30"/>
      <c r="H354" s="32"/>
      <c r="I354" s="32"/>
      <c r="J354" s="32"/>
      <c r="K354" s="32"/>
      <c r="L354" s="32"/>
      <c r="M354" s="34"/>
      <c r="N354" s="34"/>
      <c r="O354" s="34"/>
    </row>
    <row r="355">
      <c r="A355" s="45"/>
      <c r="B355" s="45"/>
      <c r="C355" s="45"/>
      <c r="D355" s="45"/>
      <c r="E355" s="45"/>
      <c r="F355" s="30"/>
      <c r="G355" s="30"/>
      <c r="H355" s="32"/>
      <c r="I355" s="32"/>
      <c r="J355" s="32"/>
      <c r="K355" s="32"/>
      <c r="L355" s="32"/>
      <c r="M355" s="34"/>
      <c r="N355" s="34"/>
      <c r="O355" s="34"/>
    </row>
    <row r="356">
      <c r="A356" s="45"/>
      <c r="B356" s="45"/>
      <c r="C356" s="45"/>
      <c r="D356" s="45"/>
      <c r="E356" s="45"/>
      <c r="F356" s="30"/>
      <c r="G356" s="30"/>
      <c r="H356" s="32"/>
      <c r="I356" s="32"/>
      <c r="J356" s="32"/>
      <c r="K356" s="32"/>
      <c r="L356" s="32"/>
      <c r="M356" s="34"/>
      <c r="N356" s="34"/>
      <c r="O356" s="34"/>
    </row>
    <row r="357">
      <c r="A357" s="45"/>
      <c r="B357" s="45"/>
      <c r="C357" s="45"/>
      <c r="D357" s="45"/>
      <c r="E357" s="45"/>
      <c r="F357" s="30"/>
      <c r="G357" s="30"/>
      <c r="H357" s="32"/>
      <c r="I357" s="32"/>
      <c r="J357" s="32"/>
      <c r="K357" s="32"/>
      <c r="L357" s="32"/>
      <c r="M357" s="34"/>
      <c r="N357" s="34"/>
      <c r="O357" s="34"/>
    </row>
    <row r="358">
      <c r="A358" s="45"/>
      <c r="B358" s="45"/>
      <c r="C358" s="45"/>
      <c r="D358" s="45"/>
      <c r="E358" s="45"/>
      <c r="F358" s="30"/>
      <c r="G358" s="30"/>
      <c r="H358" s="32"/>
      <c r="I358" s="32"/>
      <c r="J358" s="32"/>
      <c r="K358" s="32"/>
      <c r="L358" s="32"/>
      <c r="M358" s="34"/>
      <c r="N358" s="34"/>
      <c r="O358" s="34"/>
    </row>
    <row r="359">
      <c r="A359" s="45"/>
      <c r="B359" s="45"/>
      <c r="C359" s="45"/>
      <c r="D359" s="45"/>
      <c r="E359" s="45"/>
      <c r="F359" s="30"/>
      <c r="G359" s="30"/>
      <c r="H359" s="32"/>
      <c r="I359" s="32"/>
      <c r="J359" s="32"/>
      <c r="K359" s="32"/>
      <c r="L359" s="32"/>
      <c r="M359" s="34"/>
      <c r="N359" s="34"/>
      <c r="O359" s="34"/>
    </row>
    <row r="360">
      <c r="A360" s="45"/>
      <c r="B360" s="45"/>
      <c r="C360" s="45"/>
      <c r="D360" s="45"/>
      <c r="E360" s="45"/>
      <c r="F360" s="30"/>
      <c r="G360" s="30"/>
      <c r="H360" s="32"/>
      <c r="I360" s="32"/>
      <c r="J360" s="32"/>
      <c r="K360" s="32"/>
      <c r="L360" s="32"/>
      <c r="M360" s="34"/>
      <c r="N360" s="34"/>
      <c r="O360" s="34"/>
    </row>
    <row r="361">
      <c r="A361" s="45"/>
      <c r="B361" s="45"/>
      <c r="C361" s="45"/>
      <c r="D361" s="45"/>
      <c r="E361" s="45"/>
      <c r="F361" s="30"/>
      <c r="G361" s="30"/>
      <c r="H361" s="32"/>
      <c r="I361" s="32"/>
      <c r="J361" s="32"/>
      <c r="K361" s="32"/>
      <c r="L361" s="32"/>
      <c r="M361" s="34"/>
      <c r="N361" s="34"/>
      <c r="O361" s="34"/>
    </row>
    <row r="362">
      <c r="A362" s="45"/>
      <c r="B362" s="45"/>
      <c r="C362" s="45"/>
      <c r="D362" s="45"/>
      <c r="E362" s="45"/>
      <c r="F362" s="30"/>
      <c r="G362" s="30"/>
      <c r="H362" s="32"/>
      <c r="I362" s="32"/>
      <c r="J362" s="32"/>
      <c r="K362" s="32"/>
      <c r="L362" s="32"/>
      <c r="M362" s="34"/>
      <c r="N362" s="34"/>
      <c r="O362" s="34"/>
    </row>
    <row r="363">
      <c r="A363" s="45"/>
      <c r="B363" s="45"/>
      <c r="C363" s="45"/>
      <c r="D363" s="45"/>
      <c r="E363" s="45"/>
      <c r="F363" s="30"/>
      <c r="G363" s="30"/>
      <c r="H363" s="32"/>
      <c r="I363" s="32"/>
      <c r="J363" s="32"/>
      <c r="K363" s="32"/>
      <c r="L363" s="32"/>
      <c r="M363" s="34"/>
      <c r="N363" s="34"/>
      <c r="O363" s="34"/>
    </row>
    <row r="364">
      <c r="A364" s="45"/>
      <c r="B364" s="45"/>
      <c r="C364" s="45"/>
      <c r="D364" s="45"/>
      <c r="E364" s="45"/>
      <c r="F364" s="30"/>
      <c r="G364" s="30"/>
      <c r="H364" s="32"/>
      <c r="I364" s="32"/>
      <c r="J364" s="32"/>
      <c r="K364" s="32"/>
      <c r="L364" s="32"/>
      <c r="M364" s="34"/>
      <c r="N364" s="34"/>
      <c r="O364" s="34"/>
    </row>
    <row r="365">
      <c r="A365" s="45"/>
      <c r="B365" s="45"/>
      <c r="C365" s="45"/>
      <c r="D365" s="45"/>
      <c r="E365" s="45"/>
      <c r="F365" s="30"/>
      <c r="G365" s="30"/>
      <c r="H365" s="32"/>
      <c r="I365" s="32"/>
      <c r="J365" s="32"/>
      <c r="K365" s="32"/>
      <c r="L365" s="32"/>
      <c r="M365" s="34"/>
      <c r="N365" s="34"/>
      <c r="O365" s="34"/>
    </row>
    <row r="366">
      <c r="A366" s="45"/>
      <c r="B366" s="45"/>
      <c r="C366" s="45"/>
      <c r="D366" s="45"/>
      <c r="E366" s="45"/>
      <c r="F366" s="30"/>
      <c r="G366" s="30"/>
      <c r="H366" s="32"/>
      <c r="I366" s="32"/>
      <c r="J366" s="32"/>
      <c r="K366" s="32"/>
      <c r="L366" s="32"/>
      <c r="M366" s="34"/>
      <c r="N366" s="34"/>
      <c r="O366" s="34"/>
    </row>
    <row r="367">
      <c r="A367" s="45"/>
      <c r="B367" s="45"/>
      <c r="C367" s="45"/>
      <c r="D367" s="45"/>
      <c r="E367" s="45"/>
      <c r="F367" s="30"/>
      <c r="G367" s="30"/>
      <c r="H367" s="32"/>
      <c r="I367" s="32"/>
      <c r="J367" s="32"/>
      <c r="K367" s="32"/>
      <c r="L367" s="32"/>
      <c r="M367" s="34"/>
      <c r="N367" s="34"/>
      <c r="O367" s="34"/>
    </row>
    <row r="368">
      <c r="A368" s="45"/>
      <c r="B368" s="45"/>
      <c r="C368" s="45"/>
      <c r="D368" s="45"/>
      <c r="E368" s="45"/>
      <c r="F368" s="30"/>
      <c r="G368" s="30"/>
      <c r="H368" s="32"/>
      <c r="I368" s="32"/>
      <c r="J368" s="32"/>
      <c r="K368" s="32"/>
      <c r="L368" s="32"/>
      <c r="M368" s="34"/>
      <c r="N368" s="34"/>
      <c r="O368" s="34"/>
    </row>
    <row r="369">
      <c r="A369" s="45"/>
      <c r="B369" s="45"/>
      <c r="C369" s="45"/>
      <c r="D369" s="45"/>
      <c r="E369" s="45"/>
      <c r="F369" s="30"/>
      <c r="G369" s="30"/>
      <c r="H369" s="32"/>
      <c r="I369" s="32"/>
      <c r="J369" s="32"/>
      <c r="K369" s="32"/>
      <c r="L369" s="32"/>
      <c r="M369" s="34"/>
      <c r="N369" s="34"/>
      <c r="O369" s="34"/>
    </row>
    <row r="370">
      <c r="A370" s="45"/>
      <c r="B370" s="45"/>
      <c r="C370" s="45"/>
      <c r="D370" s="45"/>
      <c r="E370" s="45"/>
      <c r="F370" s="30"/>
      <c r="G370" s="30"/>
      <c r="H370" s="32"/>
      <c r="I370" s="32"/>
      <c r="J370" s="32"/>
      <c r="K370" s="32"/>
      <c r="L370" s="32"/>
      <c r="M370" s="34"/>
      <c r="N370" s="34"/>
      <c r="O370" s="34"/>
    </row>
    <row r="371">
      <c r="A371" s="45"/>
      <c r="B371" s="45"/>
      <c r="C371" s="45"/>
      <c r="D371" s="45"/>
      <c r="E371" s="45"/>
      <c r="F371" s="30"/>
      <c r="G371" s="30"/>
      <c r="H371" s="32"/>
      <c r="I371" s="32"/>
      <c r="J371" s="32"/>
      <c r="K371" s="32"/>
      <c r="L371" s="32"/>
      <c r="M371" s="34"/>
      <c r="N371" s="34"/>
      <c r="O371" s="34"/>
    </row>
    <row r="372">
      <c r="A372" s="45"/>
      <c r="B372" s="45"/>
      <c r="C372" s="45"/>
      <c r="D372" s="45"/>
      <c r="E372" s="45"/>
      <c r="F372" s="30"/>
      <c r="G372" s="30"/>
      <c r="H372" s="32"/>
      <c r="I372" s="32"/>
      <c r="J372" s="32"/>
      <c r="K372" s="32"/>
      <c r="L372" s="32"/>
      <c r="M372" s="34"/>
      <c r="N372" s="34"/>
      <c r="O372" s="34"/>
    </row>
    <row r="373">
      <c r="A373" s="45"/>
      <c r="B373" s="45"/>
      <c r="C373" s="45"/>
      <c r="D373" s="45"/>
      <c r="E373" s="45"/>
      <c r="F373" s="30"/>
      <c r="G373" s="30"/>
      <c r="H373" s="32"/>
      <c r="I373" s="32"/>
      <c r="J373" s="32"/>
      <c r="K373" s="32"/>
      <c r="L373" s="32"/>
      <c r="M373" s="34"/>
      <c r="N373" s="34"/>
      <c r="O373" s="34"/>
    </row>
    <row r="374">
      <c r="A374" s="45"/>
      <c r="B374" s="45"/>
      <c r="C374" s="45"/>
      <c r="D374" s="45"/>
      <c r="E374" s="45"/>
      <c r="F374" s="30"/>
      <c r="G374" s="30"/>
      <c r="H374" s="32"/>
      <c r="I374" s="32"/>
      <c r="J374" s="32"/>
      <c r="K374" s="32"/>
      <c r="L374" s="32"/>
      <c r="M374" s="34"/>
      <c r="N374" s="34"/>
      <c r="O374" s="34"/>
    </row>
    <row r="375">
      <c r="A375" s="45"/>
      <c r="B375" s="45"/>
      <c r="C375" s="45"/>
      <c r="D375" s="45"/>
      <c r="E375" s="45"/>
      <c r="F375" s="30"/>
      <c r="G375" s="30"/>
      <c r="H375" s="32"/>
      <c r="I375" s="32"/>
      <c r="J375" s="32"/>
      <c r="K375" s="32"/>
      <c r="L375" s="32"/>
      <c r="M375" s="34"/>
      <c r="N375" s="34"/>
      <c r="O375" s="34"/>
    </row>
    <row r="376">
      <c r="A376" s="45"/>
      <c r="B376" s="45"/>
      <c r="C376" s="45"/>
      <c r="D376" s="45"/>
      <c r="E376" s="45"/>
      <c r="F376" s="30"/>
      <c r="G376" s="30"/>
      <c r="H376" s="32"/>
      <c r="I376" s="32"/>
      <c r="J376" s="32"/>
      <c r="K376" s="32"/>
      <c r="L376" s="32"/>
      <c r="M376" s="34"/>
      <c r="N376" s="34"/>
      <c r="O376" s="34"/>
    </row>
    <row r="377">
      <c r="A377" s="45"/>
      <c r="B377" s="45"/>
      <c r="C377" s="45"/>
      <c r="D377" s="45"/>
      <c r="E377" s="45"/>
      <c r="F377" s="30"/>
      <c r="G377" s="30"/>
      <c r="H377" s="32"/>
      <c r="I377" s="32"/>
      <c r="J377" s="32"/>
      <c r="K377" s="32"/>
      <c r="L377" s="32"/>
      <c r="M377" s="34"/>
      <c r="N377" s="34"/>
      <c r="O377" s="34"/>
    </row>
    <row r="378">
      <c r="A378" s="45"/>
      <c r="B378" s="45"/>
      <c r="C378" s="45"/>
      <c r="D378" s="45"/>
      <c r="E378" s="45"/>
      <c r="F378" s="30"/>
      <c r="G378" s="30"/>
      <c r="H378" s="32"/>
      <c r="I378" s="32"/>
      <c r="J378" s="32"/>
      <c r="K378" s="32"/>
      <c r="L378" s="32"/>
      <c r="M378" s="34"/>
      <c r="N378" s="34"/>
      <c r="O378" s="34"/>
    </row>
    <row r="379">
      <c r="A379" s="45"/>
      <c r="B379" s="45"/>
      <c r="C379" s="45"/>
      <c r="D379" s="45"/>
      <c r="E379" s="45"/>
      <c r="F379" s="30"/>
      <c r="G379" s="30"/>
      <c r="H379" s="32"/>
      <c r="I379" s="32"/>
      <c r="J379" s="32"/>
      <c r="K379" s="32"/>
      <c r="L379" s="32"/>
      <c r="M379" s="34"/>
      <c r="N379" s="34"/>
      <c r="O379" s="34"/>
    </row>
    <row r="380">
      <c r="A380" s="45"/>
      <c r="B380" s="45"/>
      <c r="C380" s="45"/>
      <c r="D380" s="45"/>
      <c r="E380" s="45"/>
      <c r="F380" s="30"/>
      <c r="G380" s="30"/>
      <c r="H380" s="32"/>
      <c r="I380" s="32"/>
      <c r="J380" s="32"/>
      <c r="K380" s="32"/>
      <c r="L380" s="32"/>
      <c r="M380" s="34"/>
      <c r="N380" s="34"/>
      <c r="O380" s="34"/>
    </row>
    <row r="381">
      <c r="A381" s="45"/>
      <c r="B381" s="45"/>
      <c r="C381" s="45"/>
      <c r="D381" s="45"/>
      <c r="E381" s="45"/>
      <c r="F381" s="30"/>
      <c r="G381" s="30"/>
      <c r="H381" s="32"/>
      <c r="I381" s="32"/>
      <c r="J381" s="32"/>
      <c r="K381" s="32"/>
      <c r="L381" s="32"/>
      <c r="M381" s="34"/>
      <c r="N381" s="34"/>
      <c r="O381" s="34"/>
    </row>
    <row r="382">
      <c r="A382" s="45"/>
      <c r="B382" s="45"/>
      <c r="C382" s="45"/>
      <c r="D382" s="45"/>
      <c r="E382" s="45"/>
      <c r="F382" s="30"/>
      <c r="G382" s="30"/>
      <c r="H382" s="32"/>
      <c r="I382" s="32"/>
      <c r="J382" s="32"/>
      <c r="K382" s="32"/>
      <c r="L382" s="32"/>
      <c r="M382" s="34"/>
      <c r="N382" s="34"/>
      <c r="O382" s="34"/>
    </row>
    <row r="383">
      <c r="A383" s="45"/>
      <c r="B383" s="45"/>
      <c r="C383" s="45"/>
      <c r="D383" s="45"/>
      <c r="E383" s="45"/>
      <c r="F383" s="30"/>
      <c r="G383" s="30"/>
      <c r="H383" s="32"/>
      <c r="I383" s="32"/>
      <c r="J383" s="32"/>
      <c r="K383" s="32"/>
      <c r="L383" s="32"/>
      <c r="M383" s="34"/>
      <c r="N383" s="34"/>
      <c r="O383" s="34"/>
    </row>
    <row r="384">
      <c r="A384" s="45"/>
      <c r="B384" s="45"/>
      <c r="C384" s="45"/>
      <c r="D384" s="45"/>
      <c r="E384" s="45"/>
      <c r="F384" s="30"/>
      <c r="G384" s="30"/>
      <c r="H384" s="32"/>
      <c r="I384" s="32"/>
      <c r="J384" s="32"/>
      <c r="K384" s="32"/>
      <c r="L384" s="32"/>
      <c r="M384" s="34"/>
      <c r="N384" s="34"/>
      <c r="O384" s="34"/>
    </row>
    <row r="385">
      <c r="A385" s="45"/>
      <c r="B385" s="45"/>
      <c r="C385" s="45"/>
      <c r="D385" s="45"/>
      <c r="E385" s="45"/>
      <c r="F385" s="30"/>
      <c r="G385" s="30"/>
      <c r="H385" s="32"/>
      <c r="I385" s="32"/>
      <c r="J385" s="32"/>
      <c r="K385" s="32"/>
      <c r="L385" s="32"/>
      <c r="M385" s="34"/>
      <c r="N385" s="34"/>
      <c r="O385" s="34"/>
    </row>
    <row r="386">
      <c r="A386" s="45"/>
      <c r="B386" s="45"/>
      <c r="C386" s="45"/>
      <c r="D386" s="45"/>
      <c r="E386" s="45"/>
      <c r="F386" s="30"/>
      <c r="G386" s="30"/>
      <c r="H386" s="32"/>
      <c r="I386" s="32"/>
      <c r="J386" s="32"/>
      <c r="K386" s="32"/>
      <c r="L386" s="32"/>
      <c r="M386" s="34"/>
      <c r="N386" s="34"/>
      <c r="O386" s="34"/>
    </row>
    <row r="387">
      <c r="A387" s="45"/>
      <c r="B387" s="45"/>
      <c r="C387" s="45"/>
      <c r="D387" s="45"/>
      <c r="E387" s="45"/>
      <c r="F387" s="30"/>
      <c r="G387" s="30"/>
      <c r="H387" s="32"/>
      <c r="I387" s="32"/>
      <c r="J387" s="32"/>
      <c r="K387" s="32"/>
      <c r="L387" s="32"/>
      <c r="M387" s="34"/>
      <c r="N387" s="34"/>
      <c r="O387" s="34"/>
    </row>
    <row r="388">
      <c r="A388" s="45"/>
      <c r="B388" s="45"/>
      <c r="C388" s="45"/>
      <c r="D388" s="45"/>
      <c r="E388" s="45"/>
      <c r="F388" s="30"/>
      <c r="G388" s="30"/>
      <c r="H388" s="32"/>
      <c r="I388" s="32"/>
      <c r="J388" s="32"/>
      <c r="K388" s="32"/>
      <c r="L388" s="32"/>
      <c r="M388" s="34"/>
      <c r="N388" s="34"/>
      <c r="O388" s="34"/>
    </row>
    <row r="389">
      <c r="A389" s="45"/>
      <c r="B389" s="45"/>
      <c r="C389" s="45"/>
      <c r="D389" s="45"/>
      <c r="E389" s="45"/>
      <c r="F389" s="30"/>
      <c r="G389" s="30"/>
      <c r="H389" s="32"/>
      <c r="I389" s="32"/>
      <c r="J389" s="32"/>
      <c r="K389" s="32"/>
      <c r="L389" s="32"/>
      <c r="M389" s="34"/>
      <c r="N389" s="34"/>
      <c r="O389" s="34"/>
    </row>
    <row r="390">
      <c r="A390" s="45"/>
      <c r="B390" s="45"/>
      <c r="C390" s="45"/>
      <c r="D390" s="45"/>
      <c r="E390" s="45"/>
      <c r="F390" s="30"/>
      <c r="G390" s="30"/>
      <c r="H390" s="32"/>
      <c r="I390" s="32"/>
      <c r="J390" s="32"/>
      <c r="K390" s="32"/>
      <c r="L390" s="32"/>
      <c r="M390" s="34"/>
      <c r="N390" s="34"/>
      <c r="O390" s="34"/>
    </row>
    <row r="391">
      <c r="A391" s="45"/>
      <c r="B391" s="45"/>
      <c r="C391" s="45"/>
      <c r="D391" s="45"/>
      <c r="E391" s="45"/>
      <c r="F391" s="30"/>
      <c r="G391" s="30"/>
      <c r="H391" s="32"/>
      <c r="I391" s="32"/>
      <c r="J391" s="32"/>
      <c r="K391" s="32"/>
      <c r="L391" s="32"/>
      <c r="M391" s="34"/>
      <c r="N391" s="34"/>
      <c r="O391" s="34"/>
    </row>
    <row r="392">
      <c r="A392" s="45"/>
      <c r="B392" s="45"/>
      <c r="C392" s="45"/>
      <c r="D392" s="45"/>
      <c r="E392" s="45"/>
      <c r="F392" s="30"/>
      <c r="G392" s="30"/>
      <c r="H392" s="32"/>
      <c r="I392" s="32"/>
      <c r="J392" s="32"/>
      <c r="K392" s="32"/>
      <c r="L392" s="32"/>
      <c r="M392" s="34"/>
      <c r="N392" s="34"/>
      <c r="O392" s="34"/>
    </row>
    <row r="393">
      <c r="A393" s="45"/>
      <c r="B393" s="45"/>
      <c r="C393" s="45"/>
      <c r="D393" s="45"/>
      <c r="E393" s="45"/>
      <c r="F393" s="30"/>
      <c r="G393" s="30"/>
      <c r="H393" s="32"/>
      <c r="I393" s="32"/>
      <c r="J393" s="32"/>
      <c r="K393" s="32"/>
      <c r="L393" s="32"/>
      <c r="M393" s="34"/>
      <c r="N393" s="34"/>
      <c r="O393" s="34"/>
    </row>
    <row r="394">
      <c r="A394" s="45"/>
      <c r="B394" s="45"/>
      <c r="C394" s="45"/>
      <c r="D394" s="45"/>
      <c r="E394" s="45"/>
      <c r="F394" s="30"/>
      <c r="G394" s="30"/>
      <c r="H394" s="32"/>
      <c r="I394" s="32"/>
      <c r="J394" s="32"/>
      <c r="K394" s="32"/>
      <c r="L394" s="32"/>
      <c r="M394" s="34"/>
      <c r="N394" s="34"/>
      <c r="O394" s="34"/>
    </row>
    <row r="395">
      <c r="A395" s="45"/>
      <c r="B395" s="45"/>
      <c r="C395" s="45"/>
      <c r="D395" s="45"/>
      <c r="E395" s="45"/>
      <c r="F395" s="30"/>
      <c r="G395" s="30"/>
      <c r="H395" s="32"/>
      <c r="I395" s="32"/>
      <c r="J395" s="32"/>
      <c r="K395" s="32"/>
      <c r="L395" s="32"/>
      <c r="M395" s="34"/>
      <c r="N395" s="34"/>
      <c r="O395" s="34"/>
    </row>
    <row r="396">
      <c r="A396" s="45"/>
      <c r="B396" s="45"/>
      <c r="C396" s="45"/>
      <c r="D396" s="45"/>
      <c r="E396" s="45"/>
      <c r="F396" s="30"/>
      <c r="G396" s="30"/>
      <c r="H396" s="32"/>
      <c r="I396" s="32"/>
      <c r="J396" s="32"/>
      <c r="K396" s="32"/>
      <c r="L396" s="32"/>
      <c r="M396" s="34"/>
      <c r="N396" s="34"/>
      <c r="O396" s="34"/>
    </row>
    <row r="397">
      <c r="A397" s="45"/>
      <c r="B397" s="45"/>
      <c r="C397" s="45"/>
      <c r="D397" s="45"/>
      <c r="E397" s="45"/>
      <c r="F397" s="30"/>
      <c r="G397" s="30"/>
      <c r="H397" s="32"/>
      <c r="I397" s="32"/>
      <c r="J397" s="32"/>
      <c r="K397" s="32"/>
      <c r="L397" s="32"/>
      <c r="M397" s="34"/>
      <c r="N397" s="34"/>
      <c r="O397" s="34"/>
    </row>
    <row r="398">
      <c r="A398" s="45"/>
      <c r="B398" s="45"/>
      <c r="C398" s="45"/>
      <c r="D398" s="45"/>
      <c r="E398" s="45"/>
      <c r="F398" s="30"/>
      <c r="G398" s="30"/>
      <c r="H398" s="32"/>
      <c r="I398" s="32"/>
      <c r="J398" s="32"/>
      <c r="K398" s="32"/>
      <c r="L398" s="32"/>
      <c r="M398" s="34"/>
      <c r="N398" s="34"/>
      <c r="O398" s="34"/>
    </row>
    <row r="399">
      <c r="A399" s="45"/>
      <c r="B399" s="45"/>
      <c r="C399" s="45"/>
      <c r="D399" s="45"/>
      <c r="E399" s="45"/>
      <c r="F399" s="30"/>
      <c r="G399" s="30"/>
      <c r="H399" s="32"/>
      <c r="I399" s="32"/>
      <c r="J399" s="32"/>
      <c r="K399" s="32"/>
      <c r="L399" s="32"/>
      <c r="M399" s="34"/>
      <c r="N399" s="34"/>
      <c r="O399" s="34"/>
    </row>
    <row r="400">
      <c r="A400" s="45"/>
      <c r="B400" s="45"/>
      <c r="C400" s="45"/>
      <c r="D400" s="45"/>
      <c r="E400" s="45"/>
      <c r="F400" s="30"/>
      <c r="G400" s="30"/>
      <c r="H400" s="32"/>
      <c r="I400" s="32"/>
      <c r="J400" s="32"/>
      <c r="K400" s="32"/>
      <c r="L400" s="32"/>
      <c r="M400" s="34"/>
      <c r="N400" s="34"/>
      <c r="O400" s="34"/>
    </row>
    <row r="401">
      <c r="A401" s="45"/>
      <c r="B401" s="45"/>
      <c r="C401" s="45"/>
      <c r="D401" s="45"/>
      <c r="E401" s="45"/>
      <c r="F401" s="30"/>
      <c r="G401" s="30"/>
      <c r="H401" s="32"/>
      <c r="I401" s="32"/>
      <c r="J401" s="32"/>
      <c r="K401" s="32"/>
      <c r="L401" s="32"/>
      <c r="M401" s="34"/>
      <c r="N401" s="34"/>
      <c r="O401" s="34"/>
    </row>
    <row r="402">
      <c r="A402" s="45"/>
      <c r="B402" s="45"/>
      <c r="C402" s="45"/>
      <c r="D402" s="45"/>
      <c r="E402" s="45"/>
      <c r="F402" s="30"/>
      <c r="G402" s="30"/>
      <c r="H402" s="32"/>
      <c r="I402" s="32"/>
      <c r="J402" s="32"/>
      <c r="K402" s="32"/>
      <c r="L402" s="32"/>
      <c r="M402" s="34"/>
      <c r="N402" s="34"/>
      <c r="O402" s="34"/>
    </row>
    <row r="403">
      <c r="A403" s="45"/>
      <c r="B403" s="45"/>
      <c r="C403" s="45"/>
      <c r="D403" s="45"/>
      <c r="E403" s="45"/>
      <c r="F403" s="30"/>
      <c r="G403" s="30"/>
      <c r="H403" s="32"/>
      <c r="I403" s="32"/>
      <c r="J403" s="32"/>
      <c r="K403" s="32"/>
      <c r="L403" s="32"/>
      <c r="M403" s="34"/>
      <c r="N403" s="34"/>
      <c r="O403" s="34"/>
    </row>
    <row r="404">
      <c r="A404" s="45"/>
      <c r="B404" s="45"/>
      <c r="C404" s="45"/>
      <c r="D404" s="45"/>
      <c r="E404" s="45"/>
      <c r="F404" s="30"/>
      <c r="G404" s="30"/>
      <c r="H404" s="32"/>
      <c r="I404" s="32"/>
      <c r="J404" s="32"/>
      <c r="K404" s="32"/>
      <c r="L404" s="32"/>
      <c r="M404" s="34"/>
      <c r="N404" s="34"/>
      <c r="O404" s="34"/>
    </row>
    <row r="405">
      <c r="A405" s="45"/>
      <c r="B405" s="45"/>
      <c r="C405" s="45"/>
      <c r="D405" s="45"/>
      <c r="E405" s="45"/>
      <c r="F405" s="30"/>
      <c r="G405" s="30"/>
      <c r="H405" s="32"/>
      <c r="I405" s="32"/>
      <c r="J405" s="32"/>
      <c r="K405" s="32"/>
      <c r="L405" s="32"/>
      <c r="M405" s="34"/>
      <c r="N405" s="34"/>
      <c r="O405" s="34"/>
    </row>
    <row r="406">
      <c r="A406" s="45"/>
      <c r="B406" s="45"/>
      <c r="C406" s="45"/>
      <c r="D406" s="45"/>
      <c r="E406" s="45"/>
      <c r="F406" s="30"/>
      <c r="G406" s="30"/>
      <c r="H406" s="32"/>
      <c r="I406" s="32"/>
      <c r="J406" s="32"/>
      <c r="K406" s="32"/>
      <c r="L406" s="32"/>
      <c r="M406" s="34"/>
      <c r="N406" s="34"/>
      <c r="O406" s="34"/>
    </row>
    <row r="407">
      <c r="A407" s="45"/>
      <c r="B407" s="45"/>
      <c r="C407" s="45"/>
      <c r="D407" s="45"/>
      <c r="E407" s="45"/>
      <c r="F407" s="30"/>
      <c r="G407" s="30"/>
      <c r="H407" s="32"/>
      <c r="I407" s="32"/>
      <c r="J407" s="32"/>
      <c r="K407" s="32"/>
      <c r="L407" s="32"/>
      <c r="M407" s="34"/>
      <c r="N407" s="34"/>
      <c r="O407" s="34"/>
    </row>
    <row r="408">
      <c r="A408" s="45"/>
      <c r="B408" s="45"/>
      <c r="C408" s="45"/>
      <c r="D408" s="45"/>
      <c r="E408" s="45"/>
      <c r="F408" s="30"/>
      <c r="G408" s="30"/>
      <c r="H408" s="32"/>
      <c r="I408" s="32"/>
      <c r="J408" s="32"/>
      <c r="K408" s="32"/>
      <c r="L408" s="32"/>
      <c r="M408" s="34"/>
      <c r="N408" s="34"/>
      <c r="O408" s="34"/>
    </row>
    <row r="409">
      <c r="A409" s="45"/>
      <c r="B409" s="45"/>
      <c r="C409" s="45"/>
      <c r="D409" s="45"/>
      <c r="E409" s="45"/>
      <c r="F409" s="30"/>
      <c r="G409" s="30"/>
      <c r="H409" s="32"/>
      <c r="I409" s="32"/>
      <c r="J409" s="32"/>
      <c r="K409" s="32"/>
      <c r="L409" s="32"/>
      <c r="M409" s="34"/>
      <c r="N409" s="34"/>
      <c r="O409" s="34"/>
    </row>
    <row r="410">
      <c r="A410" s="45"/>
      <c r="B410" s="45"/>
      <c r="C410" s="45"/>
      <c r="D410" s="45"/>
      <c r="E410" s="45"/>
      <c r="F410" s="30"/>
      <c r="G410" s="30"/>
      <c r="H410" s="32"/>
      <c r="I410" s="32"/>
      <c r="J410" s="32"/>
      <c r="K410" s="32"/>
      <c r="L410" s="32"/>
      <c r="M410" s="34"/>
      <c r="N410" s="34"/>
      <c r="O410" s="34"/>
    </row>
    <row r="411">
      <c r="A411" s="45"/>
      <c r="B411" s="45"/>
      <c r="C411" s="45"/>
      <c r="D411" s="45"/>
      <c r="E411" s="45"/>
      <c r="F411" s="30"/>
      <c r="G411" s="30"/>
      <c r="H411" s="32"/>
      <c r="I411" s="32"/>
      <c r="J411" s="32"/>
      <c r="K411" s="32"/>
      <c r="L411" s="32"/>
      <c r="M411" s="34"/>
      <c r="N411" s="34"/>
      <c r="O411" s="34"/>
    </row>
    <row r="412">
      <c r="A412" s="45"/>
      <c r="B412" s="45"/>
      <c r="C412" s="45"/>
      <c r="D412" s="45"/>
      <c r="E412" s="45"/>
      <c r="F412" s="30"/>
      <c r="G412" s="30"/>
      <c r="H412" s="32"/>
      <c r="I412" s="32"/>
      <c r="J412" s="32"/>
      <c r="K412" s="32"/>
      <c r="L412" s="32"/>
      <c r="M412" s="34"/>
      <c r="N412" s="34"/>
      <c r="O412" s="34"/>
    </row>
    <row r="413">
      <c r="A413" s="45"/>
      <c r="B413" s="45"/>
      <c r="C413" s="45"/>
      <c r="D413" s="45"/>
      <c r="E413" s="45"/>
      <c r="F413" s="30"/>
      <c r="G413" s="30"/>
      <c r="H413" s="32"/>
      <c r="I413" s="32"/>
      <c r="J413" s="32"/>
      <c r="K413" s="32"/>
      <c r="L413" s="32"/>
      <c r="M413" s="34"/>
      <c r="N413" s="34"/>
      <c r="O413" s="34"/>
    </row>
    <row r="414">
      <c r="A414" s="45"/>
      <c r="B414" s="45"/>
      <c r="C414" s="45"/>
      <c r="D414" s="45"/>
      <c r="E414" s="45"/>
      <c r="F414" s="30"/>
      <c r="G414" s="30"/>
      <c r="H414" s="32"/>
      <c r="I414" s="32"/>
      <c r="J414" s="32"/>
      <c r="K414" s="32"/>
      <c r="L414" s="32"/>
      <c r="M414" s="34"/>
      <c r="N414" s="34"/>
      <c r="O414" s="34"/>
    </row>
    <row r="415">
      <c r="A415" s="45"/>
      <c r="B415" s="45"/>
      <c r="C415" s="45"/>
      <c r="D415" s="45"/>
      <c r="E415" s="45"/>
      <c r="F415" s="30"/>
      <c r="G415" s="30"/>
      <c r="H415" s="32"/>
      <c r="I415" s="32"/>
      <c r="J415" s="32"/>
      <c r="K415" s="32"/>
      <c r="L415" s="32"/>
      <c r="M415" s="34"/>
      <c r="N415" s="34"/>
      <c r="O415" s="34"/>
    </row>
    <row r="416">
      <c r="A416" s="45"/>
      <c r="B416" s="45"/>
      <c r="C416" s="45"/>
      <c r="D416" s="45"/>
      <c r="E416" s="45"/>
      <c r="F416" s="30"/>
      <c r="G416" s="30"/>
      <c r="H416" s="32"/>
      <c r="I416" s="32"/>
      <c r="J416" s="32"/>
      <c r="K416" s="32"/>
      <c r="L416" s="32"/>
      <c r="M416" s="34"/>
      <c r="N416" s="34"/>
      <c r="O416" s="34"/>
    </row>
    <row r="417">
      <c r="A417" s="45"/>
      <c r="B417" s="45"/>
      <c r="C417" s="45"/>
      <c r="D417" s="45"/>
      <c r="E417" s="45"/>
      <c r="F417" s="30"/>
      <c r="G417" s="30"/>
      <c r="H417" s="32"/>
      <c r="I417" s="32"/>
      <c r="J417" s="32"/>
      <c r="K417" s="32"/>
      <c r="L417" s="32"/>
      <c r="M417" s="34"/>
      <c r="N417" s="34"/>
      <c r="O417" s="34"/>
    </row>
    <row r="418">
      <c r="A418" s="45"/>
      <c r="B418" s="45"/>
      <c r="C418" s="45"/>
      <c r="D418" s="45"/>
      <c r="E418" s="45"/>
      <c r="F418" s="30"/>
      <c r="G418" s="30"/>
      <c r="H418" s="32"/>
      <c r="I418" s="32"/>
      <c r="J418" s="32"/>
      <c r="K418" s="32"/>
      <c r="L418" s="32"/>
      <c r="M418" s="34"/>
      <c r="N418" s="34"/>
      <c r="O418" s="34"/>
    </row>
    <row r="419">
      <c r="A419" s="45"/>
      <c r="B419" s="45"/>
      <c r="C419" s="45"/>
      <c r="D419" s="45"/>
      <c r="E419" s="45"/>
      <c r="F419" s="30"/>
      <c r="G419" s="30"/>
      <c r="H419" s="32"/>
      <c r="I419" s="32"/>
      <c r="J419" s="32"/>
      <c r="K419" s="32"/>
      <c r="L419" s="32"/>
      <c r="M419" s="34"/>
      <c r="N419" s="34"/>
      <c r="O419" s="34"/>
    </row>
    <row r="420">
      <c r="A420" s="45"/>
      <c r="B420" s="45"/>
      <c r="C420" s="45"/>
      <c r="D420" s="45"/>
      <c r="E420" s="45"/>
      <c r="F420" s="30"/>
      <c r="G420" s="30"/>
      <c r="H420" s="32"/>
      <c r="I420" s="32"/>
      <c r="J420" s="32"/>
      <c r="K420" s="32"/>
      <c r="L420" s="32"/>
      <c r="M420" s="34"/>
      <c r="N420" s="34"/>
      <c r="O420" s="34"/>
    </row>
    <row r="421">
      <c r="A421" s="45"/>
      <c r="B421" s="45"/>
      <c r="C421" s="45"/>
      <c r="D421" s="45"/>
      <c r="E421" s="45"/>
      <c r="F421" s="30"/>
      <c r="G421" s="30"/>
      <c r="H421" s="32"/>
      <c r="I421" s="32"/>
      <c r="J421" s="32"/>
      <c r="K421" s="32"/>
      <c r="L421" s="32"/>
      <c r="M421" s="34"/>
      <c r="N421" s="34"/>
      <c r="O421" s="34"/>
    </row>
    <row r="422">
      <c r="A422" s="45"/>
      <c r="B422" s="45"/>
      <c r="C422" s="45"/>
      <c r="D422" s="45"/>
      <c r="E422" s="45"/>
      <c r="F422" s="30"/>
      <c r="G422" s="30"/>
      <c r="H422" s="32"/>
      <c r="I422" s="32"/>
      <c r="J422" s="32"/>
      <c r="K422" s="32"/>
      <c r="L422" s="32"/>
      <c r="M422" s="34"/>
      <c r="N422" s="34"/>
      <c r="O422" s="34"/>
    </row>
    <row r="423">
      <c r="A423" s="45"/>
      <c r="B423" s="45"/>
      <c r="C423" s="45"/>
      <c r="D423" s="45"/>
      <c r="E423" s="45"/>
      <c r="F423" s="30"/>
      <c r="G423" s="30"/>
      <c r="H423" s="32"/>
      <c r="I423" s="32"/>
      <c r="J423" s="32"/>
      <c r="K423" s="32"/>
      <c r="L423" s="32"/>
      <c r="M423" s="34"/>
      <c r="N423" s="34"/>
      <c r="O423" s="34"/>
    </row>
    <row r="424">
      <c r="A424" s="45"/>
      <c r="B424" s="45"/>
      <c r="C424" s="45"/>
      <c r="D424" s="45"/>
      <c r="E424" s="45"/>
      <c r="F424" s="30"/>
      <c r="G424" s="30"/>
      <c r="H424" s="32"/>
      <c r="I424" s="32"/>
      <c r="J424" s="32"/>
      <c r="K424" s="32"/>
      <c r="L424" s="32"/>
      <c r="M424" s="34"/>
      <c r="N424" s="34"/>
      <c r="O424" s="34"/>
    </row>
    <row r="425">
      <c r="A425" s="45"/>
      <c r="B425" s="45"/>
      <c r="C425" s="45"/>
      <c r="D425" s="45"/>
      <c r="E425" s="45"/>
      <c r="F425" s="30"/>
      <c r="G425" s="30"/>
      <c r="H425" s="32"/>
      <c r="I425" s="32"/>
      <c r="J425" s="32"/>
      <c r="K425" s="32"/>
      <c r="L425" s="32"/>
      <c r="M425" s="34"/>
      <c r="N425" s="34"/>
      <c r="O425" s="34"/>
    </row>
    <row r="426">
      <c r="A426" s="45"/>
      <c r="B426" s="45"/>
      <c r="C426" s="45"/>
      <c r="D426" s="45"/>
      <c r="E426" s="45"/>
      <c r="F426" s="30"/>
      <c r="G426" s="30"/>
      <c r="H426" s="32"/>
      <c r="I426" s="32"/>
      <c r="J426" s="32"/>
      <c r="K426" s="32"/>
      <c r="L426" s="32"/>
      <c r="M426" s="34"/>
      <c r="N426" s="34"/>
      <c r="O426" s="34"/>
    </row>
    <row r="427">
      <c r="A427" s="45"/>
      <c r="B427" s="45"/>
      <c r="C427" s="45"/>
      <c r="D427" s="45"/>
      <c r="E427" s="45"/>
      <c r="F427" s="30"/>
      <c r="G427" s="30"/>
      <c r="H427" s="32"/>
      <c r="I427" s="32"/>
      <c r="J427" s="32"/>
      <c r="K427" s="32"/>
      <c r="L427" s="32"/>
      <c r="M427" s="34"/>
      <c r="N427" s="34"/>
      <c r="O427" s="34"/>
    </row>
    <row r="428">
      <c r="A428" s="45"/>
      <c r="B428" s="45"/>
      <c r="C428" s="45"/>
      <c r="D428" s="45"/>
      <c r="E428" s="45"/>
      <c r="F428" s="30"/>
      <c r="G428" s="30"/>
      <c r="H428" s="32"/>
      <c r="I428" s="32"/>
      <c r="J428" s="32"/>
      <c r="K428" s="32"/>
      <c r="L428" s="32"/>
      <c r="M428" s="34"/>
      <c r="N428" s="34"/>
      <c r="O428" s="34"/>
    </row>
    <row r="429">
      <c r="A429" s="45"/>
      <c r="B429" s="45"/>
      <c r="C429" s="45"/>
      <c r="D429" s="45"/>
      <c r="E429" s="45"/>
      <c r="F429" s="30"/>
      <c r="G429" s="30"/>
      <c r="H429" s="32"/>
      <c r="I429" s="32"/>
      <c r="J429" s="32"/>
      <c r="K429" s="32"/>
      <c r="L429" s="32"/>
      <c r="M429" s="34"/>
      <c r="N429" s="34"/>
      <c r="O429" s="34"/>
    </row>
    <row r="430">
      <c r="A430" s="45"/>
      <c r="B430" s="45"/>
      <c r="C430" s="45"/>
      <c r="D430" s="45"/>
      <c r="E430" s="45"/>
      <c r="F430" s="30"/>
      <c r="G430" s="30"/>
      <c r="H430" s="32"/>
      <c r="I430" s="32"/>
      <c r="J430" s="32"/>
      <c r="K430" s="32"/>
      <c r="L430" s="32"/>
      <c r="M430" s="34"/>
      <c r="N430" s="34"/>
      <c r="O430" s="34"/>
    </row>
    <row r="431">
      <c r="A431" s="45"/>
      <c r="B431" s="45"/>
      <c r="C431" s="45"/>
      <c r="D431" s="45"/>
      <c r="E431" s="45"/>
      <c r="F431" s="30"/>
      <c r="G431" s="30"/>
      <c r="H431" s="32"/>
      <c r="I431" s="32"/>
      <c r="J431" s="32"/>
      <c r="K431" s="32"/>
      <c r="L431" s="32"/>
      <c r="M431" s="34"/>
      <c r="N431" s="34"/>
      <c r="O431" s="34"/>
    </row>
    <row r="432">
      <c r="A432" s="45"/>
      <c r="B432" s="45"/>
      <c r="C432" s="45"/>
      <c r="D432" s="45"/>
      <c r="E432" s="45"/>
      <c r="F432" s="30"/>
      <c r="G432" s="30"/>
      <c r="H432" s="32"/>
      <c r="I432" s="32"/>
      <c r="J432" s="32"/>
      <c r="K432" s="32"/>
      <c r="L432" s="32"/>
      <c r="M432" s="34"/>
      <c r="N432" s="34"/>
      <c r="O432" s="34"/>
    </row>
    <row r="433">
      <c r="A433" s="45"/>
      <c r="B433" s="45"/>
      <c r="C433" s="45"/>
      <c r="D433" s="45"/>
      <c r="E433" s="45"/>
      <c r="F433" s="30"/>
      <c r="G433" s="30"/>
      <c r="H433" s="32"/>
      <c r="I433" s="32"/>
      <c r="J433" s="32"/>
      <c r="K433" s="32"/>
      <c r="L433" s="32"/>
      <c r="M433" s="34"/>
      <c r="N433" s="34"/>
      <c r="O433" s="34"/>
    </row>
    <row r="434">
      <c r="A434" s="45"/>
      <c r="B434" s="45"/>
      <c r="C434" s="45"/>
      <c r="D434" s="45"/>
      <c r="E434" s="45"/>
      <c r="F434" s="30"/>
      <c r="G434" s="30"/>
      <c r="H434" s="32"/>
      <c r="I434" s="32"/>
      <c r="J434" s="32"/>
      <c r="K434" s="32"/>
      <c r="L434" s="32"/>
      <c r="M434" s="34"/>
      <c r="N434" s="34"/>
      <c r="O434" s="34"/>
    </row>
    <row r="435">
      <c r="A435" s="45"/>
      <c r="B435" s="45"/>
      <c r="C435" s="45"/>
      <c r="D435" s="45"/>
      <c r="E435" s="45"/>
      <c r="F435" s="30"/>
      <c r="G435" s="30"/>
      <c r="H435" s="32"/>
      <c r="I435" s="32"/>
      <c r="J435" s="32"/>
      <c r="K435" s="32"/>
      <c r="L435" s="32"/>
      <c r="M435" s="34"/>
      <c r="N435" s="34"/>
      <c r="O435" s="34"/>
    </row>
    <row r="436">
      <c r="A436" s="45"/>
      <c r="B436" s="45"/>
      <c r="C436" s="45"/>
      <c r="D436" s="45"/>
      <c r="E436" s="45"/>
      <c r="F436" s="30"/>
      <c r="G436" s="30"/>
      <c r="H436" s="32"/>
      <c r="I436" s="32"/>
      <c r="J436" s="32"/>
      <c r="K436" s="32"/>
      <c r="L436" s="32"/>
      <c r="M436" s="34"/>
      <c r="N436" s="34"/>
      <c r="O436" s="34"/>
    </row>
    <row r="437">
      <c r="A437" s="45"/>
      <c r="B437" s="45"/>
      <c r="C437" s="45"/>
      <c r="D437" s="45"/>
      <c r="E437" s="45"/>
      <c r="F437" s="30"/>
      <c r="G437" s="30"/>
      <c r="H437" s="32"/>
      <c r="I437" s="32"/>
      <c r="J437" s="32"/>
      <c r="K437" s="32"/>
      <c r="L437" s="32"/>
      <c r="M437" s="34"/>
      <c r="N437" s="34"/>
      <c r="O437" s="34"/>
    </row>
    <row r="438">
      <c r="A438" s="45"/>
      <c r="B438" s="45"/>
      <c r="C438" s="45"/>
      <c r="D438" s="45"/>
      <c r="E438" s="45"/>
      <c r="F438" s="30"/>
      <c r="G438" s="30"/>
      <c r="H438" s="32"/>
      <c r="I438" s="32"/>
      <c r="J438" s="32"/>
      <c r="K438" s="32"/>
      <c r="L438" s="32"/>
      <c r="M438" s="34"/>
      <c r="N438" s="34"/>
      <c r="O438" s="34"/>
    </row>
    <row r="439">
      <c r="A439" s="45"/>
      <c r="B439" s="45"/>
      <c r="C439" s="45"/>
      <c r="D439" s="45"/>
      <c r="E439" s="45"/>
      <c r="F439" s="30"/>
      <c r="G439" s="30"/>
      <c r="H439" s="32"/>
      <c r="I439" s="32"/>
      <c r="J439" s="32"/>
      <c r="K439" s="32"/>
      <c r="L439" s="32"/>
      <c r="M439" s="34"/>
      <c r="N439" s="34"/>
      <c r="O439" s="34"/>
    </row>
    <row r="440">
      <c r="A440" s="45"/>
      <c r="B440" s="45"/>
      <c r="C440" s="45"/>
      <c r="D440" s="45"/>
      <c r="E440" s="45"/>
      <c r="F440" s="30"/>
      <c r="G440" s="30"/>
      <c r="H440" s="32"/>
      <c r="I440" s="32"/>
      <c r="J440" s="32"/>
      <c r="K440" s="32"/>
      <c r="L440" s="32"/>
      <c r="M440" s="34"/>
      <c r="N440" s="34"/>
      <c r="O440" s="34"/>
    </row>
    <row r="441">
      <c r="A441" s="45"/>
      <c r="B441" s="45"/>
      <c r="C441" s="45"/>
      <c r="D441" s="45"/>
      <c r="E441" s="45"/>
      <c r="F441" s="30"/>
      <c r="G441" s="30"/>
      <c r="H441" s="32"/>
      <c r="I441" s="32"/>
      <c r="J441" s="32"/>
      <c r="K441" s="32"/>
      <c r="L441" s="32"/>
      <c r="M441" s="34"/>
      <c r="N441" s="34"/>
      <c r="O441" s="34"/>
    </row>
    <row r="442">
      <c r="A442" s="45"/>
      <c r="B442" s="45"/>
      <c r="C442" s="45"/>
      <c r="D442" s="45"/>
      <c r="E442" s="45"/>
      <c r="F442" s="30"/>
      <c r="G442" s="30"/>
      <c r="H442" s="32"/>
      <c r="I442" s="32"/>
      <c r="J442" s="32"/>
      <c r="K442" s="32"/>
      <c r="L442" s="32"/>
      <c r="M442" s="34"/>
      <c r="N442" s="34"/>
      <c r="O442" s="34"/>
    </row>
    <row r="443">
      <c r="A443" s="45"/>
      <c r="B443" s="45"/>
      <c r="C443" s="45"/>
      <c r="D443" s="45"/>
      <c r="E443" s="45"/>
      <c r="F443" s="30"/>
      <c r="G443" s="30"/>
      <c r="H443" s="32"/>
      <c r="I443" s="32"/>
      <c r="J443" s="32"/>
      <c r="K443" s="32"/>
      <c r="L443" s="32"/>
      <c r="M443" s="34"/>
      <c r="N443" s="34"/>
      <c r="O443" s="34"/>
    </row>
    <row r="444">
      <c r="A444" s="45"/>
      <c r="B444" s="45"/>
      <c r="C444" s="45"/>
      <c r="D444" s="45"/>
      <c r="E444" s="45"/>
      <c r="F444" s="30"/>
      <c r="G444" s="30"/>
      <c r="H444" s="32"/>
      <c r="I444" s="32"/>
      <c r="J444" s="32"/>
      <c r="K444" s="32"/>
      <c r="L444" s="32"/>
      <c r="M444" s="34"/>
      <c r="N444" s="34"/>
      <c r="O444" s="34"/>
    </row>
    <row r="445">
      <c r="A445" s="45"/>
      <c r="B445" s="45"/>
      <c r="C445" s="45"/>
      <c r="D445" s="45"/>
      <c r="E445" s="45"/>
      <c r="F445" s="30"/>
      <c r="G445" s="30"/>
      <c r="H445" s="32"/>
      <c r="I445" s="32"/>
      <c r="J445" s="32"/>
      <c r="K445" s="32"/>
      <c r="L445" s="32"/>
      <c r="M445" s="34"/>
      <c r="N445" s="34"/>
      <c r="O445" s="34"/>
    </row>
    <row r="446">
      <c r="A446" s="45"/>
      <c r="B446" s="45"/>
      <c r="C446" s="45"/>
      <c r="D446" s="45"/>
      <c r="E446" s="45"/>
      <c r="F446" s="30"/>
      <c r="G446" s="30"/>
      <c r="H446" s="32"/>
      <c r="I446" s="32"/>
      <c r="J446" s="32"/>
      <c r="K446" s="32"/>
      <c r="L446" s="32"/>
      <c r="M446" s="34"/>
      <c r="N446" s="34"/>
      <c r="O446" s="34"/>
    </row>
    <row r="447">
      <c r="A447" s="45"/>
      <c r="B447" s="45"/>
      <c r="C447" s="45"/>
      <c r="D447" s="45"/>
      <c r="E447" s="45"/>
      <c r="F447" s="30"/>
      <c r="G447" s="30"/>
      <c r="H447" s="32"/>
      <c r="I447" s="32"/>
      <c r="J447" s="32"/>
      <c r="K447" s="32"/>
      <c r="L447" s="32"/>
      <c r="M447" s="34"/>
      <c r="N447" s="34"/>
      <c r="O447" s="34"/>
    </row>
    <row r="448">
      <c r="A448" s="45"/>
      <c r="B448" s="45"/>
      <c r="C448" s="45"/>
      <c r="D448" s="45"/>
      <c r="E448" s="45"/>
      <c r="F448" s="30"/>
      <c r="G448" s="30"/>
      <c r="H448" s="32"/>
      <c r="I448" s="32"/>
      <c r="J448" s="32"/>
      <c r="K448" s="32"/>
      <c r="L448" s="32"/>
      <c r="M448" s="34"/>
      <c r="N448" s="34"/>
      <c r="O448" s="34"/>
    </row>
    <row r="449">
      <c r="A449" s="45"/>
      <c r="B449" s="45"/>
      <c r="C449" s="45"/>
      <c r="D449" s="45"/>
      <c r="E449" s="45"/>
      <c r="F449" s="30"/>
      <c r="G449" s="30"/>
      <c r="H449" s="32"/>
      <c r="I449" s="32"/>
      <c r="J449" s="32"/>
      <c r="K449" s="32"/>
      <c r="L449" s="32"/>
      <c r="M449" s="34"/>
      <c r="N449" s="34"/>
      <c r="O449" s="34"/>
    </row>
    <row r="450">
      <c r="A450" s="45"/>
      <c r="B450" s="45"/>
      <c r="C450" s="45"/>
      <c r="D450" s="45"/>
      <c r="E450" s="45"/>
      <c r="F450" s="30"/>
      <c r="G450" s="30"/>
      <c r="H450" s="32"/>
      <c r="I450" s="32"/>
      <c r="J450" s="32"/>
      <c r="K450" s="32"/>
      <c r="L450" s="32"/>
      <c r="M450" s="34"/>
      <c r="N450" s="34"/>
      <c r="O450" s="34"/>
    </row>
    <row r="451">
      <c r="A451" s="45"/>
      <c r="B451" s="45"/>
      <c r="C451" s="45"/>
      <c r="D451" s="45"/>
      <c r="E451" s="45"/>
      <c r="F451" s="30"/>
      <c r="G451" s="30"/>
      <c r="H451" s="32"/>
      <c r="I451" s="32"/>
      <c r="J451" s="32"/>
      <c r="K451" s="32"/>
      <c r="L451" s="32"/>
      <c r="M451" s="34"/>
      <c r="N451" s="34"/>
      <c r="O451" s="34"/>
    </row>
    <row r="452">
      <c r="A452" s="45"/>
      <c r="B452" s="45"/>
      <c r="C452" s="45"/>
      <c r="D452" s="45"/>
      <c r="E452" s="45"/>
      <c r="F452" s="30"/>
      <c r="G452" s="30"/>
      <c r="H452" s="32"/>
      <c r="I452" s="32"/>
      <c r="J452" s="32"/>
      <c r="K452" s="32"/>
      <c r="L452" s="32"/>
      <c r="M452" s="34"/>
      <c r="N452" s="34"/>
      <c r="O452" s="34"/>
    </row>
    <row r="453">
      <c r="A453" s="45"/>
      <c r="B453" s="45"/>
      <c r="C453" s="45"/>
      <c r="D453" s="45"/>
      <c r="E453" s="45"/>
      <c r="F453" s="30"/>
      <c r="G453" s="30"/>
      <c r="H453" s="32"/>
      <c r="I453" s="32"/>
      <c r="J453" s="32"/>
      <c r="K453" s="32"/>
      <c r="L453" s="32"/>
      <c r="M453" s="34"/>
      <c r="N453" s="34"/>
      <c r="O453" s="34"/>
    </row>
    <row r="454">
      <c r="A454" s="45"/>
      <c r="B454" s="45"/>
      <c r="C454" s="45"/>
      <c r="D454" s="45"/>
      <c r="E454" s="45"/>
      <c r="F454" s="30"/>
      <c r="G454" s="30"/>
      <c r="H454" s="32"/>
      <c r="I454" s="32"/>
      <c r="J454" s="32"/>
      <c r="K454" s="32"/>
      <c r="L454" s="32"/>
      <c r="M454" s="34"/>
      <c r="N454" s="34"/>
      <c r="O454" s="34"/>
    </row>
    <row r="455">
      <c r="A455" s="45"/>
      <c r="B455" s="45"/>
      <c r="C455" s="45"/>
      <c r="D455" s="45"/>
      <c r="E455" s="45"/>
      <c r="F455" s="30"/>
      <c r="G455" s="30"/>
      <c r="H455" s="32"/>
      <c r="I455" s="32"/>
      <c r="J455" s="32"/>
      <c r="K455" s="32"/>
      <c r="L455" s="32"/>
      <c r="M455" s="34"/>
      <c r="N455" s="34"/>
      <c r="O455" s="34"/>
    </row>
    <row r="456">
      <c r="A456" s="45"/>
      <c r="B456" s="45"/>
      <c r="C456" s="45"/>
      <c r="D456" s="45"/>
      <c r="E456" s="45"/>
      <c r="F456" s="30"/>
      <c r="G456" s="30"/>
      <c r="H456" s="32"/>
      <c r="I456" s="32"/>
      <c r="J456" s="32"/>
      <c r="K456" s="32"/>
      <c r="L456" s="32"/>
      <c r="M456" s="34"/>
      <c r="N456" s="34"/>
      <c r="O456" s="34"/>
    </row>
    <row r="457">
      <c r="A457" s="45"/>
      <c r="B457" s="45"/>
      <c r="C457" s="45"/>
      <c r="D457" s="45"/>
      <c r="E457" s="45"/>
      <c r="F457" s="30"/>
      <c r="G457" s="30"/>
      <c r="H457" s="32"/>
      <c r="I457" s="32"/>
      <c r="J457" s="32"/>
      <c r="K457" s="32"/>
      <c r="L457" s="32"/>
      <c r="M457" s="34"/>
      <c r="N457" s="34"/>
      <c r="O457" s="34"/>
    </row>
    <row r="458">
      <c r="A458" s="45"/>
      <c r="B458" s="45"/>
      <c r="C458" s="45"/>
      <c r="D458" s="45"/>
      <c r="E458" s="45"/>
      <c r="F458" s="30"/>
      <c r="G458" s="30"/>
      <c r="H458" s="32"/>
      <c r="I458" s="32"/>
      <c r="J458" s="32"/>
      <c r="K458" s="32"/>
      <c r="L458" s="32"/>
      <c r="M458" s="34"/>
      <c r="N458" s="34"/>
      <c r="O458" s="34"/>
    </row>
    <row r="459">
      <c r="A459" s="45"/>
      <c r="B459" s="45"/>
      <c r="C459" s="45"/>
      <c r="D459" s="45"/>
      <c r="E459" s="45"/>
      <c r="F459" s="30"/>
      <c r="G459" s="30"/>
      <c r="H459" s="32"/>
      <c r="I459" s="32"/>
      <c r="J459" s="32"/>
      <c r="K459" s="32"/>
      <c r="L459" s="32"/>
      <c r="M459" s="34"/>
      <c r="N459" s="34"/>
      <c r="O459" s="34"/>
    </row>
    <row r="460">
      <c r="A460" s="45"/>
      <c r="B460" s="45"/>
      <c r="C460" s="45"/>
      <c r="D460" s="45"/>
      <c r="E460" s="45"/>
      <c r="F460" s="30"/>
      <c r="G460" s="30"/>
      <c r="H460" s="32"/>
      <c r="I460" s="32"/>
      <c r="J460" s="32"/>
      <c r="K460" s="32"/>
      <c r="L460" s="32"/>
      <c r="M460" s="34"/>
      <c r="N460" s="34"/>
      <c r="O460" s="34"/>
    </row>
    <row r="461">
      <c r="A461" s="45"/>
      <c r="B461" s="45"/>
      <c r="C461" s="45"/>
      <c r="D461" s="45"/>
      <c r="E461" s="45"/>
      <c r="F461" s="30"/>
      <c r="G461" s="30"/>
      <c r="H461" s="32"/>
      <c r="I461" s="32"/>
      <c r="J461" s="32"/>
      <c r="K461" s="32"/>
      <c r="L461" s="32"/>
      <c r="M461" s="34"/>
      <c r="N461" s="34"/>
      <c r="O461" s="34"/>
    </row>
    <row r="462">
      <c r="A462" s="45"/>
      <c r="B462" s="45"/>
      <c r="C462" s="45"/>
      <c r="D462" s="45"/>
      <c r="E462" s="45"/>
      <c r="F462" s="30"/>
      <c r="G462" s="30"/>
      <c r="H462" s="32"/>
      <c r="I462" s="32"/>
      <c r="J462" s="32"/>
      <c r="K462" s="32"/>
      <c r="L462" s="32"/>
      <c r="M462" s="34"/>
      <c r="N462" s="34"/>
      <c r="O462" s="34"/>
    </row>
    <row r="463">
      <c r="A463" s="45"/>
      <c r="B463" s="45"/>
      <c r="C463" s="45"/>
      <c r="D463" s="45"/>
      <c r="E463" s="45"/>
      <c r="F463" s="30"/>
      <c r="G463" s="30"/>
      <c r="H463" s="32"/>
      <c r="I463" s="32"/>
      <c r="J463" s="32"/>
      <c r="K463" s="32"/>
      <c r="L463" s="32"/>
      <c r="M463" s="34"/>
      <c r="N463" s="34"/>
      <c r="O463" s="34"/>
    </row>
    <row r="464">
      <c r="A464" s="45"/>
      <c r="B464" s="45"/>
      <c r="C464" s="45"/>
      <c r="D464" s="45"/>
      <c r="E464" s="45"/>
      <c r="F464" s="30"/>
      <c r="G464" s="30"/>
      <c r="H464" s="32"/>
      <c r="I464" s="32"/>
      <c r="J464" s="32"/>
      <c r="K464" s="32"/>
      <c r="L464" s="32"/>
      <c r="M464" s="34"/>
      <c r="N464" s="34"/>
      <c r="O464" s="34"/>
    </row>
    <row r="465">
      <c r="A465" s="45"/>
      <c r="B465" s="45"/>
      <c r="C465" s="45"/>
      <c r="D465" s="45"/>
      <c r="E465" s="45"/>
      <c r="F465" s="30"/>
      <c r="G465" s="30"/>
      <c r="H465" s="32"/>
      <c r="I465" s="32"/>
      <c r="J465" s="32"/>
      <c r="K465" s="32"/>
      <c r="L465" s="32"/>
      <c r="M465" s="34"/>
      <c r="N465" s="34"/>
      <c r="O465" s="34"/>
    </row>
    <row r="466">
      <c r="A466" s="45"/>
      <c r="B466" s="45"/>
      <c r="C466" s="45"/>
      <c r="D466" s="45"/>
      <c r="E466" s="45"/>
      <c r="F466" s="30"/>
      <c r="G466" s="30"/>
      <c r="H466" s="32"/>
      <c r="I466" s="32"/>
      <c r="J466" s="32"/>
      <c r="K466" s="32"/>
      <c r="L466" s="32"/>
      <c r="M466" s="34"/>
      <c r="N466" s="34"/>
      <c r="O466" s="34"/>
    </row>
    <row r="467">
      <c r="A467" s="45"/>
      <c r="B467" s="45"/>
      <c r="C467" s="45"/>
      <c r="D467" s="45"/>
      <c r="E467" s="45"/>
      <c r="F467" s="30"/>
      <c r="G467" s="30"/>
      <c r="H467" s="32"/>
      <c r="I467" s="32"/>
      <c r="J467" s="32"/>
      <c r="K467" s="32"/>
      <c r="L467" s="32"/>
      <c r="M467" s="34"/>
      <c r="N467" s="34"/>
      <c r="O467" s="34"/>
    </row>
    <row r="468">
      <c r="A468" s="45"/>
      <c r="B468" s="45"/>
      <c r="C468" s="45"/>
      <c r="D468" s="45"/>
      <c r="E468" s="45"/>
      <c r="F468" s="30"/>
      <c r="G468" s="30"/>
      <c r="H468" s="32"/>
      <c r="I468" s="32"/>
      <c r="J468" s="32"/>
      <c r="K468" s="32"/>
      <c r="L468" s="32"/>
      <c r="M468" s="34"/>
      <c r="N468" s="34"/>
      <c r="O468" s="34"/>
    </row>
    <row r="469">
      <c r="A469" s="45"/>
      <c r="B469" s="45"/>
      <c r="C469" s="45"/>
      <c r="D469" s="45"/>
      <c r="E469" s="45"/>
      <c r="F469" s="30"/>
      <c r="G469" s="30"/>
      <c r="H469" s="32"/>
      <c r="I469" s="32"/>
      <c r="J469" s="32"/>
      <c r="K469" s="32"/>
      <c r="L469" s="32"/>
      <c r="M469" s="34"/>
      <c r="N469" s="34"/>
      <c r="O469" s="34"/>
    </row>
    <row r="470">
      <c r="A470" s="45"/>
      <c r="B470" s="45"/>
      <c r="C470" s="45"/>
      <c r="D470" s="45"/>
      <c r="E470" s="45"/>
      <c r="F470" s="30"/>
      <c r="G470" s="30"/>
      <c r="H470" s="32"/>
      <c r="I470" s="32"/>
      <c r="J470" s="32"/>
      <c r="K470" s="32"/>
      <c r="L470" s="32"/>
      <c r="M470" s="34"/>
      <c r="N470" s="34"/>
      <c r="O470" s="34"/>
    </row>
    <row r="471">
      <c r="A471" s="45"/>
      <c r="B471" s="45"/>
      <c r="C471" s="45"/>
      <c r="D471" s="45"/>
      <c r="E471" s="45"/>
      <c r="F471" s="30"/>
      <c r="G471" s="30"/>
      <c r="H471" s="32"/>
      <c r="I471" s="32"/>
      <c r="J471" s="32"/>
      <c r="K471" s="32"/>
      <c r="L471" s="32"/>
      <c r="M471" s="34"/>
      <c r="N471" s="34"/>
      <c r="O471" s="34"/>
    </row>
    <row r="472">
      <c r="A472" s="45"/>
      <c r="B472" s="45"/>
      <c r="C472" s="45"/>
      <c r="D472" s="45"/>
      <c r="E472" s="45"/>
      <c r="F472" s="30"/>
      <c r="G472" s="30"/>
      <c r="H472" s="32"/>
      <c r="I472" s="32"/>
      <c r="J472" s="32"/>
      <c r="K472" s="32"/>
      <c r="L472" s="32"/>
      <c r="M472" s="34"/>
      <c r="N472" s="34"/>
      <c r="O472" s="34"/>
    </row>
    <row r="473">
      <c r="A473" s="45"/>
      <c r="B473" s="45"/>
      <c r="C473" s="45"/>
      <c r="D473" s="45"/>
      <c r="E473" s="45"/>
      <c r="F473" s="30"/>
      <c r="G473" s="30"/>
      <c r="H473" s="32"/>
      <c r="I473" s="32"/>
      <c r="J473" s="32"/>
      <c r="K473" s="32"/>
      <c r="L473" s="32"/>
      <c r="M473" s="34"/>
      <c r="N473" s="34"/>
      <c r="O473" s="34"/>
    </row>
    <row r="474">
      <c r="A474" s="45"/>
      <c r="B474" s="45"/>
      <c r="C474" s="45"/>
      <c r="D474" s="45"/>
      <c r="E474" s="45"/>
      <c r="F474" s="30"/>
      <c r="G474" s="30"/>
      <c r="H474" s="32"/>
      <c r="I474" s="32"/>
      <c r="J474" s="32"/>
      <c r="K474" s="32"/>
      <c r="L474" s="32"/>
      <c r="M474" s="34"/>
      <c r="N474" s="34"/>
      <c r="O474" s="34"/>
    </row>
    <row r="475">
      <c r="A475" s="45"/>
      <c r="B475" s="45"/>
      <c r="C475" s="45"/>
      <c r="D475" s="45"/>
      <c r="E475" s="45"/>
      <c r="F475" s="30"/>
      <c r="G475" s="30"/>
      <c r="H475" s="32"/>
      <c r="I475" s="32"/>
      <c r="J475" s="32"/>
      <c r="K475" s="32"/>
      <c r="L475" s="32"/>
      <c r="M475" s="34"/>
      <c r="N475" s="34"/>
      <c r="O475" s="34"/>
    </row>
    <row r="476">
      <c r="A476" s="45"/>
      <c r="B476" s="45"/>
      <c r="C476" s="45"/>
      <c r="D476" s="45"/>
      <c r="E476" s="45"/>
      <c r="F476" s="30"/>
      <c r="G476" s="30"/>
      <c r="H476" s="32"/>
      <c r="I476" s="32"/>
      <c r="J476" s="32"/>
      <c r="K476" s="32"/>
      <c r="L476" s="32"/>
      <c r="M476" s="34"/>
      <c r="N476" s="34"/>
      <c r="O476" s="34"/>
    </row>
    <row r="477">
      <c r="A477" s="45"/>
      <c r="B477" s="45"/>
      <c r="C477" s="45"/>
      <c r="D477" s="45"/>
      <c r="E477" s="45"/>
      <c r="F477" s="30"/>
      <c r="G477" s="30"/>
      <c r="H477" s="32"/>
      <c r="I477" s="32"/>
      <c r="J477" s="32"/>
      <c r="K477" s="32"/>
      <c r="L477" s="32"/>
      <c r="M477" s="34"/>
      <c r="N477" s="34"/>
      <c r="O477" s="34"/>
    </row>
    <row r="478">
      <c r="A478" s="45"/>
      <c r="B478" s="45"/>
      <c r="C478" s="45"/>
      <c r="D478" s="45"/>
      <c r="E478" s="45"/>
      <c r="F478" s="30"/>
      <c r="G478" s="30"/>
      <c r="H478" s="32"/>
      <c r="I478" s="32"/>
      <c r="J478" s="32"/>
      <c r="K478" s="32"/>
      <c r="L478" s="32"/>
      <c r="M478" s="34"/>
      <c r="N478" s="34"/>
      <c r="O478" s="34"/>
    </row>
    <row r="479">
      <c r="A479" s="45"/>
      <c r="B479" s="45"/>
      <c r="C479" s="45"/>
      <c r="D479" s="45"/>
      <c r="E479" s="45"/>
      <c r="F479" s="30"/>
      <c r="G479" s="30"/>
      <c r="H479" s="32"/>
      <c r="I479" s="32"/>
      <c r="J479" s="32"/>
      <c r="K479" s="32"/>
      <c r="L479" s="32"/>
      <c r="M479" s="34"/>
      <c r="N479" s="34"/>
      <c r="O479" s="34"/>
    </row>
    <row r="480">
      <c r="A480" s="45"/>
      <c r="B480" s="45"/>
      <c r="C480" s="45"/>
      <c r="D480" s="45"/>
      <c r="E480" s="45"/>
      <c r="F480" s="30"/>
      <c r="G480" s="30"/>
      <c r="H480" s="32"/>
      <c r="I480" s="32"/>
      <c r="J480" s="32"/>
      <c r="K480" s="32"/>
      <c r="L480" s="32"/>
      <c r="M480" s="34"/>
      <c r="N480" s="34"/>
      <c r="O480" s="34"/>
    </row>
    <row r="481">
      <c r="A481" s="45"/>
      <c r="B481" s="45"/>
      <c r="C481" s="45"/>
      <c r="D481" s="45"/>
      <c r="E481" s="45"/>
      <c r="F481" s="30"/>
      <c r="G481" s="30"/>
      <c r="H481" s="32"/>
      <c r="I481" s="32"/>
      <c r="J481" s="32"/>
      <c r="K481" s="32"/>
      <c r="L481" s="32"/>
      <c r="M481" s="34"/>
      <c r="N481" s="34"/>
      <c r="O481" s="34"/>
    </row>
    <row r="482">
      <c r="A482" s="45"/>
      <c r="B482" s="45"/>
      <c r="C482" s="45"/>
      <c r="D482" s="45"/>
      <c r="E482" s="45"/>
      <c r="F482" s="30"/>
      <c r="G482" s="30"/>
      <c r="H482" s="32"/>
      <c r="I482" s="32"/>
      <c r="J482" s="32"/>
      <c r="K482" s="32"/>
      <c r="L482" s="32"/>
      <c r="M482" s="34"/>
      <c r="N482" s="34"/>
      <c r="O482" s="34"/>
    </row>
    <row r="483">
      <c r="A483" s="45"/>
      <c r="B483" s="45"/>
      <c r="C483" s="45"/>
      <c r="D483" s="45"/>
      <c r="E483" s="45"/>
      <c r="F483" s="30"/>
      <c r="G483" s="30"/>
      <c r="H483" s="32"/>
      <c r="I483" s="32"/>
      <c r="J483" s="32"/>
      <c r="K483" s="32"/>
      <c r="L483" s="32"/>
      <c r="M483" s="34"/>
      <c r="N483" s="34"/>
      <c r="O483" s="34"/>
    </row>
    <row r="484">
      <c r="A484" s="45"/>
      <c r="B484" s="45"/>
      <c r="C484" s="45"/>
      <c r="D484" s="45"/>
      <c r="E484" s="45"/>
      <c r="F484" s="30"/>
      <c r="G484" s="30"/>
      <c r="H484" s="32"/>
      <c r="I484" s="32"/>
      <c r="J484" s="32"/>
      <c r="K484" s="32"/>
      <c r="L484" s="32"/>
      <c r="M484" s="34"/>
      <c r="N484" s="34"/>
      <c r="O484" s="34"/>
    </row>
    <row r="485">
      <c r="A485" s="45"/>
      <c r="B485" s="45"/>
      <c r="C485" s="45"/>
      <c r="D485" s="45"/>
      <c r="E485" s="45"/>
      <c r="F485" s="30"/>
      <c r="G485" s="30"/>
      <c r="H485" s="32"/>
      <c r="I485" s="32"/>
      <c r="J485" s="32"/>
      <c r="K485" s="32"/>
      <c r="L485" s="32"/>
      <c r="M485" s="34"/>
      <c r="N485" s="34"/>
      <c r="O485" s="34"/>
    </row>
    <row r="486">
      <c r="A486" s="45"/>
      <c r="B486" s="45"/>
      <c r="C486" s="45"/>
      <c r="D486" s="45"/>
      <c r="E486" s="45"/>
      <c r="F486" s="30"/>
      <c r="G486" s="30"/>
      <c r="H486" s="32"/>
      <c r="I486" s="32"/>
      <c r="J486" s="32"/>
      <c r="K486" s="32"/>
      <c r="L486" s="32"/>
      <c r="M486" s="34"/>
      <c r="N486" s="34"/>
      <c r="O486" s="34"/>
    </row>
    <row r="487">
      <c r="A487" s="45"/>
      <c r="B487" s="45"/>
      <c r="C487" s="45"/>
      <c r="D487" s="45"/>
      <c r="E487" s="45"/>
      <c r="F487" s="30"/>
      <c r="G487" s="30"/>
      <c r="H487" s="32"/>
      <c r="I487" s="32"/>
      <c r="J487" s="32"/>
      <c r="K487" s="32"/>
      <c r="L487" s="32"/>
      <c r="M487" s="34"/>
      <c r="N487" s="34"/>
      <c r="O487" s="34"/>
    </row>
    <row r="488">
      <c r="A488" s="45"/>
      <c r="B488" s="45"/>
      <c r="C488" s="45"/>
      <c r="D488" s="45"/>
      <c r="E488" s="45"/>
      <c r="F488" s="30"/>
      <c r="G488" s="30"/>
      <c r="H488" s="32"/>
      <c r="I488" s="32"/>
      <c r="J488" s="32"/>
      <c r="K488" s="32"/>
      <c r="L488" s="32"/>
      <c r="M488" s="34"/>
      <c r="N488" s="34"/>
      <c r="O488" s="34"/>
    </row>
    <row r="489">
      <c r="A489" s="45"/>
      <c r="B489" s="45"/>
      <c r="C489" s="45"/>
      <c r="D489" s="45"/>
      <c r="E489" s="45"/>
      <c r="F489" s="30"/>
      <c r="G489" s="30"/>
      <c r="H489" s="32"/>
      <c r="I489" s="32"/>
      <c r="J489" s="32"/>
      <c r="K489" s="32"/>
      <c r="L489" s="32"/>
      <c r="M489" s="34"/>
      <c r="N489" s="34"/>
      <c r="O489" s="34"/>
    </row>
    <row r="490">
      <c r="A490" s="45"/>
      <c r="B490" s="45"/>
      <c r="C490" s="45"/>
      <c r="D490" s="45"/>
      <c r="E490" s="45"/>
      <c r="F490" s="30"/>
      <c r="G490" s="30"/>
      <c r="H490" s="32"/>
      <c r="I490" s="32"/>
      <c r="J490" s="32"/>
      <c r="K490" s="32"/>
      <c r="L490" s="32"/>
      <c r="M490" s="34"/>
      <c r="N490" s="34"/>
      <c r="O490" s="34"/>
    </row>
    <row r="491">
      <c r="A491" s="45"/>
      <c r="B491" s="45"/>
      <c r="C491" s="45"/>
      <c r="D491" s="45"/>
      <c r="E491" s="45"/>
      <c r="F491" s="30"/>
      <c r="G491" s="30"/>
      <c r="H491" s="32"/>
      <c r="I491" s="32"/>
      <c r="J491" s="32"/>
      <c r="K491" s="32"/>
      <c r="L491" s="32"/>
      <c r="M491" s="34"/>
      <c r="N491" s="34"/>
      <c r="O491" s="34"/>
    </row>
    <row r="492">
      <c r="A492" s="45"/>
      <c r="B492" s="45"/>
      <c r="C492" s="45"/>
      <c r="D492" s="45"/>
      <c r="E492" s="45"/>
      <c r="F492" s="30"/>
      <c r="G492" s="30"/>
      <c r="H492" s="32"/>
      <c r="I492" s="32"/>
      <c r="J492" s="32"/>
      <c r="K492" s="32"/>
      <c r="L492" s="32"/>
      <c r="M492" s="34"/>
      <c r="N492" s="34"/>
      <c r="O492" s="34"/>
    </row>
    <row r="493">
      <c r="A493" s="45"/>
      <c r="B493" s="45"/>
      <c r="C493" s="45"/>
      <c r="D493" s="45"/>
      <c r="E493" s="45"/>
      <c r="F493" s="30"/>
      <c r="G493" s="30"/>
      <c r="H493" s="32"/>
      <c r="I493" s="32"/>
      <c r="J493" s="32"/>
      <c r="K493" s="32"/>
      <c r="L493" s="32"/>
      <c r="M493" s="34"/>
      <c r="N493" s="34"/>
      <c r="O493" s="34"/>
    </row>
    <row r="494">
      <c r="A494" s="45"/>
      <c r="B494" s="45"/>
      <c r="C494" s="45"/>
      <c r="D494" s="45"/>
      <c r="E494" s="45"/>
      <c r="F494" s="30"/>
      <c r="G494" s="30"/>
      <c r="H494" s="32"/>
      <c r="I494" s="32"/>
      <c r="J494" s="32"/>
      <c r="K494" s="32"/>
      <c r="L494" s="32"/>
      <c r="M494" s="34"/>
      <c r="N494" s="34"/>
      <c r="O494" s="34"/>
    </row>
    <row r="495">
      <c r="A495" s="45"/>
      <c r="B495" s="45"/>
      <c r="C495" s="45"/>
      <c r="D495" s="45"/>
      <c r="E495" s="45"/>
      <c r="F495" s="30"/>
      <c r="G495" s="30"/>
      <c r="H495" s="32"/>
      <c r="I495" s="32"/>
      <c r="J495" s="32"/>
      <c r="K495" s="32"/>
      <c r="L495" s="32"/>
      <c r="M495" s="34"/>
      <c r="N495" s="34"/>
      <c r="O495" s="34"/>
    </row>
    <row r="496">
      <c r="A496" s="45"/>
      <c r="B496" s="45"/>
      <c r="C496" s="45"/>
      <c r="D496" s="45"/>
      <c r="E496" s="45"/>
      <c r="F496" s="30"/>
      <c r="G496" s="30"/>
      <c r="H496" s="32"/>
      <c r="I496" s="32"/>
      <c r="J496" s="32"/>
      <c r="K496" s="32"/>
      <c r="L496" s="32"/>
      <c r="M496" s="34"/>
      <c r="N496" s="34"/>
      <c r="O496" s="34"/>
    </row>
    <row r="497">
      <c r="A497" s="45"/>
      <c r="B497" s="45"/>
      <c r="C497" s="45"/>
      <c r="D497" s="45"/>
      <c r="E497" s="45"/>
      <c r="F497" s="30"/>
      <c r="G497" s="30"/>
      <c r="H497" s="32"/>
      <c r="I497" s="32"/>
      <c r="J497" s="32"/>
      <c r="K497" s="32"/>
      <c r="L497" s="32"/>
      <c r="M497" s="34"/>
      <c r="N497" s="34"/>
      <c r="O497" s="34"/>
    </row>
    <row r="498">
      <c r="A498" s="45"/>
      <c r="B498" s="45"/>
      <c r="C498" s="45"/>
      <c r="D498" s="45"/>
      <c r="E498" s="45"/>
      <c r="F498" s="30"/>
      <c r="G498" s="30"/>
      <c r="H498" s="32"/>
      <c r="I498" s="32"/>
      <c r="J498" s="32"/>
      <c r="K498" s="32"/>
      <c r="L498" s="32"/>
      <c r="M498" s="34"/>
      <c r="N498" s="34"/>
      <c r="O498" s="34"/>
    </row>
    <row r="499">
      <c r="A499" s="45"/>
      <c r="B499" s="45"/>
      <c r="C499" s="45"/>
      <c r="D499" s="45"/>
      <c r="E499" s="45"/>
      <c r="F499" s="30"/>
      <c r="G499" s="30"/>
      <c r="H499" s="32"/>
      <c r="I499" s="32"/>
      <c r="J499" s="32"/>
      <c r="K499" s="32"/>
      <c r="L499" s="32"/>
      <c r="M499" s="34"/>
      <c r="N499" s="34"/>
      <c r="O499" s="34"/>
    </row>
    <row r="500">
      <c r="A500" s="45"/>
      <c r="B500" s="45"/>
      <c r="C500" s="45"/>
      <c r="D500" s="45"/>
      <c r="E500" s="45"/>
      <c r="F500" s="30"/>
      <c r="G500" s="30"/>
      <c r="H500" s="32"/>
      <c r="I500" s="32"/>
      <c r="J500" s="32"/>
      <c r="K500" s="32"/>
      <c r="L500" s="32"/>
      <c r="M500" s="34"/>
      <c r="N500" s="34"/>
      <c r="O500" s="34"/>
    </row>
    <row r="501">
      <c r="A501" s="45"/>
      <c r="B501" s="45"/>
      <c r="C501" s="45"/>
      <c r="D501" s="45"/>
      <c r="E501" s="45"/>
      <c r="F501" s="30"/>
      <c r="G501" s="30"/>
      <c r="H501" s="32"/>
      <c r="I501" s="32"/>
      <c r="J501" s="32"/>
      <c r="K501" s="32"/>
      <c r="L501" s="32"/>
      <c r="M501" s="34"/>
      <c r="N501" s="34"/>
      <c r="O501" s="34"/>
    </row>
    <row r="502">
      <c r="A502" s="45"/>
      <c r="B502" s="45"/>
      <c r="C502" s="45"/>
      <c r="D502" s="45"/>
      <c r="E502" s="45"/>
      <c r="F502" s="30"/>
      <c r="G502" s="30"/>
      <c r="H502" s="32"/>
      <c r="I502" s="32"/>
      <c r="J502" s="32"/>
      <c r="K502" s="32"/>
      <c r="L502" s="32"/>
      <c r="M502" s="34"/>
      <c r="N502" s="34"/>
      <c r="O502" s="34"/>
    </row>
    <row r="503">
      <c r="A503" s="45"/>
      <c r="B503" s="45"/>
      <c r="C503" s="45"/>
      <c r="D503" s="45"/>
      <c r="E503" s="45"/>
      <c r="F503" s="30"/>
      <c r="G503" s="30"/>
      <c r="H503" s="32"/>
      <c r="I503" s="32"/>
      <c r="J503" s="32"/>
      <c r="K503" s="32"/>
      <c r="L503" s="32"/>
      <c r="M503" s="34"/>
      <c r="N503" s="34"/>
      <c r="O503" s="34"/>
    </row>
    <row r="504">
      <c r="A504" s="45"/>
      <c r="B504" s="45"/>
      <c r="C504" s="45"/>
      <c r="D504" s="45"/>
      <c r="E504" s="45"/>
      <c r="F504" s="30"/>
      <c r="G504" s="30"/>
      <c r="H504" s="32"/>
      <c r="I504" s="32"/>
      <c r="J504" s="32"/>
      <c r="K504" s="32"/>
      <c r="L504" s="32"/>
      <c r="M504" s="34"/>
      <c r="N504" s="34"/>
      <c r="O504" s="34"/>
    </row>
    <row r="505">
      <c r="A505" s="45"/>
      <c r="B505" s="45"/>
      <c r="C505" s="45"/>
      <c r="D505" s="45"/>
      <c r="E505" s="45"/>
      <c r="F505" s="30"/>
      <c r="G505" s="30"/>
      <c r="H505" s="32"/>
      <c r="I505" s="32"/>
      <c r="J505" s="32"/>
      <c r="K505" s="32"/>
      <c r="L505" s="32"/>
      <c r="M505" s="34"/>
      <c r="N505" s="34"/>
      <c r="O505" s="34"/>
    </row>
    <row r="506">
      <c r="A506" s="45"/>
      <c r="B506" s="45"/>
      <c r="C506" s="45"/>
      <c r="D506" s="45"/>
      <c r="E506" s="45"/>
      <c r="F506" s="30"/>
      <c r="G506" s="30"/>
      <c r="H506" s="32"/>
      <c r="I506" s="32"/>
      <c r="J506" s="32"/>
      <c r="K506" s="32"/>
      <c r="L506" s="32"/>
      <c r="M506" s="34"/>
      <c r="N506" s="34"/>
      <c r="O506" s="34"/>
    </row>
    <row r="507">
      <c r="A507" s="45"/>
      <c r="B507" s="45"/>
      <c r="C507" s="45"/>
      <c r="D507" s="45"/>
      <c r="E507" s="45"/>
      <c r="F507" s="30"/>
      <c r="G507" s="30"/>
      <c r="H507" s="32"/>
      <c r="I507" s="32"/>
      <c r="J507" s="32"/>
      <c r="K507" s="32"/>
      <c r="L507" s="32"/>
      <c r="M507" s="34"/>
      <c r="N507" s="34"/>
      <c r="O507" s="34"/>
    </row>
    <row r="508">
      <c r="A508" s="45"/>
      <c r="B508" s="45"/>
      <c r="C508" s="45"/>
      <c r="D508" s="45"/>
      <c r="E508" s="45"/>
      <c r="F508" s="30"/>
      <c r="G508" s="30"/>
      <c r="H508" s="32"/>
      <c r="I508" s="32"/>
      <c r="J508" s="32"/>
      <c r="K508" s="32"/>
      <c r="L508" s="32"/>
      <c r="M508" s="34"/>
      <c r="N508" s="34"/>
      <c r="O508" s="34"/>
    </row>
    <row r="509">
      <c r="A509" s="45"/>
      <c r="B509" s="45"/>
      <c r="C509" s="45"/>
      <c r="D509" s="45"/>
      <c r="E509" s="45"/>
      <c r="F509" s="30"/>
      <c r="G509" s="30"/>
      <c r="H509" s="32"/>
      <c r="I509" s="32"/>
      <c r="J509" s="32"/>
      <c r="K509" s="32"/>
      <c r="L509" s="32"/>
      <c r="M509" s="34"/>
      <c r="N509" s="34"/>
      <c r="O509" s="34"/>
    </row>
    <row r="510">
      <c r="A510" s="45"/>
      <c r="B510" s="45"/>
      <c r="C510" s="45"/>
      <c r="D510" s="45"/>
      <c r="E510" s="45"/>
      <c r="F510" s="30"/>
      <c r="G510" s="30"/>
      <c r="H510" s="32"/>
      <c r="I510" s="32"/>
      <c r="J510" s="32"/>
      <c r="K510" s="32"/>
      <c r="L510" s="32"/>
      <c r="M510" s="34"/>
      <c r="N510" s="34"/>
      <c r="O510" s="34"/>
    </row>
    <row r="511">
      <c r="A511" s="45"/>
      <c r="B511" s="45"/>
      <c r="C511" s="45"/>
      <c r="D511" s="45"/>
      <c r="E511" s="45"/>
      <c r="F511" s="30"/>
      <c r="G511" s="30"/>
      <c r="H511" s="32"/>
      <c r="I511" s="32"/>
      <c r="J511" s="32"/>
      <c r="K511" s="32"/>
      <c r="L511" s="32"/>
      <c r="M511" s="34"/>
      <c r="N511" s="34"/>
      <c r="O511" s="34"/>
    </row>
    <row r="512">
      <c r="A512" s="45"/>
      <c r="B512" s="45"/>
      <c r="C512" s="45"/>
      <c r="D512" s="45"/>
      <c r="E512" s="45"/>
      <c r="F512" s="30"/>
      <c r="G512" s="30"/>
      <c r="H512" s="32"/>
      <c r="I512" s="32"/>
      <c r="J512" s="32"/>
      <c r="K512" s="32"/>
      <c r="L512" s="32"/>
      <c r="M512" s="34"/>
      <c r="N512" s="34"/>
      <c r="O512" s="34"/>
    </row>
    <row r="513">
      <c r="A513" s="45"/>
      <c r="B513" s="45"/>
      <c r="C513" s="45"/>
      <c r="D513" s="45"/>
      <c r="E513" s="45"/>
      <c r="F513" s="30"/>
      <c r="G513" s="30"/>
      <c r="H513" s="32"/>
      <c r="I513" s="32"/>
      <c r="J513" s="32"/>
      <c r="K513" s="32"/>
      <c r="L513" s="32"/>
      <c r="M513" s="34"/>
      <c r="N513" s="34"/>
      <c r="O513" s="34"/>
    </row>
    <row r="514">
      <c r="A514" s="45"/>
      <c r="B514" s="45"/>
      <c r="C514" s="45"/>
      <c r="D514" s="45"/>
      <c r="E514" s="45"/>
      <c r="F514" s="30"/>
      <c r="G514" s="30"/>
      <c r="H514" s="32"/>
      <c r="I514" s="32"/>
      <c r="J514" s="32"/>
      <c r="K514" s="32"/>
      <c r="L514" s="32"/>
      <c r="M514" s="34"/>
      <c r="N514" s="34"/>
      <c r="O514" s="34"/>
    </row>
    <row r="515">
      <c r="A515" s="45"/>
      <c r="B515" s="45"/>
      <c r="C515" s="45"/>
      <c r="D515" s="45"/>
      <c r="E515" s="45"/>
      <c r="F515" s="30"/>
      <c r="G515" s="30"/>
      <c r="H515" s="32"/>
      <c r="I515" s="32"/>
      <c r="J515" s="32"/>
      <c r="K515" s="32"/>
      <c r="L515" s="32"/>
      <c r="M515" s="34"/>
      <c r="N515" s="34"/>
      <c r="O515" s="34"/>
    </row>
    <row r="516">
      <c r="A516" s="45"/>
      <c r="B516" s="45"/>
      <c r="C516" s="45"/>
      <c r="D516" s="45"/>
      <c r="E516" s="45"/>
      <c r="F516" s="30"/>
      <c r="G516" s="30"/>
      <c r="H516" s="32"/>
      <c r="I516" s="32"/>
      <c r="J516" s="32"/>
      <c r="K516" s="32"/>
      <c r="L516" s="32"/>
      <c r="M516" s="34"/>
      <c r="N516" s="34"/>
      <c r="O516" s="34"/>
    </row>
    <row r="517">
      <c r="A517" s="45"/>
      <c r="B517" s="45"/>
      <c r="C517" s="45"/>
      <c r="D517" s="45"/>
      <c r="E517" s="45"/>
      <c r="F517" s="30"/>
      <c r="G517" s="30"/>
      <c r="H517" s="32"/>
      <c r="I517" s="32"/>
      <c r="J517" s="32"/>
      <c r="K517" s="32"/>
      <c r="L517" s="32"/>
      <c r="M517" s="34"/>
      <c r="N517" s="34"/>
      <c r="O517" s="34"/>
    </row>
    <row r="518">
      <c r="A518" s="45"/>
      <c r="B518" s="45"/>
      <c r="C518" s="45"/>
      <c r="D518" s="45"/>
      <c r="E518" s="45"/>
      <c r="F518" s="30"/>
      <c r="G518" s="30"/>
      <c r="H518" s="32"/>
      <c r="I518" s="32"/>
      <c r="J518" s="32"/>
      <c r="K518" s="32"/>
      <c r="L518" s="32"/>
      <c r="M518" s="34"/>
      <c r="N518" s="34"/>
      <c r="O518" s="34"/>
    </row>
    <row r="519">
      <c r="A519" s="45"/>
      <c r="B519" s="45"/>
      <c r="C519" s="45"/>
      <c r="D519" s="45"/>
      <c r="E519" s="45"/>
      <c r="F519" s="30"/>
      <c r="G519" s="30"/>
      <c r="H519" s="32"/>
      <c r="I519" s="32"/>
      <c r="J519" s="32"/>
      <c r="K519" s="32"/>
      <c r="L519" s="32"/>
      <c r="M519" s="34"/>
      <c r="N519" s="34"/>
      <c r="O519" s="34"/>
    </row>
    <row r="520">
      <c r="A520" s="45"/>
      <c r="B520" s="45"/>
      <c r="C520" s="45"/>
      <c r="D520" s="45"/>
      <c r="E520" s="45"/>
      <c r="F520" s="30"/>
      <c r="G520" s="30"/>
      <c r="H520" s="32"/>
      <c r="I520" s="32"/>
      <c r="J520" s="32"/>
      <c r="K520" s="32"/>
      <c r="L520" s="32"/>
      <c r="M520" s="34"/>
      <c r="N520" s="34"/>
      <c r="O520" s="34"/>
    </row>
    <row r="521">
      <c r="A521" s="45"/>
      <c r="B521" s="45"/>
      <c r="C521" s="45"/>
      <c r="D521" s="45"/>
      <c r="E521" s="45"/>
      <c r="F521" s="30"/>
      <c r="G521" s="30"/>
      <c r="H521" s="32"/>
      <c r="I521" s="32"/>
      <c r="J521" s="32"/>
      <c r="K521" s="32"/>
      <c r="L521" s="32"/>
      <c r="M521" s="34"/>
      <c r="N521" s="34"/>
      <c r="O521" s="34"/>
    </row>
    <row r="522">
      <c r="A522" s="45"/>
      <c r="B522" s="45"/>
      <c r="C522" s="45"/>
      <c r="D522" s="45"/>
      <c r="E522" s="45"/>
      <c r="F522" s="30"/>
      <c r="G522" s="30"/>
      <c r="H522" s="32"/>
      <c r="I522" s="32"/>
      <c r="J522" s="32"/>
      <c r="K522" s="32"/>
      <c r="L522" s="32"/>
      <c r="M522" s="34"/>
      <c r="N522" s="34"/>
      <c r="O522" s="34"/>
    </row>
    <row r="523">
      <c r="A523" s="45"/>
      <c r="B523" s="45"/>
      <c r="C523" s="45"/>
      <c r="D523" s="45"/>
      <c r="E523" s="45"/>
      <c r="F523" s="30"/>
      <c r="G523" s="30"/>
      <c r="H523" s="32"/>
      <c r="I523" s="32"/>
      <c r="J523" s="32"/>
      <c r="K523" s="32"/>
      <c r="L523" s="32"/>
      <c r="M523" s="34"/>
      <c r="N523" s="34"/>
      <c r="O523" s="34"/>
    </row>
    <row r="524">
      <c r="A524" s="45"/>
      <c r="B524" s="45"/>
      <c r="C524" s="45"/>
      <c r="D524" s="45"/>
      <c r="E524" s="45"/>
      <c r="F524" s="30"/>
      <c r="G524" s="30"/>
      <c r="H524" s="32"/>
      <c r="I524" s="32"/>
      <c r="J524" s="32"/>
      <c r="K524" s="32"/>
      <c r="L524" s="32"/>
      <c r="M524" s="34"/>
      <c r="N524" s="34"/>
      <c r="O524" s="34"/>
    </row>
    <row r="525">
      <c r="A525" s="45"/>
      <c r="B525" s="45"/>
      <c r="C525" s="45"/>
      <c r="D525" s="45"/>
      <c r="E525" s="45"/>
      <c r="F525" s="30"/>
      <c r="G525" s="30"/>
      <c r="H525" s="32"/>
      <c r="I525" s="32"/>
      <c r="J525" s="32"/>
      <c r="K525" s="32"/>
      <c r="L525" s="32"/>
      <c r="M525" s="34"/>
      <c r="N525" s="34"/>
      <c r="O525" s="34"/>
    </row>
    <row r="526">
      <c r="A526" s="45"/>
      <c r="B526" s="45"/>
      <c r="C526" s="45"/>
      <c r="D526" s="45"/>
      <c r="E526" s="45"/>
      <c r="F526" s="30"/>
      <c r="G526" s="30"/>
      <c r="H526" s="32"/>
      <c r="I526" s="32"/>
      <c r="J526" s="32"/>
      <c r="K526" s="32"/>
      <c r="L526" s="32"/>
      <c r="M526" s="34"/>
      <c r="N526" s="34"/>
      <c r="O526" s="34"/>
    </row>
    <row r="527">
      <c r="A527" s="45"/>
      <c r="B527" s="45"/>
      <c r="C527" s="45"/>
      <c r="D527" s="45"/>
      <c r="E527" s="45"/>
      <c r="F527" s="30"/>
      <c r="G527" s="30"/>
      <c r="H527" s="32"/>
      <c r="I527" s="32"/>
      <c r="J527" s="32"/>
      <c r="K527" s="32"/>
      <c r="L527" s="32"/>
      <c r="M527" s="34"/>
      <c r="N527" s="34"/>
      <c r="O527" s="34"/>
    </row>
    <row r="528">
      <c r="A528" s="45"/>
      <c r="B528" s="45"/>
      <c r="C528" s="45"/>
      <c r="D528" s="45"/>
      <c r="E528" s="45"/>
      <c r="F528" s="30"/>
      <c r="G528" s="30"/>
      <c r="H528" s="32"/>
      <c r="I528" s="32"/>
      <c r="J528" s="32"/>
      <c r="K528" s="32"/>
      <c r="L528" s="32"/>
      <c r="M528" s="34"/>
      <c r="N528" s="34"/>
      <c r="O528" s="34"/>
    </row>
    <row r="529">
      <c r="A529" s="45"/>
      <c r="B529" s="45"/>
      <c r="C529" s="45"/>
      <c r="D529" s="45"/>
      <c r="E529" s="45"/>
      <c r="F529" s="30"/>
      <c r="G529" s="30"/>
      <c r="H529" s="32"/>
      <c r="I529" s="32"/>
      <c r="J529" s="32"/>
      <c r="K529" s="32"/>
      <c r="L529" s="32"/>
      <c r="M529" s="34"/>
      <c r="N529" s="34"/>
      <c r="O529" s="34"/>
    </row>
    <row r="530">
      <c r="A530" s="45"/>
      <c r="B530" s="45"/>
      <c r="C530" s="45"/>
      <c r="D530" s="45"/>
      <c r="E530" s="45"/>
      <c r="F530" s="30"/>
      <c r="G530" s="30"/>
      <c r="H530" s="32"/>
      <c r="I530" s="32"/>
      <c r="J530" s="32"/>
      <c r="K530" s="32"/>
      <c r="L530" s="32"/>
      <c r="M530" s="34"/>
      <c r="N530" s="34"/>
      <c r="O530" s="34"/>
    </row>
    <row r="531">
      <c r="A531" s="45"/>
      <c r="B531" s="45"/>
      <c r="C531" s="45"/>
      <c r="D531" s="45"/>
      <c r="E531" s="45"/>
      <c r="F531" s="30"/>
      <c r="G531" s="30"/>
      <c r="H531" s="32"/>
      <c r="I531" s="32"/>
      <c r="J531" s="32"/>
      <c r="K531" s="32"/>
      <c r="L531" s="32"/>
      <c r="M531" s="34"/>
      <c r="N531" s="34"/>
      <c r="O531" s="34"/>
    </row>
    <row r="532">
      <c r="A532" s="45"/>
      <c r="B532" s="45"/>
      <c r="C532" s="45"/>
      <c r="D532" s="45"/>
      <c r="E532" s="45"/>
      <c r="F532" s="30"/>
      <c r="G532" s="30"/>
      <c r="H532" s="32"/>
      <c r="I532" s="32"/>
      <c r="J532" s="32"/>
      <c r="K532" s="32"/>
      <c r="L532" s="32"/>
      <c r="M532" s="34"/>
      <c r="N532" s="34"/>
      <c r="O532" s="34"/>
    </row>
    <row r="533">
      <c r="A533" s="45"/>
      <c r="B533" s="45"/>
      <c r="C533" s="45"/>
      <c r="D533" s="45"/>
      <c r="E533" s="45"/>
      <c r="F533" s="30"/>
      <c r="G533" s="30"/>
      <c r="H533" s="32"/>
      <c r="I533" s="32"/>
      <c r="J533" s="32"/>
      <c r="K533" s="32"/>
      <c r="L533" s="32"/>
      <c r="M533" s="34"/>
      <c r="N533" s="34"/>
      <c r="O533" s="34"/>
    </row>
    <row r="534">
      <c r="A534" s="45"/>
      <c r="B534" s="45"/>
      <c r="C534" s="45"/>
      <c r="D534" s="45"/>
      <c r="E534" s="45"/>
      <c r="F534" s="30"/>
      <c r="G534" s="30"/>
      <c r="H534" s="32"/>
      <c r="I534" s="32"/>
      <c r="J534" s="32"/>
      <c r="K534" s="32"/>
      <c r="L534" s="32"/>
      <c r="M534" s="34"/>
      <c r="N534" s="34"/>
      <c r="O534" s="34"/>
    </row>
    <row r="535">
      <c r="A535" s="45"/>
      <c r="B535" s="45"/>
      <c r="C535" s="45"/>
      <c r="D535" s="45"/>
      <c r="E535" s="45"/>
      <c r="F535" s="30"/>
      <c r="G535" s="30"/>
      <c r="H535" s="32"/>
      <c r="I535" s="32"/>
      <c r="J535" s="32"/>
      <c r="K535" s="32"/>
      <c r="L535" s="32"/>
      <c r="M535" s="34"/>
      <c r="N535" s="34"/>
      <c r="O535" s="34"/>
    </row>
    <row r="536">
      <c r="A536" s="45"/>
      <c r="B536" s="45"/>
      <c r="C536" s="45"/>
      <c r="D536" s="45"/>
      <c r="E536" s="45"/>
      <c r="F536" s="30"/>
      <c r="G536" s="30"/>
      <c r="H536" s="32"/>
      <c r="I536" s="32"/>
      <c r="J536" s="32"/>
      <c r="K536" s="32"/>
      <c r="L536" s="32"/>
      <c r="M536" s="34"/>
      <c r="N536" s="34"/>
      <c r="O536" s="34"/>
    </row>
    <row r="537">
      <c r="A537" s="45"/>
      <c r="B537" s="45"/>
      <c r="C537" s="45"/>
      <c r="D537" s="45"/>
      <c r="E537" s="45"/>
      <c r="F537" s="30"/>
      <c r="G537" s="30"/>
      <c r="H537" s="32"/>
      <c r="I537" s="32"/>
      <c r="J537" s="32"/>
      <c r="K537" s="32"/>
      <c r="L537" s="32"/>
      <c r="M537" s="34"/>
      <c r="N537" s="34"/>
      <c r="O537" s="34"/>
    </row>
    <row r="538">
      <c r="A538" s="45"/>
      <c r="B538" s="45"/>
      <c r="C538" s="45"/>
      <c r="D538" s="45"/>
      <c r="E538" s="45"/>
      <c r="F538" s="30"/>
      <c r="G538" s="30"/>
      <c r="H538" s="32"/>
      <c r="I538" s="32"/>
      <c r="J538" s="32"/>
      <c r="K538" s="32"/>
      <c r="L538" s="32"/>
      <c r="M538" s="34"/>
      <c r="N538" s="34"/>
      <c r="O538" s="34"/>
    </row>
    <row r="539">
      <c r="A539" s="45"/>
      <c r="B539" s="45"/>
      <c r="C539" s="45"/>
      <c r="D539" s="45"/>
      <c r="E539" s="45"/>
      <c r="F539" s="30"/>
      <c r="G539" s="30"/>
      <c r="H539" s="32"/>
      <c r="I539" s="32"/>
      <c r="J539" s="32"/>
      <c r="K539" s="32"/>
      <c r="L539" s="32"/>
      <c r="M539" s="34"/>
      <c r="N539" s="34"/>
      <c r="O539" s="34"/>
    </row>
    <row r="540">
      <c r="A540" s="45"/>
      <c r="B540" s="45"/>
      <c r="C540" s="45"/>
      <c r="D540" s="45"/>
      <c r="E540" s="45"/>
      <c r="F540" s="30"/>
      <c r="G540" s="30"/>
      <c r="H540" s="32"/>
      <c r="I540" s="32"/>
      <c r="J540" s="32"/>
      <c r="K540" s="32"/>
      <c r="L540" s="32"/>
      <c r="M540" s="34"/>
      <c r="N540" s="34"/>
      <c r="O540" s="34"/>
    </row>
    <row r="541">
      <c r="A541" s="45"/>
      <c r="B541" s="45"/>
      <c r="C541" s="45"/>
      <c r="D541" s="45"/>
      <c r="E541" s="45"/>
      <c r="F541" s="30"/>
      <c r="G541" s="30"/>
      <c r="H541" s="32"/>
      <c r="I541" s="32"/>
      <c r="J541" s="32"/>
      <c r="K541" s="32"/>
      <c r="L541" s="32"/>
      <c r="M541" s="34"/>
      <c r="N541" s="34"/>
      <c r="O541" s="34"/>
    </row>
    <row r="542">
      <c r="A542" s="45"/>
      <c r="B542" s="45"/>
      <c r="C542" s="45"/>
      <c r="D542" s="45"/>
      <c r="E542" s="45"/>
      <c r="F542" s="30"/>
      <c r="G542" s="30"/>
      <c r="H542" s="32"/>
      <c r="I542" s="32"/>
      <c r="J542" s="32"/>
      <c r="K542" s="32"/>
      <c r="L542" s="32"/>
      <c r="M542" s="34"/>
      <c r="N542" s="34"/>
      <c r="O542" s="34"/>
    </row>
    <row r="543">
      <c r="A543" s="45"/>
      <c r="B543" s="45"/>
      <c r="C543" s="45"/>
      <c r="D543" s="45"/>
      <c r="E543" s="45"/>
      <c r="F543" s="30"/>
      <c r="G543" s="30"/>
      <c r="H543" s="32"/>
      <c r="I543" s="32"/>
      <c r="J543" s="32"/>
      <c r="K543" s="32"/>
      <c r="L543" s="32"/>
      <c r="M543" s="34"/>
      <c r="N543" s="34"/>
      <c r="O543" s="34"/>
    </row>
    <row r="544">
      <c r="A544" s="45"/>
      <c r="B544" s="45"/>
      <c r="C544" s="45"/>
      <c r="D544" s="45"/>
      <c r="E544" s="45"/>
      <c r="F544" s="30"/>
      <c r="G544" s="30"/>
      <c r="H544" s="32"/>
      <c r="I544" s="32"/>
      <c r="J544" s="32"/>
      <c r="K544" s="32"/>
      <c r="L544" s="32"/>
      <c r="M544" s="34"/>
      <c r="N544" s="34"/>
      <c r="O544" s="34"/>
    </row>
    <row r="545">
      <c r="A545" s="45"/>
      <c r="B545" s="45"/>
      <c r="C545" s="45"/>
      <c r="D545" s="45"/>
      <c r="E545" s="45"/>
      <c r="F545" s="30"/>
      <c r="G545" s="30"/>
      <c r="H545" s="32"/>
      <c r="I545" s="32"/>
      <c r="J545" s="32"/>
      <c r="K545" s="32"/>
      <c r="L545" s="32"/>
      <c r="M545" s="34"/>
      <c r="N545" s="34"/>
      <c r="O545" s="34"/>
    </row>
    <row r="546">
      <c r="A546" s="45"/>
      <c r="B546" s="45"/>
      <c r="C546" s="45"/>
      <c r="D546" s="45"/>
      <c r="E546" s="45"/>
      <c r="F546" s="30"/>
      <c r="G546" s="30"/>
      <c r="H546" s="32"/>
      <c r="I546" s="32"/>
      <c r="J546" s="32"/>
      <c r="K546" s="32"/>
      <c r="L546" s="32"/>
      <c r="M546" s="34"/>
      <c r="N546" s="34"/>
      <c r="O546" s="34"/>
    </row>
    <row r="547">
      <c r="A547" s="45"/>
      <c r="B547" s="45"/>
      <c r="C547" s="45"/>
      <c r="D547" s="45"/>
      <c r="E547" s="45"/>
      <c r="F547" s="30"/>
      <c r="G547" s="30"/>
      <c r="H547" s="32"/>
      <c r="I547" s="32"/>
      <c r="J547" s="32"/>
      <c r="K547" s="32"/>
      <c r="L547" s="32"/>
      <c r="M547" s="34"/>
      <c r="N547" s="34"/>
      <c r="O547" s="34"/>
    </row>
    <row r="548">
      <c r="A548" s="45"/>
      <c r="B548" s="45"/>
      <c r="C548" s="45"/>
      <c r="D548" s="45"/>
      <c r="E548" s="45"/>
      <c r="F548" s="30"/>
      <c r="G548" s="30"/>
      <c r="H548" s="32"/>
      <c r="I548" s="32"/>
      <c r="J548" s="32"/>
      <c r="K548" s="32"/>
      <c r="L548" s="32"/>
      <c r="M548" s="34"/>
      <c r="N548" s="34"/>
      <c r="O548" s="34"/>
    </row>
    <row r="549">
      <c r="A549" s="45"/>
      <c r="B549" s="45"/>
      <c r="C549" s="45"/>
      <c r="D549" s="45"/>
      <c r="E549" s="45"/>
      <c r="F549" s="30"/>
      <c r="G549" s="30"/>
      <c r="H549" s="32"/>
      <c r="I549" s="32"/>
      <c r="J549" s="32"/>
      <c r="K549" s="32"/>
      <c r="L549" s="32"/>
      <c r="M549" s="34"/>
      <c r="N549" s="34"/>
      <c r="O549" s="34"/>
    </row>
    <row r="550">
      <c r="A550" s="45"/>
      <c r="B550" s="45"/>
      <c r="C550" s="45"/>
      <c r="D550" s="45"/>
      <c r="E550" s="45"/>
      <c r="F550" s="30"/>
      <c r="G550" s="30"/>
      <c r="H550" s="32"/>
      <c r="I550" s="32"/>
      <c r="J550" s="32"/>
      <c r="K550" s="32"/>
      <c r="L550" s="32"/>
      <c r="M550" s="34"/>
      <c r="N550" s="34"/>
      <c r="O550" s="34"/>
    </row>
    <row r="551">
      <c r="A551" s="45"/>
      <c r="B551" s="45"/>
      <c r="C551" s="45"/>
      <c r="D551" s="45"/>
      <c r="E551" s="45"/>
      <c r="F551" s="30"/>
      <c r="G551" s="30"/>
      <c r="H551" s="32"/>
      <c r="I551" s="32"/>
      <c r="J551" s="32"/>
      <c r="K551" s="32"/>
      <c r="L551" s="32"/>
      <c r="M551" s="34"/>
      <c r="N551" s="34"/>
      <c r="O551" s="34"/>
    </row>
    <row r="552">
      <c r="A552" s="45"/>
      <c r="B552" s="45"/>
      <c r="C552" s="45"/>
      <c r="D552" s="45"/>
      <c r="E552" s="45"/>
      <c r="F552" s="30"/>
      <c r="G552" s="30"/>
      <c r="H552" s="32"/>
      <c r="I552" s="32"/>
      <c r="J552" s="32"/>
      <c r="K552" s="32"/>
      <c r="L552" s="32"/>
      <c r="M552" s="34"/>
      <c r="N552" s="34"/>
      <c r="O552" s="34"/>
    </row>
    <row r="553">
      <c r="A553" s="45"/>
      <c r="B553" s="45"/>
      <c r="C553" s="45"/>
      <c r="D553" s="45"/>
      <c r="E553" s="45"/>
      <c r="F553" s="30"/>
      <c r="G553" s="30"/>
      <c r="H553" s="32"/>
      <c r="I553" s="32"/>
      <c r="J553" s="32"/>
      <c r="K553" s="32"/>
      <c r="L553" s="32"/>
      <c r="M553" s="34"/>
      <c r="N553" s="34"/>
      <c r="O553" s="34"/>
    </row>
    <row r="554">
      <c r="A554" s="45"/>
      <c r="B554" s="45"/>
      <c r="C554" s="45"/>
      <c r="D554" s="45"/>
      <c r="E554" s="45"/>
      <c r="F554" s="30"/>
      <c r="G554" s="30"/>
      <c r="H554" s="32"/>
      <c r="I554" s="32"/>
      <c r="J554" s="32"/>
      <c r="K554" s="32"/>
      <c r="L554" s="32"/>
      <c r="M554" s="34"/>
      <c r="N554" s="34"/>
      <c r="O554" s="34"/>
    </row>
    <row r="555">
      <c r="A555" s="45"/>
      <c r="B555" s="45"/>
      <c r="C555" s="45"/>
      <c r="D555" s="45"/>
      <c r="E555" s="45"/>
      <c r="F555" s="30"/>
      <c r="G555" s="30"/>
      <c r="H555" s="32"/>
      <c r="I555" s="32"/>
      <c r="J555" s="32"/>
      <c r="K555" s="32"/>
      <c r="L555" s="32"/>
      <c r="M555" s="34"/>
      <c r="N555" s="34"/>
      <c r="O555" s="34"/>
    </row>
    <row r="556">
      <c r="A556" s="45"/>
      <c r="B556" s="45"/>
      <c r="C556" s="45"/>
      <c r="D556" s="45"/>
      <c r="E556" s="45"/>
      <c r="F556" s="30"/>
      <c r="G556" s="30"/>
      <c r="H556" s="32"/>
      <c r="I556" s="32"/>
      <c r="J556" s="32"/>
      <c r="K556" s="32"/>
      <c r="L556" s="32"/>
      <c r="M556" s="34"/>
      <c r="N556" s="34"/>
      <c r="O556" s="34"/>
    </row>
    <row r="557">
      <c r="A557" s="45"/>
      <c r="B557" s="45"/>
      <c r="C557" s="45"/>
      <c r="D557" s="45"/>
      <c r="E557" s="45"/>
      <c r="F557" s="30"/>
      <c r="G557" s="30"/>
      <c r="H557" s="32"/>
      <c r="I557" s="32"/>
      <c r="J557" s="32"/>
      <c r="K557" s="32"/>
      <c r="L557" s="32"/>
      <c r="M557" s="34"/>
      <c r="N557" s="34"/>
      <c r="O557" s="34"/>
    </row>
    <row r="558">
      <c r="A558" s="45"/>
      <c r="B558" s="45"/>
      <c r="C558" s="45"/>
      <c r="D558" s="45"/>
      <c r="E558" s="45"/>
      <c r="F558" s="30"/>
      <c r="G558" s="30"/>
      <c r="H558" s="32"/>
      <c r="I558" s="32"/>
      <c r="J558" s="32"/>
      <c r="K558" s="32"/>
      <c r="L558" s="32"/>
      <c r="M558" s="34"/>
      <c r="N558" s="34"/>
      <c r="O558" s="34"/>
    </row>
    <row r="559">
      <c r="A559" s="45"/>
      <c r="B559" s="45"/>
      <c r="C559" s="45"/>
      <c r="D559" s="45"/>
      <c r="E559" s="45"/>
      <c r="F559" s="30"/>
      <c r="G559" s="30"/>
      <c r="H559" s="32"/>
      <c r="I559" s="32"/>
      <c r="J559" s="32"/>
      <c r="K559" s="32"/>
      <c r="L559" s="32"/>
      <c r="M559" s="34"/>
      <c r="N559" s="34"/>
      <c r="O559" s="34"/>
    </row>
    <row r="560">
      <c r="A560" s="45"/>
      <c r="B560" s="45"/>
      <c r="C560" s="45"/>
      <c r="D560" s="45"/>
      <c r="E560" s="45"/>
      <c r="F560" s="30"/>
      <c r="G560" s="30"/>
      <c r="H560" s="32"/>
      <c r="I560" s="32"/>
      <c r="J560" s="32"/>
      <c r="K560" s="32"/>
      <c r="L560" s="32"/>
      <c r="M560" s="34"/>
      <c r="N560" s="34"/>
      <c r="O560" s="34"/>
    </row>
    <row r="561">
      <c r="A561" s="45"/>
      <c r="B561" s="45"/>
      <c r="C561" s="45"/>
      <c r="D561" s="45"/>
      <c r="E561" s="45"/>
      <c r="F561" s="30"/>
      <c r="G561" s="30"/>
      <c r="H561" s="32"/>
      <c r="I561" s="32"/>
      <c r="J561" s="32"/>
      <c r="K561" s="32"/>
      <c r="L561" s="32"/>
      <c r="M561" s="34"/>
      <c r="N561" s="34"/>
      <c r="O561" s="34"/>
    </row>
    <row r="562">
      <c r="A562" s="45"/>
      <c r="B562" s="45"/>
      <c r="C562" s="45"/>
      <c r="D562" s="45"/>
      <c r="E562" s="45"/>
      <c r="F562" s="30"/>
      <c r="G562" s="30"/>
      <c r="H562" s="32"/>
      <c r="I562" s="32"/>
      <c r="J562" s="32"/>
      <c r="K562" s="32"/>
      <c r="L562" s="32"/>
      <c r="M562" s="34"/>
      <c r="N562" s="34"/>
      <c r="O562" s="34"/>
    </row>
    <row r="563">
      <c r="A563" s="45"/>
      <c r="B563" s="45"/>
      <c r="C563" s="45"/>
      <c r="D563" s="45"/>
      <c r="E563" s="45"/>
      <c r="F563" s="30"/>
      <c r="G563" s="30"/>
      <c r="H563" s="32"/>
      <c r="I563" s="32"/>
      <c r="J563" s="32"/>
      <c r="K563" s="32"/>
      <c r="L563" s="32"/>
      <c r="M563" s="34"/>
      <c r="N563" s="34"/>
      <c r="O563" s="34"/>
    </row>
    <row r="564">
      <c r="A564" s="45"/>
      <c r="B564" s="45"/>
      <c r="C564" s="45"/>
      <c r="D564" s="45"/>
      <c r="E564" s="45"/>
      <c r="F564" s="30"/>
      <c r="G564" s="30"/>
      <c r="H564" s="32"/>
      <c r="I564" s="32"/>
      <c r="J564" s="32"/>
      <c r="K564" s="32"/>
      <c r="L564" s="32"/>
      <c r="M564" s="34"/>
      <c r="N564" s="34"/>
      <c r="O564" s="34"/>
    </row>
    <row r="565">
      <c r="A565" s="45"/>
      <c r="B565" s="45"/>
      <c r="C565" s="45"/>
      <c r="D565" s="45"/>
      <c r="E565" s="45"/>
      <c r="F565" s="30"/>
      <c r="G565" s="30"/>
      <c r="H565" s="32"/>
      <c r="I565" s="32"/>
      <c r="J565" s="32"/>
      <c r="K565" s="32"/>
      <c r="L565" s="32"/>
      <c r="M565" s="34"/>
      <c r="N565" s="34"/>
      <c r="O565" s="34"/>
    </row>
    <row r="566">
      <c r="A566" s="45"/>
      <c r="B566" s="45"/>
      <c r="C566" s="45"/>
      <c r="D566" s="45"/>
      <c r="E566" s="45"/>
      <c r="F566" s="30"/>
      <c r="G566" s="30"/>
      <c r="H566" s="32"/>
      <c r="I566" s="32"/>
      <c r="J566" s="32"/>
      <c r="K566" s="32"/>
      <c r="L566" s="32"/>
      <c r="M566" s="34"/>
      <c r="N566" s="34"/>
      <c r="O566" s="34"/>
    </row>
    <row r="567">
      <c r="A567" s="45"/>
      <c r="B567" s="45"/>
      <c r="C567" s="45"/>
      <c r="D567" s="45"/>
      <c r="E567" s="45"/>
      <c r="F567" s="30"/>
      <c r="G567" s="30"/>
      <c r="H567" s="32"/>
      <c r="I567" s="32"/>
      <c r="J567" s="32"/>
      <c r="K567" s="32"/>
      <c r="L567" s="32"/>
      <c r="M567" s="34"/>
      <c r="N567" s="34"/>
      <c r="O567" s="34"/>
    </row>
    <row r="568">
      <c r="A568" s="45"/>
      <c r="B568" s="45"/>
      <c r="C568" s="45"/>
      <c r="D568" s="45"/>
      <c r="E568" s="45"/>
      <c r="F568" s="30"/>
      <c r="G568" s="30"/>
      <c r="H568" s="32"/>
      <c r="I568" s="32"/>
      <c r="J568" s="32"/>
      <c r="K568" s="32"/>
      <c r="L568" s="32"/>
      <c r="M568" s="34"/>
      <c r="N568" s="34"/>
      <c r="O568" s="34"/>
    </row>
    <row r="569">
      <c r="A569" s="45"/>
      <c r="B569" s="45"/>
      <c r="C569" s="45"/>
      <c r="D569" s="45"/>
      <c r="E569" s="45"/>
      <c r="F569" s="30"/>
      <c r="G569" s="30"/>
      <c r="H569" s="32"/>
      <c r="I569" s="32"/>
      <c r="J569" s="32"/>
      <c r="K569" s="32"/>
      <c r="L569" s="32"/>
      <c r="M569" s="34"/>
      <c r="N569" s="34"/>
      <c r="O569" s="34"/>
    </row>
    <row r="570">
      <c r="A570" s="45"/>
      <c r="B570" s="45"/>
      <c r="C570" s="45"/>
      <c r="D570" s="45"/>
      <c r="E570" s="45"/>
      <c r="F570" s="30"/>
      <c r="G570" s="30"/>
      <c r="H570" s="32"/>
      <c r="I570" s="32"/>
      <c r="J570" s="32"/>
      <c r="K570" s="32"/>
      <c r="L570" s="32"/>
      <c r="M570" s="34"/>
      <c r="N570" s="34"/>
      <c r="O570" s="34"/>
    </row>
    <row r="571">
      <c r="A571" s="45"/>
      <c r="B571" s="45"/>
      <c r="C571" s="45"/>
      <c r="D571" s="45"/>
      <c r="E571" s="45"/>
      <c r="F571" s="30"/>
      <c r="G571" s="30"/>
      <c r="H571" s="32"/>
      <c r="I571" s="32"/>
      <c r="J571" s="32"/>
      <c r="K571" s="32"/>
      <c r="L571" s="32"/>
      <c r="M571" s="34"/>
      <c r="N571" s="34"/>
      <c r="O571" s="34"/>
    </row>
    <row r="572">
      <c r="A572" s="45"/>
      <c r="B572" s="45"/>
      <c r="C572" s="45"/>
      <c r="D572" s="45"/>
      <c r="E572" s="45"/>
      <c r="F572" s="30"/>
      <c r="G572" s="30"/>
      <c r="H572" s="32"/>
      <c r="I572" s="32"/>
      <c r="J572" s="32"/>
      <c r="K572" s="32"/>
      <c r="L572" s="32"/>
      <c r="M572" s="34"/>
      <c r="N572" s="34"/>
      <c r="O572" s="34"/>
    </row>
    <row r="573">
      <c r="A573" s="45"/>
      <c r="B573" s="45"/>
      <c r="C573" s="45"/>
      <c r="D573" s="45"/>
      <c r="E573" s="45"/>
      <c r="F573" s="30"/>
      <c r="G573" s="30"/>
      <c r="H573" s="32"/>
      <c r="I573" s="32"/>
      <c r="J573" s="32"/>
      <c r="K573" s="32"/>
      <c r="L573" s="32"/>
      <c r="M573" s="34"/>
      <c r="N573" s="34"/>
      <c r="O573" s="34"/>
    </row>
    <row r="574">
      <c r="A574" s="45"/>
      <c r="B574" s="45"/>
      <c r="C574" s="45"/>
      <c r="D574" s="45"/>
      <c r="E574" s="45"/>
      <c r="F574" s="30"/>
      <c r="G574" s="30"/>
      <c r="H574" s="32"/>
      <c r="I574" s="32"/>
      <c r="J574" s="32"/>
      <c r="K574" s="32"/>
      <c r="L574" s="32"/>
      <c r="M574" s="34"/>
      <c r="N574" s="34"/>
      <c r="O574" s="34"/>
    </row>
    <row r="575">
      <c r="A575" s="45"/>
      <c r="B575" s="45"/>
      <c r="C575" s="45"/>
      <c r="D575" s="45"/>
      <c r="E575" s="45"/>
      <c r="F575" s="30"/>
      <c r="G575" s="30"/>
      <c r="H575" s="32"/>
      <c r="I575" s="32"/>
      <c r="J575" s="32"/>
      <c r="K575" s="32"/>
      <c r="L575" s="32"/>
      <c r="M575" s="34"/>
      <c r="N575" s="34"/>
      <c r="O575" s="34"/>
    </row>
    <row r="576">
      <c r="A576" s="45"/>
      <c r="B576" s="45"/>
      <c r="C576" s="45"/>
      <c r="D576" s="45"/>
      <c r="E576" s="45"/>
      <c r="F576" s="30"/>
      <c r="G576" s="30"/>
      <c r="H576" s="32"/>
      <c r="I576" s="32"/>
      <c r="J576" s="32"/>
      <c r="K576" s="32"/>
      <c r="L576" s="32"/>
      <c r="M576" s="34"/>
      <c r="N576" s="34"/>
      <c r="O576" s="34"/>
    </row>
    <row r="577">
      <c r="A577" s="45"/>
      <c r="B577" s="45"/>
      <c r="C577" s="45"/>
      <c r="D577" s="45"/>
      <c r="E577" s="45"/>
      <c r="F577" s="30"/>
      <c r="G577" s="30"/>
      <c r="H577" s="32"/>
      <c r="I577" s="32"/>
      <c r="J577" s="32"/>
      <c r="K577" s="32"/>
      <c r="L577" s="32"/>
      <c r="M577" s="34"/>
      <c r="N577" s="34"/>
      <c r="O577" s="34"/>
    </row>
    <row r="578">
      <c r="A578" s="45"/>
      <c r="B578" s="45"/>
      <c r="C578" s="45"/>
      <c r="D578" s="45"/>
      <c r="E578" s="45"/>
      <c r="F578" s="30"/>
      <c r="G578" s="30"/>
      <c r="H578" s="32"/>
      <c r="I578" s="32"/>
      <c r="J578" s="32"/>
      <c r="K578" s="32"/>
      <c r="L578" s="32"/>
      <c r="M578" s="34"/>
      <c r="N578" s="34"/>
      <c r="O578" s="34"/>
    </row>
    <row r="579">
      <c r="A579" s="45"/>
      <c r="B579" s="45"/>
      <c r="C579" s="45"/>
      <c r="D579" s="45"/>
      <c r="E579" s="45"/>
      <c r="F579" s="30"/>
      <c r="G579" s="30"/>
      <c r="H579" s="32"/>
      <c r="I579" s="32"/>
      <c r="J579" s="32"/>
      <c r="K579" s="32"/>
      <c r="L579" s="32"/>
      <c r="M579" s="34"/>
      <c r="N579" s="34"/>
      <c r="O579" s="34"/>
    </row>
    <row r="580">
      <c r="A580" s="45"/>
      <c r="B580" s="45"/>
      <c r="C580" s="45"/>
      <c r="D580" s="45"/>
      <c r="E580" s="45"/>
      <c r="F580" s="30"/>
      <c r="G580" s="30"/>
      <c r="H580" s="32"/>
      <c r="I580" s="32"/>
      <c r="J580" s="32"/>
      <c r="K580" s="32"/>
      <c r="L580" s="32"/>
      <c r="M580" s="34"/>
      <c r="N580" s="34"/>
      <c r="O580" s="34"/>
    </row>
    <row r="581">
      <c r="A581" s="45"/>
      <c r="B581" s="45"/>
      <c r="C581" s="45"/>
      <c r="D581" s="45"/>
      <c r="E581" s="45"/>
      <c r="F581" s="30"/>
      <c r="G581" s="30"/>
      <c r="H581" s="32"/>
      <c r="I581" s="32"/>
      <c r="J581" s="32"/>
      <c r="K581" s="32"/>
      <c r="L581" s="32"/>
      <c r="M581" s="34"/>
      <c r="N581" s="34"/>
      <c r="O581" s="34"/>
    </row>
    <row r="582">
      <c r="A582" s="45"/>
      <c r="B582" s="45"/>
      <c r="C582" s="45"/>
      <c r="D582" s="45"/>
      <c r="E582" s="45"/>
      <c r="F582" s="30"/>
      <c r="G582" s="30"/>
      <c r="H582" s="32"/>
      <c r="I582" s="32"/>
      <c r="J582" s="32"/>
      <c r="K582" s="32"/>
      <c r="L582" s="32"/>
      <c r="M582" s="34"/>
      <c r="N582" s="34"/>
      <c r="O582" s="34"/>
    </row>
    <row r="583">
      <c r="A583" s="45"/>
      <c r="B583" s="45"/>
      <c r="C583" s="45"/>
      <c r="D583" s="45"/>
      <c r="E583" s="45"/>
      <c r="F583" s="30"/>
      <c r="G583" s="30"/>
      <c r="H583" s="32"/>
      <c r="I583" s="32"/>
      <c r="J583" s="32"/>
      <c r="K583" s="32"/>
      <c r="L583" s="32"/>
      <c r="M583" s="34"/>
      <c r="N583" s="34"/>
      <c r="O583" s="34"/>
    </row>
    <row r="584">
      <c r="A584" s="45"/>
      <c r="B584" s="45"/>
      <c r="C584" s="45"/>
      <c r="D584" s="45"/>
      <c r="E584" s="45"/>
      <c r="F584" s="30"/>
      <c r="G584" s="30"/>
      <c r="H584" s="32"/>
      <c r="I584" s="32"/>
      <c r="J584" s="32"/>
      <c r="K584" s="32"/>
      <c r="L584" s="32"/>
      <c r="M584" s="34"/>
      <c r="N584" s="34"/>
      <c r="O584" s="34"/>
    </row>
    <row r="585">
      <c r="A585" s="45"/>
      <c r="B585" s="45"/>
      <c r="C585" s="45"/>
      <c r="D585" s="45"/>
      <c r="E585" s="45"/>
      <c r="F585" s="30"/>
      <c r="G585" s="30"/>
      <c r="H585" s="32"/>
      <c r="I585" s="32"/>
      <c r="J585" s="32"/>
      <c r="K585" s="32"/>
      <c r="L585" s="32"/>
      <c r="M585" s="34"/>
      <c r="N585" s="34"/>
      <c r="O585" s="34"/>
    </row>
    <row r="586">
      <c r="A586" s="45"/>
      <c r="B586" s="45"/>
      <c r="C586" s="45"/>
      <c r="D586" s="45"/>
      <c r="E586" s="45"/>
      <c r="F586" s="30"/>
      <c r="G586" s="30"/>
      <c r="H586" s="32"/>
      <c r="I586" s="32"/>
      <c r="J586" s="32"/>
      <c r="K586" s="32"/>
      <c r="L586" s="32"/>
      <c r="M586" s="34"/>
      <c r="N586" s="34"/>
      <c r="O586" s="34"/>
    </row>
    <row r="587">
      <c r="A587" s="45"/>
      <c r="B587" s="45"/>
      <c r="C587" s="45"/>
      <c r="D587" s="45"/>
      <c r="E587" s="45"/>
      <c r="F587" s="30"/>
      <c r="G587" s="30"/>
      <c r="H587" s="32"/>
      <c r="I587" s="32"/>
      <c r="J587" s="32"/>
      <c r="K587" s="32"/>
      <c r="L587" s="32"/>
      <c r="M587" s="34"/>
      <c r="N587" s="34"/>
      <c r="O587" s="34"/>
    </row>
    <row r="588">
      <c r="A588" s="45"/>
      <c r="B588" s="45"/>
      <c r="C588" s="45"/>
      <c r="D588" s="45"/>
      <c r="E588" s="45"/>
      <c r="F588" s="30"/>
      <c r="G588" s="30"/>
      <c r="H588" s="32"/>
      <c r="I588" s="32"/>
      <c r="J588" s="32"/>
      <c r="K588" s="32"/>
      <c r="L588" s="32"/>
      <c r="M588" s="34"/>
      <c r="N588" s="34"/>
      <c r="O588" s="34"/>
    </row>
    <row r="589">
      <c r="A589" s="45"/>
      <c r="B589" s="45"/>
      <c r="C589" s="45"/>
      <c r="D589" s="45"/>
      <c r="E589" s="45"/>
      <c r="F589" s="30"/>
      <c r="G589" s="30"/>
      <c r="H589" s="32"/>
      <c r="I589" s="32"/>
      <c r="J589" s="32"/>
      <c r="K589" s="32"/>
      <c r="L589" s="32"/>
      <c r="M589" s="34"/>
      <c r="N589" s="34"/>
      <c r="O589" s="34"/>
    </row>
    <row r="590">
      <c r="A590" s="45"/>
      <c r="B590" s="45"/>
      <c r="C590" s="45"/>
      <c r="D590" s="45"/>
      <c r="E590" s="45"/>
      <c r="F590" s="30"/>
      <c r="G590" s="30"/>
      <c r="H590" s="32"/>
      <c r="I590" s="32"/>
      <c r="J590" s="32"/>
      <c r="K590" s="32"/>
      <c r="L590" s="32"/>
      <c r="M590" s="34"/>
      <c r="N590" s="34"/>
      <c r="O590" s="34"/>
    </row>
    <row r="591">
      <c r="A591" s="45"/>
      <c r="B591" s="45"/>
      <c r="C591" s="45"/>
      <c r="D591" s="45"/>
      <c r="E591" s="45"/>
      <c r="F591" s="30"/>
      <c r="G591" s="30"/>
      <c r="H591" s="32"/>
      <c r="I591" s="32"/>
      <c r="J591" s="32"/>
      <c r="K591" s="32"/>
      <c r="L591" s="32"/>
      <c r="M591" s="34"/>
      <c r="N591" s="34"/>
      <c r="O591" s="34"/>
    </row>
    <row r="592">
      <c r="A592" s="45"/>
      <c r="B592" s="45"/>
      <c r="C592" s="45"/>
      <c r="D592" s="45"/>
      <c r="E592" s="45"/>
      <c r="F592" s="30"/>
      <c r="G592" s="30"/>
      <c r="H592" s="32"/>
      <c r="I592" s="32"/>
      <c r="J592" s="32"/>
      <c r="K592" s="32"/>
      <c r="L592" s="32"/>
      <c r="M592" s="34"/>
      <c r="N592" s="34"/>
      <c r="O592" s="34"/>
    </row>
    <row r="593">
      <c r="A593" s="45"/>
      <c r="B593" s="45"/>
      <c r="C593" s="45"/>
      <c r="D593" s="45"/>
      <c r="E593" s="45"/>
      <c r="F593" s="30"/>
      <c r="G593" s="30"/>
      <c r="H593" s="32"/>
      <c r="I593" s="32"/>
      <c r="J593" s="32"/>
      <c r="K593" s="32"/>
      <c r="L593" s="32"/>
      <c r="M593" s="34"/>
      <c r="N593" s="34"/>
      <c r="O593" s="34"/>
    </row>
    <row r="594">
      <c r="A594" s="45"/>
      <c r="B594" s="45"/>
      <c r="C594" s="45"/>
      <c r="D594" s="45"/>
      <c r="E594" s="45"/>
      <c r="F594" s="30"/>
      <c r="G594" s="30"/>
      <c r="H594" s="32"/>
      <c r="I594" s="32"/>
      <c r="J594" s="32"/>
      <c r="K594" s="32"/>
      <c r="L594" s="32"/>
      <c r="M594" s="34"/>
      <c r="N594" s="34"/>
      <c r="O594" s="34"/>
    </row>
    <row r="595">
      <c r="A595" s="45"/>
      <c r="B595" s="45"/>
      <c r="C595" s="45"/>
      <c r="D595" s="45"/>
      <c r="E595" s="45"/>
      <c r="F595" s="30"/>
      <c r="G595" s="30"/>
      <c r="H595" s="32"/>
      <c r="I595" s="32"/>
      <c r="J595" s="32"/>
      <c r="K595" s="32"/>
      <c r="L595" s="32"/>
      <c r="M595" s="34"/>
      <c r="N595" s="34"/>
      <c r="O595" s="34"/>
    </row>
    <row r="596">
      <c r="A596" s="45"/>
      <c r="B596" s="45"/>
      <c r="C596" s="45"/>
      <c r="D596" s="45"/>
      <c r="E596" s="45"/>
      <c r="F596" s="30"/>
      <c r="G596" s="30"/>
      <c r="H596" s="32"/>
      <c r="I596" s="32"/>
      <c r="J596" s="32"/>
      <c r="K596" s="32"/>
      <c r="L596" s="32"/>
      <c r="M596" s="34"/>
      <c r="N596" s="34"/>
      <c r="O596" s="34"/>
    </row>
    <row r="597">
      <c r="A597" s="45"/>
      <c r="B597" s="45"/>
      <c r="C597" s="45"/>
      <c r="D597" s="45"/>
      <c r="E597" s="45"/>
      <c r="F597" s="30"/>
      <c r="G597" s="30"/>
      <c r="H597" s="32"/>
      <c r="I597" s="32"/>
      <c r="J597" s="32"/>
      <c r="K597" s="32"/>
      <c r="L597" s="32"/>
      <c r="M597" s="34"/>
      <c r="N597" s="34"/>
      <c r="O597" s="34"/>
    </row>
    <row r="598">
      <c r="A598" s="45"/>
      <c r="B598" s="45"/>
      <c r="C598" s="45"/>
      <c r="D598" s="45"/>
      <c r="E598" s="45"/>
      <c r="F598" s="30"/>
      <c r="G598" s="30"/>
      <c r="H598" s="32"/>
      <c r="I598" s="32"/>
      <c r="J598" s="32"/>
      <c r="K598" s="32"/>
      <c r="L598" s="32"/>
      <c r="M598" s="34"/>
      <c r="N598" s="34"/>
      <c r="O598" s="34"/>
    </row>
    <row r="599">
      <c r="A599" s="45"/>
      <c r="B599" s="45"/>
      <c r="C599" s="45"/>
      <c r="D599" s="45"/>
      <c r="E599" s="45"/>
      <c r="F599" s="30"/>
      <c r="G599" s="30"/>
      <c r="H599" s="32"/>
      <c r="I599" s="32"/>
      <c r="J599" s="32"/>
      <c r="K599" s="32"/>
      <c r="L599" s="32"/>
      <c r="M599" s="34"/>
      <c r="N599" s="34"/>
      <c r="O599" s="34"/>
    </row>
    <row r="600">
      <c r="A600" s="45"/>
      <c r="B600" s="45"/>
      <c r="C600" s="45"/>
      <c r="D600" s="45"/>
      <c r="E600" s="45"/>
      <c r="F600" s="30"/>
      <c r="G600" s="30"/>
      <c r="H600" s="32"/>
      <c r="I600" s="32"/>
      <c r="J600" s="32"/>
      <c r="K600" s="32"/>
      <c r="L600" s="32"/>
      <c r="M600" s="34"/>
      <c r="N600" s="34"/>
      <c r="O600" s="34"/>
    </row>
    <row r="601">
      <c r="A601" s="45"/>
      <c r="B601" s="45"/>
      <c r="C601" s="45"/>
      <c r="D601" s="45"/>
      <c r="E601" s="45"/>
      <c r="F601" s="30"/>
      <c r="G601" s="30"/>
      <c r="H601" s="32"/>
      <c r="I601" s="32"/>
      <c r="J601" s="32"/>
      <c r="K601" s="32"/>
      <c r="L601" s="32"/>
      <c r="M601" s="34"/>
      <c r="N601" s="34"/>
      <c r="O601" s="34"/>
    </row>
    <row r="602">
      <c r="A602" s="45"/>
      <c r="B602" s="45"/>
      <c r="C602" s="45"/>
      <c r="D602" s="45"/>
      <c r="E602" s="45"/>
      <c r="F602" s="30"/>
      <c r="G602" s="30"/>
      <c r="H602" s="32"/>
      <c r="I602" s="32"/>
      <c r="J602" s="32"/>
      <c r="K602" s="32"/>
      <c r="L602" s="32"/>
      <c r="M602" s="34"/>
      <c r="N602" s="34"/>
      <c r="O602" s="34"/>
    </row>
    <row r="603">
      <c r="A603" s="45"/>
      <c r="B603" s="45"/>
      <c r="C603" s="45"/>
      <c r="D603" s="45"/>
      <c r="E603" s="45"/>
      <c r="F603" s="30"/>
      <c r="G603" s="30"/>
      <c r="H603" s="32"/>
      <c r="I603" s="32"/>
      <c r="J603" s="32"/>
      <c r="K603" s="32"/>
      <c r="L603" s="32"/>
      <c r="M603" s="34"/>
      <c r="N603" s="34"/>
      <c r="O603" s="34"/>
    </row>
    <row r="604">
      <c r="A604" s="45"/>
      <c r="B604" s="45"/>
      <c r="C604" s="45"/>
      <c r="D604" s="45"/>
      <c r="E604" s="45"/>
      <c r="F604" s="30"/>
      <c r="G604" s="30"/>
      <c r="H604" s="32"/>
      <c r="I604" s="32"/>
      <c r="J604" s="32"/>
      <c r="K604" s="32"/>
      <c r="L604" s="32"/>
      <c r="M604" s="34"/>
      <c r="N604" s="34"/>
      <c r="O604" s="34"/>
    </row>
    <row r="605">
      <c r="A605" s="45"/>
      <c r="B605" s="45"/>
      <c r="C605" s="45"/>
      <c r="D605" s="45"/>
      <c r="E605" s="45"/>
      <c r="F605" s="30"/>
      <c r="G605" s="30"/>
      <c r="H605" s="32"/>
      <c r="I605" s="32"/>
      <c r="J605" s="32"/>
      <c r="K605" s="32"/>
      <c r="L605" s="32"/>
      <c r="M605" s="34"/>
      <c r="N605" s="34"/>
      <c r="O605" s="34"/>
    </row>
    <row r="606">
      <c r="A606" s="45"/>
      <c r="B606" s="45"/>
      <c r="C606" s="45"/>
      <c r="D606" s="45"/>
      <c r="E606" s="45"/>
      <c r="F606" s="30"/>
      <c r="G606" s="30"/>
      <c r="H606" s="32"/>
      <c r="I606" s="32"/>
      <c r="J606" s="32"/>
      <c r="K606" s="32"/>
      <c r="L606" s="32"/>
      <c r="M606" s="34"/>
      <c r="N606" s="34"/>
      <c r="O606" s="34"/>
    </row>
    <row r="607">
      <c r="A607" s="45"/>
      <c r="B607" s="45"/>
      <c r="C607" s="45"/>
      <c r="D607" s="45"/>
      <c r="E607" s="45"/>
      <c r="F607" s="30"/>
      <c r="G607" s="30"/>
      <c r="H607" s="32"/>
      <c r="I607" s="32"/>
      <c r="J607" s="32"/>
      <c r="K607" s="32"/>
      <c r="L607" s="32"/>
      <c r="M607" s="34"/>
      <c r="N607" s="34"/>
      <c r="O607" s="34"/>
    </row>
    <row r="608">
      <c r="A608" s="45"/>
      <c r="B608" s="45"/>
      <c r="C608" s="45"/>
      <c r="D608" s="45"/>
      <c r="E608" s="45"/>
      <c r="F608" s="30"/>
      <c r="G608" s="30"/>
      <c r="H608" s="32"/>
      <c r="I608" s="32"/>
      <c r="J608" s="32"/>
      <c r="K608" s="32"/>
      <c r="L608" s="32"/>
      <c r="M608" s="34"/>
      <c r="N608" s="34"/>
      <c r="O608" s="34"/>
    </row>
    <row r="609">
      <c r="A609" s="45"/>
      <c r="B609" s="45"/>
      <c r="C609" s="45"/>
      <c r="D609" s="45"/>
      <c r="E609" s="45"/>
      <c r="F609" s="30"/>
      <c r="G609" s="30"/>
      <c r="H609" s="32"/>
      <c r="I609" s="32"/>
      <c r="J609" s="32"/>
      <c r="K609" s="32"/>
      <c r="L609" s="32"/>
      <c r="M609" s="34"/>
      <c r="N609" s="34"/>
      <c r="O609" s="34"/>
    </row>
    <row r="610">
      <c r="A610" s="45"/>
      <c r="B610" s="45"/>
      <c r="C610" s="45"/>
      <c r="D610" s="45"/>
      <c r="E610" s="45"/>
      <c r="F610" s="30"/>
      <c r="G610" s="30"/>
      <c r="H610" s="32"/>
      <c r="I610" s="32"/>
      <c r="J610" s="32"/>
      <c r="K610" s="32"/>
      <c r="L610" s="32"/>
      <c r="M610" s="34"/>
      <c r="N610" s="34"/>
      <c r="O610" s="34"/>
    </row>
    <row r="611">
      <c r="A611" s="45"/>
      <c r="B611" s="45"/>
      <c r="C611" s="45"/>
      <c r="D611" s="45"/>
      <c r="E611" s="45"/>
      <c r="F611" s="30"/>
      <c r="G611" s="30"/>
      <c r="H611" s="32"/>
      <c r="I611" s="32"/>
      <c r="J611" s="32"/>
      <c r="K611" s="32"/>
      <c r="L611" s="32"/>
      <c r="M611" s="34"/>
      <c r="N611" s="34"/>
      <c r="O611" s="34"/>
    </row>
    <row r="612">
      <c r="A612" s="45"/>
      <c r="B612" s="45"/>
      <c r="C612" s="45"/>
      <c r="D612" s="45"/>
      <c r="E612" s="45"/>
      <c r="F612" s="30"/>
      <c r="G612" s="30"/>
      <c r="H612" s="32"/>
      <c r="I612" s="32"/>
      <c r="J612" s="32"/>
      <c r="K612" s="32"/>
      <c r="L612" s="32"/>
      <c r="M612" s="34"/>
      <c r="N612" s="34"/>
      <c r="O612" s="34"/>
    </row>
    <row r="613">
      <c r="A613" s="45"/>
      <c r="B613" s="45"/>
      <c r="C613" s="45"/>
      <c r="D613" s="45"/>
      <c r="E613" s="45"/>
      <c r="F613" s="30"/>
      <c r="G613" s="30"/>
      <c r="H613" s="32"/>
      <c r="I613" s="32"/>
      <c r="J613" s="32"/>
      <c r="K613" s="32"/>
      <c r="L613" s="32"/>
      <c r="M613" s="34"/>
      <c r="N613" s="34"/>
      <c r="O613" s="34"/>
    </row>
    <row r="614">
      <c r="A614" s="45"/>
      <c r="B614" s="45"/>
      <c r="C614" s="45"/>
      <c r="D614" s="45"/>
      <c r="E614" s="45"/>
      <c r="F614" s="30"/>
      <c r="G614" s="30"/>
      <c r="H614" s="32"/>
      <c r="I614" s="32"/>
      <c r="J614" s="32"/>
      <c r="K614" s="32"/>
      <c r="L614" s="32"/>
      <c r="M614" s="34"/>
      <c r="N614" s="34"/>
      <c r="O614" s="34"/>
    </row>
    <row r="615">
      <c r="A615" s="45"/>
      <c r="B615" s="45"/>
      <c r="C615" s="45"/>
      <c r="D615" s="45"/>
      <c r="E615" s="45"/>
      <c r="F615" s="30"/>
      <c r="G615" s="30"/>
      <c r="H615" s="32"/>
      <c r="I615" s="32"/>
      <c r="J615" s="32"/>
      <c r="K615" s="32"/>
      <c r="L615" s="32"/>
      <c r="M615" s="34"/>
      <c r="N615" s="34"/>
      <c r="O615" s="34"/>
    </row>
    <row r="616">
      <c r="A616" s="45"/>
      <c r="B616" s="45"/>
      <c r="C616" s="45"/>
      <c r="D616" s="45"/>
      <c r="E616" s="45"/>
      <c r="F616" s="30"/>
      <c r="G616" s="30"/>
      <c r="H616" s="32"/>
      <c r="I616" s="32"/>
      <c r="J616" s="32"/>
      <c r="K616" s="32"/>
      <c r="L616" s="32"/>
      <c r="M616" s="34"/>
      <c r="N616" s="34"/>
      <c r="O616" s="34"/>
    </row>
    <row r="617">
      <c r="A617" s="45"/>
      <c r="B617" s="45"/>
      <c r="C617" s="45"/>
      <c r="D617" s="45"/>
      <c r="E617" s="45"/>
      <c r="F617" s="30"/>
      <c r="G617" s="30"/>
      <c r="H617" s="32"/>
      <c r="I617" s="32"/>
      <c r="J617" s="32"/>
      <c r="K617" s="32"/>
      <c r="L617" s="32"/>
      <c r="M617" s="34"/>
      <c r="N617" s="34"/>
      <c r="O617" s="34"/>
    </row>
    <row r="618">
      <c r="A618" s="45"/>
      <c r="B618" s="45"/>
      <c r="C618" s="45"/>
      <c r="D618" s="45"/>
      <c r="E618" s="45"/>
      <c r="F618" s="30"/>
      <c r="G618" s="30"/>
      <c r="H618" s="32"/>
      <c r="I618" s="32"/>
      <c r="J618" s="32"/>
      <c r="K618" s="32"/>
      <c r="L618" s="32"/>
      <c r="M618" s="34"/>
      <c r="N618" s="34"/>
      <c r="O618" s="34"/>
    </row>
    <row r="619">
      <c r="A619" s="45"/>
      <c r="B619" s="45"/>
      <c r="C619" s="45"/>
      <c r="D619" s="45"/>
      <c r="E619" s="45"/>
      <c r="F619" s="30"/>
      <c r="G619" s="30"/>
      <c r="H619" s="32"/>
      <c r="I619" s="32"/>
      <c r="J619" s="32"/>
      <c r="K619" s="32"/>
      <c r="L619" s="32"/>
      <c r="M619" s="34"/>
      <c r="N619" s="34"/>
      <c r="O619" s="34"/>
    </row>
    <row r="620">
      <c r="A620" s="45"/>
      <c r="B620" s="45"/>
      <c r="C620" s="45"/>
      <c r="D620" s="45"/>
      <c r="E620" s="45"/>
      <c r="F620" s="30"/>
      <c r="G620" s="30"/>
      <c r="H620" s="32"/>
      <c r="I620" s="32"/>
      <c r="J620" s="32"/>
      <c r="K620" s="32"/>
      <c r="L620" s="32"/>
      <c r="M620" s="34"/>
      <c r="N620" s="34"/>
      <c r="O620" s="34"/>
    </row>
    <row r="621">
      <c r="A621" s="45"/>
      <c r="B621" s="45"/>
      <c r="C621" s="45"/>
      <c r="D621" s="45"/>
      <c r="E621" s="45"/>
      <c r="F621" s="30"/>
      <c r="G621" s="30"/>
      <c r="H621" s="32"/>
      <c r="I621" s="32"/>
      <c r="J621" s="32"/>
      <c r="K621" s="32"/>
      <c r="L621" s="32"/>
      <c r="M621" s="34"/>
      <c r="N621" s="34"/>
      <c r="O621" s="34"/>
    </row>
    <row r="622">
      <c r="A622" s="45"/>
      <c r="B622" s="45"/>
      <c r="C622" s="45"/>
      <c r="D622" s="45"/>
      <c r="E622" s="45"/>
      <c r="F622" s="30"/>
      <c r="G622" s="30"/>
      <c r="H622" s="32"/>
      <c r="I622" s="32"/>
      <c r="J622" s="32"/>
      <c r="K622" s="32"/>
      <c r="L622" s="32"/>
      <c r="M622" s="34"/>
      <c r="N622" s="34"/>
      <c r="O622" s="34"/>
    </row>
    <row r="623">
      <c r="A623" s="45"/>
      <c r="B623" s="45"/>
      <c r="C623" s="45"/>
      <c r="D623" s="45"/>
      <c r="E623" s="45"/>
      <c r="F623" s="30"/>
      <c r="G623" s="30"/>
      <c r="H623" s="32"/>
      <c r="I623" s="32"/>
      <c r="J623" s="32"/>
      <c r="K623" s="32"/>
      <c r="L623" s="32"/>
      <c r="M623" s="34"/>
      <c r="N623" s="34"/>
      <c r="O623" s="34"/>
    </row>
    <row r="624">
      <c r="A624" s="45"/>
      <c r="B624" s="45"/>
      <c r="C624" s="45"/>
      <c r="D624" s="45"/>
      <c r="E624" s="45"/>
      <c r="F624" s="30"/>
      <c r="G624" s="30"/>
      <c r="H624" s="32"/>
      <c r="I624" s="32"/>
      <c r="J624" s="32"/>
      <c r="K624" s="32"/>
      <c r="L624" s="32"/>
      <c r="M624" s="34"/>
      <c r="N624" s="34"/>
      <c r="O624" s="34"/>
    </row>
    <row r="625">
      <c r="A625" s="45"/>
      <c r="B625" s="45"/>
      <c r="C625" s="45"/>
      <c r="D625" s="45"/>
      <c r="E625" s="45"/>
      <c r="F625" s="30"/>
      <c r="G625" s="30"/>
      <c r="H625" s="32"/>
      <c r="I625" s="32"/>
      <c r="J625" s="32"/>
      <c r="K625" s="32"/>
      <c r="L625" s="32"/>
      <c r="M625" s="34"/>
      <c r="N625" s="34"/>
      <c r="O625" s="34"/>
    </row>
    <row r="626">
      <c r="A626" s="45"/>
      <c r="B626" s="45"/>
      <c r="C626" s="45"/>
      <c r="D626" s="45"/>
      <c r="E626" s="45"/>
      <c r="F626" s="30"/>
      <c r="G626" s="30"/>
      <c r="H626" s="32"/>
      <c r="I626" s="32"/>
      <c r="J626" s="32"/>
      <c r="K626" s="32"/>
      <c r="L626" s="32"/>
      <c r="M626" s="34"/>
      <c r="N626" s="34"/>
      <c r="O626" s="34"/>
    </row>
    <row r="627">
      <c r="A627" s="45"/>
      <c r="B627" s="45"/>
      <c r="C627" s="45"/>
      <c r="D627" s="45"/>
      <c r="E627" s="45"/>
      <c r="F627" s="30"/>
      <c r="G627" s="30"/>
      <c r="H627" s="32"/>
      <c r="I627" s="32"/>
      <c r="J627" s="32"/>
      <c r="K627" s="32"/>
      <c r="L627" s="32"/>
      <c r="M627" s="34"/>
      <c r="N627" s="34"/>
      <c r="O627" s="34"/>
    </row>
    <row r="628">
      <c r="A628" s="45"/>
      <c r="B628" s="45"/>
      <c r="C628" s="45"/>
      <c r="D628" s="45"/>
      <c r="E628" s="45"/>
      <c r="F628" s="30"/>
      <c r="G628" s="30"/>
      <c r="H628" s="32"/>
      <c r="I628" s="32"/>
      <c r="J628" s="32"/>
      <c r="K628" s="32"/>
      <c r="L628" s="32"/>
      <c r="M628" s="34"/>
      <c r="N628" s="34"/>
      <c r="O628" s="34"/>
    </row>
    <row r="629">
      <c r="A629" s="45"/>
      <c r="B629" s="45"/>
      <c r="C629" s="45"/>
      <c r="D629" s="45"/>
      <c r="E629" s="45"/>
      <c r="F629" s="30"/>
      <c r="G629" s="30"/>
      <c r="H629" s="32"/>
      <c r="I629" s="32"/>
      <c r="J629" s="32"/>
      <c r="K629" s="32"/>
      <c r="L629" s="32"/>
      <c r="M629" s="34"/>
      <c r="N629" s="34"/>
      <c r="O629" s="34"/>
    </row>
    <row r="630">
      <c r="A630" s="45"/>
      <c r="B630" s="45"/>
      <c r="C630" s="45"/>
      <c r="D630" s="45"/>
      <c r="E630" s="45"/>
      <c r="F630" s="30"/>
      <c r="G630" s="30"/>
      <c r="H630" s="32"/>
      <c r="I630" s="32"/>
      <c r="J630" s="32"/>
      <c r="K630" s="32"/>
      <c r="L630" s="32"/>
      <c r="M630" s="34"/>
      <c r="N630" s="34"/>
      <c r="O630" s="34"/>
    </row>
    <row r="631">
      <c r="A631" s="45"/>
      <c r="B631" s="45"/>
      <c r="C631" s="45"/>
      <c r="D631" s="45"/>
      <c r="E631" s="45"/>
      <c r="F631" s="30"/>
      <c r="G631" s="30"/>
      <c r="H631" s="32"/>
      <c r="I631" s="32"/>
      <c r="J631" s="32"/>
      <c r="K631" s="32"/>
      <c r="L631" s="32"/>
      <c r="M631" s="34"/>
      <c r="N631" s="34"/>
      <c r="O631" s="34"/>
    </row>
    <row r="632">
      <c r="A632" s="45"/>
      <c r="B632" s="45"/>
      <c r="C632" s="45"/>
      <c r="D632" s="45"/>
      <c r="E632" s="45"/>
      <c r="F632" s="30"/>
      <c r="G632" s="30"/>
      <c r="H632" s="32"/>
      <c r="I632" s="32"/>
      <c r="J632" s="32"/>
      <c r="K632" s="32"/>
      <c r="L632" s="32"/>
      <c r="M632" s="34"/>
      <c r="N632" s="34"/>
      <c r="O632" s="34"/>
    </row>
    <row r="633">
      <c r="A633" s="45"/>
      <c r="B633" s="45"/>
      <c r="C633" s="45"/>
      <c r="D633" s="45"/>
      <c r="E633" s="45"/>
      <c r="F633" s="30"/>
      <c r="G633" s="30"/>
      <c r="H633" s="32"/>
      <c r="I633" s="32"/>
      <c r="J633" s="32"/>
      <c r="K633" s="32"/>
      <c r="L633" s="32"/>
      <c r="M633" s="34"/>
      <c r="N633" s="34"/>
      <c r="O633" s="34"/>
    </row>
    <row r="634">
      <c r="A634" s="45"/>
      <c r="B634" s="45"/>
      <c r="C634" s="45"/>
      <c r="D634" s="45"/>
      <c r="E634" s="45"/>
      <c r="F634" s="30"/>
      <c r="G634" s="30"/>
      <c r="H634" s="32"/>
      <c r="I634" s="32"/>
      <c r="J634" s="32"/>
      <c r="K634" s="32"/>
      <c r="L634" s="32"/>
      <c r="M634" s="34"/>
      <c r="N634" s="34"/>
      <c r="O634" s="34"/>
    </row>
    <row r="635">
      <c r="A635" s="45"/>
      <c r="B635" s="45"/>
      <c r="C635" s="45"/>
      <c r="D635" s="45"/>
      <c r="E635" s="45"/>
      <c r="F635" s="30"/>
      <c r="G635" s="30"/>
      <c r="H635" s="32"/>
      <c r="I635" s="32"/>
      <c r="J635" s="32"/>
      <c r="K635" s="32"/>
      <c r="L635" s="32"/>
      <c r="M635" s="34"/>
      <c r="N635" s="34"/>
      <c r="O635" s="34"/>
    </row>
    <row r="636">
      <c r="A636" s="45"/>
      <c r="B636" s="45"/>
      <c r="C636" s="45"/>
      <c r="D636" s="45"/>
      <c r="E636" s="45"/>
      <c r="F636" s="30"/>
      <c r="G636" s="30"/>
      <c r="H636" s="32"/>
      <c r="I636" s="32"/>
      <c r="J636" s="32"/>
      <c r="K636" s="32"/>
      <c r="L636" s="32"/>
      <c r="M636" s="34"/>
      <c r="N636" s="34"/>
      <c r="O636" s="34"/>
    </row>
    <row r="637">
      <c r="A637" s="45"/>
      <c r="B637" s="45"/>
      <c r="C637" s="45"/>
      <c r="D637" s="45"/>
      <c r="E637" s="45"/>
      <c r="F637" s="30"/>
      <c r="G637" s="30"/>
      <c r="H637" s="32"/>
      <c r="I637" s="32"/>
      <c r="J637" s="32"/>
      <c r="K637" s="32"/>
      <c r="L637" s="32"/>
      <c r="M637" s="34"/>
      <c r="N637" s="34"/>
      <c r="O637" s="34"/>
    </row>
    <row r="638">
      <c r="A638" s="45"/>
      <c r="B638" s="45"/>
      <c r="C638" s="45"/>
      <c r="D638" s="45"/>
      <c r="E638" s="45"/>
      <c r="F638" s="30"/>
      <c r="G638" s="30"/>
      <c r="H638" s="32"/>
      <c r="I638" s="32"/>
      <c r="J638" s="32"/>
      <c r="K638" s="32"/>
      <c r="L638" s="32"/>
      <c r="M638" s="34"/>
      <c r="N638" s="34"/>
      <c r="O638" s="34"/>
    </row>
    <row r="639">
      <c r="A639" s="45"/>
      <c r="B639" s="45"/>
      <c r="C639" s="45"/>
      <c r="D639" s="45"/>
      <c r="E639" s="45"/>
      <c r="F639" s="30"/>
      <c r="G639" s="30"/>
      <c r="H639" s="32"/>
      <c r="I639" s="32"/>
      <c r="J639" s="32"/>
      <c r="K639" s="32"/>
      <c r="L639" s="32"/>
      <c r="M639" s="34"/>
      <c r="N639" s="34"/>
      <c r="O639" s="34"/>
    </row>
    <row r="640">
      <c r="A640" s="45"/>
      <c r="B640" s="45"/>
      <c r="C640" s="45"/>
      <c r="D640" s="45"/>
      <c r="E640" s="45"/>
      <c r="F640" s="30"/>
      <c r="G640" s="30"/>
      <c r="H640" s="32"/>
      <c r="I640" s="32"/>
      <c r="J640" s="32"/>
      <c r="K640" s="32"/>
      <c r="L640" s="32"/>
      <c r="M640" s="34"/>
      <c r="N640" s="34"/>
      <c r="O640" s="34"/>
    </row>
    <row r="641">
      <c r="A641" s="45"/>
      <c r="B641" s="45"/>
      <c r="C641" s="45"/>
      <c r="D641" s="45"/>
      <c r="E641" s="45"/>
      <c r="F641" s="30"/>
      <c r="G641" s="30"/>
      <c r="H641" s="32"/>
      <c r="I641" s="32"/>
      <c r="J641" s="32"/>
      <c r="K641" s="32"/>
      <c r="L641" s="32"/>
      <c r="M641" s="34"/>
      <c r="N641" s="34"/>
      <c r="O641" s="34"/>
    </row>
    <row r="642">
      <c r="A642" s="45"/>
      <c r="B642" s="45"/>
      <c r="C642" s="45"/>
      <c r="D642" s="45"/>
      <c r="E642" s="45"/>
      <c r="F642" s="30"/>
      <c r="G642" s="30"/>
      <c r="H642" s="32"/>
      <c r="I642" s="32"/>
      <c r="J642" s="32"/>
      <c r="K642" s="32"/>
      <c r="L642" s="32"/>
      <c r="M642" s="34"/>
      <c r="N642" s="34"/>
      <c r="O642" s="34"/>
    </row>
    <row r="643">
      <c r="A643" s="45"/>
      <c r="B643" s="45"/>
      <c r="C643" s="45"/>
      <c r="D643" s="45"/>
      <c r="E643" s="45"/>
      <c r="F643" s="30"/>
      <c r="G643" s="30"/>
      <c r="H643" s="32"/>
      <c r="I643" s="32"/>
      <c r="J643" s="32"/>
      <c r="K643" s="32"/>
      <c r="L643" s="32"/>
      <c r="M643" s="34"/>
      <c r="N643" s="34"/>
      <c r="O643" s="34"/>
    </row>
    <row r="644">
      <c r="A644" s="45"/>
      <c r="B644" s="45"/>
      <c r="C644" s="45"/>
      <c r="D644" s="45"/>
      <c r="E644" s="45"/>
      <c r="F644" s="30"/>
      <c r="G644" s="30"/>
      <c r="H644" s="32"/>
      <c r="I644" s="32"/>
      <c r="J644" s="32"/>
      <c r="K644" s="32"/>
      <c r="L644" s="32"/>
      <c r="M644" s="34"/>
      <c r="N644" s="34"/>
      <c r="O644" s="34"/>
    </row>
    <row r="645">
      <c r="A645" s="45"/>
      <c r="B645" s="45"/>
      <c r="C645" s="45"/>
      <c r="D645" s="45"/>
      <c r="E645" s="45"/>
      <c r="F645" s="30"/>
      <c r="G645" s="30"/>
      <c r="H645" s="32"/>
      <c r="I645" s="32"/>
      <c r="J645" s="32"/>
      <c r="K645" s="32"/>
      <c r="L645" s="32"/>
      <c r="M645" s="34"/>
      <c r="N645" s="34"/>
      <c r="O645" s="34"/>
    </row>
    <row r="646">
      <c r="A646" s="45"/>
      <c r="B646" s="45"/>
      <c r="C646" s="45"/>
      <c r="D646" s="45"/>
      <c r="E646" s="45"/>
      <c r="F646" s="30"/>
      <c r="G646" s="30"/>
      <c r="H646" s="32"/>
      <c r="I646" s="32"/>
      <c r="J646" s="32"/>
      <c r="K646" s="32"/>
      <c r="L646" s="32"/>
      <c r="M646" s="34"/>
      <c r="N646" s="34"/>
      <c r="O646" s="34"/>
    </row>
    <row r="647">
      <c r="A647" s="45"/>
      <c r="B647" s="45"/>
      <c r="C647" s="45"/>
      <c r="D647" s="45"/>
      <c r="E647" s="45"/>
      <c r="F647" s="30"/>
      <c r="G647" s="30"/>
      <c r="H647" s="32"/>
      <c r="I647" s="32"/>
      <c r="J647" s="32"/>
      <c r="K647" s="32"/>
      <c r="L647" s="32"/>
      <c r="M647" s="34"/>
      <c r="N647" s="34"/>
      <c r="O647" s="34"/>
    </row>
    <row r="648">
      <c r="A648" s="45"/>
      <c r="B648" s="45"/>
      <c r="C648" s="45"/>
      <c r="D648" s="45"/>
      <c r="E648" s="45"/>
      <c r="F648" s="30"/>
      <c r="G648" s="30"/>
      <c r="H648" s="32"/>
      <c r="I648" s="32"/>
      <c r="J648" s="32"/>
      <c r="K648" s="32"/>
      <c r="L648" s="32"/>
      <c r="M648" s="34"/>
      <c r="N648" s="34"/>
      <c r="O648" s="34"/>
    </row>
    <row r="649">
      <c r="A649" s="45"/>
      <c r="B649" s="45"/>
      <c r="C649" s="45"/>
      <c r="D649" s="45"/>
      <c r="E649" s="45"/>
      <c r="F649" s="30"/>
      <c r="G649" s="30"/>
      <c r="H649" s="32"/>
      <c r="I649" s="32"/>
      <c r="J649" s="32"/>
      <c r="K649" s="32"/>
      <c r="L649" s="32"/>
      <c r="M649" s="34"/>
      <c r="N649" s="34"/>
      <c r="O649" s="34"/>
    </row>
    <row r="650">
      <c r="A650" s="45"/>
      <c r="B650" s="45"/>
      <c r="C650" s="45"/>
      <c r="D650" s="45"/>
      <c r="E650" s="45"/>
      <c r="F650" s="30"/>
      <c r="G650" s="30"/>
      <c r="H650" s="32"/>
      <c r="I650" s="32"/>
      <c r="J650" s="32"/>
      <c r="K650" s="32"/>
      <c r="L650" s="32"/>
      <c r="M650" s="34"/>
      <c r="N650" s="34"/>
      <c r="O650" s="34"/>
    </row>
    <row r="651">
      <c r="A651" s="45"/>
      <c r="B651" s="45"/>
      <c r="C651" s="45"/>
      <c r="D651" s="45"/>
      <c r="E651" s="45"/>
      <c r="F651" s="30"/>
      <c r="G651" s="30"/>
      <c r="H651" s="32"/>
      <c r="I651" s="32"/>
      <c r="J651" s="32"/>
      <c r="K651" s="32"/>
      <c r="L651" s="32"/>
      <c r="M651" s="34"/>
      <c r="N651" s="34"/>
      <c r="O651" s="34"/>
    </row>
    <row r="652">
      <c r="A652" s="45"/>
      <c r="B652" s="45"/>
      <c r="C652" s="45"/>
      <c r="D652" s="45"/>
      <c r="E652" s="45"/>
      <c r="F652" s="30"/>
      <c r="G652" s="30"/>
      <c r="H652" s="32"/>
      <c r="I652" s="32"/>
      <c r="J652" s="32"/>
      <c r="K652" s="32"/>
      <c r="L652" s="32"/>
      <c r="M652" s="34"/>
      <c r="N652" s="34"/>
      <c r="O652" s="34"/>
    </row>
    <row r="653">
      <c r="A653" s="45"/>
      <c r="B653" s="45"/>
      <c r="C653" s="45"/>
      <c r="D653" s="45"/>
      <c r="E653" s="45"/>
      <c r="F653" s="30"/>
      <c r="G653" s="30"/>
      <c r="H653" s="32"/>
      <c r="I653" s="32"/>
      <c r="J653" s="32"/>
      <c r="K653" s="32"/>
      <c r="L653" s="32"/>
      <c r="M653" s="34"/>
      <c r="N653" s="34"/>
      <c r="O653" s="34"/>
    </row>
    <row r="654">
      <c r="A654" s="45"/>
      <c r="B654" s="45"/>
      <c r="C654" s="45"/>
      <c r="D654" s="45"/>
      <c r="E654" s="45"/>
      <c r="F654" s="30"/>
      <c r="G654" s="30"/>
      <c r="H654" s="32"/>
      <c r="I654" s="32"/>
      <c r="J654" s="32"/>
      <c r="K654" s="32"/>
      <c r="L654" s="32"/>
      <c r="M654" s="34"/>
      <c r="N654" s="34"/>
      <c r="O654" s="34"/>
    </row>
    <row r="655">
      <c r="A655" s="45"/>
      <c r="B655" s="45"/>
      <c r="C655" s="45"/>
      <c r="D655" s="45"/>
      <c r="E655" s="45"/>
      <c r="F655" s="30"/>
      <c r="G655" s="30"/>
      <c r="H655" s="32"/>
      <c r="I655" s="32"/>
      <c r="J655" s="32"/>
      <c r="K655" s="32"/>
      <c r="L655" s="32"/>
      <c r="M655" s="34"/>
      <c r="N655" s="34"/>
      <c r="O655" s="34"/>
    </row>
    <row r="656">
      <c r="A656" s="45"/>
      <c r="B656" s="45"/>
      <c r="C656" s="45"/>
      <c r="D656" s="45"/>
      <c r="E656" s="45"/>
      <c r="F656" s="30"/>
      <c r="G656" s="30"/>
      <c r="H656" s="32"/>
      <c r="I656" s="32"/>
      <c r="J656" s="32"/>
      <c r="K656" s="32"/>
      <c r="L656" s="32"/>
      <c r="M656" s="34"/>
      <c r="N656" s="34"/>
      <c r="O656" s="34"/>
    </row>
    <row r="657">
      <c r="A657" s="45"/>
      <c r="B657" s="45"/>
      <c r="C657" s="45"/>
      <c r="D657" s="45"/>
      <c r="E657" s="45"/>
      <c r="F657" s="30"/>
      <c r="G657" s="30"/>
      <c r="H657" s="32"/>
      <c r="I657" s="32"/>
      <c r="J657" s="32"/>
      <c r="K657" s="32"/>
      <c r="L657" s="32"/>
      <c r="M657" s="34"/>
      <c r="N657" s="34"/>
      <c r="O657" s="34"/>
    </row>
    <row r="658">
      <c r="A658" s="45"/>
      <c r="B658" s="45"/>
      <c r="C658" s="45"/>
      <c r="D658" s="45"/>
      <c r="E658" s="45"/>
      <c r="F658" s="30"/>
      <c r="G658" s="30"/>
      <c r="H658" s="32"/>
      <c r="I658" s="32"/>
      <c r="J658" s="32"/>
      <c r="K658" s="32"/>
      <c r="L658" s="32"/>
      <c r="M658" s="34"/>
      <c r="N658" s="34"/>
      <c r="O658" s="34"/>
    </row>
    <row r="659">
      <c r="A659" s="45"/>
      <c r="B659" s="45"/>
      <c r="C659" s="45"/>
      <c r="D659" s="45"/>
      <c r="E659" s="45"/>
      <c r="F659" s="30"/>
      <c r="G659" s="30"/>
      <c r="H659" s="32"/>
      <c r="I659" s="32"/>
      <c r="J659" s="32"/>
      <c r="K659" s="32"/>
      <c r="L659" s="32"/>
      <c r="M659" s="34"/>
      <c r="N659" s="34"/>
      <c r="O659" s="34"/>
    </row>
    <row r="660">
      <c r="A660" s="45"/>
      <c r="B660" s="45"/>
      <c r="C660" s="45"/>
      <c r="D660" s="45"/>
      <c r="E660" s="45"/>
      <c r="F660" s="30"/>
      <c r="G660" s="30"/>
      <c r="H660" s="32"/>
      <c r="I660" s="32"/>
      <c r="J660" s="32"/>
      <c r="K660" s="32"/>
      <c r="L660" s="32"/>
      <c r="M660" s="34"/>
      <c r="N660" s="34"/>
      <c r="O660" s="34"/>
    </row>
    <row r="661">
      <c r="A661" s="45"/>
      <c r="B661" s="45"/>
      <c r="C661" s="45"/>
      <c r="D661" s="45"/>
      <c r="E661" s="45"/>
      <c r="F661" s="30"/>
      <c r="G661" s="30"/>
      <c r="H661" s="32"/>
      <c r="I661" s="32"/>
      <c r="J661" s="32"/>
      <c r="K661" s="32"/>
      <c r="L661" s="32"/>
      <c r="M661" s="34"/>
      <c r="N661" s="34"/>
      <c r="O661" s="34"/>
    </row>
    <row r="662">
      <c r="A662" s="45"/>
      <c r="B662" s="45"/>
      <c r="C662" s="45"/>
      <c r="D662" s="45"/>
      <c r="E662" s="45"/>
      <c r="F662" s="30"/>
      <c r="G662" s="30"/>
      <c r="H662" s="32"/>
      <c r="I662" s="32"/>
      <c r="J662" s="32"/>
      <c r="K662" s="32"/>
      <c r="L662" s="32"/>
      <c r="M662" s="34"/>
      <c r="N662" s="34"/>
      <c r="O662" s="34"/>
    </row>
    <row r="663">
      <c r="A663" s="45"/>
      <c r="B663" s="45"/>
      <c r="C663" s="45"/>
      <c r="D663" s="45"/>
      <c r="E663" s="45"/>
      <c r="F663" s="30"/>
      <c r="G663" s="30"/>
      <c r="H663" s="32"/>
      <c r="I663" s="32"/>
      <c r="J663" s="32"/>
      <c r="K663" s="32"/>
      <c r="L663" s="32"/>
      <c r="M663" s="34"/>
      <c r="N663" s="34"/>
      <c r="O663" s="34"/>
    </row>
    <row r="664">
      <c r="A664" s="45"/>
      <c r="B664" s="45"/>
      <c r="C664" s="45"/>
      <c r="D664" s="45"/>
      <c r="E664" s="45"/>
      <c r="F664" s="30"/>
      <c r="G664" s="30"/>
      <c r="H664" s="32"/>
      <c r="I664" s="32"/>
      <c r="J664" s="32"/>
      <c r="K664" s="32"/>
      <c r="L664" s="32"/>
      <c r="M664" s="34"/>
      <c r="N664" s="34"/>
      <c r="O664" s="34"/>
    </row>
    <row r="665">
      <c r="A665" s="45"/>
      <c r="B665" s="45"/>
      <c r="C665" s="45"/>
      <c r="D665" s="45"/>
      <c r="E665" s="45"/>
      <c r="F665" s="30"/>
      <c r="G665" s="30"/>
      <c r="H665" s="32"/>
      <c r="I665" s="32"/>
      <c r="J665" s="32"/>
      <c r="K665" s="32"/>
      <c r="L665" s="32"/>
      <c r="M665" s="34"/>
      <c r="N665" s="34"/>
      <c r="O665" s="34"/>
    </row>
    <row r="666">
      <c r="A666" s="45"/>
      <c r="B666" s="45"/>
      <c r="C666" s="45"/>
      <c r="D666" s="45"/>
      <c r="E666" s="45"/>
      <c r="F666" s="30"/>
      <c r="G666" s="30"/>
      <c r="H666" s="32"/>
      <c r="I666" s="32"/>
      <c r="J666" s="32"/>
      <c r="K666" s="32"/>
      <c r="L666" s="32"/>
      <c r="M666" s="34"/>
      <c r="N666" s="34"/>
      <c r="O666" s="34"/>
    </row>
    <row r="667">
      <c r="A667" s="45"/>
      <c r="B667" s="45"/>
      <c r="C667" s="45"/>
      <c r="D667" s="45"/>
      <c r="E667" s="45"/>
      <c r="F667" s="30"/>
      <c r="G667" s="30"/>
      <c r="H667" s="32"/>
      <c r="I667" s="32"/>
      <c r="J667" s="32"/>
      <c r="K667" s="32"/>
      <c r="L667" s="32"/>
      <c r="M667" s="34"/>
      <c r="N667" s="34"/>
      <c r="O667" s="34"/>
    </row>
    <row r="668">
      <c r="A668" s="45"/>
      <c r="B668" s="45"/>
      <c r="C668" s="45"/>
      <c r="D668" s="45"/>
      <c r="E668" s="45"/>
      <c r="F668" s="30"/>
      <c r="G668" s="30"/>
      <c r="H668" s="32"/>
      <c r="I668" s="32"/>
      <c r="J668" s="32"/>
      <c r="K668" s="32"/>
      <c r="L668" s="32"/>
      <c r="M668" s="34"/>
      <c r="N668" s="34"/>
      <c r="O668" s="34"/>
    </row>
    <row r="669">
      <c r="A669" s="45"/>
      <c r="B669" s="45"/>
      <c r="C669" s="45"/>
      <c r="D669" s="45"/>
      <c r="E669" s="45"/>
      <c r="F669" s="30"/>
      <c r="G669" s="30"/>
      <c r="H669" s="32"/>
      <c r="I669" s="32"/>
      <c r="J669" s="32"/>
      <c r="K669" s="32"/>
      <c r="L669" s="32"/>
      <c r="M669" s="34"/>
      <c r="N669" s="34"/>
      <c r="O669" s="34"/>
    </row>
    <row r="670">
      <c r="A670" s="45"/>
      <c r="B670" s="45"/>
      <c r="C670" s="45"/>
      <c r="D670" s="45"/>
      <c r="E670" s="45"/>
      <c r="F670" s="30"/>
      <c r="G670" s="30"/>
      <c r="H670" s="32"/>
      <c r="I670" s="32"/>
      <c r="J670" s="32"/>
      <c r="K670" s="32"/>
      <c r="L670" s="32"/>
      <c r="M670" s="34"/>
      <c r="N670" s="34"/>
      <c r="O670" s="34"/>
    </row>
    <row r="671">
      <c r="A671" s="45"/>
      <c r="B671" s="45"/>
      <c r="C671" s="45"/>
      <c r="D671" s="45"/>
      <c r="E671" s="45"/>
      <c r="F671" s="30"/>
      <c r="G671" s="30"/>
      <c r="H671" s="32"/>
      <c r="I671" s="32"/>
      <c r="J671" s="32"/>
      <c r="K671" s="32"/>
      <c r="L671" s="32"/>
      <c r="M671" s="34"/>
      <c r="N671" s="34"/>
      <c r="O671" s="34"/>
    </row>
    <row r="672">
      <c r="A672" s="45"/>
      <c r="B672" s="45"/>
      <c r="C672" s="45"/>
      <c r="D672" s="45"/>
      <c r="E672" s="45"/>
      <c r="F672" s="30"/>
      <c r="G672" s="30"/>
      <c r="H672" s="32"/>
      <c r="I672" s="32"/>
      <c r="J672" s="32"/>
      <c r="K672" s="32"/>
      <c r="L672" s="32"/>
      <c r="M672" s="34"/>
      <c r="N672" s="34"/>
      <c r="O672" s="34"/>
    </row>
    <row r="673">
      <c r="A673" s="45"/>
      <c r="B673" s="45"/>
      <c r="C673" s="45"/>
      <c r="D673" s="45"/>
      <c r="E673" s="45"/>
      <c r="F673" s="30"/>
      <c r="G673" s="30"/>
      <c r="H673" s="32"/>
      <c r="I673" s="32"/>
      <c r="J673" s="32"/>
      <c r="K673" s="32"/>
      <c r="L673" s="32"/>
      <c r="M673" s="34"/>
      <c r="N673" s="34"/>
      <c r="O673" s="34"/>
    </row>
    <row r="674">
      <c r="A674" s="45"/>
      <c r="B674" s="45"/>
      <c r="C674" s="45"/>
      <c r="D674" s="45"/>
      <c r="E674" s="45"/>
      <c r="F674" s="30"/>
      <c r="G674" s="30"/>
      <c r="H674" s="32"/>
      <c r="I674" s="32"/>
      <c r="J674" s="32"/>
      <c r="K674" s="32"/>
      <c r="L674" s="32"/>
      <c r="M674" s="34"/>
      <c r="N674" s="34"/>
      <c r="O674" s="34"/>
    </row>
    <row r="675">
      <c r="A675" s="45"/>
      <c r="B675" s="45"/>
      <c r="C675" s="45"/>
      <c r="D675" s="45"/>
      <c r="E675" s="45"/>
      <c r="F675" s="30"/>
      <c r="G675" s="30"/>
      <c r="H675" s="32"/>
      <c r="I675" s="32"/>
      <c r="J675" s="32"/>
      <c r="K675" s="32"/>
      <c r="L675" s="32"/>
      <c r="M675" s="34"/>
      <c r="N675" s="34"/>
      <c r="O675" s="34"/>
    </row>
    <row r="676">
      <c r="A676" s="45"/>
      <c r="B676" s="45"/>
      <c r="C676" s="45"/>
      <c r="D676" s="45"/>
      <c r="E676" s="45"/>
      <c r="F676" s="30"/>
      <c r="G676" s="30"/>
      <c r="H676" s="32"/>
      <c r="I676" s="32"/>
      <c r="J676" s="32"/>
      <c r="K676" s="32"/>
      <c r="L676" s="32"/>
      <c r="M676" s="34"/>
      <c r="N676" s="34"/>
      <c r="O676" s="34"/>
    </row>
    <row r="677">
      <c r="A677" s="45"/>
      <c r="B677" s="45"/>
      <c r="C677" s="45"/>
      <c r="D677" s="45"/>
      <c r="E677" s="45"/>
      <c r="F677" s="30"/>
      <c r="G677" s="30"/>
      <c r="H677" s="32"/>
      <c r="I677" s="32"/>
      <c r="J677" s="32"/>
      <c r="K677" s="32"/>
      <c r="L677" s="32"/>
      <c r="M677" s="34"/>
      <c r="N677" s="34"/>
      <c r="O677" s="34"/>
    </row>
    <row r="678">
      <c r="A678" s="45"/>
      <c r="B678" s="45"/>
      <c r="C678" s="45"/>
      <c r="D678" s="45"/>
      <c r="E678" s="45"/>
      <c r="F678" s="30"/>
      <c r="G678" s="30"/>
      <c r="H678" s="32"/>
      <c r="I678" s="32"/>
      <c r="J678" s="32"/>
      <c r="K678" s="32"/>
      <c r="L678" s="32"/>
      <c r="M678" s="34"/>
      <c r="N678" s="34"/>
      <c r="O678" s="34"/>
    </row>
    <row r="679">
      <c r="A679" s="45"/>
      <c r="B679" s="45"/>
      <c r="C679" s="45"/>
      <c r="D679" s="45"/>
      <c r="E679" s="45"/>
      <c r="F679" s="30"/>
      <c r="G679" s="30"/>
      <c r="H679" s="32"/>
      <c r="I679" s="32"/>
      <c r="J679" s="32"/>
      <c r="K679" s="32"/>
      <c r="L679" s="32"/>
      <c r="M679" s="34"/>
      <c r="N679" s="34"/>
      <c r="O679" s="34"/>
    </row>
    <row r="680">
      <c r="A680" s="45"/>
      <c r="B680" s="45"/>
      <c r="C680" s="45"/>
      <c r="D680" s="45"/>
      <c r="E680" s="45"/>
      <c r="F680" s="30"/>
      <c r="G680" s="30"/>
      <c r="H680" s="32"/>
      <c r="I680" s="32"/>
      <c r="J680" s="32"/>
      <c r="K680" s="32"/>
      <c r="L680" s="32"/>
      <c r="M680" s="34"/>
      <c r="N680" s="34"/>
      <c r="O680" s="34"/>
    </row>
    <row r="681">
      <c r="A681" s="45"/>
      <c r="B681" s="45"/>
      <c r="C681" s="45"/>
      <c r="D681" s="45"/>
      <c r="E681" s="45"/>
      <c r="F681" s="30"/>
      <c r="G681" s="30"/>
      <c r="H681" s="32"/>
      <c r="I681" s="32"/>
      <c r="J681" s="32"/>
      <c r="K681" s="32"/>
      <c r="L681" s="32"/>
      <c r="M681" s="34"/>
      <c r="N681" s="34"/>
      <c r="O681" s="34"/>
    </row>
    <row r="682">
      <c r="A682" s="45"/>
      <c r="B682" s="45"/>
      <c r="C682" s="45"/>
      <c r="D682" s="45"/>
      <c r="E682" s="45"/>
      <c r="F682" s="30"/>
      <c r="G682" s="30"/>
      <c r="H682" s="32"/>
      <c r="I682" s="32"/>
      <c r="J682" s="32"/>
      <c r="K682" s="32"/>
      <c r="L682" s="32"/>
      <c r="M682" s="34"/>
      <c r="N682" s="34"/>
      <c r="O682" s="34"/>
    </row>
    <row r="683">
      <c r="A683" s="45"/>
      <c r="B683" s="45"/>
      <c r="C683" s="45"/>
      <c r="D683" s="45"/>
      <c r="E683" s="45"/>
      <c r="F683" s="30"/>
      <c r="G683" s="30"/>
      <c r="H683" s="32"/>
      <c r="I683" s="32"/>
      <c r="J683" s="32"/>
      <c r="K683" s="32"/>
      <c r="L683" s="32"/>
      <c r="M683" s="34"/>
      <c r="N683" s="34"/>
      <c r="O683" s="34"/>
    </row>
    <row r="684">
      <c r="A684" s="45"/>
      <c r="B684" s="45"/>
      <c r="C684" s="45"/>
      <c r="D684" s="45"/>
      <c r="E684" s="45"/>
      <c r="F684" s="30"/>
      <c r="G684" s="30"/>
      <c r="H684" s="32"/>
      <c r="I684" s="32"/>
      <c r="J684" s="32"/>
      <c r="K684" s="32"/>
      <c r="L684" s="32"/>
      <c r="M684" s="34"/>
      <c r="N684" s="34"/>
      <c r="O684" s="34"/>
    </row>
    <row r="685">
      <c r="A685" s="45"/>
      <c r="B685" s="45"/>
      <c r="C685" s="45"/>
      <c r="D685" s="45"/>
      <c r="E685" s="45"/>
      <c r="F685" s="30"/>
      <c r="G685" s="30"/>
      <c r="H685" s="32"/>
      <c r="I685" s="32"/>
      <c r="J685" s="32"/>
      <c r="K685" s="32"/>
      <c r="L685" s="32"/>
      <c r="M685" s="34"/>
      <c r="N685" s="34"/>
      <c r="O685" s="34"/>
    </row>
    <row r="686">
      <c r="A686" s="45"/>
      <c r="B686" s="45"/>
      <c r="C686" s="45"/>
      <c r="D686" s="45"/>
      <c r="E686" s="45"/>
      <c r="F686" s="30"/>
      <c r="G686" s="30"/>
      <c r="H686" s="32"/>
      <c r="I686" s="32"/>
      <c r="J686" s="32"/>
      <c r="K686" s="32"/>
      <c r="L686" s="32"/>
      <c r="M686" s="34"/>
      <c r="N686" s="34"/>
      <c r="O686" s="34"/>
    </row>
    <row r="687">
      <c r="A687" s="45"/>
      <c r="B687" s="45"/>
      <c r="C687" s="45"/>
      <c r="D687" s="45"/>
      <c r="E687" s="45"/>
      <c r="F687" s="30"/>
      <c r="G687" s="30"/>
      <c r="H687" s="32"/>
      <c r="I687" s="32"/>
      <c r="J687" s="32"/>
      <c r="K687" s="32"/>
      <c r="L687" s="32"/>
      <c r="M687" s="34"/>
      <c r="N687" s="34"/>
      <c r="O687" s="34"/>
    </row>
    <row r="688">
      <c r="A688" s="45"/>
      <c r="B688" s="45"/>
      <c r="C688" s="45"/>
      <c r="D688" s="45"/>
      <c r="E688" s="45"/>
      <c r="F688" s="30"/>
      <c r="G688" s="30"/>
      <c r="H688" s="32"/>
      <c r="I688" s="32"/>
      <c r="J688" s="32"/>
      <c r="K688" s="32"/>
      <c r="L688" s="32"/>
      <c r="M688" s="34"/>
      <c r="N688" s="34"/>
      <c r="O688" s="34"/>
    </row>
    <row r="689">
      <c r="A689" s="45"/>
      <c r="B689" s="45"/>
      <c r="C689" s="45"/>
      <c r="D689" s="45"/>
      <c r="E689" s="45"/>
      <c r="F689" s="30"/>
      <c r="G689" s="30"/>
      <c r="H689" s="32"/>
      <c r="I689" s="32"/>
      <c r="J689" s="32"/>
      <c r="K689" s="32"/>
      <c r="L689" s="32"/>
      <c r="M689" s="34"/>
      <c r="N689" s="34"/>
      <c r="O689" s="34"/>
    </row>
    <row r="690">
      <c r="A690" s="45"/>
      <c r="B690" s="45"/>
      <c r="C690" s="45"/>
      <c r="D690" s="45"/>
      <c r="E690" s="45"/>
      <c r="F690" s="30"/>
      <c r="G690" s="30"/>
      <c r="H690" s="32"/>
      <c r="I690" s="32"/>
      <c r="J690" s="32"/>
      <c r="K690" s="32"/>
      <c r="L690" s="32"/>
      <c r="M690" s="34"/>
      <c r="N690" s="34"/>
      <c r="O690" s="34"/>
    </row>
    <row r="691">
      <c r="A691" s="45"/>
      <c r="B691" s="45"/>
      <c r="C691" s="45"/>
      <c r="D691" s="45"/>
      <c r="E691" s="45"/>
      <c r="F691" s="30"/>
      <c r="G691" s="30"/>
      <c r="H691" s="32"/>
      <c r="I691" s="32"/>
      <c r="J691" s="32"/>
      <c r="K691" s="32"/>
      <c r="L691" s="32"/>
      <c r="M691" s="34"/>
      <c r="N691" s="34"/>
      <c r="O691" s="34"/>
    </row>
    <row r="692">
      <c r="A692" s="45"/>
      <c r="B692" s="45"/>
      <c r="C692" s="45"/>
      <c r="D692" s="45"/>
      <c r="E692" s="45"/>
      <c r="F692" s="30"/>
      <c r="G692" s="30"/>
      <c r="H692" s="32"/>
      <c r="I692" s="32"/>
      <c r="J692" s="32"/>
      <c r="K692" s="32"/>
      <c r="L692" s="32"/>
      <c r="M692" s="34"/>
      <c r="N692" s="34"/>
      <c r="O692" s="34"/>
    </row>
    <row r="693">
      <c r="A693" s="45"/>
      <c r="B693" s="45"/>
      <c r="C693" s="45"/>
      <c r="D693" s="45"/>
      <c r="E693" s="45"/>
      <c r="F693" s="30"/>
      <c r="G693" s="30"/>
      <c r="H693" s="32"/>
      <c r="I693" s="32"/>
      <c r="J693" s="32"/>
      <c r="K693" s="32"/>
      <c r="L693" s="32"/>
      <c r="M693" s="34"/>
      <c r="N693" s="34"/>
      <c r="O693" s="34"/>
    </row>
    <row r="694">
      <c r="A694" s="45"/>
      <c r="B694" s="45"/>
      <c r="C694" s="45"/>
      <c r="D694" s="45"/>
      <c r="E694" s="45"/>
      <c r="F694" s="30"/>
      <c r="G694" s="30"/>
      <c r="H694" s="32"/>
      <c r="I694" s="32"/>
      <c r="J694" s="32"/>
      <c r="K694" s="32"/>
      <c r="L694" s="32"/>
      <c r="M694" s="34"/>
      <c r="N694" s="34"/>
      <c r="O694" s="34"/>
    </row>
    <row r="695">
      <c r="A695" s="45"/>
      <c r="B695" s="45"/>
      <c r="C695" s="45"/>
      <c r="D695" s="45"/>
      <c r="E695" s="45"/>
      <c r="F695" s="30"/>
      <c r="G695" s="30"/>
      <c r="H695" s="32"/>
      <c r="I695" s="32"/>
      <c r="J695" s="32"/>
      <c r="K695" s="32"/>
      <c r="L695" s="32"/>
      <c r="M695" s="34"/>
      <c r="N695" s="34"/>
      <c r="O695" s="34"/>
    </row>
    <row r="696">
      <c r="A696" s="45"/>
      <c r="B696" s="45"/>
      <c r="C696" s="45"/>
      <c r="D696" s="45"/>
      <c r="E696" s="45"/>
      <c r="F696" s="30"/>
      <c r="G696" s="30"/>
      <c r="H696" s="32"/>
      <c r="I696" s="32"/>
      <c r="J696" s="32"/>
      <c r="K696" s="32"/>
      <c r="L696" s="32"/>
      <c r="M696" s="34"/>
      <c r="N696" s="34"/>
      <c r="O696" s="34"/>
    </row>
    <row r="697">
      <c r="A697" s="45"/>
      <c r="B697" s="45"/>
      <c r="C697" s="45"/>
      <c r="D697" s="45"/>
      <c r="E697" s="45"/>
      <c r="F697" s="30"/>
      <c r="G697" s="30"/>
      <c r="H697" s="32"/>
      <c r="I697" s="32"/>
      <c r="J697" s="32"/>
      <c r="K697" s="32"/>
      <c r="L697" s="32"/>
      <c r="M697" s="34"/>
      <c r="N697" s="34"/>
      <c r="O697" s="34"/>
    </row>
    <row r="698">
      <c r="A698" s="45"/>
      <c r="B698" s="45"/>
      <c r="C698" s="45"/>
      <c r="D698" s="45"/>
      <c r="E698" s="45"/>
      <c r="F698" s="30"/>
      <c r="G698" s="30"/>
      <c r="H698" s="32"/>
      <c r="I698" s="32"/>
      <c r="J698" s="32"/>
      <c r="K698" s="32"/>
      <c r="L698" s="32"/>
      <c r="M698" s="34"/>
      <c r="N698" s="34"/>
      <c r="O698" s="34"/>
    </row>
    <row r="699">
      <c r="A699" s="45"/>
      <c r="B699" s="45"/>
      <c r="C699" s="45"/>
      <c r="D699" s="45"/>
      <c r="E699" s="45"/>
      <c r="F699" s="30"/>
      <c r="G699" s="30"/>
      <c r="H699" s="32"/>
      <c r="I699" s="32"/>
      <c r="J699" s="32"/>
      <c r="K699" s="32"/>
      <c r="L699" s="32"/>
      <c r="M699" s="34"/>
      <c r="N699" s="34"/>
      <c r="O699" s="34"/>
    </row>
    <row r="700">
      <c r="A700" s="45"/>
      <c r="B700" s="45"/>
      <c r="C700" s="45"/>
      <c r="D700" s="45"/>
      <c r="E700" s="45"/>
      <c r="F700" s="30"/>
      <c r="G700" s="30"/>
      <c r="H700" s="32"/>
      <c r="I700" s="32"/>
      <c r="J700" s="32"/>
      <c r="K700" s="32"/>
      <c r="L700" s="32"/>
      <c r="M700" s="34"/>
      <c r="N700" s="34"/>
      <c r="O700" s="34"/>
    </row>
    <row r="701">
      <c r="A701" s="45"/>
      <c r="B701" s="45"/>
      <c r="C701" s="45"/>
      <c r="D701" s="45"/>
      <c r="E701" s="45"/>
      <c r="F701" s="30"/>
      <c r="G701" s="30"/>
      <c r="H701" s="32"/>
      <c r="I701" s="32"/>
      <c r="J701" s="32"/>
      <c r="K701" s="32"/>
      <c r="L701" s="32"/>
      <c r="M701" s="34"/>
      <c r="N701" s="34"/>
      <c r="O701" s="34"/>
    </row>
    <row r="702">
      <c r="A702" s="45"/>
      <c r="B702" s="45"/>
      <c r="C702" s="45"/>
      <c r="D702" s="45"/>
      <c r="E702" s="45"/>
      <c r="F702" s="30"/>
      <c r="G702" s="30"/>
      <c r="H702" s="32"/>
      <c r="I702" s="32"/>
      <c r="J702" s="32"/>
      <c r="K702" s="32"/>
      <c r="L702" s="32"/>
      <c r="M702" s="34"/>
      <c r="N702" s="34"/>
      <c r="O702" s="34"/>
    </row>
    <row r="703">
      <c r="A703" s="45"/>
      <c r="B703" s="45"/>
      <c r="C703" s="45"/>
      <c r="D703" s="45"/>
      <c r="E703" s="45"/>
      <c r="F703" s="30"/>
      <c r="G703" s="30"/>
      <c r="H703" s="32"/>
      <c r="I703" s="32"/>
      <c r="J703" s="32"/>
      <c r="K703" s="32"/>
      <c r="L703" s="32"/>
      <c r="M703" s="34"/>
      <c r="N703" s="34"/>
      <c r="O703" s="34"/>
    </row>
    <row r="704">
      <c r="A704" s="45"/>
      <c r="B704" s="45"/>
      <c r="C704" s="45"/>
      <c r="D704" s="45"/>
      <c r="E704" s="45"/>
      <c r="F704" s="30"/>
      <c r="G704" s="30"/>
      <c r="H704" s="32"/>
      <c r="I704" s="32"/>
      <c r="J704" s="32"/>
      <c r="K704" s="32"/>
      <c r="L704" s="32"/>
      <c r="M704" s="34"/>
      <c r="N704" s="34"/>
      <c r="O704" s="34"/>
    </row>
    <row r="705">
      <c r="A705" s="45"/>
      <c r="B705" s="45"/>
      <c r="C705" s="45"/>
      <c r="D705" s="45"/>
      <c r="E705" s="45"/>
      <c r="F705" s="30"/>
      <c r="G705" s="30"/>
      <c r="H705" s="32"/>
      <c r="I705" s="32"/>
      <c r="J705" s="32"/>
      <c r="K705" s="32"/>
      <c r="L705" s="32"/>
      <c r="M705" s="34"/>
      <c r="N705" s="34"/>
      <c r="O705" s="34"/>
    </row>
    <row r="706">
      <c r="A706" s="45"/>
      <c r="B706" s="45"/>
      <c r="C706" s="45"/>
      <c r="D706" s="45"/>
      <c r="E706" s="45"/>
      <c r="F706" s="30"/>
      <c r="G706" s="30"/>
      <c r="H706" s="32"/>
      <c r="I706" s="32"/>
      <c r="J706" s="32"/>
      <c r="K706" s="32"/>
      <c r="L706" s="32"/>
      <c r="M706" s="34"/>
      <c r="N706" s="34"/>
      <c r="O706" s="34"/>
    </row>
    <row r="707">
      <c r="A707" s="45"/>
      <c r="B707" s="45"/>
      <c r="C707" s="45"/>
      <c r="D707" s="45"/>
      <c r="E707" s="45"/>
      <c r="F707" s="30"/>
      <c r="G707" s="30"/>
      <c r="H707" s="32"/>
      <c r="I707" s="32"/>
      <c r="J707" s="32"/>
      <c r="K707" s="32"/>
      <c r="L707" s="32"/>
      <c r="M707" s="34"/>
      <c r="N707" s="34"/>
      <c r="O707" s="34"/>
    </row>
    <row r="708">
      <c r="A708" s="45"/>
      <c r="B708" s="45"/>
      <c r="C708" s="45"/>
      <c r="D708" s="45"/>
      <c r="E708" s="45"/>
      <c r="F708" s="30"/>
      <c r="G708" s="30"/>
      <c r="H708" s="32"/>
      <c r="I708" s="32"/>
      <c r="J708" s="32"/>
      <c r="K708" s="32"/>
      <c r="L708" s="32"/>
      <c r="M708" s="34"/>
      <c r="N708" s="34"/>
      <c r="O708" s="34"/>
    </row>
    <row r="709">
      <c r="A709" s="45"/>
      <c r="B709" s="45"/>
      <c r="C709" s="45"/>
      <c r="D709" s="45"/>
      <c r="E709" s="45"/>
      <c r="F709" s="30"/>
      <c r="G709" s="30"/>
      <c r="H709" s="32"/>
      <c r="I709" s="32"/>
      <c r="J709" s="32"/>
      <c r="K709" s="32"/>
      <c r="L709" s="32"/>
      <c r="M709" s="34"/>
      <c r="N709" s="34"/>
      <c r="O709" s="34"/>
    </row>
    <row r="710">
      <c r="A710" s="45"/>
      <c r="B710" s="45"/>
      <c r="C710" s="45"/>
      <c r="D710" s="45"/>
      <c r="E710" s="45"/>
      <c r="F710" s="30"/>
      <c r="G710" s="30"/>
      <c r="H710" s="32"/>
      <c r="I710" s="32"/>
      <c r="J710" s="32"/>
      <c r="K710" s="32"/>
      <c r="L710" s="32"/>
      <c r="M710" s="34"/>
      <c r="N710" s="34"/>
      <c r="O710" s="34"/>
    </row>
    <row r="711">
      <c r="A711" s="45"/>
      <c r="B711" s="45"/>
      <c r="C711" s="45"/>
      <c r="D711" s="45"/>
      <c r="E711" s="45"/>
      <c r="F711" s="30"/>
      <c r="G711" s="30"/>
      <c r="H711" s="32"/>
      <c r="I711" s="32"/>
      <c r="J711" s="32"/>
      <c r="K711" s="32"/>
      <c r="L711" s="32"/>
      <c r="M711" s="34"/>
      <c r="N711" s="34"/>
      <c r="O711" s="34"/>
    </row>
    <row r="712">
      <c r="A712" s="45"/>
      <c r="B712" s="45"/>
      <c r="C712" s="45"/>
      <c r="D712" s="45"/>
      <c r="E712" s="45"/>
      <c r="F712" s="30"/>
      <c r="G712" s="30"/>
      <c r="H712" s="32"/>
      <c r="I712" s="32"/>
      <c r="J712" s="32"/>
      <c r="K712" s="32"/>
      <c r="L712" s="32"/>
      <c r="M712" s="34"/>
      <c r="N712" s="34"/>
      <c r="O712" s="34"/>
    </row>
    <row r="713">
      <c r="A713" s="45"/>
      <c r="B713" s="45"/>
      <c r="C713" s="45"/>
      <c r="D713" s="45"/>
      <c r="E713" s="45"/>
      <c r="F713" s="30"/>
      <c r="G713" s="30"/>
      <c r="H713" s="32"/>
      <c r="I713" s="32"/>
      <c r="J713" s="32"/>
      <c r="K713" s="32"/>
      <c r="L713" s="32"/>
      <c r="M713" s="34"/>
      <c r="N713" s="34"/>
      <c r="O713" s="34"/>
    </row>
    <row r="714">
      <c r="A714" s="45"/>
      <c r="B714" s="45"/>
      <c r="C714" s="45"/>
      <c r="D714" s="45"/>
      <c r="E714" s="45"/>
      <c r="F714" s="30"/>
      <c r="G714" s="30"/>
      <c r="H714" s="32"/>
      <c r="I714" s="32"/>
      <c r="J714" s="32"/>
      <c r="K714" s="32"/>
      <c r="L714" s="32"/>
      <c r="M714" s="34"/>
      <c r="N714" s="34"/>
      <c r="O714" s="34"/>
    </row>
    <row r="715">
      <c r="A715" s="45"/>
      <c r="B715" s="45"/>
      <c r="C715" s="45"/>
      <c r="D715" s="45"/>
      <c r="E715" s="45"/>
      <c r="F715" s="30"/>
      <c r="G715" s="30"/>
      <c r="H715" s="32"/>
      <c r="I715" s="32"/>
      <c r="J715" s="32"/>
      <c r="K715" s="32"/>
      <c r="L715" s="32"/>
      <c r="M715" s="34"/>
      <c r="N715" s="34"/>
      <c r="O715" s="34"/>
    </row>
    <row r="716">
      <c r="A716" s="45"/>
      <c r="B716" s="45"/>
      <c r="C716" s="45"/>
      <c r="D716" s="45"/>
      <c r="E716" s="45"/>
      <c r="F716" s="30"/>
      <c r="G716" s="30"/>
      <c r="H716" s="32"/>
      <c r="I716" s="32"/>
      <c r="J716" s="32"/>
      <c r="K716" s="32"/>
      <c r="L716" s="32"/>
      <c r="M716" s="34"/>
      <c r="N716" s="34"/>
      <c r="O716" s="34"/>
    </row>
    <row r="717">
      <c r="A717" s="45"/>
      <c r="B717" s="45"/>
      <c r="C717" s="45"/>
      <c r="D717" s="45"/>
      <c r="E717" s="45"/>
      <c r="F717" s="30"/>
      <c r="G717" s="30"/>
      <c r="H717" s="32"/>
      <c r="I717" s="32"/>
      <c r="J717" s="32"/>
      <c r="K717" s="32"/>
      <c r="L717" s="32"/>
      <c r="M717" s="34"/>
      <c r="N717" s="34"/>
      <c r="O717" s="34"/>
    </row>
    <row r="718">
      <c r="A718" s="45"/>
      <c r="B718" s="45"/>
      <c r="C718" s="45"/>
      <c r="D718" s="45"/>
      <c r="E718" s="45"/>
      <c r="F718" s="30"/>
      <c r="G718" s="30"/>
      <c r="H718" s="32"/>
      <c r="I718" s="32"/>
      <c r="J718" s="32"/>
      <c r="K718" s="32"/>
      <c r="L718" s="32"/>
      <c r="M718" s="34"/>
      <c r="N718" s="34"/>
      <c r="O718" s="34"/>
    </row>
    <row r="719">
      <c r="A719" s="45"/>
      <c r="B719" s="45"/>
      <c r="C719" s="45"/>
      <c r="D719" s="45"/>
      <c r="E719" s="45"/>
      <c r="F719" s="30"/>
      <c r="G719" s="30"/>
      <c r="H719" s="32"/>
      <c r="I719" s="32"/>
      <c r="J719" s="32"/>
      <c r="K719" s="32"/>
      <c r="L719" s="32"/>
      <c r="M719" s="34"/>
      <c r="N719" s="34"/>
      <c r="O719" s="34"/>
    </row>
    <row r="720">
      <c r="A720" s="45"/>
      <c r="B720" s="45"/>
      <c r="C720" s="45"/>
      <c r="D720" s="45"/>
      <c r="E720" s="45"/>
      <c r="F720" s="30"/>
      <c r="G720" s="30"/>
      <c r="H720" s="32"/>
      <c r="I720" s="32"/>
      <c r="J720" s="32"/>
      <c r="K720" s="32"/>
      <c r="L720" s="32"/>
      <c r="M720" s="34"/>
      <c r="N720" s="34"/>
      <c r="O720" s="34"/>
    </row>
    <row r="721">
      <c r="A721" s="45"/>
      <c r="B721" s="45"/>
      <c r="C721" s="45"/>
      <c r="D721" s="45"/>
      <c r="E721" s="45"/>
      <c r="F721" s="30"/>
      <c r="G721" s="30"/>
      <c r="H721" s="32"/>
      <c r="I721" s="32"/>
      <c r="J721" s="32"/>
      <c r="K721" s="32"/>
      <c r="L721" s="32"/>
      <c r="M721" s="34"/>
      <c r="N721" s="34"/>
      <c r="O721" s="34"/>
    </row>
    <row r="722">
      <c r="A722" s="45"/>
      <c r="B722" s="45"/>
      <c r="C722" s="45"/>
      <c r="D722" s="45"/>
      <c r="E722" s="45"/>
      <c r="F722" s="30"/>
      <c r="G722" s="30"/>
      <c r="H722" s="32"/>
      <c r="I722" s="32"/>
      <c r="J722" s="32"/>
      <c r="K722" s="32"/>
      <c r="L722" s="32"/>
      <c r="M722" s="34"/>
      <c r="N722" s="34"/>
      <c r="O722" s="34"/>
    </row>
    <row r="723">
      <c r="A723" s="45"/>
      <c r="B723" s="45"/>
      <c r="C723" s="45"/>
      <c r="D723" s="45"/>
      <c r="E723" s="45"/>
      <c r="F723" s="30"/>
      <c r="G723" s="30"/>
      <c r="H723" s="32"/>
      <c r="I723" s="32"/>
      <c r="J723" s="32"/>
      <c r="K723" s="32"/>
      <c r="L723" s="32"/>
      <c r="M723" s="34"/>
      <c r="N723" s="34"/>
      <c r="O723" s="34"/>
    </row>
    <row r="724">
      <c r="A724" s="45"/>
      <c r="B724" s="45"/>
      <c r="C724" s="45"/>
      <c r="D724" s="45"/>
      <c r="E724" s="45"/>
      <c r="F724" s="30"/>
      <c r="G724" s="30"/>
      <c r="H724" s="32"/>
      <c r="I724" s="32"/>
      <c r="J724" s="32"/>
      <c r="K724" s="32"/>
      <c r="L724" s="32"/>
      <c r="M724" s="34"/>
      <c r="N724" s="34"/>
      <c r="O724" s="34"/>
    </row>
    <row r="725">
      <c r="A725" s="45"/>
      <c r="B725" s="45"/>
      <c r="C725" s="45"/>
      <c r="D725" s="45"/>
      <c r="E725" s="45"/>
      <c r="F725" s="30"/>
      <c r="G725" s="30"/>
      <c r="H725" s="32"/>
      <c r="I725" s="32"/>
      <c r="J725" s="32"/>
      <c r="K725" s="32"/>
      <c r="L725" s="32"/>
      <c r="M725" s="34"/>
      <c r="N725" s="34"/>
      <c r="O725" s="34"/>
    </row>
    <row r="726">
      <c r="A726" s="45"/>
      <c r="B726" s="45"/>
      <c r="C726" s="45"/>
      <c r="D726" s="45"/>
      <c r="E726" s="45"/>
      <c r="F726" s="30"/>
      <c r="G726" s="30"/>
      <c r="H726" s="32"/>
      <c r="I726" s="32"/>
      <c r="J726" s="32"/>
      <c r="K726" s="32"/>
      <c r="L726" s="32"/>
      <c r="M726" s="34"/>
      <c r="N726" s="34"/>
      <c r="O726" s="34"/>
    </row>
    <row r="727">
      <c r="A727" s="45"/>
      <c r="B727" s="45"/>
      <c r="C727" s="45"/>
      <c r="D727" s="45"/>
      <c r="E727" s="45"/>
      <c r="F727" s="30"/>
      <c r="G727" s="30"/>
      <c r="H727" s="32"/>
      <c r="I727" s="32"/>
      <c r="J727" s="32"/>
      <c r="K727" s="32"/>
      <c r="L727" s="32"/>
      <c r="M727" s="34"/>
      <c r="N727" s="34"/>
      <c r="O727" s="34"/>
    </row>
    <row r="728">
      <c r="A728" s="45"/>
      <c r="B728" s="45"/>
      <c r="C728" s="45"/>
      <c r="D728" s="45"/>
      <c r="E728" s="45"/>
      <c r="F728" s="30"/>
      <c r="G728" s="30"/>
      <c r="H728" s="32"/>
      <c r="I728" s="32"/>
      <c r="J728" s="32"/>
      <c r="K728" s="32"/>
      <c r="L728" s="32"/>
      <c r="M728" s="34"/>
      <c r="N728" s="34"/>
      <c r="O728" s="34"/>
    </row>
    <row r="729">
      <c r="A729" s="45"/>
      <c r="B729" s="45"/>
      <c r="C729" s="45"/>
      <c r="D729" s="45"/>
      <c r="E729" s="45"/>
      <c r="F729" s="30"/>
      <c r="G729" s="30"/>
      <c r="H729" s="32"/>
      <c r="I729" s="32"/>
      <c r="J729" s="32"/>
      <c r="K729" s="32"/>
      <c r="L729" s="32"/>
      <c r="M729" s="34"/>
      <c r="N729" s="34"/>
      <c r="O729" s="34"/>
    </row>
    <row r="730">
      <c r="A730" s="45"/>
      <c r="B730" s="45"/>
      <c r="C730" s="45"/>
      <c r="D730" s="45"/>
      <c r="E730" s="45"/>
      <c r="F730" s="30"/>
      <c r="G730" s="30"/>
      <c r="H730" s="32"/>
      <c r="I730" s="32"/>
      <c r="J730" s="32"/>
      <c r="K730" s="32"/>
      <c r="L730" s="32"/>
      <c r="M730" s="34"/>
      <c r="N730" s="34"/>
      <c r="O730" s="34"/>
    </row>
    <row r="731">
      <c r="A731" s="45"/>
      <c r="B731" s="45"/>
      <c r="C731" s="45"/>
      <c r="D731" s="45"/>
      <c r="E731" s="45"/>
      <c r="F731" s="30"/>
      <c r="G731" s="30"/>
      <c r="H731" s="32"/>
      <c r="I731" s="32"/>
      <c r="J731" s="32"/>
      <c r="K731" s="32"/>
      <c r="L731" s="32"/>
      <c r="M731" s="34"/>
      <c r="N731" s="34"/>
      <c r="O731" s="34"/>
    </row>
    <row r="732">
      <c r="A732" s="45"/>
      <c r="B732" s="45"/>
      <c r="C732" s="45"/>
      <c r="D732" s="45"/>
      <c r="E732" s="45"/>
      <c r="F732" s="30"/>
      <c r="G732" s="30"/>
      <c r="H732" s="32"/>
      <c r="I732" s="32"/>
      <c r="J732" s="32"/>
      <c r="K732" s="32"/>
      <c r="L732" s="32"/>
      <c r="M732" s="34"/>
      <c r="N732" s="34"/>
      <c r="O732" s="34"/>
    </row>
    <row r="733">
      <c r="A733" s="45"/>
      <c r="B733" s="45"/>
      <c r="C733" s="45"/>
      <c r="D733" s="45"/>
      <c r="E733" s="45"/>
      <c r="F733" s="30"/>
      <c r="G733" s="30"/>
      <c r="H733" s="32"/>
      <c r="I733" s="32"/>
      <c r="J733" s="32"/>
      <c r="K733" s="32"/>
      <c r="L733" s="32"/>
      <c r="M733" s="34"/>
      <c r="N733" s="34"/>
      <c r="O733" s="34"/>
    </row>
    <row r="734">
      <c r="A734" s="45"/>
      <c r="B734" s="45"/>
      <c r="C734" s="45"/>
      <c r="D734" s="45"/>
      <c r="E734" s="45"/>
      <c r="F734" s="30"/>
      <c r="G734" s="30"/>
      <c r="H734" s="32"/>
      <c r="I734" s="32"/>
      <c r="J734" s="32"/>
      <c r="K734" s="32"/>
      <c r="L734" s="32"/>
      <c r="M734" s="34"/>
      <c r="N734" s="34"/>
      <c r="O734" s="34"/>
    </row>
    <row r="735">
      <c r="A735" s="45"/>
      <c r="B735" s="45"/>
      <c r="C735" s="45"/>
      <c r="D735" s="45"/>
      <c r="E735" s="45"/>
      <c r="F735" s="30"/>
      <c r="G735" s="30"/>
      <c r="H735" s="32"/>
      <c r="I735" s="32"/>
      <c r="J735" s="32"/>
      <c r="K735" s="32"/>
      <c r="L735" s="32"/>
      <c r="M735" s="34"/>
      <c r="N735" s="34"/>
      <c r="O735" s="34"/>
    </row>
    <row r="736">
      <c r="A736" s="45"/>
      <c r="B736" s="45"/>
      <c r="C736" s="45"/>
      <c r="D736" s="45"/>
      <c r="E736" s="45"/>
      <c r="F736" s="30"/>
      <c r="G736" s="30"/>
      <c r="H736" s="32"/>
      <c r="I736" s="32"/>
      <c r="J736" s="32"/>
      <c r="K736" s="32"/>
      <c r="L736" s="32"/>
      <c r="M736" s="34"/>
      <c r="N736" s="34"/>
      <c r="O736" s="34"/>
    </row>
    <row r="737">
      <c r="A737" s="45"/>
      <c r="B737" s="45"/>
      <c r="C737" s="45"/>
      <c r="D737" s="45"/>
      <c r="E737" s="45"/>
      <c r="F737" s="30"/>
      <c r="G737" s="30"/>
      <c r="H737" s="32"/>
      <c r="I737" s="32"/>
      <c r="J737" s="32"/>
      <c r="K737" s="32"/>
      <c r="L737" s="32"/>
      <c r="M737" s="34"/>
      <c r="N737" s="34"/>
      <c r="O737" s="34"/>
    </row>
    <row r="738">
      <c r="A738" s="45"/>
      <c r="B738" s="45"/>
      <c r="C738" s="45"/>
      <c r="D738" s="45"/>
      <c r="E738" s="45"/>
      <c r="F738" s="30"/>
      <c r="G738" s="30"/>
      <c r="H738" s="32"/>
      <c r="I738" s="32"/>
      <c r="J738" s="32"/>
      <c r="K738" s="32"/>
      <c r="L738" s="32"/>
      <c r="M738" s="34"/>
      <c r="N738" s="34"/>
      <c r="O738" s="34"/>
    </row>
    <row r="739">
      <c r="A739" s="45"/>
      <c r="B739" s="45"/>
      <c r="C739" s="45"/>
      <c r="D739" s="45"/>
      <c r="E739" s="45"/>
      <c r="F739" s="30"/>
      <c r="G739" s="30"/>
      <c r="H739" s="32"/>
      <c r="I739" s="32"/>
      <c r="J739" s="32"/>
      <c r="K739" s="32"/>
      <c r="L739" s="32"/>
      <c r="M739" s="34"/>
      <c r="N739" s="34"/>
      <c r="O739" s="34"/>
    </row>
    <row r="740">
      <c r="A740" s="45"/>
      <c r="B740" s="45"/>
      <c r="C740" s="45"/>
      <c r="D740" s="45"/>
      <c r="E740" s="45"/>
      <c r="F740" s="30"/>
      <c r="G740" s="30"/>
      <c r="H740" s="32"/>
      <c r="I740" s="32"/>
      <c r="J740" s="32"/>
      <c r="K740" s="32"/>
      <c r="L740" s="32"/>
      <c r="M740" s="34"/>
      <c r="N740" s="34"/>
      <c r="O740" s="34"/>
    </row>
    <row r="741">
      <c r="A741" s="45"/>
      <c r="B741" s="45"/>
      <c r="C741" s="45"/>
      <c r="D741" s="45"/>
      <c r="E741" s="45"/>
      <c r="F741" s="30"/>
      <c r="G741" s="30"/>
      <c r="H741" s="32"/>
      <c r="I741" s="32"/>
      <c r="J741" s="32"/>
      <c r="K741" s="32"/>
      <c r="L741" s="32"/>
      <c r="M741" s="34"/>
      <c r="N741" s="34"/>
      <c r="O741" s="34"/>
    </row>
    <row r="742">
      <c r="A742" s="45"/>
      <c r="B742" s="45"/>
      <c r="C742" s="45"/>
      <c r="D742" s="45"/>
      <c r="E742" s="45"/>
      <c r="F742" s="30"/>
      <c r="G742" s="30"/>
      <c r="H742" s="32"/>
      <c r="I742" s="32"/>
      <c r="J742" s="32"/>
      <c r="K742" s="32"/>
      <c r="L742" s="32"/>
      <c r="M742" s="34"/>
      <c r="N742" s="34"/>
      <c r="O742" s="34"/>
    </row>
    <row r="743">
      <c r="A743" s="45"/>
      <c r="B743" s="45"/>
      <c r="C743" s="45"/>
      <c r="D743" s="45"/>
      <c r="E743" s="45"/>
      <c r="F743" s="30"/>
      <c r="G743" s="30"/>
      <c r="H743" s="32"/>
      <c r="I743" s="32"/>
      <c r="J743" s="32"/>
      <c r="K743" s="32"/>
      <c r="L743" s="32"/>
      <c r="M743" s="34"/>
      <c r="N743" s="34"/>
      <c r="O743" s="34"/>
    </row>
    <row r="744">
      <c r="A744" s="45"/>
      <c r="B744" s="45"/>
      <c r="C744" s="45"/>
      <c r="D744" s="45"/>
      <c r="E744" s="45"/>
      <c r="F744" s="30"/>
      <c r="G744" s="30"/>
      <c r="H744" s="32"/>
      <c r="I744" s="32"/>
      <c r="J744" s="32"/>
      <c r="K744" s="32"/>
      <c r="L744" s="32"/>
      <c r="M744" s="34"/>
      <c r="N744" s="34"/>
      <c r="O744" s="34"/>
    </row>
    <row r="745">
      <c r="A745" s="45"/>
      <c r="B745" s="45"/>
      <c r="C745" s="45"/>
      <c r="D745" s="45"/>
      <c r="E745" s="45"/>
      <c r="F745" s="30"/>
      <c r="G745" s="30"/>
      <c r="H745" s="32"/>
      <c r="I745" s="32"/>
      <c r="J745" s="32"/>
      <c r="K745" s="32"/>
      <c r="L745" s="32"/>
      <c r="M745" s="34"/>
      <c r="N745" s="34"/>
      <c r="O745" s="34"/>
    </row>
    <row r="746">
      <c r="A746" s="45"/>
      <c r="B746" s="45"/>
      <c r="C746" s="45"/>
      <c r="D746" s="45"/>
      <c r="E746" s="45"/>
      <c r="F746" s="30"/>
      <c r="G746" s="30"/>
      <c r="H746" s="32"/>
      <c r="I746" s="32"/>
      <c r="J746" s="32"/>
      <c r="K746" s="32"/>
      <c r="L746" s="32"/>
      <c r="M746" s="34"/>
      <c r="N746" s="34"/>
      <c r="O746" s="34"/>
    </row>
    <row r="747">
      <c r="A747" s="45"/>
      <c r="B747" s="45"/>
      <c r="C747" s="45"/>
      <c r="D747" s="45"/>
      <c r="E747" s="45"/>
      <c r="F747" s="30"/>
      <c r="G747" s="30"/>
      <c r="H747" s="32"/>
      <c r="I747" s="32"/>
      <c r="J747" s="32"/>
      <c r="K747" s="32"/>
      <c r="L747" s="32"/>
      <c r="M747" s="34"/>
      <c r="N747" s="34"/>
      <c r="O747" s="34"/>
    </row>
    <row r="748">
      <c r="A748" s="45"/>
      <c r="B748" s="45"/>
      <c r="C748" s="45"/>
      <c r="D748" s="45"/>
      <c r="E748" s="45"/>
      <c r="F748" s="30"/>
      <c r="G748" s="30"/>
      <c r="H748" s="32"/>
      <c r="I748" s="32"/>
      <c r="J748" s="32"/>
      <c r="K748" s="32"/>
      <c r="L748" s="32"/>
      <c r="M748" s="34"/>
      <c r="N748" s="34"/>
      <c r="O748" s="34"/>
    </row>
    <row r="749">
      <c r="A749" s="45"/>
      <c r="B749" s="45"/>
      <c r="C749" s="45"/>
      <c r="D749" s="45"/>
      <c r="E749" s="45"/>
      <c r="F749" s="30"/>
      <c r="G749" s="30"/>
      <c r="H749" s="32"/>
      <c r="I749" s="32"/>
      <c r="J749" s="32"/>
      <c r="K749" s="32"/>
      <c r="L749" s="32"/>
      <c r="M749" s="34"/>
      <c r="N749" s="34"/>
      <c r="O749" s="34"/>
    </row>
    <row r="750">
      <c r="A750" s="45"/>
      <c r="B750" s="45"/>
      <c r="C750" s="45"/>
      <c r="D750" s="45"/>
      <c r="E750" s="45"/>
      <c r="F750" s="30"/>
      <c r="G750" s="30"/>
      <c r="H750" s="32"/>
      <c r="I750" s="32"/>
      <c r="J750" s="32"/>
      <c r="K750" s="32"/>
      <c r="L750" s="32"/>
      <c r="M750" s="34"/>
      <c r="N750" s="34"/>
      <c r="O750" s="34"/>
    </row>
    <row r="751">
      <c r="A751" s="45"/>
      <c r="B751" s="45"/>
      <c r="C751" s="45"/>
      <c r="D751" s="45"/>
      <c r="E751" s="45"/>
      <c r="F751" s="30"/>
      <c r="G751" s="30"/>
      <c r="H751" s="32"/>
      <c r="I751" s="32"/>
      <c r="J751" s="32"/>
      <c r="K751" s="32"/>
      <c r="L751" s="32"/>
      <c r="M751" s="34"/>
      <c r="N751" s="34"/>
      <c r="O751" s="34"/>
    </row>
    <row r="752">
      <c r="A752" s="45"/>
      <c r="B752" s="45"/>
      <c r="C752" s="45"/>
      <c r="D752" s="45"/>
      <c r="E752" s="45"/>
      <c r="F752" s="30"/>
      <c r="G752" s="30"/>
      <c r="H752" s="32"/>
      <c r="I752" s="32"/>
      <c r="J752" s="32"/>
      <c r="K752" s="32"/>
      <c r="L752" s="32"/>
      <c r="M752" s="34"/>
      <c r="N752" s="34"/>
      <c r="O752" s="34"/>
    </row>
    <row r="753">
      <c r="A753" s="45"/>
      <c r="B753" s="45"/>
      <c r="C753" s="45"/>
      <c r="D753" s="45"/>
      <c r="E753" s="45"/>
      <c r="F753" s="30"/>
      <c r="G753" s="30"/>
      <c r="H753" s="32"/>
      <c r="I753" s="32"/>
      <c r="J753" s="32"/>
      <c r="K753" s="32"/>
      <c r="L753" s="32"/>
      <c r="M753" s="34"/>
      <c r="N753" s="34"/>
      <c r="O753" s="34"/>
    </row>
    <row r="754">
      <c r="A754" s="45"/>
      <c r="B754" s="45"/>
      <c r="C754" s="45"/>
      <c r="D754" s="45"/>
      <c r="E754" s="45"/>
      <c r="F754" s="30"/>
      <c r="G754" s="30"/>
      <c r="H754" s="32"/>
      <c r="I754" s="32"/>
      <c r="J754" s="32"/>
      <c r="K754" s="32"/>
      <c r="L754" s="32"/>
      <c r="M754" s="34"/>
      <c r="N754" s="34"/>
      <c r="O754" s="34"/>
    </row>
    <row r="755">
      <c r="A755" s="45"/>
      <c r="B755" s="45"/>
      <c r="C755" s="45"/>
      <c r="D755" s="45"/>
      <c r="E755" s="45"/>
      <c r="F755" s="30"/>
      <c r="G755" s="30"/>
      <c r="H755" s="32"/>
      <c r="I755" s="32"/>
      <c r="J755" s="32"/>
      <c r="K755" s="32"/>
      <c r="L755" s="32"/>
      <c r="M755" s="34"/>
      <c r="N755" s="34"/>
      <c r="O755" s="34"/>
    </row>
    <row r="756">
      <c r="A756" s="45"/>
      <c r="B756" s="45"/>
      <c r="C756" s="45"/>
      <c r="D756" s="45"/>
      <c r="E756" s="45"/>
      <c r="F756" s="30"/>
      <c r="G756" s="30"/>
      <c r="H756" s="32"/>
      <c r="I756" s="32"/>
      <c r="J756" s="32"/>
      <c r="K756" s="32"/>
      <c r="L756" s="32"/>
      <c r="M756" s="34"/>
      <c r="N756" s="34"/>
      <c r="O756" s="34"/>
    </row>
    <row r="757">
      <c r="A757" s="45"/>
      <c r="B757" s="45"/>
      <c r="C757" s="45"/>
      <c r="D757" s="45"/>
      <c r="E757" s="45"/>
      <c r="F757" s="30"/>
      <c r="G757" s="30"/>
      <c r="H757" s="32"/>
      <c r="I757" s="32"/>
      <c r="J757" s="32"/>
      <c r="K757" s="32"/>
      <c r="L757" s="32"/>
      <c r="M757" s="34"/>
      <c r="N757" s="34"/>
      <c r="O757" s="34"/>
    </row>
    <row r="758">
      <c r="A758" s="45"/>
      <c r="B758" s="45"/>
      <c r="C758" s="45"/>
      <c r="D758" s="45"/>
      <c r="E758" s="45"/>
      <c r="F758" s="30"/>
      <c r="G758" s="30"/>
      <c r="H758" s="32"/>
      <c r="I758" s="32"/>
      <c r="J758" s="32"/>
      <c r="K758" s="32"/>
      <c r="L758" s="32"/>
      <c r="M758" s="34"/>
      <c r="N758" s="34"/>
      <c r="O758" s="34"/>
    </row>
    <row r="759">
      <c r="A759" s="45"/>
      <c r="B759" s="45"/>
      <c r="C759" s="45"/>
      <c r="D759" s="45"/>
      <c r="E759" s="45"/>
      <c r="F759" s="30"/>
      <c r="G759" s="30"/>
      <c r="H759" s="32"/>
      <c r="I759" s="32"/>
      <c r="J759" s="32"/>
      <c r="K759" s="32"/>
      <c r="L759" s="32"/>
      <c r="M759" s="34"/>
      <c r="N759" s="34"/>
      <c r="O759" s="34"/>
    </row>
    <row r="760">
      <c r="A760" s="45"/>
      <c r="B760" s="45"/>
      <c r="C760" s="45"/>
      <c r="D760" s="45"/>
      <c r="E760" s="45"/>
      <c r="F760" s="30"/>
      <c r="G760" s="30"/>
      <c r="H760" s="32"/>
      <c r="I760" s="32"/>
      <c r="J760" s="32"/>
      <c r="K760" s="32"/>
      <c r="L760" s="32"/>
      <c r="M760" s="34"/>
      <c r="N760" s="34"/>
      <c r="O760" s="34"/>
    </row>
    <row r="761">
      <c r="A761" s="45"/>
      <c r="B761" s="45"/>
      <c r="C761" s="45"/>
      <c r="D761" s="45"/>
      <c r="E761" s="45"/>
      <c r="F761" s="30"/>
      <c r="G761" s="30"/>
      <c r="H761" s="32"/>
      <c r="I761" s="32"/>
      <c r="J761" s="32"/>
      <c r="K761" s="32"/>
      <c r="L761" s="32"/>
      <c r="M761" s="34"/>
      <c r="N761" s="34"/>
      <c r="O761" s="34"/>
    </row>
    <row r="762">
      <c r="A762" s="45"/>
      <c r="B762" s="45"/>
      <c r="C762" s="45"/>
      <c r="D762" s="45"/>
      <c r="E762" s="45"/>
      <c r="F762" s="30"/>
      <c r="G762" s="30"/>
      <c r="H762" s="32"/>
      <c r="I762" s="32"/>
      <c r="J762" s="32"/>
      <c r="K762" s="32"/>
      <c r="L762" s="32"/>
      <c r="M762" s="34"/>
      <c r="N762" s="34"/>
      <c r="O762" s="34"/>
    </row>
    <row r="763">
      <c r="A763" s="45"/>
      <c r="B763" s="45"/>
      <c r="C763" s="45"/>
      <c r="D763" s="45"/>
      <c r="E763" s="45"/>
      <c r="F763" s="30"/>
      <c r="G763" s="30"/>
      <c r="H763" s="32"/>
      <c r="I763" s="32"/>
      <c r="J763" s="32"/>
      <c r="K763" s="32"/>
      <c r="L763" s="32"/>
      <c r="M763" s="34"/>
      <c r="N763" s="34"/>
      <c r="O763" s="34"/>
    </row>
    <row r="764">
      <c r="A764" s="45"/>
      <c r="B764" s="45"/>
      <c r="C764" s="45"/>
      <c r="D764" s="45"/>
      <c r="E764" s="45"/>
      <c r="F764" s="30"/>
      <c r="G764" s="30"/>
      <c r="H764" s="32"/>
      <c r="I764" s="32"/>
      <c r="J764" s="32"/>
      <c r="K764" s="32"/>
      <c r="L764" s="32"/>
      <c r="M764" s="34"/>
      <c r="N764" s="34"/>
      <c r="O764" s="34"/>
    </row>
    <row r="765">
      <c r="A765" s="45"/>
      <c r="B765" s="45"/>
      <c r="C765" s="45"/>
      <c r="D765" s="45"/>
      <c r="E765" s="45"/>
      <c r="F765" s="30"/>
      <c r="G765" s="30"/>
      <c r="H765" s="32"/>
      <c r="I765" s="32"/>
      <c r="J765" s="32"/>
      <c r="K765" s="32"/>
      <c r="L765" s="32"/>
      <c r="M765" s="34"/>
      <c r="N765" s="34"/>
      <c r="O765" s="34"/>
    </row>
    <row r="766">
      <c r="A766" s="45"/>
      <c r="B766" s="45"/>
      <c r="C766" s="45"/>
      <c r="D766" s="45"/>
      <c r="E766" s="45"/>
      <c r="F766" s="30"/>
      <c r="G766" s="30"/>
      <c r="H766" s="32"/>
      <c r="I766" s="32"/>
      <c r="J766" s="32"/>
      <c r="K766" s="32"/>
      <c r="L766" s="32"/>
      <c r="M766" s="34"/>
      <c r="N766" s="34"/>
      <c r="O766" s="34"/>
    </row>
    <row r="767">
      <c r="A767" s="45"/>
      <c r="B767" s="45"/>
      <c r="C767" s="45"/>
      <c r="D767" s="45"/>
      <c r="E767" s="45"/>
      <c r="F767" s="30"/>
      <c r="G767" s="30"/>
      <c r="H767" s="32"/>
      <c r="I767" s="32"/>
      <c r="J767" s="32"/>
      <c r="K767" s="32"/>
      <c r="L767" s="32"/>
      <c r="M767" s="34"/>
      <c r="N767" s="34"/>
      <c r="O767" s="34"/>
    </row>
    <row r="768">
      <c r="A768" s="45"/>
      <c r="B768" s="45"/>
      <c r="C768" s="45"/>
      <c r="D768" s="45"/>
      <c r="E768" s="45"/>
      <c r="F768" s="30"/>
      <c r="G768" s="30"/>
      <c r="H768" s="32"/>
      <c r="I768" s="32"/>
      <c r="J768" s="32"/>
      <c r="K768" s="32"/>
      <c r="L768" s="32"/>
      <c r="M768" s="34"/>
      <c r="N768" s="34"/>
      <c r="O768" s="34"/>
    </row>
    <row r="769">
      <c r="A769" s="45"/>
      <c r="B769" s="45"/>
      <c r="C769" s="45"/>
      <c r="D769" s="45"/>
      <c r="E769" s="45"/>
      <c r="F769" s="30"/>
      <c r="G769" s="30"/>
      <c r="H769" s="32"/>
      <c r="I769" s="32"/>
      <c r="J769" s="32"/>
      <c r="K769" s="32"/>
      <c r="L769" s="32"/>
      <c r="M769" s="34"/>
      <c r="N769" s="34"/>
      <c r="O769" s="34"/>
    </row>
    <row r="770">
      <c r="A770" s="45"/>
      <c r="B770" s="45"/>
      <c r="C770" s="45"/>
      <c r="D770" s="45"/>
      <c r="E770" s="45"/>
      <c r="F770" s="30"/>
      <c r="G770" s="30"/>
      <c r="H770" s="32"/>
      <c r="I770" s="32"/>
      <c r="J770" s="32"/>
      <c r="K770" s="32"/>
      <c r="L770" s="32"/>
      <c r="M770" s="34"/>
      <c r="N770" s="34"/>
      <c r="O770" s="34"/>
    </row>
    <row r="771">
      <c r="A771" s="45"/>
      <c r="B771" s="45"/>
      <c r="C771" s="45"/>
      <c r="D771" s="45"/>
      <c r="E771" s="45"/>
      <c r="F771" s="30"/>
      <c r="G771" s="30"/>
      <c r="H771" s="32"/>
      <c r="I771" s="32"/>
      <c r="J771" s="32"/>
      <c r="K771" s="32"/>
      <c r="L771" s="32"/>
      <c r="M771" s="34"/>
      <c r="N771" s="34"/>
      <c r="O771" s="34"/>
    </row>
    <row r="772">
      <c r="A772" s="45"/>
      <c r="B772" s="45"/>
      <c r="C772" s="45"/>
      <c r="D772" s="45"/>
      <c r="E772" s="45"/>
      <c r="F772" s="30"/>
      <c r="G772" s="30"/>
      <c r="H772" s="32"/>
      <c r="I772" s="32"/>
      <c r="J772" s="32"/>
      <c r="K772" s="32"/>
      <c r="L772" s="32"/>
      <c r="M772" s="34"/>
      <c r="N772" s="34"/>
      <c r="O772" s="34"/>
    </row>
    <row r="773">
      <c r="A773" s="45"/>
      <c r="B773" s="45"/>
      <c r="C773" s="45"/>
      <c r="D773" s="45"/>
      <c r="E773" s="45"/>
      <c r="F773" s="30"/>
      <c r="G773" s="30"/>
      <c r="H773" s="32"/>
      <c r="I773" s="32"/>
      <c r="J773" s="32"/>
      <c r="K773" s="32"/>
      <c r="L773" s="32"/>
      <c r="M773" s="34"/>
      <c r="N773" s="34"/>
      <c r="O773" s="34"/>
    </row>
    <row r="774">
      <c r="A774" s="45"/>
      <c r="B774" s="45"/>
      <c r="C774" s="45"/>
      <c r="D774" s="45"/>
      <c r="E774" s="45"/>
      <c r="F774" s="30"/>
      <c r="G774" s="30"/>
      <c r="H774" s="32"/>
      <c r="I774" s="32"/>
      <c r="J774" s="32"/>
      <c r="K774" s="32"/>
      <c r="L774" s="32"/>
      <c r="M774" s="34"/>
      <c r="N774" s="34"/>
      <c r="O774" s="34"/>
    </row>
    <row r="775">
      <c r="A775" s="45"/>
      <c r="B775" s="45"/>
      <c r="C775" s="45"/>
      <c r="D775" s="45"/>
      <c r="E775" s="45"/>
      <c r="F775" s="30"/>
      <c r="G775" s="30"/>
      <c r="H775" s="32"/>
      <c r="I775" s="32"/>
      <c r="J775" s="32"/>
      <c r="K775" s="32"/>
      <c r="L775" s="32"/>
      <c r="M775" s="34"/>
      <c r="N775" s="34"/>
      <c r="O775" s="34"/>
    </row>
    <row r="776">
      <c r="A776" s="45"/>
      <c r="B776" s="45"/>
      <c r="C776" s="45"/>
      <c r="D776" s="45"/>
      <c r="E776" s="45"/>
      <c r="F776" s="30"/>
      <c r="G776" s="30"/>
      <c r="H776" s="32"/>
      <c r="I776" s="32"/>
      <c r="J776" s="32"/>
      <c r="K776" s="32"/>
      <c r="L776" s="32"/>
      <c r="M776" s="34"/>
      <c r="N776" s="34"/>
      <c r="O776" s="34"/>
    </row>
    <row r="777">
      <c r="A777" s="45"/>
      <c r="B777" s="45"/>
      <c r="C777" s="45"/>
      <c r="D777" s="45"/>
      <c r="E777" s="45"/>
      <c r="F777" s="30"/>
      <c r="G777" s="30"/>
      <c r="H777" s="32"/>
      <c r="I777" s="32"/>
      <c r="J777" s="32"/>
      <c r="K777" s="32"/>
      <c r="L777" s="32"/>
      <c r="M777" s="34"/>
      <c r="N777" s="34"/>
      <c r="O777" s="34"/>
    </row>
    <row r="778">
      <c r="A778" s="45"/>
      <c r="B778" s="45"/>
      <c r="C778" s="45"/>
      <c r="D778" s="45"/>
      <c r="E778" s="45"/>
      <c r="F778" s="30"/>
      <c r="G778" s="30"/>
      <c r="H778" s="32"/>
      <c r="I778" s="32"/>
      <c r="J778" s="32"/>
      <c r="K778" s="32"/>
      <c r="L778" s="32"/>
      <c r="M778" s="34"/>
      <c r="N778" s="34"/>
      <c r="O778" s="34"/>
    </row>
    <row r="779">
      <c r="A779" s="45"/>
      <c r="B779" s="45"/>
      <c r="C779" s="45"/>
      <c r="D779" s="45"/>
      <c r="E779" s="45"/>
      <c r="F779" s="30"/>
      <c r="G779" s="30"/>
      <c r="H779" s="32"/>
      <c r="I779" s="32"/>
      <c r="J779" s="32"/>
      <c r="K779" s="32"/>
      <c r="L779" s="32"/>
      <c r="M779" s="34"/>
      <c r="N779" s="34"/>
      <c r="O779" s="34"/>
    </row>
    <row r="780">
      <c r="A780" s="45"/>
      <c r="B780" s="45"/>
      <c r="C780" s="45"/>
      <c r="D780" s="45"/>
      <c r="E780" s="45"/>
      <c r="F780" s="30"/>
      <c r="G780" s="30"/>
      <c r="H780" s="32"/>
      <c r="I780" s="32"/>
      <c r="J780" s="32"/>
      <c r="K780" s="32"/>
      <c r="L780" s="32"/>
      <c r="M780" s="34"/>
      <c r="N780" s="34"/>
      <c r="O780" s="34"/>
    </row>
    <row r="781">
      <c r="A781" s="45"/>
      <c r="B781" s="45"/>
      <c r="C781" s="45"/>
      <c r="D781" s="45"/>
      <c r="E781" s="45"/>
      <c r="F781" s="30"/>
      <c r="G781" s="30"/>
      <c r="H781" s="32"/>
      <c r="I781" s="32"/>
      <c r="J781" s="32"/>
      <c r="K781" s="32"/>
      <c r="L781" s="32"/>
      <c r="M781" s="34"/>
      <c r="N781" s="34"/>
      <c r="O781" s="34"/>
    </row>
    <row r="782">
      <c r="A782" s="45"/>
      <c r="B782" s="45"/>
      <c r="C782" s="45"/>
      <c r="D782" s="45"/>
      <c r="E782" s="45"/>
      <c r="F782" s="30"/>
      <c r="G782" s="30"/>
      <c r="H782" s="32"/>
      <c r="I782" s="32"/>
      <c r="J782" s="32"/>
      <c r="K782" s="32"/>
      <c r="L782" s="32"/>
      <c r="M782" s="34"/>
      <c r="N782" s="34"/>
      <c r="O782" s="34"/>
    </row>
    <row r="783">
      <c r="A783" s="45"/>
      <c r="B783" s="45"/>
      <c r="C783" s="45"/>
      <c r="D783" s="45"/>
      <c r="E783" s="45"/>
      <c r="F783" s="30"/>
      <c r="G783" s="30"/>
      <c r="H783" s="32"/>
      <c r="I783" s="32"/>
      <c r="J783" s="32"/>
      <c r="K783" s="32"/>
      <c r="L783" s="32"/>
      <c r="M783" s="34"/>
      <c r="N783" s="34"/>
      <c r="O783" s="34"/>
    </row>
    <row r="784">
      <c r="A784" s="45"/>
      <c r="B784" s="45"/>
      <c r="C784" s="45"/>
      <c r="D784" s="45"/>
      <c r="E784" s="45"/>
      <c r="F784" s="30"/>
      <c r="G784" s="30"/>
      <c r="H784" s="32"/>
      <c r="I784" s="32"/>
      <c r="J784" s="32"/>
      <c r="K784" s="32"/>
      <c r="L784" s="32"/>
      <c r="M784" s="34"/>
      <c r="N784" s="34"/>
      <c r="O784" s="34"/>
    </row>
    <row r="785">
      <c r="A785" s="45"/>
      <c r="B785" s="45"/>
      <c r="C785" s="45"/>
      <c r="D785" s="45"/>
      <c r="E785" s="45"/>
      <c r="F785" s="30"/>
      <c r="G785" s="30"/>
      <c r="H785" s="32"/>
      <c r="I785" s="32"/>
      <c r="J785" s="32"/>
      <c r="K785" s="32"/>
      <c r="L785" s="32"/>
      <c r="M785" s="34"/>
      <c r="N785" s="34"/>
      <c r="O785" s="34"/>
    </row>
    <row r="786">
      <c r="A786" s="45"/>
      <c r="B786" s="45"/>
      <c r="C786" s="45"/>
      <c r="D786" s="45"/>
      <c r="E786" s="45"/>
      <c r="F786" s="30"/>
      <c r="G786" s="30"/>
      <c r="H786" s="32"/>
      <c r="I786" s="32"/>
      <c r="J786" s="32"/>
      <c r="K786" s="32"/>
      <c r="L786" s="32"/>
      <c r="M786" s="34"/>
      <c r="N786" s="34"/>
      <c r="O786" s="34"/>
    </row>
    <row r="787">
      <c r="A787" s="45"/>
      <c r="B787" s="45"/>
      <c r="C787" s="45"/>
      <c r="D787" s="45"/>
      <c r="E787" s="45"/>
      <c r="F787" s="30"/>
      <c r="G787" s="30"/>
      <c r="H787" s="32"/>
      <c r="I787" s="32"/>
      <c r="J787" s="32"/>
      <c r="K787" s="32"/>
      <c r="L787" s="32"/>
      <c r="M787" s="34"/>
      <c r="N787" s="34"/>
      <c r="O787" s="34"/>
    </row>
    <row r="788">
      <c r="A788" s="45"/>
      <c r="B788" s="45"/>
      <c r="C788" s="45"/>
      <c r="D788" s="45"/>
      <c r="E788" s="45"/>
      <c r="F788" s="30"/>
      <c r="G788" s="30"/>
      <c r="H788" s="32"/>
      <c r="I788" s="32"/>
      <c r="J788" s="32"/>
      <c r="K788" s="32"/>
      <c r="L788" s="32"/>
      <c r="M788" s="34"/>
      <c r="N788" s="34"/>
      <c r="O788" s="34"/>
    </row>
    <row r="789">
      <c r="A789" s="45"/>
      <c r="B789" s="45"/>
      <c r="C789" s="45"/>
      <c r="D789" s="45"/>
      <c r="E789" s="45"/>
      <c r="F789" s="30"/>
      <c r="G789" s="30"/>
      <c r="H789" s="32"/>
      <c r="I789" s="32"/>
      <c r="J789" s="32"/>
      <c r="K789" s="32"/>
      <c r="L789" s="32"/>
      <c r="M789" s="34"/>
      <c r="N789" s="34"/>
      <c r="O789" s="34"/>
    </row>
    <row r="790">
      <c r="A790" s="45"/>
      <c r="B790" s="45"/>
      <c r="C790" s="45"/>
      <c r="D790" s="45"/>
      <c r="E790" s="45"/>
      <c r="F790" s="30"/>
      <c r="G790" s="30"/>
      <c r="H790" s="32"/>
      <c r="I790" s="32"/>
      <c r="J790" s="32"/>
      <c r="K790" s="32"/>
      <c r="L790" s="32"/>
      <c r="M790" s="34"/>
      <c r="N790" s="34"/>
      <c r="O790" s="34"/>
    </row>
    <row r="791">
      <c r="A791" s="45"/>
      <c r="B791" s="45"/>
      <c r="C791" s="45"/>
      <c r="D791" s="45"/>
      <c r="E791" s="45"/>
      <c r="F791" s="30"/>
      <c r="G791" s="30"/>
      <c r="H791" s="32"/>
      <c r="I791" s="32"/>
      <c r="J791" s="32"/>
      <c r="K791" s="32"/>
      <c r="L791" s="32"/>
      <c r="M791" s="34"/>
      <c r="N791" s="34"/>
      <c r="O791" s="34"/>
    </row>
    <row r="792">
      <c r="A792" s="45"/>
      <c r="B792" s="45"/>
      <c r="C792" s="45"/>
      <c r="D792" s="45"/>
      <c r="E792" s="45"/>
      <c r="F792" s="30"/>
      <c r="G792" s="30"/>
      <c r="H792" s="32"/>
      <c r="I792" s="32"/>
      <c r="J792" s="32"/>
      <c r="K792" s="32"/>
      <c r="L792" s="32"/>
      <c r="M792" s="34"/>
      <c r="N792" s="34"/>
      <c r="O792" s="34"/>
    </row>
    <row r="793">
      <c r="A793" s="45"/>
      <c r="B793" s="45"/>
      <c r="C793" s="45"/>
      <c r="D793" s="45"/>
      <c r="E793" s="45"/>
      <c r="F793" s="30"/>
      <c r="G793" s="30"/>
      <c r="H793" s="32"/>
      <c r="I793" s="32"/>
      <c r="J793" s="32"/>
      <c r="K793" s="32"/>
      <c r="L793" s="32"/>
      <c r="M793" s="34"/>
      <c r="N793" s="34"/>
      <c r="O793" s="34"/>
    </row>
    <row r="794">
      <c r="A794" s="45"/>
      <c r="B794" s="45"/>
      <c r="C794" s="45"/>
      <c r="D794" s="45"/>
      <c r="E794" s="45"/>
      <c r="F794" s="30"/>
      <c r="G794" s="30"/>
      <c r="H794" s="32"/>
      <c r="I794" s="32"/>
      <c r="J794" s="32"/>
      <c r="K794" s="32"/>
      <c r="L794" s="32"/>
      <c r="M794" s="34"/>
      <c r="N794" s="34"/>
      <c r="O794" s="34"/>
    </row>
    <row r="795">
      <c r="A795" s="45"/>
      <c r="B795" s="45"/>
      <c r="C795" s="45"/>
      <c r="D795" s="45"/>
      <c r="E795" s="45"/>
      <c r="F795" s="30"/>
      <c r="G795" s="30"/>
      <c r="H795" s="32"/>
      <c r="I795" s="32"/>
      <c r="J795" s="32"/>
      <c r="K795" s="32"/>
      <c r="L795" s="32"/>
      <c r="M795" s="34"/>
      <c r="N795" s="34"/>
      <c r="O795" s="34"/>
    </row>
    <row r="796">
      <c r="A796" s="45"/>
      <c r="B796" s="45"/>
      <c r="C796" s="45"/>
      <c r="D796" s="45"/>
      <c r="E796" s="45"/>
      <c r="F796" s="30"/>
      <c r="G796" s="30"/>
      <c r="H796" s="32"/>
      <c r="I796" s="32"/>
      <c r="J796" s="32"/>
      <c r="K796" s="32"/>
      <c r="L796" s="32"/>
      <c r="M796" s="34"/>
      <c r="N796" s="34"/>
      <c r="O796" s="34"/>
    </row>
    <row r="797">
      <c r="A797" s="45"/>
      <c r="B797" s="45"/>
      <c r="C797" s="45"/>
      <c r="D797" s="45"/>
      <c r="E797" s="45"/>
      <c r="F797" s="30"/>
      <c r="G797" s="30"/>
      <c r="H797" s="32"/>
      <c r="I797" s="32"/>
      <c r="J797" s="32"/>
      <c r="K797" s="32"/>
      <c r="L797" s="32"/>
      <c r="M797" s="34"/>
      <c r="N797" s="34"/>
      <c r="O797" s="34"/>
    </row>
    <row r="798">
      <c r="A798" s="45"/>
      <c r="B798" s="45"/>
      <c r="C798" s="45"/>
      <c r="D798" s="45"/>
      <c r="E798" s="45"/>
      <c r="F798" s="30"/>
      <c r="G798" s="30"/>
      <c r="H798" s="32"/>
      <c r="I798" s="32"/>
      <c r="J798" s="32"/>
      <c r="K798" s="32"/>
      <c r="L798" s="32"/>
      <c r="M798" s="34"/>
      <c r="N798" s="34"/>
      <c r="O798" s="34"/>
    </row>
    <row r="799">
      <c r="A799" s="45"/>
      <c r="B799" s="45"/>
      <c r="C799" s="45"/>
      <c r="D799" s="45"/>
      <c r="E799" s="45"/>
      <c r="F799" s="30"/>
      <c r="G799" s="30"/>
      <c r="H799" s="32"/>
      <c r="I799" s="32"/>
      <c r="J799" s="32"/>
      <c r="K799" s="32"/>
      <c r="L799" s="32"/>
      <c r="M799" s="34"/>
      <c r="N799" s="34"/>
      <c r="O799" s="34"/>
    </row>
    <row r="800">
      <c r="A800" s="45"/>
      <c r="B800" s="45"/>
      <c r="C800" s="45"/>
      <c r="D800" s="45"/>
      <c r="E800" s="45"/>
      <c r="F800" s="30"/>
      <c r="G800" s="30"/>
      <c r="H800" s="32"/>
      <c r="I800" s="32"/>
      <c r="J800" s="32"/>
      <c r="K800" s="32"/>
      <c r="L800" s="32"/>
      <c r="M800" s="34"/>
      <c r="N800" s="34"/>
      <c r="O800" s="34"/>
    </row>
    <row r="801">
      <c r="A801" s="45"/>
      <c r="B801" s="45"/>
      <c r="C801" s="45"/>
      <c r="D801" s="45"/>
      <c r="E801" s="45"/>
      <c r="F801" s="30"/>
      <c r="G801" s="30"/>
      <c r="H801" s="32"/>
      <c r="I801" s="32"/>
      <c r="J801" s="32"/>
      <c r="K801" s="32"/>
      <c r="L801" s="32"/>
      <c r="M801" s="34"/>
      <c r="N801" s="34"/>
      <c r="O801" s="34"/>
    </row>
    <row r="802">
      <c r="A802" s="45"/>
      <c r="B802" s="45"/>
      <c r="C802" s="45"/>
      <c r="D802" s="45"/>
      <c r="E802" s="45"/>
      <c r="F802" s="30"/>
      <c r="G802" s="30"/>
      <c r="H802" s="32"/>
      <c r="I802" s="32"/>
      <c r="J802" s="32"/>
      <c r="K802" s="32"/>
      <c r="L802" s="32"/>
      <c r="M802" s="34"/>
      <c r="N802" s="34"/>
      <c r="O802" s="34"/>
    </row>
    <row r="803">
      <c r="A803" s="45"/>
      <c r="B803" s="45"/>
      <c r="C803" s="45"/>
      <c r="D803" s="45"/>
      <c r="E803" s="45"/>
      <c r="F803" s="30"/>
      <c r="G803" s="30"/>
      <c r="H803" s="32"/>
      <c r="I803" s="32"/>
      <c r="J803" s="32"/>
      <c r="K803" s="32"/>
      <c r="L803" s="32"/>
      <c r="M803" s="34"/>
      <c r="N803" s="34"/>
      <c r="O803" s="34"/>
    </row>
    <row r="804">
      <c r="A804" s="45"/>
      <c r="B804" s="45"/>
      <c r="C804" s="45"/>
      <c r="D804" s="45"/>
      <c r="E804" s="45"/>
      <c r="F804" s="30"/>
      <c r="G804" s="30"/>
      <c r="H804" s="32"/>
      <c r="I804" s="32"/>
      <c r="J804" s="32"/>
      <c r="K804" s="32"/>
      <c r="L804" s="32"/>
      <c r="M804" s="34"/>
      <c r="N804" s="34"/>
      <c r="O804" s="34"/>
    </row>
    <row r="805">
      <c r="A805" s="45"/>
      <c r="B805" s="45"/>
      <c r="C805" s="45"/>
      <c r="D805" s="45"/>
      <c r="E805" s="45"/>
      <c r="F805" s="30"/>
      <c r="G805" s="30"/>
      <c r="H805" s="32"/>
      <c r="I805" s="32"/>
      <c r="J805" s="32"/>
      <c r="K805" s="32"/>
      <c r="L805" s="32"/>
      <c r="M805" s="34"/>
      <c r="N805" s="34"/>
      <c r="O805" s="34"/>
    </row>
    <row r="806">
      <c r="A806" s="45"/>
      <c r="B806" s="45"/>
      <c r="C806" s="45"/>
      <c r="D806" s="45"/>
      <c r="E806" s="45"/>
      <c r="F806" s="30"/>
      <c r="G806" s="30"/>
      <c r="H806" s="32"/>
      <c r="I806" s="32"/>
      <c r="J806" s="32"/>
      <c r="K806" s="32"/>
      <c r="L806" s="32"/>
      <c r="M806" s="34"/>
      <c r="N806" s="34"/>
      <c r="O806" s="34"/>
    </row>
    <row r="807">
      <c r="A807" s="45"/>
      <c r="B807" s="45"/>
      <c r="C807" s="45"/>
      <c r="D807" s="45"/>
      <c r="E807" s="45"/>
      <c r="F807" s="30"/>
      <c r="G807" s="30"/>
      <c r="H807" s="32"/>
      <c r="I807" s="32"/>
      <c r="J807" s="32"/>
      <c r="K807" s="32"/>
      <c r="L807" s="32"/>
      <c r="M807" s="34"/>
      <c r="N807" s="34"/>
      <c r="O807" s="34"/>
    </row>
    <row r="808">
      <c r="A808" s="45"/>
      <c r="B808" s="45"/>
      <c r="C808" s="45"/>
      <c r="D808" s="45"/>
      <c r="E808" s="45"/>
      <c r="F808" s="30"/>
      <c r="G808" s="30"/>
      <c r="H808" s="32"/>
      <c r="I808" s="32"/>
      <c r="J808" s="32"/>
      <c r="K808" s="32"/>
      <c r="L808" s="32"/>
      <c r="M808" s="34"/>
      <c r="N808" s="34"/>
      <c r="O808" s="34"/>
    </row>
    <row r="809">
      <c r="A809" s="45"/>
      <c r="B809" s="45"/>
      <c r="C809" s="45"/>
      <c r="D809" s="45"/>
      <c r="E809" s="45"/>
      <c r="F809" s="30"/>
      <c r="G809" s="30"/>
      <c r="H809" s="32"/>
      <c r="I809" s="32"/>
      <c r="J809" s="32"/>
      <c r="K809" s="32"/>
      <c r="L809" s="32"/>
      <c r="M809" s="34"/>
      <c r="N809" s="34"/>
      <c r="O809" s="34"/>
    </row>
    <row r="810">
      <c r="A810" s="45"/>
      <c r="B810" s="45"/>
      <c r="C810" s="45"/>
      <c r="D810" s="45"/>
      <c r="E810" s="45"/>
      <c r="F810" s="30"/>
      <c r="G810" s="30"/>
      <c r="H810" s="32"/>
      <c r="I810" s="32"/>
      <c r="J810" s="32"/>
      <c r="K810" s="32"/>
      <c r="L810" s="32"/>
      <c r="M810" s="34"/>
      <c r="N810" s="34"/>
      <c r="O810" s="34"/>
    </row>
    <row r="811">
      <c r="A811" s="45"/>
      <c r="B811" s="45"/>
      <c r="C811" s="45"/>
      <c r="D811" s="45"/>
      <c r="E811" s="45"/>
      <c r="F811" s="30"/>
      <c r="G811" s="30"/>
      <c r="H811" s="32"/>
      <c r="I811" s="32"/>
      <c r="J811" s="32"/>
      <c r="K811" s="32"/>
      <c r="L811" s="32"/>
      <c r="M811" s="34"/>
      <c r="N811" s="34"/>
      <c r="O811" s="34"/>
    </row>
    <row r="812">
      <c r="A812" s="45"/>
      <c r="B812" s="45"/>
      <c r="C812" s="45"/>
      <c r="D812" s="45"/>
      <c r="E812" s="45"/>
      <c r="F812" s="30"/>
      <c r="G812" s="30"/>
      <c r="H812" s="32"/>
      <c r="I812" s="32"/>
      <c r="J812" s="32"/>
      <c r="K812" s="32"/>
      <c r="L812" s="32"/>
      <c r="M812" s="34"/>
      <c r="N812" s="34"/>
      <c r="O812" s="34"/>
    </row>
    <row r="813">
      <c r="A813" s="45"/>
      <c r="B813" s="45"/>
      <c r="C813" s="45"/>
      <c r="D813" s="45"/>
      <c r="E813" s="45"/>
      <c r="F813" s="30"/>
      <c r="G813" s="30"/>
      <c r="H813" s="32"/>
      <c r="I813" s="32"/>
      <c r="J813" s="32"/>
      <c r="K813" s="32"/>
      <c r="L813" s="32"/>
      <c r="M813" s="34"/>
      <c r="N813" s="34"/>
      <c r="O813" s="34"/>
    </row>
    <row r="814">
      <c r="A814" s="45"/>
      <c r="B814" s="45"/>
      <c r="C814" s="45"/>
      <c r="D814" s="45"/>
      <c r="E814" s="45"/>
      <c r="F814" s="30"/>
      <c r="G814" s="30"/>
      <c r="H814" s="32"/>
      <c r="I814" s="32"/>
      <c r="J814" s="32"/>
      <c r="K814" s="32"/>
      <c r="L814" s="32"/>
      <c r="M814" s="34"/>
      <c r="N814" s="34"/>
      <c r="O814" s="34"/>
    </row>
    <row r="815">
      <c r="A815" s="45"/>
      <c r="B815" s="45"/>
      <c r="C815" s="45"/>
      <c r="D815" s="45"/>
      <c r="E815" s="45"/>
      <c r="F815" s="30"/>
      <c r="G815" s="30"/>
      <c r="H815" s="32"/>
      <c r="I815" s="32"/>
      <c r="J815" s="32"/>
      <c r="K815" s="32"/>
      <c r="L815" s="32"/>
      <c r="M815" s="34"/>
      <c r="N815" s="34"/>
      <c r="O815" s="34"/>
    </row>
    <row r="816">
      <c r="A816" s="45"/>
      <c r="B816" s="45"/>
      <c r="C816" s="45"/>
      <c r="D816" s="45"/>
      <c r="E816" s="45"/>
      <c r="F816" s="30"/>
      <c r="G816" s="30"/>
      <c r="H816" s="32"/>
      <c r="I816" s="32"/>
      <c r="J816" s="32"/>
      <c r="K816" s="32"/>
      <c r="L816" s="32"/>
      <c r="M816" s="34"/>
      <c r="N816" s="34"/>
      <c r="O816" s="34"/>
    </row>
    <row r="817">
      <c r="A817" s="45"/>
      <c r="B817" s="45"/>
      <c r="C817" s="45"/>
      <c r="D817" s="45"/>
      <c r="E817" s="45"/>
      <c r="F817" s="30"/>
      <c r="G817" s="30"/>
      <c r="H817" s="32"/>
      <c r="I817" s="32"/>
      <c r="J817" s="32"/>
      <c r="K817" s="32"/>
      <c r="L817" s="32"/>
      <c r="M817" s="34"/>
      <c r="N817" s="34"/>
      <c r="O817" s="34"/>
    </row>
    <row r="818">
      <c r="A818" s="45"/>
      <c r="B818" s="45"/>
      <c r="C818" s="45"/>
      <c r="D818" s="45"/>
      <c r="E818" s="45"/>
      <c r="F818" s="30"/>
      <c r="G818" s="30"/>
      <c r="H818" s="32"/>
      <c r="I818" s="32"/>
      <c r="J818" s="32"/>
      <c r="K818" s="32"/>
      <c r="L818" s="32"/>
      <c r="M818" s="34"/>
      <c r="N818" s="34"/>
      <c r="O818" s="34"/>
    </row>
    <row r="819">
      <c r="A819" s="45"/>
      <c r="B819" s="45"/>
      <c r="C819" s="45"/>
      <c r="D819" s="45"/>
      <c r="E819" s="45"/>
      <c r="F819" s="30"/>
      <c r="G819" s="30"/>
      <c r="H819" s="32"/>
      <c r="I819" s="32"/>
      <c r="J819" s="32"/>
      <c r="K819" s="32"/>
      <c r="L819" s="32"/>
      <c r="M819" s="34"/>
      <c r="N819" s="34"/>
      <c r="O819" s="34"/>
    </row>
    <row r="820">
      <c r="A820" s="45"/>
      <c r="B820" s="45"/>
      <c r="C820" s="45"/>
      <c r="D820" s="45"/>
      <c r="E820" s="45"/>
      <c r="F820" s="30"/>
      <c r="G820" s="30"/>
      <c r="H820" s="32"/>
      <c r="I820" s="32"/>
      <c r="J820" s="32"/>
      <c r="K820" s="32"/>
      <c r="L820" s="32"/>
      <c r="M820" s="34"/>
      <c r="N820" s="34"/>
      <c r="O820" s="34"/>
    </row>
    <row r="821">
      <c r="A821" s="45"/>
      <c r="B821" s="45"/>
      <c r="C821" s="45"/>
      <c r="D821" s="45"/>
      <c r="E821" s="45"/>
      <c r="F821" s="30"/>
      <c r="G821" s="30"/>
      <c r="H821" s="32"/>
      <c r="I821" s="32"/>
      <c r="J821" s="32"/>
      <c r="K821" s="32"/>
      <c r="L821" s="32"/>
      <c r="M821" s="34"/>
      <c r="N821" s="34"/>
      <c r="O821" s="34"/>
    </row>
    <row r="822">
      <c r="A822" s="45"/>
      <c r="B822" s="45"/>
      <c r="C822" s="45"/>
      <c r="D822" s="45"/>
      <c r="E822" s="45"/>
      <c r="F822" s="30"/>
      <c r="G822" s="30"/>
      <c r="H822" s="32"/>
      <c r="I822" s="32"/>
      <c r="J822" s="32"/>
      <c r="K822" s="32"/>
      <c r="L822" s="32"/>
      <c r="M822" s="34"/>
      <c r="N822" s="34"/>
      <c r="O822" s="34"/>
    </row>
    <row r="823">
      <c r="A823" s="45"/>
      <c r="B823" s="45"/>
      <c r="C823" s="45"/>
      <c r="D823" s="45"/>
      <c r="E823" s="45"/>
      <c r="F823" s="30"/>
      <c r="G823" s="30"/>
      <c r="H823" s="32"/>
      <c r="I823" s="32"/>
      <c r="J823" s="32"/>
      <c r="K823" s="32"/>
      <c r="L823" s="32"/>
      <c r="M823" s="34"/>
      <c r="N823" s="34"/>
      <c r="O823" s="34"/>
    </row>
    <row r="824">
      <c r="A824" s="45"/>
      <c r="B824" s="45"/>
      <c r="C824" s="45"/>
      <c r="D824" s="45"/>
      <c r="E824" s="45"/>
      <c r="F824" s="30"/>
      <c r="G824" s="30"/>
      <c r="H824" s="32"/>
      <c r="I824" s="32"/>
      <c r="J824" s="32"/>
      <c r="K824" s="32"/>
      <c r="L824" s="32"/>
      <c r="M824" s="34"/>
      <c r="N824" s="34"/>
      <c r="O824" s="34"/>
    </row>
    <row r="825">
      <c r="A825" s="45"/>
      <c r="B825" s="45"/>
      <c r="C825" s="45"/>
      <c r="D825" s="45"/>
      <c r="E825" s="45"/>
      <c r="F825" s="30"/>
      <c r="G825" s="30"/>
      <c r="H825" s="32"/>
      <c r="I825" s="32"/>
      <c r="J825" s="32"/>
      <c r="K825" s="32"/>
      <c r="L825" s="32"/>
      <c r="M825" s="34"/>
      <c r="N825" s="34"/>
      <c r="O825" s="34"/>
    </row>
    <row r="826">
      <c r="A826" s="45"/>
      <c r="B826" s="45"/>
      <c r="C826" s="45"/>
      <c r="D826" s="45"/>
      <c r="E826" s="45"/>
      <c r="F826" s="30"/>
      <c r="G826" s="30"/>
      <c r="H826" s="32"/>
      <c r="I826" s="32"/>
      <c r="J826" s="32"/>
      <c r="K826" s="32"/>
      <c r="L826" s="32"/>
      <c r="M826" s="34"/>
      <c r="N826" s="34"/>
      <c r="O826" s="34"/>
    </row>
    <row r="827">
      <c r="A827" s="45"/>
      <c r="B827" s="45"/>
      <c r="C827" s="45"/>
      <c r="D827" s="45"/>
      <c r="E827" s="45"/>
      <c r="F827" s="30"/>
      <c r="G827" s="30"/>
      <c r="H827" s="32"/>
      <c r="I827" s="32"/>
      <c r="J827" s="32"/>
      <c r="K827" s="32"/>
      <c r="L827" s="32"/>
      <c r="M827" s="34"/>
      <c r="N827" s="34"/>
      <c r="O827" s="34"/>
    </row>
    <row r="828">
      <c r="A828" s="45"/>
      <c r="B828" s="45"/>
      <c r="C828" s="45"/>
      <c r="D828" s="45"/>
      <c r="E828" s="45"/>
      <c r="F828" s="30"/>
      <c r="G828" s="30"/>
      <c r="H828" s="32"/>
      <c r="I828" s="32"/>
      <c r="J828" s="32"/>
      <c r="K828" s="32"/>
      <c r="L828" s="32"/>
      <c r="M828" s="34"/>
      <c r="N828" s="34"/>
      <c r="O828" s="34"/>
    </row>
    <row r="829">
      <c r="A829" s="45"/>
      <c r="B829" s="45"/>
      <c r="C829" s="45"/>
      <c r="D829" s="45"/>
      <c r="E829" s="45"/>
      <c r="F829" s="30"/>
      <c r="G829" s="30"/>
      <c r="H829" s="32"/>
      <c r="I829" s="32"/>
      <c r="J829" s="32"/>
      <c r="K829" s="32"/>
      <c r="L829" s="32"/>
      <c r="M829" s="34"/>
      <c r="N829" s="34"/>
      <c r="O829" s="34"/>
    </row>
    <row r="830">
      <c r="A830" s="45"/>
      <c r="B830" s="45"/>
      <c r="C830" s="45"/>
      <c r="D830" s="45"/>
      <c r="E830" s="45"/>
      <c r="F830" s="30"/>
      <c r="G830" s="30"/>
      <c r="H830" s="32"/>
      <c r="I830" s="32"/>
      <c r="J830" s="32"/>
      <c r="K830" s="32"/>
      <c r="L830" s="32"/>
      <c r="M830" s="34"/>
      <c r="N830" s="34"/>
      <c r="O830" s="34"/>
    </row>
    <row r="831">
      <c r="A831" s="45"/>
      <c r="B831" s="45"/>
      <c r="C831" s="45"/>
      <c r="D831" s="45"/>
      <c r="E831" s="45"/>
      <c r="F831" s="30"/>
      <c r="G831" s="30"/>
      <c r="H831" s="32"/>
      <c r="I831" s="32"/>
      <c r="J831" s="32"/>
      <c r="K831" s="32"/>
      <c r="L831" s="32"/>
      <c r="M831" s="34"/>
      <c r="N831" s="34"/>
      <c r="O831" s="34"/>
    </row>
    <row r="832">
      <c r="A832" s="45"/>
      <c r="B832" s="45"/>
      <c r="C832" s="45"/>
      <c r="D832" s="45"/>
      <c r="E832" s="45"/>
      <c r="F832" s="30"/>
      <c r="G832" s="30"/>
      <c r="H832" s="32"/>
      <c r="I832" s="32"/>
      <c r="J832" s="32"/>
      <c r="K832" s="32"/>
      <c r="L832" s="32"/>
      <c r="M832" s="34"/>
      <c r="N832" s="34"/>
      <c r="O832" s="34"/>
    </row>
    <row r="833">
      <c r="A833" s="45"/>
      <c r="B833" s="45"/>
      <c r="C833" s="45"/>
      <c r="D833" s="45"/>
      <c r="E833" s="45"/>
      <c r="F833" s="30"/>
      <c r="G833" s="30"/>
      <c r="H833" s="32"/>
      <c r="I833" s="32"/>
      <c r="J833" s="32"/>
      <c r="K833" s="32"/>
      <c r="L833" s="32"/>
      <c r="M833" s="34"/>
      <c r="N833" s="34"/>
      <c r="O833" s="34"/>
    </row>
    <row r="834">
      <c r="A834" s="45"/>
      <c r="B834" s="45"/>
      <c r="C834" s="45"/>
      <c r="D834" s="45"/>
      <c r="E834" s="45"/>
      <c r="F834" s="30"/>
      <c r="G834" s="30"/>
      <c r="H834" s="32"/>
      <c r="I834" s="32"/>
      <c r="J834" s="32"/>
      <c r="K834" s="32"/>
      <c r="L834" s="32"/>
      <c r="M834" s="34"/>
      <c r="N834" s="34"/>
      <c r="O834" s="34"/>
    </row>
    <row r="835">
      <c r="A835" s="45"/>
      <c r="B835" s="45"/>
      <c r="C835" s="45"/>
      <c r="D835" s="45"/>
      <c r="E835" s="45"/>
      <c r="F835" s="30"/>
      <c r="G835" s="30"/>
      <c r="H835" s="32"/>
      <c r="I835" s="32"/>
      <c r="J835" s="32"/>
      <c r="K835" s="32"/>
      <c r="L835" s="32"/>
      <c r="M835" s="34"/>
      <c r="N835" s="34"/>
      <c r="O835" s="34"/>
    </row>
    <row r="836">
      <c r="A836" s="45"/>
      <c r="B836" s="45"/>
      <c r="C836" s="45"/>
      <c r="D836" s="45"/>
      <c r="E836" s="45"/>
      <c r="F836" s="30"/>
      <c r="G836" s="30"/>
      <c r="H836" s="32"/>
      <c r="I836" s="32"/>
      <c r="J836" s="32"/>
      <c r="K836" s="32"/>
      <c r="L836" s="32"/>
      <c r="M836" s="34"/>
      <c r="N836" s="34"/>
      <c r="O836" s="34"/>
    </row>
    <row r="837">
      <c r="A837" s="45"/>
      <c r="B837" s="45"/>
      <c r="C837" s="45"/>
      <c r="D837" s="45"/>
      <c r="E837" s="45"/>
      <c r="F837" s="30"/>
      <c r="G837" s="30"/>
      <c r="H837" s="32"/>
      <c r="I837" s="32"/>
      <c r="J837" s="32"/>
      <c r="K837" s="32"/>
      <c r="L837" s="32"/>
      <c r="M837" s="34"/>
      <c r="N837" s="34"/>
      <c r="O837" s="34"/>
    </row>
    <row r="838">
      <c r="A838" s="45"/>
      <c r="B838" s="45"/>
      <c r="C838" s="45"/>
      <c r="D838" s="45"/>
      <c r="E838" s="45"/>
      <c r="F838" s="30"/>
      <c r="G838" s="30"/>
      <c r="H838" s="32"/>
      <c r="I838" s="32"/>
      <c r="J838" s="32"/>
      <c r="K838" s="32"/>
      <c r="L838" s="32"/>
      <c r="M838" s="34"/>
      <c r="N838" s="34"/>
      <c r="O838" s="34"/>
    </row>
    <row r="839">
      <c r="A839" s="45"/>
      <c r="B839" s="45"/>
      <c r="C839" s="45"/>
      <c r="D839" s="45"/>
      <c r="E839" s="45"/>
      <c r="F839" s="30"/>
      <c r="G839" s="30"/>
      <c r="H839" s="32"/>
      <c r="I839" s="32"/>
      <c r="J839" s="32"/>
      <c r="K839" s="32"/>
      <c r="L839" s="32"/>
      <c r="M839" s="34"/>
      <c r="N839" s="34"/>
      <c r="O839" s="34"/>
    </row>
    <row r="840">
      <c r="A840" s="45"/>
      <c r="B840" s="45"/>
      <c r="C840" s="45"/>
      <c r="D840" s="45"/>
      <c r="E840" s="45"/>
      <c r="F840" s="30"/>
      <c r="G840" s="30"/>
      <c r="H840" s="32"/>
      <c r="I840" s="32"/>
      <c r="J840" s="32"/>
      <c r="K840" s="32"/>
      <c r="L840" s="32"/>
      <c r="M840" s="34"/>
      <c r="N840" s="34"/>
      <c r="O840" s="34"/>
    </row>
    <row r="841">
      <c r="A841" s="45"/>
      <c r="B841" s="45"/>
      <c r="C841" s="45"/>
      <c r="D841" s="45"/>
      <c r="E841" s="45"/>
      <c r="F841" s="30"/>
      <c r="G841" s="30"/>
      <c r="H841" s="32"/>
      <c r="I841" s="32"/>
      <c r="J841" s="32"/>
      <c r="K841" s="32"/>
      <c r="L841" s="32"/>
      <c r="M841" s="34"/>
      <c r="N841" s="34"/>
      <c r="O841" s="34"/>
    </row>
    <row r="842">
      <c r="A842" s="45"/>
      <c r="B842" s="45"/>
      <c r="C842" s="45"/>
      <c r="D842" s="45"/>
      <c r="E842" s="45"/>
      <c r="F842" s="30"/>
      <c r="G842" s="30"/>
      <c r="H842" s="32"/>
      <c r="I842" s="32"/>
      <c r="J842" s="32"/>
      <c r="K842" s="32"/>
      <c r="L842" s="32"/>
      <c r="M842" s="34"/>
      <c r="N842" s="34"/>
      <c r="O842" s="34"/>
    </row>
    <row r="843">
      <c r="A843" s="45"/>
      <c r="B843" s="45"/>
      <c r="C843" s="45"/>
      <c r="D843" s="45"/>
      <c r="E843" s="45"/>
      <c r="F843" s="30"/>
      <c r="G843" s="30"/>
      <c r="H843" s="32"/>
      <c r="I843" s="32"/>
      <c r="J843" s="32"/>
      <c r="K843" s="32"/>
      <c r="L843" s="32"/>
      <c r="M843" s="34"/>
      <c r="N843" s="34"/>
      <c r="O843" s="34"/>
    </row>
    <row r="844">
      <c r="A844" s="45"/>
      <c r="B844" s="45"/>
      <c r="C844" s="45"/>
      <c r="D844" s="45"/>
      <c r="E844" s="45"/>
      <c r="F844" s="30"/>
      <c r="G844" s="30"/>
      <c r="H844" s="32"/>
      <c r="I844" s="32"/>
      <c r="J844" s="32"/>
      <c r="K844" s="32"/>
      <c r="L844" s="32"/>
      <c r="M844" s="34"/>
      <c r="N844" s="34"/>
      <c r="O844" s="34"/>
    </row>
    <row r="845">
      <c r="A845" s="45"/>
      <c r="B845" s="45"/>
      <c r="C845" s="45"/>
      <c r="D845" s="45"/>
      <c r="E845" s="45"/>
      <c r="F845" s="30"/>
      <c r="G845" s="30"/>
      <c r="H845" s="32"/>
      <c r="I845" s="32"/>
      <c r="J845" s="32"/>
      <c r="K845" s="32"/>
      <c r="L845" s="32"/>
      <c r="M845" s="34"/>
      <c r="N845" s="34"/>
      <c r="O845" s="34"/>
    </row>
    <row r="846">
      <c r="A846" s="45"/>
      <c r="B846" s="45"/>
      <c r="C846" s="45"/>
      <c r="D846" s="45"/>
      <c r="E846" s="45"/>
      <c r="F846" s="30"/>
      <c r="G846" s="30"/>
      <c r="H846" s="32"/>
      <c r="I846" s="32"/>
      <c r="J846" s="32"/>
      <c r="K846" s="32"/>
      <c r="L846" s="32"/>
      <c r="M846" s="34"/>
      <c r="N846" s="34"/>
      <c r="O846" s="34"/>
    </row>
    <row r="847">
      <c r="A847" s="45"/>
      <c r="B847" s="45"/>
      <c r="C847" s="45"/>
      <c r="D847" s="45"/>
      <c r="E847" s="45"/>
      <c r="F847" s="30"/>
      <c r="G847" s="30"/>
      <c r="H847" s="32"/>
      <c r="I847" s="32"/>
      <c r="J847" s="32"/>
      <c r="K847" s="32"/>
      <c r="L847" s="32"/>
      <c r="M847" s="34"/>
      <c r="N847" s="34"/>
      <c r="O847" s="34"/>
    </row>
    <row r="848">
      <c r="A848" s="45"/>
      <c r="B848" s="45"/>
      <c r="C848" s="45"/>
      <c r="D848" s="45"/>
      <c r="E848" s="45"/>
      <c r="F848" s="30"/>
      <c r="G848" s="30"/>
      <c r="H848" s="32"/>
      <c r="I848" s="32"/>
      <c r="J848" s="32"/>
      <c r="K848" s="32"/>
      <c r="L848" s="32"/>
      <c r="M848" s="34"/>
      <c r="N848" s="34"/>
      <c r="O848" s="34"/>
    </row>
    <row r="849">
      <c r="A849" s="45"/>
      <c r="B849" s="45"/>
      <c r="C849" s="45"/>
      <c r="D849" s="45"/>
      <c r="E849" s="45"/>
      <c r="F849" s="30"/>
      <c r="G849" s="30"/>
      <c r="H849" s="32"/>
      <c r="I849" s="32"/>
      <c r="J849" s="32"/>
      <c r="K849" s="32"/>
      <c r="L849" s="32"/>
      <c r="M849" s="34"/>
      <c r="N849" s="34"/>
      <c r="O849" s="34"/>
    </row>
    <row r="850">
      <c r="A850" s="45"/>
      <c r="B850" s="45"/>
      <c r="C850" s="45"/>
      <c r="D850" s="45"/>
      <c r="E850" s="45"/>
      <c r="F850" s="30"/>
      <c r="G850" s="30"/>
      <c r="H850" s="32"/>
      <c r="I850" s="32"/>
      <c r="J850" s="32"/>
      <c r="K850" s="32"/>
      <c r="L850" s="32"/>
      <c r="M850" s="34"/>
      <c r="N850" s="34"/>
      <c r="O850" s="34"/>
    </row>
    <row r="851">
      <c r="A851" s="45"/>
      <c r="B851" s="45"/>
      <c r="C851" s="45"/>
      <c r="D851" s="45"/>
      <c r="E851" s="45"/>
      <c r="F851" s="30"/>
      <c r="G851" s="30"/>
      <c r="H851" s="32"/>
      <c r="I851" s="32"/>
      <c r="J851" s="32"/>
      <c r="K851" s="32"/>
      <c r="L851" s="32"/>
      <c r="M851" s="34"/>
      <c r="N851" s="34"/>
      <c r="O851" s="34"/>
    </row>
    <row r="852">
      <c r="A852" s="45"/>
      <c r="B852" s="45"/>
      <c r="C852" s="45"/>
      <c r="D852" s="45"/>
      <c r="E852" s="45"/>
      <c r="F852" s="30"/>
      <c r="G852" s="30"/>
      <c r="H852" s="32"/>
      <c r="I852" s="32"/>
      <c r="J852" s="32"/>
      <c r="K852" s="32"/>
      <c r="L852" s="32"/>
      <c r="M852" s="34"/>
      <c r="N852" s="34"/>
      <c r="O852" s="34"/>
    </row>
    <row r="853">
      <c r="A853" s="45"/>
      <c r="B853" s="45"/>
      <c r="C853" s="45"/>
      <c r="D853" s="45"/>
      <c r="E853" s="45"/>
      <c r="F853" s="30"/>
      <c r="G853" s="30"/>
      <c r="H853" s="32"/>
      <c r="I853" s="32"/>
      <c r="J853" s="32"/>
      <c r="K853" s="32"/>
      <c r="L853" s="32"/>
      <c r="M853" s="34"/>
      <c r="N853" s="34"/>
      <c r="O853" s="34"/>
    </row>
    <row r="854">
      <c r="A854" s="45"/>
      <c r="B854" s="45"/>
      <c r="C854" s="45"/>
      <c r="D854" s="45"/>
      <c r="E854" s="45"/>
      <c r="F854" s="30"/>
      <c r="G854" s="30"/>
      <c r="H854" s="32"/>
      <c r="I854" s="32"/>
      <c r="J854" s="32"/>
      <c r="K854" s="32"/>
      <c r="L854" s="32"/>
      <c r="M854" s="34"/>
      <c r="N854" s="34"/>
      <c r="O854" s="34"/>
    </row>
    <row r="855">
      <c r="A855" s="45"/>
      <c r="B855" s="45"/>
      <c r="C855" s="45"/>
      <c r="D855" s="45"/>
      <c r="E855" s="45"/>
      <c r="F855" s="30"/>
      <c r="G855" s="30"/>
      <c r="H855" s="32"/>
      <c r="I855" s="32"/>
      <c r="J855" s="32"/>
      <c r="K855" s="32"/>
      <c r="L855" s="32"/>
      <c r="M855" s="34"/>
      <c r="N855" s="34"/>
      <c r="O855" s="34"/>
    </row>
    <row r="856">
      <c r="A856" s="45"/>
      <c r="B856" s="45"/>
      <c r="C856" s="45"/>
      <c r="D856" s="45"/>
      <c r="E856" s="45"/>
      <c r="F856" s="30"/>
      <c r="G856" s="30"/>
      <c r="H856" s="32"/>
      <c r="I856" s="32"/>
      <c r="J856" s="32"/>
      <c r="K856" s="32"/>
      <c r="L856" s="32"/>
      <c r="M856" s="34"/>
      <c r="N856" s="34"/>
      <c r="O856" s="34"/>
    </row>
    <row r="857">
      <c r="A857" s="45"/>
      <c r="B857" s="45"/>
      <c r="C857" s="45"/>
      <c r="D857" s="45"/>
      <c r="E857" s="45"/>
      <c r="F857" s="30"/>
      <c r="G857" s="30"/>
      <c r="H857" s="32"/>
      <c r="I857" s="32"/>
      <c r="J857" s="32"/>
      <c r="K857" s="32"/>
      <c r="L857" s="32"/>
      <c r="M857" s="34"/>
      <c r="N857" s="34"/>
      <c r="O857" s="34"/>
    </row>
    <row r="858">
      <c r="A858" s="45"/>
      <c r="B858" s="45"/>
      <c r="C858" s="45"/>
      <c r="D858" s="45"/>
      <c r="E858" s="45"/>
      <c r="F858" s="30"/>
      <c r="G858" s="30"/>
      <c r="H858" s="32"/>
      <c r="I858" s="32"/>
      <c r="J858" s="32"/>
      <c r="K858" s="32"/>
      <c r="L858" s="32"/>
      <c r="M858" s="34"/>
      <c r="N858" s="34"/>
      <c r="O858" s="34"/>
    </row>
    <row r="859">
      <c r="A859" s="45"/>
      <c r="B859" s="45"/>
      <c r="C859" s="45"/>
      <c r="D859" s="45"/>
      <c r="E859" s="45"/>
      <c r="F859" s="30"/>
      <c r="G859" s="30"/>
      <c r="H859" s="32"/>
      <c r="I859" s="32"/>
      <c r="J859" s="32"/>
      <c r="K859" s="32"/>
      <c r="L859" s="32"/>
      <c r="M859" s="34"/>
      <c r="N859" s="34"/>
      <c r="O859" s="34"/>
    </row>
    <row r="860">
      <c r="A860" s="45"/>
      <c r="B860" s="45"/>
      <c r="C860" s="45"/>
      <c r="D860" s="45"/>
      <c r="E860" s="45"/>
      <c r="F860" s="30"/>
      <c r="G860" s="30"/>
      <c r="H860" s="32"/>
      <c r="I860" s="32"/>
      <c r="J860" s="32"/>
      <c r="K860" s="32"/>
      <c r="L860" s="32"/>
      <c r="M860" s="34"/>
      <c r="N860" s="34"/>
      <c r="O860" s="34"/>
    </row>
    <row r="861">
      <c r="A861" s="45"/>
      <c r="B861" s="45"/>
      <c r="C861" s="45"/>
      <c r="D861" s="45"/>
      <c r="E861" s="45"/>
      <c r="F861" s="30"/>
      <c r="G861" s="30"/>
      <c r="H861" s="32"/>
      <c r="I861" s="32"/>
      <c r="J861" s="32"/>
      <c r="K861" s="32"/>
      <c r="L861" s="32"/>
      <c r="M861" s="34"/>
      <c r="N861" s="34"/>
      <c r="O861" s="34"/>
    </row>
    <row r="862">
      <c r="A862" s="45"/>
      <c r="B862" s="45"/>
      <c r="C862" s="45"/>
      <c r="D862" s="45"/>
      <c r="E862" s="45"/>
      <c r="F862" s="30"/>
      <c r="G862" s="30"/>
      <c r="H862" s="32"/>
      <c r="I862" s="32"/>
      <c r="J862" s="32"/>
      <c r="K862" s="32"/>
      <c r="L862" s="32"/>
      <c r="M862" s="34"/>
      <c r="N862" s="34"/>
      <c r="O862" s="34"/>
    </row>
    <row r="863">
      <c r="A863" s="45"/>
      <c r="B863" s="45"/>
      <c r="C863" s="45"/>
      <c r="D863" s="45"/>
      <c r="E863" s="45"/>
      <c r="F863" s="30"/>
      <c r="G863" s="30"/>
      <c r="H863" s="32"/>
      <c r="I863" s="32"/>
      <c r="J863" s="32"/>
      <c r="K863" s="32"/>
      <c r="L863" s="32"/>
      <c r="M863" s="34"/>
      <c r="N863" s="34"/>
      <c r="O863" s="34"/>
    </row>
    <row r="864">
      <c r="A864" s="45"/>
      <c r="B864" s="45"/>
      <c r="C864" s="45"/>
      <c r="D864" s="45"/>
      <c r="E864" s="45"/>
      <c r="F864" s="30"/>
      <c r="G864" s="30"/>
      <c r="H864" s="32"/>
      <c r="I864" s="32"/>
      <c r="J864" s="32"/>
      <c r="K864" s="32"/>
      <c r="L864" s="32"/>
      <c r="M864" s="34"/>
      <c r="N864" s="34"/>
      <c r="O864" s="34"/>
    </row>
    <row r="865">
      <c r="A865" s="45"/>
      <c r="B865" s="45"/>
      <c r="C865" s="45"/>
      <c r="D865" s="45"/>
      <c r="E865" s="45"/>
      <c r="F865" s="30"/>
      <c r="G865" s="30"/>
      <c r="H865" s="32"/>
      <c r="I865" s="32"/>
      <c r="J865" s="32"/>
      <c r="K865" s="32"/>
      <c r="L865" s="32"/>
      <c r="M865" s="34"/>
      <c r="N865" s="34"/>
      <c r="O865" s="34"/>
    </row>
    <row r="866">
      <c r="A866" s="45"/>
      <c r="B866" s="45"/>
      <c r="C866" s="45"/>
      <c r="D866" s="45"/>
      <c r="E866" s="45"/>
      <c r="F866" s="30"/>
      <c r="G866" s="30"/>
      <c r="H866" s="32"/>
      <c r="I866" s="32"/>
      <c r="J866" s="32"/>
      <c r="K866" s="32"/>
      <c r="L866" s="32"/>
      <c r="M866" s="34"/>
      <c r="N866" s="34"/>
      <c r="O866" s="34"/>
    </row>
    <row r="867">
      <c r="A867" s="45"/>
      <c r="B867" s="45"/>
      <c r="C867" s="45"/>
      <c r="D867" s="45"/>
      <c r="E867" s="45"/>
      <c r="F867" s="30"/>
      <c r="G867" s="30"/>
      <c r="H867" s="32"/>
      <c r="I867" s="32"/>
      <c r="J867" s="32"/>
      <c r="K867" s="32"/>
      <c r="L867" s="32"/>
      <c r="M867" s="34"/>
      <c r="N867" s="34"/>
      <c r="O867" s="34"/>
    </row>
    <row r="868">
      <c r="A868" s="45"/>
      <c r="B868" s="45"/>
      <c r="C868" s="45"/>
      <c r="D868" s="45"/>
      <c r="E868" s="45"/>
      <c r="F868" s="30"/>
      <c r="G868" s="30"/>
      <c r="H868" s="32"/>
      <c r="I868" s="32"/>
      <c r="J868" s="32"/>
      <c r="K868" s="32"/>
      <c r="L868" s="32"/>
      <c r="M868" s="34"/>
      <c r="N868" s="34"/>
      <c r="O868" s="34"/>
    </row>
    <row r="869">
      <c r="A869" s="45"/>
      <c r="B869" s="45"/>
      <c r="C869" s="45"/>
      <c r="D869" s="45"/>
      <c r="E869" s="45"/>
      <c r="F869" s="30"/>
      <c r="G869" s="30"/>
      <c r="H869" s="32"/>
      <c r="I869" s="32"/>
      <c r="J869" s="32"/>
      <c r="K869" s="32"/>
      <c r="L869" s="32"/>
      <c r="M869" s="34"/>
      <c r="N869" s="34"/>
      <c r="O869" s="34"/>
    </row>
    <row r="870">
      <c r="A870" s="45"/>
      <c r="B870" s="45"/>
      <c r="C870" s="45"/>
      <c r="D870" s="45"/>
      <c r="E870" s="45"/>
      <c r="F870" s="30"/>
      <c r="G870" s="30"/>
      <c r="H870" s="32"/>
      <c r="I870" s="32"/>
      <c r="J870" s="32"/>
      <c r="K870" s="32"/>
      <c r="L870" s="32"/>
      <c r="M870" s="34"/>
      <c r="N870" s="34"/>
      <c r="O870" s="34"/>
    </row>
    <row r="871">
      <c r="A871" s="45"/>
      <c r="B871" s="45"/>
      <c r="C871" s="45"/>
      <c r="D871" s="45"/>
      <c r="E871" s="45"/>
      <c r="F871" s="30"/>
      <c r="G871" s="30"/>
      <c r="H871" s="32"/>
      <c r="I871" s="32"/>
      <c r="J871" s="32"/>
      <c r="K871" s="32"/>
      <c r="L871" s="32"/>
      <c r="M871" s="34"/>
      <c r="N871" s="34"/>
      <c r="O871" s="34"/>
    </row>
    <row r="872">
      <c r="A872" s="45"/>
      <c r="B872" s="45"/>
      <c r="C872" s="45"/>
      <c r="D872" s="45"/>
      <c r="E872" s="45"/>
      <c r="F872" s="30"/>
      <c r="G872" s="30"/>
      <c r="H872" s="32"/>
      <c r="I872" s="32"/>
      <c r="J872" s="32"/>
      <c r="K872" s="32"/>
      <c r="L872" s="32"/>
      <c r="M872" s="34"/>
      <c r="N872" s="34"/>
      <c r="O872" s="34"/>
    </row>
    <row r="873">
      <c r="A873" s="45"/>
      <c r="B873" s="45"/>
      <c r="C873" s="45"/>
      <c r="D873" s="45"/>
      <c r="E873" s="45"/>
      <c r="F873" s="30"/>
      <c r="G873" s="30"/>
      <c r="H873" s="32"/>
      <c r="I873" s="32"/>
      <c r="J873" s="32"/>
      <c r="K873" s="32"/>
      <c r="L873" s="32"/>
      <c r="M873" s="34"/>
      <c r="N873" s="34"/>
      <c r="O873" s="34"/>
    </row>
    <row r="874">
      <c r="A874" s="45"/>
      <c r="B874" s="45"/>
      <c r="C874" s="45"/>
      <c r="D874" s="45"/>
      <c r="E874" s="45"/>
      <c r="F874" s="30"/>
      <c r="G874" s="30"/>
      <c r="H874" s="32"/>
      <c r="I874" s="32"/>
      <c r="J874" s="32"/>
      <c r="K874" s="32"/>
      <c r="L874" s="32"/>
      <c r="M874" s="34"/>
      <c r="N874" s="34"/>
      <c r="O874" s="34"/>
    </row>
    <row r="875">
      <c r="A875" s="45"/>
      <c r="B875" s="45"/>
      <c r="C875" s="45"/>
      <c r="D875" s="45"/>
      <c r="E875" s="45"/>
      <c r="F875" s="30"/>
      <c r="G875" s="30"/>
      <c r="H875" s="32"/>
      <c r="I875" s="32"/>
      <c r="J875" s="32"/>
      <c r="K875" s="32"/>
      <c r="L875" s="32"/>
      <c r="M875" s="34"/>
      <c r="N875" s="34"/>
      <c r="O875" s="34"/>
    </row>
    <row r="876">
      <c r="A876" s="45"/>
      <c r="B876" s="45"/>
      <c r="C876" s="45"/>
      <c r="D876" s="45"/>
      <c r="E876" s="45"/>
      <c r="F876" s="30"/>
      <c r="G876" s="30"/>
      <c r="H876" s="32"/>
      <c r="I876" s="32"/>
      <c r="J876" s="32"/>
      <c r="K876" s="32"/>
      <c r="L876" s="32"/>
      <c r="M876" s="34"/>
      <c r="N876" s="34"/>
      <c r="O876" s="34"/>
    </row>
    <row r="877">
      <c r="A877" s="45"/>
      <c r="B877" s="45"/>
      <c r="C877" s="45"/>
      <c r="D877" s="45"/>
      <c r="E877" s="45"/>
      <c r="F877" s="30"/>
      <c r="G877" s="30"/>
      <c r="H877" s="32"/>
      <c r="I877" s="32"/>
      <c r="J877" s="32"/>
      <c r="K877" s="32"/>
      <c r="L877" s="32"/>
      <c r="M877" s="34"/>
      <c r="N877" s="34"/>
      <c r="O877" s="34"/>
    </row>
    <row r="878">
      <c r="A878" s="45"/>
      <c r="B878" s="45"/>
      <c r="C878" s="45"/>
      <c r="D878" s="45"/>
      <c r="E878" s="45"/>
      <c r="F878" s="30"/>
      <c r="G878" s="30"/>
      <c r="H878" s="32"/>
      <c r="I878" s="32"/>
      <c r="J878" s="32"/>
      <c r="K878" s="32"/>
      <c r="L878" s="32"/>
      <c r="M878" s="34"/>
      <c r="N878" s="34"/>
      <c r="O878" s="34"/>
    </row>
    <row r="879">
      <c r="A879" s="45"/>
      <c r="B879" s="45"/>
      <c r="C879" s="45"/>
      <c r="D879" s="45"/>
      <c r="E879" s="45"/>
      <c r="F879" s="30"/>
      <c r="G879" s="30"/>
      <c r="H879" s="32"/>
      <c r="I879" s="32"/>
      <c r="J879" s="32"/>
      <c r="K879" s="32"/>
      <c r="L879" s="32"/>
      <c r="M879" s="34"/>
      <c r="N879" s="34"/>
      <c r="O879" s="34"/>
    </row>
    <row r="880">
      <c r="A880" s="45"/>
      <c r="B880" s="45"/>
      <c r="C880" s="45"/>
      <c r="D880" s="45"/>
      <c r="E880" s="45"/>
      <c r="F880" s="30"/>
      <c r="G880" s="30"/>
      <c r="H880" s="32"/>
      <c r="I880" s="32"/>
      <c r="J880" s="32"/>
      <c r="K880" s="32"/>
      <c r="L880" s="32"/>
      <c r="M880" s="34"/>
      <c r="N880" s="34"/>
      <c r="O880" s="34"/>
    </row>
    <row r="881">
      <c r="A881" s="45"/>
      <c r="B881" s="45"/>
      <c r="C881" s="45"/>
      <c r="D881" s="45"/>
      <c r="E881" s="45"/>
      <c r="F881" s="30"/>
      <c r="G881" s="30"/>
      <c r="H881" s="32"/>
      <c r="I881" s="32"/>
      <c r="J881" s="32"/>
      <c r="K881" s="32"/>
      <c r="L881" s="32"/>
      <c r="M881" s="34"/>
      <c r="N881" s="34"/>
      <c r="O881" s="34"/>
    </row>
    <row r="882">
      <c r="A882" s="45"/>
      <c r="B882" s="45"/>
      <c r="C882" s="45"/>
      <c r="D882" s="45"/>
      <c r="E882" s="45"/>
      <c r="F882" s="30"/>
      <c r="G882" s="30"/>
      <c r="H882" s="32"/>
      <c r="I882" s="32"/>
      <c r="J882" s="32"/>
      <c r="K882" s="32"/>
      <c r="L882" s="32"/>
      <c r="M882" s="34"/>
      <c r="N882" s="34"/>
      <c r="O882" s="34"/>
    </row>
    <row r="883">
      <c r="A883" s="45"/>
      <c r="B883" s="45"/>
      <c r="C883" s="45"/>
      <c r="D883" s="45"/>
      <c r="E883" s="45"/>
      <c r="F883" s="30"/>
      <c r="G883" s="30"/>
      <c r="H883" s="32"/>
      <c r="I883" s="32"/>
      <c r="J883" s="32"/>
      <c r="K883" s="32"/>
      <c r="L883" s="32"/>
      <c r="M883" s="34"/>
      <c r="N883" s="34"/>
      <c r="O883" s="34"/>
    </row>
    <row r="884">
      <c r="A884" s="45"/>
      <c r="B884" s="45"/>
      <c r="C884" s="45"/>
      <c r="D884" s="45"/>
      <c r="E884" s="45"/>
      <c r="F884" s="30"/>
      <c r="G884" s="30"/>
      <c r="H884" s="32"/>
      <c r="I884" s="32"/>
      <c r="J884" s="32"/>
      <c r="K884" s="32"/>
      <c r="L884" s="32"/>
      <c r="M884" s="34"/>
      <c r="N884" s="34"/>
      <c r="O884" s="34"/>
    </row>
    <row r="885">
      <c r="A885" s="45"/>
      <c r="B885" s="45"/>
      <c r="C885" s="45"/>
      <c r="D885" s="45"/>
      <c r="E885" s="45"/>
      <c r="F885" s="30"/>
      <c r="G885" s="30"/>
      <c r="H885" s="32"/>
      <c r="I885" s="32"/>
      <c r="J885" s="32"/>
      <c r="K885" s="32"/>
      <c r="L885" s="32"/>
      <c r="M885" s="34"/>
      <c r="N885" s="34"/>
      <c r="O885" s="34"/>
    </row>
    <row r="886">
      <c r="A886" s="45"/>
      <c r="B886" s="45"/>
      <c r="C886" s="45"/>
      <c r="D886" s="45"/>
      <c r="E886" s="45"/>
      <c r="F886" s="30"/>
      <c r="G886" s="30"/>
      <c r="H886" s="32"/>
      <c r="I886" s="32"/>
      <c r="J886" s="32"/>
      <c r="K886" s="32"/>
      <c r="L886" s="32"/>
      <c r="M886" s="34"/>
      <c r="N886" s="34"/>
      <c r="O886" s="34"/>
    </row>
    <row r="887">
      <c r="A887" s="45"/>
      <c r="B887" s="45"/>
      <c r="C887" s="45"/>
      <c r="D887" s="45"/>
      <c r="E887" s="45"/>
      <c r="F887" s="30"/>
      <c r="G887" s="30"/>
      <c r="H887" s="32"/>
      <c r="I887" s="32"/>
      <c r="J887" s="32"/>
      <c r="K887" s="32"/>
      <c r="L887" s="32"/>
      <c r="M887" s="34"/>
      <c r="N887" s="34"/>
      <c r="O887" s="34"/>
    </row>
    <row r="888">
      <c r="A888" s="45"/>
      <c r="B888" s="45"/>
      <c r="C888" s="45"/>
      <c r="D888" s="45"/>
      <c r="E888" s="45"/>
      <c r="F888" s="30"/>
      <c r="G888" s="30"/>
      <c r="H888" s="32"/>
      <c r="I888" s="32"/>
      <c r="J888" s="32"/>
      <c r="K888" s="32"/>
      <c r="L888" s="32"/>
      <c r="M888" s="34"/>
      <c r="N888" s="34"/>
      <c r="O888" s="34"/>
    </row>
    <row r="889">
      <c r="A889" s="45"/>
      <c r="B889" s="45"/>
      <c r="C889" s="45"/>
      <c r="D889" s="45"/>
      <c r="E889" s="45"/>
      <c r="F889" s="30"/>
      <c r="G889" s="30"/>
      <c r="H889" s="32"/>
      <c r="I889" s="32"/>
      <c r="J889" s="32"/>
      <c r="K889" s="32"/>
      <c r="L889" s="32"/>
      <c r="M889" s="34"/>
      <c r="N889" s="34"/>
      <c r="O889" s="34"/>
    </row>
    <row r="890">
      <c r="A890" s="45"/>
      <c r="B890" s="45"/>
      <c r="C890" s="45"/>
      <c r="D890" s="45"/>
      <c r="E890" s="45"/>
      <c r="F890" s="30"/>
      <c r="G890" s="30"/>
      <c r="H890" s="32"/>
      <c r="I890" s="32"/>
      <c r="J890" s="32"/>
      <c r="K890" s="32"/>
      <c r="L890" s="32"/>
      <c r="M890" s="34"/>
      <c r="N890" s="34"/>
      <c r="O890" s="34"/>
    </row>
    <row r="891">
      <c r="A891" s="45"/>
      <c r="B891" s="45"/>
      <c r="C891" s="45"/>
      <c r="D891" s="45"/>
      <c r="E891" s="45"/>
      <c r="F891" s="30"/>
      <c r="G891" s="30"/>
      <c r="H891" s="32"/>
      <c r="I891" s="32"/>
      <c r="J891" s="32"/>
      <c r="K891" s="32"/>
      <c r="L891" s="32"/>
      <c r="M891" s="34"/>
      <c r="N891" s="34"/>
      <c r="O891" s="34"/>
    </row>
    <row r="892">
      <c r="A892" s="45"/>
      <c r="B892" s="45"/>
      <c r="C892" s="45"/>
      <c r="D892" s="45"/>
      <c r="E892" s="45"/>
      <c r="F892" s="30"/>
      <c r="G892" s="30"/>
      <c r="H892" s="32"/>
      <c r="I892" s="32"/>
      <c r="J892" s="32"/>
      <c r="K892" s="32"/>
      <c r="L892" s="32"/>
      <c r="M892" s="34"/>
      <c r="N892" s="34"/>
      <c r="O892" s="34"/>
    </row>
    <row r="893">
      <c r="A893" s="45"/>
      <c r="B893" s="45"/>
      <c r="C893" s="45"/>
      <c r="D893" s="45"/>
      <c r="E893" s="45"/>
      <c r="F893" s="30"/>
      <c r="G893" s="30"/>
      <c r="H893" s="32"/>
      <c r="I893" s="32"/>
      <c r="J893" s="32"/>
      <c r="K893" s="32"/>
      <c r="L893" s="32"/>
      <c r="M893" s="34"/>
      <c r="N893" s="34"/>
      <c r="O893" s="34"/>
    </row>
    <row r="894">
      <c r="A894" s="45"/>
      <c r="B894" s="45"/>
      <c r="C894" s="45"/>
      <c r="D894" s="45"/>
      <c r="E894" s="45"/>
      <c r="F894" s="30"/>
      <c r="G894" s="30"/>
      <c r="H894" s="32"/>
      <c r="I894" s="32"/>
      <c r="J894" s="32"/>
      <c r="K894" s="32"/>
      <c r="L894" s="32"/>
      <c r="M894" s="34"/>
      <c r="N894" s="34"/>
      <c r="O894" s="34"/>
    </row>
    <row r="895">
      <c r="A895" s="45"/>
      <c r="B895" s="45"/>
      <c r="C895" s="45"/>
      <c r="D895" s="45"/>
      <c r="E895" s="45"/>
      <c r="F895" s="30"/>
      <c r="G895" s="30"/>
      <c r="H895" s="32"/>
      <c r="I895" s="32"/>
      <c r="J895" s="32"/>
      <c r="K895" s="32"/>
      <c r="L895" s="32"/>
      <c r="M895" s="34"/>
      <c r="N895" s="34"/>
      <c r="O895" s="34"/>
    </row>
    <row r="896">
      <c r="A896" s="45"/>
      <c r="B896" s="45"/>
      <c r="C896" s="45"/>
      <c r="D896" s="45"/>
      <c r="E896" s="45"/>
      <c r="F896" s="30"/>
      <c r="G896" s="30"/>
      <c r="H896" s="32"/>
      <c r="I896" s="32"/>
      <c r="J896" s="32"/>
      <c r="K896" s="32"/>
      <c r="L896" s="32"/>
      <c r="M896" s="34"/>
      <c r="N896" s="34"/>
      <c r="O896" s="34"/>
    </row>
    <row r="897">
      <c r="A897" s="45"/>
      <c r="B897" s="45"/>
      <c r="C897" s="45"/>
      <c r="D897" s="45"/>
      <c r="E897" s="45"/>
      <c r="F897" s="30"/>
      <c r="G897" s="30"/>
      <c r="H897" s="32"/>
      <c r="I897" s="32"/>
      <c r="J897" s="32"/>
      <c r="K897" s="32"/>
      <c r="L897" s="32"/>
      <c r="M897" s="34"/>
      <c r="N897" s="34"/>
      <c r="O897" s="34"/>
    </row>
    <row r="898">
      <c r="A898" s="45"/>
      <c r="B898" s="45"/>
      <c r="C898" s="45"/>
      <c r="D898" s="45"/>
      <c r="E898" s="45"/>
      <c r="F898" s="30"/>
      <c r="G898" s="30"/>
      <c r="H898" s="32"/>
      <c r="I898" s="32"/>
      <c r="J898" s="32"/>
      <c r="K898" s="32"/>
      <c r="L898" s="32"/>
      <c r="M898" s="34"/>
      <c r="N898" s="34"/>
      <c r="O898" s="34"/>
    </row>
    <row r="899">
      <c r="A899" s="45"/>
      <c r="B899" s="45"/>
      <c r="C899" s="45"/>
      <c r="D899" s="45"/>
      <c r="E899" s="45"/>
      <c r="F899" s="30"/>
      <c r="G899" s="30"/>
      <c r="H899" s="32"/>
      <c r="I899" s="32"/>
      <c r="J899" s="32"/>
      <c r="K899" s="32"/>
      <c r="L899" s="32"/>
      <c r="M899" s="34"/>
      <c r="N899" s="34"/>
      <c r="O899" s="34"/>
    </row>
    <row r="900">
      <c r="A900" s="45"/>
      <c r="B900" s="45"/>
      <c r="C900" s="45"/>
      <c r="D900" s="45"/>
      <c r="E900" s="45"/>
      <c r="F900" s="30"/>
      <c r="G900" s="30"/>
      <c r="H900" s="32"/>
      <c r="I900" s="32"/>
      <c r="J900" s="32"/>
      <c r="K900" s="32"/>
      <c r="L900" s="32"/>
      <c r="M900" s="34"/>
      <c r="N900" s="34"/>
      <c r="O900" s="34"/>
    </row>
    <row r="901">
      <c r="A901" s="45"/>
      <c r="B901" s="45"/>
      <c r="C901" s="45"/>
      <c r="D901" s="45"/>
      <c r="E901" s="45"/>
      <c r="F901" s="30"/>
      <c r="G901" s="30"/>
      <c r="H901" s="32"/>
      <c r="I901" s="32"/>
      <c r="J901" s="32"/>
      <c r="K901" s="32"/>
      <c r="L901" s="32"/>
      <c r="M901" s="34"/>
      <c r="N901" s="34"/>
      <c r="O901" s="34"/>
    </row>
    <row r="902">
      <c r="A902" s="45"/>
      <c r="B902" s="45"/>
      <c r="C902" s="45"/>
      <c r="D902" s="45"/>
      <c r="E902" s="45"/>
      <c r="F902" s="30"/>
      <c r="G902" s="30"/>
      <c r="H902" s="32"/>
      <c r="I902" s="32"/>
      <c r="J902" s="32"/>
      <c r="K902" s="32"/>
      <c r="L902" s="32"/>
      <c r="M902" s="34"/>
      <c r="N902" s="34"/>
      <c r="O902" s="34"/>
    </row>
    <row r="903">
      <c r="A903" s="45"/>
      <c r="B903" s="45"/>
      <c r="C903" s="45"/>
      <c r="D903" s="45"/>
      <c r="E903" s="45"/>
      <c r="F903" s="30"/>
      <c r="G903" s="30"/>
      <c r="H903" s="32"/>
      <c r="I903" s="32"/>
      <c r="J903" s="32"/>
      <c r="K903" s="32"/>
      <c r="L903" s="32"/>
      <c r="M903" s="34"/>
      <c r="N903" s="34"/>
      <c r="O903" s="34"/>
    </row>
    <row r="904">
      <c r="A904" s="45"/>
      <c r="B904" s="45"/>
      <c r="C904" s="45"/>
      <c r="D904" s="45"/>
      <c r="E904" s="45"/>
      <c r="F904" s="30"/>
      <c r="G904" s="30"/>
      <c r="H904" s="32"/>
      <c r="I904" s="32"/>
      <c r="J904" s="32"/>
      <c r="K904" s="32"/>
      <c r="L904" s="32"/>
      <c r="M904" s="34"/>
      <c r="N904" s="34"/>
      <c r="O904" s="34"/>
    </row>
    <row r="905">
      <c r="A905" s="45"/>
      <c r="B905" s="45"/>
      <c r="C905" s="45"/>
      <c r="D905" s="45"/>
      <c r="E905" s="45"/>
      <c r="F905" s="30"/>
      <c r="G905" s="30"/>
      <c r="H905" s="32"/>
      <c r="I905" s="32"/>
      <c r="J905" s="32"/>
      <c r="K905" s="32"/>
      <c r="L905" s="32"/>
      <c r="M905" s="34"/>
      <c r="N905" s="34"/>
      <c r="O905" s="34"/>
    </row>
    <row r="906">
      <c r="A906" s="45"/>
      <c r="B906" s="45"/>
      <c r="C906" s="45"/>
      <c r="D906" s="45"/>
      <c r="E906" s="45"/>
      <c r="F906" s="30"/>
      <c r="G906" s="30"/>
      <c r="H906" s="32"/>
      <c r="I906" s="32"/>
      <c r="J906" s="32"/>
      <c r="K906" s="32"/>
      <c r="L906" s="32"/>
      <c r="M906" s="34"/>
      <c r="N906" s="34"/>
      <c r="O906" s="34"/>
    </row>
    <row r="907">
      <c r="A907" s="45"/>
      <c r="B907" s="45"/>
      <c r="C907" s="45"/>
      <c r="D907" s="45"/>
      <c r="E907" s="45"/>
      <c r="F907" s="30"/>
      <c r="G907" s="30"/>
      <c r="H907" s="32"/>
      <c r="I907" s="32"/>
      <c r="J907" s="32"/>
      <c r="K907" s="32"/>
      <c r="L907" s="32"/>
      <c r="M907" s="34"/>
      <c r="N907" s="34"/>
      <c r="O907" s="34"/>
    </row>
    <row r="908">
      <c r="A908" s="45"/>
      <c r="B908" s="45"/>
      <c r="C908" s="45"/>
      <c r="D908" s="45"/>
      <c r="E908" s="45"/>
      <c r="F908" s="30"/>
      <c r="G908" s="30"/>
      <c r="H908" s="32"/>
      <c r="I908" s="32"/>
      <c r="J908" s="32"/>
      <c r="K908" s="32"/>
      <c r="L908" s="32"/>
      <c r="M908" s="34"/>
      <c r="N908" s="34"/>
      <c r="O908" s="34"/>
    </row>
    <row r="909">
      <c r="A909" s="45"/>
      <c r="B909" s="45"/>
      <c r="C909" s="45"/>
      <c r="D909" s="45"/>
      <c r="E909" s="45"/>
      <c r="F909" s="30"/>
      <c r="G909" s="30"/>
      <c r="H909" s="32"/>
      <c r="I909" s="32"/>
      <c r="J909" s="32"/>
      <c r="K909" s="32"/>
      <c r="L909" s="32"/>
      <c r="M909" s="34"/>
      <c r="N909" s="34"/>
      <c r="O909" s="34"/>
    </row>
    <row r="910">
      <c r="A910" s="45"/>
      <c r="B910" s="45"/>
      <c r="C910" s="45"/>
      <c r="D910" s="45"/>
      <c r="E910" s="45"/>
      <c r="F910" s="30"/>
      <c r="G910" s="30"/>
      <c r="H910" s="32"/>
      <c r="I910" s="32"/>
      <c r="J910" s="32"/>
      <c r="K910" s="32"/>
      <c r="L910" s="32"/>
      <c r="M910" s="34"/>
      <c r="N910" s="34"/>
      <c r="O910" s="34"/>
    </row>
    <row r="911">
      <c r="A911" s="45"/>
      <c r="B911" s="45"/>
      <c r="C911" s="45"/>
      <c r="D911" s="45"/>
      <c r="E911" s="45"/>
      <c r="F911" s="30"/>
      <c r="G911" s="30"/>
      <c r="H911" s="32"/>
      <c r="I911" s="32"/>
      <c r="J911" s="32"/>
      <c r="K911" s="32"/>
      <c r="L911" s="32"/>
      <c r="M911" s="34"/>
      <c r="N911" s="34"/>
      <c r="O911" s="34"/>
    </row>
    <row r="912">
      <c r="A912" s="45"/>
      <c r="B912" s="45"/>
      <c r="C912" s="45"/>
      <c r="D912" s="45"/>
      <c r="E912" s="45"/>
      <c r="F912" s="30"/>
      <c r="G912" s="30"/>
      <c r="H912" s="32"/>
      <c r="I912" s="32"/>
      <c r="J912" s="32"/>
      <c r="K912" s="32"/>
      <c r="L912" s="32"/>
      <c r="M912" s="34"/>
      <c r="N912" s="34"/>
      <c r="O912" s="34"/>
    </row>
    <row r="913">
      <c r="A913" s="45"/>
      <c r="B913" s="45"/>
      <c r="C913" s="45"/>
      <c r="D913" s="45"/>
      <c r="E913" s="45"/>
      <c r="F913" s="30"/>
      <c r="G913" s="30"/>
      <c r="H913" s="32"/>
      <c r="I913" s="32"/>
      <c r="J913" s="32"/>
      <c r="K913" s="32"/>
      <c r="L913" s="32"/>
      <c r="M913" s="34"/>
      <c r="N913" s="34"/>
      <c r="O913" s="34"/>
    </row>
    <row r="914">
      <c r="A914" s="45"/>
      <c r="B914" s="45"/>
      <c r="C914" s="45"/>
      <c r="D914" s="45"/>
      <c r="E914" s="45"/>
      <c r="F914" s="30"/>
      <c r="G914" s="30"/>
      <c r="H914" s="32"/>
      <c r="I914" s="32"/>
      <c r="J914" s="32"/>
      <c r="K914" s="32"/>
      <c r="L914" s="32"/>
      <c r="M914" s="34"/>
      <c r="N914" s="34"/>
      <c r="O914" s="34"/>
    </row>
    <row r="915">
      <c r="A915" s="45"/>
      <c r="B915" s="45"/>
      <c r="C915" s="45"/>
      <c r="D915" s="45"/>
      <c r="E915" s="45"/>
      <c r="F915" s="30"/>
      <c r="G915" s="30"/>
      <c r="H915" s="32"/>
      <c r="I915" s="32"/>
      <c r="J915" s="32"/>
      <c r="K915" s="32"/>
      <c r="L915" s="32"/>
      <c r="M915" s="34"/>
      <c r="N915" s="34"/>
      <c r="O915" s="34"/>
    </row>
    <row r="916">
      <c r="A916" s="45"/>
      <c r="B916" s="45"/>
      <c r="C916" s="45"/>
      <c r="D916" s="45"/>
      <c r="E916" s="45"/>
      <c r="F916" s="30"/>
      <c r="G916" s="30"/>
      <c r="H916" s="32"/>
      <c r="I916" s="32"/>
      <c r="J916" s="32"/>
      <c r="K916" s="32"/>
      <c r="L916" s="32"/>
      <c r="M916" s="34"/>
      <c r="N916" s="34"/>
      <c r="O916" s="34"/>
    </row>
    <row r="917">
      <c r="A917" s="45"/>
      <c r="B917" s="45"/>
      <c r="C917" s="45"/>
      <c r="D917" s="45"/>
      <c r="E917" s="45"/>
      <c r="F917" s="30"/>
      <c r="G917" s="30"/>
      <c r="H917" s="32"/>
      <c r="I917" s="32"/>
      <c r="J917" s="32"/>
      <c r="K917" s="32"/>
      <c r="L917" s="32"/>
      <c r="M917" s="34"/>
      <c r="N917" s="34"/>
      <c r="O917" s="34"/>
    </row>
    <row r="918">
      <c r="A918" s="45"/>
      <c r="B918" s="45"/>
      <c r="C918" s="45"/>
      <c r="D918" s="45"/>
      <c r="E918" s="45"/>
      <c r="F918" s="30"/>
      <c r="G918" s="30"/>
      <c r="H918" s="32"/>
      <c r="I918" s="32"/>
      <c r="J918" s="32"/>
      <c r="K918" s="32"/>
      <c r="L918" s="32"/>
      <c r="M918" s="34"/>
      <c r="N918" s="34"/>
      <c r="O918" s="34"/>
    </row>
    <row r="919">
      <c r="A919" s="45"/>
      <c r="B919" s="45"/>
      <c r="C919" s="45"/>
      <c r="D919" s="45"/>
      <c r="E919" s="45"/>
      <c r="F919" s="30"/>
      <c r="G919" s="30"/>
      <c r="H919" s="32"/>
      <c r="I919" s="32"/>
      <c r="J919" s="32"/>
      <c r="K919" s="32"/>
      <c r="L919" s="32"/>
      <c r="M919" s="34"/>
      <c r="N919" s="34"/>
      <c r="O919" s="34"/>
    </row>
    <row r="920">
      <c r="A920" s="45"/>
      <c r="B920" s="45"/>
      <c r="C920" s="45"/>
      <c r="D920" s="45"/>
      <c r="E920" s="45"/>
      <c r="F920" s="30"/>
      <c r="G920" s="30"/>
      <c r="H920" s="32"/>
      <c r="I920" s="32"/>
      <c r="J920" s="32"/>
      <c r="K920" s="32"/>
      <c r="L920" s="32"/>
      <c r="M920" s="34"/>
      <c r="N920" s="34"/>
      <c r="O920" s="34"/>
    </row>
    <row r="921">
      <c r="A921" s="45"/>
      <c r="B921" s="45"/>
      <c r="C921" s="45"/>
      <c r="D921" s="45"/>
      <c r="E921" s="45"/>
      <c r="F921" s="30"/>
      <c r="G921" s="30"/>
      <c r="H921" s="32"/>
      <c r="I921" s="32"/>
      <c r="J921" s="32"/>
      <c r="K921" s="32"/>
      <c r="L921" s="32"/>
      <c r="M921" s="34"/>
      <c r="N921" s="34"/>
      <c r="O921" s="34"/>
    </row>
    <row r="922">
      <c r="A922" s="45"/>
      <c r="B922" s="45"/>
      <c r="C922" s="45"/>
      <c r="D922" s="45"/>
      <c r="E922" s="45"/>
      <c r="F922" s="30"/>
      <c r="G922" s="30"/>
      <c r="H922" s="32"/>
      <c r="I922" s="32"/>
      <c r="J922" s="32"/>
      <c r="K922" s="32"/>
      <c r="L922" s="32"/>
      <c r="M922" s="34"/>
      <c r="N922" s="34"/>
      <c r="O922" s="34"/>
    </row>
    <row r="923">
      <c r="A923" s="45"/>
      <c r="B923" s="45"/>
      <c r="C923" s="45"/>
      <c r="D923" s="45"/>
      <c r="E923" s="45"/>
      <c r="F923" s="30"/>
      <c r="G923" s="30"/>
      <c r="H923" s="32"/>
      <c r="I923" s="32"/>
      <c r="J923" s="32"/>
      <c r="K923" s="32"/>
      <c r="L923" s="32"/>
      <c r="M923" s="34"/>
      <c r="N923" s="34"/>
      <c r="O923" s="34"/>
    </row>
    <row r="924">
      <c r="A924" s="45"/>
      <c r="B924" s="45"/>
      <c r="C924" s="45"/>
      <c r="D924" s="45"/>
      <c r="E924" s="45"/>
      <c r="F924" s="30"/>
      <c r="G924" s="30"/>
      <c r="H924" s="32"/>
      <c r="I924" s="32"/>
      <c r="J924" s="32"/>
      <c r="K924" s="32"/>
      <c r="L924" s="32"/>
      <c r="M924" s="34"/>
      <c r="N924" s="34"/>
      <c r="O924" s="34"/>
    </row>
    <row r="925">
      <c r="A925" s="45"/>
      <c r="B925" s="45"/>
      <c r="C925" s="45"/>
      <c r="D925" s="45"/>
      <c r="E925" s="45"/>
      <c r="F925" s="30"/>
      <c r="G925" s="30"/>
      <c r="H925" s="32"/>
      <c r="I925" s="32"/>
      <c r="J925" s="32"/>
      <c r="K925" s="32"/>
      <c r="L925" s="32"/>
      <c r="M925" s="34"/>
      <c r="N925" s="34"/>
      <c r="O925" s="34"/>
    </row>
    <row r="926">
      <c r="A926" s="45"/>
      <c r="B926" s="45"/>
      <c r="C926" s="45"/>
      <c r="D926" s="45"/>
      <c r="E926" s="45"/>
      <c r="F926" s="30"/>
      <c r="G926" s="30"/>
      <c r="H926" s="32"/>
      <c r="I926" s="32"/>
      <c r="J926" s="32"/>
      <c r="K926" s="32"/>
      <c r="L926" s="32"/>
      <c r="M926" s="34"/>
      <c r="N926" s="34"/>
      <c r="O926" s="34"/>
    </row>
    <row r="927">
      <c r="A927" s="45"/>
      <c r="B927" s="45"/>
      <c r="C927" s="45"/>
      <c r="D927" s="45"/>
      <c r="E927" s="45"/>
      <c r="F927" s="30"/>
      <c r="G927" s="30"/>
      <c r="H927" s="32"/>
      <c r="I927" s="32"/>
      <c r="J927" s="32"/>
      <c r="K927" s="32"/>
      <c r="L927" s="32"/>
      <c r="M927" s="34"/>
      <c r="N927" s="34"/>
      <c r="O927" s="34"/>
    </row>
    <row r="928">
      <c r="A928" s="45"/>
      <c r="B928" s="45"/>
      <c r="C928" s="45"/>
      <c r="D928" s="45"/>
      <c r="E928" s="45"/>
      <c r="F928" s="30"/>
      <c r="G928" s="30"/>
      <c r="H928" s="32"/>
      <c r="I928" s="32"/>
      <c r="J928" s="32"/>
      <c r="K928" s="32"/>
      <c r="L928" s="32"/>
      <c r="M928" s="34"/>
      <c r="N928" s="34"/>
      <c r="O928" s="34"/>
    </row>
    <row r="929">
      <c r="A929" s="45"/>
      <c r="B929" s="45"/>
      <c r="C929" s="45"/>
      <c r="D929" s="45"/>
      <c r="E929" s="45"/>
      <c r="F929" s="30"/>
      <c r="G929" s="30"/>
      <c r="H929" s="32"/>
      <c r="I929" s="32"/>
      <c r="J929" s="32"/>
      <c r="K929" s="32"/>
      <c r="L929" s="32"/>
      <c r="M929" s="34"/>
      <c r="N929" s="34"/>
      <c r="O929" s="34"/>
    </row>
    <row r="930">
      <c r="A930" s="45"/>
      <c r="B930" s="45"/>
      <c r="C930" s="45"/>
      <c r="D930" s="45"/>
      <c r="E930" s="45"/>
      <c r="F930" s="30"/>
      <c r="G930" s="30"/>
      <c r="H930" s="32"/>
      <c r="I930" s="32"/>
      <c r="J930" s="32"/>
      <c r="K930" s="32"/>
      <c r="L930" s="32"/>
      <c r="M930" s="34"/>
      <c r="N930" s="34"/>
      <c r="O930" s="34"/>
    </row>
    <row r="931">
      <c r="A931" s="45"/>
      <c r="B931" s="45"/>
      <c r="C931" s="45"/>
      <c r="D931" s="45"/>
      <c r="E931" s="45"/>
      <c r="F931" s="30"/>
      <c r="G931" s="30"/>
      <c r="H931" s="32"/>
      <c r="I931" s="32"/>
      <c r="J931" s="32"/>
      <c r="K931" s="32"/>
      <c r="L931" s="32"/>
      <c r="M931" s="34"/>
      <c r="N931" s="34"/>
      <c r="O931" s="34"/>
    </row>
    <row r="932">
      <c r="A932" s="45"/>
      <c r="B932" s="45"/>
      <c r="C932" s="45"/>
      <c r="D932" s="45"/>
      <c r="E932" s="45"/>
      <c r="F932" s="30"/>
      <c r="G932" s="30"/>
      <c r="H932" s="32"/>
      <c r="I932" s="32"/>
      <c r="J932" s="32"/>
      <c r="K932" s="32"/>
      <c r="L932" s="32"/>
      <c r="M932" s="34"/>
      <c r="N932" s="34"/>
      <c r="O932" s="34"/>
    </row>
    <row r="933">
      <c r="A933" s="45"/>
      <c r="B933" s="45"/>
      <c r="C933" s="45"/>
      <c r="D933" s="45"/>
      <c r="E933" s="45"/>
      <c r="F933" s="30"/>
      <c r="G933" s="30"/>
      <c r="H933" s="32"/>
      <c r="I933" s="32"/>
      <c r="J933" s="32"/>
      <c r="K933" s="32"/>
      <c r="L933" s="32"/>
      <c r="M933" s="34"/>
      <c r="N933" s="34"/>
      <c r="O933" s="34"/>
    </row>
    <row r="934">
      <c r="A934" s="45"/>
      <c r="B934" s="45"/>
      <c r="C934" s="45"/>
      <c r="D934" s="45"/>
      <c r="E934" s="45"/>
      <c r="F934" s="30"/>
      <c r="G934" s="30"/>
      <c r="H934" s="32"/>
      <c r="I934" s="32"/>
      <c r="J934" s="32"/>
      <c r="K934" s="32"/>
      <c r="L934" s="32"/>
      <c r="M934" s="34"/>
      <c r="N934" s="34"/>
      <c r="O934" s="34"/>
    </row>
    <row r="935">
      <c r="A935" s="45"/>
      <c r="B935" s="45"/>
      <c r="C935" s="45"/>
      <c r="D935" s="45"/>
      <c r="E935" s="45"/>
      <c r="F935" s="30"/>
      <c r="G935" s="30"/>
      <c r="H935" s="32"/>
      <c r="I935" s="32"/>
      <c r="J935" s="32"/>
      <c r="K935" s="32"/>
      <c r="L935" s="32"/>
      <c r="M935" s="34"/>
      <c r="N935" s="34"/>
      <c r="O935" s="34"/>
    </row>
    <row r="936">
      <c r="A936" s="45"/>
      <c r="B936" s="45"/>
      <c r="C936" s="45"/>
      <c r="D936" s="45"/>
      <c r="E936" s="45"/>
      <c r="F936" s="30"/>
      <c r="G936" s="30"/>
      <c r="H936" s="32"/>
      <c r="I936" s="32"/>
      <c r="J936" s="32"/>
      <c r="K936" s="32"/>
      <c r="L936" s="32"/>
      <c r="M936" s="34"/>
      <c r="N936" s="34"/>
      <c r="O936" s="34"/>
    </row>
    <row r="937">
      <c r="A937" s="45"/>
      <c r="B937" s="45"/>
      <c r="C937" s="45"/>
      <c r="D937" s="45"/>
      <c r="E937" s="45"/>
      <c r="F937" s="30"/>
      <c r="G937" s="30"/>
      <c r="H937" s="32"/>
      <c r="I937" s="32"/>
      <c r="J937" s="32"/>
      <c r="K937" s="32"/>
      <c r="L937" s="32"/>
      <c r="M937" s="34"/>
      <c r="N937" s="34"/>
      <c r="O937" s="34"/>
    </row>
    <row r="938">
      <c r="A938" s="45"/>
      <c r="B938" s="45"/>
      <c r="C938" s="45"/>
      <c r="D938" s="45"/>
      <c r="E938" s="45"/>
      <c r="F938" s="30"/>
      <c r="G938" s="30"/>
      <c r="H938" s="32"/>
      <c r="I938" s="32"/>
      <c r="J938" s="32"/>
      <c r="K938" s="32"/>
      <c r="L938" s="32"/>
      <c r="M938" s="34"/>
      <c r="N938" s="34"/>
      <c r="O938" s="34"/>
    </row>
    <row r="939">
      <c r="A939" s="45"/>
      <c r="B939" s="45"/>
      <c r="C939" s="45"/>
      <c r="D939" s="45"/>
      <c r="E939" s="45"/>
      <c r="F939" s="30"/>
      <c r="G939" s="30"/>
      <c r="H939" s="32"/>
      <c r="I939" s="32"/>
      <c r="J939" s="32"/>
      <c r="K939" s="32"/>
      <c r="L939" s="32"/>
      <c r="M939" s="34"/>
      <c r="N939" s="34"/>
      <c r="O939" s="34"/>
    </row>
    <row r="940">
      <c r="A940" s="45"/>
      <c r="B940" s="45"/>
      <c r="C940" s="45"/>
      <c r="D940" s="45"/>
      <c r="E940" s="45"/>
      <c r="F940" s="30"/>
      <c r="G940" s="30"/>
      <c r="H940" s="32"/>
      <c r="I940" s="32"/>
      <c r="J940" s="32"/>
      <c r="K940" s="32"/>
      <c r="L940" s="32"/>
      <c r="M940" s="34"/>
      <c r="N940" s="34"/>
      <c r="O940" s="34"/>
    </row>
    <row r="941">
      <c r="A941" s="45"/>
      <c r="B941" s="45"/>
      <c r="C941" s="45"/>
      <c r="D941" s="45"/>
      <c r="E941" s="45"/>
      <c r="F941" s="30"/>
      <c r="G941" s="30"/>
      <c r="H941" s="32"/>
      <c r="I941" s="32"/>
      <c r="J941" s="32"/>
      <c r="K941" s="32"/>
      <c r="L941" s="32"/>
      <c r="M941" s="34"/>
      <c r="N941" s="34"/>
      <c r="O941" s="34"/>
    </row>
    <row r="942">
      <c r="A942" s="45"/>
      <c r="B942" s="45"/>
      <c r="C942" s="45"/>
      <c r="D942" s="45"/>
      <c r="E942" s="45"/>
      <c r="F942" s="30"/>
      <c r="G942" s="30"/>
      <c r="H942" s="32"/>
      <c r="I942" s="32"/>
      <c r="J942" s="32"/>
      <c r="K942" s="32"/>
      <c r="L942" s="32"/>
      <c r="M942" s="34"/>
      <c r="N942" s="34"/>
      <c r="O942" s="34"/>
    </row>
    <row r="943">
      <c r="A943" s="45"/>
      <c r="B943" s="45"/>
      <c r="C943" s="45"/>
      <c r="D943" s="45"/>
      <c r="E943" s="45"/>
      <c r="F943" s="30"/>
      <c r="G943" s="30"/>
      <c r="H943" s="32"/>
      <c r="I943" s="32"/>
      <c r="J943" s="32"/>
      <c r="K943" s="32"/>
      <c r="L943" s="32"/>
      <c r="M943" s="34"/>
      <c r="N943" s="34"/>
      <c r="O943" s="34"/>
    </row>
    <row r="944">
      <c r="A944" s="45"/>
      <c r="B944" s="45"/>
      <c r="C944" s="45"/>
      <c r="D944" s="45"/>
      <c r="E944" s="45"/>
      <c r="F944" s="30"/>
      <c r="G944" s="30"/>
      <c r="H944" s="32"/>
      <c r="I944" s="32"/>
      <c r="J944" s="32"/>
      <c r="K944" s="32"/>
      <c r="L944" s="32"/>
      <c r="M944" s="34"/>
      <c r="N944" s="34"/>
      <c r="O944" s="34"/>
    </row>
    <row r="945">
      <c r="A945" s="45"/>
      <c r="B945" s="45"/>
      <c r="C945" s="45"/>
      <c r="D945" s="45"/>
      <c r="E945" s="45"/>
      <c r="F945" s="30"/>
      <c r="G945" s="30"/>
      <c r="H945" s="32"/>
      <c r="I945" s="32"/>
      <c r="J945" s="32"/>
      <c r="K945" s="32"/>
      <c r="L945" s="32"/>
      <c r="M945" s="34"/>
      <c r="N945" s="34"/>
      <c r="O945" s="34"/>
    </row>
    <row r="946">
      <c r="A946" s="45"/>
      <c r="B946" s="45"/>
      <c r="C946" s="45"/>
      <c r="D946" s="45"/>
      <c r="E946" s="45"/>
      <c r="F946" s="30"/>
      <c r="G946" s="30"/>
      <c r="H946" s="32"/>
      <c r="I946" s="32"/>
      <c r="J946" s="32"/>
      <c r="K946" s="32"/>
      <c r="L946" s="32"/>
      <c r="M946" s="34"/>
      <c r="N946" s="34"/>
      <c r="O946" s="34"/>
    </row>
    <row r="947">
      <c r="A947" s="45"/>
      <c r="B947" s="45"/>
      <c r="C947" s="45"/>
      <c r="D947" s="45"/>
      <c r="E947" s="45"/>
      <c r="F947" s="30"/>
      <c r="G947" s="30"/>
      <c r="H947" s="32"/>
      <c r="I947" s="32"/>
      <c r="J947" s="32"/>
      <c r="K947" s="32"/>
      <c r="L947" s="32"/>
      <c r="M947" s="34"/>
      <c r="N947" s="34"/>
      <c r="O947" s="34"/>
    </row>
    <row r="948">
      <c r="A948" s="45"/>
      <c r="B948" s="45"/>
      <c r="C948" s="45"/>
      <c r="D948" s="45"/>
      <c r="E948" s="45"/>
      <c r="F948" s="30"/>
      <c r="G948" s="30"/>
      <c r="H948" s="32"/>
      <c r="I948" s="32"/>
      <c r="J948" s="32"/>
      <c r="K948" s="32"/>
      <c r="L948" s="32"/>
      <c r="M948" s="34"/>
      <c r="N948" s="34"/>
      <c r="O948" s="34"/>
    </row>
    <row r="949">
      <c r="A949" s="45"/>
      <c r="B949" s="45"/>
      <c r="C949" s="45"/>
      <c r="D949" s="45"/>
      <c r="E949" s="45"/>
      <c r="F949" s="30"/>
      <c r="G949" s="30"/>
      <c r="H949" s="32"/>
      <c r="I949" s="32"/>
      <c r="J949" s="32"/>
      <c r="K949" s="32"/>
      <c r="L949" s="32"/>
      <c r="M949" s="34"/>
      <c r="N949" s="34"/>
      <c r="O949" s="34"/>
    </row>
    <row r="950">
      <c r="A950" s="45"/>
      <c r="B950" s="45"/>
      <c r="C950" s="45"/>
      <c r="D950" s="45"/>
      <c r="E950" s="45"/>
      <c r="F950" s="30"/>
      <c r="G950" s="30"/>
      <c r="H950" s="32"/>
      <c r="I950" s="32"/>
      <c r="J950" s="32"/>
      <c r="K950" s="32"/>
      <c r="L950" s="32"/>
      <c r="M950" s="34"/>
      <c r="N950" s="34"/>
      <c r="O950" s="34"/>
    </row>
    <row r="951">
      <c r="A951" s="45"/>
      <c r="B951" s="45"/>
      <c r="C951" s="45"/>
      <c r="D951" s="45"/>
      <c r="E951" s="45"/>
      <c r="F951" s="30"/>
      <c r="G951" s="30"/>
      <c r="H951" s="32"/>
      <c r="I951" s="32"/>
      <c r="J951" s="32"/>
      <c r="K951" s="32"/>
      <c r="L951" s="32"/>
      <c r="M951" s="34"/>
      <c r="N951" s="34"/>
      <c r="O951" s="34"/>
    </row>
    <row r="952">
      <c r="A952" s="45"/>
      <c r="B952" s="45"/>
      <c r="C952" s="45"/>
      <c r="D952" s="45"/>
      <c r="E952" s="45"/>
      <c r="F952" s="30"/>
      <c r="G952" s="30"/>
      <c r="H952" s="32"/>
      <c r="I952" s="32"/>
      <c r="J952" s="32"/>
      <c r="K952" s="32"/>
      <c r="L952" s="32"/>
      <c r="M952" s="34"/>
      <c r="N952" s="34"/>
      <c r="O952" s="34"/>
    </row>
    <row r="953">
      <c r="A953" s="45"/>
      <c r="B953" s="45"/>
      <c r="C953" s="45"/>
      <c r="D953" s="45"/>
      <c r="E953" s="45"/>
      <c r="F953" s="30"/>
      <c r="G953" s="30"/>
      <c r="H953" s="32"/>
      <c r="I953" s="32"/>
      <c r="J953" s="32"/>
      <c r="K953" s="32"/>
      <c r="L953" s="32"/>
      <c r="M953" s="34"/>
      <c r="N953" s="34"/>
      <c r="O953" s="34"/>
    </row>
    <row r="954">
      <c r="A954" s="45"/>
      <c r="B954" s="45"/>
      <c r="C954" s="45"/>
      <c r="D954" s="45"/>
      <c r="E954" s="45"/>
      <c r="F954" s="30"/>
      <c r="G954" s="30"/>
      <c r="H954" s="32"/>
      <c r="I954" s="32"/>
      <c r="J954" s="32"/>
      <c r="K954" s="32"/>
      <c r="L954" s="32"/>
      <c r="M954" s="34"/>
      <c r="N954" s="34"/>
      <c r="O954" s="34"/>
    </row>
    <row r="955">
      <c r="A955" s="45"/>
      <c r="B955" s="45"/>
      <c r="C955" s="45"/>
      <c r="D955" s="45"/>
      <c r="E955" s="45"/>
      <c r="F955" s="30"/>
      <c r="G955" s="30"/>
      <c r="H955" s="32"/>
      <c r="I955" s="32"/>
      <c r="J955" s="32"/>
      <c r="K955" s="32"/>
      <c r="L955" s="32"/>
      <c r="M955" s="34"/>
      <c r="N955" s="34"/>
      <c r="O955" s="34"/>
    </row>
    <row r="956">
      <c r="A956" s="45"/>
      <c r="B956" s="45"/>
      <c r="C956" s="45"/>
      <c r="D956" s="45"/>
      <c r="E956" s="45"/>
      <c r="F956" s="30"/>
      <c r="G956" s="30"/>
      <c r="H956" s="32"/>
      <c r="I956" s="32"/>
      <c r="J956" s="32"/>
      <c r="K956" s="32"/>
      <c r="L956" s="32"/>
      <c r="M956" s="34"/>
      <c r="N956" s="34"/>
      <c r="O956" s="34"/>
    </row>
    <row r="957">
      <c r="A957" s="45"/>
      <c r="B957" s="45"/>
      <c r="C957" s="45"/>
      <c r="D957" s="45"/>
      <c r="E957" s="45"/>
      <c r="F957" s="30"/>
      <c r="G957" s="30"/>
      <c r="H957" s="32"/>
      <c r="I957" s="32"/>
      <c r="J957" s="32"/>
      <c r="K957" s="32"/>
      <c r="L957" s="32"/>
      <c r="M957" s="34"/>
      <c r="N957" s="34"/>
      <c r="O957" s="34"/>
    </row>
    <row r="958">
      <c r="A958" s="45"/>
      <c r="B958" s="45"/>
      <c r="C958" s="45"/>
      <c r="D958" s="45"/>
      <c r="E958" s="45"/>
      <c r="F958" s="30"/>
      <c r="G958" s="30"/>
      <c r="H958" s="32"/>
      <c r="I958" s="32"/>
      <c r="J958" s="32"/>
      <c r="K958" s="32"/>
      <c r="L958" s="32"/>
      <c r="M958" s="34"/>
      <c r="N958" s="34"/>
      <c r="O958" s="34"/>
    </row>
    <row r="959">
      <c r="A959" s="45"/>
      <c r="B959" s="45"/>
      <c r="C959" s="45"/>
      <c r="D959" s="45"/>
      <c r="E959" s="45"/>
      <c r="F959" s="30"/>
      <c r="G959" s="30"/>
      <c r="H959" s="32"/>
      <c r="I959" s="32"/>
      <c r="J959" s="32"/>
      <c r="K959" s="32"/>
      <c r="L959" s="32"/>
      <c r="M959" s="34"/>
      <c r="N959" s="34"/>
      <c r="O959" s="34"/>
    </row>
    <row r="960">
      <c r="A960" s="45"/>
      <c r="B960" s="45"/>
      <c r="C960" s="45"/>
      <c r="D960" s="45"/>
      <c r="E960" s="45"/>
      <c r="F960" s="30"/>
      <c r="G960" s="30"/>
      <c r="H960" s="32"/>
      <c r="I960" s="32"/>
      <c r="J960" s="32"/>
      <c r="K960" s="32"/>
      <c r="L960" s="32"/>
      <c r="M960" s="34"/>
      <c r="N960" s="34"/>
      <c r="O960" s="34"/>
    </row>
    <row r="961">
      <c r="A961" s="45"/>
      <c r="B961" s="45"/>
      <c r="C961" s="45"/>
      <c r="D961" s="45"/>
      <c r="E961" s="45"/>
      <c r="F961" s="30"/>
      <c r="G961" s="30"/>
      <c r="H961" s="32"/>
      <c r="I961" s="32"/>
      <c r="J961" s="32"/>
      <c r="K961" s="32"/>
      <c r="L961" s="32"/>
      <c r="M961" s="34"/>
      <c r="N961" s="34"/>
      <c r="O961" s="34"/>
    </row>
    <row r="962">
      <c r="A962" s="45"/>
      <c r="B962" s="45"/>
      <c r="C962" s="45"/>
      <c r="D962" s="45"/>
      <c r="E962" s="45"/>
      <c r="F962" s="30"/>
      <c r="G962" s="30"/>
      <c r="H962" s="32"/>
      <c r="I962" s="32"/>
      <c r="J962" s="32"/>
      <c r="K962" s="32"/>
      <c r="L962" s="32"/>
      <c r="M962" s="34"/>
      <c r="N962" s="34"/>
      <c r="O962" s="34"/>
    </row>
    <row r="963">
      <c r="A963" s="45"/>
      <c r="B963" s="45"/>
      <c r="C963" s="45"/>
      <c r="D963" s="45"/>
      <c r="E963" s="45"/>
      <c r="F963" s="30"/>
      <c r="G963" s="30"/>
      <c r="H963" s="32"/>
      <c r="I963" s="32"/>
      <c r="J963" s="32"/>
      <c r="K963" s="32"/>
      <c r="L963" s="32"/>
      <c r="M963" s="34"/>
      <c r="N963" s="34"/>
      <c r="O963" s="34"/>
    </row>
    <row r="964">
      <c r="A964" s="45"/>
      <c r="B964" s="45"/>
      <c r="C964" s="45"/>
      <c r="D964" s="45"/>
      <c r="E964" s="45"/>
      <c r="F964" s="30"/>
      <c r="G964" s="30"/>
      <c r="H964" s="32"/>
      <c r="I964" s="32"/>
      <c r="J964" s="32"/>
      <c r="K964" s="32"/>
      <c r="L964" s="32"/>
      <c r="M964" s="34"/>
      <c r="N964" s="34"/>
      <c r="O964" s="34"/>
    </row>
    <row r="965">
      <c r="A965" s="45"/>
      <c r="B965" s="45"/>
      <c r="C965" s="45"/>
      <c r="D965" s="45"/>
      <c r="E965" s="45"/>
      <c r="F965" s="30"/>
      <c r="G965" s="30"/>
      <c r="H965" s="32"/>
      <c r="I965" s="32"/>
      <c r="J965" s="32"/>
      <c r="K965" s="32"/>
      <c r="L965" s="32"/>
      <c r="M965" s="34"/>
      <c r="N965" s="34"/>
      <c r="O965" s="34"/>
    </row>
    <row r="966">
      <c r="A966" s="45"/>
      <c r="B966" s="45"/>
      <c r="C966" s="45"/>
      <c r="D966" s="45"/>
      <c r="E966" s="45"/>
      <c r="F966" s="30"/>
      <c r="G966" s="30"/>
      <c r="H966" s="32"/>
      <c r="I966" s="32"/>
      <c r="J966" s="32"/>
      <c r="K966" s="32"/>
      <c r="L966" s="32"/>
      <c r="M966" s="34"/>
      <c r="N966" s="34"/>
      <c r="O966" s="34"/>
    </row>
    <row r="967">
      <c r="A967" s="45"/>
      <c r="B967" s="45"/>
      <c r="C967" s="45"/>
      <c r="D967" s="45"/>
      <c r="E967" s="45"/>
      <c r="F967" s="30"/>
      <c r="G967" s="30"/>
      <c r="H967" s="32"/>
      <c r="I967" s="32"/>
      <c r="J967" s="32"/>
      <c r="K967" s="32"/>
      <c r="L967" s="32"/>
      <c r="M967" s="34"/>
      <c r="N967" s="34"/>
      <c r="O967" s="34"/>
    </row>
    <row r="968">
      <c r="A968" s="45"/>
      <c r="B968" s="45"/>
      <c r="C968" s="45"/>
      <c r="D968" s="45"/>
      <c r="E968" s="45"/>
      <c r="F968" s="30"/>
      <c r="G968" s="30"/>
      <c r="H968" s="32"/>
      <c r="I968" s="32"/>
      <c r="J968" s="32"/>
      <c r="K968" s="32"/>
      <c r="L968" s="32"/>
      <c r="M968" s="34"/>
      <c r="N968" s="34"/>
      <c r="O968" s="34"/>
    </row>
    <row r="969">
      <c r="A969" s="45"/>
      <c r="B969" s="45"/>
      <c r="C969" s="45"/>
      <c r="D969" s="45"/>
      <c r="E969" s="45"/>
      <c r="F969" s="30"/>
      <c r="G969" s="30"/>
      <c r="H969" s="32"/>
      <c r="I969" s="32"/>
      <c r="J969" s="32"/>
      <c r="K969" s="32"/>
      <c r="L969" s="32"/>
      <c r="M969" s="34"/>
      <c r="N969" s="34"/>
      <c r="O969" s="34"/>
    </row>
    <row r="970">
      <c r="A970" s="45"/>
      <c r="B970" s="45"/>
      <c r="C970" s="45"/>
      <c r="D970" s="45"/>
      <c r="E970" s="45"/>
      <c r="F970" s="30"/>
      <c r="G970" s="30"/>
      <c r="H970" s="32"/>
      <c r="I970" s="32"/>
      <c r="J970" s="32"/>
      <c r="K970" s="32"/>
      <c r="L970" s="32"/>
      <c r="M970" s="34"/>
      <c r="N970" s="34"/>
      <c r="O970" s="34"/>
    </row>
    <row r="971">
      <c r="A971" s="45"/>
      <c r="B971" s="45"/>
      <c r="C971" s="45"/>
      <c r="D971" s="45"/>
      <c r="E971" s="45"/>
      <c r="F971" s="30"/>
      <c r="G971" s="30"/>
      <c r="H971" s="32"/>
      <c r="I971" s="32"/>
      <c r="J971" s="32"/>
      <c r="K971" s="32"/>
      <c r="L971" s="32"/>
      <c r="M971" s="34"/>
      <c r="N971" s="34"/>
      <c r="O971" s="34"/>
    </row>
    <row r="972">
      <c r="A972" s="45"/>
      <c r="B972" s="45"/>
      <c r="C972" s="45"/>
      <c r="D972" s="45"/>
      <c r="E972" s="45"/>
      <c r="F972" s="30"/>
      <c r="G972" s="30"/>
      <c r="H972" s="32"/>
      <c r="I972" s="32"/>
      <c r="J972" s="32"/>
      <c r="K972" s="32"/>
      <c r="L972" s="32"/>
      <c r="M972" s="34"/>
      <c r="N972" s="34"/>
      <c r="O972" s="34"/>
    </row>
    <row r="973">
      <c r="A973" s="45"/>
      <c r="B973" s="45"/>
      <c r="C973" s="45"/>
      <c r="D973" s="45"/>
      <c r="E973" s="45"/>
      <c r="F973" s="30"/>
      <c r="G973" s="30"/>
      <c r="H973" s="32"/>
      <c r="I973" s="32"/>
      <c r="J973" s="32"/>
      <c r="K973" s="32"/>
      <c r="L973" s="32"/>
      <c r="M973" s="34"/>
      <c r="N973" s="34"/>
      <c r="O973" s="34"/>
    </row>
    <row r="974">
      <c r="A974" s="45"/>
      <c r="B974" s="45"/>
      <c r="C974" s="45"/>
      <c r="D974" s="45"/>
      <c r="E974" s="45"/>
      <c r="F974" s="30"/>
      <c r="G974" s="30"/>
      <c r="H974" s="32"/>
      <c r="I974" s="32"/>
      <c r="J974" s="32"/>
      <c r="K974" s="32"/>
      <c r="L974" s="32"/>
      <c r="M974" s="34"/>
      <c r="N974" s="34"/>
      <c r="O974" s="34"/>
    </row>
    <row r="975">
      <c r="A975" s="45"/>
      <c r="B975" s="45"/>
      <c r="C975" s="45"/>
      <c r="D975" s="45"/>
      <c r="E975" s="45"/>
      <c r="F975" s="30"/>
      <c r="G975" s="30"/>
      <c r="H975" s="32"/>
      <c r="I975" s="32"/>
      <c r="J975" s="32"/>
      <c r="K975" s="32"/>
      <c r="L975" s="32"/>
      <c r="M975" s="34"/>
      <c r="N975" s="34"/>
      <c r="O975" s="34"/>
    </row>
    <row r="976">
      <c r="A976" s="45"/>
      <c r="B976" s="45"/>
      <c r="C976" s="45"/>
      <c r="D976" s="45"/>
      <c r="E976" s="45"/>
      <c r="F976" s="30"/>
      <c r="G976" s="30"/>
      <c r="H976" s="32"/>
      <c r="I976" s="32"/>
      <c r="J976" s="32"/>
      <c r="K976" s="32"/>
      <c r="L976" s="32"/>
      <c r="M976" s="34"/>
      <c r="N976" s="34"/>
      <c r="O976" s="34"/>
    </row>
    <row r="977">
      <c r="A977" s="45"/>
      <c r="B977" s="45"/>
      <c r="C977" s="45"/>
      <c r="D977" s="45"/>
      <c r="E977" s="45"/>
      <c r="F977" s="30"/>
      <c r="G977" s="30"/>
      <c r="H977" s="32"/>
      <c r="I977" s="32"/>
      <c r="J977" s="32"/>
      <c r="K977" s="32"/>
      <c r="L977" s="32"/>
      <c r="M977" s="34"/>
      <c r="N977" s="34"/>
      <c r="O977" s="34"/>
    </row>
    <row r="978">
      <c r="A978" s="45"/>
      <c r="B978" s="45"/>
      <c r="C978" s="45"/>
      <c r="D978" s="45"/>
      <c r="E978" s="45"/>
      <c r="F978" s="30"/>
      <c r="G978" s="30"/>
      <c r="H978" s="32"/>
      <c r="I978" s="32"/>
      <c r="J978" s="32"/>
      <c r="K978" s="32"/>
      <c r="L978" s="32"/>
      <c r="M978" s="34"/>
      <c r="N978" s="34"/>
      <c r="O978" s="34"/>
    </row>
    <row r="979">
      <c r="A979" s="45"/>
      <c r="B979" s="45"/>
      <c r="C979" s="45"/>
      <c r="D979" s="45"/>
      <c r="E979" s="45"/>
      <c r="F979" s="30"/>
      <c r="G979" s="30"/>
      <c r="H979" s="32"/>
      <c r="I979" s="32"/>
      <c r="J979" s="32"/>
      <c r="K979" s="32"/>
      <c r="L979" s="32"/>
      <c r="M979" s="34"/>
      <c r="N979" s="34"/>
      <c r="O979" s="34"/>
    </row>
    <row r="980">
      <c r="A980" s="45"/>
      <c r="B980" s="45"/>
      <c r="C980" s="45"/>
      <c r="D980" s="45"/>
      <c r="E980" s="45"/>
      <c r="F980" s="30"/>
      <c r="G980" s="30"/>
      <c r="H980" s="32"/>
      <c r="I980" s="32"/>
      <c r="J980" s="32"/>
      <c r="K980" s="32"/>
      <c r="L980" s="32"/>
      <c r="M980" s="34"/>
      <c r="N980" s="34"/>
      <c r="O980" s="34"/>
    </row>
    <row r="981">
      <c r="A981" s="45"/>
      <c r="B981" s="45"/>
      <c r="C981" s="45"/>
      <c r="D981" s="45"/>
      <c r="E981" s="45"/>
      <c r="F981" s="30"/>
      <c r="G981" s="30"/>
      <c r="H981" s="32"/>
      <c r="I981" s="32"/>
      <c r="J981" s="32"/>
      <c r="K981" s="32"/>
      <c r="L981" s="32"/>
      <c r="M981" s="34"/>
      <c r="N981" s="34"/>
      <c r="O981" s="34"/>
    </row>
    <row r="982">
      <c r="A982" s="45"/>
      <c r="B982" s="45"/>
      <c r="C982" s="45"/>
      <c r="D982" s="45"/>
      <c r="E982" s="45"/>
      <c r="F982" s="30"/>
      <c r="G982" s="30"/>
      <c r="H982" s="32"/>
      <c r="I982" s="32"/>
      <c r="J982" s="32"/>
      <c r="K982" s="32"/>
      <c r="L982" s="32"/>
      <c r="M982" s="34"/>
      <c r="N982" s="34"/>
      <c r="O982" s="34"/>
    </row>
    <row r="983">
      <c r="A983" s="45"/>
      <c r="B983" s="45"/>
      <c r="C983" s="45"/>
      <c r="D983" s="45"/>
      <c r="E983" s="45"/>
      <c r="F983" s="30"/>
      <c r="G983" s="30"/>
      <c r="H983" s="32"/>
      <c r="I983" s="32"/>
      <c r="J983" s="32"/>
      <c r="K983" s="32"/>
      <c r="L983" s="32"/>
      <c r="M983" s="34"/>
      <c r="N983" s="34"/>
      <c r="O983" s="34"/>
    </row>
    <row r="984">
      <c r="A984" s="45"/>
      <c r="B984" s="45"/>
      <c r="C984" s="45"/>
      <c r="D984" s="45"/>
      <c r="E984" s="45"/>
      <c r="F984" s="30"/>
      <c r="G984" s="30"/>
      <c r="H984" s="32"/>
      <c r="I984" s="32"/>
      <c r="J984" s="32"/>
      <c r="K984" s="32"/>
      <c r="L984" s="32"/>
      <c r="M984" s="34"/>
      <c r="N984" s="34"/>
      <c r="O984" s="34"/>
    </row>
    <row r="985">
      <c r="A985" s="45"/>
      <c r="B985" s="45"/>
      <c r="C985" s="45"/>
      <c r="D985" s="45"/>
      <c r="E985" s="45"/>
      <c r="F985" s="30"/>
      <c r="G985" s="30"/>
      <c r="H985" s="32"/>
      <c r="I985" s="32"/>
      <c r="J985" s="32"/>
      <c r="K985" s="32"/>
      <c r="L985" s="32"/>
      <c r="M985" s="34"/>
      <c r="N985" s="34"/>
      <c r="O985" s="34"/>
    </row>
    <row r="986">
      <c r="A986" s="45"/>
      <c r="B986" s="45"/>
      <c r="C986" s="45"/>
      <c r="D986" s="45"/>
      <c r="E986" s="45"/>
      <c r="F986" s="30"/>
      <c r="G986" s="30"/>
      <c r="H986" s="32"/>
      <c r="I986" s="32"/>
      <c r="J986" s="32"/>
      <c r="K986" s="32"/>
      <c r="L986" s="32"/>
      <c r="M986" s="34"/>
      <c r="N986" s="34"/>
      <c r="O986" s="34"/>
    </row>
    <row r="987">
      <c r="A987" s="45"/>
      <c r="B987" s="45"/>
      <c r="C987" s="45"/>
      <c r="D987" s="45"/>
      <c r="E987" s="45"/>
      <c r="F987" s="30"/>
      <c r="G987" s="30"/>
      <c r="H987" s="32"/>
      <c r="I987" s="32"/>
      <c r="J987" s="32"/>
      <c r="K987" s="32"/>
      <c r="L987" s="32"/>
      <c r="M987" s="34"/>
      <c r="N987" s="34"/>
      <c r="O987" s="34"/>
    </row>
    <row r="988">
      <c r="A988" s="45"/>
      <c r="B988" s="45"/>
      <c r="C988" s="45"/>
      <c r="D988" s="45"/>
      <c r="E988" s="45"/>
      <c r="F988" s="30"/>
      <c r="G988" s="30"/>
      <c r="H988" s="32"/>
      <c r="I988" s="32"/>
      <c r="J988" s="32"/>
      <c r="K988" s="32"/>
      <c r="L988" s="32"/>
      <c r="M988" s="34"/>
      <c r="N988" s="34"/>
      <c r="O988" s="34"/>
    </row>
    <row r="989">
      <c r="A989" s="45"/>
      <c r="B989" s="45"/>
      <c r="C989" s="45"/>
      <c r="D989" s="45"/>
      <c r="E989" s="45"/>
      <c r="F989" s="30"/>
      <c r="G989" s="30"/>
      <c r="H989" s="32"/>
      <c r="I989" s="32"/>
      <c r="J989" s="32"/>
      <c r="K989" s="32"/>
      <c r="L989" s="32"/>
      <c r="M989" s="34"/>
      <c r="N989" s="34"/>
      <c r="O989" s="34"/>
    </row>
    <row r="990">
      <c r="A990" s="45"/>
      <c r="B990" s="45"/>
      <c r="C990" s="45"/>
      <c r="D990" s="45"/>
      <c r="E990" s="45"/>
      <c r="F990" s="30"/>
      <c r="G990" s="30"/>
      <c r="H990" s="32"/>
      <c r="I990" s="32"/>
      <c r="J990" s="32"/>
      <c r="K990" s="32"/>
      <c r="L990" s="32"/>
      <c r="M990" s="34"/>
      <c r="N990" s="34"/>
      <c r="O990" s="34"/>
    </row>
    <row r="991">
      <c r="A991" s="45"/>
      <c r="B991" s="45"/>
      <c r="C991" s="45"/>
      <c r="D991" s="45"/>
      <c r="E991" s="45"/>
      <c r="F991" s="30"/>
      <c r="G991" s="30"/>
      <c r="H991" s="32"/>
      <c r="I991" s="32"/>
      <c r="J991" s="32"/>
      <c r="K991" s="32"/>
      <c r="L991" s="32"/>
      <c r="M991" s="34"/>
      <c r="N991" s="34"/>
      <c r="O991" s="34"/>
    </row>
    <row r="992">
      <c r="A992" s="45"/>
      <c r="B992" s="45"/>
      <c r="C992" s="45"/>
      <c r="D992" s="45"/>
      <c r="E992" s="45"/>
      <c r="F992" s="30"/>
      <c r="G992" s="30"/>
      <c r="H992" s="32"/>
      <c r="I992" s="32"/>
      <c r="J992" s="32"/>
      <c r="K992" s="32"/>
      <c r="L992" s="32"/>
      <c r="M992" s="34"/>
      <c r="N992" s="34"/>
      <c r="O992" s="34"/>
    </row>
    <row r="993">
      <c r="A993" s="45"/>
      <c r="B993" s="45"/>
      <c r="C993" s="45"/>
      <c r="D993" s="45"/>
      <c r="E993" s="45"/>
      <c r="F993" s="30"/>
      <c r="G993" s="30"/>
      <c r="H993" s="32"/>
      <c r="I993" s="32"/>
      <c r="J993" s="32"/>
      <c r="K993" s="32"/>
      <c r="L993" s="32"/>
      <c r="M993" s="34"/>
      <c r="N993" s="34"/>
      <c r="O993" s="34"/>
    </row>
    <row r="994">
      <c r="A994" s="45"/>
      <c r="B994" s="45"/>
      <c r="C994" s="45"/>
      <c r="D994" s="45"/>
      <c r="E994" s="45"/>
      <c r="F994" s="30"/>
      <c r="G994" s="30"/>
      <c r="H994" s="32"/>
      <c r="I994" s="32"/>
      <c r="J994" s="32"/>
      <c r="K994" s="32"/>
      <c r="L994" s="32"/>
      <c r="M994" s="34"/>
      <c r="N994" s="34"/>
      <c r="O994" s="34"/>
    </row>
    <row r="995">
      <c r="A995" s="45"/>
      <c r="B995" s="45"/>
      <c r="C995" s="45"/>
      <c r="D995" s="45"/>
      <c r="E995" s="45"/>
      <c r="F995" s="30"/>
      <c r="G995" s="30"/>
      <c r="H995" s="32"/>
      <c r="I995" s="32"/>
      <c r="J995" s="32"/>
      <c r="K995" s="32"/>
      <c r="L995" s="32"/>
      <c r="M995" s="34"/>
      <c r="N995" s="34"/>
      <c r="O995" s="34"/>
    </row>
    <row r="996">
      <c r="A996" s="45"/>
      <c r="B996" s="45"/>
      <c r="C996" s="45"/>
      <c r="D996" s="45"/>
      <c r="E996" s="45"/>
      <c r="F996" s="30"/>
      <c r="G996" s="30"/>
      <c r="H996" s="32"/>
      <c r="I996" s="32"/>
      <c r="J996" s="32"/>
      <c r="K996" s="32"/>
      <c r="L996" s="32"/>
      <c r="M996" s="34"/>
      <c r="N996" s="34"/>
      <c r="O996" s="34"/>
    </row>
    <row r="997">
      <c r="A997" s="45"/>
      <c r="B997" s="45"/>
      <c r="C997" s="45"/>
      <c r="D997" s="45"/>
      <c r="E997" s="45"/>
      <c r="F997" s="30"/>
      <c r="G997" s="30"/>
      <c r="H997" s="32"/>
      <c r="I997" s="32"/>
      <c r="J997" s="32"/>
      <c r="K997" s="32"/>
      <c r="L997" s="32"/>
      <c r="M997" s="34"/>
      <c r="N997" s="34"/>
      <c r="O997" s="34"/>
    </row>
    <row r="998">
      <c r="A998" s="45"/>
      <c r="B998" s="45"/>
      <c r="C998" s="45"/>
      <c r="D998" s="45"/>
      <c r="E998" s="45"/>
      <c r="F998" s="30"/>
      <c r="G998" s="30"/>
      <c r="H998" s="32"/>
      <c r="I998" s="32"/>
      <c r="J998" s="32"/>
      <c r="K998" s="32"/>
      <c r="L998" s="32"/>
      <c r="M998" s="34"/>
      <c r="N998" s="34"/>
      <c r="O998" s="34"/>
    </row>
    <row r="999">
      <c r="A999" s="45"/>
      <c r="B999" s="45"/>
      <c r="C999" s="45"/>
      <c r="D999" s="45"/>
      <c r="E999" s="45"/>
      <c r="F999" s="30"/>
      <c r="G999" s="30"/>
      <c r="H999" s="32"/>
      <c r="I999" s="32"/>
      <c r="J999" s="32"/>
      <c r="K999" s="32"/>
      <c r="L999" s="32"/>
      <c r="M999" s="34"/>
      <c r="N999" s="34"/>
      <c r="O999" s="34"/>
    </row>
  </sheetData>
  <mergeCells count="4">
    <mergeCell ref="C1:E1"/>
    <mergeCell ref="F1:G1"/>
    <mergeCell ref="H1:J1"/>
    <mergeCell ref="K1:O1"/>
  </mergeCells>
  <conditionalFormatting sqref="G3:G999">
    <cfRule type="expression" dxfId="0" priority="1">
      <formula>$G3&lt;1</formula>
    </cfRule>
  </conditionalFormatting>
  <conditionalFormatting sqref="D3:E36">
    <cfRule type="expression" dxfId="1" priority="2">
      <formula> D:D - #REF! &gt; 2</formula>
    </cfRule>
  </conditionalFormatting>
  <conditionalFormatting sqref="C3:E36">
    <cfRule type="expression" dxfId="1" priority="3">
      <formula>" = D:D - C:C &gt; 1"</formula>
    </cfRule>
  </conditionalFormatting>
  <conditionalFormatting sqref="J3:J999 M3:O999">
    <cfRule type="expression" dxfId="0" priority="4">
      <formula>J3&lt;=-1</formula>
    </cfRule>
  </conditionalFormatting>
  <conditionalFormatting sqref="F3:F999">
    <cfRule type="expression" dxfId="0" priority="5">
      <formula>$F3&lt;1</formula>
    </cfRule>
  </conditionalFormatting>
  <printOptions gridLines="1" horizontalCentered="1"/>
  <pageMargins bottom="0.75" footer="0.0" header="0.0" left="0.7" right="0.7" top="0.75"/>
  <pageSetup cellComments="atEnd" orientation="landscape" pageOrder="overThenDown"/>
  <headerFooter>
    <oddHeader>&amp;LCrow Canyon Archaeological Center&amp;C2019 Endowment End-of-Year Balances&amp;RFebruary 5, 2020</oddHead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3.0"/>
    <col customWidth="1" min="2" max="2" width="46.71"/>
  </cols>
  <sheetData>
    <row r="1">
      <c r="A1" s="46"/>
      <c r="B1" s="47"/>
      <c r="C1" s="48" t="str">
        <f>CONCATENATE(Parameters!$C$4 - 2," End of Year Values")</f>
        <v>2019 End of Year Values</v>
      </c>
      <c r="D1" s="15"/>
      <c r="E1" s="13"/>
      <c r="F1" s="49">
        <f>Parameters!$C$4</f>
        <v>2021</v>
      </c>
      <c r="G1" s="50" t="str">
        <f>CONCAT(Parameters!$C$4," Additional Distributions from New Contributions")</f>
        <v>2021 Additional Distributions from New Contributions</v>
      </c>
      <c r="H1" s="15"/>
      <c r="I1" s="15"/>
      <c r="J1" s="15"/>
      <c r="K1" s="13"/>
      <c r="L1" s="51">
        <f>Parameters!$C$4</f>
        <v>2021</v>
      </c>
      <c r="M1" s="52">
        <f>Parameters!$C$4</f>
        <v>2021</v>
      </c>
    </row>
    <row r="2">
      <c r="A2" s="53" t="s">
        <v>11</v>
      </c>
      <c r="B2" s="54" t="s">
        <v>10</v>
      </c>
      <c r="C2" s="55" t="s">
        <v>60</v>
      </c>
      <c r="D2" s="55" t="s">
        <v>61</v>
      </c>
      <c r="E2" s="56" t="s">
        <v>62</v>
      </c>
      <c r="F2" s="56" t="s">
        <v>63</v>
      </c>
      <c r="G2" s="55" t="s">
        <v>64</v>
      </c>
      <c r="H2" s="55" t="s">
        <v>65</v>
      </c>
      <c r="I2" s="55" t="s">
        <v>66</v>
      </c>
      <c r="J2" s="55" t="s">
        <v>67</v>
      </c>
      <c r="K2" s="56" t="s">
        <v>68</v>
      </c>
      <c r="L2" s="57" t="s">
        <v>69</v>
      </c>
      <c r="M2" s="58" t="s">
        <v>70</v>
      </c>
    </row>
    <row r="3">
      <c r="A3" s="27" t="str">
        <f>IFERROR(__xludf.DUMMYFUNCTION("FILTER('Endowed Funds'!$B:$B,'Endowed Funds'!$A:$A = $B3)")," Archaeology ")</f>
        <v>Archaeology</v>
      </c>
      <c r="B3" s="59" t="s">
        <v>26</v>
      </c>
      <c r="C3" s="60">
        <v>353169.08999999997</v>
      </c>
      <c r="D3" s="60">
        <v>317377.01</v>
      </c>
      <c r="E3" s="61">
        <v>392089.68605208903</v>
      </c>
      <c r="F3" s="61">
        <v>16476.94859183855</v>
      </c>
      <c r="G3" s="60">
        <v>0.0</v>
      </c>
      <c r="H3" s="60">
        <v>0.0</v>
      </c>
      <c r="I3" s="60">
        <v>0.0</v>
      </c>
      <c r="J3" s="60">
        <v>0.0</v>
      </c>
      <c r="K3" s="61">
        <v>4.5000000000982253E-4</v>
      </c>
      <c r="L3" s="61">
        <v>0.0</v>
      </c>
      <c r="M3" s="62">
        <f t="shared" ref="M3:M37" si="1">sum(F3:L3)</f>
        <v>16476.94904</v>
      </c>
    </row>
    <row r="4">
      <c r="A4" s="27" t="str">
        <f>IFERROR(__xludf.DUMMYFUNCTION("FILTER('Endowed Funds'!$B:$B,'Endowed Funds'!$A:$A = $B4)")," Archaeology ")</f>
        <v>Archaeology</v>
      </c>
      <c r="B4" s="59" t="s">
        <v>27</v>
      </c>
      <c r="C4" s="60">
        <v>303653.20000000007</v>
      </c>
      <c r="D4" s="60">
        <v>276213.69999999995</v>
      </c>
      <c r="E4" s="61">
        <v>400423.494111175</v>
      </c>
      <c r="F4" s="61">
        <v>13905.920375793188</v>
      </c>
      <c r="G4" s="60">
        <v>0.0</v>
      </c>
      <c r="H4" s="60">
        <v>0.0</v>
      </c>
      <c r="I4" s="60">
        <v>0.0</v>
      </c>
      <c r="J4" s="60">
        <v>0.0</v>
      </c>
      <c r="K4" s="61">
        <v>0.0</v>
      </c>
      <c r="L4" s="61">
        <v>0.0</v>
      </c>
      <c r="M4" s="62">
        <f t="shared" si="1"/>
        <v>13905.92038</v>
      </c>
    </row>
    <row r="5">
      <c r="A5" s="27" t="str">
        <f>IFERROR(__xludf.DUMMYFUNCTION("FILTER('Endowed Funds'!$B:$B,'Endowed Funds'!$A:$A = $B5)")," Archaeology ")</f>
        <v>Archaeology</v>
      </c>
      <c r="B5" s="59" t="s">
        <v>28</v>
      </c>
      <c r="C5" s="60">
        <v>3253819.01</v>
      </c>
      <c r="D5" s="60">
        <v>2960091.25</v>
      </c>
      <c r="E5" s="61">
        <v>3910070.896814824</v>
      </c>
      <c r="F5" s="61">
        <v>149090.4122514638</v>
      </c>
      <c r="G5" s="60">
        <v>0.0</v>
      </c>
      <c r="H5" s="60">
        <v>0.0</v>
      </c>
      <c r="I5" s="60">
        <v>0.0</v>
      </c>
      <c r="J5" s="60">
        <v>0.0</v>
      </c>
      <c r="K5" s="61">
        <v>0.0</v>
      </c>
      <c r="L5" s="61">
        <v>0.0</v>
      </c>
      <c r="M5" s="62">
        <f t="shared" si="1"/>
        <v>149090.4123</v>
      </c>
    </row>
    <row r="6">
      <c r="A6" s="27" t="str">
        <f>IFERROR(__xludf.DUMMYFUNCTION("FILTER('Endowed Funds'!$B:$B,'Endowed Funds'!$A:$A = $B6)")," General Operations ")</f>
        <v>General Operations</v>
      </c>
      <c r="B6" s="59" t="s">
        <v>46</v>
      </c>
      <c r="C6" s="60">
        <v>374710.08</v>
      </c>
      <c r="D6" s="60">
        <v>366400.0</v>
      </c>
      <c r="E6" s="61">
        <v>464818.8535689306</v>
      </c>
      <c r="F6" s="61">
        <v>17464.564863183197</v>
      </c>
      <c r="G6" s="60">
        <v>0.0</v>
      </c>
      <c r="H6" s="60">
        <v>0.0</v>
      </c>
      <c r="I6" s="60">
        <v>0.0</v>
      </c>
      <c r="J6" s="60">
        <v>0.0</v>
      </c>
      <c r="K6" s="61">
        <v>0.0</v>
      </c>
      <c r="L6" s="61">
        <v>0.0</v>
      </c>
      <c r="M6" s="62">
        <f t="shared" si="1"/>
        <v>17464.56486</v>
      </c>
    </row>
    <row r="7">
      <c r="A7" s="27" t="str">
        <f>IFERROR(__xludf.DUMMYFUNCTION("FILTER('Endowed Funds'!$B:$B,'Endowed Funds'!$A:$A = $B7)")," Education ")</f>
        <v>Education</v>
      </c>
      <c r="B7" s="59" t="s">
        <v>36</v>
      </c>
      <c r="C7" s="60">
        <v>441420.14999999997</v>
      </c>
      <c r="D7" s="60">
        <v>429067.24</v>
      </c>
      <c r="E7" s="61">
        <v>647000.6269761206</v>
      </c>
      <c r="F7" s="61">
        <v>20270.343323619032</v>
      </c>
      <c r="G7" s="60">
        <v>0.0</v>
      </c>
      <c r="H7" s="60">
        <v>0.0</v>
      </c>
      <c r="I7" s="60">
        <v>0.0</v>
      </c>
      <c r="J7" s="60">
        <v>0.0</v>
      </c>
      <c r="K7" s="61">
        <v>0.0</v>
      </c>
      <c r="L7" s="61">
        <v>0.0</v>
      </c>
      <c r="M7" s="62">
        <f t="shared" si="1"/>
        <v>20270.34332</v>
      </c>
    </row>
    <row r="8">
      <c r="A8" s="27" t="str">
        <f>IFERROR(__xludf.DUMMYFUNCTION("FILTER('Endowed Funds'!$B:$B,'Endowed Funds'!$A:$A = $B8)")," Education ")</f>
        <v>Education</v>
      </c>
      <c r="B8" s="59" t="s">
        <v>37</v>
      </c>
      <c r="C8" s="60">
        <v>810432.1499999999</v>
      </c>
      <c r="D8" s="60">
        <v>758137.86</v>
      </c>
      <c r="E8" s="61">
        <v>860942.6463539018</v>
      </c>
      <c r="F8" s="61">
        <v>37114.47092171118</v>
      </c>
      <c r="G8" s="60">
        <v>0.0</v>
      </c>
      <c r="H8" s="60">
        <v>0.0</v>
      </c>
      <c r="I8" s="60">
        <v>0.0</v>
      </c>
      <c r="J8" s="60">
        <v>0.0</v>
      </c>
      <c r="K8" s="61">
        <v>0.0</v>
      </c>
      <c r="L8" s="61">
        <v>0.0</v>
      </c>
      <c r="M8" s="62">
        <f t="shared" si="1"/>
        <v>37114.47092</v>
      </c>
    </row>
    <row r="9">
      <c r="A9" s="27" t="str">
        <f>IFERROR(__xludf.DUMMYFUNCTION("FILTER('Endowed Funds'!$B:$B,'Endowed Funds'!$A:$A = $B9)")," Archaeology ")</f>
        <v>Archaeology</v>
      </c>
      <c r="B9" s="59" t="s">
        <v>29</v>
      </c>
      <c r="C9" s="60">
        <v>60299.89999999992</v>
      </c>
      <c r="D9" s="60">
        <v>50000.0</v>
      </c>
      <c r="E9" s="61">
        <v>78452.06885671646</v>
      </c>
      <c r="F9" s="61">
        <v>2688.5170326741963</v>
      </c>
      <c r="G9" s="60">
        <v>0.0</v>
      </c>
      <c r="H9" s="60">
        <v>0.0</v>
      </c>
      <c r="I9" s="60">
        <v>0.0</v>
      </c>
      <c r="J9" s="60">
        <v>0.0</v>
      </c>
      <c r="K9" s="61">
        <v>0.0</v>
      </c>
      <c r="L9" s="61">
        <v>0.0</v>
      </c>
      <c r="M9" s="62">
        <f t="shared" si="1"/>
        <v>2688.517033</v>
      </c>
    </row>
    <row r="10">
      <c r="A10" s="27" t="str">
        <f>IFERROR(__xludf.DUMMYFUNCTION("FILTER('Endowed Funds'!$B:$B,'Endowed Funds'!$A:$A = $B10)")," Education ")</f>
        <v>Education</v>
      </c>
      <c r="B10" s="59" t="s">
        <v>38</v>
      </c>
      <c r="C10" s="60">
        <v>825507.3</v>
      </c>
      <c r="D10" s="60">
        <v>556601.64</v>
      </c>
      <c r="E10" s="61">
        <v>715243.4084152445</v>
      </c>
      <c r="F10" s="61">
        <v>34989.94732198534</v>
      </c>
      <c r="G10" s="60">
        <v>0.0</v>
      </c>
      <c r="H10" s="60">
        <v>0.0</v>
      </c>
      <c r="I10" s="60">
        <v>0.0</v>
      </c>
      <c r="J10" s="60">
        <v>0.0</v>
      </c>
      <c r="K10" s="61">
        <v>0.0</v>
      </c>
      <c r="L10" s="61">
        <v>0.0</v>
      </c>
      <c r="M10" s="62">
        <f t="shared" si="1"/>
        <v>34989.94732</v>
      </c>
    </row>
    <row r="11">
      <c r="A11" s="27" t="str">
        <f>IFERROR(__xludf.DUMMYFUNCTION("FILTER('Endowed Funds'!$B:$B,'Endowed Funds'!$A:$A = $B11)")," Archaeology ")</f>
        <v>Archaeology</v>
      </c>
      <c r="B11" s="59" t="s">
        <v>30</v>
      </c>
      <c r="C11" s="60">
        <v>18003.379999999986</v>
      </c>
      <c r="D11" s="60">
        <v>11540.75</v>
      </c>
      <c r="E11" s="61">
        <v>18819.481361148806</v>
      </c>
      <c r="F11" s="61">
        <v>802.7345230454453</v>
      </c>
      <c r="G11" s="60">
        <v>0.0</v>
      </c>
      <c r="H11" s="60">
        <v>0.0</v>
      </c>
      <c r="I11" s="60">
        <v>0.0</v>
      </c>
      <c r="J11" s="60">
        <v>0.0</v>
      </c>
      <c r="K11" s="61">
        <v>0.0</v>
      </c>
      <c r="L11" s="61">
        <v>0.0</v>
      </c>
      <c r="M11" s="62">
        <f t="shared" si="1"/>
        <v>802.734523</v>
      </c>
    </row>
    <row r="12">
      <c r="A12" s="27" t="str">
        <f>IFERROR(__xludf.DUMMYFUNCTION("FILTER('Endowed Funds'!$B:$B,'Endowed Funds'!$A:$A = $B12)")," General Operations ")</f>
        <v>General Operations</v>
      </c>
      <c r="B12" s="59" t="s">
        <v>47</v>
      </c>
      <c r="C12" s="60">
        <v>1492799.5199999998</v>
      </c>
      <c r="D12" s="60">
        <v>1456367.46</v>
      </c>
      <c r="E12" s="61">
        <v>2034942.932697068</v>
      </c>
      <c r="F12" s="61">
        <v>68302.23088873959</v>
      </c>
      <c r="G12" s="60">
        <v>0.0</v>
      </c>
      <c r="H12" s="60">
        <v>0.0</v>
      </c>
      <c r="I12" s="60">
        <v>0.0</v>
      </c>
      <c r="J12" s="60">
        <v>0.0</v>
      </c>
      <c r="K12" s="61">
        <v>0.0</v>
      </c>
      <c r="L12" s="61">
        <v>0.0</v>
      </c>
      <c r="M12" s="62">
        <f t="shared" si="1"/>
        <v>68302.23089</v>
      </c>
    </row>
    <row r="13">
      <c r="A13" s="27" t="str">
        <f>IFERROR(__xludf.DUMMYFUNCTION("FILTER('Endowed Funds'!$B:$B,'Endowed Funds'!$A:$A = $B13)")," Archaeology ")</f>
        <v>Archaeology</v>
      </c>
      <c r="B13" s="59" t="s">
        <v>31</v>
      </c>
      <c r="C13" s="60">
        <v>185593.59</v>
      </c>
      <c r="D13" s="60">
        <v>158200.0</v>
      </c>
      <c r="E13" s="61">
        <v>214470.08205080414</v>
      </c>
      <c r="F13" s="61">
        <v>8564.250267460306</v>
      </c>
      <c r="G13" s="60">
        <v>0.0</v>
      </c>
      <c r="H13" s="60">
        <v>0.0</v>
      </c>
      <c r="I13" s="60">
        <v>0.0</v>
      </c>
      <c r="J13" s="60">
        <v>0.0</v>
      </c>
      <c r="K13" s="61">
        <v>4.5</v>
      </c>
      <c r="L13" s="61">
        <v>0.0</v>
      </c>
      <c r="M13" s="62">
        <f t="shared" si="1"/>
        <v>8568.750267</v>
      </c>
    </row>
    <row r="14">
      <c r="A14" s="27" t="str">
        <f>IFERROR(__xludf.DUMMYFUNCTION("FILTER('Endowed Funds'!$B:$B,'Endowed Funds'!$A:$A = $B14)")," Education ")</f>
        <v>Education</v>
      </c>
      <c r="B14" s="59" t="s">
        <v>39</v>
      </c>
      <c r="C14" s="60">
        <v>207536.46000000002</v>
      </c>
      <c r="D14" s="60">
        <v>185000.0</v>
      </c>
      <c r="E14" s="61">
        <v>203233.30659465762</v>
      </c>
      <c r="F14" s="61">
        <v>8787.506040007305</v>
      </c>
      <c r="G14" s="60">
        <v>0.0</v>
      </c>
      <c r="H14" s="60">
        <v>0.0</v>
      </c>
      <c r="I14" s="60">
        <v>0.0</v>
      </c>
      <c r="J14" s="60">
        <v>0.0</v>
      </c>
      <c r="K14" s="61">
        <v>675.0</v>
      </c>
      <c r="L14" s="61">
        <v>0.0</v>
      </c>
      <c r="M14" s="62">
        <f t="shared" si="1"/>
        <v>9462.50604</v>
      </c>
    </row>
    <row r="15">
      <c r="A15" s="27" t="str">
        <f>IFERROR(__xludf.DUMMYFUNCTION("FILTER('Endowed Funds'!$B:$B,'Endowed Funds'!$A:$A = $B15)")," Research Institute ")</f>
        <v>Research Institute</v>
      </c>
      <c r="B15" s="59" t="s">
        <v>50</v>
      </c>
      <c r="C15" s="60">
        <v>211991.18000000002</v>
      </c>
      <c r="D15" s="60">
        <v>185189.56</v>
      </c>
      <c r="E15" s="61">
        <v>221607.38639381804</v>
      </c>
      <c r="F15" s="61">
        <v>9994.44075664488</v>
      </c>
      <c r="G15" s="60">
        <v>0.0</v>
      </c>
      <c r="H15" s="60">
        <v>0.0</v>
      </c>
      <c r="I15" s="60">
        <v>0.0</v>
      </c>
      <c r="J15" s="60">
        <v>0.0</v>
      </c>
      <c r="K15" s="61">
        <v>0.0</v>
      </c>
      <c r="L15" s="61">
        <v>0.0</v>
      </c>
      <c r="M15" s="62">
        <f t="shared" si="1"/>
        <v>9994.440757</v>
      </c>
    </row>
    <row r="16">
      <c r="A16" s="27" t="str">
        <f>IFERROR(__xludf.DUMMYFUNCTION("FILTER('Endowed Funds'!$B:$B,'Endowed Funds'!$A:$A = $B16)")," Archaeology ")</f>
        <v>Archaeology</v>
      </c>
      <c r="B16" s="59" t="s">
        <v>32</v>
      </c>
      <c r="C16" s="60">
        <v>53253.300000000025</v>
      </c>
      <c r="D16" s="60">
        <v>49449.04</v>
      </c>
      <c r="E16" s="61">
        <v>80613.71134755742</v>
      </c>
      <c r="F16" s="61">
        <v>2422.578681699746</v>
      </c>
      <c r="G16" s="60">
        <v>0.0</v>
      </c>
      <c r="H16" s="60">
        <v>0.0</v>
      </c>
      <c r="I16" s="60">
        <v>0.0</v>
      </c>
      <c r="J16" s="60">
        <v>0.0</v>
      </c>
      <c r="K16" s="61">
        <v>0.0</v>
      </c>
      <c r="L16" s="61">
        <v>0.0</v>
      </c>
      <c r="M16" s="62">
        <f t="shared" si="1"/>
        <v>2422.578682</v>
      </c>
    </row>
    <row r="17">
      <c r="A17" s="27" t="str">
        <f>IFERROR(__xludf.DUMMYFUNCTION("FILTER('Endowed Funds'!$B:$B,'Endowed Funds'!$A:$A = $B17)")," Education ")</f>
        <v>Education</v>
      </c>
      <c r="B17" s="59" t="s">
        <v>40</v>
      </c>
      <c r="C17" s="60">
        <v>153046.14999999994</v>
      </c>
      <c r="D17" s="60">
        <v>129703.74</v>
      </c>
      <c r="E17" s="61">
        <v>164286.60431689338</v>
      </c>
      <c r="F17" s="61">
        <v>6992.380793286215</v>
      </c>
      <c r="G17" s="60">
        <v>0.0</v>
      </c>
      <c r="H17" s="60">
        <v>0.0</v>
      </c>
      <c r="I17" s="60">
        <v>0.0</v>
      </c>
      <c r="J17" s="60">
        <v>0.0</v>
      </c>
      <c r="K17" s="61">
        <v>0.0</v>
      </c>
      <c r="L17" s="61">
        <v>0.0</v>
      </c>
      <c r="M17" s="62">
        <f t="shared" si="1"/>
        <v>6992.380793</v>
      </c>
    </row>
    <row r="18">
      <c r="A18" s="27" t="str">
        <f>IFERROR(__xludf.DUMMYFUNCTION("FILTER('Endowed Funds'!$B:$B,'Endowed Funds'!$A:$A = $B18)")," Research Institute ")</f>
        <v>Research Institute</v>
      </c>
      <c r="B18" s="59" t="s">
        <v>51</v>
      </c>
      <c r="C18" s="60">
        <v>481859.5200000001</v>
      </c>
      <c r="D18" s="60">
        <v>420073.55</v>
      </c>
      <c r="E18" s="61">
        <v>460355.0130109445</v>
      </c>
      <c r="F18" s="61">
        <v>21392.318242287336</v>
      </c>
      <c r="G18" s="60">
        <v>0.0</v>
      </c>
      <c r="H18" s="60">
        <v>0.0</v>
      </c>
      <c r="I18" s="60">
        <v>0.0</v>
      </c>
      <c r="J18" s="60">
        <v>0.0</v>
      </c>
      <c r="K18" s="61">
        <v>270.0</v>
      </c>
      <c r="L18" s="61">
        <v>0.0</v>
      </c>
      <c r="M18" s="62">
        <f t="shared" si="1"/>
        <v>21662.31824</v>
      </c>
    </row>
    <row r="19">
      <c r="A19" s="27" t="str">
        <f>IFERROR(__xludf.DUMMYFUNCTION("FILTER('Endowed Funds'!$B:$B,'Endowed Funds'!$A:$A = $B19)")," General Operations ")</f>
        <v>General Operations</v>
      </c>
      <c r="B19" s="59" t="s">
        <v>48</v>
      </c>
      <c r="C19" s="60">
        <v>1225948.5799999996</v>
      </c>
      <c r="D19" s="60">
        <v>1183929.39</v>
      </c>
      <c r="E19" s="61">
        <v>1930631.6390201042</v>
      </c>
      <c r="F19" s="61">
        <v>56212.94504051701</v>
      </c>
      <c r="G19" s="60">
        <v>0.0</v>
      </c>
      <c r="H19" s="60">
        <v>0.0</v>
      </c>
      <c r="I19" s="60">
        <v>0.0</v>
      </c>
      <c r="J19" s="60">
        <v>0.0</v>
      </c>
      <c r="K19" s="61">
        <v>0.0</v>
      </c>
      <c r="L19" s="61">
        <v>0.0</v>
      </c>
      <c r="M19" s="62">
        <f t="shared" si="1"/>
        <v>56212.94504</v>
      </c>
    </row>
    <row r="20">
      <c r="A20" s="27" t="str">
        <f>IFERROR(__xludf.DUMMYFUNCTION("FILTER('Endowed Funds'!$B:$B,'Endowed Funds'!$A:$A = $B20)")," General Operations ")</f>
        <v>General Operations</v>
      </c>
      <c r="B20" s="59" t="s">
        <v>49</v>
      </c>
      <c r="C20" s="60">
        <v>531502.6799999998</v>
      </c>
      <c r="D20" s="60">
        <v>500000.0</v>
      </c>
      <c r="E20" s="61">
        <v>714091.1961411247</v>
      </c>
      <c r="F20" s="61">
        <v>24522.19213004191</v>
      </c>
      <c r="G20" s="60">
        <v>0.0</v>
      </c>
      <c r="H20" s="60">
        <v>0.0</v>
      </c>
      <c r="I20" s="60">
        <v>0.0</v>
      </c>
      <c r="J20" s="60">
        <v>0.0</v>
      </c>
      <c r="K20" s="61">
        <v>0.0</v>
      </c>
      <c r="L20" s="61">
        <v>0.0</v>
      </c>
      <c r="M20" s="62">
        <f t="shared" si="1"/>
        <v>24522.19213</v>
      </c>
    </row>
    <row r="21">
      <c r="A21" s="27" t="str">
        <f>IFERROR(__xludf.DUMMYFUNCTION("FILTER('Endowed Funds'!$B:$B,'Endowed Funds'!$A:$A = $B21)")," Education ")</f>
        <v>Education</v>
      </c>
      <c r="B21" s="59" t="s">
        <v>41</v>
      </c>
      <c r="C21" s="60">
        <v>657323.7100000001</v>
      </c>
      <c r="D21" s="60">
        <v>433755.86</v>
      </c>
      <c r="E21" s="61">
        <v>598621.3567879978</v>
      </c>
      <c r="F21" s="61">
        <v>28427.54039706285</v>
      </c>
      <c r="G21" s="60">
        <v>0.0</v>
      </c>
      <c r="H21" s="60">
        <v>0.0</v>
      </c>
      <c r="I21" s="60">
        <v>0.0</v>
      </c>
      <c r="J21" s="60">
        <v>0.0</v>
      </c>
      <c r="K21" s="61">
        <v>0.0</v>
      </c>
      <c r="L21" s="61">
        <v>0.0</v>
      </c>
      <c r="M21" s="62">
        <f t="shared" si="1"/>
        <v>28427.5404</v>
      </c>
    </row>
    <row r="22">
      <c r="A22" s="27" t="str">
        <f>IFERROR(__xludf.DUMMYFUNCTION("FILTER('Endowed Funds'!$B:$B,'Endowed Funds'!$A:$A = $B22)")," American Indian Initiatives ")</f>
        <v>American Indian Initiatives</v>
      </c>
      <c r="B22" s="59" t="s">
        <v>25</v>
      </c>
      <c r="C22" s="60">
        <v>83147.07</v>
      </c>
      <c r="D22" s="60">
        <v>81000.0</v>
      </c>
      <c r="E22" s="61">
        <v>111153.32472709248</v>
      </c>
      <c r="F22" s="61">
        <v>4201.511087458376</v>
      </c>
      <c r="G22" s="60">
        <v>0.0</v>
      </c>
      <c r="H22" s="60">
        <v>0.0</v>
      </c>
      <c r="I22" s="60">
        <v>0.0</v>
      </c>
      <c r="J22" s="60">
        <v>0.0</v>
      </c>
      <c r="K22" s="61">
        <v>0.0</v>
      </c>
      <c r="L22" s="61">
        <v>0.0</v>
      </c>
      <c r="M22" s="62">
        <f t="shared" si="1"/>
        <v>4201.511087</v>
      </c>
    </row>
    <row r="23">
      <c r="A23" s="27" t="str">
        <f>IFERROR(__xludf.DUMMYFUNCTION("FILTER('Endowed Funds'!$B:$B,'Endowed Funds'!$A:$A = $B23)")," Education ")</f>
        <v>Education</v>
      </c>
      <c r="B23" s="59" t="s">
        <v>42</v>
      </c>
      <c r="C23" s="60">
        <v>306283.2100000001</v>
      </c>
      <c r="D23" s="60">
        <v>194469.0</v>
      </c>
      <c r="E23" s="61">
        <v>244537.49276150935</v>
      </c>
      <c r="F23" s="61">
        <v>12661.872077649059</v>
      </c>
      <c r="G23" s="60">
        <v>0.0</v>
      </c>
      <c r="H23" s="60">
        <v>0.0</v>
      </c>
      <c r="I23" s="60">
        <v>0.0</v>
      </c>
      <c r="J23" s="60">
        <v>0.0</v>
      </c>
      <c r="K23" s="61">
        <v>0.0</v>
      </c>
      <c r="L23" s="61">
        <v>0.0</v>
      </c>
      <c r="M23" s="62">
        <f t="shared" si="1"/>
        <v>12661.87208</v>
      </c>
    </row>
    <row r="24">
      <c r="A24" s="27" t="str">
        <f>IFERROR(__xludf.DUMMYFUNCTION("FILTER('Endowed Funds'!$B:$B,'Endowed Funds'!$A:$A = $B24)")," Education ")</f>
        <v>Education</v>
      </c>
      <c r="B24" s="59" t="s">
        <v>43</v>
      </c>
      <c r="C24" s="60">
        <v>123702.02000000002</v>
      </c>
      <c r="D24" s="60">
        <v>100000.0</v>
      </c>
      <c r="E24" s="61">
        <v>133065.1140548745</v>
      </c>
      <c r="F24" s="61">
        <v>5660.766790047109</v>
      </c>
      <c r="G24" s="60">
        <v>0.0</v>
      </c>
      <c r="H24" s="60">
        <v>0.0</v>
      </c>
      <c r="I24" s="60">
        <v>0.0</v>
      </c>
      <c r="J24" s="60">
        <v>0.0</v>
      </c>
      <c r="K24" s="61">
        <v>0.0</v>
      </c>
      <c r="L24" s="61">
        <v>0.0</v>
      </c>
      <c r="M24" s="62">
        <f t="shared" si="1"/>
        <v>5660.76679</v>
      </c>
    </row>
    <row r="25">
      <c r="A25" s="27" t="str">
        <f>IFERROR(__xludf.DUMMYFUNCTION("FILTER('Endowed Funds'!$B:$B,'Endowed Funds'!$A:$A = $B25)")," Research Institute ")</f>
        <v>Research Institute</v>
      </c>
      <c r="B25" s="59" t="s">
        <v>52</v>
      </c>
      <c r="C25" s="60">
        <v>1228794.65</v>
      </c>
      <c r="D25" s="60">
        <v>1081136.0</v>
      </c>
      <c r="E25" s="61">
        <v>1170797.014560112</v>
      </c>
      <c r="F25" s="61">
        <v>54133.807371432624</v>
      </c>
      <c r="G25" s="60">
        <v>0.0</v>
      </c>
      <c r="H25" s="60">
        <v>0.0</v>
      </c>
      <c r="I25" s="60">
        <v>0.0</v>
      </c>
      <c r="J25" s="60">
        <v>0.0</v>
      </c>
      <c r="K25" s="61">
        <v>0.0</v>
      </c>
      <c r="L25" s="61">
        <v>0.0</v>
      </c>
      <c r="M25" s="62">
        <f t="shared" si="1"/>
        <v>54133.80737</v>
      </c>
    </row>
    <row r="26">
      <c r="A26" s="27" t="str">
        <f>IFERROR(__xludf.DUMMYFUNCTION("FILTER('Endowed Funds'!$B:$B,'Endowed Funds'!$A:$A = $B26)")," Archaeology ")</f>
        <v>Archaeology</v>
      </c>
      <c r="B26" s="59" t="s">
        <v>33</v>
      </c>
      <c r="C26" s="60">
        <v>351365.58999999985</v>
      </c>
      <c r="D26" s="60">
        <v>325871.6399999999</v>
      </c>
      <c r="E26" s="61">
        <v>522221.9976208837</v>
      </c>
      <c r="F26" s="61">
        <v>16088.908221687336</v>
      </c>
      <c r="G26" s="60">
        <v>0.0</v>
      </c>
      <c r="H26" s="60">
        <v>0.0</v>
      </c>
      <c r="I26" s="60">
        <v>0.0</v>
      </c>
      <c r="J26" s="60">
        <v>0.0</v>
      </c>
      <c r="K26" s="61">
        <v>0.0</v>
      </c>
      <c r="L26" s="61">
        <v>0.0</v>
      </c>
      <c r="M26" s="62">
        <f t="shared" si="1"/>
        <v>16088.90822</v>
      </c>
    </row>
    <row r="27">
      <c r="A27" s="27" t="str">
        <f>IFERROR(__xludf.DUMMYFUNCTION("FILTER('Endowed Funds'!$B:$B,'Endowed Funds'!$A:$A = $B27)")," Research Institute ")</f>
        <v>Research Institute</v>
      </c>
      <c r="B27" s="59" t="s">
        <v>53</v>
      </c>
      <c r="C27" s="60">
        <v>2249166.0</v>
      </c>
      <c r="D27" s="60">
        <v>2005500.0</v>
      </c>
      <c r="E27" s="61">
        <v>2265063.703197857</v>
      </c>
      <c r="F27" s="61">
        <v>101458.62291343878</v>
      </c>
      <c r="G27" s="60">
        <v>0.0</v>
      </c>
      <c r="H27" s="60">
        <v>0.0</v>
      </c>
      <c r="I27" s="60">
        <v>0.0</v>
      </c>
      <c r="J27" s="60">
        <v>0.0</v>
      </c>
      <c r="K27" s="61">
        <v>0.0</v>
      </c>
      <c r="L27" s="61">
        <v>0.0</v>
      </c>
      <c r="M27" s="62">
        <f t="shared" si="1"/>
        <v>101458.6229</v>
      </c>
    </row>
    <row r="28">
      <c r="A28" s="27" t="str">
        <f>IFERROR(__xludf.DUMMYFUNCTION("FILTER('Endowed Funds'!$B:$B,'Endowed Funds'!$A:$A = $B28)")," Archaeology ")</f>
        <v>Archaeology</v>
      </c>
      <c r="B28" s="59" t="s">
        <v>34</v>
      </c>
      <c r="C28" s="60">
        <v>147727.64999999997</v>
      </c>
      <c r="D28" s="60">
        <v>125000.0</v>
      </c>
      <c r="E28" s="61">
        <v>137779.57632148077</v>
      </c>
      <c r="F28" s="61">
        <v>6622.801210004012</v>
      </c>
      <c r="G28" s="60">
        <v>0.0</v>
      </c>
      <c r="H28" s="60">
        <v>0.0</v>
      </c>
      <c r="I28" s="60">
        <v>0.0</v>
      </c>
      <c r="J28" s="60">
        <v>0.0</v>
      </c>
      <c r="K28" s="61">
        <v>0.0</v>
      </c>
      <c r="L28" s="61">
        <v>0.0</v>
      </c>
      <c r="M28" s="62">
        <f t="shared" si="1"/>
        <v>6622.80121</v>
      </c>
    </row>
    <row r="29">
      <c r="A29" s="27" t="str">
        <f>IFERROR(__xludf.DUMMYFUNCTION("FILTER('Endowed Funds'!$B:$B,'Endowed Funds'!$A:$A = $B29)")," Research Institute ")</f>
        <v>Research Institute</v>
      </c>
      <c r="B29" s="59" t="s">
        <v>54</v>
      </c>
      <c r="C29" s="60">
        <v>174666.14999999997</v>
      </c>
      <c r="D29" s="60">
        <v>112975.14999999998</v>
      </c>
      <c r="E29" s="61">
        <v>158496.87020253285</v>
      </c>
      <c r="F29" s="61">
        <v>7756.824163219251</v>
      </c>
      <c r="G29" s="60">
        <v>0.55125</v>
      </c>
      <c r="H29" s="60">
        <v>0.55125</v>
      </c>
      <c r="I29" s="60">
        <v>0.55125</v>
      </c>
      <c r="J29" s="60">
        <v>0.55125</v>
      </c>
      <c r="K29" s="61">
        <v>29.6118</v>
      </c>
      <c r="L29" s="61">
        <v>0.0</v>
      </c>
      <c r="M29" s="62">
        <f t="shared" si="1"/>
        <v>7788.640963</v>
      </c>
    </row>
    <row r="30">
      <c r="A30" s="27" t="str">
        <f>IFERROR(__xludf.DUMMYFUNCTION("FILTER('Endowed Funds'!$B:$B,'Endowed Funds'!$A:$A = $B30)")," Research Institute ")</f>
        <v>Research Institute</v>
      </c>
      <c r="B30" s="59" t="s">
        <v>55</v>
      </c>
      <c r="C30" s="60">
        <v>370522.35</v>
      </c>
      <c r="D30" s="60">
        <v>350000.0</v>
      </c>
      <c r="E30" s="61">
        <v>364349.16942895297</v>
      </c>
      <c r="F30" s="61">
        <v>14522.650996257551</v>
      </c>
      <c r="G30" s="60">
        <v>0.0</v>
      </c>
      <c r="H30" s="60">
        <v>0.0</v>
      </c>
      <c r="I30" s="60">
        <v>0.0</v>
      </c>
      <c r="J30" s="60">
        <v>0.0</v>
      </c>
      <c r="K30" s="61">
        <v>3150.0</v>
      </c>
      <c r="L30" s="61">
        <v>0.0</v>
      </c>
      <c r="M30" s="62">
        <f t="shared" si="1"/>
        <v>17672.651</v>
      </c>
    </row>
    <row r="31">
      <c r="A31" s="27" t="str">
        <f>IFERROR(__xludf.DUMMYFUNCTION("FILTER('Endowed Funds'!$B:$B,'Endowed Funds'!$A:$A = $B31)")," Education ")</f>
        <v>Education</v>
      </c>
      <c r="B31" s="59" t="s">
        <v>44</v>
      </c>
      <c r="C31" s="60">
        <v>281119.88000000006</v>
      </c>
      <c r="D31" s="60">
        <v>250000.0</v>
      </c>
      <c r="E31" s="61">
        <v>327413.18670304137</v>
      </c>
      <c r="F31" s="61">
        <v>12897.733104895111</v>
      </c>
      <c r="G31" s="60">
        <v>0.0</v>
      </c>
      <c r="H31" s="60">
        <v>0.0</v>
      </c>
      <c r="I31" s="60">
        <v>0.0</v>
      </c>
      <c r="J31" s="60">
        <v>0.0</v>
      </c>
      <c r="K31" s="61">
        <v>0.0</v>
      </c>
      <c r="L31" s="61">
        <v>0.0</v>
      </c>
      <c r="M31" s="62">
        <f t="shared" si="1"/>
        <v>12897.7331</v>
      </c>
    </row>
    <row r="32">
      <c r="A32" s="27" t="str">
        <f>IFERROR(__xludf.DUMMYFUNCTION("FILTER('Endowed Funds'!$B:$B,'Endowed Funds'!$A:$A = $B32)")," Education ")</f>
        <v>Education</v>
      </c>
      <c r="B32" s="59" t="s">
        <v>45</v>
      </c>
      <c r="C32" s="60">
        <v>149514.36999999997</v>
      </c>
      <c r="D32" s="60">
        <v>100000.0</v>
      </c>
      <c r="E32" s="61">
        <v>123438.84416818296</v>
      </c>
      <c r="F32" s="61">
        <v>6261.4519530258185</v>
      </c>
      <c r="G32" s="60">
        <v>0.0</v>
      </c>
      <c r="H32" s="60">
        <v>0.0</v>
      </c>
      <c r="I32" s="60">
        <v>0.0</v>
      </c>
      <c r="J32" s="60">
        <v>0.0</v>
      </c>
      <c r="K32" s="61">
        <v>0.0</v>
      </c>
      <c r="L32" s="61">
        <v>0.0</v>
      </c>
      <c r="M32" s="62">
        <f t="shared" si="1"/>
        <v>6261.451953</v>
      </c>
    </row>
    <row r="33">
      <c r="A33" s="27" t="str">
        <f>IFERROR(__xludf.DUMMYFUNCTION("FILTER('Endowed Funds'!$B:$B,'Endowed Funds'!$A:$A = $B33)")," Archaeology ")</f>
        <v>Archaeology</v>
      </c>
      <c r="B33" s="59" t="s">
        <v>35</v>
      </c>
      <c r="C33" s="60">
        <v>1452126.2700000005</v>
      </c>
      <c r="D33" s="60">
        <v>1086625.0</v>
      </c>
      <c r="E33" s="61">
        <v>1607860.7610750236</v>
      </c>
      <c r="F33" s="61">
        <v>66274.6951648291</v>
      </c>
      <c r="G33" s="60">
        <v>0.0</v>
      </c>
      <c r="H33" s="60">
        <v>0.0</v>
      </c>
      <c r="I33" s="60">
        <v>0.0</v>
      </c>
      <c r="J33" s="60">
        <v>0.0</v>
      </c>
      <c r="K33" s="61">
        <v>0.0</v>
      </c>
      <c r="L33" s="61">
        <v>0.0</v>
      </c>
      <c r="M33" s="62">
        <f t="shared" si="1"/>
        <v>66274.69516</v>
      </c>
    </row>
    <row r="34">
      <c r="A34" s="27" t="str">
        <f>IFERROR(__xludf.DUMMYFUNCTION("FILTER('Endowed Funds'!$B:$B,'Endowed Funds'!$A:$A = $B34)")," Research Institute ")</f>
        <v>Research Institute</v>
      </c>
      <c r="B34" s="59" t="s">
        <v>56</v>
      </c>
      <c r="C34" s="60">
        <v>1124267.8299999998</v>
      </c>
      <c r="D34" s="60">
        <v>1000000.0</v>
      </c>
      <c r="E34" s="61">
        <v>1079944.2168472067</v>
      </c>
      <c r="F34" s="61">
        <v>49634.26719464958</v>
      </c>
      <c r="G34" s="60">
        <v>0.0</v>
      </c>
      <c r="H34" s="60">
        <v>0.0</v>
      </c>
      <c r="I34" s="60">
        <v>0.0</v>
      </c>
      <c r="J34" s="60">
        <v>0.0</v>
      </c>
      <c r="K34" s="61">
        <v>0.0</v>
      </c>
      <c r="L34" s="61">
        <v>0.0</v>
      </c>
      <c r="M34" s="62">
        <f t="shared" si="1"/>
        <v>49634.26719</v>
      </c>
    </row>
    <row r="35">
      <c r="A35" s="27" t="str">
        <f>IFERROR(__xludf.DUMMYFUNCTION("FILTER('Endowed Funds'!$B:$B,'Endowed Funds'!$A:$A = $B35)")," Research Institute ")</f>
        <v>Research Institute</v>
      </c>
      <c r="B35" s="59" t="s">
        <v>57</v>
      </c>
      <c r="C35" s="60">
        <v>2064551.98</v>
      </c>
      <c r="D35" s="60">
        <v>2000000.0</v>
      </c>
      <c r="E35" s="61">
        <v>2085975.5858805974</v>
      </c>
      <c r="F35" s="61">
        <v>92202.76579491506</v>
      </c>
      <c r="G35" s="60">
        <v>0.0</v>
      </c>
      <c r="H35" s="60">
        <v>0.0</v>
      </c>
      <c r="I35" s="60">
        <v>0.0</v>
      </c>
      <c r="J35" s="60">
        <v>0.0</v>
      </c>
      <c r="K35" s="61">
        <v>0.0</v>
      </c>
      <c r="L35" s="61">
        <v>0.0</v>
      </c>
      <c r="M35" s="62">
        <f t="shared" si="1"/>
        <v>92202.76579</v>
      </c>
    </row>
    <row r="36">
      <c r="A36" s="27" t="str">
        <f>IFERROR(__xludf.DUMMYFUNCTION("FILTER('Endowed Funds'!$B:$B,'Endowed Funds'!$A:$A = $B36)")," Research Institute ")</f>
        <v>Research Institute</v>
      </c>
      <c r="B36" s="59" t="s">
        <v>58</v>
      </c>
      <c r="C36" s="60">
        <v>2064250.22</v>
      </c>
      <c r="D36" s="60">
        <v>2000000.0</v>
      </c>
      <c r="E36" s="61">
        <v>2085975.5858805974</v>
      </c>
      <c r="F36" s="61">
        <v>92006.26747008818</v>
      </c>
      <c r="G36" s="60">
        <v>0.0</v>
      </c>
      <c r="H36" s="60">
        <v>0.0</v>
      </c>
      <c r="I36" s="60">
        <v>0.0</v>
      </c>
      <c r="J36" s="60">
        <v>0.0</v>
      </c>
      <c r="K36" s="61">
        <v>0.0</v>
      </c>
      <c r="L36" s="61">
        <v>0.0</v>
      </c>
      <c r="M36" s="62">
        <f t="shared" si="1"/>
        <v>92006.26747</v>
      </c>
    </row>
    <row r="37">
      <c r="A37" s="63"/>
      <c r="B37" s="64" t="s">
        <v>71</v>
      </c>
      <c r="C37" s="60">
        <v>2.381307419E7</v>
      </c>
      <c r="D37" s="60">
        <v>2.1239674840000004E7</v>
      </c>
      <c r="E37" s="61">
        <v>2.6528786834301062E7</v>
      </c>
      <c r="F37" s="61">
        <v>1070807.187956658</v>
      </c>
      <c r="G37" s="60">
        <v>0.55125</v>
      </c>
      <c r="H37" s="60">
        <v>0.55125</v>
      </c>
      <c r="I37" s="60">
        <v>0.55125</v>
      </c>
      <c r="J37" s="60">
        <v>0.55125</v>
      </c>
      <c r="K37" s="61">
        <v>4129.11225</v>
      </c>
      <c r="L37" s="61">
        <v>0.0</v>
      </c>
      <c r="M37" s="65">
        <f t="shared" si="1"/>
        <v>1074938.505</v>
      </c>
    </row>
  </sheetData>
  <mergeCells count="2">
    <mergeCell ref="C1:E1"/>
    <mergeCell ref="G1:K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6.71"/>
    <col customWidth="1" min="2" max="2" width="23.86"/>
    <col customWidth="1" min="3" max="4" width="12.71"/>
    <col customWidth="1" min="5" max="5" width="37.57"/>
    <col customWidth="1" min="6" max="6" width="76.14"/>
    <col customWidth="1" min="7" max="7" width="10.43"/>
    <col customWidth="1" min="8" max="8" width="63.86"/>
    <col customWidth="1" min="9" max="9" width="16.14"/>
    <col customWidth="1" min="10" max="10" width="14.29"/>
    <col customWidth="1" min="11" max="11" width="10.57"/>
    <col customWidth="1" min="12" max="12" width="10.86"/>
    <col customWidth="1" min="13" max="13" width="13.71"/>
  </cols>
  <sheetData>
    <row r="1">
      <c r="A1" s="66" t="s">
        <v>10</v>
      </c>
      <c r="B1" s="66" t="s">
        <v>72</v>
      </c>
      <c r="C1" s="67" t="s">
        <v>73</v>
      </c>
      <c r="D1" s="67" t="s">
        <v>74</v>
      </c>
      <c r="E1" s="66" t="s">
        <v>75</v>
      </c>
      <c r="F1" s="66" t="s">
        <v>76</v>
      </c>
      <c r="G1" s="66" t="s">
        <v>77</v>
      </c>
      <c r="H1" s="66" t="s">
        <v>78</v>
      </c>
      <c r="I1" s="66" t="s">
        <v>79</v>
      </c>
      <c r="J1" s="66" t="s">
        <v>80</v>
      </c>
      <c r="K1" s="66" t="s">
        <v>81</v>
      </c>
      <c r="L1" s="66" t="s">
        <v>82</v>
      </c>
      <c r="M1" s="67" t="s">
        <v>83</v>
      </c>
      <c r="N1" s="68"/>
      <c r="O1" s="68"/>
      <c r="P1" s="68"/>
      <c r="Q1" s="68"/>
      <c r="R1" s="68"/>
      <c r="S1" s="68"/>
      <c r="T1" s="68"/>
      <c r="U1" s="68"/>
      <c r="V1" s="68"/>
      <c r="W1" s="68"/>
      <c r="X1" s="68"/>
      <c r="Y1" s="68"/>
      <c r="Z1" s="68"/>
      <c r="AA1" s="68"/>
      <c r="AB1" s="68"/>
      <c r="AC1" s="68"/>
      <c r="AD1" s="68"/>
      <c r="AE1" s="68"/>
      <c r="AF1" s="68"/>
    </row>
    <row r="2">
      <c r="A2" s="69" t="s">
        <v>25</v>
      </c>
      <c r="B2" s="70" t="s">
        <v>84</v>
      </c>
      <c r="C2" s="71" t="str">
        <f t="shared" ref="C2:C35" si="1">CONCATENATE(J2," — ",A2)</f>
        <v>230 — Native American Endowment Fund</v>
      </c>
      <c r="D2" s="71">
        <f>IFERROR(__xludf.DUMMYFUNCTION("IFERROR(sum(FILTER('Fund Investment Data'!$V:$V, 'Fund Investment Data'!$C:$C = $A2)),0)"),81000.0)</f>
        <v>81000</v>
      </c>
      <c r="E2" s="72" t="s">
        <v>85</v>
      </c>
      <c r="F2" s="72" t="s">
        <v>86</v>
      </c>
      <c r="G2" s="72" t="b">
        <v>1</v>
      </c>
      <c r="H2" s="72"/>
      <c r="I2" s="72" t="s">
        <v>87</v>
      </c>
      <c r="J2" s="73">
        <v>230.0</v>
      </c>
      <c r="K2" s="72">
        <v>330.0</v>
      </c>
      <c r="L2" s="72">
        <v>120130.0</v>
      </c>
      <c r="M2" s="69" t="s">
        <v>88</v>
      </c>
      <c r="N2" s="68"/>
      <c r="O2" s="68"/>
      <c r="P2" s="68"/>
      <c r="Q2" s="68"/>
      <c r="R2" s="68"/>
      <c r="S2" s="68"/>
      <c r="T2" s="68"/>
      <c r="U2" s="68"/>
      <c r="V2" s="68"/>
      <c r="W2" s="68"/>
      <c r="X2" s="68"/>
      <c r="Y2" s="68"/>
      <c r="Z2" s="68"/>
      <c r="AA2" s="68"/>
      <c r="AB2" s="68"/>
      <c r="AC2" s="68"/>
      <c r="AD2" s="68"/>
      <c r="AE2" s="68"/>
      <c r="AF2" s="68"/>
    </row>
    <row r="3">
      <c r="A3" s="69" t="s">
        <v>26</v>
      </c>
      <c r="B3" s="70" t="s">
        <v>89</v>
      </c>
      <c r="C3" s="71" t="str">
        <f t="shared" si="1"/>
        <v>233 — Albert G. Boyce, Jr. Family Fund</v>
      </c>
      <c r="D3" s="71">
        <f>IFERROR(__xludf.DUMMYFUNCTION("IFERROR(sum(FILTER('Fund Investment Data'!$V:$V, 'Fund Investment Data'!$C:$C = $A3)),0)"),317377.01)</f>
        <v>317377.01</v>
      </c>
      <c r="E3" s="72" t="s">
        <v>90</v>
      </c>
      <c r="F3" s="72" t="s">
        <v>91</v>
      </c>
      <c r="G3" s="72" t="b">
        <v>1</v>
      </c>
      <c r="H3" s="72"/>
      <c r="I3" s="72" t="s">
        <v>87</v>
      </c>
      <c r="J3" s="72">
        <v>233.0</v>
      </c>
      <c r="K3" s="72">
        <v>333.0</v>
      </c>
      <c r="L3" s="72">
        <v>120145.0</v>
      </c>
      <c r="M3" s="69" t="s">
        <v>92</v>
      </c>
      <c r="N3" s="68"/>
      <c r="O3" s="68"/>
      <c r="P3" s="68"/>
      <c r="Q3" s="68"/>
      <c r="R3" s="68"/>
      <c r="S3" s="68"/>
      <c r="T3" s="68"/>
      <c r="U3" s="68"/>
      <c r="V3" s="68"/>
      <c r="W3" s="68"/>
      <c r="X3" s="68"/>
      <c r="Y3" s="68"/>
      <c r="Z3" s="68"/>
      <c r="AA3" s="68"/>
      <c r="AB3" s="68"/>
      <c r="AC3" s="68"/>
      <c r="AD3" s="68"/>
      <c r="AE3" s="68"/>
      <c r="AF3" s="68"/>
    </row>
    <row r="4">
      <c r="A4" s="69" t="s">
        <v>27</v>
      </c>
      <c r="B4" s="70" t="s">
        <v>89</v>
      </c>
      <c r="C4" s="71" t="str">
        <f t="shared" si="1"/>
        <v>270 — Alden C. Hayes Research Fund</v>
      </c>
      <c r="D4" s="71">
        <f>IFERROR(__xludf.DUMMYFUNCTION("IFERROR(sum(FILTER('Fund Investment Data'!$V:$V, 'Fund Investment Data'!$C:$C = $A4)),0)"),276213.69999999995)</f>
        <v>276213.7</v>
      </c>
      <c r="E4" s="72" t="s">
        <v>93</v>
      </c>
      <c r="F4" s="72" t="s">
        <v>94</v>
      </c>
      <c r="G4" s="68" t="b">
        <v>0</v>
      </c>
      <c r="H4" s="72" t="s">
        <v>95</v>
      </c>
      <c r="I4" s="72" t="s">
        <v>87</v>
      </c>
      <c r="J4" s="72">
        <v>270.0</v>
      </c>
      <c r="K4" s="72">
        <v>370.0</v>
      </c>
      <c r="L4" s="72">
        <v>120120.0</v>
      </c>
      <c r="M4" s="69" t="s">
        <v>96</v>
      </c>
      <c r="N4" s="68"/>
      <c r="O4" s="68"/>
      <c r="P4" s="68"/>
      <c r="Q4" s="68"/>
      <c r="R4" s="68"/>
      <c r="S4" s="68"/>
      <c r="T4" s="68"/>
      <c r="U4" s="68"/>
      <c r="V4" s="68"/>
      <c r="W4" s="68"/>
      <c r="X4" s="68"/>
      <c r="Y4" s="68"/>
      <c r="Z4" s="68"/>
      <c r="AA4" s="68"/>
      <c r="AB4" s="68"/>
      <c r="AC4" s="68"/>
      <c r="AD4" s="68"/>
      <c r="AE4" s="68"/>
      <c r="AF4" s="68"/>
    </row>
    <row r="5">
      <c r="A5" s="69" t="s">
        <v>28</v>
      </c>
      <c r="B5" s="70" t="s">
        <v>89</v>
      </c>
      <c r="C5" s="71" t="str">
        <f t="shared" si="1"/>
        <v>289 — C. Paul Johnson Family Fund</v>
      </c>
      <c r="D5" s="71">
        <f>IFERROR(__xludf.DUMMYFUNCTION("IFERROR(sum(FILTER('Fund Investment Data'!$V:$V, 'Fund Investment Data'!$C:$C = $A5)),0)"),2960091.25)</f>
        <v>2960091.25</v>
      </c>
      <c r="E5" s="72" t="s">
        <v>90</v>
      </c>
      <c r="F5" s="72" t="s">
        <v>97</v>
      </c>
      <c r="G5" s="72" t="b">
        <v>1</v>
      </c>
      <c r="H5" s="72"/>
      <c r="I5" s="72" t="s">
        <v>87</v>
      </c>
      <c r="J5" s="72">
        <v>289.0</v>
      </c>
      <c r="K5" s="72">
        <v>389.0</v>
      </c>
      <c r="L5" s="72">
        <v>120142.0</v>
      </c>
      <c r="M5" s="69" t="s">
        <v>98</v>
      </c>
      <c r="N5" s="68"/>
      <c r="O5" s="68"/>
      <c r="P5" s="68"/>
      <c r="Q5" s="68"/>
      <c r="R5" s="68"/>
      <c r="S5" s="68"/>
      <c r="T5" s="68"/>
      <c r="U5" s="68"/>
      <c r="V5" s="68"/>
      <c r="W5" s="68"/>
      <c r="X5" s="68"/>
      <c r="Y5" s="68"/>
      <c r="Z5" s="68"/>
      <c r="AA5" s="68"/>
      <c r="AB5" s="68"/>
      <c r="AC5" s="68"/>
      <c r="AD5" s="68"/>
      <c r="AE5" s="68"/>
      <c r="AF5" s="68"/>
    </row>
    <row r="6">
      <c r="A6" s="69" t="s">
        <v>29</v>
      </c>
      <c r="B6" s="70" t="s">
        <v>89</v>
      </c>
      <c r="C6" s="71" t="str">
        <f t="shared" si="1"/>
        <v>290 — Flora W. Minium Memorial Fund</v>
      </c>
      <c r="D6" s="71">
        <f>IFERROR(__xludf.DUMMYFUNCTION("IFERROR(sum(FILTER('Fund Investment Data'!$V:$V, 'Fund Investment Data'!$C:$C = $A6)),0)"),50000.0)</f>
        <v>50000</v>
      </c>
      <c r="E6" s="72" t="s">
        <v>99</v>
      </c>
      <c r="F6" s="72" t="s">
        <v>100</v>
      </c>
      <c r="G6" s="72" t="b">
        <v>1</v>
      </c>
      <c r="H6" s="72"/>
      <c r="I6" s="72" t="s">
        <v>87</v>
      </c>
      <c r="J6" s="72">
        <v>290.0</v>
      </c>
      <c r="K6" s="72">
        <v>385.0</v>
      </c>
      <c r="L6" s="72">
        <v>120133.0</v>
      </c>
      <c r="M6" s="69" t="s">
        <v>101</v>
      </c>
      <c r="N6" s="68"/>
      <c r="O6" s="68"/>
      <c r="P6" s="68"/>
      <c r="Q6" s="68"/>
      <c r="R6" s="68"/>
      <c r="S6" s="68"/>
      <c r="T6" s="68"/>
      <c r="U6" s="68"/>
      <c r="V6" s="68"/>
      <c r="W6" s="68"/>
      <c r="X6" s="68"/>
      <c r="Y6" s="68"/>
      <c r="Z6" s="68"/>
      <c r="AA6" s="68"/>
      <c r="AB6" s="68"/>
      <c r="AC6" s="68"/>
      <c r="AD6" s="68"/>
      <c r="AE6" s="68"/>
      <c r="AF6" s="68"/>
    </row>
    <row r="7">
      <c r="A7" s="69" t="s">
        <v>30</v>
      </c>
      <c r="B7" s="70" t="s">
        <v>89</v>
      </c>
      <c r="C7" s="71" t="str">
        <f t="shared" si="1"/>
        <v>276 — Fred G. Myers Research Fellowship</v>
      </c>
      <c r="D7" s="71">
        <f>IFERROR(__xludf.DUMMYFUNCTION("IFERROR(sum(FILTER('Fund Investment Data'!$V:$V, 'Fund Investment Data'!$C:$C = $A7)),0)"),11540.75)</f>
        <v>11540.75</v>
      </c>
      <c r="E7" s="72" t="s">
        <v>102</v>
      </c>
      <c r="F7" s="72" t="s">
        <v>103</v>
      </c>
      <c r="G7" s="68" t="b">
        <v>0</v>
      </c>
      <c r="H7" s="72" t="s">
        <v>104</v>
      </c>
      <c r="I7" s="72" t="s">
        <v>87</v>
      </c>
      <c r="J7" s="72">
        <v>276.0</v>
      </c>
      <c r="K7" s="72">
        <v>376.0</v>
      </c>
      <c r="L7" s="72">
        <v>120126.0</v>
      </c>
      <c r="M7" s="69" t="s">
        <v>105</v>
      </c>
      <c r="N7" s="68"/>
      <c r="O7" s="68"/>
      <c r="P7" s="68"/>
      <c r="Q7" s="68"/>
      <c r="R7" s="68"/>
      <c r="S7" s="68"/>
      <c r="T7" s="68"/>
      <c r="U7" s="68"/>
      <c r="V7" s="68"/>
      <c r="W7" s="68"/>
      <c r="X7" s="68"/>
      <c r="Y7" s="68"/>
      <c r="Z7" s="68"/>
      <c r="AA7" s="68"/>
      <c r="AB7" s="68"/>
      <c r="AC7" s="68"/>
      <c r="AD7" s="68"/>
      <c r="AE7" s="68"/>
      <c r="AF7" s="68"/>
    </row>
    <row r="8">
      <c r="A8" s="69" t="s">
        <v>31</v>
      </c>
      <c r="B8" s="70" t="s">
        <v>89</v>
      </c>
      <c r="C8" s="71" t="str">
        <f t="shared" si="1"/>
        <v>281 — Gomer W. Walters Research Fund</v>
      </c>
      <c r="D8" s="71">
        <f>IFERROR(__xludf.DUMMYFUNCTION("IFERROR(sum(FILTER('Fund Investment Data'!$V:$V, 'Fund Investment Data'!$C:$C = $A8)),0)"),158200.0)</f>
        <v>158200</v>
      </c>
      <c r="E8" s="72" t="s">
        <v>106</v>
      </c>
      <c r="F8" s="72" t="s">
        <v>107</v>
      </c>
      <c r="G8" s="72" t="b">
        <v>1</v>
      </c>
      <c r="H8" s="72"/>
      <c r="I8" s="72" t="s">
        <v>87</v>
      </c>
      <c r="J8" s="72">
        <v>281.0</v>
      </c>
      <c r="K8" s="72">
        <v>380.0</v>
      </c>
      <c r="L8" s="72">
        <v>120138.0</v>
      </c>
      <c r="M8" s="69" t="s">
        <v>108</v>
      </c>
      <c r="N8" s="68"/>
      <c r="O8" s="68"/>
      <c r="P8" s="68"/>
      <c r="Q8" s="68"/>
      <c r="R8" s="68"/>
      <c r="S8" s="68"/>
      <c r="T8" s="68"/>
      <c r="U8" s="68"/>
      <c r="V8" s="68"/>
      <c r="W8" s="68"/>
      <c r="X8" s="68"/>
      <c r="Y8" s="68"/>
      <c r="Z8" s="68"/>
      <c r="AA8" s="68"/>
      <c r="AB8" s="68"/>
      <c r="AC8" s="68"/>
      <c r="AD8" s="68"/>
      <c r="AE8" s="68"/>
      <c r="AF8" s="68"/>
    </row>
    <row r="9">
      <c r="A9" s="69" t="s">
        <v>32</v>
      </c>
      <c r="B9" s="70" t="s">
        <v>89</v>
      </c>
      <c r="C9" s="71" t="str">
        <f t="shared" si="1"/>
        <v>273 — Katherine Carhart Graduate Research Fellowship</v>
      </c>
      <c r="D9" s="71">
        <f>IFERROR(__xludf.DUMMYFUNCTION("IFERROR(sum(FILTER('Fund Investment Data'!$V:$V, 'Fund Investment Data'!$C:$C = $A9)),0)"),49449.04)</f>
        <v>49449.04</v>
      </c>
      <c r="E9" s="72" t="s">
        <v>109</v>
      </c>
      <c r="F9" s="72" t="s">
        <v>110</v>
      </c>
      <c r="G9" s="68" t="b">
        <v>0</v>
      </c>
      <c r="H9" s="72"/>
      <c r="I9" s="72" t="s">
        <v>87</v>
      </c>
      <c r="J9" s="72">
        <v>273.0</v>
      </c>
      <c r="K9" s="72">
        <v>373.0</v>
      </c>
      <c r="L9" s="72">
        <v>120123.0</v>
      </c>
      <c r="M9" s="69" t="s">
        <v>111</v>
      </c>
      <c r="N9" s="68"/>
      <c r="O9" s="68"/>
      <c r="P9" s="68"/>
      <c r="Q9" s="68"/>
      <c r="R9" s="68"/>
      <c r="S9" s="68"/>
      <c r="T9" s="68"/>
      <c r="U9" s="68"/>
      <c r="V9" s="68"/>
      <c r="W9" s="68"/>
      <c r="X9" s="68"/>
      <c r="Y9" s="68"/>
      <c r="Z9" s="68"/>
      <c r="AA9" s="68"/>
      <c r="AB9" s="68"/>
      <c r="AC9" s="68"/>
      <c r="AD9" s="68"/>
      <c r="AE9" s="68"/>
      <c r="AF9" s="68"/>
    </row>
    <row r="10">
      <c r="A10" s="69" t="s">
        <v>33</v>
      </c>
      <c r="B10" s="70" t="s">
        <v>89</v>
      </c>
      <c r="C10" s="71" t="str">
        <f t="shared" si="1"/>
        <v>269 — Richard G. and Mary Lyn Ballantine Fund</v>
      </c>
      <c r="D10" s="71">
        <f>IFERROR(__xludf.DUMMYFUNCTION("IFERROR(sum(FILTER('Fund Investment Data'!$V:$V, 'Fund Investment Data'!$C:$C = $A10)),0)"),325871.6399999999)</f>
        <v>325871.64</v>
      </c>
      <c r="E10" s="74" t="s">
        <v>90</v>
      </c>
      <c r="F10" s="74" t="s">
        <v>112</v>
      </c>
      <c r="G10" s="72" t="b">
        <v>1</v>
      </c>
      <c r="H10" s="74"/>
      <c r="I10" s="72" t="s">
        <v>87</v>
      </c>
      <c r="J10" s="74">
        <v>269.0</v>
      </c>
      <c r="K10" s="72">
        <v>369.0</v>
      </c>
      <c r="L10" s="72">
        <v>120141.0</v>
      </c>
      <c r="M10" s="69" t="s">
        <v>113</v>
      </c>
      <c r="N10" s="68"/>
      <c r="O10" s="68"/>
      <c r="P10" s="68"/>
      <c r="Q10" s="68"/>
      <c r="R10" s="68"/>
      <c r="S10" s="68"/>
      <c r="T10" s="68"/>
      <c r="U10" s="68"/>
      <c r="V10" s="68"/>
      <c r="W10" s="68"/>
      <c r="X10" s="68"/>
      <c r="Y10" s="68"/>
      <c r="Z10" s="68"/>
      <c r="AA10" s="68"/>
      <c r="AB10" s="68"/>
      <c r="AC10" s="68"/>
      <c r="AD10" s="68"/>
      <c r="AE10" s="68"/>
      <c r="AF10" s="68"/>
    </row>
    <row r="11">
      <c r="A11" s="69" t="s">
        <v>34</v>
      </c>
      <c r="B11" s="70" t="s">
        <v>89</v>
      </c>
      <c r="C11" s="71" t="str">
        <f t="shared" si="1"/>
        <v>268 — Robert &amp; Doris Haugen Research Fund</v>
      </c>
      <c r="D11" s="71">
        <f>IFERROR(__xludf.DUMMYFUNCTION("IFERROR(sum(FILTER('Fund Investment Data'!$V:$V, 'Fund Investment Data'!$C:$C = $A11)),0)"),125000.0)</f>
        <v>125000</v>
      </c>
      <c r="E11" s="72" t="s">
        <v>114</v>
      </c>
      <c r="F11" s="72" t="s">
        <v>115</v>
      </c>
      <c r="G11" s="72" t="b">
        <v>1</v>
      </c>
      <c r="H11" s="72"/>
      <c r="I11" s="72" t="s">
        <v>87</v>
      </c>
      <c r="J11" s="72">
        <v>268.0</v>
      </c>
      <c r="K11" s="72">
        <v>368.0</v>
      </c>
      <c r="L11" s="72">
        <v>120153.0</v>
      </c>
      <c r="M11" s="69" t="s">
        <v>116</v>
      </c>
      <c r="N11" s="68"/>
      <c r="O11" s="68"/>
      <c r="P11" s="68"/>
      <c r="Q11" s="68"/>
      <c r="R11" s="68"/>
      <c r="S11" s="68"/>
      <c r="T11" s="68"/>
      <c r="U11" s="68"/>
      <c r="V11" s="68"/>
      <c r="W11" s="68"/>
      <c r="X11" s="68"/>
      <c r="Y11" s="68"/>
      <c r="Z11" s="68"/>
      <c r="AA11" s="68"/>
      <c r="AB11" s="68"/>
      <c r="AC11" s="68"/>
      <c r="AD11" s="68"/>
      <c r="AE11" s="68"/>
      <c r="AF11" s="68"/>
    </row>
    <row r="12">
      <c r="A12" s="69" t="s">
        <v>35</v>
      </c>
      <c r="B12" s="70" t="s">
        <v>89</v>
      </c>
      <c r="C12" s="71" t="str">
        <f t="shared" si="1"/>
        <v>278 — Stuart Struever Chair in Research</v>
      </c>
      <c r="D12" s="71">
        <f>IFERROR(__xludf.DUMMYFUNCTION("IFERROR(sum(FILTER('Fund Investment Data'!$V:$V, 'Fund Investment Data'!$C:$C = $A12)),0)"),1086625.0)</f>
        <v>1086625</v>
      </c>
      <c r="E12" s="72" t="s">
        <v>117</v>
      </c>
      <c r="F12" s="72" t="s">
        <v>118</v>
      </c>
      <c r="G12" s="72" t="b">
        <v>1</v>
      </c>
      <c r="H12" s="72"/>
      <c r="I12" s="72" t="s">
        <v>87</v>
      </c>
      <c r="J12" s="72">
        <v>278.0</v>
      </c>
      <c r="K12" s="72">
        <v>378.0</v>
      </c>
      <c r="L12" s="72">
        <v>120128.0</v>
      </c>
      <c r="M12" s="69" t="s">
        <v>119</v>
      </c>
      <c r="N12" s="68"/>
      <c r="O12" s="68"/>
      <c r="P12" s="68"/>
      <c r="Q12" s="68"/>
      <c r="R12" s="68"/>
      <c r="S12" s="68"/>
      <c r="T12" s="68"/>
      <c r="U12" s="68"/>
      <c r="V12" s="68"/>
      <c r="W12" s="68"/>
      <c r="X12" s="68"/>
      <c r="Y12" s="68"/>
      <c r="Z12" s="68"/>
      <c r="AA12" s="68"/>
      <c r="AB12" s="68"/>
      <c r="AC12" s="68"/>
      <c r="AD12" s="68"/>
      <c r="AE12" s="68"/>
      <c r="AF12" s="68"/>
    </row>
    <row r="13">
      <c r="A13" s="69" t="s">
        <v>36</v>
      </c>
      <c r="B13" s="70" t="s">
        <v>120</v>
      </c>
      <c r="C13" s="71" t="str">
        <f t="shared" si="1"/>
        <v>271 — Education Endowment Fund</v>
      </c>
      <c r="D13" s="71">
        <f>IFERROR(__xludf.DUMMYFUNCTION("IFERROR(sum(FILTER('Fund Investment Data'!$V:$V, 'Fund Investment Data'!$C:$C = $A13)),0)"),429067.24)</f>
        <v>429067.24</v>
      </c>
      <c r="E13" s="75" t="s">
        <v>121</v>
      </c>
      <c r="F13" s="72" t="s">
        <v>122</v>
      </c>
      <c r="G13" s="68" t="b">
        <v>0</v>
      </c>
      <c r="H13" s="72"/>
      <c r="I13" s="72" t="s">
        <v>87</v>
      </c>
      <c r="J13" s="72">
        <v>271.0</v>
      </c>
      <c r="K13" s="72">
        <v>371.0</v>
      </c>
      <c r="L13" s="72">
        <v>120121.0</v>
      </c>
      <c r="M13" s="69" t="s">
        <v>123</v>
      </c>
      <c r="N13" s="68"/>
      <c r="O13" s="68"/>
      <c r="P13" s="68"/>
      <c r="Q13" s="68"/>
      <c r="R13" s="68"/>
      <c r="S13" s="68"/>
      <c r="T13" s="68"/>
      <c r="U13" s="68"/>
      <c r="V13" s="68"/>
      <c r="W13" s="68"/>
      <c r="X13" s="68"/>
      <c r="Y13" s="68"/>
      <c r="Z13" s="68"/>
      <c r="AA13" s="68"/>
      <c r="AB13" s="68"/>
      <c r="AC13" s="68"/>
      <c r="AD13" s="68"/>
      <c r="AE13" s="68"/>
      <c r="AF13" s="68"/>
    </row>
    <row r="14">
      <c r="A14" s="69" t="s">
        <v>37</v>
      </c>
      <c r="B14" s="70" t="s">
        <v>120</v>
      </c>
      <c r="C14" s="71" t="str">
        <f t="shared" si="1"/>
        <v>275 — Eleanor &amp; Robert A. McClevey Jr., Chair in Education</v>
      </c>
      <c r="D14" s="71">
        <f>IFERROR(__xludf.DUMMYFUNCTION("IFERROR(sum(FILTER('Fund Investment Data'!$V:$V, 'Fund Investment Data'!$C:$C = $A14)),0)"),758137.86)</f>
        <v>758137.86</v>
      </c>
      <c r="E14" s="72" t="s">
        <v>124</v>
      </c>
      <c r="F14" s="72" t="s">
        <v>125</v>
      </c>
      <c r="G14" s="68" t="b">
        <v>0</v>
      </c>
      <c r="H14" s="72" t="s">
        <v>126</v>
      </c>
      <c r="I14" s="72" t="s">
        <v>87</v>
      </c>
      <c r="J14" s="72">
        <v>275.0</v>
      </c>
      <c r="K14" s="72">
        <v>375.0</v>
      </c>
      <c r="L14" s="72">
        <v>120122.0</v>
      </c>
      <c r="M14" s="69" t="s">
        <v>127</v>
      </c>
      <c r="N14" s="68"/>
      <c r="O14" s="68"/>
      <c r="P14" s="68"/>
      <c r="Q14" s="68"/>
      <c r="R14" s="68"/>
      <c r="S14" s="68"/>
      <c r="T14" s="68"/>
      <c r="U14" s="68"/>
      <c r="V14" s="68"/>
      <c r="W14" s="68"/>
      <c r="X14" s="68"/>
      <c r="Y14" s="68"/>
      <c r="Z14" s="68"/>
      <c r="AA14" s="68"/>
      <c r="AB14" s="68"/>
      <c r="AC14" s="68"/>
      <c r="AD14" s="68"/>
      <c r="AE14" s="68"/>
      <c r="AF14" s="68"/>
    </row>
    <row r="15">
      <c r="A15" s="69" t="s">
        <v>38</v>
      </c>
      <c r="B15" s="70" t="s">
        <v>120</v>
      </c>
      <c r="C15" s="71" t="str">
        <f t="shared" si="1"/>
        <v>244 — Four Corners Children's Education Fund</v>
      </c>
      <c r="D15" s="71">
        <f>IFERROR(__xludf.DUMMYFUNCTION("IFERROR(sum(FILTER('Fund Investment Data'!$V:$V, 'Fund Investment Data'!$C:$C = $A15)),0)"),556601.64)</f>
        <v>556601.64</v>
      </c>
      <c r="E15" s="72" t="s">
        <v>128</v>
      </c>
      <c r="F15" s="72" t="s">
        <v>129</v>
      </c>
      <c r="G15" s="68" t="b">
        <v>0</v>
      </c>
      <c r="H15" s="72" t="s">
        <v>130</v>
      </c>
      <c r="I15" s="72" t="s">
        <v>87</v>
      </c>
      <c r="J15" s="72">
        <v>244.0</v>
      </c>
      <c r="K15" s="72">
        <v>344.0</v>
      </c>
      <c r="L15" s="72">
        <v>120144.0</v>
      </c>
      <c r="M15" s="69" t="s">
        <v>131</v>
      </c>
      <c r="N15" s="68"/>
      <c r="O15" s="68"/>
      <c r="P15" s="68"/>
      <c r="Q15" s="68"/>
      <c r="R15" s="68"/>
      <c r="S15" s="68"/>
      <c r="T15" s="68"/>
      <c r="U15" s="68"/>
      <c r="V15" s="68"/>
      <c r="W15" s="68"/>
      <c r="X15" s="68"/>
      <c r="Y15" s="68"/>
      <c r="Z15" s="68"/>
      <c r="AA15" s="68"/>
      <c r="AB15" s="68"/>
      <c r="AC15" s="68"/>
      <c r="AD15" s="68"/>
      <c r="AE15" s="68"/>
      <c r="AF15" s="68"/>
    </row>
    <row r="16">
      <c r="A16" s="69" t="s">
        <v>39</v>
      </c>
      <c r="B16" s="70" t="s">
        <v>120</v>
      </c>
      <c r="C16" s="71" t="str">
        <f t="shared" si="1"/>
        <v>279 — Grace M. and Thor E. Larsen Education Fund</v>
      </c>
      <c r="D16" s="71">
        <f>IFERROR(__xludf.DUMMYFUNCTION("IFERROR(sum(FILTER('Fund Investment Data'!$V:$V, 'Fund Investment Data'!$C:$C = $A16)),0)"),185000.0)</f>
        <v>185000</v>
      </c>
      <c r="E16" s="76" t="s">
        <v>121</v>
      </c>
      <c r="F16" s="72" t="s">
        <v>132</v>
      </c>
      <c r="G16" s="68" t="b">
        <v>0</v>
      </c>
      <c r="H16" s="72" t="s">
        <v>133</v>
      </c>
      <c r="I16" s="72" t="s">
        <v>87</v>
      </c>
      <c r="J16" s="72">
        <v>279.0</v>
      </c>
      <c r="K16" s="72">
        <v>379.0</v>
      </c>
      <c r="L16" s="72">
        <v>120151.0</v>
      </c>
      <c r="M16" s="69" t="s">
        <v>134</v>
      </c>
      <c r="N16" s="68"/>
      <c r="O16" s="68"/>
      <c r="P16" s="68"/>
      <c r="Q16" s="68"/>
      <c r="R16" s="68"/>
      <c r="S16" s="68"/>
      <c r="T16" s="68"/>
      <c r="U16" s="68"/>
      <c r="V16" s="68"/>
      <c r="W16" s="68"/>
      <c r="X16" s="68"/>
      <c r="Y16" s="68"/>
      <c r="Z16" s="68"/>
      <c r="AA16" s="68"/>
      <c r="AB16" s="68"/>
      <c r="AC16" s="68"/>
      <c r="AD16" s="68"/>
      <c r="AE16" s="68"/>
      <c r="AF16" s="68"/>
    </row>
    <row r="17">
      <c r="A17" s="69" t="s">
        <v>40</v>
      </c>
      <c r="B17" s="70" t="s">
        <v>120</v>
      </c>
      <c r="C17" s="71" t="str">
        <f t="shared" si="1"/>
        <v>296 — Lew Matis Education Fund</v>
      </c>
      <c r="D17" s="71">
        <f>IFERROR(__xludf.DUMMYFUNCTION("IFERROR(sum(FILTER('Fund Investment Data'!$V:$V, 'Fund Investment Data'!$C:$C = $A17)),0)"),129703.74)</f>
        <v>129703.74</v>
      </c>
      <c r="E17" s="76" t="s">
        <v>121</v>
      </c>
      <c r="F17" s="72" t="s">
        <v>135</v>
      </c>
      <c r="G17" s="68" t="b">
        <v>0</v>
      </c>
      <c r="H17" s="72"/>
      <c r="I17" s="72" t="s">
        <v>87</v>
      </c>
      <c r="J17" s="72">
        <v>296.0</v>
      </c>
      <c r="K17" s="72">
        <v>396.0</v>
      </c>
      <c r="L17" s="72">
        <v>120150.0</v>
      </c>
      <c r="M17" s="69" t="s">
        <v>136</v>
      </c>
      <c r="N17" s="68"/>
      <c r="O17" s="68"/>
      <c r="P17" s="68"/>
      <c r="Q17" s="68"/>
      <c r="R17" s="68"/>
      <c r="S17" s="68"/>
      <c r="T17" s="68"/>
      <c r="U17" s="68"/>
      <c r="V17" s="68"/>
      <c r="W17" s="68"/>
      <c r="X17" s="68"/>
      <c r="Y17" s="68"/>
      <c r="Z17" s="68"/>
      <c r="AA17" s="68"/>
      <c r="AB17" s="68"/>
      <c r="AC17" s="68"/>
      <c r="AD17" s="68"/>
      <c r="AE17" s="68"/>
      <c r="AF17" s="68"/>
    </row>
    <row r="18">
      <c r="A18" s="69" t="s">
        <v>41</v>
      </c>
      <c r="B18" s="70" t="s">
        <v>120</v>
      </c>
      <c r="C18" s="71" t="str">
        <f t="shared" si="1"/>
        <v>287 — National Youth Education Scholarship Fund</v>
      </c>
      <c r="D18" s="71">
        <f>IFERROR(__xludf.DUMMYFUNCTION("IFERROR(sum(FILTER('Fund Investment Data'!$V:$V, 'Fund Investment Data'!$C:$C = $A18)),0)"),433755.86)</f>
        <v>433755.86</v>
      </c>
      <c r="E18" s="72" t="s">
        <v>137</v>
      </c>
      <c r="F18" s="72" t="s">
        <v>138</v>
      </c>
      <c r="G18" s="72" t="b">
        <v>1</v>
      </c>
      <c r="H18" s="72"/>
      <c r="I18" s="72" t="s">
        <v>87</v>
      </c>
      <c r="J18" s="72">
        <v>287.0</v>
      </c>
      <c r="K18" s="72">
        <v>387.0</v>
      </c>
      <c r="L18" s="72">
        <v>120135.0</v>
      </c>
      <c r="M18" s="69" t="s">
        <v>139</v>
      </c>
      <c r="N18" s="68"/>
      <c r="O18" s="68"/>
      <c r="P18" s="68"/>
      <c r="Q18" s="68"/>
      <c r="R18" s="68"/>
      <c r="S18" s="68"/>
      <c r="T18" s="68"/>
      <c r="U18" s="68"/>
      <c r="V18" s="68"/>
      <c r="W18" s="68"/>
      <c r="X18" s="68"/>
      <c r="Y18" s="68"/>
      <c r="Z18" s="68"/>
      <c r="AA18" s="68"/>
      <c r="AB18" s="68"/>
      <c r="AC18" s="68"/>
      <c r="AD18" s="68"/>
      <c r="AE18" s="68"/>
      <c r="AF18" s="68"/>
    </row>
    <row r="19">
      <c r="A19" s="69" t="s">
        <v>42</v>
      </c>
      <c r="B19" s="70" t="s">
        <v>120</v>
      </c>
      <c r="C19" s="71" t="str">
        <f t="shared" si="1"/>
        <v>248 — Navajo Education Fund</v>
      </c>
      <c r="D19" s="71">
        <f>IFERROR(__xludf.DUMMYFUNCTION("IFERROR(sum(FILTER('Fund Investment Data'!$V:$V, 'Fund Investment Data'!$C:$C = $A19)),0)"),194469.0)</f>
        <v>194469</v>
      </c>
      <c r="E19" s="72" t="s">
        <v>140</v>
      </c>
      <c r="F19" s="72" t="s">
        <v>141</v>
      </c>
      <c r="G19" s="68" t="b">
        <v>0</v>
      </c>
      <c r="H19" s="72" t="s">
        <v>142</v>
      </c>
      <c r="I19" s="72" t="s">
        <v>87</v>
      </c>
      <c r="J19" s="72">
        <v>248.0</v>
      </c>
      <c r="K19" s="72">
        <v>348.0</v>
      </c>
      <c r="L19" s="72">
        <v>120148.0</v>
      </c>
      <c r="M19" s="69" t="s">
        <v>143</v>
      </c>
      <c r="N19" s="68"/>
      <c r="O19" s="68"/>
      <c r="P19" s="68"/>
      <c r="Q19" s="68"/>
      <c r="R19" s="68"/>
      <c r="S19" s="68"/>
      <c r="T19" s="68"/>
      <c r="U19" s="68"/>
      <c r="V19" s="68"/>
      <c r="W19" s="68"/>
      <c r="X19" s="68"/>
      <c r="Y19" s="68"/>
      <c r="Z19" s="68"/>
      <c r="AA19" s="68"/>
      <c r="AB19" s="68"/>
      <c r="AC19" s="68"/>
      <c r="AD19" s="68"/>
      <c r="AE19" s="68"/>
      <c r="AF19" s="68"/>
    </row>
    <row r="20">
      <c r="A20" s="69" t="s">
        <v>43</v>
      </c>
      <c r="B20" s="70" t="s">
        <v>120</v>
      </c>
      <c r="C20" s="71" t="str">
        <f t="shared" si="1"/>
        <v>282 — Pamela &amp; Michael Reese Education Fund</v>
      </c>
      <c r="D20" s="71">
        <f>IFERROR(__xludf.DUMMYFUNCTION("IFERROR(sum(FILTER('Fund Investment Data'!$V:$V, 'Fund Investment Data'!$C:$C = $A20)),0)"),100000.0)</f>
        <v>100000</v>
      </c>
      <c r="E20" s="72" t="s">
        <v>90</v>
      </c>
      <c r="F20" s="72" t="s">
        <v>144</v>
      </c>
      <c r="G20" s="72" t="b">
        <v>1</v>
      </c>
      <c r="H20" s="72"/>
      <c r="I20" s="72" t="s">
        <v>87</v>
      </c>
      <c r="J20" s="72">
        <v>282.0</v>
      </c>
      <c r="K20" s="72">
        <v>390.0</v>
      </c>
      <c r="L20" s="72">
        <v>120139.0</v>
      </c>
      <c r="M20" s="69" t="s">
        <v>145</v>
      </c>
      <c r="N20" s="68"/>
      <c r="O20" s="68"/>
      <c r="P20" s="68"/>
      <c r="Q20" s="68"/>
      <c r="R20" s="68"/>
      <c r="S20" s="68"/>
      <c r="T20" s="68"/>
      <c r="U20" s="68"/>
      <c r="V20" s="68"/>
      <c r="W20" s="68"/>
      <c r="X20" s="68"/>
      <c r="Y20" s="68"/>
      <c r="Z20" s="68"/>
      <c r="AA20" s="68"/>
      <c r="AB20" s="68"/>
      <c r="AC20" s="68"/>
      <c r="AD20" s="68"/>
      <c r="AE20" s="68"/>
      <c r="AF20" s="68"/>
    </row>
    <row r="21">
      <c r="A21" s="69" t="s">
        <v>44</v>
      </c>
      <c r="B21" s="70" t="s">
        <v>120</v>
      </c>
      <c r="C21" s="71" t="str">
        <f t="shared" si="1"/>
        <v>293 — Shirley &amp; Reinhardt Jahn Education Fund</v>
      </c>
      <c r="D21" s="71">
        <f>IFERROR(__xludf.DUMMYFUNCTION("IFERROR(sum(FILTER('Fund Investment Data'!$V:$V, 'Fund Investment Data'!$C:$C = $A21)),0)"),250000.0)</f>
        <v>250000</v>
      </c>
      <c r="E21" s="72"/>
      <c r="F21" s="72" t="s">
        <v>146</v>
      </c>
      <c r="G21" s="68" t="b">
        <v>0</v>
      </c>
      <c r="H21" s="72" t="s">
        <v>147</v>
      </c>
      <c r="I21" s="72" t="s">
        <v>87</v>
      </c>
      <c r="J21" s="72">
        <v>293.0</v>
      </c>
      <c r="K21" s="72">
        <v>393.0</v>
      </c>
      <c r="L21" s="72">
        <v>120146.0</v>
      </c>
      <c r="M21" s="69" t="s">
        <v>148</v>
      </c>
      <c r="N21" s="68"/>
      <c r="O21" s="68"/>
      <c r="P21" s="68"/>
      <c r="Q21" s="68"/>
      <c r="R21" s="68"/>
      <c r="S21" s="68"/>
      <c r="T21" s="68"/>
      <c r="U21" s="68"/>
      <c r="V21" s="68"/>
      <c r="W21" s="68"/>
      <c r="X21" s="68"/>
      <c r="Y21" s="68"/>
      <c r="Z21" s="68"/>
      <c r="AA21" s="68"/>
      <c r="AB21" s="68"/>
      <c r="AC21" s="68"/>
      <c r="AD21" s="68"/>
      <c r="AE21" s="68"/>
      <c r="AF21" s="68"/>
    </row>
    <row r="22">
      <c r="A22" s="69" t="s">
        <v>45</v>
      </c>
      <c r="B22" s="70" t="s">
        <v>120</v>
      </c>
      <c r="C22" s="71" t="str">
        <f t="shared" si="1"/>
        <v>295 — Sidney &amp; Iris Taylor Education Fund</v>
      </c>
      <c r="D22" s="71">
        <f>IFERROR(__xludf.DUMMYFUNCTION("IFERROR(sum(FILTER('Fund Investment Data'!$V:$V, 'Fund Investment Data'!$C:$C = $A22)),0)"),100000.0)</f>
        <v>100000</v>
      </c>
      <c r="E22" s="72" t="s">
        <v>149</v>
      </c>
      <c r="F22" s="72" t="s">
        <v>150</v>
      </c>
      <c r="G22" s="72" t="b">
        <v>1</v>
      </c>
      <c r="H22" s="72"/>
      <c r="I22" s="72" t="s">
        <v>87</v>
      </c>
      <c r="J22" s="72">
        <v>295.0</v>
      </c>
      <c r="K22" s="72">
        <v>395.0</v>
      </c>
      <c r="L22" s="72">
        <v>120147.0</v>
      </c>
      <c r="M22" s="69" t="s">
        <v>151</v>
      </c>
      <c r="N22" s="68"/>
      <c r="O22" s="68"/>
      <c r="P22" s="68"/>
      <c r="Q22" s="68"/>
      <c r="R22" s="68"/>
      <c r="S22" s="68"/>
      <c r="T22" s="68"/>
      <c r="U22" s="68"/>
      <c r="V22" s="68"/>
      <c r="W22" s="68"/>
      <c r="X22" s="68"/>
      <c r="Y22" s="68"/>
      <c r="Z22" s="68"/>
      <c r="AA22" s="68"/>
      <c r="AB22" s="68"/>
      <c r="AC22" s="68"/>
      <c r="AD22" s="68"/>
      <c r="AE22" s="68"/>
      <c r="AF22" s="68"/>
    </row>
    <row r="23">
      <c r="A23" s="69" t="s">
        <v>46</v>
      </c>
      <c r="B23" s="70" t="s">
        <v>152</v>
      </c>
      <c r="C23" s="71" t="str">
        <f t="shared" si="1"/>
        <v>249 — Dorothy Warner McEachren Memorial Fund</v>
      </c>
      <c r="D23" s="71">
        <f>IFERROR(__xludf.DUMMYFUNCTION("IFERROR(sum(FILTER('Fund Investment Data'!$V:$V, 'Fund Investment Data'!$C:$C = $A23)),0)"),366400.0)</f>
        <v>366400</v>
      </c>
      <c r="E23" s="76" t="s">
        <v>90</v>
      </c>
      <c r="F23" s="72" t="s">
        <v>153</v>
      </c>
      <c r="G23" s="68" t="b">
        <v>0</v>
      </c>
      <c r="H23" s="72"/>
      <c r="I23" s="72" t="s">
        <v>87</v>
      </c>
      <c r="J23" s="72">
        <v>249.0</v>
      </c>
      <c r="K23" s="72">
        <v>349.0</v>
      </c>
      <c r="L23" s="72">
        <v>120149.0</v>
      </c>
      <c r="M23" s="69" t="s">
        <v>154</v>
      </c>
      <c r="N23" s="68"/>
      <c r="O23" s="68"/>
      <c r="P23" s="68"/>
      <c r="Q23" s="68"/>
      <c r="R23" s="68"/>
      <c r="S23" s="68"/>
      <c r="T23" s="68"/>
      <c r="U23" s="68"/>
      <c r="V23" s="68"/>
      <c r="W23" s="68"/>
      <c r="X23" s="68"/>
      <c r="Y23" s="68"/>
      <c r="Z23" s="68"/>
      <c r="AA23" s="68"/>
      <c r="AB23" s="68"/>
      <c r="AC23" s="68"/>
      <c r="AD23" s="68"/>
      <c r="AE23" s="68"/>
      <c r="AF23" s="68"/>
    </row>
    <row r="24">
      <c r="A24" s="69" t="s">
        <v>47</v>
      </c>
      <c r="B24" s="70" t="s">
        <v>152</v>
      </c>
      <c r="C24" s="71" t="str">
        <f t="shared" si="1"/>
        <v>288 — General Endowment</v>
      </c>
      <c r="D24" s="71">
        <f>IFERROR(__xludf.DUMMYFUNCTION("IFERROR(sum(FILTER('Fund Investment Data'!$V:$V, 'Fund Investment Data'!$C:$C = $A24)),0)"),1456367.46)</f>
        <v>1456367.46</v>
      </c>
      <c r="E24" s="76" t="s">
        <v>90</v>
      </c>
      <c r="F24" s="72" t="s">
        <v>155</v>
      </c>
      <c r="G24" s="68" t="b">
        <v>0</v>
      </c>
      <c r="H24" s="72" t="s">
        <v>104</v>
      </c>
      <c r="I24" s="72" t="s">
        <v>87</v>
      </c>
      <c r="J24" s="72">
        <v>288.0</v>
      </c>
      <c r="K24" s="72">
        <v>388.0</v>
      </c>
      <c r="L24" s="72">
        <v>120136.0</v>
      </c>
      <c r="M24" s="69" t="s">
        <v>156</v>
      </c>
      <c r="N24" s="68"/>
      <c r="O24" s="68"/>
      <c r="P24" s="68"/>
      <c r="Q24" s="68"/>
      <c r="R24" s="68"/>
      <c r="S24" s="68"/>
      <c r="T24" s="68"/>
      <c r="U24" s="68"/>
      <c r="V24" s="68"/>
      <c r="W24" s="68"/>
      <c r="X24" s="68"/>
      <c r="Y24" s="68"/>
      <c r="Z24" s="68"/>
      <c r="AA24" s="68"/>
      <c r="AB24" s="68"/>
      <c r="AC24" s="68"/>
      <c r="AD24" s="68"/>
      <c r="AE24" s="68"/>
      <c r="AF24" s="68"/>
    </row>
    <row r="25">
      <c r="A25" s="69" t="s">
        <v>48</v>
      </c>
      <c r="B25" s="70" t="s">
        <v>152</v>
      </c>
      <c r="C25" s="71" t="str">
        <f t="shared" si="1"/>
        <v>277 — National Endowment for the Humanities I</v>
      </c>
      <c r="D25" s="71">
        <f>IFERROR(__xludf.DUMMYFUNCTION("IFERROR(sum(FILTER('Fund Investment Data'!$V:$V, 'Fund Investment Data'!$C:$C = $A25)),0)"),1183929.39)</f>
        <v>1183929.39</v>
      </c>
      <c r="E25" s="76" t="s">
        <v>90</v>
      </c>
      <c r="F25" s="68"/>
      <c r="G25" s="68" t="b">
        <v>0</v>
      </c>
      <c r="H25" s="72" t="s">
        <v>157</v>
      </c>
      <c r="I25" s="72" t="s">
        <v>87</v>
      </c>
      <c r="J25" s="72">
        <v>277.0</v>
      </c>
      <c r="K25" s="72">
        <v>377.0</v>
      </c>
      <c r="L25" s="72">
        <v>120127.0</v>
      </c>
      <c r="M25" s="69" t="s">
        <v>158</v>
      </c>
      <c r="N25" s="68"/>
      <c r="O25" s="68"/>
      <c r="P25" s="68"/>
      <c r="Q25" s="68"/>
      <c r="R25" s="68"/>
      <c r="S25" s="68"/>
      <c r="T25" s="68"/>
      <c r="U25" s="68"/>
      <c r="V25" s="68"/>
      <c r="W25" s="68"/>
      <c r="X25" s="68"/>
      <c r="Y25" s="68"/>
      <c r="Z25" s="68"/>
      <c r="AA25" s="68"/>
      <c r="AB25" s="68"/>
      <c r="AC25" s="68"/>
      <c r="AD25" s="68"/>
      <c r="AE25" s="68"/>
      <c r="AF25" s="68"/>
    </row>
    <row r="26">
      <c r="A26" s="69" t="s">
        <v>49</v>
      </c>
      <c r="B26" s="70" t="s">
        <v>152</v>
      </c>
      <c r="C26" s="71" t="str">
        <f t="shared" si="1"/>
        <v>237 — National Endowment for the Humanities II</v>
      </c>
      <c r="D26" s="71">
        <f>IFERROR(__xludf.DUMMYFUNCTION("IFERROR(sum(FILTER('Fund Investment Data'!$V:$V, 'Fund Investment Data'!$C:$C = $A26)),0)"),500000.0)</f>
        <v>500000</v>
      </c>
      <c r="E26" s="76" t="s">
        <v>90</v>
      </c>
      <c r="F26" s="72" t="s">
        <v>159</v>
      </c>
      <c r="G26" s="72" t="b">
        <v>1</v>
      </c>
      <c r="H26" s="72" t="s">
        <v>160</v>
      </c>
      <c r="I26" s="72" t="s">
        <v>87</v>
      </c>
      <c r="J26" s="72">
        <v>237.0</v>
      </c>
      <c r="K26" s="72">
        <v>337.0</v>
      </c>
      <c r="L26" s="72">
        <v>120137.0</v>
      </c>
      <c r="M26" s="69" t="s">
        <v>161</v>
      </c>
      <c r="N26" s="68"/>
      <c r="O26" s="68"/>
      <c r="P26" s="68"/>
      <c r="Q26" s="68"/>
      <c r="R26" s="68"/>
      <c r="S26" s="68"/>
      <c r="T26" s="68"/>
      <c r="U26" s="68"/>
      <c r="V26" s="68"/>
      <c r="W26" s="68"/>
      <c r="X26" s="68"/>
      <c r="Y26" s="68"/>
      <c r="Z26" s="68"/>
      <c r="AA26" s="68"/>
      <c r="AB26" s="68"/>
      <c r="AC26" s="68"/>
      <c r="AD26" s="68"/>
      <c r="AE26" s="68"/>
      <c r="AF26" s="68"/>
    </row>
    <row r="27">
      <c r="A27" s="69" t="s">
        <v>50</v>
      </c>
      <c r="B27" s="70" t="s">
        <v>162</v>
      </c>
      <c r="C27" s="71" t="str">
        <f t="shared" si="1"/>
        <v>291 — Jan and Frank Cicero Research Fund</v>
      </c>
      <c r="D27" s="71">
        <f>IFERROR(__xludf.DUMMYFUNCTION("IFERROR(sum(FILTER('Fund Investment Data'!$V:$V, 'Fund Investment Data'!$C:$C = $A27)),0)"),185189.56)</f>
        <v>185189.56</v>
      </c>
      <c r="E27" s="74" t="s">
        <v>163</v>
      </c>
      <c r="F27" s="74" t="s">
        <v>164</v>
      </c>
      <c r="G27" s="72" t="b">
        <v>1</v>
      </c>
      <c r="H27" s="74"/>
      <c r="I27" s="72" t="s">
        <v>87</v>
      </c>
      <c r="J27" s="74">
        <v>291.0</v>
      </c>
      <c r="K27" s="72">
        <v>391.0</v>
      </c>
      <c r="L27" s="72">
        <v>120143.0</v>
      </c>
      <c r="M27" s="69" t="s">
        <v>165</v>
      </c>
      <c r="N27" s="68"/>
      <c r="O27" s="68"/>
      <c r="P27" s="68"/>
      <c r="Q27" s="68"/>
      <c r="R27" s="68"/>
      <c r="S27" s="68"/>
      <c r="T27" s="68"/>
      <c r="U27" s="68"/>
      <c r="V27" s="68"/>
      <c r="W27" s="68"/>
      <c r="X27" s="68"/>
      <c r="Y27" s="68"/>
      <c r="Z27" s="68"/>
      <c r="AA27" s="68"/>
      <c r="AB27" s="68"/>
      <c r="AC27" s="68"/>
      <c r="AD27" s="68"/>
      <c r="AE27" s="68"/>
      <c r="AF27" s="68"/>
    </row>
    <row r="28">
      <c r="A28" s="69" t="s">
        <v>51</v>
      </c>
      <c r="B28" s="70" t="s">
        <v>162</v>
      </c>
      <c r="C28" s="71" t="str">
        <f t="shared" si="1"/>
        <v>284 — Mark D. Varien Endowment for Research</v>
      </c>
      <c r="D28" s="71">
        <f>IFERROR(__xludf.DUMMYFUNCTION("IFERROR(sum(FILTER('Fund Investment Data'!$V:$V, 'Fund Investment Data'!$C:$C = $A28)),0)"),425073.55)</f>
        <v>425073.55</v>
      </c>
      <c r="E28" s="74" t="s">
        <v>163</v>
      </c>
      <c r="F28" s="74" t="s">
        <v>166</v>
      </c>
      <c r="G28" s="72" t="b">
        <v>1</v>
      </c>
      <c r="H28" s="74"/>
      <c r="I28" s="72" t="s">
        <v>87</v>
      </c>
      <c r="J28" s="74">
        <v>284.0</v>
      </c>
      <c r="K28" s="72">
        <v>384.0</v>
      </c>
      <c r="L28" s="72">
        <v>120131.0</v>
      </c>
      <c r="M28" s="69" t="s">
        <v>167</v>
      </c>
      <c r="N28" s="68"/>
      <c r="O28" s="68"/>
      <c r="P28" s="68"/>
      <c r="Q28" s="68"/>
      <c r="R28" s="68"/>
      <c r="S28" s="68"/>
      <c r="T28" s="68"/>
      <c r="U28" s="68"/>
      <c r="V28" s="68"/>
      <c r="W28" s="68"/>
      <c r="X28" s="68"/>
      <c r="Y28" s="68"/>
      <c r="Z28" s="68"/>
      <c r="AA28" s="68"/>
      <c r="AB28" s="68"/>
      <c r="AC28" s="68"/>
      <c r="AD28" s="68"/>
      <c r="AE28" s="68"/>
      <c r="AF28" s="68"/>
    </row>
    <row r="29">
      <c r="A29" s="77" t="s">
        <v>52</v>
      </c>
      <c r="B29" s="70" t="s">
        <v>162</v>
      </c>
      <c r="C29" s="71" t="str">
        <f t="shared" si="1"/>
        <v>283 — Research Institute Endowment Fund</v>
      </c>
      <c r="D29" s="71">
        <f>IFERROR(__xludf.DUMMYFUNCTION("IFERROR(sum(FILTER('Fund Investment Data'!$V:$V, 'Fund Investment Data'!$C:$C = $A29)),0)"),1081136.0)</f>
        <v>1081136</v>
      </c>
      <c r="E29" s="74" t="s">
        <v>168</v>
      </c>
      <c r="F29" s="74"/>
      <c r="G29" s="68" t="b">
        <v>0</v>
      </c>
      <c r="H29" s="74" t="s">
        <v>169</v>
      </c>
      <c r="I29" s="72" t="s">
        <v>87</v>
      </c>
      <c r="J29" s="74">
        <v>283.0</v>
      </c>
      <c r="K29" s="72">
        <v>382.0</v>
      </c>
      <c r="L29" s="72">
        <v>120132.0</v>
      </c>
      <c r="M29" s="69" t="s">
        <v>170</v>
      </c>
      <c r="N29" s="68"/>
      <c r="O29" s="68"/>
      <c r="P29" s="68"/>
      <c r="Q29" s="68"/>
      <c r="R29" s="68"/>
      <c r="S29" s="68"/>
      <c r="T29" s="68"/>
      <c r="U29" s="68"/>
      <c r="V29" s="68"/>
      <c r="W29" s="68"/>
      <c r="X29" s="68"/>
      <c r="Y29" s="68"/>
      <c r="Z29" s="68"/>
      <c r="AA29" s="68"/>
      <c r="AB29" s="68"/>
      <c r="AC29" s="68"/>
      <c r="AD29" s="68"/>
      <c r="AE29" s="68"/>
      <c r="AF29" s="68"/>
    </row>
    <row r="30">
      <c r="A30" s="69" t="s">
        <v>53</v>
      </c>
      <c r="B30" s="70" t="s">
        <v>162</v>
      </c>
      <c r="C30" s="71" t="str">
        <f t="shared" si="1"/>
        <v>252 — Ricky R. Lightfoot Chair for Research</v>
      </c>
      <c r="D30" s="71">
        <f>IFERROR(__xludf.DUMMYFUNCTION("IFERROR(sum(FILTER('Fund Investment Data'!$V:$V, 'Fund Investment Data'!$C:$C = $A30)),0)"),2005500.0)</f>
        <v>2005500</v>
      </c>
      <c r="E30" s="74" t="s">
        <v>171</v>
      </c>
      <c r="F30" s="74" t="s">
        <v>172</v>
      </c>
      <c r="G30" s="72" t="b">
        <v>1</v>
      </c>
      <c r="H30" s="74"/>
      <c r="I30" s="72" t="s">
        <v>87</v>
      </c>
      <c r="J30" s="74">
        <v>252.0</v>
      </c>
      <c r="K30" s="72">
        <v>352.0</v>
      </c>
      <c r="L30" s="72">
        <v>120152.0</v>
      </c>
      <c r="M30" s="69" t="s">
        <v>173</v>
      </c>
      <c r="N30" s="68"/>
      <c r="O30" s="68"/>
      <c r="P30" s="68"/>
      <c r="Q30" s="68"/>
      <c r="R30" s="68"/>
      <c r="S30" s="68"/>
      <c r="T30" s="68"/>
      <c r="U30" s="68"/>
      <c r="V30" s="68"/>
      <c r="W30" s="68"/>
      <c r="X30" s="68"/>
      <c r="Y30" s="68"/>
      <c r="Z30" s="68"/>
      <c r="AA30" s="68"/>
      <c r="AB30" s="68"/>
      <c r="AC30" s="68"/>
      <c r="AD30" s="68"/>
      <c r="AE30" s="68"/>
      <c r="AF30" s="68"/>
    </row>
    <row r="31">
      <c r="A31" s="69" t="s">
        <v>54</v>
      </c>
      <c r="B31" s="70" t="s">
        <v>162</v>
      </c>
      <c r="C31" s="71" t="str">
        <f t="shared" si="1"/>
        <v>274 — Robert H. Lister Memorial Fund</v>
      </c>
      <c r="D31" s="71">
        <f>IFERROR(__xludf.DUMMYFUNCTION("IFERROR(sum(FILTER('Fund Investment Data'!$V:$V, 'Fund Investment Data'!$C:$C = $A31)),0)"),113274.14999999998)</f>
        <v>113274.15</v>
      </c>
      <c r="E31" s="74" t="s">
        <v>174</v>
      </c>
      <c r="F31" s="74" t="s">
        <v>175</v>
      </c>
      <c r="G31" s="68" t="b">
        <v>0</v>
      </c>
      <c r="H31" s="74" t="s">
        <v>176</v>
      </c>
      <c r="I31" s="72" t="s">
        <v>87</v>
      </c>
      <c r="J31" s="74">
        <v>274.0</v>
      </c>
      <c r="K31" s="72">
        <v>374.0</v>
      </c>
      <c r="L31" s="72">
        <v>120124.0</v>
      </c>
      <c r="M31" s="69" t="s">
        <v>177</v>
      </c>
      <c r="N31" s="68"/>
      <c r="O31" s="68"/>
      <c r="P31" s="68"/>
      <c r="Q31" s="68"/>
      <c r="R31" s="68"/>
      <c r="S31" s="68"/>
      <c r="T31" s="68"/>
      <c r="U31" s="68"/>
      <c r="V31" s="68"/>
      <c r="W31" s="68"/>
      <c r="X31" s="68"/>
      <c r="Y31" s="68"/>
      <c r="Z31" s="68"/>
      <c r="AA31" s="68"/>
      <c r="AB31" s="68"/>
      <c r="AC31" s="68"/>
      <c r="AD31" s="68"/>
      <c r="AE31" s="68"/>
      <c r="AF31" s="68"/>
    </row>
    <row r="32">
      <c r="A32" s="69" t="s">
        <v>55</v>
      </c>
      <c r="B32" s="70" t="s">
        <v>162</v>
      </c>
      <c r="C32" s="71" t="str">
        <f t="shared" si="1"/>
        <v>254 — Segal Family Foundation</v>
      </c>
      <c r="D32" s="71">
        <f>IFERROR(__xludf.DUMMYFUNCTION("IFERROR(sum(FILTER('Fund Investment Data'!$V:$V, 'Fund Investment Data'!$C:$C = $A32)),0)"),350000.0)</f>
        <v>350000</v>
      </c>
      <c r="E32" s="74" t="s">
        <v>163</v>
      </c>
      <c r="F32" s="74" t="s">
        <v>178</v>
      </c>
      <c r="G32" s="72" t="b">
        <v>1</v>
      </c>
      <c r="H32" s="74"/>
      <c r="I32" s="72" t="s">
        <v>87</v>
      </c>
      <c r="J32" s="74">
        <v>254.0</v>
      </c>
      <c r="K32" s="72">
        <v>354.0</v>
      </c>
      <c r="L32" s="72">
        <v>120155.0</v>
      </c>
      <c r="M32" s="69" t="s">
        <v>179</v>
      </c>
      <c r="N32" s="68"/>
      <c r="O32" s="68"/>
      <c r="P32" s="68"/>
      <c r="Q32" s="68"/>
      <c r="R32" s="68"/>
      <c r="S32" s="68"/>
      <c r="T32" s="68"/>
      <c r="U32" s="68"/>
      <c r="V32" s="68"/>
      <c r="W32" s="68"/>
      <c r="X32" s="68"/>
      <c r="Y32" s="68"/>
      <c r="Z32" s="68"/>
      <c r="AA32" s="68"/>
      <c r="AB32" s="68"/>
      <c r="AC32" s="68"/>
      <c r="AD32" s="68"/>
      <c r="AE32" s="68"/>
      <c r="AF32" s="68"/>
    </row>
    <row r="33">
      <c r="A33" s="69" t="s">
        <v>56</v>
      </c>
      <c r="B33" s="70" t="s">
        <v>162</v>
      </c>
      <c r="C33" s="71" t="str">
        <f t="shared" si="1"/>
        <v>251 — Sue Anschutz-Rodgers Research Fund</v>
      </c>
      <c r="D33" s="71">
        <f>IFERROR(__xludf.DUMMYFUNCTION("IFERROR(sum(FILTER('Fund Investment Data'!$V:$V, 'Fund Investment Data'!$C:$C = $A33)),0)"),1000000.0)</f>
        <v>1000000</v>
      </c>
      <c r="E33" s="74" t="s">
        <v>163</v>
      </c>
      <c r="F33" s="74" t="s">
        <v>180</v>
      </c>
      <c r="G33" s="72" t="b">
        <v>1</v>
      </c>
      <c r="H33" s="74"/>
      <c r="I33" s="72" t="s">
        <v>87</v>
      </c>
      <c r="J33" s="74">
        <v>251.0</v>
      </c>
      <c r="K33" s="72">
        <v>351.0</v>
      </c>
      <c r="L33" s="72">
        <v>120154.0</v>
      </c>
      <c r="M33" s="69" t="s">
        <v>181</v>
      </c>
      <c r="N33" s="68"/>
      <c r="O33" s="68"/>
      <c r="P33" s="68"/>
      <c r="Q33" s="68"/>
      <c r="R33" s="68"/>
      <c r="S33" s="68"/>
      <c r="T33" s="68"/>
      <c r="U33" s="68"/>
      <c r="V33" s="68"/>
      <c r="W33" s="68"/>
      <c r="X33" s="68"/>
      <c r="Y33" s="68"/>
      <c r="Z33" s="68"/>
      <c r="AA33" s="68"/>
      <c r="AB33" s="68"/>
      <c r="AC33" s="68"/>
      <c r="AD33" s="68"/>
      <c r="AE33" s="68"/>
      <c r="AF33" s="68"/>
    </row>
    <row r="34">
      <c r="A34" s="69" t="s">
        <v>57</v>
      </c>
      <c r="B34" s="70" t="s">
        <v>162</v>
      </c>
      <c r="C34" s="71" t="str">
        <f t="shared" si="1"/>
        <v>264 — William D. Lipe Advances in Research Endowment Fund</v>
      </c>
      <c r="D34" s="71">
        <f>IFERROR(__xludf.DUMMYFUNCTION("IFERROR(sum(FILTER('Fund Investment Data'!$V:$V, 'Fund Investment Data'!$C:$C = $A34)),0)"),2000000.0)</f>
        <v>2000000</v>
      </c>
      <c r="E34" s="74" t="s">
        <v>182</v>
      </c>
      <c r="F34" s="74" t="s">
        <v>183</v>
      </c>
      <c r="G34" s="72" t="b">
        <v>1</v>
      </c>
      <c r="H34" s="74"/>
      <c r="I34" s="72" t="s">
        <v>87</v>
      </c>
      <c r="J34" s="74">
        <v>264.0</v>
      </c>
      <c r="K34" s="72">
        <v>364.0</v>
      </c>
      <c r="L34" s="72">
        <v>120156.0</v>
      </c>
      <c r="M34" s="69" t="s">
        <v>184</v>
      </c>
      <c r="N34" s="68"/>
      <c r="O34" s="68"/>
      <c r="P34" s="68"/>
      <c r="Q34" s="68"/>
      <c r="R34" s="68"/>
      <c r="S34" s="68"/>
      <c r="T34" s="68"/>
      <c r="U34" s="68"/>
      <c r="V34" s="68"/>
      <c r="W34" s="68"/>
      <c r="X34" s="68"/>
      <c r="Y34" s="68"/>
      <c r="Z34" s="68"/>
      <c r="AA34" s="68"/>
      <c r="AB34" s="68"/>
      <c r="AC34" s="68"/>
      <c r="AD34" s="68"/>
      <c r="AE34" s="68"/>
      <c r="AF34" s="68"/>
    </row>
    <row r="35">
      <c r="A35" s="69" t="s">
        <v>58</v>
      </c>
      <c r="B35" s="70" t="s">
        <v>162</v>
      </c>
      <c r="C35" s="71" t="str">
        <f t="shared" si="1"/>
        <v>265 — William D. Lipe Chair in Research Endowment Fund</v>
      </c>
      <c r="D35" s="71">
        <f>IFERROR(__xludf.DUMMYFUNCTION("IFERROR(sum(FILTER('Fund Investment Data'!$V:$V, 'Fund Investment Data'!$C:$C = $A35)),0)"),2000000.0)</f>
        <v>2000000</v>
      </c>
      <c r="E35" s="74" t="s">
        <v>185</v>
      </c>
      <c r="F35" s="74" t="s">
        <v>186</v>
      </c>
      <c r="G35" s="72" t="b">
        <v>1</v>
      </c>
      <c r="H35" s="74"/>
      <c r="I35" s="72" t="s">
        <v>87</v>
      </c>
      <c r="J35" s="74">
        <v>265.0</v>
      </c>
      <c r="K35" s="72">
        <v>365.0</v>
      </c>
      <c r="L35" s="72">
        <v>120157.0</v>
      </c>
      <c r="M35" s="69" t="s">
        <v>187</v>
      </c>
      <c r="N35" s="68"/>
      <c r="O35" s="68"/>
      <c r="P35" s="68"/>
      <c r="Q35" s="68"/>
      <c r="R35" s="68"/>
      <c r="S35" s="68"/>
      <c r="T35" s="68"/>
      <c r="U35" s="68"/>
      <c r="V35" s="68"/>
      <c r="W35" s="68"/>
      <c r="X35" s="68"/>
      <c r="Y35" s="68"/>
      <c r="Z35" s="68"/>
      <c r="AA35" s="68"/>
      <c r="AB35" s="68"/>
      <c r="AC35" s="68"/>
      <c r="AD35" s="68"/>
      <c r="AE35" s="68"/>
      <c r="AF35" s="68"/>
    </row>
    <row r="36">
      <c r="A36" s="72"/>
      <c r="B36" s="68"/>
      <c r="C36" s="78"/>
      <c r="D36" s="78"/>
      <c r="E36" s="68"/>
      <c r="F36" s="68"/>
      <c r="G36" s="68"/>
      <c r="H36" s="68"/>
      <c r="I36" s="68"/>
      <c r="J36" s="68"/>
      <c r="K36" s="68"/>
      <c r="L36" s="68"/>
      <c r="M36" s="69"/>
      <c r="N36" s="68"/>
      <c r="O36" s="68"/>
      <c r="P36" s="68"/>
      <c r="Q36" s="68"/>
      <c r="R36" s="68"/>
      <c r="S36" s="68"/>
      <c r="T36" s="68"/>
      <c r="U36" s="68"/>
      <c r="V36" s="68"/>
      <c r="W36" s="68"/>
      <c r="X36" s="68"/>
      <c r="Y36" s="68"/>
      <c r="Z36" s="68"/>
      <c r="AA36" s="68"/>
      <c r="AB36" s="68"/>
      <c r="AC36" s="68"/>
      <c r="AD36" s="68"/>
      <c r="AE36" s="68"/>
      <c r="AF36" s="68"/>
    </row>
    <row r="37">
      <c r="A37" s="68"/>
      <c r="B37" s="68"/>
      <c r="C37" s="78"/>
      <c r="D37" s="78"/>
      <c r="E37" s="68"/>
      <c r="F37" s="68"/>
      <c r="G37" s="68"/>
      <c r="H37" s="68"/>
      <c r="I37" s="68"/>
      <c r="J37" s="68"/>
      <c r="K37" s="68"/>
      <c r="L37" s="68"/>
      <c r="M37" s="79"/>
      <c r="N37" s="68"/>
      <c r="O37" s="68"/>
      <c r="P37" s="68"/>
      <c r="Q37" s="68"/>
      <c r="R37" s="68"/>
      <c r="S37" s="68"/>
      <c r="T37" s="68"/>
      <c r="U37" s="68"/>
      <c r="V37" s="68"/>
      <c r="W37" s="68"/>
      <c r="X37" s="68"/>
      <c r="Y37" s="68"/>
      <c r="Z37" s="68"/>
      <c r="AA37" s="68"/>
      <c r="AB37" s="68"/>
      <c r="AC37" s="68"/>
      <c r="AD37" s="68"/>
      <c r="AE37" s="68"/>
      <c r="AF37" s="68"/>
    </row>
    <row r="38">
      <c r="A38" s="68"/>
      <c r="B38" s="68"/>
      <c r="C38" s="78"/>
      <c r="D38" s="78"/>
      <c r="E38" s="68"/>
      <c r="F38" s="68"/>
      <c r="G38" s="68"/>
      <c r="H38" s="68"/>
      <c r="I38" s="68"/>
      <c r="J38" s="68"/>
      <c r="K38" s="68"/>
      <c r="L38" s="68"/>
      <c r="M38" s="79"/>
      <c r="N38" s="68"/>
      <c r="O38" s="68"/>
      <c r="P38" s="68"/>
      <c r="Q38" s="68"/>
      <c r="R38" s="68"/>
      <c r="S38" s="68"/>
      <c r="T38" s="68"/>
      <c r="U38" s="68"/>
      <c r="V38" s="68"/>
      <c r="W38" s="68"/>
      <c r="X38" s="68"/>
      <c r="Y38" s="68"/>
      <c r="Z38" s="68"/>
      <c r="AA38" s="68"/>
      <c r="AB38" s="68"/>
      <c r="AC38" s="68"/>
      <c r="AD38" s="68"/>
      <c r="AE38" s="68"/>
      <c r="AF38" s="68"/>
    </row>
    <row r="39">
      <c r="A39" s="68"/>
      <c r="B39" s="68"/>
      <c r="C39" s="78"/>
      <c r="D39" s="78"/>
      <c r="E39" s="68"/>
      <c r="F39" s="68"/>
      <c r="G39" s="68"/>
      <c r="H39" s="68"/>
      <c r="I39" s="68"/>
      <c r="J39" s="68"/>
      <c r="K39" s="68"/>
      <c r="L39" s="68"/>
      <c r="M39" s="79"/>
      <c r="N39" s="68"/>
      <c r="O39" s="68"/>
      <c r="P39" s="68"/>
      <c r="Q39" s="68"/>
      <c r="R39" s="68"/>
      <c r="S39" s="68"/>
      <c r="T39" s="68"/>
      <c r="U39" s="68"/>
      <c r="V39" s="68"/>
      <c r="W39" s="68"/>
      <c r="X39" s="68"/>
      <c r="Y39" s="68"/>
      <c r="Z39" s="68"/>
      <c r="AA39" s="68"/>
      <c r="AB39" s="68"/>
      <c r="AC39" s="68"/>
      <c r="AD39" s="68"/>
      <c r="AE39" s="68"/>
      <c r="AF39" s="68"/>
    </row>
    <row r="40">
      <c r="A40" s="68"/>
      <c r="B40" s="68"/>
      <c r="C40" s="78"/>
      <c r="D40" s="78"/>
      <c r="E40" s="68"/>
      <c r="F40" s="68"/>
      <c r="G40" s="68"/>
      <c r="H40" s="68"/>
      <c r="I40" s="68"/>
      <c r="J40" s="68"/>
      <c r="K40" s="68"/>
      <c r="L40" s="68"/>
      <c r="M40" s="79"/>
      <c r="N40" s="68"/>
      <c r="O40" s="68"/>
      <c r="P40" s="68"/>
      <c r="Q40" s="68"/>
      <c r="R40" s="68"/>
      <c r="S40" s="68"/>
      <c r="T40" s="68"/>
      <c r="U40" s="68"/>
      <c r="V40" s="68"/>
      <c r="W40" s="68"/>
      <c r="X40" s="68"/>
      <c r="Y40" s="68"/>
      <c r="Z40" s="68"/>
      <c r="AA40" s="68"/>
      <c r="AB40" s="68"/>
      <c r="AC40" s="68"/>
      <c r="AD40" s="68"/>
      <c r="AE40" s="68"/>
      <c r="AF40" s="68"/>
    </row>
    <row r="41">
      <c r="A41" s="68"/>
      <c r="B41" s="68"/>
      <c r="C41" s="78"/>
      <c r="D41" s="78"/>
      <c r="E41" s="68"/>
      <c r="F41" s="68"/>
      <c r="G41" s="68"/>
      <c r="H41" s="68"/>
      <c r="I41" s="68"/>
      <c r="J41" s="68"/>
      <c r="K41" s="68"/>
      <c r="L41" s="68"/>
      <c r="M41" s="79"/>
      <c r="N41" s="68"/>
      <c r="O41" s="68"/>
      <c r="P41" s="68"/>
      <c r="Q41" s="68"/>
      <c r="R41" s="68"/>
      <c r="S41" s="68"/>
      <c r="T41" s="68"/>
      <c r="U41" s="68"/>
      <c r="V41" s="68"/>
      <c r="W41" s="68"/>
      <c r="X41" s="68"/>
      <c r="Y41" s="68"/>
      <c r="Z41" s="68"/>
      <c r="AA41" s="68"/>
      <c r="AB41" s="68"/>
      <c r="AC41" s="68"/>
      <c r="AD41" s="68"/>
      <c r="AE41" s="68"/>
      <c r="AF41" s="68"/>
    </row>
    <row r="42">
      <c r="A42" s="68"/>
      <c r="B42" s="68"/>
      <c r="C42" s="78"/>
      <c r="D42" s="78"/>
      <c r="E42" s="68"/>
      <c r="F42" s="68"/>
      <c r="G42" s="68"/>
      <c r="H42" s="68"/>
      <c r="I42" s="68"/>
      <c r="J42" s="68"/>
      <c r="K42" s="68"/>
      <c r="L42" s="68"/>
      <c r="M42" s="79"/>
      <c r="N42" s="68"/>
      <c r="O42" s="68"/>
      <c r="P42" s="68"/>
      <c r="Q42" s="68"/>
      <c r="R42" s="68"/>
      <c r="S42" s="68"/>
      <c r="T42" s="68"/>
      <c r="U42" s="68"/>
      <c r="V42" s="68"/>
      <c r="W42" s="68"/>
      <c r="X42" s="68"/>
      <c r="Y42" s="68"/>
      <c r="Z42" s="68"/>
      <c r="AA42" s="68"/>
      <c r="AB42" s="68"/>
      <c r="AC42" s="68"/>
      <c r="AD42" s="68"/>
      <c r="AE42" s="68"/>
      <c r="AF42" s="68"/>
    </row>
    <row r="43">
      <c r="A43" s="68"/>
      <c r="B43" s="68"/>
      <c r="C43" s="78"/>
      <c r="D43" s="78"/>
      <c r="E43" s="68"/>
      <c r="F43" s="68"/>
      <c r="G43" s="68"/>
      <c r="H43" s="68"/>
      <c r="I43" s="68"/>
      <c r="J43" s="68"/>
      <c r="K43" s="68"/>
      <c r="L43" s="68"/>
      <c r="M43" s="79"/>
      <c r="N43" s="68"/>
      <c r="O43" s="68"/>
      <c r="P43" s="68"/>
      <c r="Q43" s="68"/>
      <c r="R43" s="68"/>
      <c r="S43" s="68"/>
      <c r="T43" s="68"/>
      <c r="U43" s="68"/>
      <c r="V43" s="68"/>
      <c r="W43" s="68"/>
      <c r="X43" s="68"/>
      <c r="Y43" s="68"/>
      <c r="Z43" s="68"/>
      <c r="AA43" s="68"/>
      <c r="AB43" s="68"/>
      <c r="AC43" s="68"/>
      <c r="AD43" s="68"/>
      <c r="AE43" s="68"/>
      <c r="AF43" s="68"/>
    </row>
    <row r="44">
      <c r="A44" s="68"/>
      <c r="B44" s="68"/>
      <c r="C44" s="78"/>
      <c r="D44" s="78"/>
      <c r="E44" s="68"/>
      <c r="F44" s="68"/>
      <c r="G44" s="68"/>
      <c r="H44" s="68"/>
      <c r="I44" s="68"/>
      <c r="J44" s="68"/>
      <c r="K44" s="68"/>
      <c r="L44" s="68"/>
      <c r="M44" s="79"/>
      <c r="N44" s="68"/>
      <c r="O44" s="68"/>
      <c r="P44" s="68"/>
      <c r="Q44" s="68"/>
      <c r="R44" s="68"/>
      <c r="S44" s="68"/>
      <c r="T44" s="68"/>
      <c r="U44" s="68"/>
      <c r="V44" s="68"/>
      <c r="W44" s="68"/>
      <c r="X44" s="68"/>
      <c r="Y44" s="68"/>
      <c r="Z44" s="68"/>
      <c r="AA44" s="68"/>
      <c r="AB44" s="68"/>
      <c r="AC44" s="68"/>
      <c r="AD44" s="68"/>
      <c r="AE44" s="68"/>
      <c r="AF44" s="68"/>
    </row>
    <row r="45">
      <c r="A45" s="68"/>
      <c r="B45" s="68"/>
      <c r="C45" s="78"/>
      <c r="D45" s="78"/>
      <c r="E45" s="68"/>
      <c r="F45" s="68"/>
      <c r="G45" s="68"/>
      <c r="H45" s="68"/>
      <c r="I45" s="68"/>
      <c r="J45" s="68"/>
      <c r="K45" s="68"/>
      <c r="L45" s="68"/>
      <c r="M45" s="79"/>
      <c r="N45" s="68"/>
      <c r="O45" s="68"/>
      <c r="P45" s="68"/>
      <c r="Q45" s="68"/>
      <c r="R45" s="68"/>
      <c r="S45" s="68"/>
      <c r="T45" s="68"/>
      <c r="U45" s="68"/>
      <c r="V45" s="68"/>
      <c r="W45" s="68"/>
      <c r="X45" s="68"/>
      <c r="Y45" s="68"/>
      <c r="Z45" s="68"/>
      <c r="AA45" s="68"/>
      <c r="AB45" s="68"/>
      <c r="AC45" s="68"/>
      <c r="AD45" s="68"/>
      <c r="AE45" s="68"/>
      <c r="AF45" s="68"/>
    </row>
    <row r="46">
      <c r="A46" s="68"/>
      <c r="B46" s="68"/>
      <c r="C46" s="78"/>
      <c r="D46" s="78"/>
      <c r="E46" s="68"/>
      <c r="F46" s="68"/>
      <c r="G46" s="68"/>
      <c r="H46" s="68"/>
      <c r="I46" s="68"/>
      <c r="J46" s="68"/>
      <c r="K46" s="68"/>
      <c r="L46" s="68"/>
      <c r="M46" s="79"/>
      <c r="N46" s="68"/>
      <c r="O46" s="68"/>
      <c r="P46" s="68"/>
      <c r="Q46" s="68"/>
      <c r="R46" s="68"/>
      <c r="S46" s="68"/>
      <c r="T46" s="68"/>
      <c r="U46" s="68"/>
      <c r="V46" s="68"/>
      <c r="W46" s="68"/>
      <c r="X46" s="68"/>
      <c r="Y46" s="68"/>
      <c r="Z46" s="68"/>
      <c r="AA46" s="68"/>
      <c r="AB46" s="68"/>
      <c r="AC46" s="68"/>
      <c r="AD46" s="68"/>
      <c r="AE46" s="68"/>
      <c r="AF46" s="68"/>
    </row>
    <row r="47">
      <c r="A47" s="68"/>
      <c r="B47" s="68"/>
      <c r="C47" s="78"/>
      <c r="D47" s="78"/>
      <c r="E47" s="68"/>
      <c r="F47" s="68"/>
      <c r="G47" s="68"/>
      <c r="H47" s="68"/>
      <c r="I47" s="68"/>
      <c r="J47" s="68"/>
      <c r="K47" s="68"/>
      <c r="L47" s="68"/>
      <c r="M47" s="79"/>
      <c r="N47" s="68"/>
      <c r="O47" s="68"/>
      <c r="P47" s="68"/>
      <c r="Q47" s="68"/>
      <c r="R47" s="68"/>
      <c r="S47" s="68"/>
      <c r="T47" s="68"/>
      <c r="U47" s="68"/>
      <c r="V47" s="68"/>
      <c r="W47" s="68"/>
      <c r="X47" s="68"/>
      <c r="Y47" s="68"/>
      <c r="Z47" s="68"/>
      <c r="AA47" s="68"/>
      <c r="AB47" s="68"/>
      <c r="AC47" s="68"/>
      <c r="AD47" s="68"/>
      <c r="AE47" s="68"/>
      <c r="AF47" s="68"/>
    </row>
    <row r="48">
      <c r="A48" s="68"/>
      <c r="B48" s="68"/>
      <c r="C48" s="78"/>
      <c r="D48" s="78"/>
      <c r="E48" s="68"/>
      <c r="F48" s="68"/>
      <c r="G48" s="68"/>
      <c r="H48" s="68"/>
      <c r="I48" s="68"/>
      <c r="J48" s="68"/>
      <c r="K48" s="68"/>
      <c r="L48" s="68"/>
      <c r="M48" s="79"/>
      <c r="N48" s="68"/>
      <c r="O48" s="68"/>
      <c r="P48" s="68"/>
      <c r="Q48" s="68"/>
      <c r="R48" s="68"/>
      <c r="S48" s="68"/>
      <c r="T48" s="68"/>
      <c r="U48" s="68"/>
      <c r="V48" s="68"/>
      <c r="W48" s="68"/>
      <c r="X48" s="68"/>
      <c r="Y48" s="68"/>
      <c r="Z48" s="68"/>
      <c r="AA48" s="68"/>
      <c r="AB48" s="68"/>
      <c r="AC48" s="68"/>
      <c r="AD48" s="68"/>
      <c r="AE48" s="68"/>
      <c r="AF48" s="68"/>
    </row>
    <row r="49">
      <c r="A49" s="68"/>
      <c r="B49" s="68"/>
      <c r="C49" s="78"/>
      <c r="D49" s="78"/>
      <c r="E49" s="68"/>
      <c r="F49" s="68"/>
      <c r="G49" s="68"/>
      <c r="H49" s="68"/>
      <c r="I49" s="68"/>
      <c r="J49" s="68"/>
      <c r="K49" s="68"/>
      <c r="L49" s="68"/>
      <c r="M49" s="79"/>
      <c r="N49" s="68"/>
      <c r="O49" s="68"/>
      <c r="P49" s="68"/>
      <c r="Q49" s="68"/>
      <c r="R49" s="68"/>
      <c r="S49" s="68"/>
      <c r="T49" s="68"/>
      <c r="U49" s="68"/>
      <c r="V49" s="68"/>
      <c r="W49" s="68"/>
      <c r="X49" s="68"/>
      <c r="Y49" s="68"/>
      <c r="Z49" s="68"/>
      <c r="AA49" s="68"/>
      <c r="AB49" s="68"/>
      <c r="AC49" s="68"/>
      <c r="AD49" s="68"/>
      <c r="AE49" s="68"/>
      <c r="AF49" s="68"/>
    </row>
    <row r="50">
      <c r="A50" s="68"/>
      <c r="B50" s="68"/>
      <c r="C50" s="78"/>
      <c r="D50" s="78"/>
      <c r="E50" s="68"/>
      <c r="F50" s="68"/>
      <c r="G50" s="68"/>
      <c r="H50" s="68"/>
      <c r="I50" s="68"/>
      <c r="J50" s="68"/>
      <c r="K50" s="68"/>
      <c r="L50" s="68"/>
      <c r="M50" s="79"/>
      <c r="N50" s="68"/>
      <c r="O50" s="68"/>
      <c r="P50" s="68"/>
      <c r="Q50" s="68"/>
      <c r="R50" s="68"/>
      <c r="S50" s="68"/>
      <c r="T50" s="68"/>
      <c r="U50" s="68"/>
      <c r="V50" s="68"/>
      <c r="W50" s="68"/>
      <c r="X50" s="68"/>
      <c r="Y50" s="68"/>
      <c r="Z50" s="68"/>
      <c r="AA50" s="68"/>
      <c r="AB50" s="68"/>
      <c r="AC50" s="68"/>
      <c r="AD50" s="68"/>
      <c r="AE50" s="68"/>
      <c r="AF50" s="68"/>
    </row>
    <row r="51">
      <c r="A51" s="68"/>
      <c r="B51" s="68"/>
      <c r="C51" s="78"/>
      <c r="D51" s="78"/>
      <c r="E51" s="68"/>
      <c r="F51" s="68"/>
      <c r="G51" s="68"/>
      <c r="H51" s="68"/>
      <c r="I51" s="68"/>
      <c r="J51" s="68"/>
      <c r="K51" s="68"/>
      <c r="L51" s="68"/>
      <c r="M51" s="79"/>
      <c r="N51" s="68"/>
      <c r="O51" s="68"/>
      <c r="P51" s="68"/>
      <c r="Q51" s="68"/>
      <c r="R51" s="68"/>
      <c r="S51" s="68"/>
      <c r="T51" s="68"/>
      <c r="U51" s="68"/>
      <c r="V51" s="68"/>
      <c r="W51" s="68"/>
      <c r="X51" s="68"/>
      <c r="Y51" s="68"/>
      <c r="Z51" s="68"/>
      <c r="AA51" s="68"/>
      <c r="AB51" s="68"/>
      <c r="AC51" s="68"/>
      <c r="AD51" s="68"/>
      <c r="AE51" s="68"/>
      <c r="AF51" s="68"/>
    </row>
    <row r="52">
      <c r="A52" s="68"/>
      <c r="B52" s="68"/>
      <c r="C52" s="78"/>
      <c r="D52" s="78"/>
      <c r="E52" s="68"/>
      <c r="F52" s="68"/>
      <c r="G52" s="68"/>
      <c r="H52" s="68"/>
      <c r="I52" s="68"/>
      <c r="J52" s="68"/>
      <c r="K52" s="68"/>
      <c r="L52" s="68"/>
      <c r="M52" s="79"/>
      <c r="N52" s="68"/>
      <c r="O52" s="68"/>
      <c r="P52" s="68"/>
      <c r="Q52" s="68"/>
      <c r="R52" s="68"/>
      <c r="S52" s="68"/>
      <c r="T52" s="68"/>
      <c r="U52" s="68"/>
      <c r="V52" s="68"/>
      <c r="W52" s="68"/>
      <c r="X52" s="68"/>
      <c r="Y52" s="68"/>
      <c r="Z52" s="68"/>
      <c r="AA52" s="68"/>
      <c r="AB52" s="68"/>
      <c r="AC52" s="68"/>
      <c r="AD52" s="68"/>
      <c r="AE52" s="68"/>
      <c r="AF52" s="68"/>
    </row>
    <row r="53">
      <c r="A53" s="68"/>
      <c r="B53" s="68"/>
      <c r="C53" s="78"/>
      <c r="D53" s="78"/>
      <c r="E53" s="68"/>
      <c r="F53" s="68"/>
      <c r="G53" s="68"/>
      <c r="H53" s="68"/>
      <c r="I53" s="68"/>
      <c r="J53" s="68"/>
      <c r="K53" s="68"/>
      <c r="L53" s="68"/>
      <c r="M53" s="79"/>
      <c r="N53" s="68"/>
      <c r="O53" s="68"/>
      <c r="P53" s="68"/>
      <c r="Q53" s="68"/>
      <c r="R53" s="68"/>
      <c r="S53" s="68"/>
      <c r="T53" s="68"/>
      <c r="U53" s="68"/>
      <c r="V53" s="68"/>
      <c r="W53" s="68"/>
      <c r="X53" s="68"/>
      <c r="Y53" s="68"/>
      <c r="Z53" s="68"/>
      <c r="AA53" s="68"/>
      <c r="AB53" s="68"/>
      <c r="AC53" s="68"/>
      <c r="AD53" s="68"/>
      <c r="AE53" s="68"/>
      <c r="AF53" s="68"/>
    </row>
    <row r="54">
      <c r="A54" s="68"/>
      <c r="B54" s="68"/>
      <c r="C54" s="78"/>
      <c r="D54" s="78"/>
      <c r="E54" s="68"/>
      <c r="F54" s="68"/>
      <c r="G54" s="68"/>
      <c r="H54" s="68"/>
      <c r="I54" s="68"/>
      <c r="J54" s="68"/>
      <c r="K54" s="68"/>
      <c r="L54" s="68"/>
      <c r="M54" s="79"/>
      <c r="N54" s="68"/>
      <c r="O54" s="68"/>
      <c r="P54" s="68"/>
      <c r="Q54" s="68"/>
      <c r="R54" s="68"/>
      <c r="S54" s="68"/>
      <c r="T54" s="68"/>
      <c r="U54" s="68"/>
      <c r="V54" s="68"/>
      <c r="W54" s="68"/>
      <c r="X54" s="68"/>
      <c r="Y54" s="68"/>
      <c r="Z54" s="68"/>
      <c r="AA54" s="68"/>
      <c r="AB54" s="68"/>
      <c r="AC54" s="68"/>
      <c r="AD54" s="68"/>
      <c r="AE54" s="68"/>
      <c r="AF54" s="68"/>
    </row>
    <row r="55">
      <c r="A55" s="68"/>
      <c r="B55" s="68"/>
      <c r="C55" s="78"/>
      <c r="D55" s="78"/>
      <c r="E55" s="68"/>
      <c r="F55" s="68"/>
      <c r="G55" s="68"/>
      <c r="H55" s="68"/>
      <c r="I55" s="68"/>
      <c r="J55" s="68"/>
      <c r="K55" s="68"/>
      <c r="L55" s="68"/>
      <c r="M55" s="79"/>
      <c r="N55" s="68"/>
      <c r="O55" s="68"/>
      <c r="P55" s="68"/>
      <c r="Q55" s="68"/>
      <c r="R55" s="68"/>
      <c r="S55" s="68"/>
      <c r="T55" s="68"/>
      <c r="U55" s="68"/>
      <c r="V55" s="68"/>
      <c r="W55" s="68"/>
      <c r="X55" s="68"/>
      <c r="Y55" s="68"/>
      <c r="Z55" s="68"/>
      <c r="AA55" s="68"/>
      <c r="AB55" s="68"/>
      <c r="AC55" s="68"/>
      <c r="AD55" s="68"/>
      <c r="AE55" s="68"/>
      <c r="AF55" s="68"/>
    </row>
    <row r="56">
      <c r="A56" s="68"/>
      <c r="B56" s="68"/>
      <c r="C56" s="78"/>
      <c r="D56" s="78"/>
      <c r="E56" s="68"/>
      <c r="F56" s="68"/>
      <c r="G56" s="68"/>
      <c r="H56" s="68"/>
      <c r="I56" s="68"/>
      <c r="J56" s="68"/>
      <c r="K56" s="68"/>
      <c r="L56" s="68"/>
      <c r="M56" s="79"/>
      <c r="N56" s="68"/>
      <c r="O56" s="68"/>
      <c r="P56" s="68"/>
      <c r="Q56" s="68"/>
      <c r="R56" s="68"/>
      <c r="S56" s="68"/>
      <c r="T56" s="68"/>
      <c r="U56" s="68"/>
      <c r="V56" s="68"/>
      <c r="W56" s="68"/>
      <c r="X56" s="68"/>
      <c r="Y56" s="68"/>
      <c r="Z56" s="68"/>
      <c r="AA56" s="68"/>
      <c r="AB56" s="68"/>
      <c r="AC56" s="68"/>
      <c r="AD56" s="68"/>
      <c r="AE56" s="68"/>
      <c r="AF56" s="68"/>
    </row>
    <row r="57">
      <c r="A57" s="68"/>
      <c r="B57" s="68"/>
      <c r="C57" s="78"/>
      <c r="D57" s="78"/>
      <c r="E57" s="68"/>
      <c r="F57" s="68"/>
      <c r="G57" s="68"/>
      <c r="H57" s="68"/>
      <c r="I57" s="68"/>
      <c r="J57" s="68"/>
      <c r="K57" s="68"/>
      <c r="L57" s="68"/>
      <c r="M57" s="79"/>
      <c r="N57" s="68"/>
      <c r="O57" s="68"/>
      <c r="P57" s="68"/>
      <c r="Q57" s="68"/>
      <c r="R57" s="68"/>
      <c r="S57" s="68"/>
      <c r="T57" s="68"/>
      <c r="U57" s="68"/>
      <c r="V57" s="68"/>
      <c r="W57" s="68"/>
      <c r="X57" s="68"/>
      <c r="Y57" s="68"/>
      <c r="Z57" s="68"/>
      <c r="AA57" s="68"/>
      <c r="AB57" s="68"/>
      <c r="AC57" s="68"/>
      <c r="AD57" s="68"/>
      <c r="AE57" s="68"/>
      <c r="AF57" s="68"/>
    </row>
    <row r="58">
      <c r="A58" s="68"/>
      <c r="B58" s="68"/>
      <c r="C58" s="78"/>
      <c r="D58" s="78"/>
      <c r="E58" s="68"/>
      <c r="F58" s="68"/>
      <c r="G58" s="68"/>
      <c r="H58" s="68"/>
      <c r="I58" s="68"/>
      <c r="J58" s="68"/>
      <c r="K58" s="68"/>
      <c r="L58" s="68"/>
      <c r="M58" s="79"/>
      <c r="N58" s="68"/>
      <c r="O58" s="68"/>
      <c r="P58" s="68"/>
      <c r="Q58" s="68"/>
      <c r="R58" s="68"/>
      <c r="S58" s="68"/>
      <c r="T58" s="68"/>
      <c r="U58" s="68"/>
      <c r="V58" s="68"/>
      <c r="W58" s="68"/>
      <c r="X58" s="68"/>
      <c r="Y58" s="68"/>
      <c r="Z58" s="68"/>
      <c r="AA58" s="68"/>
      <c r="AB58" s="68"/>
      <c r="AC58" s="68"/>
      <c r="AD58" s="68"/>
      <c r="AE58" s="68"/>
      <c r="AF58" s="68"/>
    </row>
    <row r="59">
      <c r="A59" s="68"/>
      <c r="B59" s="68"/>
      <c r="C59" s="78"/>
      <c r="D59" s="78"/>
      <c r="E59" s="68"/>
      <c r="F59" s="68"/>
      <c r="G59" s="68"/>
      <c r="H59" s="68"/>
      <c r="I59" s="68"/>
      <c r="J59" s="68"/>
      <c r="K59" s="68"/>
      <c r="L59" s="68"/>
      <c r="M59" s="79"/>
      <c r="N59" s="68"/>
      <c r="O59" s="68"/>
      <c r="P59" s="68"/>
      <c r="Q59" s="68"/>
      <c r="R59" s="68"/>
      <c r="S59" s="68"/>
      <c r="T59" s="68"/>
      <c r="U59" s="68"/>
      <c r="V59" s="68"/>
      <c r="W59" s="68"/>
      <c r="X59" s="68"/>
      <c r="Y59" s="68"/>
      <c r="Z59" s="68"/>
      <c r="AA59" s="68"/>
      <c r="AB59" s="68"/>
      <c r="AC59" s="68"/>
      <c r="AD59" s="68"/>
      <c r="AE59" s="68"/>
      <c r="AF59" s="68"/>
    </row>
    <row r="60">
      <c r="A60" s="68"/>
      <c r="B60" s="68"/>
      <c r="C60" s="78"/>
      <c r="D60" s="78"/>
      <c r="E60" s="68"/>
      <c r="F60" s="68"/>
      <c r="G60" s="68"/>
      <c r="H60" s="68"/>
      <c r="I60" s="68"/>
      <c r="J60" s="68"/>
      <c r="K60" s="68"/>
      <c r="L60" s="68"/>
      <c r="M60" s="79"/>
      <c r="N60" s="68"/>
      <c r="O60" s="68"/>
      <c r="P60" s="68"/>
      <c r="Q60" s="68"/>
      <c r="R60" s="68"/>
      <c r="S60" s="68"/>
      <c r="T60" s="68"/>
      <c r="U60" s="68"/>
      <c r="V60" s="68"/>
      <c r="W60" s="68"/>
      <c r="X60" s="68"/>
      <c r="Y60" s="68"/>
      <c r="Z60" s="68"/>
      <c r="AA60" s="68"/>
      <c r="AB60" s="68"/>
      <c r="AC60" s="68"/>
      <c r="AD60" s="68"/>
      <c r="AE60" s="68"/>
      <c r="AF60" s="68"/>
    </row>
    <row r="61">
      <c r="A61" s="68"/>
      <c r="B61" s="68"/>
      <c r="C61" s="78"/>
      <c r="D61" s="78"/>
      <c r="E61" s="68"/>
      <c r="F61" s="68"/>
      <c r="G61" s="68"/>
      <c r="H61" s="68"/>
      <c r="I61" s="68"/>
      <c r="J61" s="68"/>
      <c r="K61" s="68"/>
      <c r="L61" s="68"/>
      <c r="M61" s="79"/>
      <c r="N61" s="68"/>
      <c r="O61" s="68"/>
      <c r="P61" s="68"/>
      <c r="Q61" s="68"/>
      <c r="R61" s="68"/>
      <c r="S61" s="68"/>
      <c r="T61" s="68"/>
      <c r="U61" s="68"/>
      <c r="V61" s="68"/>
      <c r="W61" s="68"/>
      <c r="X61" s="68"/>
      <c r="Y61" s="68"/>
      <c r="Z61" s="68"/>
      <c r="AA61" s="68"/>
      <c r="AB61" s="68"/>
      <c r="AC61" s="68"/>
      <c r="AD61" s="68"/>
      <c r="AE61" s="68"/>
      <c r="AF61" s="68"/>
    </row>
    <row r="62">
      <c r="A62" s="68"/>
      <c r="B62" s="68"/>
      <c r="C62" s="78"/>
      <c r="D62" s="78"/>
      <c r="E62" s="68"/>
      <c r="F62" s="68"/>
      <c r="G62" s="68"/>
      <c r="H62" s="68"/>
      <c r="I62" s="68"/>
      <c r="J62" s="68"/>
      <c r="K62" s="68"/>
      <c r="L62" s="68"/>
      <c r="M62" s="79"/>
      <c r="N62" s="68"/>
      <c r="O62" s="68"/>
      <c r="P62" s="68"/>
      <c r="Q62" s="68"/>
      <c r="R62" s="68"/>
      <c r="S62" s="68"/>
      <c r="T62" s="68"/>
      <c r="U62" s="68"/>
      <c r="V62" s="68"/>
      <c r="W62" s="68"/>
      <c r="X62" s="68"/>
      <c r="Y62" s="68"/>
      <c r="Z62" s="68"/>
      <c r="AA62" s="68"/>
      <c r="AB62" s="68"/>
      <c r="AC62" s="68"/>
      <c r="AD62" s="68"/>
      <c r="AE62" s="68"/>
      <c r="AF62" s="68"/>
    </row>
    <row r="63">
      <c r="A63" s="68"/>
      <c r="B63" s="68"/>
      <c r="C63" s="78"/>
      <c r="D63" s="78"/>
      <c r="E63" s="68"/>
      <c r="F63" s="68"/>
      <c r="G63" s="68"/>
      <c r="H63" s="68"/>
      <c r="I63" s="68"/>
      <c r="J63" s="68"/>
      <c r="K63" s="68"/>
      <c r="L63" s="68"/>
      <c r="M63" s="79"/>
      <c r="N63" s="68"/>
      <c r="O63" s="68"/>
      <c r="P63" s="68"/>
      <c r="Q63" s="68"/>
      <c r="R63" s="68"/>
      <c r="S63" s="68"/>
      <c r="T63" s="68"/>
      <c r="U63" s="68"/>
      <c r="V63" s="68"/>
      <c r="W63" s="68"/>
      <c r="X63" s="68"/>
      <c r="Y63" s="68"/>
      <c r="Z63" s="68"/>
      <c r="AA63" s="68"/>
      <c r="AB63" s="68"/>
      <c r="AC63" s="68"/>
      <c r="AD63" s="68"/>
      <c r="AE63" s="68"/>
      <c r="AF63" s="68"/>
    </row>
    <row r="64">
      <c r="A64" s="68"/>
      <c r="B64" s="68"/>
      <c r="C64" s="78"/>
      <c r="D64" s="78"/>
      <c r="E64" s="68"/>
      <c r="F64" s="68"/>
      <c r="G64" s="68"/>
      <c r="H64" s="68"/>
      <c r="I64" s="68"/>
      <c r="J64" s="68"/>
      <c r="K64" s="68"/>
      <c r="L64" s="68"/>
      <c r="M64" s="79"/>
      <c r="N64" s="68"/>
      <c r="O64" s="68"/>
      <c r="P64" s="68"/>
      <c r="Q64" s="68"/>
      <c r="R64" s="68"/>
      <c r="S64" s="68"/>
      <c r="T64" s="68"/>
      <c r="U64" s="68"/>
      <c r="V64" s="68"/>
      <c r="W64" s="68"/>
      <c r="X64" s="68"/>
      <c r="Y64" s="68"/>
      <c r="Z64" s="68"/>
      <c r="AA64" s="68"/>
      <c r="AB64" s="68"/>
      <c r="AC64" s="68"/>
      <c r="AD64" s="68"/>
      <c r="AE64" s="68"/>
      <c r="AF64" s="68"/>
    </row>
    <row r="65">
      <c r="A65" s="68"/>
      <c r="B65" s="68"/>
      <c r="C65" s="78"/>
      <c r="D65" s="78"/>
      <c r="E65" s="68"/>
      <c r="F65" s="68"/>
      <c r="G65" s="68"/>
      <c r="H65" s="68"/>
      <c r="I65" s="68"/>
      <c r="J65" s="68"/>
      <c r="K65" s="68"/>
      <c r="L65" s="68"/>
      <c r="M65" s="79"/>
      <c r="N65" s="68"/>
      <c r="O65" s="68"/>
      <c r="P65" s="68"/>
      <c r="Q65" s="68"/>
      <c r="R65" s="68"/>
      <c r="S65" s="68"/>
      <c r="T65" s="68"/>
      <c r="U65" s="68"/>
      <c r="V65" s="68"/>
      <c r="W65" s="68"/>
      <c r="X65" s="68"/>
      <c r="Y65" s="68"/>
      <c r="Z65" s="68"/>
      <c r="AA65" s="68"/>
      <c r="AB65" s="68"/>
      <c r="AC65" s="68"/>
      <c r="AD65" s="68"/>
      <c r="AE65" s="68"/>
      <c r="AF65" s="68"/>
    </row>
    <row r="66">
      <c r="A66" s="68"/>
      <c r="B66" s="68"/>
      <c r="C66" s="78"/>
      <c r="D66" s="78"/>
      <c r="E66" s="68"/>
      <c r="F66" s="68"/>
      <c r="G66" s="68"/>
      <c r="H66" s="68"/>
      <c r="I66" s="68"/>
      <c r="J66" s="68"/>
      <c r="K66" s="68"/>
      <c r="L66" s="68"/>
      <c r="M66" s="79"/>
      <c r="N66" s="68"/>
      <c r="O66" s="68"/>
      <c r="P66" s="68"/>
      <c r="Q66" s="68"/>
      <c r="R66" s="68"/>
      <c r="S66" s="68"/>
      <c r="T66" s="68"/>
      <c r="U66" s="68"/>
      <c r="V66" s="68"/>
      <c r="W66" s="68"/>
      <c r="X66" s="68"/>
      <c r="Y66" s="68"/>
      <c r="Z66" s="68"/>
      <c r="AA66" s="68"/>
      <c r="AB66" s="68"/>
      <c r="AC66" s="68"/>
      <c r="AD66" s="68"/>
      <c r="AE66" s="68"/>
      <c r="AF66" s="68"/>
    </row>
    <row r="67">
      <c r="A67" s="68"/>
      <c r="B67" s="68"/>
      <c r="C67" s="78"/>
      <c r="D67" s="78"/>
      <c r="E67" s="68"/>
      <c r="F67" s="68"/>
      <c r="G67" s="68"/>
      <c r="H67" s="68"/>
      <c r="I67" s="68"/>
      <c r="J67" s="68"/>
      <c r="K67" s="68"/>
      <c r="L67" s="68"/>
      <c r="M67" s="79"/>
      <c r="N67" s="68"/>
      <c r="O67" s="68"/>
      <c r="P67" s="68"/>
      <c r="Q67" s="68"/>
      <c r="R67" s="68"/>
      <c r="S67" s="68"/>
      <c r="T67" s="68"/>
      <c r="U67" s="68"/>
      <c r="V67" s="68"/>
      <c r="W67" s="68"/>
      <c r="X67" s="68"/>
      <c r="Y67" s="68"/>
      <c r="Z67" s="68"/>
      <c r="AA67" s="68"/>
      <c r="AB67" s="68"/>
      <c r="AC67" s="68"/>
      <c r="AD67" s="68"/>
      <c r="AE67" s="68"/>
      <c r="AF67" s="68"/>
    </row>
    <row r="68">
      <c r="A68" s="68"/>
      <c r="B68" s="68"/>
      <c r="C68" s="78"/>
      <c r="D68" s="78"/>
      <c r="E68" s="68"/>
      <c r="F68" s="68"/>
      <c r="G68" s="68"/>
      <c r="H68" s="68"/>
      <c r="I68" s="68"/>
      <c r="J68" s="68"/>
      <c r="K68" s="68"/>
      <c r="L68" s="68"/>
      <c r="M68" s="79"/>
      <c r="N68" s="68"/>
      <c r="O68" s="68"/>
      <c r="P68" s="68"/>
      <c r="Q68" s="68"/>
      <c r="R68" s="68"/>
      <c r="S68" s="68"/>
      <c r="T68" s="68"/>
      <c r="U68" s="68"/>
      <c r="V68" s="68"/>
      <c r="W68" s="68"/>
      <c r="X68" s="68"/>
      <c r="Y68" s="68"/>
      <c r="Z68" s="68"/>
      <c r="AA68" s="68"/>
      <c r="AB68" s="68"/>
      <c r="AC68" s="68"/>
      <c r="AD68" s="68"/>
      <c r="AE68" s="68"/>
      <c r="AF68" s="68"/>
    </row>
    <row r="69">
      <c r="A69" s="68"/>
      <c r="B69" s="68"/>
      <c r="C69" s="78"/>
      <c r="D69" s="78"/>
      <c r="E69" s="68"/>
      <c r="F69" s="68"/>
      <c r="G69" s="68"/>
      <c r="H69" s="68"/>
      <c r="I69" s="68"/>
      <c r="J69" s="68"/>
      <c r="K69" s="68"/>
      <c r="L69" s="68"/>
      <c r="M69" s="79"/>
      <c r="N69" s="68"/>
      <c r="O69" s="68"/>
      <c r="P69" s="68"/>
      <c r="Q69" s="68"/>
      <c r="R69" s="68"/>
      <c r="S69" s="68"/>
      <c r="T69" s="68"/>
      <c r="U69" s="68"/>
      <c r="V69" s="68"/>
      <c r="W69" s="68"/>
      <c r="X69" s="68"/>
      <c r="Y69" s="68"/>
      <c r="Z69" s="68"/>
      <c r="AA69" s="68"/>
      <c r="AB69" s="68"/>
      <c r="AC69" s="68"/>
      <c r="AD69" s="68"/>
      <c r="AE69" s="68"/>
      <c r="AF69" s="68"/>
    </row>
    <row r="70">
      <c r="A70" s="68"/>
      <c r="B70" s="68"/>
      <c r="C70" s="78"/>
      <c r="D70" s="78"/>
      <c r="E70" s="68"/>
      <c r="F70" s="68"/>
      <c r="G70" s="68"/>
      <c r="H70" s="68"/>
      <c r="I70" s="68"/>
      <c r="J70" s="68"/>
      <c r="K70" s="68"/>
      <c r="L70" s="68"/>
      <c r="M70" s="79"/>
      <c r="N70" s="68"/>
      <c r="O70" s="68"/>
      <c r="P70" s="68"/>
      <c r="Q70" s="68"/>
      <c r="R70" s="68"/>
      <c r="S70" s="68"/>
      <c r="T70" s="68"/>
      <c r="U70" s="68"/>
      <c r="V70" s="68"/>
      <c r="W70" s="68"/>
      <c r="X70" s="68"/>
      <c r="Y70" s="68"/>
      <c r="Z70" s="68"/>
      <c r="AA70" s="68"/>
      <c r="AB70" s="68"/>
      <c r="AC70" s="68"/>
      <c r="AD70" s="68"/>
      <c r="AE70" s="68"/>
      <c r="AF70" s="68"/>
    </row>
    <row r="71">
      <c r="A71" s="68"/>
      <c r="B71" s="68"/>
      <c r="C71" s="78"/>
      <c r="D71" s="78"/>
      <c r="E71" s="68"/>
      <c r="F71" s="68"/>
      <c r="G71" s="68"/>
      <c r="H71" s="68"/>
      <c r="I71" s="68"/>
      <c r="J71" s="68"/>
      <c r="K71" s="68"/>
      <c r="L71" s="68"/>
      <c r="M71" s="79"/>
      <c r="N71" s="68"/>
      <c r="O71" s="68"/>
      <c r="P71" s="68"/>
      <c r="Q71" s="68"/>
      <c r="R71" s="68"/>
      <c r="S71" s="68"/>
      <c r="T71" s="68"/>
      <c r="U71" s="68"/>
      <c r="V71" s="68"/>
      <c r="W71" s="68"/>
      <c r="X71" s="68"/>
      <c r="Y71" s="68"/>
      <c r="Z71" s="68"/>
      <c r="AA71" s="68"/>
      <c r="AB71" s="68"/>
      <c r="AC71" s="68"/>
      <c r="AD71" s="68"/>
      <c r="AE71" s="68"/>
      <c r="AF71" s="68"/>
    </row>
    <row r="72">
      <c r="A72" s="68"/>
      <c r="B72" s="68"/>
      <c r="C72" s="78"/>
      <c r="D72" s="78"/>
      <c r="E72" s="68"/>
      <c r="F72" s="68"/>
      <c r="G72" s="68"/>
      <c r="H72" s="68"/>
      <c r="I72" s="68"/>
      <c r="J72" s="68"/>
      <c r="K72" s="68"/>
      <c r="L72" s="68"/>
      <c r="M72" s="79"/>
      <c r="N72" s="68"/>
      <c r="O72" s="68"/>
      <c r="P72" s="68"/>
      <c r="Q72" s="68"/>
      <c r="R72" s="68"/>
      <c r="S72" s="68"/>
      <c r="T72" s="68"/>
      <c r="U72" s="68"/>
      <c r="V72" s="68"/>
      <c r="W72" s="68"/>
      <c r="X72" s="68"/>
      <c r="Y72" s="68"/>
      <c r="Z72" s="68"/>
      <c r="AA72" s="68"/>
      <c r="AB72" s="68"/>
      <c r="AC72" s="68"/>
      <c r="AD72" s="68"/>
      <c r="AE72" s="68"/>
      <c r="AF72" s="68"/>
    </row>
    <row r="73">
      <c r="A73" s="68"/>
      <c r="B73" s="68"/>
      <c r="C73" s="78"/>
      <c r="D73" s="78"/>
      <c r="E73" s="68"/>
      <c r="F73" s="68"/>
      <c r="G73" s="68"/>
      <c r="H73" s="68"/>
      <c r="I73" s="68"/>
      <c r="J73" s="68"/>
      <c r="K73" s="68"/>
      <c r="L73" s="68"/>
      <c r="M73" s="79"/>
      <c r="N73" s="68"/>
      <c r="O73" s="68"/>
      <c r="P73" s="68"/>
      <c r="Q73" s="68"/>
      <c r="R73" s="68"/>
      <c r="S73" s="68"/>
      <c r="T73" s="68"/>
      <c r="U73" s="68"/>
      <c r="V73" s="68"/>
      <c r="W73" s="68"/>
      <c r="X73" s="68"/>
      <c r="Y73" s="68"/>
      <c r="Z73" s="68"/>
      <c r="AA73" s="68"/>
      <c r="AB73" s="68"/>
      <c r="AC73" s="68"/>
      <c r="AD73" s="68"/>
      <c r="AE73" s="68"/>
      <c r="AF73" s="68"/>
    </row>
    <row r="74">
      <c r="A74" s="68"/>
      <c r="B74" s="68"/>
      <c r="C74" s="78"/>
      <c r="D74" s="78"/>
      <c r="E74" s="68"/>
      <c r="F74" s="68"/>
      <c r="G74" s="68"/>
      <c r="H74" s="68"/>
      <c r="I74" s="68"/>
      <c r="J74" s="68"/>
      <c r="K74" s="68"/>
      <c r="L74" s="68"/>
      <c r="M74" s="79"/>
      <c r="N74" s="68"/>
      <c r="O74" s="68"/>
      <c r="P74" s="68"/>
      <c r="Q74" s="68"/>
      <c r="R74" s="68"/>
      <c r="S74" s="68"/>
      <c r="T74" s="68"/>
      <c r="U74" s="68"/>
      <c r="V74" s="68"/>
      <c r="W74" s="68"/>
      <c r="X74" s="68"/>
      <c r="Y74" s="68"/>
      <c r="Z74" s="68"/>
      <c r="AA74" s="68"/>
      <c r="AB74" s="68"/>
      <c r="AC74" s="68"/>
      <c r="AD74" s="68"/>
      <c r="AE74" s="68"/>
      <c r="AF74" s="68"/>
    </row>
    <row r="75">
      <c r="A75" s="68"/>
      <c r="B75" s="68"/>
      <c r="C75" s="78"/>
      <c r="D75" s="78"/>
      <c r="E75" s="68"/>
      <c r="F75" s="68"/>
      <c r="G75" s="68"/>
      <c r="H75" s="68"/>
      <c r="I75" s="68"/>
      <c r="J75" s="68"/>
      <c r="K75" s="68"/>
      <c r="L75" s="68"/>
      <c r="M75" s="79"/>
      <c r="N75" s="68"/>
      <c r="O75" s="68"/>
      <c r="P75" s="68"/>
      <c r="Q75" s="68"/>
      <c r="R75" s="68"/>
      <c r="S75" s="68"/>
      <c r="T75" s="68"/>
      <c r="U75" s="68"/>
      <c r="V75" s="68"/>
      <c r="W75" s="68"/>
      <c r="X75" s="68"/>
      <c r="Y75" s="68"/>
      <c r="Z75" s="68"/>
      <c r="AA75" s="68"/>
      <c r="AB75" s="68"/>
      <c r="AC75" s="68"/>
      <c r="AD75" s="68"/>
      <c r="AE75" s="68"/>
      <c r="AF75" s="68"/>
    </row>
    <row r="76">
      <c r="A76" s="68"/>
      <c r="B76" s="68"/>
      <c r="C76" s="78"/>
      <c r="D76" s="78"/>
      <c r="E76" s="68"/>
      <c r="F76" s="68"/>
      <c r="G76" s="68"/>
      <c r="H76" s="68"/>
      <c r="I76" s="68"/>
      <c r="J76" s="68"/>
      <c r="K76" s="68"/>
      <c r="L76" s="68"/>
      <c r="M76" s="79"/>
      <c r="N76" s="68"/>
      <c r="O76" s="68"/>
      <c r="P76" s="68"/>
      <c r="Q76" s="68"/>
      <c r="R76" s="68"/>
      <c r="S76" s="68"/>
      <c r="T76" s="68"/>
      <c r="U76" s="68"/>
      <c r="V76" s="68"/>
      <c r="W76" s="68"/>
      <c r="X76" s="68"/>
      <c r="Y76" s="68"/>
      <c r="Z76" s="68"/>
      <c r="AA76" s="68"/>
      <c r="AB76" s="68"/>
      <c r="AC76" s="68"/>
      <c r="AD76" s="68"/>
      <c r="AE76" s="68"/>
      <c r="AF76" s="68"/>
    </row>
    <row r="77">
      <c r="A77" s="68"/>
      <c r="B77" s="68"/>
      <c r="C77" s="78"/>
      <c r="D77" s="78"/>
      <c r="E77" s="68"/>
      <c r="F77" s="68"/>
      <c r="G77" s="68"/>
      <c r="H77" s="68"/>
      <c r="I77" s="68"/>
      <c r="J77" s="68"/>
      <c r="K77" s="68"/>
      <c r="L77" s="68"/>
      <c r="M77" s="79"/>
      <c r="N77" s="68"/>
      <c r="O77" s="68"/>
      <c r="P77" s="68"/>
      <c r="Q77" s="68"/>
      <c r="R77" s="68"/>
      <c r="S77" s="68"/>
      <c r="T77" s="68"/>
      <c r="U77" s="68"/>
      <c r="V77" s="68"/>
      <c r="W77" s="68"/>
      <c r="X77" s="68"/>
      <c r="Y77" s="68"/>
      <c r="Z77" s="68"/>
      <c r="AA77" s="68"/>
      <c r="AB77" s="68"/>
      <c r="AC77" s="68"/>
      <c r="AD77" s="68"/>
      <c r="AE77" s="68"/>
      <c r="AF77" s="68"/>
    </row>
    <row r="78">
      <c r="A78" s="68"/>
      <c r="B78" s="68"/>
      <c r="C78" s="78"/>
      <c r="D78" s="78"/>
      <c r="E78" s="68"/>
      <c r="F78" s="68"/>
      <c r="G78" s="68"/>
      <c r="H78" s="68"/>
      <c r="I78" s="68"/>
      <c r="J78" s="68"/>
      <c r="K78" s="68"/>
      <c r="L78" s="68"/>
      <c r="M78" s="79"/>
      <c r="N78" s="68"/>
      <c r="O78" s="68"/>
      <c r="P78" s="68"/>
      <c r="Q78" s="68"/>
      <c r="R78" s="68"/>
      <c r="S78" s="68"/>
      <c r="T78" s="68"/>
      <c r="U78" s="68"/>
      <c r="V78" s="68"/>
      <c r="W78" s="68"/>
      <c r="X78" s="68"/>
      <c r="Y78" s="68"/>
      <c r="Z78" s="68"/>
      <c r="AA78" s="68"/>
      <c r="AB78" s="68"/>
      <c r="AC78" s="68"/>
      <c r="AD78" s="68"/>
      <c r="AE78" s="68"/>
      <c r="AF78" s="68"/>
    </row>
    <row r="79">
      <c r="A79" s="68"/>
      <c r="B79" s="68"/>
      <c r="C79" s="78"/>
      <c r="D79" s="78"/>
      <c r="E79" s="68"/>
      <c r="F79" s="68"/>
      <c r="G79" s="68"/>
      <c r="H79" s="68"/>
      <c r="I79" s="68"/>
      <c r="J79" s="68"/>
      <c r="K79" s="68"/>
      <c r="L79" s="68"/>
      <c r="M79" s="79"/>
      <c r="N79" s="68"/>
      <c r="O79" s="68"/>
      <c r="P79" s="68"/>
      <c r="Q79" s="68"/>
      <c r="R79" s="68"/>
      <c r="S79" s="68"/>
      <c r="T79" s="68"/>
      <c r="U79" s="68"/>
      <c r="V79" s="68"/>
      <c r="W79" s="68"/>
      <c r="X79" s="68"/>
      <c r="Y79" s="68"/>
      <c r="Z79" s="68"/>
      <c r="AA79" s="68"/>
      <c r="AB79" s="68"/>
      <c r="AC79" s="68"/>
      <c r="AD79" s="68"/>
      <c r="AE79" s="68"/>
      <c r="AF79" s="68"/>
    </row>
    <row r="80">
      <c r="A80" s="68"/>
      <c r="B80" s="68"/>
      <c r="C80" s="78"/>
      <c r="D80" s="78"/>
      <c r="E80" s="68"/>
      <c r="F80" s="68"/>
      <c r="G80" s="68"/>
      <c r="H80" s="68"/>
      <c r="I80" s="68"/>
      <c r="J80" s="68"/>
      <c r="K80" s="68"/>
      <c r="L80" s="68"/>
      <c r="M80" s="79"/>
      <c r="N80" s="68"/>
      <c r="O80" s="68"/>
      <c r="P80" s="68"/>
      <c r="Q80" s="68"/>
      <c r="R80" s="68"/>
      <c r="S80" s="68"/>
      <c r="T80" s="68"/>
      <c r="U80" s="68"/>
      <c r="V80" s="68"/>
      <c r="W80" s="68"/>
      <c r="X80" s="68"/>
      <c r="Y80" s="68"/>
      <c r="Z80" s="68"/>
      <c r="AA80" s="68"/>
      <c r="AB80" s="68"/>
      <c r="AC80" s="68"/>
      <c r="AD80" s="68"/>
      <c r="AE80" s="68"/>
      <c r="AF80" s="68"/>
    </row>
    <row r="81">
      <c r="A81" s="68"/>
      <c r="B81" s="68"/>
      <c r="C81" s="78"/>
      <c r="D81" s="78"/>
      <c r="E81" s="68"/>
      <c r="F81" s="68"/>
      <c r="G81" s="68"/>
      <c r="H81" s="68"/>
      <c r="I81" s="68"/>
      <c r="J81" s="68"/>
      <c r="K81" s="68"/>
      <c r="L81" s="68"/>
      <c r="M81" s="79"/>
      <c r="N81" s="68"/>
      <c r="O81" s="68"/>
      <c r="P81" s="68"/>
      <c r="Q81" s="68"/>
      <c r="R81" s="68"/>
      <c r="S81" s="68"/>
      <c r="T81" s="68"/>
      <c r="U81" s="68"/>
      <c r="V81" s="68"/>
      <c r="W81" s="68"/>
      <c r="X81" s="68"/>
      <c r="Y81" s="68"/>
      <c r="Z81" s="68"/>
      <c r="AA81" s="68"/>
      <c r="AB81" s="68"/>
      <c r="AC81" s="68"/>
      <c r="AD81" s="68"/>
      <c r="AE81" s="68"/>
      <c r="AF81" s="68"/>
    </row>
    <row r="82">
      <c r="A82" s="68"/>
      <c r="B82" s="68"/>
      <c r="C82" s="78"/>
      <c r="D82" s="78"/>
      <c r="E82" s="68"/>
      <c r="F82" s="68"/>
      <c r="G82" s="68"/>
      <c r="H82" s="68"/>
      <c r="I82" s="68"/>
      <c r="J82" s="68"/>
      <c r="K82" s="68"/>
      <c r="L82" s="68"/>
      <c r="M82" s="79"/>
      <c r="N82" s="68"/>
      <c r="O82" s="68"/>
      <c r="P82" s="68"/>
      <c r="Q82" s="68"/>
      <c r="R82" s="68"/>
      <c r="S82" s="68"/>
      <c r="T82" s="68"/>
      <c r="U82" s="68"/>
      <c r="V82" s="68"/>
      <c r="W82" s="68"/>
      <c r="X82" s="68"/>
      <c r="Y82" s="68"/>
      <c r="Z82" s="68"/>
      <c r="AA82" s="68"/>
      <c r="AB82" s="68"/>
      <c r="AC82" s="68"/>
      <c r="AD82" s="68"/>
      <c r="AE82" s="68"/>
      <c r="AF82" s="68"/>
    </row>
    <row r="83">
      <c r="A83" s="68"/>
      <c r="B83" s="68"/>
      <c r="C83" s="78"/>
      <c r="D83" s="78"/>
      <c r="E83" s="68"/>
      <c r="F83" s="68"/>
      <c r="G83" s="68"/>
      <c r="H83" s="68"/>
      <c r="I83" s="68"/>
      <c r="J83" s="68"/>
      <c r="K83" s="68"/>
      <c r="L83" s="68"/>
      <c r="M83" s="79"/>
      <c r="N83" s="68"/>
      <c r="O83" s="68"/>
      <c r="P83" s="68"/>
      <c r="Q83" s="68"/>
      <c r="R83" s="68"/>
      <c r="S83" s="68"/>
      <c r="T83" s="68"/>
      <c r="U83" s="68"/>
      <c r="V83" s="68"/>
      <c r="W83" s="68"/>
      <c r="X83" s="68"/>
      <c r="Y83" s="68"/>
      <c r="Z83" s="68"/>
      <c r="AA83" s="68"/>
      <c r="AB83" s="68"/>
      <c r="AC83" s="68"/>
      <c r="AD83" s="68"/>
      <c r="AE83" s="68"/>
      <c r="AF83" s="68"/>
    </row>
    <row r="84">
      <c r="A84" s="68"/>
      <c r="B84" s="68"/>
      <c r="C84" s="78"/>
      <c r="D84" s="78"/>
      <c r="E84" s="68"/>
      <c r="F84" s="68"/>
      <c r="G84" s="68"/>
      <c r="H84" s="68"/>
      <c r="I84" s="68"/>
      <c r="J84" s="68"/>
      <c r="K84" s="68"/>
      <c r="L84" s="68"/>
      <c r="M84" s="79"/>
      <c r="N84" s="68"/>
      <c r="O84" s="68"/>
      <c r="P84" s="68"/>
      <c r="Q84" s="68"/>
      <c r="R84" s="68"/>
      <c r="S84" s="68"/>
      <c r="T84" s="68"/>
      <c r="U84" s="68"/>
      <c r="V84" s="68"/>
      <c r="W84" s="68"/>
      <c r="X84" s="68"/>
      <c r="Y84" s="68"/>
      <c r="Z84" s="68"/>
      <c r="AA84" s="68"/>
      <c r="AB84" s="68"/>
      <c r="AC84" s="68"/>
      <c r="AD84" s="68"/>
      <c r="AE84" s="68"/>
      <c r="AF84" s="68"/>
    </row>
    <row r="85">
      <c r="A85" s="68"/>
      <c r="B85" s="68"/>
      <c r="C85" s="78"/>
      <c r="D85" s="78"/>
      <c r="E85" s="68"/>
      <c r="F85" s="68"/>
      <c r="G85" s="68"/>
      <c r="H85" s="68"/>
      <c r="I85" s="68"/>
      <c r="J85" s="68"/>
      <c r="K85" s="68"/>
      <c r="L85" s="68"/>
      <c r="M85" s="79"/>
      <c r="N85" s="68"/>
      <c r="O85" s="68"/>
      <c r="P85" s="68"/>
      <c r="Q85" s="68"/>
      <c r="R85" s="68"/>
      <c r="S85" s="68"/>
      <c r="T85" s="68"/>
      <c r="U85" s="68"/>
      <c r="V85" s="68"/>
      <c r="W85" s="68"/>
      <c r="X85" s="68"/>
      <c r="Y85" s="68"/>
      <c r="Z85" s="68"/>
      <c r="AA85" s="68"/>
      <c r="AB85" s="68"/>
      <c r="AC85" s="68"/>
      <c r="AD85" s="68"/>
      <c r="AE85" s="68"/>
      <c r="AF85" s="68"/>
    </row>
    <row r="86">
      <c r="A86" s="68"/>
      <c r="B86" s="68"/>
      <c r="C86" s="78"/>
      <c r="D86" s="78"/>
      <c r="E86" s="68"/>
      <c r="F86" s="68"/>
      <c r="G86" s="68"/>
      <c r="H86" s="68"/>
      <c r="I86" s="68"/>
      <c r="J86" s="68"/>
      <c r="K86" s="68"/>
      <c r="L86" s="68"/>
      <c r="M86" s="79"/>
      <c r="N86" s="68"/>
      <c r="O86" s="68"/>
      <c r="P86" s="68"/>
      <c r="Q86" s="68"/>
      <c r="R86" s="68"/>
      <c r="S86" s="68"/>
      <c r="T86" s="68"/>
      <c r="U86" s="68"/>
      <c r="V86" s="68"/>
      <c r="W86" s="68"/>
      <c r="X86" s="68"/>
      <c r="Y86" s="68"/>
      <c r="Z86" s="68"/>
      <c r="AA86" s="68"/>
      <c r="AB86" s="68"/>
      <c r="AC86" s="68"/>
      <c r="AD86" s="68"/>
      <c r="AE86" s="68"/>
      <c r="AF86" s="68"/>
    </row>
    <row r="87">
      <c r="A87" s="68"/>
      <c r="B87" s="68"/>
      <c r="C87" s="78"/>
      <c r="D87" s="78"/>
      <c r="E87" s="68"/>
      <c r="F87" s="68"/>
      <c r="G87" s="68"/>
      <c r="H87" s="68"/>
      <c r="I87" s="68"/>
      <c r="J87" s="68"/>
      <c r="K87" s="68"/>
      <c r="L87" s="68"/>
      <c r="M87" s="79"/>
      <c r="N87" s="68"/>
      <c r="O87" s="68"/>
      <c r="P87" s="68"/>
      <c r="Q87" s="68"/>
      <c r="R87" s="68"/>
      <c r="S87" s="68"/>
      <c r="T87" s="68"/>
      <c r="U87" s="68"/>
      <c r="V87" s="68"/>
      <c r="W87" s="68"/>
      <c r="X87" s="68"/>
      <c r="Y87" s="68"/>
      <c r="Z87" s="68"/>
      <c r="AA87" s="68"/>
      <c r="AB87" s="68"/>
      <c r="AC87" s="68"/>
      <c r="AD87" s="68"/>
      <c r="AE87" s="68"/>
      <c r="AF87" s="68"/>
    </row>
    <row r="88">
      <c r="A88" s="68"/>
      <c r="B88" s="68"/>
      <c r="C88" s="78"/>
      <c r="D88" s="78"/>
      <c r="E88" s="68"/>
      <c r="F88" s="68"/>
      <c r="G88" s="68"/>
      <c r="H88" s="68"/>
      <c r="I88" s="68"/>
      <c r="J88" s="68"/>
      <c r="K88" s="68"/>
      <c r="L88" s="68"/>
      <c r="M88" s="79"/>
      <c r="N88" s="68"/>
      <c r="O88" s="68"/>
      <c r="P88" s="68"/>
      <c r="Q88" s="68"/>
      <c r="R88" s="68"/>
      <c r="S88" s="68"/>
      <c r="T88" s="68"/>
      <c r="U88" s="68"/>
      <c r="V88" s="68"/>
      <c r="W88" s="68"/>
      <c r="X88" s="68"/>
      <c r="Y88" s="68"/>
      <c r="Z88" s="68"/>
      <c r="AA88" s="68"/>
      <c r="AB88" s="68"/>
      <c r="AC88" s="68"/>
      <c r="AD88" s="68"/>
      <c r="AE88" s="68"/>
      <c r="AF88" s="68"/>
    </row>
    <row r="89">
      <c r="A89" s="68"/>
      <c r="B89" s="68"/>
      <c r="C89" s="78"/>
      <c r="D89" s="78"/>
      <c r="E89" s="68"/>
      <c r="F89" s="68"/>
      <c r="G89" s="68"/>
      <c r="H89" s="68"/>
      <c r="I89" s="68"/>
      <c r="J89" s="68"/>
      <c r="K89" s="68"/>
      <c r="L89" s="68"/>
      <c r="M89" s="79"/>
      <c r="N89" s="68"/>
      <c r="O89" s="68"/>
      <c r="P89" s="68"/>
      <c r="Q89" s="68"/>
      <c r="R89" s="68"/>
      <c r="S89" s="68"/>
      <c r="T89" s="68"/>
      <c r="U89" s="68"/>
      <c r="V89" s="68"/>
      <c r="W89" s="68"/>
      <c r="X89" s="68"/>
      <c r="Y89" s="68"/>
      <c r="Z89" s="68"/>
      <c r="AA89" s="68"/>
      <c r="AB89" s="68"/>
      <c r="AC89" s="68"/>
      <c r="AD89" s="68"/>
      <c r="AE89" s="68"/>
      <c r="AF89" s="68"/>
    </row>
    <row r="90">
      <c r="A90" s="68"/>
      <c r="B90" s="68"/>
      <c r="C90" s="78"/>
      <c r="D90" s="78"/>
      <c r="E90" s="68"/>
      <c r="F90" s="68"/>
      <c r="G90" s="68"/>
      <c r="H90" s="68"/>
      <c r="I90" s="68"/>
      <c r="J90" s="68"/>
      <c r="K90" s="68"/>
      <c r="L90" s="68"/>
      <c r="M90" s="79"/>
      <c r="N90" s="68"/>
      <c r="O90" s="68"/>
      <c r="P90" s="68"/>
      <c r="Q90" s="68"/>
      <c r="R90" s="68"/>
      <c r="S90" s="68"/>
      <c r="T90" s="68"/>
      <c r="U90" s="68"/>
      <c r="V90" s="68"/>
      <c r="W90" s="68"/>
      <c r="X90" s="68"/>
      <c r="Y90" s="68"/>
      <c r="Z90" s="68"/>
      <c r="AA90" s="68"/>
      <c r="AB90" s="68"/>
      <c r="AC90" s="68"/>
      <c r="AD90" s="68"/>
      <c r="AE90" s="68"/>
      <c r="AF90" s="68"/>
    </row>
    <row r="91">
      <c r="A91" s="68"/>
      <c r="B91" s="68"/>
      <c r="C91" s="78"/>
      <c r="D91" s="78"/>
      <c r="E91" s="68"/>
      <c r="F91" s="68"/>
      <c r="G91" s="68"/>
      <c r="H91" s="68"/>
      <c r="I91" s="68"/>
      <c r="J91" s="68"/>
      <c r="K91" s="68"/>
      <c r="L91" s="68"/>
      <c r="M91" s="79"/>
      <c r="N91" s="68"/>
      <c r="O91" s="68"/>
      <c r="P91" s="68"/>
      <c r="Q91" s="68"/>
      <c r="R91" s="68"/>
      <c r="S91" s="68"/>
      <c r="T91" s="68"/>
      <c r="U91" s="68"/>
      <c r="V91" s="68"/>
      <c r="W91" s="68"/>
      <c r="X91" s="68"/>
      <c r="Y91" s="68"/>
      <c r="Z91" s="68"/>
      <c r="AA91" s="68"/>
      <c r="AB91" s="68"/>
      <c r="AC91" s="68"/>
      <c r="AD91" s="68"/>
      <c r="AE91" s="68"/>
      <c r="AF91" s="68"/>
    </row>
    <row r="92">
      <c r="A92" s="68"/>
      <c r="B92" s="68"/>
      <c r="C92" s="78"/>
      <c r="D92" s="78"/>
      <c r="E92" s="68"/>
      <c r="F92" s="68"/>
      <c r="G92" s="68"/>
      <c r="H92" s="68"/>
      <c r="I92" s="68"/>
      <c r="J92" s="68"/>
      <c r="K92" s="68"/>
      <c r="L92" s="68"/>
      <c r="M92" s="79"/>
      <c r="N92" s="68"/>
      <c r="O92" s="68"/>
      <c r="P92" s="68"/>
      <c r="Q92" s="68"/>
      <c r="R92" s="68"/>
      <c r="S92" s="68"/>
      <c r="T92" s="68"/>
      <c r="U92" s="68"/>
      <c r="V92" s="68"/>
      <c r="W92" s="68"/>
      <c r="X92" s="68"/>
      <c r="Y92" s="68"/>
      <c r="Z92" s="68"/>
      <c r="AA92" s="68"/>
      <c r="AB92" s="68"/>
      <c r="AC92" s="68"/>
      <c r="AD92" s="68"/>
      <c r="AE92" s="68"/>
      <c r="AF92" s="68"/>
    </row>
    <row r="93">
      <c r="A93" s="68"/>
      <c r="B93" s="68"/>
      <c r="C93" s="78"/>
      <c r="D93" s="78"/>
      <c r="E93" s="68"/>
      <c r="F93" s="68"/>
      <c r="G93" s="68"/>
      <c r="H93" s="68"/>
      <c r="I93" s="68"/>
      <c r="J93" s="68"/>
      <c r="K93" s="68"/>
      <c r="L93" s="68"/>
      <c r="M93" s="79"/>
      <c r="N93" s="68"/>
      <c r="O93" s="68"/>
      <c r="P93" s="68"/>
      <c r="Q93" s="68"/>
      <c r="R93" s="68"/>
      <c r="S93" s="68"/>
      <c r="T93" s="68"/>
      <c r="U93" s="68"/>
      <c r="V93" s="68"/>
      <c r="W93" s="68"/>
      <c r="X93" s="68"/>
      <c r="Y93" s="68"/>
      <c r="Z93" s="68"/>
      <c r="AA93" s="68"/>
      <c r="AB93" s="68"/>
      <c r="AC93" s="68"/>
      <c r="AD93" s="68"/>
      <c r="AE93" s="68"/>
      <c r="AF93" s="68"/>
    </row>
    <row r="94">
      <c r="A94" s="68"/>
      <c r="B94" s="68"/>
      <c r="C94" s="78"/>
      <c r="D94" s="78"/>
      <c r="E94" s="68"/>
      <c r="F94" s="68"/>
      <c r="G94" s="68"/>
      <c r="H94" s="68"/>
      <c r="I94" s="68"/>
      <c r="J94" s="68"/>
      <c r="K94" s="68"/>
      <c r="L94" s="68"/>
      <c r="M94" s="79"/>
      <c r="N94" s="68"/>
      <c r="O94" s="68"/>
      <c r="P94" s="68"/>
      <c r="Q94" s="68"/>
      <c r="R94" s="68"/>
      <c r="S94" s="68"/>
      <c r="T94" s="68"/>
      <c r="U94" s="68"/>
      <c r="V94" s="68"/>
      <c r="W94" s="68"/>
      <c r="X94" s="68"/>
      <c r="Y94" s="68"/>
      <c r="Z94" s="68"/>
      <c r="AA94" s="68"/>
      <c r="AB94" s="68"/>
      <c r="AC94" s="68"/>
      <c r="AD94" s="68"/>
      <c r="AE94" s="68"/>
      <c r="AF94" s="68"/>
    </row>
    <row r="95">
      <c r="A95" s="68"/>
      <c r="B95" s="68"/>
      <c r="C95" s="78"/>
      <c r="D95" s="78"/>
      <c r="E95" s="68"/>
      <c r="F95" s="68"/>
      <c r="G95" s="68"/>
      <c r="H95" s="68"/>
      <c r="I95" s="68"/>
      <c r="J95" s="68"/>
      <c r="K95" s="68"/>
      <c r="L95" s="68"/>
      <c r="M95" s="79"/>
      <c r="N95" s="68"/>
      <c r="O95" s="68"/>
      <c r="P95" s="68"/>
      <c r="Q95" s="68"/>
      <c r="R95" s="68"/>
      <c r="S95" s="68"/>
      <c r="T95" s="68"/>
      <c r="U95" s="68"/>
      <c r="V95" s="68"/>
      <c r="W95" s="68"/>
      <c r="X95" s="68"/>
      <c r="Y95" s="68"/>
      <c r="Z95" s="68"/>
      <c r="AA95" s="68"/>
      <c r="AB95" s="68"/>
      <c r="AC95" s="68"/>
      <c r="AD95" s="68"/>
      <c r="AE95" s="68"/>
      <c r="AF95" s="68"/>
    </row>
    <row r="96">
      <c r="A96" s="68"/>
      <c r="B96" s="68"/>
      <c r="C96" s="78"/>
      <c r="D96" s="78"/>
      <c r="E96" s="68"/>
      <c r="F96" s="68"/>
      <c r="G96" s="68"/>
      <c r="H96" s="68"/>
      <c r="I96" s="68"/>
      <c r="J96" s="68"/>
      <c r="K96" s="68"/>
      <c r="L96" s="68"/>
      <c r="M96" s="79"/>
      <c r="N96" s="68"/>
      <c r="O96" s="68"/>
      <c r="P96" s="68"/>
      <c r="Q96" s="68"/>
      <c r="R96" s="68"/>
      <c r="S96" s="68"/>
      <c r="T96" s="68"/>
      <c r="U96" s="68"/>
      <c r="V96" s="68"/>
      <c r="W96" s="68"/>
      <c r="X96" s="68"/>
      <c r="Y96" s="68"/>
      <c r="Z96" s="68"/>
      <c r="AA96" s="68"/>
      <c r="AB96" s="68"/>
      <c r="AC96" s="68"/>
      <c r="AD96" s="68"/>
      <c r="AE96" s="68"/>
      <c r="AF96" s="68"/>
    </row>
    <row r="97">
      <c r="A97" s="68"/>
      <c r="B97" s="68"/>
      <c r="C97" s="78"/>
      <c r="D97" s="78"/>
      <c r="E97" s="68"/>
      <c r="F97" s="68"/>
      <c r="G97" s="68"/>
      <c r="H97" s="68"/>
      <c r="I97" s="68"/>
      <c r="J97" s="68"/>
      <c r="K97" s="68"/>
      <c r="L97" s="68"/>
      <c r="M97" s="79"/>
      <c r="N97" s="68"/>
      <c r="O97" s="68"/>
      <c r="P97" s="68"/>
      <c r="Q97" s="68"/>
      <c r="R97" s="68"/>
      <c r="S97" s="68"/>
      <c r="T97" s="68"/>
      <c r="U97" s="68"/>
      <c r="V97" s="68"/>
      <c r="W97" s="68"/>
      <c r="X97" s="68"/>
      <c r="Y97" s="68"/>
      <c r="Z97" s="68"/>
      <c r="AA97" s="68"/>
      <c r="AB97" s="68"/>
      <c r="AC97" s="68"/>
      <c r="AD97" s="68"/>
      <c r="AE97" s="68"/>
      <c r="AF97" s="68"/>
    </row>
    <row r="98">
      <c r="A98" s="68"/>
      <c r="B98" s="68"/>
      <c r="C98" s="78"/>
      <c r="D98" s="78"/>
      <c r="E98" s="68"/>
      <c r="F98" s="68"/>
      <c r="G98" s="68"/>
      <c r="H98" s="68"/>
      <c r="I98" s="68"/>
      <c r="J98" s="68"/>
      <c r="K98" s="68"/>
      <c r="L98" s="68"/>
      <c r="M98" s="79"/>
      <c r="N98" s="68"/>
      <c r="O98" s="68"/>
      <c r="P98" s="68"/>
      <c r="Q98" s="68"/>
      <c r="R98" s="68"/>
      <c r="S98" s="68"/>
      <c r="T98" s="68"/>
      <c r="U98" s="68"/>
      <c r="V98" s="68"/>
      <c r="W98" s="68"/>
      <c r="X98" s="68"/>
      <c r="Y98" s="68"/>
      <c r="Z98" s="68"/>
      <c r="AA98" s="68"/>
      <c r="AB98" s="68"/>
      <c r="AC98" s="68"/>
      <c r="AD98" s="68"/>
      <c r="AE98" s="68"/>
      <c r="AF98" s="68"/>
    </row>
    <row r="99">
      <c r="A99" s="68"/>
      <c r="B99" s="68"/>
      <c r="C99" s="78"/>
      <c r="D99" s="78"/>
      <c r="E99" s="68"/>
      <c r="F99" s="68"/>
      <c r="G99" s="68"/>
      <c r="H99" s="68"/>
      <c r="I99" s="68"/>
      <c r="J99" s="68"/>
      <c r="K99" s="68"/>
      <c r="L99" s="68"/>
      <c r="M99" s="79"/>
      <c r="N99" s="68"/>
      <c r="O99" s="68"/>
      <c r="P99" s="68"/>
      <c r="Q99" s="68"/>
      <c r="R99" s="68"/>
      <c r="S99" s="68"/>
      <c r="T99" s="68"/>
      <c r="U99" s="68"/>
      <c r="V99" s="68"/>
      <c r="W99" s="68"/>
      <c r="X99" s="68"/>
      <c r="Y99" s="68"/>
      <c r="Z99" s="68"/>
      <c r="AA99" s="68"/>
      <c r="AB99" s="68"/>
      <c r="AC99" s="68"/>
      <c r="AD99" s="68"/>
      <c r="AE99" s="68"/>
      <c r="AF99" s="68"/>
    </row>
    <row r="100">
      <c r="A100" s="68"/>
      <c r="B100" s="68"/>
      <c r="C100" s="78"/>
      <c r="D100" s="78"/>
      <c r="E100" s="68"/>
      <c r="F100" s="68"/>
      <c r="G100" s="68"/>
      <c r="H100" s="68"/>
      <c r="I100" s="68"/>
      <c r="J100" s="68"/>
      <c r="K100" s="68"/>
      <c r="L100" s="68"/>
      <c r="M100" s="79"/>
      <c r="N100" s="68"/>
      <c r="O100" s="68"/>
      <c r="P100" s="68"/>
      <c r="Q100" s="68"/>
      <c r="R100" s="68"/>
      <c r="S100" s="68"/>
      <c r="T100" s="68"/>
      <c r="U100" s="68"/>
      <c r="V100" s="68"/>
      <c r="W100" s="68"/>
      <c r="X100" s="68"/>
      <c r="Y100" s="68"/>
      <c r="Z100" s="68"/>
      <c r="AA100" s="68"/>
      <c r="AB100" s="68"/>
      <c r="AC100" s="68"/>
      <c r="AD100" s="68"/>
      <c r="AE100" s="68"/>
      <c r="AF100" s="68"/>
    </row>
    <row r="101">
      <c r="A101" s="68"/>
      <c r="B101" s="68"/>
      <c r="C101" s="78"/>
      <c r="D101" s="78"/>
      <c r="E101" s="68"/>
      <c r="F101" s="68"/>
      <c r="G101" s="68"/>
      <c r="H101" s="68"/>
      <c r="I101" s="68"/>
      <c r="J101" s="68"/>
      <c r="K101" s="68"/>
      <c r="L101" s="68"/>
      <c r="M101" s="79"/>
      <c r="N101" s="68"/>
      <c r="O101" s="68"/>
      <c r="P101" s="68"/>
      <c r="Q101" s="68"/>
      <c r="R101" s="68"/>
      <c r="S101" s="68"/>
      <c r="T101" s="68"/>
      <c r="U101" s="68"/>
      <c r="V101" s="68"/>
      <c r="W101" s="68"/>
      <c r="X101" s="68"/>
      <c r="Y101" s="68"/>
      <c r="Z101" s="68"/>
      <c r="AA101" s="68"/>
      <c r="AB101" s="68"/>
      <c r="AC101" s="68"/>
      <c r="AD101" s="68"/>
      <c r="AE101" s="68"/>
      <c r="AF101" s="68"/>
    </row>
    <row r="102">
      <c r="A102" s="68"/>
      <c r="B102" s="68"/>
      <c r="C102" s="78"/>
      <c r="D102" s="78"/>
      <c r="E102" s="68"/>
      <c r="F102" s="68"/>
      <c r="G102" s="68"/>
      <c r="H102" s="68"/>
      <c r="I102" s="68"/>
      <c r="J102" s="68"/>
      <c r="K102" s="68"/>
      <c r="L102" s="68"/>
      <c r="M102" s="79"/>
      <c r="N102" s="68"/>
      <c r="O102" s="68"/>
      <c r="P102" s="68"/>
      <c r="Q102" s="68"/>
      <c r="R102" s="68"/>
      <c r="S102" s="68"/>
      <c r="T102" s="68"/>
      <c r="U102" s="68"/>
      <c r="V102" s="68"/>
      <c r="W102" s="68"/>
      <c r="X102" s="68"/>
      <c r="Y102" s="68"/>
      <c r="Z102" s="68"/>
      <c r="AA102" s="68"/>
      <c r="AB102" s="68"/>
      <c r="AC102" s="68"/>
      <c r="AD102" s="68"/>
      <c r="AE102" s="68"/>
      <c r="AF102" s="68"/>
    </row>
    <row r="103">
      <c r="A103" s="68"/>
      <c r="B103" s="68"/>
      <c r="C103" s="78"/>
      <c r="D103" s="78"/>
      <c r="E103" s="68"/>
      <c r="F103" s="68"/>
      <c r="G103" s="68"/>
      <c r="H103" s="68"/>
      <c r="I103" s="68"/>
      <c r="J103" s="68"/>
      <c r="K103" s="68"/>
      <c r="L103" s="68"/>
      <c r="M103" s="79"/>
      <c r="N103" s="68"/>
      <c r="O103" s="68"/>
      <c r="P103" s="68"/>
      <c r="Q103" s="68"/>
      <c r="R103" s="68"/>
      <c r="S103" s="68"/>
      <c r="T103" s="68"/>
      <c r="U103" s="68"/>
      <c r="V103" s="68"/>
      <c r="W103" s="68"/>
      <c r="X103" s="68"/>
      <c r="Y103" s="68"/>
      <c r="Z103" s="68"/>
      <c r="AA103" s="68"/>
      <c r="AB103" s="68"/>
      <c r="AC103" s="68"/>
      <c r="AD103" s="68"/>
      <c r="AE103" s="68"/>
      <c r="AF103" s="68"/>
    </row>
    <row r="104">
      <c r="A104" s="68"/>
      <c r="B104" s="68"/>
      <c r="C104" s="78"/>
      <c r="D104" s="78"/>
      <c r="E104" s="68"/>
      <c r="F104" s="68"/>
      <c r="G104" s="68"/>
      <c r="H104" s="68"/>
      <c r="I104" s="68"/>
      <c r="J104" s="68"/>
      <c r="K104" s="68"/>
      <c r="L104" s="68"/>
      <c r="M104" s="79"/>
      <c r="N104" s="68"/>
      <c r="O104" s="68"/>
      <c r="P104" s="68"/>
      <c r="Q104" s="68"/>
      <c r="R104" s="68"/>
      <c r="S104" s="68"/>
      <c r="T104" s="68"/>
      <c r="U104" s="68"/>
      <c r="V104" s="68"/>
      <c r="W104" s="68"/>
      <c r="X104" s="68"/>
      <c r="Y104" s="68"/>
      <c r="Z104" s="68"/>
      <c r="AA104" s="68"/>
      <c r="AB104" s="68"/>
      <c r="AC104" s="68"/>
      <c r="AD104" s="68"/>
      <c r="AE104" s="68"/>
      <c r="AF104" s="68"/>
    </row>
    <row r="105">
      <c r="A105" s="68"/>
      <c r="B105" s="68"/>
      <c r="C105" s="78"/>
      <c r="D105" s="78"/>
      <c r="E105" s="68"/>
      <c r="F105" s="68"/>
      <c r="G105" s="68"/>
      <c r="H105" s="68"/>
      <c r="I105" s="68"/>
      <c r="J105" s="68"/>
      <c r="K105" s="68"/>
      <c r="L105" s="68"/>
      <c r="M105" s="79"/>
      <c r="N105" s="68"/>
      <c r="O105" s="68"/>
      <c r="P105" s="68"/>
      <c r="Q105" s="68"/>
      <c r="R105" s="68"/>
      <c r="S105" s="68"/>
      <c r="T105" s="68"/>
      <c r="U105" s="68"/>
      <c r="V105" s="68"/>
      <c r="W105" s="68"/>
      <c r="X105" s="68"/>
      <c r="Y105" s="68"/>
      <c r="Z105" s="68"/>
      <c r="AA105" s="68"/>
      <c r="AB105" s="68"/>
      <c r="AC105" s="68"/>
      <c r="AD105" s="68"/>
      <c r="AE105" s="68"/>
      <c r="AF105" s="68"/>
    </row>
    <row r="106">
      <c r="A106" s="68"/>
      <c r="B106" s="68"/>
      <c r="C106" s="78"/>
      <c r="D106" s="78"/>
      <c r="E106" s="68"/>
      <c r="F106" s="68"/>
      <c r="G106" s="68"/>
      <c r="H106" s="68"/>
      <c r="I106" s="68"/>
      <c r="J106" s="68"/>
      <c r="K106" s="68"/>
      <c r="L106" s="68"/>
      <c r="M106" s="79"/>
      <c r="N106" s="68"/>
      <c r="O106" s="68"/>
      <c r="P106" s="68"/>
      <c r="Q106" s="68"/>
      <c r="R106" s="68"/>
      <c r="S106" s="68"/>
      <c r="T106" s="68"/>
      <c r="U106" s="68"/>
      <c r="V106" s="68"/>
      <c r="W106" s="68"/>
      <c r="X106" s="68"/>
      <c r="Y106" s="68"/>
      <c r="Z106" s="68"/>
      <c r="AA106" s="68"/>
      <c r="AB106" s="68"/>
      <c r="AC106" s="68"/>
      <c r="AD106" s="68"/>
      <c r="AE106" s="68"/>
      <c r="AF106" s="68"/>
    </row>
    <row r="107">
      <c r="A107" s="68"/>
      <c r="B107" s="68"/>
      <c r="C107" s="78"/>
      <c r="D107" s="78"/>
      <c r="E107" s="68"/>
      <c r="F107" s="68"/>
      <c r="G107" s="68"/>
      <c r="H107" s="68"/>
      <c r="I107" s="68"/>
      <c r="J107" s="68"/>
      <c r="K107" s="68"/>
      <c r="L107" s="68"/>
      <c r="M107" s="79"/>
      <c r="N107" s="68"/>
      <c r="O107" s="68"/>
      <c r="P107" s="68"/>
      <c r="Q107" s="68"/>
      <c r="R107" s="68"/>
      <c r="S107" s="68"/>
      <c r="T107" s="68"/>
      <c r="U107" s="68"/>
      <c r="V107" s="68"/>
      <c r="W107" s="68"/>
      <c r="X107" s="68"/>
      <c r="Y107" s="68"/>
      <c r="Z107" s="68"/>
      <c r="AA107" s="68"/>
      <c r="AB107" s="68"/>
      <c r="AC107" s="68"/>
      <c r="AD107" s="68"/>
      <c r="AE107" s="68"/>
      <c r="AF107" s="68"/>
    </row>
    <row r="108">
      <c r="A108" s="68"/>
      <c r="B108" s="68"/>
      <c r="C108" s="78"/>
      <c r="D108" s="78"/>
      <c r="E108" s="68"/>
      <c r="F108" s="68"/>
      <c r="G108" s="68"/>
      <c r="H108" s="68"/>
      <c r="I108" s="68"/>
      <c r="J108" s="68"/>
      <c r="K108" s="68"/>
      <c r="L108" s="68"/>
      <c r="M108" s="79"/>
      <c r="N108" s="68"/>
      <c r="O108" s="68"/>
      <c r="P108" s="68"/>
      <c r="Q108" s="68"/>
      <c r="R108" s="68"/>
      <c r="S108" s="68"/>
      <c r="T108" s="68"/>
      <c r="U108" s="68"/>
      <c r="V108" s="68"/>
      <c r="W108" s="68"/>
      <c r="X108" s="68"/>
      <c r="Y108" s="68"/>
      <c r="Z108" s="68"/>
      <c r="AA108" s="68"/>
      <c r="AB108" s="68"/>
      <c r="AC108" s="68"/>
      <c r="AD108" s="68"/>
      <c r="AE108" s="68"/>
      <c r="AF108" s="68"/>
    </row>
    <row r="109">
      <c r="A109" s="68"/>
      <c r="B109" s="68"/>
      <c r="C109" s="78"/>
      <c r="D109" s="78"/>
      <c r="E109" s="68"/>
      <c r="F109" s="68"/>
      <c r="G109" s="68"/>
      <c r="H109" s="68"/>
      <c r="I109" s="68"/>
      <c r="J109" s="68"/>
      <c r="K109" s="68"/>
      <c r="L109" s="68"/>
      <c r="M109" s="79"/>
      <c r="N109" s="68"/>
      <c r="O109" s="68"/>
      <c r="P109" s="68"/>
      <c r="Q109" s="68"/>
      <c r="R109" s="68"/>
      <c r="S109" s="68"/>
      <c r="T109" s="68"/>
      <c r="U109" s="68"/>
      <c r="V109" s="68"/>
      <c r="W109" s="68"/>
      <c r="X109" s="68"/>
      <c r="Y109" s="68"/>
      <c r="Z109" s="68"/>
      <c r="AA109" s="68"/>
      <c r="AB109" s="68"/>
      <c r="AC109" s="68"/>
      <c r="AD109" s="68"/>
      <c r="AE109" s="68"/>
      <c r="AF109" s="68"/>
    </row>
    <row r="110">
      <c r="A110" s="68"/>
      <c r="B110" s="68"/>
      <c r="C110" s="78"/>
      <c r="D110" s="78"/>
      <c r="E110" s="68"/>
      <c r="F110" s="68"/>
      <c r="G110" s="68"/>
      <c r="H110" s="68"/>
      <c r="I110" s="68"/>
      <c r="J110" s="68"/>
      <c r="K110" s="68"/>
      <c r="L110" s="68"/>
      <c r="M110" s="79"/>
      <c r="N110" s="68"/>
      <c r="O110" s="68"/>
      <c r="P110" s="68"/>
      <c r="Q110" s="68"/>
      <c r="R110" s="68"/>
      <c r="S110" s="68"/>
      <c r="T110" s="68"/>
      <c r="U110" s="68"/>
      <c r="V110" s="68"/>
      <c r="W110" s="68"/>
      <c r="X110" s="68"/>
      <c r="Y110" s="68"/>
      <c r="Z110" s="68"/>
      <c r="AA110" s="68"/>
      <c r="AB110" s="68"/>
      <c r="AC110" s="68"/>
      <c r="AD110" s="68"/>
      <c r="AE110" s="68"/>
      <c r="AF110" s="68"/>
    </row>
    <row r="111">
      <c r="A111" s="68"/>
      <c r="B111" s="68"/>
      <c r="C111" s="78"/>
      <c r="D111" s="78"/>
      <c r="E111" s="68"/>
      <c r="F111" s="68"/>
      <c r="G111" s="68"/>
      <c r="H111" s="68"/>
      <c r="I111" s="68"/>
      <c r="J111" s="68"/>
      <c r="K111" s="68"/>
      <c r="L111" s="68"/>
      <c r="M111" s="79"/>
      <c r="N111" s="68"/>
      <c r="O111" s="68"/>
      <c r="P111" s="68"/>
      <c r="Q111" s="68"/>
      <c r="R111" s="68"/>
      <c r="S111" s="68"/>
      <c r="T111" s="68"/>
      <c r="U111" s="68"/>
      <c r="V111" s="68"/>
      <c r="W111" s="68"/>
      <c r="X111" s="68"/>
      <c r="Y111" s="68"/>
      <c r="Z111" s="68"/>
      <c r="AA111" s="68"/>
      <c r="AB111" s="68"/>
      <c r="AC111" s="68"/>
      <c r="AD111" s="68"/>
      <c r="AE111" s="68"/>
      <c r="AF111" s="68"/>
    </row>
    <row r="112">
      <c r="A112" s="68"/>
      <c r="B112" s="68"/>
      <c r="C112" s="78"/>
      <c r="D112" s="78"/>
      <c r="E112" s="68"/>
      <c r="F112" s="68"/>
      <c r="G112" s="68"/>
      <c r="H112" s="68"/>
      <c r="I112" s="68"/>
      <c r="J112" s="68"/>
      <c r="K112" s="68"/>
      <c r="L112" s="68"/>
      <c r="M112" s="79"/>
      <c r="N112" s="68"/>
      <c r="O112" s="68"/>
      <c r="P112" s="68"/>
      <c r="Q112" s="68"/>
      <c r="R112" s="68"/>
      <c r="S112" s="68"/>
      <c r="T112" s="68"/>
      <c r="U112" s="68"/>
      <c r="V112" s="68"/>
      <c r="W112" s="68"/>
      <c r="X112" s="68"/>
      <c r="Y112" s="68"/>
      <c r="Z112" s="68"/>
      <c r="AA112" s="68"/>
      <c r="AB112" s="68"/>
      <c r="AC112" s="68"/>
      <c r="AD112" s="68"/>
      <c r="AE112" s="68"/>
      <c r="AF112" s="68"/>
    </row>
    <row r="113">
      <c r="A113" s="68"/>
      <c r="B113" s="68"/>
      <c r="C113" s="78"/>
      <c r="D113" s="78"/>
      <c r="E113" s="68"/>
      <c r="F113" s="68"/>
      <c r="G113" s="68"/>
      <c r="H113" s="68"/>
      <c r="I113" s="68"/>
      <c r="J113" s="68"/>
      <c r="K113" s="68"/>
      <c r="L113" s="68"/>
      <c r="M113" s="79"/>
      <c r="N113" s="68"/>
      <c r="O113" s="68"/>
      <c r="P113" s="68"/>
      <c r="Q113" s="68"/>
      <c r="R113" s="68"/>
      <c r="S113" s="68"/>
      <c r="T113" s="68"/>
      <c r="U113" s="68"/>
      <c r="V113" s="68"/>
      <c r="W113" s="68"/>
      <c r="X113" s="68"/>
      <c r="Y113" s="68"/>
      <c r="Z113" s="68"/>
      <c r="AA113" s="68"/>
      <c r="AB113" s="68"/>
      <c r="AC113" s="68"/>
      <c r="AD113" s="68"/>
      <c r="AE113" s="68"/>
      <c r="AF113" s="68"/>
    </row>
    <row r="114">
      <c r="A114" s="68"/>
      <c r="B114" s="68"/>
      <c r="C114" s="78"/>
      <c r="D114" s="78"/>
      <c r="E114" s="68"/>
      <c r="F114" s="68"/>
      <c r="G114" s="68"/>
      <c r="H114" s="68"/>
      <c r="I114" s="68"/>
      <c r="J114" s="68"/>
      <c r="K114" s="68"/>
      <c r="L114" s="68"/>
      <c r="M114" s="79"/>
      <c r="N114" s="68"/>
      <c r="O114" s="68"/>
      <c r="P114" s="68"/>
      <c r="Q114" s="68"/>
      <c r="R114" s="68"/>
      <c r="S114" s="68"/>
      <c r="T114" s="68"/>
      <c r="U114" s="68"/>
      <c r="V114" s="68"/>
      <c r="W114" s="68"/>
      <c r="X114" s="68"/>
      <c r="Y114" s="68"/>
      <c r="Z114" s="68"/>
      <c r="AA114" s="68"/>
      <c r="AB114" s="68"/>
      <c r="AC114" s="68"/>
      <c r="AD114" s="68"/>
      <c r="AE114" s="68"/>
      <c r="AF114" s="68"/>
    </row>
    <row r="115">
      <c r="A115" s="68"/>
      <c r="B115" s="68"/>
      <c r="C115" s="78"/>
      <c r="D115" s="78"/>
      <c r="E115" s="68"/>
      <c r="F115" s="68"/>
      <c r="G115" s="68"/>
      <c r="H115" s="68"/>
      <c r="I115" s="68"/>
      <c r="J115" s="68"/>
      <c r="K115" s="68"/>
      <c r="L115" s="68"/>
      <c r="M115" s="79"/>
      <c r="N115" s="68"/>
      <c r="O115" s="68"/>
      <c r="P115" s="68"/>
      <c r="Q115" s="68"/>
      <c r="R115" s="68"/>
      <c r="S115" s="68"/>
      <c r="T115" s="68"/>
      <c r="U115" s="68"/>
      <c r="V115" s="68"/>
      <c r="W115" s="68"/>
      <c r="X115" s="68"/>
      <c r="Y115" s="68"/>
      <c r="Z115" s="68"/>
      <c r="AA115" s="68"/>
      <c r="AB115" s="68"/>
      <c r="AC115" s="68"/>
      <c r="AD115" s="68"/>
      <c r="AE115" s="68"/>
      <c r="AF115" s="68"/>
    </row>
    <row r="116">
      <c r="A116" s="68"/>
      <c r="B116" s="68"/>
      <c r="C116" s="78"/>
      <c r="D116" s="78"/>
      <c r="E116" s="68"/>
      <c r="F116" s="68"/>
      <c r="G116" s="68"/>
      <c r="H116" s="68"/>
      <c r="I116" s="68"/>
      <c r="J116" s="68"/>
      <c r="K116" s="68"/>
      <c r="L116" s="68"/>
      <c r="M116" s="79"/>
      <c r="N116" s="68"/>
      <c r="O116" s="68"/>
      <c r="P116" s="68"/>
      <c r="Q116" s="68"/>
      <c r="R116" s="68"/>
      <c r="S116" s="68"/>
      <c r="T116" s="68"/>
      <c r="U116" s="68"/>
      <c r="V116" s="68"/>
      <c r="W116" s="68"/>
      <c r="X116" s="68"/>
      <c r="Y116" s="68"/>
      <c r="Z116" s="68"/>
      <c r="AA116" s="68"/>
      <c r="AB116" s="68"/>
      <c r="AC116" s="68"/>
      <c r="AD116" s="68"/>
      <c r="AE116" s="68"/>
      <c r="AF116" s="68"/>
    </row>
    <row r="117">
      <c r="A117" s="68"/>
      <c r="B117" s="68"/>
      <c r="C117" s="78"/>
      <c r="D117" s="78"/>
      <c r="E117" s="68"/>
      <c r="F117" s="68"/>
      <c r="G117" s="68"/>
      <c r="H117" s="68"/>
      <c r="I117" s="68"/>
      <c r="J117" s="68"/>
      <c r="K117" s="68"/>
      <c r="L117" s="68"/>
      <c r="M117" s="79"/>
      <c r="N117" s="68"/>
      <c r="O117" s="68"/>
      <c r="P117" s="68"/>
      <c r="Q117" s="68"/>
      <c r="R117" s="68"/>
      <c r="S117" s="68"/>
      <c r="T117" s="68"/>
      <c r="U117" s="68"/>
      <c r="V117" s="68"/>
      <c r="W117" s="68"/>
      <c r="X117" s="68"/>
      <c r="Y117" s="68"/>
      <c r="Z117" s="68"/>
      <c r="AA117" s="68"/>
      <c r="AB117" s="68"/>
      <c r="AC117" s="68"/>
      <c r="AD117" s="68"/>
      <c r="AE117" s="68"/>
      <c r="AF117" s="68"/>
    </row>
    <row r="118">
      <c r="A118" s="68"/>
      <c r="B118" s="68"/>
      <c r="C118" s="78"/>
      <c r="D118" s="78"/>
      <c r="E118" s="68"/>
      <c r="F118" s="68"/>
      <c r="G118" s="68"/>
      <c r="H118" s="68"/>
      <c r="I118" s="68"/>
      <c r="J118" s="68"/>
      <c r="K118" s="68"/>
      <c r="L118" s="68"/>
      <c r="M118" s="79"/>
      <c r="N118" s="68"/>
      <c r="O118" s="68"/>
      <c r="P118" s="68"/>
      <c r="Q118" s="68"/>
      <c r="R118" s="68"/>
      <c r="S118" s="68"/>
      <c r="T118" s="68"/>
      <c r="U118" s="68"/>
      <c r="V118" s="68"/>
      <c r="W118" s="68"/>
      <c r="X118" s="68"/>
      <c r="Y118" s="68"/>
      <c r="Z118" s="68"/>
      <c r="AA118" s="68"/>
      <c r="AB118" s="68"/>
      <c r="AC118" s="68"/>
      <c r="AD118" s="68"/>
      <c r="AE118" s="68"/>
      <c r="AF118" s="68"/>
    </row>
    <row r="119">
      <c r="A119" s="68"/>
      <c r="B119" s="68"/>
      <c r="C119" s="78"/>
      <c r="D119" s="78"/>
      <c r="E119" s="68"/>
      <c r="F119" s="68"/>
      <c r="G119" s="68"/>
      <c r="H119" s="68"/>
      <c r="I119" s="68"/>
      <c r="J119" s="68"/>
      <c r="K119" s="68"/>
      <c r="L119" s="68"/>
      <c r="M119" s="79"/>
      <c r="N119" s="68"/>
      <c r="O119" s="68"/>
      <c r="P119" s="68"/>
      <c r="Q119" s="68"/>
      <c r="R119" s="68"/>
      <c r="S119" s="68"/>
      <c r="T119" s="68"/>
      <c r="U119" s="68"/>
      <c r="V119" s="68"/>
      <c r="W119" s="68"/>
      <c r="X119" s="68"/>
      <c r="Y119" s="68"/>
      <c r="Z119" s="68"/>
      <c r="AA119" s="68"/>
      <c r="AB119" s="68"/>
      <c r="AC119" s="68"/>
      <c r="AD119" s="68"/>
      <c r="AE119" s="68"/>
      <c r="AF119" s="68"/>
    </row>
    <row r="120">
      <c r="A120" s="68"/>
      <c r="B120" s="68"/>
      <c r="C120" s="78"/>
      <c r="D120" s="78"/>
      <c r="E120" s="68"/>
      <c r="F120" s="68"/>
      <c r="G120" s="68"/>
      <c r="H120" s="68"/>
      <c r="I120" s="68"/>
      <c r="J120" s="68"/>
      <c r="K120" s="68"/>
      <c r="L120" s="68"/>
      <c r="M120" s="79"/>
      <c r="N120" s="68"/>
      <c r="O120" s="68"/>
      <c r="P120" s="68"/>
      <c r="Q120" s="68"/>
      <c r="R120" s="68"/>
      <c r="S120" s="68"/>
      <c r="T120" s="68"/>
      <c r="U120" s="68"/>
      <c r="V120" s="68"/>
      <c r="W120" s="68"/>
      <c r="X120" s="68"/>
      <c r="Y120" s="68"/>
      <c r="Z120" s="68"/>
      <c r="AA120" s="68"/>
      <c r="AB120" s="68"/>
      <c r="AC120" s="68"/>
      <c r="AD120" s="68"/>
      <c r="AE120" s="68"/>
      <c r="AF120" s="68"/>
    </row>
    <row r="121">
      <c r="A121" s="68"/>
      <c r="B121" s="68"/>
      <c r="C121" s="78"/>
      <c r="D121" s="78"/>
      <c r="E121" s="68"/>
      <c r="F121" s="68"/>
      <c r="G121" s="68"/>
      <c r="H121" s="68"/>
      <c r="I121" s="68"/>
      <c r="J121" s="68"/>
      <c r="K121" s="68"/>
      <c r="L121" s="68"/>
      <c r="M121" s="79"/>
      <c r="N121" s="68"/>
      <c r="O121" s="68"/>
      <c r="P121" s="68"/>
      <c r="Q121" s="68"/>
      <c r="R121" s="68"/>
      <c r="S121" s="68"/>
      <c r="T121" s="68"/>
      <c r="U121" s="68"/>
      <c r="V121" s="68"/>
      <c r="W121" s="68"/>
      <c r="X121" s="68"/>
      <c r="Y121" s="68"/>
      <c r="Z121" s="68"/>
      <c r="AA121" s="68"/>
      <c r="AB121" s="68"/>
      <c r="AC121" s="68"/>
      <c r="AD121" s="68"/>
      <c r="AE121" s="68"/>
      <c r="AF121" s="68"/>
    </row>
    <row r="122">
      <c r="A122" s="68"/>
      <c r="B122" s="68"/>
      <c r="C122" s="78"/>
      <c r="D122" s="78"/>
      <c r="E122" s="68"/>
      <c r="F122" s="68"/>
      <c r="G122" s="68"/>
      <c r="H122" s="68"/>
      <c r="I122" s="68"/>
      <c r="J122" s="68"/>
      <c r="K122" s="68"/>
      <c r="L122" s="68"/>
      <c r="M122" s="79"/>
      <c r="N122" s="68"/>
      <c r="O122" s="68"/>
      <c r="P122" s="68"/>
      <c r="Q122" s="68"/>
      <c r="R122" s="68"/>
      <c r="S122" s="68"/>
      <c r="T122" s="68"/>
      <c r="U122" s="68"/>
      <c r="V122" s="68"/>
      <c r="W122" s="68"/>
      <c r="X122" s="68"/>
      <c r="Y122" s="68"/>
      <c r="Z122" s="68"/>
      <c r="AA122" s="68"/>
      <c r="AB122" s="68"/>
      <c r="AC122" s="68"/>
      <c r="AD122" s="68"/>
      <c r="AE122" s="68"/>
      <c r="AF122" s="68"/>
    </row>
    <row r="123">
      <c r="A123" s="68"/>
      <c r="B123" s="68"/>
      <c r="C123" s="78"/>
      <c r="D123" s="78"/>
      <c r="E123" s="68"/>
      <c r="F123" s="68"/>
      <c r="G123" s="68"/>
      <c r="H123" s="68"/>
      <c r="I123" s="68"/>
      <c r="J123" s="68"/>
      <c r="K123" s="68"/>
      <c r="L123" s="68"/>
      <c r="M123" s="79"/>
      <c r="N123" s="68"/>
      <c r="O123" s="68"/>
      <c r="P123" s="68"/>
      <c r="Q123" s="68"/>
      <c r="R123" s="68"/>
      <c r="S123" s="68"/>
      <c r="T123" s="68"/>
      <c r="U123" s="68"/>
      <c r="V123" s="68"/>
      <c r="W123" s="68"/>
      <c r="X123" s="68"/>
      <c r="Y123" s="68"/>
      <c r="Z123" s="68"/>
      <c r="AA123" s="68"/>
      <c r="AB123" s="68"/>
      <c r="AC123" s="68"/>
      <c r="AD123" s="68"/>
      <c r="AE123" s="68"/>
      <c r="AF123" s="68"/>
    </row>
    <row r="124">
      <c r="A124" s="68"/>
      <c r="B124" s="68"/>
      <c r="C124" s="78"/>
      <c r="D124" s="78"/>
      <c r="E124" s="68"/>
      <c r="F124" s="68"/>
      <c r="G124" s="68"/>
      <c r="H124" s="68"/>
      <c r="I124" s="68"/>
      <c r="J124" s="68"/>
      <c r="K124" s="68"/>
      <c r="L124" s="68"/>
      <c r="M124" s="79"/>
      <c r="N124" s="68"/>
      <c r="O124" s="68"/>
      <c r="P124" s="68"/>
      <c r="Q124" s="68"/>
      <c r="R124" s="68"/>
      <c r="S124" s="68"/>
      <c r="T124" s="68"/>
      <c r="U124" s="68"/>
      <c r="V124" s="68"/>
      <c r="W124" s="68"/>
      <c r="X124" s="68"/>
      <c r="Y124" s="68"/>
      <c r="Z124" s="68"/>
      <c r="AA124" s="68"/>
      <c r="AB124" s="68"/>
      <c r="AC124" s="68"/>
      <c r="AD124" s="68"/>
      <c r="AE124" s="68"/>
      <c r="AF124" s="68"/>
    </row>
    <row r="125">
      <c r="A125" s="68"/>
      <c r="B125" s="68"/>
      <c r="C125" s="78"/>
      <c r="D125" s="78"/>
      <c r="E125" s="68"/>
      <c r="F125" s="68"/>
      <c r="G125" s="68"/>
      <c r="H125" s="68"/>
      <c r="I125" s="68"/>
      <c r="J125" s="68"/>
      <c r="K125" s="68"/>
      <c r="L125" s="68"/>
      <c r="M125" s="79"/>
      <c r="N125" s="68"/>
      <c r="O125" s="68"/>
      <c r="P125" s="68"/>
      <c r="Q125" s="68"/>
      <c r="R125" s="68"/>
      <c r="S125" s="68"/>
      <c r="T125" s="68"/>
      <c r="U125" s="68"/>
      <c r="V125" s="68"/>
      <c r="W125" s="68"/>
      <c r="X125" s="68"/>
      <c r="Y125" s="68"/>
      <c r="Z125" s="68"/>
      <c r="AA125" s="68"/>
      <c r="AB125" s="68"/>
      <c r="AC125" s="68"/>
      <c r="AD125" s="68"/>
      <c r="AE125" s="68"/>
      <c r="AF125" s="68"/>
    </row>
    <row r="126">
      <c r="A126" s="68"/>
      <c r="B126" s="68"/>
      <c r="C126" s="78"/>
      <c r="D126" s="78"/>
      <c r="E126" s="68"/>
      <c r="F126" s="68"/>
      <c r="G126" s="68"/>
      <c r="H126" s="68"/>
      <c r="I126" s="68"/>
      <c r="J126" s="68"/>
      <c r="K126" s="68"/>
      <c r="L126" s="68"/>
      <c r="M126" s="79"/>
      <c r="N126" s="68"/>
      <c r="O126" s="68"/>
      <c r="P126" s="68"/>
      <c r="Q126" s="68"/>
      <c r="R126" s="68"/>
      <c r="S126" s="68"/>
      <c r="T126" s="68"/>
      <c r="U126" s="68"/>
      <c r="V126" s="68"/>
      <c r="W126" s="68"/>
      <c r="X126" s="68"/>
      <c r="Y126" s="68"/>
      <c r="Z126" s="68"/>
      <c r="AA126" s="68"/>
      <c r="AB126" s="68"/>
      <c r="AC126" s="68"/>
      <c r="AD126" s="68"/>
      <c r="AE126" s="68"/>
      <c r="AF126" s="68"/>
    </row>
    <row r="127">
      <c r="A127" s="68"/>
      <c r="B127" s="68"/>
      <c r="C127" s="78"/>
      <c r="D127" s="78"/>
      <c r="E127" s="68"/>
      <c r="F127" s="68"/>
      <c r="G127" s="68"/>
      <c r="H127" s="68"/>
      <c r="I127" s="68"/>
      <c r="J127" s="68"/>
      <c r="K127" s="68"/>
      <c r="L127" s="68"/>
      <c r="M127" s="79"/>
      <c r="N127" s="68"/>
      <c r="O127" s="68"/>
      <c r="P127" s="68"/>
      <c r="Q127" s="68"/>
      <c r="R127" s="68"/>
      <c r="S127" s="68"/>
      <c r="T127" s="68"/>
      <c r="U127" s="68"/>
      <c r="V127" s="68"/>
      <c r="W127" s="68"/>
      <c r="X127" s="68"/>
      <c r="Y127" s="68"/>
      <c r="Z127" s="68"/>
      <c r="AA127" s="68"/>
      <c r="AB127" s="68"/>
      <c r="AC127" s="68"/>
      <c r="AD127" s="68"/>
      <c r="AE127" s="68"/>
      <c r="AF127" s="68"/>
    </row>
    <row r="128">
      <c r="A128" s="68"/>
      <c r="B128" s="68"/>
      <c r="C128" s="78"/>
      <c r="D128" s="78"/>
      <c r="E128" s="68"/>
      <c r="F128" s="68"/>
      <c r="G128" s="68"/>
      <c r="H128" s="68"/>
      <c r="I128" s="68"/>
      <c r="J128" s="68"/>
      <c r="K128" s="68"/>
      <c r="L128" s="68"/>
      <c r="M128" s="79"/>
      <c r="N128" s="68"/>
      <c r="O128" s="68"/>
      <c r="P128" s="68"/>
      <c r="Q128" s="68"/>
      <c r="R128" s="68"/>
      <c r="S128" s="68"/>
      <c r="T128" s="68"/>
      <c r="U128" s="68"/>
      <c r="V128" s="68"/>
      <c r="W128" s="68"/>
      <c r="X128" s="68"/>
      <c r="Y128" s="68"/>
      <c r="Z128" s="68"/>
      <c r="AA128" s="68"/>
      <c r="AB128" s="68"/>
      <c r="AC128" s="68"/>
      <c r="AD128" s="68"/>
      <c r="AE128" s="68"/>
      <c r="AF128" s="68"/>
    </row>
    <row r="129">
      <c r="A129" s="68"/>
      <c r="B129" s="68"/>
      <c r="C129" s="78"/>
      <c r="D129" s="78"/>
      <c r="E129" s="68"/>
      <c r="F129" s="68"/>
      <c r="G129" s="68"/>
      <c r="H129" s="68"/>
      <c r="I129" s="68"/>
      <c r="J129" s="68"/>
      <c r="K129" s="68"/>
      <c r="L129" s="68"/>
      <c r="M129" s="79"/>
      <c r="N129" s="68"/>
      <c r="O129" s="68"/>
      <c r="P129" s="68"/>
      <c r="Q129" s="68"/>
      <c r="R129" s="68"/>
      <c r="S129" s="68"/>
      <c r="T129" s="68"/>
      <c r="U129" s="68"/>
      <c r="V129" s="68"/>
      <c r="W129" s="68"/>
      <c r="X129" s="68"/>
      <c r="Y129" s="68"/>
      <c r="Z129" s="68"/>
      <c r="AA129" s="68"/>
      <c r="AB129" s="68"/>
      <c r="AC129" s="68"/>
      <c r="AD129" s="68"/>
      <c r="AE129" s="68"/>
      <c r="AF129" s="68"/>
    </row>
    <row r="130">
      <c r="A130" s="68"/>
      <c r="B130" s="68"/>
      <c r="C130" s="78"/>
      <c r="D130" s="78"/>
      <c r="E130" s="68"/>
      <c r="F130" s="68"/>
      <c r="G130" s="68"/>
      <c r="H130" s="68"/>
      <c r="I130" s="68"/>
      <c r="J130" s="68"/>
      <c r="K130" s="68"/>
      <c r="L130" s="68"/>
      <c r="M130" s="79"/>
      <c r="N130" s="68"/>
      <c r="O130" s="68"/>
      <c r="P130" s="68"/>
      <c r="Q130" s="68"/>
      <c r="R130" s="68"/>
      <c r="S130" s="68"/>
      <c r="T130" s="68"/>
      <c r="U130" s="68"/>
      <c r="V130" s="68"/>
      <c r="W130" s="68"/>
      <c r="X130" s="68"/>
      <c r="Y130" s="68"/>
      <c r="Z130" s="68"/>
      <c r="AA130" s="68"/>
      <c r="AB130" s="68"/>
      <c r="AC130" s="68"/>
      <c r="AD130" s="68"/>
      <c r="AE130" s="68"/>
      <c r="AF130" s="68"/>
    </row>
    <row r="131">
      <c r="A131" s="68"/>
      <c r="B131" s="68"/>
      <c r="C131" s="78"/>
      <c r="D131" s="78"/>
      <c r="E131" s="68"/>
      <c r="F131" s="68"/>
      <c r="G131" s="68"/>
      <c r="H131" s="68"/>
      <c r="I131" s="68"/>
      <c r="J131" s="68"/>
      <c r="K131" s="68"/>
      <c r="L131" s="68"/>
      <c r="M131" s="79"/>
      <c r="N131" s="68"/>
      <c r="O131" s="68"/>
      <c r="P131" s="68"/>
      <c r="Q131" s="68"/>
      <c r="R131" s="68"/>
      <c r="S131" s="68"/>
      <c r="T131" s="68"/>
      <c r="U131" s="68"/>
      <c r="V131" s="68"/>
      <c r="W131" s="68"/>
      <c r="X131" s="68"/>
      <c r="Y131" s="68"/>
      <c r="Z131" s="68"/>
      <c r="AA131" s="68"/>
      <c r="AB131" s="68"/>
      <c r="AC131" s="68"/>
      <c r="AD131" s="68"/>
      <c r="AE131" s="68"/>
      <c r="AF131" s="68"/>
    </row>
    <row r="132">
      <c r="A132" s="68"/>
      <c r="B132" s="68"/>
      <c r="C132" s="78"/>
      <c r="D132" s="78"/>
      <c r="E132" s="68"/>
      <c r="F132" s="68"/>
      <c r="G132" s="68"/>
      <c r="H132" s="68"/>
      <c r="I132" s="68"/>
      <c r="J132" s="68"/>
      <c r="K132" s="68"/>
      <c r="L132" s="68"/>
      <c r="M132" s="79"/>
      <c r="N132" s="68"/>
      <c r="O132" s="68"/>
      <c r="P132" s="68"/>
      <c r="Q132" s="68"/>
      <c r="R132" s="68"/>
      <c r="S132" s="68"/>
      <c r="T132" s="68"/>
      <c r="U132" s="68"/>
      <c r="V132" s="68"/>
      <c r="W132" s="68"/>
      <c r="X132" s="68"/>
      <c r="Y132" s="68"/>
      <c r="Z132" s="68"/>
      <c r="AA132" s="68"/>
      <c r="AB132" s="68"/>
      <c r="AC132" s="68"/>
      <c r="AD132" s="68"/>
      <c r="AE132" s="68"/>
      <c r="AF132" s="68"/>
    </row>
    <row r="133">
      <c r="A133" s="68"/>
      <c r="B133" s="68"/>
      <c r="C133" s="78"/>
      <c r="D133" s="78"/>
      <c r="E133" s="68"/>
      <c r="F133" s="68"/>
      <c r="G133" s="68"/>
      <c r="H133" s="68"/>
      <c r="I133" s="68"/>
      <c r="J133" s="68"/>
      <c r="K133" s="68"/>
      <c r="L133" s="68"/>
      <c r="M133" s="79"/>
      <c r="N133" s="68"/>
      <c r="O133" s="68"/>
      <c r="P133" s="68"/>
      <c r="Q133" s="68"/>
      <c r="R133" s="68"/>
      <c r="S133" s="68"/>
      <c r="T133" s="68"/>
      <c r="U133" s="68"/>
      <c r="V133" s="68"/>
      <c r="W133" s="68"/>
      <c r="X133" s="68"/>
      <c r="Y133" s="68"/>
      <c r="Z133" s="68"/>
      <c r="AA133" s="68"/>
      <c r="AB133" s="68"/>
      <c r="AC133" s="68"/>
      <c r="AD133" s="68"/>
      <c r="AE133" s="68"/>
      <c r="AF133" s="68"/>
    </row>
    <row r="134">
      <c r="A134" s="68"/>
      <c r="B134" s="68"/>
      <c r="C134" s="78"/>
      <c r="D134" s="78"/>
      <c r="E134" s="68"/>
      <c r="F134" s="68"/>
      <c r="G134" s="68"/>
      <c r="H134" s="68"/>
      <c r="I134" s="68"/>
      <c r="J134" s="68"/>
      <c r="K134" s="68"/>
      <c r="L134" s="68"/>
      <c r="M134" s="79"/>
      <c r="N134" s="68"/>
      <c r="O134" s="68"/>
      <c r="P134" s="68"/>
      <c r="Q134" s="68"/>
      <c r="R134" s="68"/>
      <c r="S134" s="68"/>
      <c r="T134" s="68"/>
      <c r="U134" s="68"/>
      <c r="V134" s="68"/>
      <c r="W134" s="68"/>
      <c r="X134" s="68"/>
      <c r="Y134" s="68"/>
      <c r="Z134" s="68"/>
      <c r="AA134" s="68"/>
      <c r="AB134" s="68"/>
      <c r="AC134" s="68"/>
      <c r="AD134" s="68"/>
      <c r="AE134" s="68"/>
      <c r="AF134" s="68"/>
    </row>
    <row r="135">
      <c r="A135" s="68"/>
      <c r="B135" s="68"/>
      <c r="C135" s="78"/>
      <c r="D135" s="78"/>
      <c r="E135" s="68"/>
      <c r="F135" s="68"/>
      <c r="G135" s="68"/>
      <c r="H135" s="68"/>
      <c r="I135" s="68"/>
      <c r="J135" s="68"/>
      <c r="K135" s="68"/>
      <c r="L135" s="68"/>
      <c r="M135" s="79"/>
      <c r="N135" s="68"/>
      <c r="O135" s="68"/>
      <c r="P135" s="68"/>
      <c r="Q135" s="68"/>
      <c r="R135" s="68"/>
      <c r="S135" s="68"/>
      <c r="T135" s="68"/>
      <c r="U135" s="68"/>
      <c r="V135" s="68"/>
      <c r="W135" s="68"/>
      <c r="X135" s="68"/>
      <c r="Y135" s="68"/>
      <c r="Z135" s="68"/>
      <c r="AA135" s="68"/>
      <c r="AB135" s="68"/>
      <c r="AC135" s="68"/>
      <c r="AD135" s="68"/>
      <c r="AE135" s="68"/>
      <c r="AF135" s="68"/>
    </row>
    <row r="136">
      <c r="A136" s="68"/>
      <c r="B136" s="68"/>
      <c r="C136" s="78"/>
      <c r="D136" s="78"/>
      <c r="E136" s="68"/>
      <c r="F136" s="68"/>
      <c r="G136" s="68"/>
      <c r="H136" s="68"/>
      <c r="I136" s="68"/>
      <c r="J136" s="68"/>
      <c r="K136" s="68"/>
      <c r="L136" s="68"/>
      <c r="M136" s="79"/>
      <c r="N136" s="68"/>
      <c r="O136" s="68"/>
      <c r="P136" s="68"/>
      <c r="Q136" s="68"/>
      <c r="R136" s="68"/>
      <c r="S136" s="68"/>
      <c r="T136" s="68"/>
      <c r="U136" s="68"/>
      <c r="V136" s="68"/>
      <c r="W136" s="68"/>
      <c r="X136" s="68"/>
      <c r="Y136" s="68"/>
      <c r="Z136" s="68"/>
      <c r="AA136" s="68"/>
      <c r="AB136" s="68"/>
      <c r="AC136" s="68"/>
      <c r="AD136" s="68"/>
      <c r="AE136" s="68"/>
      <c r="AF136" s="68"/>
    </row>
    <row r="137">
      <c r="A137" s="68"/>
      <c r="B137" s="68"/>
      <c r="C137" s="78"/>
      <c r="D137" s="78"/>
      <c r="E137" s="68"/>
      <c r="F137" s="68"/>
      <c r="G137" s="68"/>
      <c r="H137" s="68"/>
      <c r="I137" s="68"/>
      <c r="J137" s="68"/>
      <c r="K137" s="68"/>
      <c r="L137" s="68"/>
      <c r="M137" s="79"/>
      <c r="N137" s="68"/>
      <c r="O137" s="68"/>
      <c r="P137" s="68"/>
      <c r="Q137" s="68"/>
      <c r="R137" s="68"/>
      <c r="S137" s="68"/>
      <c r="T137" s="68"/>
      <c r="U137" s="68"/>
      <c r="V137" s="68"/>
      <c r="W137" s="68"/>
      <c r="X137" s="68"/>
      <c r="Y137" s="68"/>
      <c r="Z137" s="68"/>
      <c r="AA137" s="68"/>
      <c r="AB137" s="68"/>
      <c r="AC137" s="68"/>
      <c r="AD137" s="68"/>
      <c r="AE137" s="68"/>
      <c r="AF137" s="68"/>
    </row>
    <row r="138">
      <c r="A138" s="68"/>
      <c r="B138" s="68"/>
      <c r="C138" s="78"/>
      <c r="D138" s="78"/>
      <c r="E138" s="68"/>
      <c r="F138" s="68"/>
      <c r="G138" s="68"/>
      <c r="H138" s="68"/>
      <c r="I138" s="68"/>
      <c r="J138" s="68"/>
      <c r="K138" s="68"/>
      <c r="L138" s="68"/>
      <c r="M138" s="79"/>
      <c r="N138" s="68"/>
      <c r="O138" s="68"/>
      <c r="P138" s="68"/>
      <c r="Q138" s="68"/>
      <c r="R138" s="68"/>
      <c r="S138" s="68"/>
      <c r="T138" s="68"/>
      <c r="U138" s="68"/>
      <c r="V138" s="68"/>
      <c r="W138" s="68"/>
      <c r="X138" s="68"/>
      <c r="Y138" s="68"/>
      <c r="Z138" s="68"/>
      <c r="AA138" s="68"/>
      <c r="AB138" s="68"/>
      <c r="AC138" s="68"/>
      <c r="AD138" s="68"/>
      <c r="AE138" s="68"/>
      <c r="AF138" s="68"/>
    </row>
    <row r="139">
      <c r="A139" s="68"/>
      <c r="B139" s="68"/>
      <c r="C139" s="78"/>
      <c r="D139" s="78"/>
      <c r="E139" s="68"/>
      <c r="F139" s="68"/>
      <c r="G139" s="68"/>
      <c r="H139" s="68"/>
      <c r="I139" s="68"/>
      <c r="J139" s="68"/>
      <c r="K139" s="68"/>
      <c r="L139" s="68"/>
      <c r="M139" s="79"/>
      <c r="N139" s="68"/>
      <c r="O139" s="68"/>
      <c r="P139" s="68"/>
      <c r="Q139" s="68"/>
      <c r="R139" s="68"/>
      <c r="S139" s="68"/>
      <c r="T139" s="68"/>
      <c r="U139" s="68"/>
      <c r="V139" s="68"/>
      <c r="W139" s="68"/>
      <c r="X139" s="68"/>
      <c r="Y139" s="68"/>
      <c r="Z139" s="68"/>
      <c r="AA139" s="68"/>
      <c r="AB139" s="68"/>
      <c r="AC139" s="68"/>
      <c r="AD139" s="68"/>
      <c r="AE139" s="68"/>
      <c r="AF139" s="68"/>
    </row>
    <row r="140">
      <c r="A140" s="68"/>
      <c r="B140" s="68"/>
      <c r="C140" s="78"/>
      <c r="D140" s="78"/>
      <c r="E140" s="68"/>
      <c r="F140" s="68"/>
      <c r="G140" s="68"/>
      <c r="H140" s="68"/>
      <c r="I140" s="68"/>
      <c r="J140" s="68"/>
      <c r="K140" s="68"/>
      <c r="L140" s="68"/>
      <c r="M140" s="79"/>
      <c r="N140" s="68"/>
      <c r="O140" s="68"/>
      <c r="P140" s="68"/>
      <c r="Q140" s="68"/>
      <c r="R140" s="68"/>
      <c r="S140" s="68"/>
      <c r="T140" s="68"/>
      <c r="U140" s="68"/>
      <c r="V140" s="68"/>
      <c r="W140" s="68"/>
      <c r="X140" s="68"/>
      <c r="Y140" s="68"/>
      <c r="Z140" s="68"/>
      <c r="AA140" s="68"/>
      <c r="AB140" s="68"/>
      <c r="AC140" s="68"/>
      <c r="AD140" s="68"/>
      <c r="AE140" s="68"/>
      <c r="AF140" s="68"/>
    </row>
    <row r="141">
      <c r="A141" s="68"/>
      <c r="B141" s="68"/>
      <c r="C141" s="78"/>
      <c r="D141" s="78"/>
      <c r="E141" s="68"/>
      <c r="F141" s="68"/>
      <c r="G141" s="68"/>
      <c r="H141" s="68"/>
      <c r="I141" s="68"/>
      <c r="J141" s="68"/>
      <c r="K141" s="68"/>
      <c r="L141" s="68"/>
      <c r="M141" s="79"/>
      <c r="N141" s="68"/>
      <c r="O141" s="68"/>
      <c r="P141" s="68"/>
      <c r="Q141" s="68"/>
      <c r="R141" s="68"/>
      <c r="S141" s="68"/>
      <c r="T141" s="68"/>
      <c r="U141" s="68"/>
      <c r="V141" s="68"/>
      <c r="W141" s="68"/>
      <c r="X141" s="68"/>
      <c r="Y141" s="68"/>
      <c r="Z141" s="68"/>
      <c r="AA141" s="68"/>
      <c r="AB141" s="68"/>
      <c r="AC141" s="68"/>
      <c r="AD141" s="68"/>
      <c r="AE141" s="68"/>
      <c r="AF141" s="68"/>
    </row>
    <row r="142">
      <c r="A142" s="68"/>
      <c r="B142" s="68"/>
      <c r="C142" s="78"/>
      <c r="D142" s="78"/>
      <c r="E142" s="68"/>
      <c r="F142" s="68"/>
      <c r="G142" s="68"/>
      <c r="H142" s="68"/>
      <c r="I142" s="68"/>
      <c r="J142" s="68"/>
      <c r="K142" s="68"/>
      <c r="L142" s="68"/>
      <c r="M142" s="79"/>
      <c r="N142" s="68"/>
      <c r="O142" s="68"/>
      <c r="P142" s="68"/>
      <c r="Q142" s="68"/>
      <c r="R142" s="68"/>
      <c r="S142" s="68"/>
      <c r="T142" s="68"/>
      <c r="U142" s="68"/>
      <c r="V142" s="68"/>
      <c r="W142" s="68"/>
      <c r="X142" s="68"/>
      <c r="Y142" s="68"/>
      <c r="Z142" s="68"/>
      <c r="AA142" s="68"/>
      <c r="AB142" s="68"/>
      <c r="AC142" s="68"/>
      <c r="AD142" s="68"/>
      <c r="AE142" s="68"/>
      <c r="AF142" s="68"/>
    </row>
    <row r="143">
      <c r="A143" s="68"/>
      <c r="B143" s="68"/>
      <c r="C143" s="78"/>
      <c r="D143" s="78"/>
      <c r="E143" s="68"/>
      <c r="F143" s="68"/>
      <c r="G143" s="68"/>
      <c r="H143" s="68"/>
      <c r="I143" s="68"/>
      <c r="J143" s="68"/>
      <c r="K143" s="68"/>
      <c r="L143" s="68"/>
      <c r="M143" s="79"/>
      <c r="N143" s="68"/>
      <c r="O143" s="68"/>
      <c r="P143" s="68"/>
      <c r="Q143" s="68"/>
      <c r="R143" s="68"/>
      <c r="S143" s="68"/>
      <c r="T143" s="68"/>
      <c r="U143" s="68"/>
      <c r="V143" s="68"/>
      <c r="W143" s="68"/>
      <c r="X143" s="68"/>
      <c r="Y143" s="68"/>
      <c r="Z143" s="68"/>
      <c r="AA143" s="68"/>
      <c r="AB143" s="68"/>
      <c r="AC143" s="68"/>
      <c r="AD143" s="68"/>
      <c r="AE143" s="68"/>
      <c r="AF143" s="68"/>
    </row>
    <row r="144">
      <c r="A144" s="68"/>
      <c r="B144" s="68"/>
      <c r="C144" s="78"/>
      <c r="D144" s="78"/>
      <c r="E144" s="68"/>
      <c r="F144" s="68"/>
      <c r="G144" s="68"/>
      <c r="H144" s="68"/>
      <c r="I144" s="68"/>
      <c r="J144" s="68"/>
      <c r="K144" s="68"/>
      <c r="L144" s="68"/>
      <c r="M144" s="79"/>
      <c r="N144" s="68"/>
      <c r="O144" s="68"/>
      <c r="P144" s="68"/>
      <c r="Q144" s="68"/>
      <c r="R144" s="68"/>
      <c r="S144" s="68"/>
      <c r="T144" s="68"/>
      <c r="U144" s="68"/>
      <c r="V144" s="68"/>
      <c r="W144" s="68"/>
      <c r="X144" s="68"/>
      <c r="Y144" s="68"/>
      <c r="Z144" s="68"/>
      <c r="AA144" s="68"/>
      <c r="AB144" s="68"/>
      <c r="AC144" s="68"/>
      <c r="AD144" s="68"/>
      <c r="AE144" s="68"/>
      <c r="AF144" s="68"/>
    </row>
    <row r="145">
      <c r="A145" s="68"/>
      <c r="B145" s="68"/>
      <c r="C145" s="78"/>
      <c r="D145" s="78"/>
      <c r="E145" s="68"/>
      <c r="F145" s="68"/>
      <c r="G145" s="68"/>
      <c r="H145" s="68"/>
      <c r="I145" s="68"/>
      <c r="J145" s="68"/>
      <c r="K145" s="68"/>
      <c r="L145" s="68"/>
      <c r="M145" s="79"/>
      <c r="N145" s="68"/>
      <c r="O145" s="68"/>
      <c r="P145" s="68"/>
      <c r="Q145" s="68"/>
      <c r="R145" s="68"/>
      <c r="S145" s="68"/>
      <c r="T145" s="68"/>
      <c r="U145" s="68"/>
      <c r="V145" s="68"/>
      <c r="W145" s="68"/>
      <c r="X145" s="68"/>
      <c r="Y145" s="68"/>
      <c r="Z145" s="68"/>
      <c r="AA145" s="68"/>
      <c r="AB145" s="68"/>
      <c r="AC145" s="68"/>
      <c r="AD145" s="68"/>
      <c r="AE145" s="68"/>
      <c r="AF145" s="68"/>
    </row>
    <row r="146">
      <c r="A146" s="68"/>
      <c r="B146" s="68"/>
      <c r="C146" s="78"/>
      <c r="D146" s="78"/>
      <c r="E146" s="68"/>
      <c r="F146" s="68"/>
      <c r="G146" s="68"/>
      <c r="H146" s="68"/>
      <c r="I146" s="68"/>
      <c r="J146" s="68"/>
      <c r="K146" s="68"/>
      <c r="L146" s="68"/>
      <c r="M146" s="79"/>
      <c r="N146" s="68"/>
      <c r="O146" s="68"/>
      <c r="P146" s="68"/>
      <c r="Q146" s="68"/>
      <c r="R146" s="68"/>
      <c r="S146" s="68"/>
      <c r="T146" s="68"/>
      <c r="U146" s="68"/>
      <c r="V146" s="68"/>
      <c r="W146" s="68"/>
      <c r="X146" s="68"/>
      <c r="Y146" s="68"/>
      <c r="Z146" s="68"/>
      <c r="AA146" s="68"/>
      <c r="AB146" s="68"/>
      <c r="AC146" s="68"/>
      <c r="AD146" s="68"/>
      <c r="AE146" s="68"/>
      <c r="AF146" s="68"/>
    </row>
    <row r="147">
      <c r="A147" s="68"/>
      <c r="B147" s="68"/>
      <c r="C147" s="78"/>
      <c r="D147" s="78"/>
      <c r="E147" s="68"/>
      <c r="F147" s="68"/>
      <c r="G147" s="68"/>
      <c r="H147" s="68"/>
      <c r="I147" s="68"/>
      <c r="J147" s="68"/>
      <c r="K147" s="68"/>
      <c r="L147" s="68"/>
      <c r="M147" s="79"/>
      <c r="N147" s="68"/>
      <c r="O147" s="68"/>
      <c r="P147" s="68"/>
      <c r="Q147" s="68"/>
      <c r="R147" s="68"/>
      <c r="S147" s="68"/>
      <c r="T147" s="68"/>
      <c r="U147" s="68"/>
      <c r="V147" s="68"/>
      <c r="W147" s="68"/>
      <c r="X147" s="68"/>
      <c r="Y147" s="68"/>
      <c r="Z147" s="68"/>
      <c r="AA147" s="68"/>
      <c r="AB147" s="68"/>
      <c r="AC147" s="68"/>
      <c r="AD147" s="68"/>
      <c r="AE147" s="68"/>
      <c r="AF147" s="68"/>
    </row>
    <row r="148">
      <c r="A148" s="68"/>
      <c r="B148" s="68"/>
      <c r="C148" s="78"/>
      <c r="D148" s="78"/>
      <c r="E148" s="68"/>
      <c r="F148" s="68"/>
      <c r="G148" s="68"/>
      <c r="H148" s="68"/>
      <c r="I148" s="68"/>
      <c r="J148" s="68"/>
      <c r="K148" s="68"/>
      <c r="L148" s="68"/>
      <c r="M148" s="79"/>
      <c r="N148" s="68"/>
      <c r="O148" s="68"/>
      <c r="P148" s="68"/>
      <c r="Q148" s="68"/>
      <c r="R148" s="68"/>
      <c r="S148" s="68"/>
      <c r="T148" s="68"/>
      <c r="U148" s="68"/>
      <c r="V148" s="68"/>
      <c r="W148" s="68"/>
      <c r="X148" s="68"/>
      <c r="Y148" s="68"/>
      <c r="Z148" s="68"/>
      <c r="AA148" s="68"/>
      <c r="AB148" s="68"/>
      <c r="AC148" s="68"/>
      <c r="AD148" s="68"/>
      <c r="AE148" s="68"/>
      <c r="AF148" s="68"/>
    </row>
    <row r="149">
      <c r="A149" s="68"/>
      <c r="B149" s="68"/>
      <c r="C149" s="78"/>
      <c r="D149" s="78"/>
      <c r="E149" s="68"/>
      <c r="F149" s="68"/>
      <c r="G149" s="68"/>
      <c r="H149" s="68"/>
      <c r="I149" s="68"/>
      <c r="J149" s="68"/>
      <c r="K149" s="68"/>
      <c r="L149" s="68"/>
      <c r="M149" s="79"/>
      <c r="N149" s="68"/>
      <c r="O149" s="68"/>
      <c r="P149" s="68"/>
      <c r="Q149" s="68"/>
      <c r="R149" s="68"/>
      <c r="S149" s="68"/>
      <c r="T149" s="68"/>
      <c r="U149" s="68"/>
      <c r="V149" s="68"/>
      <c r="W149" s="68"/>
      <c r="X149" s="68"/>
      <c r="Y149" s="68"/>
      <c r="Z149" s="68"/>
      <c r="AA149" s="68"/>
      <c r="AB149" s="68"/>
      <c r="AC149" s="68"/>
      <c r="AD149" s="68"/>
      <c r="AE149" s="68"/>
      <c r="AF149" s="68"/>
    </row>
    <row r="150">
      <c r="A150" s="68"/>
      <c r="B150" s="68"/>
      <c r="C150" s="78"/>
      <c r="D150" s="78"/>
      <c r="E150" s="68"/>
      <c r="F150" s="68"/>
      <c r="G150" s="68"/>
      <c r="H150" s="68"/>
      <c r="I150" s="68"/>
      <c r="J150" s="68"/>
      <c r="K150" s="68"/>
      <c r="L150" s="68"/>
      <c r="M150" s="79"/>
      <c r="N150" s="68"/>
      <c r="O150" s="68"/>
      <c r="P150" s="68"/>
      <c r="Q150" s="68"/>
      <c r="R150" s="68"/>
      <c r="S150" s="68"/>
      <c r="T150" s="68"/>
      <c r="U150" s="68"/>
      <c r="V150" s="68"/>
      <c r="W150" s="68"/>
      <c r="X150" s="68"/>
      <c r="Y150" s="68"/>
      <c r="Z150" s="68"/>
      <c r="AA150" s="68"/>
      <c r="AB150" s="68"/>
      <c r="AC150" s="68"/>
      <c r="AD150" s="68"/>
      <c r="AE150" s="68"/>
      <c r="AF150" s="68"/>
    </row>
    <row r="151">
      <c r="A151" s="68"/>
      <c r="B151" s="68"/>
      <c r="C151" s="78"/>
      <c r="D151" s="78"/>
      <c r="E151" s="68"/>
      <c r="F151" s="68"/>
      <c r="G151" s="68"/>
      <c r="H151" s="68"/>
      <c r="I151" s="68"/>
      <c r="J151" s="68"/>
      <c r="K151" s="68"/>
      <c r="L151" s="68"/>
      <c r="M151" s="79"/>
      <c r="N151" s="68"/>
      <c r="O151" s="68"/>
      <c r="P151" s="68"/>
      <c r="Q151" s="68"/>
      <c r="R151" s="68"/>
      <c r="S151" s="68"/>
      <c r="T151" s="68"/>
      <c r="U151" s="68"/>
      <c r="V151" s="68"/>
      <c r="W151" s="68"/>
      <c r="X151" s="68"/>
      <c r="Y151" s="68"/>
      <c r="Z151" s="68"/>
      <c r="AA151" s="68"/>
      <c r="AB151" s="68"/>
      <c r="AC151" s="68"/>
      <c r="AD151" s="68"/>
      <c r="AE151" s="68"/>
      <c r="AF151" s="68"/>
    </row>
    <row r="152">
      <c r="A152" s="68"/>
      <c r="B152" s="68"/>
      <c r="C152" s="78"/>
      <c r="D152" s="78"/>
      <c r="E152" s="68"/>
      <c r="F152" s="68"/>
      <c r="G152" s="68"/>
      <c r="H152" s="68"/>
      <c r="I152" s="68"/>
      <c r="J152" s="68"/>
      <c r="K152" s="68"/>
      <c r="L152" s="68"/>
      <c r="M152" s="79"/>
      <c r="N152" s="68"/>
      <c r="O152" s="68"/>
      <c r="P152" s="68"/>
      <c r="Q152" s="68"/>
      <c r="R152" s="68"/>
      <c r="S152" s="68"/>
      <c r="T152" s="68"/>
      <c r="U152" s="68"/>
      <c r="V152" s="68"/>
      <c r="W152" s="68"/>
      <c r="X152" s="68"/>
      <c r="Y152" s="68"/>
      <c r="Z152" s="68"/>
      <c r="AA152" s="68"/>
      <c r="AB152" s="68"/>
      <c r="AC152" s="68"/>
      <c r="AD152" s="68"/>
      <c r="AE152" s="68"/>
      <c r="AF152" s="68"/>
    </row>
    <row r="153">
      <c r="A153" s="68"/>
      <c r="B153" s="68"/>
      <c r="C153" s="78"/>
      <c r="D153" s="78"/>
      <c r="E153" s="68"/>
      <c r="F153" s="68"/>
      <c r="G153" s="68"/>
      <c r="H153" s="68"/>
      <c r="I153" s="68"/>
      <c r="J153" s="68"/>
      <c r="K153" s="68"/>
      <c r="L153" s="68"/>
      <c r="M153" s="79"/>
      <c r="N153" s="68"/>
      <c r="O153" s="68"/>
      <c r="P153" s="68"/>
      <c r="Q153" s="68"/>
      <c r="R153" s="68"/>
      <c r="S153" s="68"/>
      <c r="T153" s="68"/>
      <c r="U153" s="68"/>
      <c r="V153" s="68"/>
      <c r="W153" s="68"/>
      <c r="X153" s="68"/>
      <c r="Y153" s="68"/>
      <c r="Z153" s="68"/>
      <c r="AA153" s="68"/>
      <c r="AB153" s="68"/>
      <c r="AC153" s="68"/>
      <c r="AD153" s="68"/>
      <c r="AE153" s="68"/>
      <c r="AF153" s="68"/>
    </row>
    <row r="154">
      <c r="A154" s="68"/>
      <c r="B154" s="68"/>
      <c r="C154" s="78"/>
      <c r="D154" s="78"/>
      <c r="E154" s="68"/>
      <c r="F154" s="68"/>
      <c r="G154" s="68"/>
      <c r="H154" s="68"/>
      <c r="I154" s="68"/>
      <c r="J154" s="68"/>
      <c r="K154" s="68"/>
      <c r="L154" s="68"/>
      <c r="M154" s="79"/>
      <c r="N154" s="68"/>
      <c r="O154" s="68"/>
      <c r="P154" s="68"/>
      <c r="Q154" s="68"/>
      <c r="R154" s="68"/>
      <c r="S154" s="68"/>
      <c r="T154" s="68"/>
      <c r="U154" s="68"/>
      <c r="V154" s="68"/>
      <c r="W154" s="68"/>
      <c r="X154" s="68"/>
      <c r="Y154" s="68"/>
      <c r="Z154" s="68"/>
      <c r="AA154" s="68"/>
      <c r="AB154" s="68"/>
      <c r="AC154" s="68"/>
      <c r="AD154" s="68"/>
      <c r="AE154" s="68"/>
      <c r="AF154" s="68"/>
    </row>
    <row r="155">
      <c r="A155" s="68"/>
      <c r="B155" s="68"/>
      <c r="C155" s="78"/>
      <c r="D155" s="78"/>
      <c r="E155" s="68"/>
      <c r="F155" s="68"/>
      <c r="G155" s="68"/>
      <c r="H155" s="68"/>
      <c r="I155" s="68"/>
      <c r="J155" s="68"/>
      <c r="K155" s="68"/>
      <c r="L155" s="68"/>
      <c r="M155" s="79"/>
      <c r="N155" s="68"/>
      <c r="O155" s="68"/>
      <c r="P155" s="68"/>
      <c r="Q155" s="68"/>
      <c r="R155" s="68"/>
      <c r="S155" s="68"/>
      <c r="T155" s="68"/>
      <c r="U155" s="68"/>
      <c r="V155" s="68"/>
      <c r="W155" s="68"/>
      <c r="X155" s="68"/>
      <c r="Y155" s="68"/>
      <c r="Z155" s="68"/>
      <c r="AA155" s="68"/>
      <c r="AB155" s="68"/>
      <c r="AC155" s="68"/>
      <c r="AD155" s="68"/>
      <c r="AE155" s="68"/>
      <c r="AF155" s="68"/>
    </row>
    <row r="156">
      <c r="A156" s="68"/>
      <c r="B156" s="68"/>
      <c r="C156" s="78"/>
      <c r="D156" s="78"/>
      <c r="E156" s="68"/>
      <c r="F156" s="68"/>
      <c r="G156" s="68"/>
      <c r="H156" s="68"/>
      <c r="I156" s="68"/>
      <c r="J156" s="68"/>
      <c r="K156" s="68"/>
      <c r="L156" s="68"/>
      <c r="M156" s="79"/>
      <c r="N156" s="68"/>
      <c r="O156" s="68"/>
      <c r="P156" s="68"/>
      <c r="Q156" s="68"/>
      <c r="R156" s="68"/>
      <c r="S156" s="68"/>
      <c r="T156" s="68"/>
      <c r="U156" s="68"/>
      <c r="V156" s="68"/>
      <c r="W156" s="68"/>
      <c r="X156" s="68"/>
      <c r="Y156" s="68"/>
      <c r="Z156" s="68"/>
      <c r="AA156" s="68"/>
      <c r="AB156" s="68"/>
      <c r="AC156" s="68"/>
      <c r="AD156" s="68"/>
      <c r="AE156" s="68"/>
      <c r="AF156" s="68"/>
    </row>
    <row r="157">
      <c r="A157" s="68"/>
      <c r="B157" s="68"/>
      <c r="C157" s="78"/>
      <c r="D157" s="78"/>
      <c r="E157" s="68"/>
      <c r="F157" s="68"/>
      <c r="G157" s="68"/>
      <c r="H157" s="68"/>
      <c r="I157" s="68"/>
      <c r="J157" s="68"/>
      <c r="K157" s="68"/>
      <c r="L157" s="68"/>
      <c r="M157" s="79"/>
      <c r="N157" s="68"/>
      <c r="O157" s="68"/>
      <c r="P157" s="68"/>
      <c r="Q157" s="68"/>
      <c r="R157" s="68"/>
      <c r="S157" s="68"/>
      <c r="T157" s="68"/>
      <c r="U157" s="68"/>
      <c r="V157" s="68"/>
      <c r="W157" s="68"/>
      <c r="X157" s="68"/>
      <c r="Y157" s="68"/>
      <c r="Z157" s="68"/>
      <c r="AA157" s="68"/>
      <c r="AB157" s="68"/>
      <c r="AC157" s="68"/>
      <c r="AD157" s="68"/>
      <c r="AE157" s="68"/>
      <c r="AF157" s="68"/>
    </row>
    <row r="158">
      <c r="A158" s="68"/>
      <c r="B158" s="68"/>
      <c r="C158" s="78"/>
      <c r="D158" s="78"/>
      <c r="E158" s="68"/>
      <c r="F158" s="68"/>
      <c r="G158" s="68"/>
      <c r="H158" s="68"/>
      <c r="I158" s="68"/>
      <c r="J158" s="68"/>
      <c r="K158" s="68"/>
      <c r="L158" s="68"/>
      <c r="M158" s="79"/>
      <c r="N158" s="68"/>
      <c r="O158" s="68"/>
      <c r="P158" s="68"/>
      <c r="Q158" s="68"/>
      <c r="R158" s="68"/>
      <c r="S158" s="68"/>
      <c r="T158" s="68"/>
      <c r="U158" s="68"/>
      <c r="V158" s="68"/>
      <c r="W158" s="68"/>
      <c r="X158" s="68"/>
      <c r="Y158" s="68"/>
      <c r="Z158" s="68"/>
      <c r="AA158" s="68"/>
      <c r="AB158" s="68"/>
      <c r="AC158" s="68"/>
      <c r="AD158" s="68"/>
      <c r="AE158" s="68"/>
      <c r="AF158" s="68"/>
    </row>
    <row r="159">
      <c r="A159" s="68"/>
      <c r="B159" s="68"/>
      <c r="C159" s="78"/>
      <c r="D159" s="78"/>
      <c r="E159" s="68"/>
      <c r="F159" s="68"/>
      <c r="G159" s="68"/>
      <c r="H159" s="68"/>
      <c r="I159" s="68"/>
      <c r="J159" s="68"/>
      <c r="K159" s="68"/>
      <c r="L159" s="68"/>
      <c r="M159" s="79"/>
      <c r="N159" s="68"/>
      <c r="O159" s="68"/>
      <c r="P159" s="68"/>
      <c r="Q159" s="68"/>
      <c r="R159" s="68"/>
      <c r="S159" s="68"/>
      <c r="T159" s="68"/>
      <c r="U159" s="68"/>
      <c r="V159" s="68"/>
      <c r="W159" s="68"/>
      <c r="X159" s="68"/>
      <c r="Y159" s="68"/>
      <c r="Z159" s="68"/>
      <c r="AA159" s="68"/>
      <c r="AB159" s="68"/>
      <c r="AC159" s="68"/>
      <c r="AD159" s="68"/>
      <c r="AE159" s="68"/>
      <c r="AF159" s="68"/>
    </row>
    <row r="160">
      <c r="A160" s="68"/>
      <c r="B160" s="68"/>
      <c r="C160" s="78"/>
      <c r="D160" s="78"/>
      <c r="E160" s="68"/>
      <c r="F160" s="68"/>
      <c r="G160" s="68"/>
      <c r="H160" s="68"/>
      <c r="I160" s="68"/>
      <c r="J160" s="68"/>
      <c r="K160" s="68"/>
      <c r="L160" s="68"/>
      <c r="M160" s="79"/>
      <c r="N160" s="68"/>
      <c r="O160" s="68"/>
      <c r="P160" s="68"/>
      <c r="Q160" s="68"/>
      <c r="R160" s="68"/>
      <c r="S160" s="68"/>
      <c r="T160" s="68"/>
      <c r="U160" s="68"/>
      <c r="V160" s="68"/>
      <c r="W160" s="68"/>
      <c r="X160" s="68"/>
      <c r="Y160" s="68"/>
      <c r="Z160" s="68"/>
      <c r="AA160" s="68"/>
      <c r="AB160" s="68"/>
      <c r="AC160" s="68"/>
      <c r="AD160" s="68"/>
      <c r="AE160" s="68"/>
      <c r="AF160" s="68"/>
    </row>
    <row r="161">
      <c r="A161" s="68"/>
      <c r="B161" s="68"/>
      <c r="C161" s="78"/>
      <c r="D161" s="78"/>
      <c r="E161" s="68"/>
      <c r="F161" s="68"/>
      <c r="G161" s="68"/>
      <c r="H161" s="68"/>
      <c r="I161" s="68"/>
      <c r="J161" s="68"/>
      <c r="K161" s="68"/>
      <c r="L161" s="68"/>
      <c r="M161" s="79"/>
      <c r="N161" s="68"/>
      <c r="O161" s="68"/>
      <c r="P161" s="68"/>
      <c r="Q161" s="68"/>
      <c r="R161" s="68"/>
      <c r="S161" s="68"/>
      <c r="T161" s="68"/>
      <c r="U161" s="68"/>
      <c r="V161" s="68"/>
      <c r="W161" s="68"/>
      <c r="X161" s="68"/>
      <c r="Y161" s="68"/>
      <c r="Z161" s="68"/>
      <c r="AA161" s="68"/>
      <c r="AB161" s="68"/>
      <c r="AC161" s="68"/>
      <c r="AD161" s="68"/>
      <c r="AE161" s="68"/>
      <c r="AF161" s="68"/>
    </row>
    <row r="162">
      <c r="A162" s="68"/>
      <c r="B162" s="68"/>
      <c r="C162" s="78"/>
      <c r="D162" s="78"/>
      <c r="E162" s="68"/>
      <c r="F162" s="68"/>
      <c r="G162" s="68"/>
      <c r="H162" s="68"/>
      <c r="I162" s="68"/>
      <c r="J162" s="68"/>
      <c r="K162" s="68"/>
      <c r="L162" s="68"/>
      <c r="M162" s="79"/>
      <c r="N162" s="68"/>
      <c r="O162" s="68"/>
      <c r="P162" s="68"/>
      <c r="Q162" s="68"/>
      <c r="R162" s="68"/>
      <c r="S162" s="68"/>
      <c r="T162" s="68"/>
      <c r="U162" s="68"/>
      <c r="V162" s="68"/>
      <c r="W162" s="68"/>
      <c r="X162" s="68"/>
      <c r="Y162" s="68"/>
      <c r="Z162" s="68"/>
      <c r="AA162" s="68"/>
      <c r="AB162" s="68"/>
      <c r="AC162" s="68"/>
      <c r="AD162" s="68"/>
      <c r="AE162" s="68"/>
      <c r="AF162" s="68"/>
    </row>
    <row r="163">
      <c r="A163" s="68"/>
      <c r="B163" s="68"/>
      <c r="C163" s="78"/>
      <c r="D163" s="78"/>
      <c r="E163" s="68"/>
      <c r="F163" s="68"/>
      <c r="G163" s="68"/>
      <c r="H163" s="68"/>
      <c r="I163" s="68"/>
      <c r="J163" s="68"/>
      <c r="K163" s="68"/>
      <c r="L163" s="68"/>
      <c r="M163" s="79"/>
      <c r="N163" s="68"/>
      <c r="O163" s="68"/>
      <c r="P163" s="68"/>
      <c r="Q163" s="68"/>
      <c r="R163" s="68"/>
      <c r="S163" s="68"/>
      <c r="T163" s="68"/>
      <c r="U163" s="68"/>
      <c r="V163" s="68"/>
      <c r="W163" s="68"/>
      <c r="X163" s="68"/>
      <c r="Y163" s="68"/>
      <c r="Z163" s="68"/>
      <c r="AA163" s="68"/>
      <c r="AB163" s="68"/>
      <c r="AC163" s="68"/>
      <c r="AD163" s="68"/>
      <c r="AE163" s="68"/>
      <c r="AF163" s="68"/>
    </row>
    <row r="164">
      <c r="A164" s="68"/>
      <c r="B164" s="68"/>
      <c r="C164" s="78"/>
      <c r="D164" s="78"/>
      <c r="E164" s="68"/>
      <c r="F164" s="68"/>
      <c r="G164" s="68"/>
      <c r="H164" s="68"/>
      <c r="I164" s="68"/>
      <c r="J164" s="68"/>
      <c r="K164" s="68"/>
      <c r="L164" s="68"/>
      <c r="M164" s="79"/>
      <c r="N164" s="68"/>
      <c r="O164" s="68"/>
      <c r="P164" s="68"/>
      <c r="Q164" s="68"/>
      <c r="R164" s="68"/>
      <c r="S164" s="68"/>
      <c r="T164" s="68"/>
      <c r="U164" s="68"/>
      <c r="V164" s="68"/>
      <c r="W164" s="68"/>
      <c r="X164" s="68"/>
      <c r="Y164" s="68"/>
      <c r="Z164" s="68"/>
      <c r="AA164" s="68"/>
      <c r="AB164" s="68"/>
      <c r="AC164" s="68"/>
      <c r="AD164" s="68"/>
      <c r="AE164" s="68"/>
      <c r="AF164" s="68"/>
    </row>
    <row r="165">
      <c r="A165" s="68"/>
      <c r="B165" s="68"/>
      <c r="C165" s="78"/>
      <c r="D165" s="78"/>
      <c r="E165" s="68"/>
      <c r="F165" s="68"/>
      <c r="G165" s="68"/>
      <c r="H165" s="68"/>
      <c r="I165" s="68"/>
      <c r="J165" s="68"/>
      <c r="K165" s="68"/>
      <c r="L165" s="68"/>
      <c r="M165" s="79"/>
      <c r="N165" s="68"/>
      <c r="O165" s="68"/>
      <c r="P165" s="68"/>
      <c r="Q165" s="68"/>
      <c r="R165" s="68"/>
      <c r="S165" s="68"/>
      <c r="T165" s="68"/>
      <c r="U165" s="68"/>
      <c r="V165" s="68"/>
      <c r="W165" s="68"/>
      <c r="X165" s="68"/>
      <c r="Y165" s="68"/>
      <c r="Z165" s="68"/>
      <c r="AA165" s="68"/>
      <c r="AB165" s="68"/>
      <c r="AC165" s="68"/>
      <c r="AD165" s="68"/>
      <c r="AE165" s="68"/>
      <c r="AF165" s="68"/>
    </row>
    <row r="166">
      <c r="A166" s="68"/>
      <c r="B166" s="68"/>
      <c r="C166" s="78"/>
      <c r="D166" s="78"/>
      <c r="E166" s="68"/>
      <c r="F166" s="68"/>
      <c r="G166" s="68"/>
      <c r="H166" s="68"/>
      <c r="I166" s="68"/>
      <c r="J166" s="68"/>
      <c r="K166" s="68"/>
      <c r="L166" s="68"/>
      <c r="M166" s="79"/>
      <c r="N166" s="68"/>
      <c r="O166" s="68"/>
      <c r="P166" s="68"/>
      <c r="Q166" s="68"/>
      <c r="R166" s="68"/>
      <c r="S166" s="68"/>
      <c r="T166" s="68"/>
      <c r="U166" s="68"/>
      <c r="V166" s="68"/>
      <c r="W166" s="68"/>
      <c r="X166" s="68"/>
      <c r="Y166" s="68"/>
      <c r="Z166" s="68"/>
      <c r="AA166" s="68"/>
      <c r="AB166" s="68"/>
      <c r="AC166" s="68"/>
      <c r="AD166" s="68"/>
      <c r="AE166" s="68"/>
      <c r="AF166" s="68"/>
    </row>
    <row r="167">
      <c r="A167" s="68"/>
      <c r="B167" s="68"/>
      <c r="C167" s="78"/>
      <c r="D167" s="78"/>
      <c r="E167" s="68"/>
      <c r="F167" s="68"/>
      <c r="G167" s="68"/>
      <c r="H167" s="68"/>
      <c r="I167" s="68"/>
      <c r="J167" s="68"/>
      <c r="K167" s="68"/>
      <c r="L167" s="68"/>
      <c r="M167" s="79"/>
      <c r="N167" s="68"/>
      <c r="O167" s="68"/>
      <c r="P167" s="68"/>
      <c r="Q167" s="68"/>
      <c r="R167" s="68"/>
      <c r="S167" s="68"/>
      <c r="T167" s="68"/>
      <c r="U167" s="68"/>
      <c r="V167" s="68"/>
      <c r="W167" s="68"/>
      <c r="X167" s="68"/>
      <c r="Y167" s="68"/>
      <c r="Z167" s="68"/>
      <c r="AA167" s="68"/>
      <c r="AB167" s="68"/>
      <c r="AC167" s="68"/>
      <c r="AD167" s="68"/>
      <c r="AE167" s="68"/>
      <c r="AF167" s="68"/>
    </row>
    <row r="168">
      <c r="A168" s="68"/>
      <c r="B168" s="68"/>
      <c r="C168" s="78"/>
      <c r="D168" s="78"/>
      <c r="E168" s="68"/>
      <c r="F168" s="68"/>
      <c r="G168" s="68"/>
      <c r="H168" s="68"/>
      <c r="I168" s="68"/>
      <c r="J168" s="68"/>
      <c r="K168" s="68"/>
      <c r="L168" s="68"/>
      <c r="M168" s="79"/>
      <c r="N168" s="68"/>
      <c r="O168" s="68"/>
      <c r="P168" s="68"/>
      <c r="Q168" s="68"/>
      <c r="R168" s="68"/>
      <c r="S168" s="68"/>
      <c r="T168" s="68"/>
      <c r="U168" s="68"/>
      <c r="V168" s="68"/>
      <c r="W168" s="68"/>
      <c r="X168" s="68"/>
      <c r="Y168" s="68"/>
      <c r="Z168" s="68"/>
      <c r="AA168" s="68"/>
      <c r="AB168" s="68"/>
      <c r="AC168" s="68"/>
      <c r="AD168" s="68"/>
      <c r="AE168" s="68"/>
      <c r="AF168" s="68"/>
    </row>
    <row r="169">
      <c r="A169" s="68"/>
      <c r="B169" s="68"/>
      <c r="C169" s="78"/>
      <c r="D169" s="78"/>
      <c r="E169" s="68"/>
      <c r="F169" s="68"/>
      <c r="G169" s="68"/>
      <c r="H169" s="68"/>
      <c r="I169" s="68"/>
      <c r="J169" s="68"/>
      <c r="K169" s="68"/>
      <c r="L169" s="68"/>
      <c r="M169" s="79"/>
      <c r="N169" s="68"/>
      <c r="O169" s="68"/>
      <c r="P169" s="68"/>
      <c r="Q169" s="68"/>
      <c r="R169" s="68"/>
      <c r="S169" s="68"/>
      <c r="T169" s="68"/>
      <c r="U169" s="68"/>
      <c r="V169" s="68"/>
      <c r="W169" s="68"/>
      <c r="X169" s="68"/>
      <c r="Y169" s="68"/>
      <c r="Z169" s="68"/>
      <c r="AA169" s="68"/>
      <c r="AB169" s="68"/>
      <c r="AC169" s="68"/>
      <c r="AD169" s="68"/>
      <c r="AE169" s="68"/>
      <c r="AF169" s="68"/>
    </row>
    <row r="170">
      <c r="A170" s="68"/>
      <c r="B170" s="68"/>
      <c r="C170" s="78"/>
      <c r="D170" s="78"/>
      <c r="E170" s="68"/>
      <c r="F170" s="68"/>
      <c r="G170" s="68"/>
      <c r="H170" s="68"/>
      <c r="I170" s="68"/>
      <c r="J170" s="68"/>
      <c r="K170" s="68"/>
      <c r="L170" s="68"/>
      <c r="M170" s="79"/>
      <c r="N170" s="68"/>
      <c r="O170" s="68"/>
      <c r="P170" s="68"/>
      <c r="Q170" s="68"/>
      <c r="R170" s="68"/>
      <c r="S170" s="68"/>
      <c r="T170" s="68"/>
      <c r="U170" s="68"/>
      <c r="V170" s="68"/>
      <c r="W170" s="68"/>
      <c r="X170" s="68"/>
      <c r="Y170" s="68"/>
      <c r="Z170" s="68"/>
      <c r="AA170" s="68"/>
      <c r="AB170" s="68"/>
      <c r="AC170" s="68"/>
      <c r="AD170" s="68"/>
      <c r="AE170" s="68"/>
      <c r="AF170" s="68"/>
    </row>
    <row r="171">
      <c r="A171" s="68"/>
      <c r="B171" s="68"/>
      <c r="C171" s="78"/>
      <c r="D171" s="78"/>
      <c r="E171" s="68"/>
      <c r="F171" s="68"/>
      <c r="G171" s="68"/>
      <c r="H171" s="68"/>
      <c r="I171" s="68"/>
      <c r="J171" s="68"/>
      <c r="K171" s="68"/>
      <c r="L171" s="68"/>
      <c r="M171" s="79"/>
      <c r="N171" s="68"/>
      <c r="O171" s="68"/>
      <c r="P171" s="68"/>
      <c r="Q171" s="68"/>
      <c r="R171" s="68"/>
      <c r="S171" s="68"/>
      <c r="T171" s="68"/>
      <c r="U171" s="68"/>
      <c r="V171" s="68"/>
      <c r="W171" s="68"/>
      <c r="X171" s="68"/>
      <c r="Y171" s="68"/>
      <c r="Z171" s="68"/>
      <c r="AA171" s="68"/>
      <c r="AB171" s="68"/>
      <c r="AC171" s="68"/>
      <c r="AD171" s="68"/>
      <c r="AE171" s="68"/>
      <c r="AF171" s="68"/>
    </row>
    <row r="172">
      <c r="A172" s="68"/>
      <c r="B172" s="68"/>
      <c r="C172" s="78"/>
      <c r="D172" s="78"/>
      <c r="E172" s="68"/>
      <c r="F172" s="68"/>
      <c r="G172" s="68"/>
      <c r="H172" s="68"/>
      <c r="I172" s="68"/>
      <c r="J172" s="68"/>
      <c r="K172" s="68"/>
      <c r="L172" s="68"/>
      <c r="M172" s="79"/>
      <c r="N172" s="68"/>
      <c r="O172" s="68"/>
      <c r="P172" s="68"/>
      <c r="Q172" s="68"/>
      <c r="R172" s="68"/>
      <c r="S172" s="68"/>
      <c r="T172" s="68"/>
      <c r="U172" s="68"/>
      <c r="V172" s="68"/>
      <c r="W172" s="68"/>
      <c r="X172" s="68"/>
      <c r="Y172" s="68"/>
      <c r="Z172" s="68"/>
      <c r="AA172" s="68"/>
      <c r="AB172" s="68"/>
      <c r="AC172" s="68"/>
      <c r="AD172" s="68"/>
      <c r="AE172" s="68"/>
      <c r="AF172" s="68"/>
    </row>
    <row r="173">
      <c r="A173" s="68"/>
      <c r="B173" s="68"/>
      <c r="C173" s="78"/>
      <c r="D173" s="78"/>
      <c r="E173" s="68"/>
      <c r="F173" s="68"/>
      <c r="G173" s="68"/>
      <c r="H173" s="68"/>
      <c r="I173" s="68"/>
      <c r="J173" s="68"/>
      <c r="K173" s="68"/>
      <c r="L173" s="68"/>
      <c r="M173" s="79"/>
      <c r="N173" s="68"/>
      <c r="O173" s="68"/>
      <c r="P173" s="68"/>
      <c r="Q173" s="68"/>
      <c r="R173" s="68"/>
      <c r="S173" s="68"/>
      <c r="T173" s="68"/>
      <c r="U173" s="68"/>
      <c r="V173" s="68"/>
      <c r="W173" s="68"/>
      <c r="X173" s="68"/>
      <c r="Y173" s="68"/>
      <c r="Z173" s="68"/>
      <c r="AA173" s="68"/>
      <c r="AB173" s="68"/>
      <c r="AC173" s="68"/>
      <c r="AD173" s="68"/>
      <c r="AE173" s="68"/>
      <c r="AF173" s="68"/>
    </row>
    <row r="174">
      <c r="A174" s="68"/>
      <c r="B174" s="68"/>
      <c r="C174" s="78"/>
      <c r="D174" s="78"/>
      <c r="E174" s="68"/>
      <c r="F174" s="68"/>
      <c r="G174" s="68"/>
      <c r="H174" s="68"/>
      <c r="I174" s="68"/>
      <c r="J174" s="68"/>
      <c r="K174" s="68"/>
      <c r="L174" s="68"/>
      <c r="M174" s="79"/>
      <c r="N174" s="68"/>
      <c r="O174" s="68"/>
      <c r="P174" s="68"/>
      <c r="Q174" s="68"/>
      <c r="R174" s="68"/>
      <c r="S174" s="68"/>
      <c r="T174" s="68"/>
      <c r="U174" s="68"/>
      <c r="V174" s="68"/>
      <c r="W174" s="68"/>
      <c r="X174" s="68"/>
      <c r="Y174" s="68"/>
      <c r="Z174" s="68"/>
      <c r="AA174" s="68"/>
      <c r="AB174" s="68"/>
      <c r="AC174" s="68"/>
      <c r="AD174" s="68"/>
      <c r="AE174" s="68"/>
      <c r="AF174" s="68"/>
    </row>
    <row r="175">
      <c r="A175" s="68"/>
      <c r="B175" s="68"/>
      <c r="C175" s="78"/>
      <c r="D175" s="78"/>
      <c r="E175" s="68"/>
      <c r="F175" s="68"/>
      <c r="G175" s="68"/>
      <c r="H175" s="68"/>
      <c r="I175" s="68"/>
      <c r="J175" s="68"/>
      <c r="K175" s="68"/>
      <c r="L175" s="68"/>
      <c r="M175" s="79"/>
      <c r="N175" s="68"/>
      <c r="O175" s="68"/>
      <c r="P175" s="68"/>
      <c r="Q175" s="68"/>
      <c r="R175" s="68"/>
      <c r="S175" s="68"/>
      <c r="T175" s="68"/>
      <c r="U175" s="68"/>
      <c r="V175" s="68"/>
      <c r="W175" s="68"/>
      <c r="X175" s="68"/>
      <c r="Y175" s="68"/>
      <c r="Z175" s="68"/>
      <c r="AA175" s="68"/>
      <c r="AB175" s="68"/>
      <c r="AC175" s="68"/>
      <c r="AD175" s="68"/>
      <c r="AE175" s="68"/>
      <c r="AF175" s="68"/>
    </row>
    <row r="176">
      <c r="A176" s="68"/>
      <c r="B176" s="68"/>
      <c r="C176" s="78"/>
      <c r="D176" s="78"/>
      <c r="E176" s="68"/>
      <c r="F176" s="68"/>
      <c r="G176" s="68"/>
      <c r="H176" s="68"/>
      <c r="I176" s="68"/>
      <c r="J176" s="68"/>
      <c r="K176" s="68"/>
      <c r="L176" s="68"/>
      <c r="M176" s="79"/>
      <c r="N176" s="68"/>
      <c r="O176" s="68"/>
      <c r="P176" s="68"/>
      <c r="Q176" s="68"/>
      <c r="R176" s="68"/>
      <c r="S176" s="68"/>
      <c r="T176" s="68"/>
      <c r="U176" s="68"/>
      <c r="V176" s="68"/>
      <c r="W176" s="68"/>
      <c r="X176" s="68"/>
      <c r="Y176" s="68"/>
      <c r="Z176" s="68"/>
      <c r="AA176" s="68"/>
      <c r="AB176" s="68"/>
      <c r="AC176" s="68"/>
      <c r="AD176" s="68"/>
      <c r="AE176" s="68"/>
      <c r="AF176" s="68"/>
    </row>
    <row r="177">
      <c r="A177" s="68"/>
      <c r="B177" s="68"/>
      <c r="C177" s="78"/>
      <c r="D177" s="78"/>
      <c r="E177" s="68"/>
      <c r="F177" s="68"/>
      <c r="G177" s="68"/>
      <c r="H177" s="68"/>
      <c r="I177" s="68"/>
      <c r="J177" s="68"/>
      <c r="K177" s="68"/>
      <c r="L177" s="68"/>
      <c r="M177" s="79"/>
      <c r="N177" s="68"/>
      <c r="O177" s="68"/>
      <c r="P177" s="68"/>
      <c r="Q177" s="68"/>
      <c r="R177" s="68"/>
      <c r="S177" s="68"/>
      <c r="T177" s="68"/>
      <c r="U177" s="68"/>
      <c r="V177" s="68"/>
      <c r="W177" s="68"/>
      <c r="X177" s="68"/>
      <c r="Y177" s="68"/>
      <c r="Z177" s="68"/>
      <c r="AA177" s="68"/>
      <c r="AB177" s="68"/>
      <c r="AC177" s="68"/>
      <c r="AD177" s="68"/>
      <c r="AE177" s="68"/>
      <c r="AF177" s="68"/>
    </row>
    <row r="178">
      <c r="A178" s="68"/>
      <c r="B178" s="68"/>
      <c r="C178" s="78"/>
      <c r="D178" s="78"/>
      <c r="E178" s="68"/>
      <c r="F178" s="68"/>
      <c r="G178" s="68"/>
      <c r="H178" s="68"/>
      <c r="I178" s="68"/>
      <c r="J178" s="68"/>
      <c r="K178" s="68"/>
      <c r="L178" s="68"/>
      <c r="M178" s="79"/>
      <c r="N178" s="68"/>
      <c r="O178" s="68"/>
      <c r="P178" s="68"/>
      <c r="Q178" s="68"/>
      <c r="R178" s="68"/>
      <c r="S178" s="68"/>
      <c r="T178" s="68"/>
      <c r="U178" s="68"/>
      <c r="V178" s="68"/>
      <c r="W178" s="68"/>
      <c r="X178" s="68"/>
      <c r="Y178" s="68"/>
      <c r="Z178" s="68"/>
      <c r="AA178" s="68"/>
      <c r="AB178" s="68"/>
      <c r="AC178" s="68"/>
      <c r="AD178" s="68"/>
      <c r="AE178" s="68"/>
      <c r="AF178" s="68"/>
    </row>
    <row r="179">
      <c r="A179" s="68"/>
      <c r="B179" s="68"/>
      <c r="C179" s="78"/>
      <c r="D179" s="78"/>
      <c r="E179" s="68"/>
      <c r="F179" s="68"/>
      <c r="G179" s="68"/>
      <c r="H179" s="68"/>
      <c r="I179" s="68"/>
      <c r="J179" s="68"/>
      <c r="K179" s="68"/>
      <c r="L179" s="68"/>
      <c r="M179" s="79"/>
      <c r="N179" s="68"/>
      <c r="O179" s="68"/>
      <c r="P179" s="68"/>
      <c r="Q179" s="68"/>
      <c r="R179" s="68"/>
      <c r="S179" s="68"/>
      <c r="T179" s="68"/>
      <c r="U179" s="68"/>
      <c r="V179" s="68"/>
      <c r="W179" s="68"/>
      <c r="X179" s="68"/>
      <c r="Y179" s="68"/>
      <c r="Z179" s="68"/>
      <c r="AA179" s="68"/>
      <c r="AB179" s="68"/>
      <c r="AC179" s="68"/>
      <c r="AD179" s="68"/>
      <c r="AE179" s="68"/>
      <c r="AF179" s="68"/>
    </row>
    <row r="180">
      <c r="A180" s="68"/>
      <c r="B180" s="68"/>
      <c r="C180" s="78"/>
      <c r="D180" s="78"/>
      <c r="E180" s="68"/>
      <c r="F180" s="68"/>
      <c r="G180" s="68"/>
      <c r="H180" s="68"/>
      <c r="I180" s="68"/>
      <c r="J180" s="68"/>
      <c r="K180" s="68"/>
      <c r="L180" s="68"/>
      <c r="M180" s="79"/>
      <c r="N180" s="68"/>
      <c r="O180" s="68"/>
      <c r="P180" s="68"/>
      <c r="Q180" s="68"/>
      <c r="R180" s="68"/>
      <c r="S180" s="68"/>
      <c r="T180" s="68"/>
      <c r="U180" s="68"/>
      <c r="V180" s="68"/>
      <c r="W180" s="68"/>
      <c r="X180" s="68"/>
      <c r="Y180" s="68"/>
      <c r="Z180" s="68"/>
      <c r="AA180" s="68"/>
      <c r="AB180" s="68"/>
      <c r="AC180" s="68"/>
      <c r="AD180" s="68"/>
      <c r="AE180" s="68"/>
      <c r="AF180" s="68"/>
    </row>
    <row r="181">
      <c r="A181" s="68"/>
      <c r="B181" s="68"/>
      <c r="C181" s="78"/>
      <c r="D181" s="78"/>
      <c r="E181" s="68"/>
      <c r="F181" s="68"/>
      <c r="G181" s="68"/>
      <c r="H181" s="68"/>
      <c r="I181" s="68"/>
      <c r="J181" s="68"/>
      <c r="K181" s="68"/>
      <c r="L181" s="68"/>
      <c r="M181" s="79"/>
      <c r="N181" s="68"/>
      <c r="O181" s="68"/>
      <c r="P181" s="68"/>
      <c r="Q181" s="68"/>
      <c r="R181" s="68"/>
      <c r="S181" s="68"/>
      <c r="T181" s="68"/>
      <c r="U181" s="68"/>
      <c r="V181" s="68"/>
      <c r="W181" s="68"/>
      <c r="X181" s="68"/>
      <c r="Y181" s="68"/>
      <c r="Z181" s="68"/>
      <c r="AA181" s="68"/>
      <c r="AB181" s="68"/>
      <c r="AC181" s="68"/>
      <c r="AD181" s="68"/>
      <c r="AE181" s="68"/>
      <c r="AF181" s="68"/>
    </row>
    <row r="182">
      <c r="A182" s="68"/>
      <c r="B182" s="68"/>
      <c r="C182" s="78"/>
      <c r="D182" s="78"/>
      <c r="E182" s="68"/>
      <c r="F182" s="68"/>
      <c r="G182" s="68"/>
      <c r="H182" s="68"/>
      <c r="I182" s="68"/>
      <c r="J182" s="68"/>
      <c r="K182" s="68"/>
      <c r="L182" s="68"/>
      <c r="M182" s="79"/>
      <c r="N182" s="68"/>
      <c r="O182" s="68"/>
      <c r="P182" s="68"/>
      <c r="Q182" s="68"/>
      <c r="R182" s="68"/>
      <c r="S182" s="68"/>
      <c r="T182" s="68"/>
      <c r="U182" s="68"/>
      <c r="V182" s="68"/>
      <c r="W182" s="68"/>
      <c r="X182" s="68"/>
      <c r="Y182" s="68"/>
      <c r="Z182" s="68"/>
      <c r="AA182" s="68"/>
      <c r="AB182" s="68"/>
      <c r="AC182" s="68"/>
      <c r="AD182" s="68"/>
      <c r="AE182" s="68"/>
      <c r="AF182" s="68"/>
    </row>
    <row r="183">
      <c r="A183" s="68"/>
      <c r="B183" s="68"/>
      <c r="C183" s="78"/>
      <c r="D183" s="78"/>
      <c r="E183" s="68"/>
      <c r="F183" s="68"/>
      <c r="G183" s="68"/>
      <c r="H183" s="68"/>
      <c r="I183" s="68"/>
      <c r="J183" s="68"/>
      <c r="K183" s="68"/>
      <c r="L183" s="68"/>
      <c r="M183" s="79"/>
      <c r="N183" s="68"/>
      <c r="O183" s="68"/>
      <c r="P183" s="68"/>
      <c r="Q183" s="68"/>
      <c r="R183" s="68"/>
      <c r="S183" s="68"/>
      <c r="T183" s="68"/>
      <c r="U183" s="68"/>
      <c r="V183" s="68"/>
      <c r="W183" s="68"/>
      <c r="X183" s="68"/>
      <c r="Y183" s="68"/>
      <c r="Z183" s="68"/>
      <c r="AA183" s="68"/>
      <c r="AB183" s="68"/>
      <c r="AC183" s="68"/>
      <c r="AD183" s="68"/>
      <c r="AE183" s="68"/>
      <c r="AF183" s="68"/>
    </row>
    <row r="184">
      <c r="A184" s="68"/>
      <c r="B184" s="68"/>
      <c r="C184" s="78"/>
      <c r="D184" s="78"/>
      <c r="E184" s="68"/>
      <c r="F184" s="68"/>
      <c r="G184" s="68"/>
      <c r="H184" s="68"/>
      <c r="I184" s="68"/>
      <c r="J184" s="68"/>
      <c r="K184" s="68"/>
      <c r="L184" s="68"/>
      <c r="M184" s="79"/>
      <c r="N184" s="68"/>
      <c r="O184" s="68"/>
      <c r="P184" s="68"/>
      <c r="Q184" s="68"/>
      <c r="R184" s="68"/>
      <c r="S184" s="68"/>
      <c r="T184" s="68"/>
      <c r="U184" s="68"/>
      <c r="V184" s="68"/>
      <c r="W184" s="68"/>
      <c r="X184" s="68"/>
      <c r="Y184" s="68"/>
      <c r="Z184" s="68"/>
      <c r="AA184" s="68"/>
      <c r="AB184" s="68"/>
      <c r="AC184" s="68"/>
      <c r="AD184" s="68"/>
      <c r="AE184" s="68"/>
      <c r="AF184" s="68"/>
    </row>
    <row r="185">
      <c r="A185" s="68"/>
      <c r="B185" s="68"/>
      <c r="C185" s="78"/>
      <c r="D185" s="78"/>
      <c r="E185" s="68"/>
      <c r="F185" s="68"/>
      <c r="G185" s="68"/>
      <c r="H185" s="68"/>
      <c r="I185" s="68"/>
      <c r="J185" s="68"/>
      <c r="K185" s="68"/>
      <c r="L185" s="68"/>
      <c r="M185" s="79"/>
      <c r="N185" s="68"/>
      <c r="O185" s="68"/>
      <c r="P185" s="68"/>
      <c r="Q185" s="68"/>
      <c r="R185" s="68"/>
      <c r="S185" s="68"/>
      <c r="T185" s="68"/>
      <c r="U185" s="68"/>
      <c r="V185" s="68"/>
      <c r="W185" s="68"/>
      <c r="X185" s="68"/>
      <c r="Y185" s="68"/>
      <c r="Z185" s="68"/>
      <c r="AA185" s="68"/>
      <c r="AB185" s="68"/>
      <c r="AC185" s="68"/>
      <c r="AD185" s="68"/>
      <c r="AE185" s="68"/>
      <c r="AF185" s="68"/>
    </row>
    <row r="186">
      <c r="A186" s="68"/>
      <c r="B186" s="68"/>
      <c r="C186" s="78"/>
      <c r="D186" s="78"/>
      <c r="E186" s="68"/>
      <c r="F186" s="68"/>
      <c r="G186" s="68"/>
      <c r="H186" s="68"/>
      <c r="I186" s="68"/>
      <c r="J186" s="68"/>
      <c r="K186" s="68"/>
      <c r="L186" s="68"/>
      <c r="M186" s="79"/>
      <c r="N186" s="68"/>
      <c r="O186" s="68"/>
      <c r="P186" s="68"/>
      <c r="Q186" s="68"/>
      <c r="R186" s="68"/>
      <c r="S186" s="68"/>
      <c r="T186" s="68"/>
      <c r="U186" s="68"/>
      <c r="V186" s="68"/>
      <c r="W186" s="68"/>
      <c r="X186" s="68"/>
      <c r="Y186" s="68"/>
      <c r="Z186" s="68"/>
      <c r="AA186" s="68"/>
      <c r="AB186" s="68"/>
      <c r="AC186" s="68"/>
      <c r="AD186" s="68"/>
      <c r="AE186" s="68"/>
      <c r="AF186" s="68"/>
    </row>
    <row r="187">
      <c r="A187" s="68"/>
      <c r="B187" s="68"/>
      <c r="C187" s="78"/>
      <c r="D187" s="78"/>
      <c r="E187" s="68"/>
      <c r="F187" s="68"/>
      <c r="G187" s="68"/>
      <c r="H187" s="68"/>
      <c r="I187" s="68"/>
      <c r="J187" s="68"/>
      <c r="K187" s="68"/>
      <c r="L187" s="68"/>
      <c r="M187" s="79"/>
      <c r="N187" s="68"/>
      <c r="O187" s="68"/>
      <c r="P187" s="68"/>
      <c r="Q187" s="68"/>
      <c r="R187" s="68"/>
      <c r="S187" s="68"/>
      <c r="T187" s="68"/>
      <c r="U187" s="68"/>
      <c r="V187" s="68"/>
      <c r="W187" s="68"/>
      <c r="X187" s="68"/>
      <c r="Y187" s="68"/>
      <c r="Z187" s="68"/>
      <c r="AA187" s="68"/>
      <c r="AB187" s="68"/>
      <c r="AC187" s="68"/>
      <c r="AD187" s="68"/>
      <c r="AE187" s="68"/>
      <c r="AF187" s="68"/>
    </row>
    <row r="188">
      <c r="A188" s="68"/>
      <c r="B188" s="68"/>
      <c r="C188" s="78"/>
      <c r="D188" s="78"/>
      <c r="E188" s="68"/>
      <c r="F188" s="68"/>
      <c r="G188" s="68"/>
      <c r="H188" s="68"/>
      <c r="I188" s="68"/>
      <c r="J188" s="68"/>
      <c r="K188" s="68"/>
      <c r="L188" s="68"/>
      <c r="M188" s="79"/>
      <c r="N188" s="68"/>
      <c r="O188" s="68"/>
      <c r="P188" s="68"/>
      <c r="Q188" s="68"/>
      <c r="R188" s="68"/>
      <c r="S188" s="68"/>
      <c r="T188" s="68"/>
      <c r="U188" s="68"/>
      <c r="V188" s="68"/>
      <c r="W188" s="68"/>
      <c r="X188" s="68"/>
      <c r="Y188" s="68"/>
      <c r="Z188" s="68"/>
      <c r="AA188" s="68"/>
      <c r="AB188" s="68"/>
      <c r="AC188" s="68"/>
      <c r="AD188" s="68"/>
      <c r="AE188" s="68"/>
      <c r="AF188" s="68"/>
    </row>
    <row r="189">
      <c r="A189" s="68"/>
      <c r="B189" s="68"/>
      <c r="C189" s="78"/>
      <c r="D189" s="78"/>
      <c r="E189" s="68"/>
      <c r="F189" s="68"/>
      <c r="G189" s="68"/>
      <c r="H189" s="68"/>
      <c r="I189" s="68"/>
      <c r="J189" s="68"/>
      <c r="K189" s="68"/>
      <c r="L189" s="68"/>
      <c r="M189" s="79"/>
      <c r="N189" s="68"/>
      <c r="O189" s="68"/>
      <c r="P189" s="68"/>
      <c r="Q189" s="68"/>
      <c r="R189" s="68"/>
      <c r="S189" s="68"/>
      <c r="T189" s="68"/>
      <c r="U189" s="68"/>
      <c r="V189" s="68"/>
      <c r="W189" s="68"/>
      <c r="X189" s="68"/>
      <c r="Y189" s="68"/>
      <c r="Z189" s="68"/>
      <c r="AA189" s="68"/>
      <c r="AB189" s="68"/>
      <c r="AC189" s="68"/>
      <c r="AD189" s="68"/>
      <c r="AE189" s="68"/>
      <c r="AF189" s="68"/>
    </row>
    <row r="190">
      <c r="A190" s="68"/>
      <c r="B190" s="68"/>
      <c r="C190" s="78"/>
      <c r="D190" s="78"/>
      <c r="E190" s="68"/>
      <c r="F190" s="68"/>
      <c r="G190" s="68"/>
      <c r="H190" s="68"/>
      <c r="I190" s="68"/>
      <c r="J190" s="68"/>
      <c r="K190" s="68"/>
      <c r="L190" s="68"/>
      <c r="M190" s="79"/>
      <c r="N190" s="68"/>
      <c r="O190" s="68"/>
      <c r="P190" s="68"/>
      <c r="Q190" s="68"/>
      <c r="R190" s="68"/>
      <c r="S190" s="68"/>
      <c r="T190" s="68"/>
      <c r="U190" s="68"/>
      <c r="V190" s="68"/>
      <c r="W190" s="68"/>
      <c r="X190" s="68"/>
      <c r="Y190" s="68"/>
      <c r="Z190" s="68"/>
      <c r="AA190" s="68"/>
      <c r="AB190" s="68"/>
      <c r="AC190" s="68"/>
      <c r="AD190" s="68"/>
      <c r="AE190" s="68"/>
      <c r="AF190" s="68"/>
    </row>
    <row r="191">
      <c r="A191" s="68"/>
      <c r="B191" s="68"/>
      <c r="C191" s="78"/>
      <c r="D191" s="78"/>
      <c r="E191" s="68"/>
      <c r="F191" s="68"/>
      <c r="G191" s="68"/>
      <c r="H191" s="68"/>
      <c r="I191" s="68"/>
      <c r="J191" s="68"/>
      <c r="K191" s="68"/>
      <c r="L191" s="68"/>
      <c r="M191" s="79"/>
      <c r="N191" s="68"/>
      <c r="O191" s="68"/>
      <c r="P191" s="68"/>
      <c r="Q191" s="68"/>
      <c r="R191" s="68"/>
      <c r="S191" s="68"/>
      <c r="T191" s="68"/>
      <c r="U191" s="68"/>
      <c r="V191" s="68"/>
      <c r="W191" s="68"/>
      <c r="X191" s="68"/>
      <c r="Y191" s="68"/>
      <c r="Z191" s="68"/>
      <c r="AA191" s="68"/>
      <c r="AB191" s="68"/>
      <c r="AC191" s="68"/>
      <c r="AD191" s="68"/>
      <c r="AE191" s="68"/>
      <c r="AF191" s="68"/>
    </row>
    <row r="192">
      <c r="A192" s="68"/>
      <c r="B192" s="68"/>
      <c r="C192" s="78"/>
      <c r="D192" s="78"/>
      <c r="E192" s="68"/>
      <c r="F192" s="68"/>
      <c r="G192" s="68"/>
      <c r="H192" s="68"/>
      <c r="I192" s="68"/>
      <c r="J192" s="68"/>
      <c r="K192" s="68"/>
      <c r="L192" s="68"/>
      <c r="M192" s="79"/>
      <c r="N192" s="68"/>
      <c r="O192" s="68"/>
      <c r="P192" s="68"/>
      <c r="Q192" s="68"/>
      <c r="R192" s="68"/>
      <c r="S192" s="68"/>
      <c r="T192" s="68"/>
      <c r="U192" s="68"/>
      <c r="V192" s="68"/>
      <c r="W192" s="68"/>
      <c r="X192" s="68"/>
      <c r="Y192" s="68"/>
      <c r="Z192" s="68"/>
      <c r="AA192" s="68"/>
      <c r="AB192" s="68"/>
      <c r="AC192" s="68"/>
      <c r="AD192" s="68"/>
      <c r="AE192" s="68"/>
      <c r="AF192" s="68"/>
    </row>
    <row r="193">
      <c r="A193" s="68"/>
      <c r="B193" s="68"/>
      <c r="C193" s="78"/>
      <c r="D193" s="78"/>
      <c r="E193" s="68"/>
      <c r="F193" s="68"/>
      <c r="G193" s="68"/>
      <c r="H193" s="68"/>
      <c r="I193" s="68"/>
      <c r="J193" s="68"/>
      <c r="K193" s="68"/>
      <c r="L193" s="68"/>
      <c r="M193" s="79"/>
      <c r="N193" s="68"/>
      <c r="O193" s="68"/>
      <c r="P193" s="68"/>
      <c r="Q193" s="68"/>
      <c r="R193" s="68"/>
      <c r="S193" s="68"/>
      <c r="T193" s="68"/>
      <c r="U193" s="68"/>
      <c r="V193" s="68"/>
      <c r="W193" s="68"/>
      <c r="X193" s="68"/>
      <c r="Y193" s="68"/>
      <c r="Z193" s="68"/>
      <c r="AA193" s="68"/>
      <c r="AB193" s="68"/>
      <c r="AC193" s="68"/>
      <c r="AD193" s="68"/>
      <c r="AE193" s="68"/>
      <c r="AF193" s="68"/>
    </row>
    <row r="194">
      <c r="A194" s="68"/>
      <c r="B194" s="68"/>
      <c r="C194" s="78"/>
      <c r="D194" s="78"/>
      <c r="E194" s="68"/>
      <c r="F194" s="68"/>
      <c r="G194" s="68"/>
      <c r="H194" s="68"/>
      <c r="I194" s="68"/>
      <c r="J194" s="68"/>
      <c r="K194" s="68"/>
      <c r="L194" s="68"/>
      <c r="M194" s="79"/>
      <c r="N194" s="68"/>
      <c r="O194" s="68"/>
      <c r="P194" s="68"/>
      <c r="Q194" s="68"/>
      <c r="R194" s="68"/>
      <c r="S194" s="68"/>
      <c r="T194" s="68"/>
      <c r="U194" s="68"/>
      <c r="V194" s="68"/>
      <c r="W194" s="68"/>
      <c r="X194" s="68"/>
      <c r="Y194" s="68"/>
      <c r="Z194" s="68"/>
      <c r="AA194" s="68"/>
      <c r="AB194" s="68"/>
      <c r="AC194" s="68"/>
      <c r="AD194" s="68"/>
      <c r="AE194" s="68"/>
      <c r="AF194" s="68"/>
    </row>
    <row r="195">
      <c r="A195" s="68"/>
      <c r="B195" s="68"/>
      <c r="C195" s="78"/>
      <c r="D195" s="78"/>
      <c r="E195" s="68"/>
      <c r="F195" s="68"/>
      <c r="G195" s="68"/>
      <c r="H195" s="68"/>
      <c r="I195" s="68"/>
      <c r="J195" s="68"/>
      <c r="K195" s="68"/>
      <c r="L195" s="68"/>
      <c r="M195" s="79"/>
      <c r="N195" s="68"/>
      <c r="O195" s="68"/>
      <c r="P195" s="68"/>
      <c r="Q195" s="68"/>
      <c r="R195" s="68"/>
      <c r="S195" s="68"/>
      <c r="T195" s="68"/>
      <c r="U195" s="68"/>
      <c r="V195" s="68"/>
      <c r="W195" s="68"/>
      <c r="X195" s="68"/>
      <c r="Y195" s="68"/>
      <c r="Z195" s="68"/>
      <c r="AA195" s="68"/>
      <c r="AB195" s="68"/>
      <c r="AC195" s="68"/>
      <c r="AD195" s="68"/>
      <c r="AE195" s="68"/>
      <c r="AF195" s="68"/>
    </row>
    <row r="196">
      <c r="A196" s="68"/>
      <c r="B196" s="68"/>
      <c r="C196" s="78"/>
      <c r="D196" s="78"/>
      <c r="E196" s="68"/>
      <c r="F196" s="68"/>
      <c r="G196" s="68"/>
      <c r="H196" s="68"/>
      <c r="I196" s="68"/>
      <c r="J196" s="68"/>
      <c r="K196" s="68"/>
      <c r="L196" s="68"/>
      <c r="M196" s="79"/>
      <c r="N196" s="68"/>
      <c r="O196" s="68"/>
      <c r="P196" s="68"/>
      <c r="Q196" s="68"/>
      <c r="R196" s="68"/>
      <c r="S196" s="68"/>
      <c r="T196" s="68"/>
      <c r="U196" s="68"/>
      <c r="V196" s="68"/>
      <c r="W196" s="68"/>
      <c r="X196" s="68"/>
      <c r="Y196" s="68"/>
      <c r="Z196" s="68"/>
      <c r="AA196" s="68"/>
      <c r="AB196" s="68"/>
      <c r="AC196" s="68"/>
      <c r="AD196" s="68"/>
      <c r="AE196" s="68"/>
      <c r="AF196" s="68"/>
    </row>
    <row r="197">
      <c r="A197" s="68"/>
      <c r="B197" s="68"/>
      <c r="C197" s="78"/>
      <c r="D197" s="78"/>
      <c r="E197" s="68"/>
      <c r="F197" s="68"/>
      <c r="G197" s="68"/>
      <c r="H197" s="68"/>
      <c r="I197" s="68"/>
      <c r="J197" s="68"/>
      <c r="K197" s="68"/>
      <c r="L197" s="68"/>
      <c r="M197" s="79"/>
      <c r="N197" s="68"/>
      <c r="O197" s="68"/>
      <c r="P197" s="68"/>
      <c r="Q197" s="68"/>
      <c r="R197" s="68"/>
      <c r="S197" s="68"/>
      <c r="T197" s="68"/>
      <c r="U197" s="68"/>
      <c r="V197" s="68"/>
      <c r="W197" s="68"/>
      <c r="X197" s="68"/>
      <c r="Y197" s="68"/>
      <c r="Z197" s="68"/>
      <c r="AA197" s="68"/>
      <c r="AB197" s="68"/>
      <c r="AC197" s="68"/>
      <c r="AD197" s="68"/>
      <c r="AE197" s="68"/>
      <c r="AF197" s="68"/>
    </row>
    <row r="198">
      <c r="A198" s="68"/>
      <c r="B198" s="68"/>
      <c r="C198" s="78"/>
      <c r="D198" s="78"/>
      <c r="E198" s="68"/>
      <c r="F198" s="68"/>
      <c r="G198" s="68"/>
      <c r="H198" s="68"/>
      <c r="I198" s="68"/>
      <c r="J198" s="68"/>
      <c r="K198" s="68"/>
      <c r="L198" s="68"/>
      <c r="M198" s="79"/>
      <c r="N198" s="68"/>
      <c r="O198" s="68"/>
      <c r="P198" s="68"/>
      <c r="Q198" s="68"/>
      <c r="R198" s="68"/>
      <c r="S198" s="68"/>
      <c r="T198" s="68"/>
      <c r="U198" s="68"/>
      <c r="V198" s="68"/>
      <c r="W198" s="68"/>
      <c r="X198" s="68"/>
      <c r="Y198" s="68"/>
      <c r="Z198" s="68"/>
      <c r="AA198" s="68"/>
      <c r="AB198" s="68"/>
      <c r="AC198" s="68"/>
      <c r="AD198" s="68"/>
      <c r="AE198" s="68"/>
      <c r="AF198" s="68"/>
    </row>
    <row r="199">
      <c r="A199" s="68"/>
      <c r="B199" s="68"/>
      <c r="C199" s="78"/>
      <c r="D199" s="78"/>
      <c r="E199" s="68"/>
      <c r="F199" s="68"/>
      <c r="G199" s="68"/>
      <c r="H199" s="68"/>
      <c r="I199" s="68"/>
      <c r="J199" s="68"/>
      <c r="K199" s="68"/>
      <c r="L199" s="68"/>
      <c r="M199" s="79"/>
      <c r="N199" s="68"/>
      <c r="O199" s="68"/>
      <c r="P199" s="68"/>
      <c r="Q199" s="68"/>
      <c r="R199" s="68"/>
      <c r="S199" s="68"/>
      <c r="T199" s="68"/>
      <c r="U199" s="68"/>
      <c r="V199" s="68"/>
      <c r="W199" s="68"/>
      <c r="X199" s="68"/>
      <c r="Y199" s="68"/>
      <c r="Z199" s="68"/>
      <c r="AA199" s="68"/>
      <c r="AB199" s="68"/>
      <c r="AC199" s="68"/>
      <c r="AD199" s="68"/>
      <c r="AE199" s="68"/>
      <c r="AF199" s="68"/>
    </row>
    <row r="200">
      <c r="A200" s="68"/>
      <c r="B200" s="68"/>
      <c r="C200" s="78"/>
      <c r="D200" s="78"/>
      <c r="E200" s="68"/>
      <c r="F200" s="68"/>
      <c r="G200" s="68"/>
      <c r="H200" s="68"/>
      <c r="I200" s="68"/>
      <c r="J200" s="68"/>
      <c r="K200" s="68"/>
      <c r="L200" s="68"/>
      <c r="M200" s="79"/>
      <c r="N200" s="68"/>
      <c r="O200" s="68"/>
      <c r="P200" s="68"/>
      <c r="Q200" s="68"/>
      <c r="R200" s="68"/>
      <c r="S200" s="68"/>
      <c r="T200" s="68"/>
      <c r="U200" s="68"/>
      <c r="V200" s="68"/>
      <c r="W200" s="68"/>
      <c r="X200" s="68"/>
      <c r="Y200" s="68"/>
      <c r="Z200" s="68"/>
      <c r="AA200" s="68"/>
      <c r="AB200" s="68"/>
      <c r="AC200" s="68"/>
      <c r="AD200" s="68"/>
      <c r="AE200" s="68"/>
      <c r="AF200" s="68"/>
    </row>
    <row r="201">
      <c r="A201" s="68"/>
      <c r="B201" s="68"/>
      <c r="C201" s="78"/>
      <c r="D201" s="78"/>
      <c r="E201" s="68"/>
      <c r="F201" s="68"/>
      <c r="G201" s="68"/>
      <c r="H201" s="68"/>
      <c r="I201" s="68"/>
      <c r="J201" s="68"/>
      <c r="K201" s="68"/>
      <c r="L201" s="68"/>
      <c r="M201" s="79"/>
      <c r="N201" s="68"/>
      <c r="O201" s="68"/>
      <c r="P201" s="68"/>
      <c r="Q201" s="68"/>
      <c r="R201" s="68"/>
      <c r="S201" s="68"/>
      <c r="T201" s="68"/>
      <c r="U201" s="68"/>
      <c r="V201" s="68"/>
      <c r="W201" s="68"/>
      <c r="X201" s="68"/>
      <c r="Y201" s="68"/>
      <c r="Z201" s="68"/>
      <c r="AA201" s="68"/>
      <c r="AB201" s="68"/>
      <c r="AC201" s="68"/>
      <c r="AD201" s="68"/>
      <c r="AE201" s="68"/>
      <c r="AF201" s="68"/>
    </row>
    <row r="202">
      <c r="A202" s="68"/>
      <c r="B202" s="68"/>
      <c r="C202" s="78"/>
      <c r="D202" s="78"/>
      <c r="E202" s="68"/>
      <c r="F202" s="68"/>
      <c r="G202" s="68"/>
      <c r="H202" s="68"/>
      <c r="I202" s="68"/>
      <c r="J202" s="68"/>
      <c r="K202" s="68"/>
      <c r="L202" s="68"/>
      <c r="M202" s="79"/>
      <c r="N202" s="68"/>
      <c r="O202" s="68"/>
      <c r="P202" s="68"/>
      <c r="Q202" s="68"/>
      <c r="R202" s="68"/>
      <c r="S202" s="68"/>
      <c r="T202" s="68"/>
      <c r="U202" s="68"/>
      <c r="V202" s="68"/>
      <c r="W202" s="68"/>
      <c r="X202" s="68"/>
      <c r="Y202" s="68"/>
      <c r="Z202" s="68"/>
      <c r="AA202" s="68"/>
      <c r="AB202" s="68"/>
      <c r="AC202" s="68"/>
      <c r="AD202" s="68"/>
      <c r="AE202" s="68"/>
      <c r="AF202" s="68"/>
    </row>
    <row r="203">
      <c r="A203" s="68"/>
      <c r="B203" s="68"/>
      <c r="C203" s="78"/>
      <c r="D203" s="78"/>
      <c r="E203" s="68"/>
      <c r="F203" s="68"/>
      <c r="G203" s="68"/>
      <c r="H203" s="68"/>
      <c r="I203" s="68"/>
      <c r="J203" s="68"/>
      <c r="K203" s="68"/>
      <c r="L203" s="68"/>
      <c r="M203" s="79"/>
      <c r="N203" s="68"/>
      <c r="O203" s="68"/>
      <c r="P203" s="68"/>
      <c r="Q203" s="68"/>
      <c r="R203" s="68"/>
      <c r="S203" s="68"/>
      <c r="T203" s="68"/>
      <c r="U203" s="68"/>
      <c r="V203" s="68"/>
      <c r="W203" s="68"/>
      <c r="X203" s="68"/>
      <c r="Y203" s="68"/>
      <c r="Z203" s="68"/>
      <c r="AA203" s="68"/>
      <c r="AB203" s="68"/>
      <c r="AC203" s="68"/>
      <c r="AD203" s="68"/>
      <c r="AE203" s="68"/>
      <c r="AF203" s="68"/>
    </row>
    <row r="204">
      <c r="A204" s="68"/>
      <c r="B204" s="68"/>
      <c r="C204" s="78"/>
      <c r="D204" s="78"/>
      <c r="E204" s="68"/>
      <c r="F204" s="68"/>
      <c r="G204" s="68"/>
      <c r="H204" s="68"/>
      <c r="I204" s="68"/>
      <c r="J204" s="68"/>
      <c r="K204" s="68"/>
      <c r="L204" s="68"/>
      <c r="M204" s="79"/>
      <c r="N204" s="68"/>
      <c r="O204" s="68"/>
      <c r="P204" s="68"/>
      <c r="Q204" s="68"/>
      <c r="R204" s="68"/>
      <c r="S204" s="68"/>
      <c r="T204" s="68"/>
      <c r="U204" s="68"/>
      <c r="V204" s="68"/>
      <c r="W204" s="68"/>
      <c r="X204" s="68"/>
      <c r="Y204" s="68"/>
      <c r="Z204" s="68"/>
      <c r="AA204" s="68"/>
      <c r="AB204" s="68"/>
      <c r="AC204" s="68"/>
      <c r="AD204" s="68"/>
      <c r="AE204" s="68"/>
      <c r="AF204" s="68"/>
    </row>
    <row r="205">
      <c r="A205" s="68"/>
      <c r="B205" s="68"/>
      <c r="C205" s="78"/>
      <c r="D205" s="78"/>
      <c r="E205" s="68"/>
      <c r="F205" s="68"/>
      <c r="G205" s="68"/>
      <c r="H205" s="68"/>
      <c r="I205" s="68"/>
      <c r="J205" s="68"/>
      <c r="K205" s="68"/>
      <c r="L205" s="68"/>
      <c r="M205" s="79"/>
      <c r="N205" s="68"/>
      <c r="O205" s="68"/>
      <c r="P205" s="68"/>
      <c r="Q205" s="68"/>
      <c r="R205" s="68"/>
      <c r="S205" s="68"/>
      <c r="T205" s="68"/>
      <c r="U205" s="68"/>
      <c r="V205" s="68"/>
      <c r="W205" s="68"/>
      <c r="X205" s="68"/>
      <c r="Y205" s="68"/>
      <c r="Z205" s="68"/>
      <c r="AA205" s="68"/>
      <c r="AB205" s="68"/>
      <c r="AC205" s="68"/>
      <c r="AD205" s="68"/>
      <c r="AE205" s="68"/>
      <c r="AF205" s="68"/>
    </row>
    <row r="206">
      <c r="A206" s="68"/>
      <c r="B206" s="68"/>
      <c r="C206" s="78"/>
      <c r="D206" s="78"/>
      <c r="E206" s="68"/>
      <c r="F206" s="68"/>
      <c r="G206" s="68"/>
      <c r="H206" s="68"/>
      <c r="I206" s="68"/>
      <c r="J206" s="68"/>
      <c r="K206" s="68"/>
      <c r="L206" s="68"/>
      <c r="M206" s="79"/>
      <c r="N206" s="68"/>
      <c r="O206" s="68"/>
      <c r="P206" s="68"/>
      <c r="Q206" s="68"/>
      <c r="R206" s="68"/>
      <c r="S206" s="68"/>
      <c r="T206" s="68"/>
      <c r="U206" s="68"/>
      <c r="V206" s="68"/>
      <c r="W206" s="68"/>
      <c r="X206" s="68"/>
      <c r="Y206" s="68"/>
      <c r="Z206" s="68"/>
      <c r="AA206" s="68"/>
      <c r="AB206" s="68"/>
      <c r="AC206" s="68"/>
      <c r="AD206" s="68"/>
      <c r="AE206" s="68"/>
      <c r="AF206" s="68"/>
    </row>
    <row r="207">
      <c r="A207" s="68"/>
      <c r="B207" s="68"/>
      <c r="C207" s="78"/>
      <c r="D207" s="78"/>
      <c r="E207" s="68"/>
      <c r="F207" s="68"/>
      <c r="G207" s="68"/>
      <c r="H207" s="68"/>
      <c r="I207" s="68"/>
      <c r="J207" s="68"/>
      <c r="K207" s="68"/>
      <c r="L207" s="68"/>
      <c r="M207" s="79"/>
      <c r="N207" s="68"/>
      <c r="O207" s="68"/>
      <c r="P207" s="68"/>
      <c r="Q207" s="68"/>
      <c r="R207" s="68"/>
      <c r="S207" s="68"/>
      <c r="T207" s="68"/>
      <c r="U207" s="68"/>
      <c r="V207" s="68"/>
      <c r="W207" s="68"/>
      <c r="X207" s="68"/>
      <c r="Y207" s="68"/>
      <c r="Z207" s="68"/>
      <c r="AA207" s="68"/>
      <c r="AB207" s="68"/>
      <c r="AC207" s="68"/>
      <c r="AD207" s="68"/>
      <c r="AE207" s="68"/>
      <c r="AF207" s="68"/>
    </row>
    <row r="208">
      <c r="A208" s="68"/>
      <c r="B208" s="68"/>
      <c r="C208" s="78"/>
      <c r="D208" s="78"/>
      <c r="E208" s="68"/>
      <c r="F208" s="68"/>
      <c r="G208" s="68"/>
      <c r="H208" s="68"/>
      <c r="I208" s="68"/>
      <c r="J208" s="68"/>
      <c r="K208" s="68"/>
      <c r="L208" s="68"/>
      <c r="M208" s="79"/>
      <c r="N208" s="68"/>
      <c r="O208" s="68"/>
      <c r="P208" s="68"/>
      <c r="Q208" s="68"/>
      <c r="R208" s="68"/>
      <c r="S208" s="68"/>
      <c r="T208" s="68"/>
      <c r="U208" s="68"/>
      <c r="V208" s="68"/>
      <c r="W208" s="68"/>
      <c r="X208" s="68"/>
      <c r="Y208" s="68"/>
      <c r="Z208" s="68"/>
      <c r="AA208" s="68"/>
      <c r="AB208" s="68"/>
      <c r="AC208" s="68"/>
      <c r="AD208" s="68"/>
      <c r="AE208" s="68"/>
      <c r="AF208" s="68"/>
    </row>
    <row r="209">
      <c r="A209" s="68"/>
      <c r="B209" s="68"/>
      <c r="C209" s="78"/>
      <c r="D209" s="78"/>
      <c r="E209" s="68"/>
      <c r="F209" s="68"/>
      <c r="G209" s="68"/>
      <c r="H209" s="68"/>
      <c r="I209" s="68"/>
      <c r="J209" s="68"/>
      <c r="K209" s="68"/>
      <c r="L209" s="68"/>
      <c r="M209" s="79"/>
      <c r="N209" s="68"/>
      <c r="O209" s="68"/>
      <c r="P209" s="68"/>
      <c r="Q209" s="68"/>
      <c r="R209" s="68"/>
      <c r="S209" s="68"/>
      <c r="T209" s="68"/>
      <c r="U209" s="68"/>
      <c r="V209" s="68"/>
      <c r="W209" s="68"/>
      <c r="X209" s="68"/>
      <c r="Y209" s="68"/>
      <c r="Z209" s="68"/>
      <c r="AA209" s="68"/>
      <c r="AB209" s="68"/>
      <c r="AC209" s="68"/>
      <c r="AD209" s="68"/>
      <c r="AE209" s="68"/>
      <c r="AF209" s="68"/>
    </row>
    <row r="210">
      <c r="A210" s="68"/>
      <c r="B210" s="68"/>
      <c r="C210" s="78"/>
      <c r="D210" s="78"/>
      <c r="E210" s="68"/>
      <c r="F210" s="68"/>
      <c r="G210" s="68"/>
      <c r="H210" s="68"/>
      <c r="I210" s="68"/>
      <c r="J210" s="68"/>
      <c r="K210" s="68"/>
      <c r="L210" s="68"/>
      <c r="M210" s="79"/>
      <c r="N210" s="68"/>
      <c r="O210" s="68"/>
      <c r="P210" s="68"/>
      <c r="Q210" s="68"/>
      <c r="R210" s="68"/>
      <c r="S210" s="68"/>
      <c r="T210" s="68"/>
      <c r="U210" s="68"/>
      <c r="V210" s="68"/>
      <c r="W210" s="68"/>
      <c r="X210" s="68"/>
      <c r="Y210" s="68"/>
      <c r="Z210" s="68"/>
      <c r="AA210" s="68"/>
      <c r="AB210" s="68"/>
      <c r="AC210" s="68"/>
      <c r="AD210" s="68"/>
      <c r="AE210" s="68"/>
      <c r="AF210" s="68"/>
    </row>
    <row r="211">
      <c r="A211" s="68"/>
      <c r="B211" s="68"/>
      <c r="C211" s="78"/>
      <c r="D211" s="78"/>
      <c r="E211" s="68"/>
      <c r="F211" s="68"/>
      <c r="G211" s="68"/>
      <c r="H211" s="68"/>
      <c r="I211" s="68"/>
      <c r="J211" s="68"/>
      <c r="K211" s="68"/>
      <c r="L211" s="68"/>
      <c r="M211" s="79"/>
      <c r="N211" s="68"/>
      <c r="O211" s="68"/>
      <c r="P211" s="68"/>
      <c r="Q211" s="68"/>
      <c r="R211" s="68"/>
      <c r="S211" s="68"/>
      <c r="T211" s="68"/>
      <c r="U211" s="68"/>
      <c r="V211" s="68"/>
      <c r="W211" s="68"/>
      <c r="X211" s="68"/>
      <c r="Y211" s="68"/>
      <c r="Z211" s="68"/>
      <c r="AA211" s="68"/>
      <c r="AB211" s="68"/>
      <c r="AC211" s="68"/>
      <c r="AD211" s="68"/>
      <c r="AE211" s="68"/>
      <c r="AF211" s="68"/>
    </row>
    <row r="212">
      <c r="A212" s="68"/>
      <c r="B212" s="68"/>
      <c r="C212" s="78"/>
      <c r="D212" s="78"/>
      <c r="E212" s="68"/>
      <c r="F212" s="68"/>
      <c r="G212" s="68"/>
      <c r="H212" s="68"/>
      <c r="I212" s="68"/>
      <c r="J212" s="68"/>
      <c r="K212" s="68"/>
      <c r="L212" s="68"/>
      <c r="M212" s="79"/>
      <c r="N212" s="68"/>
      <c r="O212" s="68"/>
      <c r="P212" s="68"/>
      <c r="Q212" s="68"/>
      <c r="R212" s="68"/>
      <c r="S212" s="68"/>
      <c r="T212" s="68"/>
      <c r="U212" s="68"/>
      <c r="V212" s="68"/>
      <c r="W212" s="68"/>
      <c r="X212" s="68"/>
      <c r="Y212" s="68"/>
      <c r="Z212" s="68"/>
      <c r="AA212" s="68"/>
      <c r="AB212" s="68"/>
      <c r="AC212" s="68"/>
      <c r="AD212" s="68"/>
      <c r="AE212" s="68"/>
      <c r="AF212" s="68"/>
    </row>
    <row r="213">
      <c r="A213" s="68"/>
      <c r="B213" s="68"/>
      <c r="C213" s="78"/>
      <c r="D213" s="78"/>
      <c r="E213" s="68"/>
      <c r="F213" s="68"/>
      <c r="G213" s="68"/>
      <c r="H213" s="68"/>
      <c r="I213" s="68"/>
      <c r="J213" s="68"/>
      <c r="K213" s="68"/>
      <c r="L213" s="68"/>
      <c r="M213" s="79"/>
      <c r="N213" s="68"/>
      <c r="O213" s="68"/>
      <c r="P213" s="68"/>
      <c r="Q213" s="68"/>
      <c r="R213" s="68"/>
      <c r="S213" s="68"/>
      <c r="T213" s="68"/>
      <c r="U213" s="68"/>
      <c r="V213" s="68"/>
      <c r="W213" s="68"/>
      <c r="X213" s="68"/>
      <c r="Y213" s="68"/>
      <c r="Z213" s="68"/>
      <c r="AA213" s="68"/>
      <c r="AB213" s="68"/>
      <c r="AC213" s="68"/>
      <c r="AD213" s="68"/>
      <c r="AE213" s="68"/>
      <c r="AF213" s="68"/>
    </row>
    <row r="214">
      <c r="A214" s="68"/>
      <c r="B214" s="68"/>
      <c r="C214" s="78"/>
      <c r="D214" s="78"/>
      <c r="E214" s="68"/>
      <c r="F214" s="68"/>
      <c r="G214" s="68"/>
      <c r="H214" s="68"/>
      <c r="I214" s="68"/>
      <c r="J214" s="68"/>
      <c r="K214" s="68"/>
      <c r="L214" s="68"/>
      <c r="M214" s="79"/>
      <c r="N214" s="68"/>
      <c r="O214" s="68"/>
      <c r="P214" s="68"/>
      <c r="Q214" s="68"/>
      <c r="R214" s="68"/>
      <c r="S214" s="68"/>
      <c r="T214" s="68"/>
      <c r="U214" s="68"/>
      <c r="V214" s="68"/>
      <c r="W214" s="68"/>
      <c r="X214" s="68"/>
      <c r="Y214" s="68"/>
      <c r="Z214" s="68"/>
      <c r="AA214" s="68"/>
      <c r="AB214" s="68"/>
      <c r="AC214" s="68"/>
      <c r="AD214" s="68"/>
      <c r="AE214" s="68"/>
      <c r="AF214" s="68"/>
    </row>
    <row r="215">
      <c r="A215" s="68"/>
      <c r="B215" s="68"/>
      <c r="C215" s="78"/>
      <c r="D215" s="78"/>
      <c r="E215" s="68"/>
      <c r="F215" s="68"/>
      <c r="G215" s="68"/>
      <c r="H215" s="68"/>
      <c r="I215" s="68"/>
      <c r="J215" s="68"/>
      <c r="K215" s="68"/>
      <c r="L215" s="68"/>
      <c r="M215" s="79"/>
      <c r="N215" s="68"/>
      <c r="O215" s="68"/>
      <c r="P215" s="68"/>
      <c r="Q215" s="68"/>
      <c r="R215" s="68"/>
      <c r="S215" s="68"/>
      <c r="T215" s="68"/>
      <c r="U215" s="68"/>
      <c r="V215" s="68"/>
      <c r="W215" s="68"/>
      <c r="X215" s="68"/>
      <c r="Y215" s="68"/>
      <c r="Z215" s="68"/>
      <c r="AA215" s="68"/>
      <c r="AB215" s="68"/>
      <c r="AC215" s="68"/>
      <c r="AD215" s="68"/>
      <c r="AE215" s="68"/>
      <c r="AF215" s="68"/>
    </row>
    <row r="216">
      <c r="A216" s="68"/>
      <c r="B216" s="68"/>
      <c r="C216" s="78"/>
      <c r="D216" s="78"/>
      <c r="E216" s="68"/>
      <c r="F216" s="68"/>
      <c r="G216" s="68"/>
      <c r="H216" s="68"/>
      <c r="I216" s="68"/>
      <c r="J216" s="68"/>
      <c r="K216" s="68"/>
      <c r="L216" s="68"/>
      <c r="M216" s="79"/>
      <c r="N216" s="68"/>
      <c r="O216" s="68"/>
      <c r="P216" s="68"/>
      <c r="Q216" s="68"/>
      <c r="R216" s="68"/>
      <c r="S216" s="68"/>
      <c r="T216" s="68"/>
      <c r="U216" s="68"/>
      <c r="V216" s="68"/>
      <c r="W216" s="68"/>
      <c r="X216" s="68"/>
      <c r="Y216" s="68"/>
      <c r="Z216" s="68"/>
      <c r="AA216" s="68"/>
      <c r="AB216" s="68"/>
      <c r="AC216" s="68"/>
      <c r="AD216" s="68"/>
      <c r="AE216" s="68"/>
      <c r="AF216" s="68"/>
    </row>
    <row r="217">
      <c r="A217" s="68"/>
      <c r="B217" s="68"/>
      <c r="C217" s="78"/>
      <c r="D217" s="78"/>
      <c r="E217" s="68"/>
      <c r="F217" s="68"/>
      <c r="G217" s="68"/>
      <c r="H217" s="68"/>
      <c r="I217" s="68"/>
      <c r="J217" s="68"/>
      <c r="K217" s="68"/>
      <c r="L217" s="68"/>
      <c r="M217" s="79"/>
      <c r="N217" s="68"/>
      <c r="O217" s="68"/>
      <c r="P217" s="68"/>
      <c r="Q217" s="68"/>
      <c r="R217" s="68"/>
      <c r="S217" s="68"/>
      <c r="T217" s="68"/>
      <c r="U217" s="68"/>
      <c r="V217" s="68"/>
      <c r="W217" s="68"/>
      <c r="X217" s="68"/>
      <c r="Y217" s="68"/>
      <c r="Z217" s="68"/>
      <c r="AA217" s="68"/>
      <c r="AB217" s="68"/>
      <c r="AC217" s="68"/>
      <c r="AD217" s="68"/>
      <c r="AE217" s="68"/>
      <c r="AF217" s="68"/>
    </row>
    <row r="218">
      <c r="A218" s="68"/>
      <c r="B218" s="68"/>
      <c r="C218" s="78"/>
      <c r="D218" s="78"/>
      <c r="E218" s="68"/>
      <c r="F218" s="68"/>
      <c r="G218" s="68"/>
      <c r="H218" s="68"/>
      <c r="I218" s="68"/>
      <c r="J218" s="68"/>
      <c r="K218" s="68"/>
      <c r="L218" s="68"/>
      <c r="M218" s="79"/>
      <c r="N218" s="68"/>
      <c r="O218" s="68"/>
      <c r="P218" s="68"/>
      <c r="Q218" s="68"/>
      <c r="R218" s="68"/>
      <c r="S218" s="68"/>
      <c r="T218" s="68"/>
      <c r="U218" s="68"/>
      <c r="V218" s="68"/>
      <c r="W218" s="68"/>
      <c r="X218" s="68"/>
      <c r="Y218" s="68"/>
      <c r="Z218" s="68"/>
      <c r="AA218" s="68"/>
      <c r="AB218" s="68"/>
      <c r="AC218" s="68"/>
      <c r="AD218" s="68"/>
      <c r="AE218" s="68"/>
      <c r="AF218" s="68"/>
    </row>
    <row r="219">
      <c r="A219" s="68"/>
      <c r="B219" s="68"/>
      <c r="C219" s="78"/>
      <c r="D219" s="78"/>
      <c r="E219" s="68"/>
      <c r="F219" s="68"/>
      <c r="G219" s="68"/>
      <c r="H219" s="68"/>
      <c r="I219" s="68"/>
      <c r="J219" s="68"/>
      <c r="K219" s="68"/>
      <c r="L219" s="68"/>
      <c r="M219" s="79"/>
      <c r="N219" s="68"/>
      <c r="O219" s="68"/>
      <c r="P219" s="68"/>
      <c r="Q219" s="68"/>
      <c r="R219" s="68"/>
      <c r="S219" s="68"/>
      <c r="T219" s="68"/>
      <c r="U219" s="68"/>
      <c r="V219" s="68"/>
      <c r="W219" s="68"/>
      <c r="X219" s="68"/>
      <c r="Y219" s="68"/>
      <c r="Z219" s="68"/>
      <c r="AA219" s="68"/>
      <c r="AB219" s="68"/>
      <c r="AC219" s="68"/>
      <c r="AD219" s="68"/>
      <c r="AE219" s="68"/>
      <c r="AF219" s="68"/>
    </row>
    <row r="220">
      <c r="A220" s="68"/>
      <c r="B220" s="68"/>
      <c r="C220" s="78"/>
      <c r="D220" s="78"/>
      <c r="E220" s="68"/>
      <c r="F220" s="68"/>
      <c r="G220" s="68"/>
      <c r="H220" s="68"/>
      <c r="I220" s="68"/>
      <c r="J220" s="68"/>
      <c r="K220" s="68"/>
      <c r="L220" s="68"/>
      <c r="M220" s="79"/>
      <c r="N220" s="68"/>
      <c r="O220" s="68"/>
      <c r="P220" s="68"/>
      <c r="Q220" s="68"/>
      <c r="R220" s="68"/>
      <c r="S220" s="68"/>
      <c r="T220" s="68"/>
      <c r="U220" s="68"/>
      <c r="V220" s="68"/>
      <c r="W220" s="68"/>
      <c r="X220" s="68"/>
      <c r="Y220" s="68"/>
      <c r="Z220" s="68"/>
      <c r="AA220" s="68"/>
      <c r="AB220" s="68"/>
      <c r="AC220" s="68"/>
      <c r="AD220" s="68"/>
      <c r="AE220" s="68"/>
      <c r="AF220" s="68"/>
    </row>
    <row r="221">
      <c r="A221" s="68"/>
      <c r="B221" s="68"/>
      <c r="C221" s="78"/>
      <c r="D221" s="78"/>
      <c r="E221" s="68"/>
      <c r="F221" s="68"/>
      <c r="G221" s="68"/>
      <c r="H221" s="68"/>
      <c r="I221" s="68"/>
      <c r="J221" s="68"/>
      <c r="K221" s="68"/>
      <c r="L221" s="68"/>
      <c r="M221" s="79"/>
      <c r="N221" s="68"/>
      <c r="O221" s="68"/>
      <c r="P221" s="68"/>
      <c r="Q221" s="68"/>
      <c r="R221" s="68"/>
      <c r="S221" s="68"/>
      <c r="T221" s="68"/>
      <c r="U221" s="68"/>
      <c r="V221" s="68"/>
      <c r="W221" s="68"/>
      <c r="X221" s="68"/>
      <c r="Y221" s="68"/>
      <c r="Z221" s="68"/>
      <c r="AA221" s="68"/>
      <c r="AB221" s="68"/>
      <c r="AC221" s="68"/>
      <c r="AD221" s="68"/>
      <c r="AE221" s="68"/>
      <c r="AF221" s="68"/>
    </row>
    <row r="222">
      <c r="A222" s="68"/>
      <c r="B222" s="68"/>
      <c r="C222" s="78"/>
      <c r="D222" s="78"/>
      <c r="E222" s="68"/>
      <c r="F222" s="68"/>
      <c r="G222" s="68"/>
      <c r="H222" s="68"/>
      <c r="I222" s="68"/>
      <c r="J222" s="68"/>
      <c r="K222" s="68"/>
      <c r="L222" s="68"/>
      <c r="M222" s="79"/>
      <c r="N222" s="68"/>
      <c r="O222" s="68"/>
      <c r="P222" s="68"/>
      <c r="Q222" s="68"/>
      <c r="R222" s="68"/>
      <c r="S222" s="68"/>
      <c r="T222" s="68"/>
      <c r="U222" s="68"/>
      <c r="V222" s="68"/>
      <c r="W222" s="68"/>
      <c r="X222" s="68"/>
      <c r="Y222" s="68"/>
      <c r="Z222" s="68"/>
      <c r="AA222" s="68"/>
      <c r="AB222" s="68"/>
      <c r="AC222" s="68"/>
      <c r="AD222" s="68"/>
      <c r="AE222" s="68"/>
      <c r="AF222" s="68"/>
    </row>
    <row r="223">
      <c r="A223" s="68"/>
      <c r="B223" s="68"/>
      <c r="C223" s="78"/>
      <c r="D223" s="78"/>
      <c r="E223" s="68"/>
      <c r="F223" s="68"/>
      <c r="G223" s="68"/>
      <c r="H223" s="68"/>
      <c r="I223" s="68"/>
      <c r="J223" s="68"/>
      <c r="K223" s="68"/>
      <c r="L223" s="68"/>
      <c r="M223" s="79"/>
      <c r="N223" s="68"/>
      <c r="O223" s="68"/>
      <c r="P223" s="68"/>
      <c r="Q223" s="68"/>
      <c r="R223" s="68"/>
      <c r="S223" s="68"/>
      <c r="T223" s="68"/>
      <c r="U223" s="68"/>
      <c r="V223" s="68"/>
      <c r="W223" s="68"/>
      <c r="X223" s="68"/>
      <c r="Y223" s="68"/>
      <c r="Z223" s="68"/>
      <c r="AA223" s="68"/>
      <c r="AB223" s="68"/>
      <c r="AC223" s="68"/>
      <c r="AD223" s="68"/>
      <c r="AE223" s="68"/>
      <c r="AF223" s="68"/>
    </row>
    <row r="224">
      <c r="A224" s="68"/>
      <c r="B224" s="68"/>
      <c r="C224" s="78"/>
      <c r="D224" s="78"/>
      <c r="E224" s="68"/>
      <c r="F224" s="68"/>
      <c r="G224" s="68"/>
      <c r="H224" s="68"/>
      <c r="I224" s="68"/>
      <c r="J224" s="68"/>
      <c r="K224" s="68"/>
      <c r="L224" s="68"/>
      <c r="M224" s="79"/>
      <c r="N224" s="68"/>
      <c r="O224" s="68"/>
      <c r="P224" s="68"/>
      <c r="Q224" s="68"/>
      <c r="R224" s="68"/>
      <c r="S224" s="68"/>
      <c r="T224" s="68"/>
      <c r="U224" s="68"/>
      <c r="V224" s="68"/>
      <c r="W224" s="68"/>
      <c r="X224" s="68"/>
      <c r="Y224" s="68"/>
      <c r="Z224" s="68"/>
      <c r="AA224" s="68"/>
      <c r="AB224" s="68"/>
      <c r="AC224" s="68"/>
      <c r="AD224" s="68"/>
      <c r="AE224" s="68"/>
      <c r="AF224" s="68"/>
    </row>
    <row r="225">
      <c r="A225" s="68"/>
      <c r="B225" s="68"/>
      <c r="C225" s="78"/>
      <c r="D225" s="78"/>
      <c r="E225" s="68"/>
      <c r="F225" s="68"/>
      <c r="G225" s="68"/>
      <c r="H225" s="68"/>
      <c r="I225" s="68"/>
      <c r="J225" s="68"/>
      <c r="K225" s="68"/>
      <c r="L225" s="68"/>
      <c r="M225" s="79"/>
      <c r="N225" s="68"/>
      <c r="O225" s="68"/>
      <c r="P225" s="68"/>
      <c r="Q225" s="68"/>
      <c r="R225" s="68"/>
      <c r="S225" s="68"/>
      <c r="T225" s="68"/>
      <c r="U225" s="68"/>
      <c r="V225" s="68"/>
      <c r="W225" s="68"/>
      <c r="X225" s="68"/>
      <c r="Y225" s="68"/>
      <c r="Z225" s="68"/>
      <c r="AA225" s="68"/>
      <c r="AB225" s="68"/>
      <c r="AC225" s="68"/>
      <c r="AD225" s="68"/>
      <c r="AE225" s="68"/>
      <c r="AF225" s="68"/>
    </row>
    <row r="226">
      <c r="A226" s="68"/>
      <c r="B226" s="68"/>
      <c r="C226" s="78"/>
      <c r="D226" s="78"/>
      <c r="E226" s="68"/>
      <c r="F226" s="68"/>
      <c r="G226" s="68"/>
      <c r="H226" s="68"/>
      <c r="I226" s="68"/>
      <c r="J226" s="68"/>
      <c r="K226" s="68"/>
      <c r="L226" s="68"/>
      <c r="M226" s="79"/>
      <c r="N226" s="68"/>
      <c r="O226" s="68"/>
      <c r="P226" s="68"/>
      <c r="Q226" s="68"/>
      <c r="R226" s="68"/>
      <c r="S226" s="68"/>
      <c r="T226" s="68"/>
      <c r="U226" s="68"/>
      <c r="V226" s="68"/>
      <c r="W226" s="68"/>
      <c r="X226" s="68"/>
      <c r="Y226" s="68"/>
      <c r="Z226" s="68"/>
      <c r="AA226" s="68"/>
      <c r="AB226" s="68"/>
      <c r="AC226" s="68"/>
      <c r="AD226" s="68"/>
      <c r="AE226" s="68"/>
      <c r="AF226" s="68"/>
    </row>
    <row r="227">
      <c r="A227" s="68"/>
      <c r="B227" s="68"/>
      <c r="C227" s="78"/>
      <c r="D227" s="78"/>
      <c r="E227" s="68"/>
      <c r="F227" s="68"/>
      <c r="G227" s="68"/>
      <c r="H227" s="68"/>
      <c r="I227" s="68"/>
      <c r="J227" s="68"/>
      <c r="K227" s="68"/>
      <c r="L227" s="68"/>
      <c r="M227" s="79"/>
      <c r="N227" s="68"/>
      <c r="O227" s="68"/>
      <c r="P227" s="68"/>
      <c r="Q227" s="68"/>
      <c r="R227" s="68"/>
      <c r="S227" s="68"/>
      <c r="T227" s="68"/>
      <c r="U227" s="68"/>
      <c r="V227" s="68"/>
      <c r="W227" s="68"/>
      <c r="X227" s="68"/>
      <c r="Y227" s="68"/>
      <c r="Z227" s="68"/>
      <c r="AA227" s="68"/>
      <c r="AB227" s="68"/>
      <c r="AC227" s="68"/>
      <c r="AD227" s="68"/>
      <c r="AE227" s="68"/>
      <c r="AF227" s="68"/>
    </row>
    <row r="228">
      <c r="A228" s="68"/>
      <c r="B228" s="68"/>
      <c r="C228" s="78"/>
      <c r="D228" s="78"/>
      <c r="E228" s="68"/>
      <c r="F228" s="68"/>
      <c r="G228" s="68"/>
      <c r="H228" s="68"/>
      <c r="I228" s="68"/>
      <c r="J228" s="68"/>
      <c r="K228" s="68"/>
      <c r="L228" s="68"/>
      <c r="M228" s="79"/>
      <c r="N228" s="68"/>
      <c r="O228" s="68"/>
      <c r="P228" s="68"/>
      <c r="Q228" s="68"/>
      <c r="R228" s="68"/>
      <c r="S228" s="68"/>
      <c r="T228" s="68"/>
      <c r="U228" s="68"/>
      <c r="V228" s="68"/>
      <c r="W228" s="68"/>
      <c r="X228" s="68"/>
      <c r="Y228" s="68"/>
      <c r="Z228" s="68"/>
      <c r="AA228" s="68"/>
      <c r="AB228" s="68"/>
      <c r="AC228" s="68"/>
      <c r="AD228" s="68"/>
      <c r="AE228" s="68"/>
      <c r="AF228" s="68"/>
    </row>
    <row r="229">
      <c r="A229" s="68"/>
      <c r="B229" s="68"/>
      <c r="C229" s="78"/>
      <c r="D229" s="78"/>
      <c r="E229" s="68"/>
      <c r="F229" s="68"/>
      <c r="G229" s="68"/>
      <c r="H229" s="68"/>
      <c r="I229" s="68"/>
      <c r="J229" s="68"/>
      <c r="K229" s="68"/>
      <c r="L229" s="68"/>
      <c r="M229" s="79"/>
      <c r="N229" s="68"/>
      <c r="O229" s="68"/>
      <c r="P229" s="68"/>
      <c r="Q229" s="68"/>
      <c r="R229" s="68"/>
      <c r="S229" s="68"/>
      <c r="T229" s="68"/>
      <c r="U229" s="68"/>
      <c r="V229" s="68"/>
      <c r="W229" s="68"/>
      <c r="X229" s="68"/>
      <c r="Y229" s="68"/>
      <c r="Z229" s="68"/>
      <c r="AA229" s="68"/>
      <c r="AB229" s="68"/>
      <c r="AC229" s="68"/>
      <c r="AD229" s="68"/>
      <c r="AE229" s="68"/>
      <c r="AF229" s="68"/>
    </row>
    <row r="230">
      <c r="A230" s="68"/>
      <c r="B230" s="68"/>
      <c r="C230" s="78"/>
      <c r="D230" s="78"/>
      <c r="E230" s="68"/>
      <c r="F230" s="68"/>
      <c r="G230" s="68"/>
      <c r="H230" s="68"/>
      <c r="I230" s="68"/>
      <c r="J230" s="68"/>
      <c r="K230" s="68"/>
      <c r="L230" s="68"/>
      <c r="M230" s="79"/>
      <c r="N230" s="68"/>
      <c r="O230" s="68"/>
      <c r="P230" s="68"/>
      <c r="Q230" s="68"/>
      <c r="R230" s="68"/>
      <c r="S230" s="68"/>
      <c r="T230" s="68"/>
      <c r="U230" s="68"/>
      <c r="V230" s="68"/>
      <c r="W230" s="68"/>
      <c r="X230" s="68"/>
      <c r="Y230" s="68"/>
      <c r="Z230" s="68"/>
      <c r="AA230" s="68"/>
      <c r="AB230" s="68"/>
      <c r="AC230" s="68"/>
      <c r="AD230" s="68"/>
      <c r="AE230" s="68"/>
      <c r="AF230" s="68"/>
    </row>
    <row r="231">
      <c r="A231" s="68"/>
      <c r="B231" s="68"/>
      <c r="C231" s="78"/>
      <c r="D231" s="78"/>
      <c r="E231" s="68"/>
      <c r="F231" s="68"/>
      <c r="G231" s="68"/>
      <c r="H231" s="68"/>
      <c r="I231" s="68"/>
      <c r="J231" s="68"/>
      <c r="K231" s="68"/>
      <c r="L231" s="68"/>
      <c r="M231" s="79"/>
      <c r="N231" s="68"/>
      <c r="O231" s="68"/>
      <c r="P231" s="68"/>
      <c r="Q231" s="68"/>
      <c r="R231" s="68"/>
      <c r="S231" s="68"/>
      <c r="T231" s="68"/>
      <c r="U231" s="68"/>
      <c r="V231" s="68"/>
      <c r="W231" s="68"/>
      <c r="X231" s="68"/>
      <c r="Y231" s="68"/>
      <c r="Z231" s="68"/>
      <c r="AA231" s="68"/>
      <c r="AB231" s="68"/>
      <c r="AC231" s="68"/>
      <c r="AD231" s="68"/>
      <c r="AE231" s="68"/>
      <c r="AF231" s="68"/>
    </row>
    <row r="232">
      <c r="A232" s="68"/>
      <c r="B232" s="68"/>
      <c r="C232" s="78"/>
      <c r="D232" s="78"/>
      <c r="E232" s="68"/>
      <c r="F232" s="68"/>
      <c r="G232" s="68"/>
      <c r="H232" s="68"/>
      <c r="I232" s="68"/>
      <c r="J232" s="68"/>
      <c r="K232" s="68"/>
      <c r="L232" s="68"/>
      <c r="M232" s="79"/>
      <c r="N232" s="68"/>
      <c r="O232" s="68"/>
      <c r="P232" s="68"/>
      <c r="Q232" s="68"/>
      <c r="R232" s="68"/>
      <c r="S232" s="68"/>
      <c r="T232" s="68"/>
      <c r="U232" s="68"/>
      <c r="V232" s="68"/>
      <c r="W232" s="68"/>
      <c r="X232" s="68"/>
      <c r="Y232" s="68"/>
      <c r="Z232" s="68"/>
      <c r="AA232" s="68"/>
      <c r="AB232" s="68"/>
      <c r="AC232" s="68"/>
      <c r="AD232" s="68"/>
      <c r="AE232" s="68"/>
      <c r="AF232" s="68"/>
    </row>
    <row r="233">
      <c r="A233" s="68"/>
      <c r="B233" s="68"/>
      <c r="C233" s="78"/>
      <c r="D233" s="78"/>
      <c r="E233" s="68"/>
      <c r="F233" s="68"/>
      <c r="G233" s="68"/>
      <c r="H233" s="68"/>
      <c r="I233" s="68"/>
      <c r="J233" s="68"/>
      <c r="K233" s="68"/>
      <c r="L233" s="68"/>
      <c r="M233" s="79"/>
      <c r="N233" s="68"/>
      <c r="O233" s="68"/>
      <c r="P233" s="68"/>
      <c r="Q233" s="68"/>
      <c r="R233" s="68"/>
      <c r="S233" s="68"/>
      <c r="T233" s="68"/>
      <c r="U233" s="68"/>
      <c r="V233" s="68"/>
      <c r="W233" s="68"/>
      <c r="X233" s="68"/>
      <c r="Y233" s="68"/>
      <c r="Z233" s="68"/>
      <c r="AA233" s="68"/>
      <c r="AB233" s="68"/>
      <c r="AC233" s="68"/>
      <c r="AD233" s="68"/>
      <c r="AE233" s="68"/>
      <c r="AF233" s="68"/>
    </row>
    <row r="234">
      <c r="A234" s="68"/>
      <c r="B234" s="68"/>
      <c r="C234" s="78"/>
      <c r="D234" s="78"/>
      <c r="E234" s="68"/>
      <c r="F234" s="68"/>
      <c r="G234" s="68"/>
      <c r="H234" s="68"/>
      <c r="I234" s="68"/>
      <c r="J234" s="68"/>
      <c r="K234" s="68"/>
      <c r="L234" s="68"/>
      <c r="M234" s="79"/>
      <c r="N234" s="68"/>
      <c r="O234" s="68"/>
      <c r="P234" s="68"/>
      <c r="Q234" s="68"/>
      <c r="R234" s="68"/>
      <c r="S234" s="68"/>
      <c r="T234" s="68"/>
      <c r="U234" s="68"/>
      <c r="V234" s="68"/>
      <c r="W234" s="68"/>
      <c r="X234" s="68"/>
      <c r="Y234" s="68"/>
      <c r="Z234" s="68"/>
      <c r="AA234" s="68"/>
      <c r="AB234" s="68"/>
      <c r="AC234" s="68"/>
      <c r="AD234" s="68"/>
      <c r="AE234" s="68"/>
      <c r="AF234" s="68"/>
    </row>
    <row r="235">
      <c r="A235" s="68"/>
      <c r="B235" s="68"/>
      <c r="C235" s="78"/>
      <c r="D235" s="78"/>
      <c r="E235" s="68"/>
      <c r="F235" s="68"/>
      <c r="G235" s="68"/>
      <c r="H235" s="68"/>
      <c r="I235" s="68"/>
      <c r="J235" s="68"/>
      <c r="K235" s="68"/>
      <c r="L235" s="68"/>
      <c r="M235" s="79"/>
      <c r="N235" s="68"/>
      <c r="O235" s="68"/>
      <c r="P235" s="68"/>
      <c r="Q235" s="68"/>
      <c r="R235" s="68"/>
      <c r="S235" s="68"/>
      <c r="T235" s="68"/>
      <c r="U235" s="68"/>
      <c r="V235" s="68"/>
      <c r="W235" s="68"/>
      <c r="X235" s="68"/>
      <c r="Y235" s="68"/>
      <c r="Z235" s="68"/>
      <c r="AA235" s="68"/>
      <c r="AB235" s="68"/>
      <c r="AC235" s="68"/>
      <c r="AD235" s="68"/>
      <c r="AE235" s="68"/>
      <c r="AF235" s="68"/>
    </row>
    <row r="236">
      <c r="A236" s="68"/>
      <c r="B236" s="68"/>
      <c r="C236" s="78"/>
      <c r="D236" s="78"/>
      <c r="E236" s="68"/>
      <c r="F236" s="68"/>
      <c r="G236" s="68"/>
      <c r="H236" s="68"/>
      <c r="I236" s="68"/>
      <c r="J236" s="68"/>
      <c r="K236" s="68"/>
      <c r="L236" s="68"/>
      <c r="M236" s="79"/>
      <c r="N236" s="68"/>
      <c r="O236" s="68"/>
      <c r="P236" s="68"/>
      <c r="Q236" s="68"/>
      <c r="R236" s="68"/>
      <c r="S236" s="68"/>
      <c r="T236" s="68"/>
      <c r="U236" s="68"/>
      <c r="V236" s="68"/>
      <c r="W236" s="68"/>
      <c r="X236" s="68"/>
      <c r="Y236" s="68"/>
      <c r="Z236" s="68"/>
      <c r="AA236" s="68"/>
      <c r="AB236" s="68"/>
      <c r="AC236" s="68"/>
      <c r="AD236" s="68"/>
      <c r="AE236" s="68"/>
      <c r="AF236" s="68"/>
    </row>
    <row r="237">
      <c r="A237" s="68"/>
      <c r="B237" s="68"/>
      <c r="C237" s="78"/>
      <c r="D237" s="78"/>
      <c r="E237" s="68"/>
      <c r="F237" s="68"/>
      <c r="G237" s="68"/>
      <c r="H237" s="68"/>
      <c r="I237" s="68"/>
      <c r="J237" s="68"/>
      <c r="K237" s="68"/>
      <c r="L237" s="68"/>
      <c r="M237" s="79"/>
      <c r="N237" s="68"/>
      <c r="O237" s="68"/>
      <c r="P237" s="68"/>
      <c r="Q237" s="68"/>
      <c r="R237" s="68"/>
      <c r="S237" s="68"/>
      <c r="T237" s="68"/>
      <c r="U237" s="68"/>
      <c r="V237" s="68"/>
      <c r="W237" s="68"/>
      <c r="X237" s="68"/>
      <c r="Y237" s="68"/>
      <c r="Z237" s="68"/>
      <c r="AA237" s="68"/>
      <c r="AB237" s="68"/>
      <c r="AC237" s="68"/>
      <c r="AD237" s="68"/>
      <c r="AE237" s="68"/>
      <c r="AF237" s="68"/>
    </row>
    <row r="238">
      <c r="A238" s="68"/>
      <c r="B238" s="68"/>
      <c r="C238" s="78"/>
      <c r="D238" s="78"/>
      <c r="E238" s="68"/>
      <c r="F238" s="68"/>
      <c r="G238" s="68"/>
      <c r="H238" s="68"/>
      <c r="I238" s="68"/>
      <c r="J238" s="68"/>
      <c r="K238" s="68"/>
      <c r="L238" s="68"/>
      <c r="M238" s="79"/>
      <c r="N238" s="68"/>
      <c r="O238" s="68"/>
      <c r="P238" s="68"/>
      <c r="Q238" s="68"/>
      <c r="R238" s="68"/>
      <c r="S238" s="68"/>
      <c r="T238" s="68"/>
      <c r="U238" s="68"/>
      <c r="V238" s="68"/>
      <c r="W238" s="68"/>
      <c r="X238" s="68"/>
      <c r="Y238" s="68"/>
      <c r="Z238" s="68"/>
      <c r="AA238" s="68"/>
      <c r="AB238" s="68"/>
      <c r="AC238" s="68"/>
      <c r="AD238" s="68"/>
      <c r="AE238" s="68"/>
      <c r="AF238" s="68"/>
    </row>
    <row r="239">
      <c r="A239" s="68"/>
      <c r="B239" s="68"/>
      <c r="C239" s="78"/>
      <c r="D239" s="78"/>
      <c r="E239" s="68"/>
      <c r="F239" s="68"/>
      <c r="G239" s="68"/>
      <c r="H239" s="68"/>
      <c r="I239" s="68"/>
      <c r="J239" s="68"/>
      <c r="K239" s="68"/>
      <c r="L239" s="68"/>
      <c r="M239" s="79"/>
      <c r="N239" s="68"/>
      <c r="O239" s="68"/>
      <c r="P239" s="68"/>
      <c r="Q239" s="68"/>
      <c r="R239" s="68"/>
      <c r="S239" s="68"/>
      <c r="T239" s="68"/>
      <c r="U239" s="68"/>
      <c r="V239" s="68"/>
      <c r="W239" s="68"/>
      <c r="X239" s="68"/>
      <c r="Y239" s="68"/>
      <c r="Z239" s="68"/>
      <c r="AA239" s="68"/>
      <c r="AB239" s="68"/>
      <c r="AC239" s="68"/>
      <c r="AD239" s="68"/>
      <c r="AE239" s="68"/>
      <c r="AF239" s="68"/>
    </row>
    <row r="240">
      <c r="A240" s="68"/>
      <c r="B240" s="68"/>
      <c r="C240" s="78"/>
      <c r="D240" s="78"/>
      <c r="E240" s="68"/>
      <c r="F240" s="68"/>
      <c r="G240" s="68"/>
      <c r="H240" s="68"/>
      <c r="I240" s="68"/>
      <c r="J240" s="68"/>
      <c r="K240" s="68"/>
      <c r="L240" s="68"/>
      <c r="M240" s="79"/>
      <c r="N240" s="68"/>
      <c r="O240" s="68"/>
      <c r="P240" s="68"/>
      <c r="Q240" s="68"/>
      <c r="R240" s="68"/>
      <c r="S240" s="68"/>
      <c r="T240" s="68"/>
      <c r="U240" s="68"/>
      <c r="V240" s="68"/>
      <c r="W240" s="68"/>
      <c r="X240" s="68"/>
      <c r="Y240" s="68"/>
      <c r="Z240" s="68"/>
      <c r="AA240" s="68"/>
      <c r="AB240" s="68"/>
      <c r="AC240" s="68"/>
      <c r="AD240" s="68"/>
      <c r="AE240" s="68"/>
      <c r="AF240" s="68"/>
    </row>
    <row r="241">
      <c r="A241" s="68"/>
      <c r="B241" s="68"/>
      <c r="C241" s="78"/>
      <c r="D241" s="78"/>
      <c r="E241" s="68"/>
      <c r="F241" s="68"/>
      <c r="G241" s="68"/>
      <c r="H241" s="68"/>
      <c r="I241" s="68"/>
      <c r="J241" s="68"/>
      <c r="K241" s="68"/>
      <c r="L241" s="68"/>
      <c r="M241" s="79"/>
      <c r="N241" s="68"/>
      <c r="O241" s="68"/>
      <c r="P241" s="68"/>
      <c r="Q241" s="68"/>
      <c r="R241" s="68"/>
      <c r="S241" s="68"/>
      <c r="T241" s="68"/>
      <c r="U241" s="68"/>
      <c r="V241" s="68"/>
      <c r="W241" s="68"/>
      <c r="X241" s="68"/>
      <c r="Y241" s="68"/>
      <c r="Z241" s="68"/>
      <c r="AA241" s="68"/>
      <c r="AB241" s="68"/>
      <c r="AC241" s="68"/>
      <c r="AD241" s="68"/>
      <c r="AE241" s="68"/>
      <c r="AF241" s="68"/>
    </row>
    <row r="242">
      <c r="A242" s="68"/>
      <c r="B242" s="68"/>
      <c r="C242" s="78"/>
      <c r="D242" s="78"/>
      <c r="E242" s="68"/>
      <c r="F242" s="68"/>
      <c r="G242" s="68"/>
      <c r="H242" s="68"/>
      <c r="I242" s="68"/>
      <c r="J242" s="68"/>
      <c r="K242" s="68"/>
      <c r="L242" s="68"/>
      <c r="M242" s="79"/>
      <c r="N242" s="68"/>
      <c r="O242" s="68"/>
      <c r="P242" s="68"/>
      <c r="Q242" s="68"/>
      <c r="R242" s="68"/>
      <c r="S242" s="68"/>
      <c r="T242" s="68"/>
      <c r="U242" s="68"/>
      <c r="V242" s="68"/>
      <c r="W242" s="68"/>
      <c r="X242" s="68"/>
      <c r="Y242" s="68"/>
      <c r="Z242" s="68"/>
      <c r="AA242" s="68"/>
      <c r="AB242" s="68"/>
      <c r="AC242" s="68"/>
      <c r="AD242" s="68"/>
      <c r="AE242" s="68"/>
      <c r="AF242" s="68"/>
    </row>
    <row r="243">
      <c r="A243" s="68"/>
      <c r="B243" s="68"/>
      <c r="C243" s="78"/>
      <c r="D243" s="78"/>
      <c r="E243" s="68"/>
      <c r="F243" s="68"/>
      <c r="G243" s="68"/>
      <c r="H243" s="68"/>
      <c r="I243" s="68"/>
      <c r="J243" s="68"/>
      <c r="K243" s="68"/>
      <c r="L243" s="68"/>
      <c r="M243" s="79"/>
      <c r="N243" s="68"/>
      <c r="O243" s="68"/>
      <c r="P243" s="68"/>
      <c r="Q243" s="68"/>
      <c r="R243" s="68"/>
      <c r="S243" s="68"/>
      <c r="T243" s="68"/>
      <c r="U243" s="68"/>
      <c r="V243" s="68"/>
      <c r="W243" s="68"/>
      <c r="X243" s="68"/>
      <c r="Y243" s="68"/>
      <c r="Z243" s="68"/>
      <c r="AA243" s="68"/>
      <c r="AB243" s="68"/>
      <c r="AC243" s="68"/>
      <c r="AD243" s="68"/>
      <c r="AE243" s="68"/>
      <c r="AF243" s="68"/>
    </row>
    <row r="244">
      <c r="A244" s="68"/>
      <c r="B244" s="68"/>
      <c r="C244" s="78"/>
      <c r="D244" s="78"/>
      <c r="E244" s="68"/>
      <c r="F244" s="68"/>
      <c r="G244" s="68"/>
      <c r="H244" s="68"/>
      <c r="I244" s="68"/>
      <c r="J244" s="68"/>
      <c r="K244" s="68"/>
      <c r="L244" s="68"/>
      <c r="M244" s="79"/>
      <c r="N244" s="68"/>
      <c r="O244" s="68"/>
      <c r="P244" s="68"/>
      <c r="Q244" s="68"/>
      <c r="R244" s="68"/>
      <c r="S244" s="68"/>
      <c r="T244" s="68"/>
      <c r="U244" s="68"/>
      <c r="V244" s="68"/>
      <c r="W244" s="68"/>
      <c r="X244" s="68"/>
      <c r="Y244" s="68"/>
      <c r="Z244" s="68"/>
      <c r="AA244" s="68"/>
      <c r="AB244" s="68"/>
      <c r="AC244" s="68"/>
      <c r="AD244" s="68"/>
      <c r="AE244" s="68"/>
      <c r="AF244" s="68"/>
    </row>
    <row r="245">
      <c r="A245" s="68"/>
      <c r="B245" s="68"/>
      <c r="C245" s="78"/>
      <c r="D245" s="78"/>
      <c r="E245" s="68"/>
      <c r="F245" s="68"/>
      <c r="G245" s="68"/>
      <c r="H245" s="68"/>
      <c r="I245" s="68"/>
      <c r="J245" s="68"/>
      <c r="K245" s="68"/>
      <c r="L245" s="68"/>
      <c r="M245" s="79"/>
      <c r="N245" s="68"/>
      <c r="O245" s="68"/>
      <c r="P245" s="68"/>
      <c r="Q245" s="68"/>
      <c r="R245" s="68"/>
      <c r="S245" s="68"/>
      <c r="T245" s="68"/>
      <c r="U245" s="68"/>
      <c r="V245" s="68"/>
      <c r="W245" s="68"/>
      <c r="X245" s="68"/>
      <c r="Y245" s="68"/>
      <c r="Z245" s="68"/>
      <c r="AA245" s="68"/>
      <c r="AB245" s="68"/>
      <c r="AC245" s="68"/>
      <c r="AD245" s="68"/>
      <c r="AE245" s="68"/>
      <c r="AF245" s="68"/>
    </row>
    <row r="246">
      <c r="A246" s="68"/>
      <c r="B246" s="68"/>
      <c r="C246" s="78"/>
      <c r="D246" s="78"/>
      <c r="E246" s="68"/>
      <c r="F246" s="68"/>
      <c r="G246" s="68"/>
      <c r="H246" s="68"/>
      <c r="I246" s="68"/>
      <c r="J246" s="68"/>
      <c r="K246" s="68"/>
      <c r="L246" s="68"/>
      <c r="M246" s="79"/>
      <c r="N246" s="68"/>
      <c r="O246" s="68"/>
      <c r="P246" s="68"/>
      <c r="Q246" s="68"/>
      <c r="R246" s="68"/>
      <c r="S246" s="68"/>
      <c r="T246" s="68"/>
      <c r="U246" s="68"/>
      <c r="V246" s="68"/>
      <c r="W246" s="68"/>
      <c r="X246" s="68"/>
      <c r="Y246" s="68"/>
      <c r="Z246" s="68"/>
      <c r="AA246" s="68"/>
      <c r="AB246" s="68"/>
      <c r="AC246" s="68"/>
      <c r="AD246" s="68"/>
      <c r="AE246" s="68"/>
      <c r="AF246" s="68"/>
    </row>
    <row r="247">
      <c r="A247" s="68"/>
      <c r="B247" s="68"/>
      <c r="C247" s="78"/>
      <c r="D247" s="78"/>
      <c r="E247" s="68"/>
      <c r="F247" s="68"/>
      <c r="G247" s="68"/>
      <c r="H247" s="68"/>
      <c r="I247" s="68"/>
      <c r="J247" s="68"/>
      <c r="K247" s="68"/>
      <c r="L247" s="68"/>
      <c r="M247" s="79"/>
      <c r="N247" s="68"/>
      <c r="O247" s="68"/>
      <c r="P247" s="68"/>
      <c r="Q247" s="68"/>
      <c r="R247" s="68"/>
      <c r="S247" s="68"/>
      <c r="T247" s="68"/>
      <c r="U247" s="68"/>
      <c r="V247" s="68"/>
      <c r="W247" s="68"/>
      <c r="X247" s="68"/>
      <c r="Y247" s="68"/>
      <c r="Z247" s="68"/>
      <c r="AA247" s="68"/>
      <c r="AB247" s="68"/>
      <c r="AC247" s="68"/>
      <c r="AD247" s="68"/>
      <c r="AE247" s="68"/>
      <c r="AF247" s="68"/>
    </row>
    <row r="248">
      <c r="A248" s="68"/>
      <c r="B248" s="68"/>
      <c r="C248" s="78"/>
      <c r="D248" s="78"/>
      <c r="E248" s="68"/>
      <c r="F248" s="68"/>
      <c r="G248" s="68"/>
      <c r="H248" s="68"/>
      <c r="I248" s="68"/>
      <c r="J248" s="68"/>
      <c r="K248" s="68"/>
      <c r="L248" s="68"/>
      <c r="M248" s="79"/>
      <c r="N248" s="68"/>
      <c r="O248" s="68"/>
      <c r="P248" s="68"/>
      <c r="Q248" s="68"/>
      <c r="R248" s="68"/>
      <c r="S248" s="68"/>
      <c r="T248" s="68"/>
      <c r="U248" s="68"/>
      <c r="V248" s="68"/>
      <c r="W248" s="68"/>
      <c r="X248" s="68"/>
      <c r="Y248" s="68"/>
      <c r="Z248" s="68"/>
      <c r="AA248" s="68"/>
      <c r="AB248" s="68"/>
      <c r="AC248" s="68"/>
      <c r="AD248" s="68"/>
      <c r="AE248" s="68"/>
      <c r="AF248" s="68"/>
    </row>
    <row r="249">
      <c r="A249" s="68"/>
      <c r="B249" s="68"/>
      <c r="C249" s="78"/>
      <c r="D249" s="78"/>
      <c r="E249" s="68"/>
      <c r="F249" s="68"/>
      <c r="G249" s="68"/>
      <c r="H249" s="68"/>
      <c r="I249" s="68"/>
      <c r="J249" s="68"/>
      <c r="K249" s="68"/>
      <c r="L249" s="68"/>
      <c r="M249" s="79"/>
      <c r="N249" s="68"/>
      <c r="O249" s="68"/>
      <c r="P249" s="68"/>
      <c r="Q249" s="68"/>
      <c r="R249" s="68"/>
      <c r="S249" s="68"/>
      <c r="T249" s="68"/>
      <c r="U249" s="68"/>
      <c r="V249" s="68"/>
      <c r="W249" s="68"/>
      <c r="X249" s="68"/>
      <c r="Y249" s="68"/>
      <c r="Z249" s="68"/>
      <c r="AA249" s="68"/>
      <c r="AB249" s="68"/>
      <c r="AC249" s="68"/>
      <c r="AD249" s="68"/>
      <c r="AE249" s="68"/>
      <c r="AF249" s="68"/>
    </row>
    <row r="250">
      <c r="A250" s="68"/>
      <c r="B250" s="68"/>
      <c r="C250" s="78"/>
      <c r="D250" s="78"/>
      <c r="E250" s="68"/>
      <c r="F250" s="68"/>
      <c r="G250" s="68"/>
      <c r="H250" s="68"/>
      <c r="I250" s="68"/>
      <c r="J250" s="68"/>
      <c r="K250" s="68"/>
      <c r="L250" s="68"/>
      <c r="M250" s="79"/>
      <c r="N250" s="68"/>
      <c r="O250" s="68"/>
      <c r="P250" s="68"/>
      <c r="Q250" s="68"/>
      <c r="R250" s="68"/>
      <c r="S250" s="68"/>
      <c r="T250" s="68"/>
      <c r="U250" s="68"/>
      <c r="V250" s="68"/>
      <c r="W250" s="68"/>
      <c r="X250" s="68"/>
      <c r="Y250" s="68"/>
      <c r="Z250" s="68"/>
      <c r="AA250" s="68"/>
      <c r="AB250" s="68"/>
      <c r="AC250" s="68"/>
      <c r="AD250" s="68"/>
      <c r="AE250" s="68"/>
      <c r="AF250" s="68"/>
    </row>
    <row r="251">
      <c r="A251" s="68"/>
      <c r="B251" s="68"/>
      <c r="C251" s="78"/>
      <c r="D251" s="78"/>
      <c r="E251" s="68"/>
      <c r="F251" s="68"/>
      <c r="G251" s="68"/>
      <c r="H251" s="68"/>
      <c r="I251" s="68"/>
      <c r="J251" s="68"/>
      <c r="K251" s="68"/>
      <c r="L251" s="68"/>
      <c r="M251" s="79"/>
      <c r="N251" s="68"/>
      <c r="O251" s="68"/>
      <c r="P251" s="68"/>
      <c r="Q251" s="68"/>
      <c r="R251" s="68"/>
      <c r="S251" s="68"/>
      <c r="T251" s="68"/>
      <c r="U251" s="68"/>
      <c r="V251" s="68"/>
      <c r="W251" s="68"/>
      <c r="X251" s="68"/>
      <c r="Y251" s="68"/>
      <c r="Z251" s="68"/>
      <c r="AA251" s="68"/>
      <c r="AB251" s="68"/>
      <c r="AC251" s="68"/>
      <c r="AD251" s="68"/>
      <c r="AE251" s="68"/>
      <c r="AF251" s="68"/>
    </row>
    <row r="252">
      <c r="A252" s="68"/>
      <c r="B252" s="68"/>
      <c r="C252" s="78"/>
      <c r="D252" s="78"/>
      <c r="E252" s="68"/>
      <c r="F252" s="68"/>
      <c r="G252" s="68"/>
      <c r="H252" s="68"/>
      <c r="I252" s="68"/>
      <c r="J252" s="68"/>
      <c r="K252" s="68"/>
      <c r="L252" s="68"/>
      <c r="M252" s="79"/>
      <c r="N252" s="68"/>
      <c r="O252" s="68"/>
      <c r="P252" s="68"/>
      <c r="Q252" s="68"/>
      <c r="R252" s="68"/>
      <c r="S252" s="68"/>
      <c r="T252" s="68"/>
      <c r="U252" s="68"/>
      <c r="V252" s="68"/>
      <c r="W252" s="68"/>
      <c r="X252" s="68"/>
      <c r="Y252" s="68"/>
      <c r="Z252" s="68"/>
      <c r="AA252" s="68"/>
      <c r="AB252" s="68"/>
      <c r="AC252" s="68"/>
      <c r="AD252" s="68"/>
      <c r="AE252" s="68"/>
      <c r="AF252" s="68"/>
    </row>
    <row r="253">
      <c r="A253" s="68"/>
      <c r="B253" s="68"/>
      <c r="C253" s="78"/>
      <c r="D253" s="78"/>
      <c r="E253" s="68"/>
      <c r="F253" s="68"/>
      <c r="G253" s="68"/>
      <c r="H253" s="68"/>
      <c r="I253" s="68"/>
      <c r="J253" s="68"/>
      <c r="K253" s="68"/>
      <c r="L253" s="68"/>
      <c r="M253" s="79"/>
      <c r="N253" s="68"/>
      <c r="O253" s="68"/>
      <c r="P253" s="68"/>
      <c r="Q253" s="68"/>
      <c r="R253" s="68"/>
      <c r="S253" s="68"/>
      <c r="T253" s="68"/>
      <c r="U253" s="68"/>
      <c r="V253" s="68"/>
      <c r="W253" s="68"/>
      <c r="X253" s="68"/>
      <c r="Y253" s="68"/>
      <c r="Z253" s="68"/>
      <c r="AA253" s="68"/>
      <c r="AB253" s="68"/>
      <c r="AC253" s="68"/>
      <c r="AD253" s="68"/>
      <c r="AE253" s="68"/>
      <c r="AF253" s="68"/>
    </row>
    <row r="254">
      <c r="A254" s="68"/>
      <c r="B254" s="68"/>
      <c r="C254" s="78"/>
      <c r="D254" s="78"/>
      <c r="E254" s="68"/>
      <c r="F254" s="68"/>
      <c r="G254" s="68"/>
      <c r="H254" s="68"/>
      <c r="I254" s="68"/>
      <c r="J254" s="68"/>
      <c r="K254" s="68"/>
      <c r="L254" s="68"/>
      <c r="M254" s="79"/>
      <c r="N254" s="68"/>
      <c r="O254" s="68"/>
      <c r="P254" s="68"/>
      <c r="Q254" s="68"/>
      <c r="R254" s="68"/>
      <c r="S254" s="68"/>
      <c r="T254" s="68"/>
      <c r="U254" s="68"/>
      <c r="V254" s="68"/>
      <c r="W254" s="68"/>
      <c r="X254" s="68"/>
      <c r="Y254" s="68"/>
      <c r="Z254" s="68"/>
      <c r="AA254" s="68"/>
      <c r="AB254" s="68"/>
      <c r="AC254" s="68"/>
      <c r="AD254" s="68"/>
      <c r="AE254" s="68"/>
      <c r="AF254" s="68"/>
    </row>
    <row r="255">
      <c r="A255" s="68"/>
      <c r="B255" s="68"/>
      <c r="C255" s="78"/>
      <c r="D255" s="78"/>
      <c r="E255" s="68"/>
      <c r="F255" s="68"/>
      <c r="G255" s="68"/>
      <c r="H255" s="68"/>
      <c r="I255" s="68"/>
      <c r="J255" s="68"/>
      <c r="K255" s="68"/>
      <c r="L255" s="68"/>
      <c r="M255" s="79"/>
      <c r="N255" s="68"/>
      <c r="O255" s="68"/>
      <c r="P255" s="68"/>
      <c r="Q255" s="68"/>
      <c r="R255" s="68"/>
      <c r="S255" s="68"/>
      <c r="T255" s="68"/>
      <c r="U255" s="68"/>
      <c r="V255" s="68"/>
      <c r="W255" s="68"/>
      <c r="X255" s="68"/>
      <c r="Y255" s="68"/>
      <c r="Z255" s="68"/>
      <c r="AA255" s="68"/>
      <c r="AB255" s="68"/>
      <c r="AC255" s="68"/>
      <c r="AD255" s="68"/>
      <c r="AE255" s="68"/>
      <c r="AF255" s="68"/>
    </row>
    <row r="256">
      <c r="A256" s="68"/>
      <c r="B256" s="68"/>
      <c r="C256" s="78"/>
      <c r="D256" s="78"/>
      <c r="E256" s="68"/>
      <c r="F256" s="68"/>
      <c r="G256" s="68"/>
      <c r="H256" s="68"/>
      <c r="I256" s="68"/>
      <c r="J256" s="68"/>
      <c r="K256" s="68"/>
      <c r="L256" s="68"/>
      <c r="M256" s="79"/>
      <c r="N256" s="68"/>
      <c r="O256" s="68"/>
      <c r="P256" s="68"/>
      <c r="Q256" s="68"/>
      <c r="R256" s="68"/>
      <c r="S256" s="68"/>
      <c r="T256" s="68"/>
      <c r="U256" s="68"/>
      <c r="V256" s="68"/>
      <c r="W256" s="68"/>
      <c r="X256" s="68"/>
      <c r="Y256" s="68"/>
      <c r="Z256" s="68"/>
      <c r="AA256" s="68"/>
      <c r="AB256" s="68"/>
      <c r="AC256" s="68"/>
      <c r="AD256" s="68"/>
      <c r="AE256" s="68"/>
      <c r="AF256" s="68"/>
    </row>
    <row r="257">
      <c r="A257" s="68"/>
      <c r="B257" s="68"/>
      <c r="C257" s="78"/>
      <c r="D257" s="78"/>
      <c r="E257" s="68"/>
      <c r="F257" s="68"/>
      <c r="G257" s="68"/>
      <c r="H257" s="68"/>
      <c r="I257" s="68"/>
      <c r="J257" s="68"/>
      <c r="K257" s="68"/>
      <c r="L257" s="68"/>
      <c r="M257" s="79"/>
      <c r="N257" s="68"/>
      <c r="O257" s="68"/>
      <c r="P257" s="68"/>
      <c r="Q257" s="68"/>
      <c r="R257" s="68"/>
      <c r="S257" s="68"/>
      <c r="T257" s="68"/>
      <c r="U257" s="68"/>
      <c r="V257" s="68"/>
      <c r="W257" s="68"/>
      <c r="X257" s="68"/>
      <c r="Y257" s="68"/>
      <c r="Z257" s="68"/>
      <c r="AA257" s="68"/>
      <c r="AB257" s="68"/>
      <c r="AC257" s="68"/>
      <c r="AD257" s="68"/>
      <c r="AE257" s="68"/>
      <c r="AF257" s="68"/>
    </row>
    <row r="258">
      <c r="A258" s="68"/>
      <c r="B258" s="68"/>
      <c r="C258" s="78"/>
      <c r="D258" s="78"/>
      <c r="E258" s="68"/>
      <c r="F258" s="68"/>
      <c r="G258" s="68"/>
      <c r="H258" s="68"/>
      <c r="I258" s="68"/>
      <c r="J258" s="68"/>
      <c r="K258" s="68"/>
      <c r="L258" s="68"/>
      <c r="M258" s="79"/>
      <c r="N258" s="68"/>
      <c r="O258" s="68"/>
      <c r="P258" s="68"/>
      <c r="Q258" s="68"/>
      <c r="R258" s="68"/>
      <c r="S258" s="68"/>
      <c r="T258" s="68"/>
      <c r="U258" s="68"/>
      <c r="V258" s="68"/>
      <c r="W258" s="68"/>
      <c r="X258" s="68"/>
      <c r="Y258" s="68"/>
      <c r="Z258" s="68"/>
      <c r="AA258" s="68"/>
      <c r="AB258" s="68"/>
      <c r="AC258" s="68"/>
      <c r="AD258" s="68"/>
      <c r="AE258" s="68"/>
      <c r="AF258" s="68"/>
    </row>
    <row r="259">
      <c r="A259" s="68"/>
      <c r="B259" s="68"/>
      <c r="C259" s="78"/>
      <c r="D259" s="78"/>
      <c r="E259" s="68"/>
      <c r="F259" s="68"/>
      <c r="G259" s="68"/>
      <c r="H259" s="68"/>
      <c r="I259" s="68"/>
      <c r="J259" s="68"/>
      <c r="K259" s="68"/>
      <c r="L259" s="68"/>
      <c r="M259" s="79"/>
      <c r="N259" s="68"/>
      <c r="O259" s="68"/>
      <c r="P259" s="68"/>
      <c r="Q259" s="68"/>
      <c r="R259" s="68"/>
      <c r="S259" s="68"/>
      <c r="T259" s="68"/>
      <c r="U259" s="68"/>
      <c r="V259" s="68"/>
      <c r="W259" s="68"/>
      <c r="X259" s="68"/>
      <c r="Y259" s="68"/>
      <c r="Z259" s="68"/>
      <c r="AA259" s="68"/>
      <c r="AB259" s="68"/>
      <c r="AC259" s="68"/>
      <c r="AD259" s="68"/>
      <c r="AE259" s="68"/>
      <c r="AF259" s="68"/>
    </row>
    <row r="260">
      <c r="A260" s="68"/>
      <c r="B260" s="68"/>
      <c r="C260" s="78"/>
      <c r="D260" s="78"/>
      <c r="E260" s="68"/>
      <c r="F260" s="68"/>
      <c r="G260" s="68"/>
      <c r="H260" s="68"/>
      <c r="I260" s="68"/>
      <c r="J260" s="68"/>
      <c r="K260" s="68"/>
      <c r="L260" s="68"/>
      <c r="M260" s="79"/>
      <c r="N260" s="68"/>
      <c r="O260" s="68"/>
      <c r="P260" s="68"/>
      <c r="Q260" s="68"/>
      <c r="R260" s="68"/>
      <c r="S260" s="68"/>
      <c r="T260" s="68"/>
      <c r="U260" s="68"/>
      <c r="V260" s="68"/>
      <c r="W260" s="68"/>
      <c r="X260" s="68"/>
      <c r="Y260" s="68"/>
      <c r="Z260" s="68"/>
      <c r="AA260" s="68"/>
      <c r="AB260" s="68"/>
      <c r="AC260" s="68"/>
      <c r="AD260" s="68"/>
      <c r="AE260" s="68"/>
      <c r="AF260" s="68"/>
    </row>
    <row r="261">
      <c r="A261" s="68"/>
      <c r="B261" s="68"/>
      <c r="C261" s="78"/>
      <c r="D261" s="78"/>
      <c r="E261" s="68"/>
      <c r="F261" s="68"/>
      <c r="G261" s="68"/>
      <c r="H261" s="68"/>
      <c r="I261" s="68"/>
      <c r="J261" s="68"/>
      <c r="K261" s="68"/>
      <c r="L261" s="68"/>
      <c r="M261" s="79"/>
      <c r="N261" s="68"/>
      <c r="O261" s="68"/>
      <c r="P261" s="68"/>
      <c r="Q261" s="68"/>
      <c r="R261" s="68"/>
      <c r="S261" s="68"/>
      <c r="T261" s="68"/>
      <c r="U261" s="68"/>
      <c r="V261" s="68"/>
      <c r="W261" s="68"/>
      <c r="X261" s="68"/>
      <c r="Y261" s="68"/>
      <c r="Z261" s="68"/>
      <c r="AA261" s="68"/>
      <c r="AB261" s="68"/>
      <c r="AC261" s="68"/>
      <c r="AD261" s="68"/>
      <c r="AE261" s="68"/>
      <c r="AF261" s="68"/>
    </row>
    <row r="262">
      <c r="A262" s="68"/>
      <c r="B262" s="68"/>
      <c r="C262" s="78"/>
      <c r="D262" s="78"/>
      <c r="E262" s="68"/>
      <c r="F262" s="68"/>
      <c r="G262" s="68"/>
      <c r="H262" s="68"/>
      <c r="I262" s="68"/>
      <c r="J262" s="68"/>
      <c r="K262" s="68"/>
      <c r="L262" s="68"/>
      <c r="M262" s="79"/>
      <c r="N262" s="68"/>
      <c r="O262" s="68"/>
      <c r="P262" s="68"/>
      <c r="Q262" s="68"/>
      <c r="R262" s="68"/>
      <c r="S262" s="68"/>
      <c r="T262" s="68"/>
      <c r="U262" s="68"/>
      <c r="V262" s="68"/>
      <c r="W262" s="68"/>
      <c r="X262" s="68"/>
      <c r="Y262" s="68"/>
      <c r="Z262" s="68"/>
      <c r="AA262" s="68"/>
      <c r="AB262" s="68"/>
      <c r="AC262" s="68"/>
      <c r="AD262" s="68"/>
      <c r="AE262" s="68"/>
      <c r="AF262" s="68"/>
    </row>
    <row r="263">
      <c r="A263" s="68"/>
      <c r="B263" s="68"/>
      <c r="C263" s="78"/>
      <c r="D263" s="78"/>
      <c r="E263" s="68"/>
      <c r="F263" s="68"/>
      <c r="G263" s="68"/>
      <c r="H263" s="68"/>
      <c r="I263" s="68"/>
      <c r="J263" s="68"/>
      <c r="K263" s="68"/>
      <c r="L263" s="68"/>
      <c r="M263" s="79"/>
      <c r="N263" s="68"/>
      <c r="O263" s="68"/>
      <c r="P263" s="68"/>
      <c r="Q263" s="68"/>
      <c r="R263" s="68"/>
      <c r="S263" s="68"/>
      <c r="T263" s="68"/>
      <c r="U263" s="68"/>
      <c r="V263" s="68"/>
      <c r="W263" s="68"/>
      <c r="X263" s="68"/>
      <c r="Y263" s="68"/>
      <c r="Z263" s="68"/>
      <c r="AA263" s="68"/>
      <c r="AB263" s="68"/>
      <c r="AC263" s="68"/>
      <c r="AD263" s="68"/>
      <c r="AE263" s="68"/>
      <c r="AF263" s="68"/>
    </row>
    <row r="264">
      <c r="A264" s="68"/>
      <c r="B264" s="68"/>
      <c r="C264" s="78"/>
      <c r="D264" s="78"/>
      <c r="E264" s="68"/>
      <c r="F264" s="68"/>
      <c r="G264" s="68"/>
      <c r="H264" s="68"/>
      <c r="I264" s="68"/>
      <c r="J264" s="68"/>
      <c r="K264" s="68"/>
      <c r="L264" s="68"/>
      <c r="M264" s="79"/>
      <c r="N264" s="68"/>
      <c r="O264" s="68"/>
      <c r="P264" s="68"/>
      <c r="Q264" s="68"/>
      <c r="R264" s="68"/>
      <c r="S264" s="68"/>
      <c r="T264" s="68"/>
      <c r="U264" s="68"/>
      <c r="V264" s="68"/>
      <c r="W264" s="68"/>
      <c r="X264" s="68"/>
      <c r="Y264" s="68"/>
      <c r="Z264" s="68"/>
      <c r="AA264" s="68"/>
      <c r="AB264" s="68"/>
      <c r="AC264" s="68"/>
      <c r="AD264" s="68"/>
      <c r="AE264" s="68"/>
      <c r="AF264" s="68"/>
    </row>
    <row r="265">
      <c r="A265" s="68"/>
      <c r="B265" s="68"/>
      <c r="C265" s="78"/>
      <c r="D265" s="78"/>
      <c r="E265" s="68"/>
      <c r="F265" s="68"/>
      <c r="G265" s="68"/>
      <c r="H265" s="68"/>
      <c r="I265" s="68"/>
      <c r="J265" s="68"/>
      <c r="K265" s="68"/>
      <c r="L265" s="68"/>
      <c r="M265" s="79"/>
      <c r="N265" s="68"/>
      <c r="O265" s="68"/>
      <c r="P265" s="68"/>
      <c r="Q265" s="68"/>
      <c r="R265" s="68"/>
      <c r="S265" s="68"/>
      <c r="T265" s="68"/>
      <c r="U265" s="68"/>
      <c r="V265" s="68"/>
      <c r="W265" s="68"/>
      <c r="X265" s="68"/>
      <c r="Y265" s="68"/>
      <c r="Z265" s="68"/>
      <c r="AA265" s="68"/>
      <c r="AB265" s="68"/>
      <c r="AC265" s="68"/>
      <c r="AD265" s="68"/>
      <c r="AE265" s="68"/>
      <c r="AF265" s="68"/>
    </row>
    <row r="266">
      <c r="A266" s="68"/>
      <c r="B266" s="68"/>
      <c r="C266" s="78"/>
      <c r="D266" s="78"/>
      <c r="E266" s="68"/>
      <c r="F266" s="68"/>
      <c r="G266" s="68"/>
      <c r="H266" s="68"/>
      <c r="I266" s="68"/>
      <c r="J266" s="68"/>
      <c r="K266" s="68"/>
      <c r="L266" s="68"/>
      <c r="M266" s="79"/>
      <c r="N266" s="68"/>
      <c r="O266" s="68"/>
      <c r="P266" s="68"/>
      <c r="Q266" s="68"/>
      <c r="R266" s="68"/>
      <c r="S266" s="68"/>
      <c r="T266" s="68"/>
      <c r="U266" s="68"/>
      <c r="V266" s="68"/>
      <c r="W266" s="68"/>
      <c r="X266" s="68"/>
      <c r="Y266" s="68"/>
      <c r="Z266" s="68"/>
      <c r="AA266" s="68"/>
      <c r="AB266" s="68"/>
      <c r="AC266" s="68"/>
      <c r="AD266" s="68"/>
      <c r="AE266" s="68"/>
      <c r="AF266" s="68"/>
    </row>
    <row r="267">
      <c r="A267" s="68"/>
      <c r="B267" s="68"/>
      <c r="C267" s="78"/>
      <c r="D267" s="78"/>
      <c r="E267" s="68"/>
      <c r="F267" s="68"/>
      <c r="G267" s="68"/>
      <c r="H267" s="68"/>
      <c r="I267" s="68"/>
      <c r="J267" s="68"/>
      <c r="K267" s="68"/>
      <c r="L267" s="68"/>
      <c r="M267" s="79"/>
      <c r="N267" s="68"/>
      <c r="O267" s="68"/>
      <c r="P267" s="68"/>
      <c r="Q267" s="68"/>
      <c r="R267" s="68"/>
      <c r="S267" s="68"/>
      <c r="T267" s="68"/>
      <c r="U267" s="68"/>
      <c r="V267" s="68"/>
      <c r="W267" s="68"/>
      <c r="X267" s="68"/>
      <c r="Y267" s="68"/>
      <c r="Z267" s="68"/>
      <c r="AA267" s="68"/>
      <c r="AB267" s="68"/>
      <c r="AC267" s="68"/>
      <c r="AD267" s="68"/>
      <c r="AE267" s="68"/>
      <c r="AF267" s="68"/>
    </row>
    <row r="268">
      <c r="A268" s="68"/>
      <c r="B268" s="68"/>
      <c r="C268" s="78"/>
      <c r="D268" s="78"/>
      <c r="E268" s="68"/>
      <c r="F268" s="68"/>
      <c r="G268" s="68"/>
      <c r="H268" s="68"/>
      <c r="I268" s="68"/>
      <c r="J268" s="68"/>
      <c r="K268" s="68"/>
      <c r="L268" s="68"/>
      <c r="M268" s="79"/>
      <c r="N268" s="68"/>
      <c r="O268" s="68"/>
      <c r="P268" s="68"/>
      <c r="Q268" s="68"/>
      <c r="R268" s="68"/>
      <c r="S268" s="68"/>
      <c r="T268" s="68"/>
      <c r="U268" s="68"/>
      <c r="V268" s="68"/>
      <c r="W268" s="68"/>
      <c r="X268" s="68"/>
      <c r="Y268" s="68"/>
      <c r="Z268" s="68"/>
      <c r="AA268" s="68"/>
      <c r="AB268" s="68"/>
      <c r="AC268" s="68"/>
      <c r="AD268" s="68"/>
      <c r="AE268" s="68"/>
      <c r="AF268" s="68"/>
    </row>
    <row r="269">
      <c r="A269" s="68"/>
      <c r="B269" s="68"/>
      <c r="C269" s="78"/>
      <c r="D269" s="78"/>
      <c r="E269" s="68"/>
      <c r="F269" s="68"/>
      <c r="G269" s="68"/>
      <c r="H269" s="68"/>
      <c r="I269" s="68"/>
      <c r="J269" s="68"/>
      <c r="K269" s="68"/>
      <c r="L269" s="68"/>
      <c r="M269" s="79"/>
      <c r="N269" s="68"/>
      <c r="O269" s="68"/>
      <c r="P269" s="68"/>
      <c r="Q269" s="68"/>
      <c r="R269" s="68"/>
      <c r="S269" s="68"/>
      <c r="T269" s="68"/>
      <c r="U269" s="68"/>
      <c r="V269" s="68"/>
      <c r="W269" s="68"/>
      <c r="X269" s="68"/>
      <c r="Y269" s="68"/>
      <c r="Z269" s="68"/>
      <c r="AA269" s="68"/>
      <c r="AB269" s="68"/>
      <c r="AC269" s="68"/>
      <c r="AD269" s="68"/>
      <c r="AE269" s="68"/>
      <c r="AF269" s="68"/>
    </row>
    <row r="270">
      <c r="A270" s="68"/>
      <c r="B270" s="68"/>
      <c r="C270" s="78"/>
      <c r="D270" s="78"/>
      <c r="E270" s="68"/>
      <c r="F270" s="68"/>
      <c r="G270" s="68"/>
      <c r="H270" s="68"/>
      <c r="I270" s="68"/>
      <c r="J270" s="68"/>
      <c r="K270" s="68"/>
      <c r="L270" s="68"/>
      <c r="M270" s="79"/>
      <c r="N270" s="68"/>
      <c r="O270" s="68"/>
      <c r="P270" s="68"/>
      <c r="Q270" s="68"/>
      <c r="R270" s="68"/>
      <c r="S270" s="68"/>
      <c r="T270" s="68"/>
      <c r="U270" s="68"/>
      <c r="V270" s="68"/>
      <c r="W270" s="68"/>
      <c r="X270" s="68"/>
      <c r="Y270" s="68"/>
      <c r="Z270" s="68"/>
      <c r="AA270" s="68"/>
      <c r="AB270" s="68"/>
      <c r="AC270" s="68"/>
      <c r="AD270" s="68"/>
      <c r="AE270" s="68"/>
      <c r="AF270" s="68"/>
    </row>
    <row r="271">
      <c r="A271" s="68"/>
      <c r="B271" s="68"/>
      <c r="C271" s="78"/>
      <c r="D271" s="78"/>
      <c r="E271" s="68"/>
      <c r="F271" s="68"/>
      <c r="G271" s="68"/>
      <c r="H271" s="68"/>
      <c r="I271" s="68"/>
      <c r="J271" s="68"/>
      <c r="K271" s="68"/>
      <c r="L271" s="68"/>
      <c r="M271" s="79"/>
      <c r="N271" s="68"/>
      <c r="O271" s="68"/>
      <c r="P271" s="68"/>
      <c r="Q271" s="68"/>
      <c r="R271" s="68"/>
      <c r="S271" s="68"/>
      <c r="T271" s="68"/>
      <c r="U271" s="68"/>
      <c r="V271" s="68"/>
      <c r="W271" s="68"/>
      <c r="X271" s="68"/>
      <c r="Y271" s="68"/>
      <c r="Z271" s="68"/>
      <c r="AA271" s="68"/>
      <c r="AB271" s="68"/>
      <c r="AC271" s="68"/>
      <c r="AD271" s="68"/>
      <c r="AE271" s="68"/>
      <c r="AF271" s="68"/>
    </row>
    <row r="272">
      <c r="A272" s="68"/>
      <c r="B272" s="68"/>
      <c r="C272" s="78"/>
      <c r="D272" s="78"/>
      <c r="E272" s="68"/>
      <c r="F272" s="68"/>
      <c r="G272" s="68"/>
      <c r="H272" s="68"/>
      <c r="I272" s="68"/>
      <c r="J272" s="68"/>
      <c r="K272" s="68"/>
      <c r="L272" s="68"/>
      <c r="M272" s="79"/>
      <c r="N272" s="68"/>
      <c r="O272" s="68"/>
      <c r="P272" s="68"/>
      <c r="Q272" s="68"/>
      <c r="R272" s="68"/>
      <c r="S272" s="68"/>
      <c r="T272" s="68"/>
      <c r="U272" s="68"/>
      <c r="V272" s="68"/>
      <c r="W272" s="68"/>
      <c r="X272" s="68"/>
      <c r="Y272" s="68"/>
      <c r="Z272" s="68"/>
      <c r="AA272" s="68"/>
      <c r="AB272" s="68"/>
      <c r="AC272" s="68"/>
      <c r="AD272" s="68"/>
      <c r="AE272" s="68"/>
      <c r="AF272" s="68"/>
    </row>
    <row r="273">
      <c r="A273" s="68"/>
      <c r="B273" s="68"/>
      <c r="C273" s="78"/>
      <c r="D273" s="78"/>
      <c r="E273" s="68"/>
      <c r="F273" s="68"/>
      <c r="G273" s="68"/>
      <c r="H273" s="68"/>
      <c r="I273" s="68"/>
      <c r="J273" s="68"/>
      <c r="K273" s="68"/>
      <c r="L273" s="68"/>
      <c r="M273" s="79"/>
      <c r="N273" s="68"/>
      <c r="O273" s="68"/>
      <c r="P273" s="68"/>
      <c r="Q273" s="68"/>
      <c r="R273" s="68"/>
      <c r="S273" s="68"/>
      <c r="T273" s="68"/>
      <c r="U273" s="68"/>
      <c r="V273" s="68"/>
      <c r="W273" s="68"/>
      <c r="X273" s="68"/>
      <c r="Y273" s="68"/>
      <c r="Z273" s="68"/>
      <c r="AA273" s="68"/>
      <c r="AB273" s="68"/>
      <c r="AC273" s="68"/>
      <c r="AD273" s="68"/>
      <c r="AE273" s="68"/>
      <c r="AF273" s="68"/>
    </row>
    <row r="274">
      <c r="A274" s="68"/>
      <c r="B274" s="68"/>
      <c r="C274" s="78"/>
      <c r="D274" s="78"/>
      <c r="E274" s="68"/>
      <c r="F274" s="68"/>
      <c r="G274" s="68"/>
      <c r="H274" s="68"/>
      <c r="I274" s="68"/>
      <c r="J274" s="68"/>
      <c r="K274" s="68"/>
      <c r="L274" s="68"/>
      <c r="M274" s="79"/>
      <c r="N274" s="68"/>
      <c r="O274" s="68"/>
      <c r="P274" s="68"/>
      <c r="Q274" s="68"/>
      <c r="R274" s="68"/>
      <c r="S274" s="68"/>
      <c r="T274" s="68"/>
      <c r="U274" s="68"/>
      <c r="V274" s="68"/>
      <c r="W274" s="68"/>
      <c r="X274" s="68"/>
      <c r="Y274" s="68"/>
      <c r="Z274" s="68"/>
      <c r="AA274" s="68"/>
      <c r="AB274" s="68"/>
      <c r="AC274" s="68"/>
      <c r="AD274" s="68"/>
      <c r="AE274" s="68"/>
      <c r="AF274" s="68"/>
    </row>
    <row r="275">
      <c r="A275" s="68"/>
      <c r="B275" s="68"/>
      <c r="C275" s="78"/>
      <c r="D275" s="78"/>
      <c r="E275" s="68"/>
      <c r="F275" s="68"/>
      <c r="G275" s="68"/>
      <c r="H275" s="68"/>
      <c r="I275" s="68"/>
      <c r="J275" s="68"/>
      <c r="K275" s="68"/>
      <c r="L275" s="68"/>
      <c r="M275" s="79"/>
      <c r="N275" s="68"/>
      <c r="O275" s="68"/>
      <c r="P275" s="68"/>
      <c r="Q275" s="68"/>
      <c r="R275" s="68"/>
      <c r="S275" s="68"/>
      <c r="T275" s="68"/>
      <c r="U275" s="68"/>
      <c r="V275" s="68"/>
      <c r="W275" s="68"/>
      <c r="X275" s="68"/>
      <c r="Y275" s="68"/>
      <c r="Z275" s="68"/>
      <c r="AA275" s="68"/>
      <c r="AB275" s="68"/>
      <c r="AC275" s="68"/>
      <c r="AD275" s="68"/>
      <c r="AE275" s="68"/>
      <c r="AF275" s="68"/>
    </row>
    <row r="276">
      <c r="A276" s="68"/>
      <c r="B276" s="68"/>
      <c r="C276" s="78"/>
      <c r="D276" s="78"/>
      <c r="E276" s="68"/>
      <c r="F276" s="68"/>
      <c r="G276" s="68"/>
      <c r="H276" s="68"/>
      <c r="I276" s="68"/>
      <c r="J276" s="68"/>
      <c r="K276" s="68"/>
      <c r="L276" s="68"/>
      <c r="M276" s="79"/>
      <c r="N276" s="68"/>
      <c r="O276" s="68"/>
      <c r="P276" s="68"/>
      <c r="Q276" s="68"/>
      <c r="R276" s="68"/>
      <c r="S276" s="68"/>
      <c r="T276" s="68"/>
      <c r="U276" s="68"/>
      <c r="V276" s="68"/>
      <c r="W276" s="68"/>
      <c r="X276" s="68"/>
      <c r="Y276" s="68"/>
      <c r="Z276" s="68"/>
      <c r="AA276" s="68"/>
      <c r="AB276" s="68"/>
      <c r="AC276" s="68"/>
      <c r="AD276" s="68"/>
      <c r="AE276" s="68"/>
      <c r="AF276" s="68"/>
    </row>
    <row r="277">
      <c r="A277" s="68"/>
      <c r="B277" s="68"/>
      <c r="C277" s="78"/>
      <c r="D277" s="78"/>
      <c r="E277" s="68"/>
      <c r="F277" s="68"/>
      <c r="G277" s="68"/>
      <c r="H277" s="68"/>
      <c r="I277" s="68"/>
      <c r="J277" s="68"/>
      <c r="K277" s="68"/>
      <c r="L277" s="68"/>
      <c r="M277" s="79"/>
      <c r="N277" s="68"/>
      <c r="O277" s="68"/>
      <c r="P277" s="68"/>
      <c r="Q277" s="68"/>
      <c r="R277" s="68"/>
      <c r="S277" s="68"/>
      <c r="T277" s="68"/>
      <c r="U277" s="68"/>
      <c r="V277" s="68"/>
      <c r="W277" s="68"/>
      <c r="X277" s="68"/>
      <c r="Y277" s="68"/>
      <c r="Z277" s="68"/>
      <c r="AA277" s="68"/>
      <c r="AB277" s="68"/>
      <c r="AC277" s="68"/>
      <c r="AD277" s="68"/>
      <c r="AE277" s="68"/>
      <c r="AF277" s="68"/>
    </row>
    <row r="278">
      <c r="A278" s="68"/>
      <c r="B278" s="68"/>
      <c r="C278" s="78"/>
      <c r="D278" s="78"/>
      <c r="E278" s="68"/>
      <c r="F278" s="68"/>
      <c r="G278" s="68"/>
      <c r="H278" s="68"/>
      <c r="I278" s="68"/>
      <c r="J278" s="68"/>
      <c r="K278" s="68"/>
      <c r="L278" s="68"/>
      <c r="M278" s="79"/>
      <c r="N278" s="68"/>
      <c r="O278" s="68"/>
      <c r="P278" s="68"/>
      <c r="Q278" s="68"/>
      <c r="R278" s="68"/>
      <c r="S278" s="68"/>
      <c r="T278" s="68"/>
      <c r="U278" s="68"/>
      <c r="V278" s="68"/>
      <c r="W278" s="68"/>
      <c r="X278" s="68"/>
      <c r="Y278" s="68"/>
      <c r="Z278" s="68"/>
      <c r="AA278" s="68"/>
      <c r="AB278" s="68"/>
      <c r="AC278" s="68"/>
      <c r="AD278" s="68"/>
      <c r="AE278" s="68"/>
      <c r="AF278" s="68"/>
    </row>
    <row r="279">
      <c r="A279" s="68"/>
      <c r="B279" s="68"/>
      <c r="C279" s="78"/>
      <c r="D279" s="78"/>
      <c r="E279" s="68"/>
      <c r="F279" s="68"/>
      <c r="G279" s="68"/>
      <c r="H279" s="68"/>
      <c r="I279" s="68"/>
      <c r="J279" s="68"/>
      <c r="K279" s="68"/>
      <c r="L279" s="68"/>
      <c r="M279" s="79"/>
      <c r="N279" s="68"/>
      <c r="O279" s="68"/>
      <c r="P279" s="68"/>
      <c r="Q279" s="68"/>
      <c r="R279" s="68"/>
      <c r="S279" s="68"/>
      <c r="T279" s="68"/>
      <c r="U279" s="68"/>
      <c r="V279" s="68"/>
      <c r="W279" s="68"/>
      <c r="X279" s="68"/>
      <c r="Y279" s="68"/>
      <c r="Z279" s="68"/>
      <c r="AA279" s="68"/>
      <c r="AB279" s="68"/>
      <c r="AC279" s="68"/>
      <c r="AD279" s="68"/>
      <c r="AE279" s="68"/>
      <c r="AF279" s="68"/>
    </row>
    <row r="280">
      <c r="A280" s="68"/>
      <c r="B280" s="68"/>
      <c r="C280" s="78"/>
      <c r="D280" s="78"/>
      <c r="E280" s="68"/>
      <c r="F280" s="68"/>
      <c r="G280" s="68"/>
      <c r="H280" s="68"/>
      <c r="I280" s="68"/>
      <c r="J280" s="68"/>
      <c r="K280" s="68"/>
      <c r="L280" s="68"/>
      <c r="M280" s="79"/>
      <c r="N280" s="68"/>
      <c r="O280" s="68"/>
      <c r="P280" s="68"/>
      <c r="Q280" s="68"/>
      <c r="R280" s="68"/>
      <c r="S280" s="68"/>
      <c r="T280" s="68"/>
      <c r="U280" s="68"/>
      <c r="V280" s="68"/>
      <c r="W280" s="68"/>
      <c r="X280" s="68"/>
      <c r="Y280" s="68"/>
      <c r="Z280" s="68"/>
      <c r="AA280" s="68"/>
      <c r="AB280" s="68"/>
      <c r="AC280" s="68"/>
      <c r="AD280" s="68"/>
      <c r="AE280" s="68"/>
      <c r="AF280" s="68"/>
    </row>
    <row r="281">
      <c r="A281" s="68"/>
      <c r="B281" s="68"/>
      <c r="C281" s="78"/>
      <c r="D281" s="78"/>
      <c r="E281" s="68"/>
      <c r="F281" s="68"/>
      <c r="G281" s="68"/>
      <c r="H281" s="68"/>
      <c r="I281" s="68"/>
      <c r="J281" s="68"/>
      <c r="K281" s="68"/>
      <c r="L281" s="68"/>
      <c r="M281" s="79"/>
      <c r="N281" s="68"/>
      <c r="O281" s="68"/>
      <c r="P281" s="68"/>
      <c r="Q281" s="68"/>
      <c r="R281" s="68"/>
      <c r="S281" s="68"/>
      <c r="T281" s="68"/>
      <c r="U281" s="68"/>
      <c r="V281" s="68"/>
      <c r="W281" s="68"/>
      <c r="X281" s="68"/>
      <c r="Y281" s="68"/>
      <c r="Z281" s="68"/>
      <c r="AA281" s="68"/>
      <c r="AB281" s="68"/>
      <c r="AC281" s="68"/>
      <c r="AD281" s="68"/>
      <c r="AE281" s="68"/>
      <c r="AF281" s="68"/>
    </row>
    <row r="282">
      <c r="A282" s="68"/>
      <c r="B282" s="68"/>
      <c r="C282" s="78"/>
      <c r="D282" s="78"/>
      <c r="E282" s="68"/>
      <c r="F282" s="68"/>
      <c r="G282" s="68"/>
      <c r="H282" s="68"/>
      <c r="I282" s="68"/>
      <c r="J282" s="68"/>
      <c r="K282" s="68"/>
      <c r="L282" s="68"/>
      <c r="M282" s="79"/>
      <c r="N282" s="68"/>
      <c r="O282" s="68"/>
      <c r="P282" s="68"/>
      <c r="Q282" s="68"/>
      <c r="R282" s="68"/>
      <c r="S282" s="68"/>
      <c r="T282" s="68"/>
      <c r="U282" s="68"/>
      <c r="V282" s="68"/>
      <c r="W282" s="68"/>
      <c r="X282" s="68"/>
      <c r="Y282" s="68"/>
      <c r="Z282" s="68"/>
      <c r="AA282" s="68"/>
      <c r="AB282" s="68"/>
      <c r="AC282" s="68"/>
      <c r="AD282" s="68"/>
      <c r="AE282" s="68"/>
      <c r="AF282" s="68"/>
    </row>
    <row r="283">
      <c r="A283" s="68"/>
      <c r="B283" s="68"/>
      <c r="C283" s="78"/>
      <c r="D283" s="78"/>
      <c r="E283" s="68"/>
      <c r="F283" s="68"/>
      <c r="G283" s="68"/>
      <c r="H283" s="68"/>
      <c r="I283" s="68"/>
      <c r="J283" s="68"/>
      <c r="K283" s="68"/>
      <c r="L283" s="68"/>
      <c r="M283" s="79"/>
      <c r="N283" s="68"/>
      <c r="O283" s="68"/>
      <c r="P283" s="68"/>
      <c r="Q283" s="68"/>
      <c r="R283" s="68"/>
      <c r="S283" s="68"/>
      <c r="T283" s="68"/>
      <c r="U283" s="68"/>
      <c r="V283" s="68"/>
      <c r="W283" s="68"/>
      <c r="X283" s="68"/>
      <c r="Y283" s="68"/>
      <c r="Z283" s="68"/>
      <c r="AA283" s="68"/>
      <c r="AB283" s="68"/>
      <c r="AC283" s="68"/>
      <c r="AD283" s="68"/>
      <c r="AE283" s="68"/>
      <c r="AF283" s="68"/>
    </row>
    <row r="284">
      <c r="A284" s="68"/>
      <c r="B284" s="68"/>
      <c r="C284" s="78"/>
      <c r="D284" s="78"/>
      <c r="E284" s="68"/>
      <c r="F284" s="68"/>
      <c r="G284" s="68"/>
      <c r="H284" s="68"/>
      <c r="I284" s="68"/>
      <c r="J284" s="68"/>
      <c r="K284" s="68"/>
      <c r="L284" s="68"/>
      <c r="M284" s="79"/>
      <c r="N284" s="68"/>
      <c r="O284" s="68"/>
      <c r="P284" s="68"/>
      <c r="Q284" s="68"/>
      <c r="R284" s="68"/>
      <c r="S284" s="68"/>
      <c r="T284" s="68"/>
      <c r="U284" s="68"/>
      <c r="V284" s="68"/>
      <c r="W284" s="68"/>
      <c r="X284" s="68"/>
      <c r="Y284" s="68"/>
      <c r="Z284" s="68"/>
      <c r="AA284" s="68"/>
      <c r="AB284" s="68"/>
      <c r="AC284" s="68"/>
      <c r="AD284" s="68"/>
      <c r="AE284" s="68"/>
      <c r="AF284" s="68"/>
    </row>
    <row r="285">
      <c r="A285" s="68"/>
      <c r="B285" s="68"/>
      <c r="C285" s="78"/>
      <c r="D285" s="78"/>
      <c r="E285" s="68"/>
      <c r="F285" s="68"/>
      <c r="G285" s="68"/>
      <c r="H285" s="68"/>
      <c r="I285" s="68"/>
      <c r="J285" s="68"/>
      <c r="K285" s="68"/>
      <c r="L285" s="68"/>
      <c r="M285" s="79"/>
      <c r="N285" s="68"/>
      <c r="O285" s="68"/>
      <c r="P285" s="68"/>
      <c r="Q285" s="68"/>
      <c r="R285" s="68"/>
      <c r="S285" s="68"/>
      <c r="T285" s="68"/>
      <c r="U285" s="68"/>
      <c r="V285" s="68"/>
      <c r="W285" s="68"/>
      <c r="X285" s="68"/>
      <c r="Y285" s="68"/>
      <c r="Z285" s="68"/>
      <c r="AA285" s="68"/>
      <c r="AB285" s="68"/>
      <c r="AC285" s="68"/>
      <c r="AD285" s="68"/>
      <c r="AE285" s="68"/>
      <c r="AF285" s="68"/>
    </row>
    <row r="286">
      <c r="A286" s="68"/>
      <c r="B286" s="68"/>
      <c r="C286" s="78"/>
      <c r="D286" s="78"/>
      <c r="E286" s="68"/>
      <c r="F286" s="68"/>
      <c r="G286" s="68"/>
      <c r="H286" s="68"/>
      <c r="I286" s="68"/>
      <c r="J286" s="68"/>
      <c r="K286" s="68"/>
      <c r="L286" s="68"/>
      <c r="M286" s="79"/>
      <c r="N286" s="68"/>
      <c r="O286" s="68"/>
      <c r="P286" s="68"/>
      <c r="Q286" s="68"/>
      <c r="R286" s="68"/>
      <c r="S286" s="68"/>
      <c r="T286" s="68"/>
      <c r="U286" s="68"/>
      <c r="V286" s="68"/>
      <c r="W286" s="68"/>
      <c r="X286" s="68"/>
      <c r="Y286" s="68"/>
      <c r="Z286" s="68"/>
      <c r="AA286" s="68"/>
      <c r="AB286" s="68"/>
      <c r="AC286" s="68"/>
      <c r="AD286" s="68"/>
      <c r="AE286" s="68"/>
      <c r="AF286" s="68"/>
    </row>
    <row r="287">
      <c r="A287" s="68"/>
      <c r="B287" s="68"/>
      <c r="C287" s="78"/>
      <c r="D287" s="78"/>
      <c r="E287" s="68"/>
      <c r="F287" s="68"/>
      <c r="G287" s="68"/>
      <c r="H287" s="68"/>
      <c r="I287" s="68"/>
      <c r="J287" s="68"/>
      <c r="K287" s="68"/>
      <c r="L287" s="68"/>
      <c r="M287" s="79"/>
      <c r="N287" s="68"/>
      <c r="O287" s="68"/>
      <c r="P287" s="68"/>
      <c r="Q287" s="68"/>
      <c r="R287" s="68"/>
      <c r="S287" s="68"/>
      <c r="T287" s="68"/>
      <c r="U287" s="68"/>
      <c r="V287" s="68"/>
      <c r="W287" s="68"/>
      <c r="X287" s="68"/>
      <c r="Y287" s="68"/>
      <c r="Z287" s="68"/>
      <c r="AA287" s="68"/>
      <c r="AB287" s="68"/>
      <c r="AC287" s="68"/>
      <c r="AD287" s="68"/>
      <c r="AE287" s="68"/>
      <c r="AF287" s="68"/>
    </row>
    <row r="288">
      <c r="A288" s="68"/>
      <c r="B288" s="68"/>
      <c r="C288" s="78"/>
      <c r="D288" s="78"/>
      <c r="E288" s="68"/>
      <c r="F288" s="68"/>
      <c r="G288" s="68"/>
      <c r="H288" s="68"/>
      <c r="I288" s="68"/>
      <c r="J288" s="68"/>
      <c r="K288" s="68"/>
      <c r="L288" s="68"/>
      <c r="M288" s="79"/>
      <c r="N288" s="68"/>
      <c r="O288" s="68"/>
      <c r="P288" s="68"/>
      <c r="Q288" s="68"/>
      <c r="R288" s="68"/>
      <c r="S288" s="68"/>
      <c r="T288" s="68"/>
      <c r="U288" s="68"/>
      <c r="V288" s="68"/>
      <c r="W288" s="68"/>
      <c r="X288" s="68"/>
      <c r="Y288" s="68"/>
      <c r="Z288" s="68"/>
      <c r="AA288" s="68"/>
      <c r="AB288" s="68"/>
      <c r="AC288" s="68"/>
      <c r="AD288" s="68"/>
      <c r="AE288" s="68"/>
      <c r="AF288" s="68"/>
    </row>
    <row r="289">
      <c r="A289" s="68"/>
      <c r="B289" s="68"/>
      <c r="C289" s="78"/>
      <c r="D289" s="78"/>
      <c r="E289" s="68"/>
      <c r="F289" s="68"/>
      <c r="G289" s="68"/>
      <c r="H289" s="68"/>
      <c r="I289" s="68"/>
      <c r="J289" s="68"/>
      <c r="K289" s="68"/>
      <c r="L289" s="68"/>
      <c r="M289" s="79"/>
      <c r="N289" s="68"/>
      <c r="O289" s="68"/>
      <c r="P289" s="68"/>
      <c r="Q289" s="68"/>
      <c r="R289" s="68"/>
      <c r="S289" s="68"/>
      <c r="T289" s="68"/>
      <c r="U289" s="68"/>
      <c r="V289" s="68"/>
      <c r="W289" s="68"/>
      <c r="X289" s="68"/>
      <c r="Y289" s="68"/>
      <c r="Z289" s="68"/>
      <c r="AA289" s="68"/>
      <c r="AB289" s="68"/>
      <c r="AC289" s="68"/>
      <c r="AD289" s="68"/>
      <c r="AE289" s="68"/>
      <c r="AF289" s="68"/>
    </row>
    <row r="290">
      <c r="A290" s="68"/>
      <c r="B290" s="68"/>
      <c r="C290" s="78"/>
      <c r="D290" s="78"/>
      <c r="E290" s="68"/>
      <c r="F290" s="68"/>
      <c r="G290" s="68"/>
      <c r="H290" s="68"/>
      <c r="I290" s="68"/>
      <c r="J290" s="68"/>
      <c r="K290" s="68"/>
      <c r="L290" s="68"/>
      <c r="M290" s="79"/>
      <c r="N290" s="68"/>
      <c r="O290" s="68"/>
      <c r="P290" s="68"/>
      <c r="Q290" s="68"/>
      <c r="R290" s="68"/>
      <c r="S290" s="68"/>
      <c r="T290" s="68"/>
      <c r="U290" s="68"/>
      <c r="V290" s="68"/>
      <c r="W290" s="68"/>
      <c r="X290" s="68"/>
      <c r="Y290" s="68"/>
      <c r="Z290" s="68"/>
      <c r="AA290" s="68"/>
      <c r="AB290" s="68"/>
      <c r="AC290" s="68"/>
      <c r="AD290" s="68"/>
      <c r="AE290" s="68"/>
      <c r="AF290" s="68"/>
    </row>
    <row r="291">
      <c r="A291" s="68"/>
      <c r="B291" s="68"/>
      <c r="C291" s="78"/>
      <c r="D291" s="78"/>
      <c r="E291" s="68"/>
      <c r="F291" s="68"/>
      <c r="G291" s="68"/>
      <c r="H291" s="68"/>
      <c r="I291" s="68"/>
      <c r="J291" s="68"/>
      <c r="K291" s="68"/>
      <c r="L291" s="68"/>
      <c r="M291" s="79"/>
      <c r="N291" s="68"/>
      <c r="O291" s="68"/>
      <c r="P291" s="68"/>
      <c r="Q291" s="68"/>
      <c r="R291" s="68"/>
      <c r="S291" s="68"/>
      <c r="T291" s="68"/>
      <c r="U291" s="68"/>
      <c r="V291" s="68"/>
      <c r="W291" s="68"/>
      <c r="X291" s="68"/>
      <c r="Y291" s="68"/>
      <c r="Z291" s="68"/>
      <c r="AA291" s="68"/>
      <c r="AB291" s="68"/>
      <c r="AC291" s="68"/>
      <c r="AD291" s="68"/>
      <c r="AE291" s="68"/>
      <c r="AF291" s="68"/>
    </row>
    <row r="292">
      <c r="A292" s="68"/>
      <c r="B292" s="68"/>
      <c r="C292" s="78"/>
      <c r="D292" s="78"/>
      <c r="E292" s="68"/>
      <c r="F292" s="68"/>
      <c r="G292" s="68"/>
      <c r="H292" s="68"/>
      <c r="I292" s="68"/>
      <c r="J292" s="68"/>
      <c r="K292" s="68"/>
      <c r="L292" s="68"/>
      <c r="M292" s="79"/>
      <c r="N292" s="68"/>
      <c r="O292" s="68"/>
      <c r="P292" s="68"/>
      <c r="Q292" s="68"/>
      <c r="R292" s="68"/>
      <c r="S292" s="68"/>
      <c r="T292" s="68"/>
      <c r="U292" s="68"/>
      <c r="V292" s="68"/>
      <c r="W292" s="68"/>
      <c r="X292" s="68"/>
      <c r="Y292" s="68"/>
      <c r="Z292" s="68"/>
      <c r="AA292" s="68"/>
      <c r="AB292" s="68"/>
      <c r="AC292" s="68"/>
      <c r="AD292" s="68"/>
      <c r="AE292" s="68"/>
      <c r="AF292" s="68"/>
    </row>
    <row r="293">
      <c r="A293" s="68"/>
      <c r="B293" s="68"/>
      <c r="C293" s="78"/>
      <c r="D293" s="78"/>
      <c r="E293" s="68"/>
      <c r="F293" s="68"/>
      <c r="G293" s="68"/>
      <c r="H293" s="68"/>
      <c r="I293" s="68"/>
      <c r="J293" s="68"/>
      <c r="K293" s="68"/>
      <c r="L293" s="68"/>
      <c r="M293" s="79"/>
      <c r="N293" s="68"/>
      <c r="O293" s="68"/>
      <c r="P293" s="68"/>
      <c r="Q293" s="68"/>
      <c r="R293" s="68"/>
      <c r="S293" s="68"/>
      <c r="T293" s="68"/>
      <c r="U293" s="68"/>
      <c r="V293" s="68"/>
      <c r="W293" s="68"/>
      <c r="X293" s="68"/>
      <c r="Y293" s="68"/>
      <c r="Z293" s="68"/>
      <c r="AA293" s="68"/>
      <c r="AB293" s="68"/>
      <c r="AC293" s="68"/>
      <c r="AD293" s="68"/>
      <c r="AE293" s="68"/>
      <c r="AF293" s="68"/>
    </row>
    <row r="294">
      <c r="A294" s="68"/>
      <c r="B294" s="68"/>
      <c r="C294" s="78"/>
      <c r="D294" s="78"/>
      <c r="E294" s="68"/>
      <c r="F294" s="68"/>
      <c r="G294" s="68"/>
      <c r="H294" s="68"/>
      <c r="I294" s="68"/>
      <c r="J294" s="68"/>
      <c r="K294" s="68"/>
      <c r="L294" s="68"/>
      <c r="M294" s="79"/>
      <c r="N294" s="68"/>
      <c r="O294" s="68"/>
      <c r="P294" s="68"/>
      <c r="Q294" s="68"/>
      <c r="R294" s="68"/>
      <c r="S294" s="68"/>
      <c r="T294" s="68"/>
      <c r="U294" s="68"/>
      <c r="V294" s="68"/>
      <c r="W294" s="68"/>
      <c r="X294" s="68"/>
      <c r="Y294" s="68"/>
      <c r="Z294" s="68"/>
      <c r="AA294" s="68"/>
      <c r="AB294" s="68"/>
      <c r="AC294" s="68"/>
      <c r="AD294" s="68"/>
      <c r="AE294" s="68"/>
      <c r="AF294" s="68"/>
    </row>
    <row r="295">
      <c r="A295" s="68"/>
      <c r="B295" s="68"/>
      <c r="C295" s="78"/>
      <c r="D295" s="78"/>
      <c r="E295" s="68"/>
      <c r="F295" s="68"/>
      <c r="G295" s="68"/>
      <c r="H295" s="68"/>
      <c r="I295" s="68"/>
      <c r="J295" s="68"/>
      <c r="K295" s="68"/>
      <c r="L295" s="68"/>
      <c r="M295" s="79"/>
      <c r="N295" s="68"/>
      <c r="O295" s="68"/>
      <c r="P295" s="68"/>
      <c r="Q295" s="68"/>
      <c r="R295" s="68"/>
      <c r="S295" s="68"/>
      <c r="T295" s="68"/>
      <c r="U295" s="68"/>
      <c r="V295" s="68"/>
      <c r="W295" s="68"/>
      <c r="X295" s="68"/>
      <c r="Y295" s="68"/>
      <c r="Z295" s="68"/>
      <c r="AA295" s="68"/>
      <c r="AB295" s="68"/>
      <c r="AC295" s="68"/>
      <c r="AD295" s="68"/>
      <c r="AE295" s="68"/>
      <c r="AF295" s="68"/>
    </row>
    <row r="296">
      <c r="A296" s="68"/>
      <c r="B296" s="68"/>
      <c r="C296" s="78"/>
      <c r="D296" s="78"/>
      <c r="E296" s="68"/>
      <c r="F296" s="68"/>
      <c r="G296" s="68"/>
      <c r="H296" s="68"/>
      <c r="I296" s="68"/>
      <c r="J296" s="68"/>
      <c r="K296" s="68"/>
      <c r="L296" s="68"/>
      <c r="M296" s="79"/>
      <c r="N296" s="68"/>
      <c r="O296" s="68"/>
      <c r="P296" s="68"/>
      <c r="Q296" s="68"/>
      <c r="R296" s="68"/>
      <c r="S296" s="68"/>
      <c r="T296" s="68"/>
      <c r="U296" s="68"/>
      <c r="V296" s="68"/>
      <c r="W296" s="68"/>
      <c r="X296" s="68"/>
      <c r="Y296" s="68"/>
      <c r="Z296" s="68"/>
      <c r="AA296" s="68"/>
      <c r="AB296" s="68"/>
      <c r="AC296" s="68"/>
      <c r="AD296" s="68"/>
      <c r="AE296" s="68"/>
      <c r="AF296" s="68"/>
    </row>
    <row r="297">
      <c r="A297" s="68"/>
      <c r="B297" s="68"/>
      <c r="C297" s="78"/>
      <c r="D297" s="78"/>
      <c r="E297" s="68"/>
      <c r="F297" s="68"/>
      <c r="G297" s="68"/>
      <c r="H297" s="68"/>
      <c r="I297" s="68"/>
      <c r="J297" s="68"/>
      <c r="K297" s="68"/>
      <c r="L297" s="68"/>
      <c r="M297" s="79"/>
      <c r="N297" s="68"/>
      <c r="O297" s="68"/>
      <c r="P297" s="68"/>
      <c r="Q297" s="68"/>
      <c r="R297" s="68"/>
      <c r="S297" s="68"/>
      <c r="T297" s="68"/>
      <c r="U297" s="68"/>
      <c r="V297" s="68"/>
      <c r="W297" s="68"/>
      <c r="X297" s="68"/>
      <c r="Y297" s="68"/>
      <c r="Z297" s="68"/>
      <c r="AA297" s="68"/>
      <c r="AB297" s="68"/>
      <c r="AC297" s="68"/>
      <c r="AD297" s="68"/>
      <c r="AE297" s="68"/>
      <c r="AF297" s="68"/>
    </row>
    <row r="298">
      <c r="A298" s="68"/>
      <c r="B298" s="68"/>
      <c r="C298" s="78"/>
      <c r="D298" s="78"/>
      <c r="E298" s="68"/>
      <c r="F298" s="68"/>
      <c r="G298" s="68"/>
      <c r="H298" s="68"/>
      <c r="I298" s="68"/>
      <c r="J298" s="68"/>
      <c r="K298" s="68"/>
      <c r="L298" s="68"/>
      <c r="M298" s="79"/>
      <c r="N298" s="68"/>
      <c r="O298" s="68"/>
      <c r="P298" s="68"/>
      <c r="Q298" s="68"/>
      <c r="R298" s="68"/>
      <c r="S298" s="68"/>
      <c r="T298" s="68"/>
      <c r="U298" s="68"/>
      <c r="V298" s="68"/>
      <c r="W298" s="68"/>
      <c r="X298" s="68"/>
      <c r="Y298" s="68"/>
      <c r="Z298" s="68"/>
      <c r="AA298" s="68"/>
      <c r="AB298" s="68"/>
      <c r="AC298" s="68"/>
      <c r="AD298" s="68"/>
      <c r="AE298" s="68"/>
      <c r="AF298" s="68"/>
    </row>
    <row r="299">
      <c r="A299" s="68"/>
      <c r="B299" s="68"/>
      <c r="C299" s="78"/>
      <c r="D299" s="78"/>
      <c r="E299" s="68"/>
      <c r="F299" s="68"/>
      <c r="G299" s="68"/>
      <c r="H299" s="68"/>
      <c r="I299" s="68"/>
      <c r="J299" s="68"/>
      <c r="K299" s="68"/>
      <c r="L299" s="68"/>
      <c r="M299" s="79"/>
      <c r="N299" s="68"/>
      <c r="O299" s="68"/>
      <c r="P299" s="68"/>
      <c r="Q299" s="68"/>
      <c r="R299" s="68"/>
      <c r="S299" s="68"/>
      <c r="T299" s="68"/>
      <c r="U299" s="68"/>
      <c r="V299" s="68"/>
      <c r="W299" s="68"/>
      <c r="X299" s="68"/>
      <c r="Y299" s="68"/>
      <c r="Z299" s="68"/>
      <c r="AA299" s="68"/>
      <c r="AB299" s="68"/>
      <c r="AC299" s="68"/>
      <c r="AD299" s="68"/>
      <c r="AE299" s="68"/>
      <c r="AF299" s="68"/>
    </row>
    <row r="300">
      <c r="A300" s="68"/>
      <c r="B300" s="68"/>
      <c r="C300" s="78"/>
      <c r="D300" s="78"/>
      <c r="E300" s="68"/>
      <c r="F300" s="68"/>
      <c r="G300" s="68"/>
      <c r="H300" s="68"/>
      <c r="I300" s="68"/>
      <c r="J300" s="68"/>
      <c r="K300" s="68"/>
      <c r="L300" s="68"/>
      <c r="M300" s="79"/>
      <c r="N300" s="68"/>
      <c r="O300" s="68"/>
      <c r="P300" s="68"/>
      <c r="Q300" s="68"/>
      <c r="R300" s="68"/>
      <c r="S300" s="68"/>
      <c r="T300" s="68"/>
      <c r="U300" s="68"/>
      <c r="V300" s="68"/>
      <c r="W300" s="68"/>
      <c r="X300" s="68"/>
      <c r="Y300" s="68"/>
      <c r="Z300" s="68"/>
      <c r="AA300" s="68"/>
      <c r="AB300" s="68"/>
      <c r="AC300" s="68"/>
      <c r="AD300" s="68"/>
      <c r="AE300" s="68"/>
      <c r="AF300" s="68"/>
    </row>
    <row r="301">
      <c r="A301" s="68"/>
      <c r="B301" s="68"/>
      <c r="C301" s="78"/>
      <c r="D301" s="78"/>
      <c r="E301" s="68"/>
      <c r="F301" s="68"/>
      <c r="G301" s="68"/>
      <c r="H301" s="68"/>
      <c r="I301" s="68"/>
      <c r="J301" s="68"/>
      <c r="K301" s="68"/>
      <c r="L301" s="68"/>
      <c r="M301" s="79"/>
      <c r="N301" s="68"/>
      <c r="O301" s="68"/>
      <c r="P301" s="68"/>
      <c r="Q301" s="68"/>
      <c r="R301" s="68"/>
      <c r="S301" s="68"/>
      <c r="T301" s="68"/>
      <c r="U301" s="68"/>
      <c r="V301" s="68"/>
      <c r="W301" s="68"/>
      <c r="X301" s="68"/>
      <c r="Y301" s="68"/>
      <c r="Z301" s="68"/>
      <c r="AA301" s="68"/>
      <c r="AB301" s="68"/>
      <c r="AC301" s="68"/>
      <c r="AD301" s="68"/>
      <c r="AE301" s="68"/>
      <c r="AF301" s="68"/>
    </row>
    <row r="302">
      <c r="A302" s="68"/>
      <c r="B302" s="68"/>
      <c r="C302" s="78"/>
      <c r="D302" s="78"/>
      <c r="E302" s="68"/>
      <c r="F302" s="68"/>
      <c r="G302" s="68"/>
      <c r="H302" s="68"/>
      <c r="I302" s="68"/>
      <c r="J302" s="68"/>
      <c r="K302" s="68"/>
      <c r="L302" s="68"/>
      <c r="M302" s="79"/>
      <c r="N302" s="68"/>
      <c r="O302" s="68"/>
      <c r="P302" s="68"/>
      <c r="Q302" s="68"/>
      <c r="R302" s="68"/>
      <c r="S302" s="68"/>
      <c r="T302" s="68"/>
      <c r="U302" s="68"/>
      <c r="V302" s="68"/>
      <c r="W302" s="68"/>
      <c r="X302" s="68"/>
      <c r="Y302" s="68"/>
      <c r="Z302" s="68"/>
      <c r="AA302" s="68"/>
      <c r="AB302" s="68"/>
      <c r="AC302" s="68"/>
      <c r="AD302" s="68"/>
      <c r="AE302" s="68"/>
      <c r="AF302" s="68"/>
    </row>
    <row r="303">
      <c r="A303" s="68"/>
      <c r="B303" s="68"/>
      <c r="C303" s="78"/>
      <c r="D303" s="78"/>
      <c r="E303" s="68"/>
      <c r="F303" s="68"/>
      <c r="G303" s="68"/>
      <c r="H303" s="68"/>
      <c r="I303" s="68"/>
      <c r="J303" s="68"/>
      <c r="K303" s="68"/>
      <c r="L303" s="68"/>
      <c r="M303" s="79"/>
      <c r="N303" s="68"/>
      <c r="O303" s="68"/>
      <c r="P303" s="68"/>
      <c r="Q303" s="68"/>
      <c r="R303" s="68"/>
      <c r="S303" s="68"/>
      <c r="T303" s="68"/>
      <c r="U303" s="68"/>
      <c r="V303" s="68"/>
      <c r="W303" s="68"/>
      <c r="X303" s="68"/>
      <c r="Y303" s="68"/>
      <c r="Z303" s="68"/>
      <c r="AA303" s="68"/>
      <c r="AB303" s="68"/>
      <c r="AC303" s="68"/>
      <c r="AD303" s="68"/>
      <c r="AE303" s="68"/>
      <c r="AF303" s="68"/>
    </row>
    <row r="304">
      <c r="A304" s="68"/>
      <c r="B304" s="68"/>
      <c r="C304" s="78"/>
      <c r="D304" s="78"/>
      <c r="E304" s="68"/>
      <c r="F304" s="68"/>
      <c r="G304" s="68"/>
      <c r="H304" s="68"/>
      <c r="I304" s="68"/>
      <c r="J304" s="68"/>
      <c r="K304" s="68"/>
      <c r="L304" s="68"/>
      <c r="M304" s="79"/>
      <c r="N304" s="68"/>
      <c r="O304" s="68"/>
      <c r="P304" s="68"/>
      <c r="Q304" s="68"/>
      <c r="R304" s="68"/>
      <c r="S304" s="68"/>
      <c r="T304" s="68"/>
      <c r="U304" s="68"/>
      <c r="V304" s="68"/>
      <c r="W304" s="68"/>
      <c r="X304" s="68"/>
      <c r="Y304" s="68"/>
      <c r="Z304" s="68"/>
      <c r="AA304" s="68"/>
      <c r="AB304" s="68"/>
      <c r="AC304" s="68"/>
      <c r="AD304" s="68"/>
      <c r="AE304" s="68"/>
      <c r="AF304" s="68"/>
    </row>
    <row r="305">
      <c r="A305" s="68"/>
      <c r="B305" s="68"/>
      <c r="C305" s="78"/>
      <c r="D305" s="78"/>
      <c r="E305" s="68"/>
      <c r="F305" s="68"/>
      <c r="G305" s="68"/>
      <c r="H305" s="68"/>
      <c r="I305" s="68"/>
      <c r="J305" s="68"/>
      <c r="K305" s="68"/>
      <c r="L305" s="68"/>
      <c r="M305" s="79"/>
      <c r="N305" s="68"/>
      <c r="O305" s="68"/>
      <c r="P305" s="68"/>
      <c r="Q305" s="68"/>
      <c r="R305" s="68"/>
      <c r="S305" s="68"/>
      <c r="T305" s="68"/>
      <c r="U305" s="68"/>
      <c r="V305" s="68"/>
      <c r="W305" s="68"/>
      <c r="X305" s="68"/>
      <c r="Y305" s="68"/>
      <c r="Z305" s="68"/>
      <c r="AA305" s="68"/>
      <c r="AB305" s="68"/>
      <c r="AC305" s="68"/>
      <c r="AD305" s="68"/>
      <c r="AE305" s="68"/>
      <c r="AF305" s="68"/>
    </row>
    <row r="306">
      <c r="A306" s="68"/>
      <c r="B306" s="68"/>
      <c r="C306" s="78"/>
      <c r="D306" s="78"/>
      <c r="E306" s="68"/>
      <c r="F306" s="68"/>
      <c r="G306" s="68"/>
      <c r="H306" s="68"/>
      <c r="I306" s="68"/>
      <c r="J306" s="68"/>
      <c r="K306" s="68"/>
      <c r="L306" s="68"/>
      <c r="M306" s="79"/>
      <c r="N306" s="68"/>
      <c r="O306" s="68"/>
      <c r="P306" s="68"/>
      <c r="Q306" s="68"/>
      <c r="R306" s="68"/>
      <c r="S306" s="68"/>
      <c r="T306" s="68"/>
      <c r="U306" s="68"/>
      <c r="V306" s="68"/>
      <c r="W306" s="68"/>
      <c r="X306" s="68"/>
      <c r="Y306" s="68"/>
      <c r="Z306" s="68"/>
      <c r="AA306" s="68"/>
      <c r="AB306" s="68"/>
      <c r="AC306" s="68"/>
      <c r="AD306" s="68"/>
      <c r="AE306" s="68"/>
      <c r="AF306" s="68"/>
    </row>
    <row r="307">
      <c r="A307" s="68"/>
      <c r="B307" s="68"/>
      <c r="C307" s="78"/>
      <c r="D307" s="78"/>
      <c r="E307" s="68"/>
      <c r="F307" s="68"/>
      <c r="G307" s="68"/>
      <c r="H307" s="68"/>
      <c r="I307" s="68"/>
      <c r="J307" s="68"/>
      <c r="K307" s="68"/>
      <c r="L307" s="68"/>
      <c r="M307" s="79"/>
      <c r="N307" s="68"/>
      <c r="O307" s="68"/>
      <c r="P307" s="68"/>
      <c r="Q307" s="68"/>
      <c r="R307" s="68"/>
      <c r="S307" s="68"/>
      <c r="T307" s="68"/>
      <c r="U307" s="68"/>
      <c r="V307" s="68"/>
      <c r="W307" s="68"/>
      <c r="X307" s="68"/>
      <c r="Y307" s="68"/>
      <c r="Z307" s="68"/>
      <c r="AA307" s="68"/>
      <c r="AB307" s="68"/>
      <c r="AC307" s="68"/>
      <c r="AD307" s="68"/>
      <c r="AE307" s="68"/>
      <c r="AF307" s="68"/>
    </row>
    <row r="308">
      <c r="A308" s="68"/>
      <c r="B308" s="68"/>
      <c r="C308" s="78"/>
      <c r="D308" s="78"/>
      <c r="E308" s="68"/>
      <c r="F308" s="68"/>
      <c r="G308" s="68"/>
      <c r="H308" s="68"/>
      <c r="I308" s="68"/>
      <c r="J308" s="68"/>
      <c r="K308" s="68"/>
      <c r="L308" s="68"/>
      <c r="M308" s="79"/>
      <c r="N308" s="68"/>
      <c r="O308" s="68"/>
      <c r="P308" s="68"/>
      <c r="Q308" s="68"/>
      <c r="R308" s="68"/>
      <c r="S308" s="68"/>
      <c r="T308" s="68"/>
      <c r="U308" s="68"/>
      <c r="V308" s="68"/>
      <c r="W308" s="68"/>
      <c r="X308" s="68"/>
      <c r="Y308" s="68"/>
      <c r="Z308" s="68"/>
      <c r="AA308" s="68"/>
      <c r="AB308" s="68"/>
      <c r="AC308" s="68"/>
      <c r="AD308" s="68"/>
      <c r="AE308" s="68"/>
      <c r="AF308" s="68"/>
    </row>
    <row r="309">
      <c r="A309" s="68"/>
      <c r="B309" s="68"/>
      <c r="C309" s="78"/>
      <c r="D309" s="78"/>
      <c r="E309" s="68"/>
      <c r="F309" s="68"/>
      <c r="G309" s="68"/>
      <c r="H309" s="68"/>
      <c r="I309" s="68"/>
      <c r="J309" s="68"/>
      <c r="K309" s="68"/>
      <c r="L309" s="68"/>
      <c r="M309" s="79"/>
      <c r="N309" s="68"/>
      <c r="O309" s="68"/>
      <c r="P309" s="68"/>
      <c r="Q309" s="68"/>
      <c r="R309" s="68"/>
      <c r="S309" s="68"/>
      <c r="T309" s="68"/>
      <c r="U309" s="68"/>
      <c r="V309" s="68"/>
      <c r="W309" s="68"/>
      <c r="X309" s="68"/>
      <c r="Y309" s="68"/>
      <c r="Z309" s="68"/>
      <c r="AA309" s="68"/>
      <c r="AB309" s="68"/>
      <c r="AC309" s="68"/>
      <c r="AD309" s="68"/>
      <c r="AE309" s="68"/>
      <c r="AF309" s="68"/>
    </row>
    <row r="310">
      <c r="A310" s="68"/>
      <c r="B310" s="68"/>
      <c r="C310" s="78"/>
      <c r="D310" s="78"/>
      <c r="E310" s="68"/>
      <c r="F310" s="68"/>
      <c r="G310" s="68"/>
      <c r="H310" s="68"/>
      <c r="I310" s="68"/>
      <c r="J310" s="68"/>
      <c r="K310" s="68"/>
      <c r="L310" s="68"/>
      <c r="M310" s="79"/>
      <c r="N310" s="68"/>
      <c r="O310" s="68"/>
      <c r="P310" s="68"/>
      <c r="Q310" s="68"/>
      <c r="R310" s="68"/>
      <c r="S310" s="68"/>
      <c r="T310" s="68"/>
      <c r="U310" s="68"/>
      <c r="V310" s="68"/>
      <c r="W310" s="68"/>
      <c r="X310" s="68"/>
      <c r="Y310" s="68"/>
      <c r="Z310" s="68"/>
      <c r="AA310" s="68"/>
      <c r="AB310" s="68"/>
      <c r="AC310" s="68"/>
      <c r="AD310" s="68"/>
      <c r="AE310" s="68"/>
      <c r="AF310" s="68"/>
    </row>
    <row r="311">
      <c r="A311" s="68"/>
      <c r="B311" s="68"/>
      <c r="C311" s="78"/>
      <c r="D311" s="78"/>
      <c r="E311" s="68"/>
      <c r="F311" s="68"/>
      <c r="G311" s="68"/>
      <c r="H311" s="68"/>
      <c r="I311" s="68"/>
      <c r="J311" s="68"/>
      <c r="K311" s="68"/>
      <c r="L311" s="68"/>
      <c r="M311" s="79"/>
      <c r="N311" s="68"/>
      <c r="O311" s="68"/>
      <c r="P311" s="68"/>
      <c r="Q311" s="68"/>
      <c r="R311" s="68"/>
      <c r="S311" s="68"/>
      <c r="T311" s="68"/>
      <c r="U311" s="68"/>
      <c r="V311" s="68"/>
      <c r="W311" s="68"/>
      <c r="X311" s="68"/>
      <c r="Y311" s="68"/>
      <c r="Z311" s="68"/>
      <c r="AA311" s="68"/>
      <c r="AB311" s="68"/>
      <c r="AC311" s="68"/>
      <c r="AD311" s="68"/>
      <c r="AE311" s="68"/>
      <c r="AF311" s="68"/>
    </row>
    <row r="312">
      <c r="A312" s="68"/>
      <c r="B312" s="68"/>
      <c r="C312" s="78"/>
      <c r="D312" s="78"/>
      <c r="E312" s="68"/>
      <c r="F312" s="68"/>
      <c r="G312" s="68"/>
      <c r="H312" s="68"/>
      <c r="I312" s="68"/>
      <c r="J312" s="68"/>
      <c r="K312" s="68"/>
      <c r="L312" s="68"/>
      <c r="M312" s="79"/>
      <c r="N312" s="68"/>
      <c r="O312" s="68"/>
      <c r="P312" s="68"/>
      <c r="Q312" s="68"/>
      <c r="R312" s="68"/>
      <c r="S312" s="68"/>
      <c r="T312" s="68"/>
      <c r="U312" s="68"/>
      <c r="V312" s="68"/>
      <c r="W312" s="68"/>
      <c r="X312" s="68"/>
      <c r="Y312" s="68"/>
      <c r="Z312" s="68"/>
      <c r="AA312" s="68"/>
      <c r="AB312" s="68"/>
      <c r="AC312" s="68"/>
      <c r="AD312" s="68"/>
      <c r="AE312" s="68"/>
      <c r="AF312" s="68"/>
    </row>
    <row r="313">
      <c r="A313" s="68"/>
      <c r="B313" s="68"/>
      <c r="C313" s="78"/>
      <c r="D313" s="78"/>
      <c r="E313" s="68"/>
      <c r="F313" s="68"/>
      <c r="G313" s="68"/>
      <c r="H313" s="68"/>
      <c r="I313" s="68"/>
      <c r="J313" s="68"/>
      <c r="K313" s="68"/>
      <c r="L313" s="68"/>
      <c r="M313" s="79"/>
      <c r="N313" s="68"/>
      <c r="O313" s="68"/>
      <c r="P313" s="68"/>
      <c r="Q313" s="68"/>
      <c r="R313" s="68"/>
      <c r="S313" s="68"/>
      <c r="T313" s="68"/>
      <c r="U313" s="68"/>
      <c r="V313" s="68"/>
      <c r="W313" s="68"/>
      <c r="X313" s="68"/>
      <c r="Y313" s="68"/>
      <c r="Z313" s="68"/>
      <c r="AA313" s="68"/>
      <c r="AB313" s="68"/>
      <c r="AC313" s="68"/>
      <c r="AD313" s="68"/>
      <c r="AE313" s="68"/>
      <c r="AF313" s="68"/>
    </row>
    <row r="314">
      <c r="A314" s="68"/>
      <c r="B314" s="68"/>
      <c r="C314" s="78"/>
      <c r="D314" s="78"/>
      <c r="E314" s="68"/>
      <c r="F314" s="68"/>
      <c r="G314" s="68"/>
      <c r="H314" s="68"/>
      <c r="I314" s="68"/>
      <c r="J314" s="68"/>
      <c r="K314" s="68"/>
      <c r="L314" s="68"/>
      <c r="M314" s="79"/>
      <c r="N314" s="68"/>
      <c r="O314" s="68"/>
      <c r="P314" s="68"/>
      <c r="Q314" s="68"/>
      <c r="R314" s="68"/>
      <c r="S314" s="68"/>
      <c r="T314" s="68"/>
      <c r="U314" s="68"/>
      <c r="V314" s="68"/>
      <c r="W314" s="68"/>
      <c r="X314" s="68"/>
      <c r="Y314" s="68"/>
      <c r="Z314" s="68"/>
      <c r="AA314" s="68"/>
      <c r="AB314" s="68"/>
      <c r="AC314" s="68"/>
      <c r="AD314" s="68"/>
      <c r="AE314" s="68"/>
      <c r="AF314" s="68"/>
    </row>
    <row r="315">
      <c r="A315" s="68"/>
      <c r="B315" s="68"/>
      <c r="C315" s="78"/>
      <c r="D315" s="78"/>
      <c r="E315" s="68"/>
      <c r="F315" s="68"/>
      <c r="G315" s="68"/>
      <c r="H315" s="68"/>
      <c r="I315" s="68"/>
      <c r="J315" s="68"/>
      <c r="K315" s="68"/>
      <c r="L315" s="68"/>
      <c r="M315" s="79"/>
      <c r="N315" s="68"/>
      <c r="O315" s="68"/>
      <c r="P315" s="68"/>
      <c r="Q315" s="68"/>
      <c r="R315" s="68"/>
      <c r="S315" s="68"/>
      <c r="T315" s="68"/>
      <c r="U315" s="68"/>
      <c r="V315" s="68"/>
      <c r="W315" s="68"/>
      <c r="X315" s="68"/>
      <c r="Y315" s="68"/>
      <c r="Z315" s="68"/>
      <c r="AA315" s="68"/>
      <c r="AB315" s="68"/>
      <c r="AC315" s="68"/>
      <c r="AD315" s="68"/>
      <c r="AE315" s="68"/>
      <c r="AF315" s="68"/>
    </row>
    <row r="316">
      <c r="A316" s="68"/>
      <c r="B316" s="68"/>
      <c r="C316" s="78"/>
      <c r="D316" s="78"/>
      <c r="E316" s="68"/>
      <c r="F316" s="68"/>
      <c r="G316" s="68"/>
      <c r="H316" s="68"/>
      <c r="I316" s="68"/>
      <c r="J316" s="68"/>
      <c r="K316" s="68"/>
      <c r="L316" s="68"/>
      <c r="M316" s="79"/>
      <c r="N316" s="68"/>
      <c r="O316" s="68"/>
      <c r="P316" s="68"/>
      <c r="Q316" s="68"/>
      <c r="R316" s="68"/>
      <c r="S316" s="68"/>
      <c r="T316" s="68"/>
      <c r="U316" s="68"/>
      <c r="V316" s="68"/>
      <c r="W316" s="68"/>
      <c r="X316" s="68"/>
      <c r="Y316" s="68"/>
      <c r="Z316" s="68"/>
      <c r="AA316" s="68"/>
      <c r="AB316" s="68"/>
      <c r="AC316" s="68"/>
      <c r="AD316" s="68"/>
      <c r="AE316" s="68"/>
      <c r="AF316" s="68"/>
    </row>
    <row r="317">
      <c r="A317" s="68"/>
      <c r="B317" s="68"/>
      <c r="C317" s="78"/>
      <c r="D317" s="78"/>
      <c r="E317" s="68"/>
      <c r="F317" s="68"/>
      <c r="G317" s="68"/>
      <c r="H317" s="68"/>
      <c r="I317" s="68"/>
      <c r="J317" s="68"/>
      <c r="K317" s="68"/>
      <c r="L317" s="68"/>
      <c r="M317" s="79"/>
      <c r="N317" s="68"/>
      <c r="O317" s="68"/>
      <c r="P317" s="68"/>
      <c r="Q317" s="68"/>
      <c r="R317" s="68"/>
      <c r="S317" s="68"/>
      <c r="T317" s="68"/>
      <c r="U317" s="68"/>
      <c r="V317" s="68"/>
      <c r="W317" s="68"/>
      <c r="X317" s="68"/>
      <c r="Y317" s="68"/>
      <c r="Z317" s="68"/>
      <c r="AA317" s="68"/>
      <c r="AB317" s="68"/>
      <c r="AC317" s="68"/>
      <c r="AD317" s="68"/>
      <c r="AE317" s="68"/>
      <c r="AF317" s="68"/>
    </row>
    <row r="318">
      <c r="A318" s="68"/>
      <c r="B318" s="68"/>
      <c r="C318" s="78"/>
      <c r="D318" s="78"/>
      <c r="E318" s="68"/>
      <c r="F318" s="68"/>
      <c r="G318" s="68"/>
      <c r="H318" s="68"/>
      <c r="I318" s="68"/>
      <c r="J318" s="68"/>
      <c r="K318" s="68"/>
      <c r="L318" s="68"/>
      <c r="M318" s="79"/>
      <c r="N318" s="68"/>
      <c r="O318" s="68"/>
      <c r="P318" s="68"/>
      <c r="Q318" s="68"/>
      <c r="R318" s="68"/>
      <c r="S318" s="68"/>
      <c r="T318" s="68"/>
      <c r="U318" s="68"/>
      <c r="V318" s="68"/>
      <c r="W318" s="68"/>
      <c r="X318" s="68"/>
      <c r="Y318" s="68"/>
      <c r="Z318" s="68"/>
      <c r="AA318" s="68"/>
      <c r="AB318" s="68"/>
      <c r="AC318" s="68"/>
      <c r="AD318" s="68"/>
      <c r="AE318" s="68"/>
      <c r="AF318" s="68"/>
    </row>
    <row r="319">
      <c r="A319" s="68"/>
      <c r="B319" s="68"/>
      <c r="C319" s="78"/>
      <c r="D319" s="78"/>
      <c r="E319" s="68"/>
      <c r="F319" s="68"/>
      <c r="G319" s="68"/>
      <c r="H319" s="68"/>
      <c r="I319" s="68"/>
      <c r="J319" s="68"/>
      <c r="K319" s="68"/>
      <c r="L319" s="68"/>
      <c r="M319" s="79"/>
      <c r="N319" s="68"/>
      <c r="O319" s="68"/>
      <c r="P319" s="68"/>
      <c r="Q319" s="68"/>
      <c r="R319" s="68"/>
      <c r="S319" s="68"/>
      <c r="T319" s="68"/>
      <c r="U319" s="68"/>
      <c r="V319" s="68"/>
      <c r="W319" s="68"/>
      <c r="X319" s="68"/>
      <c r="Y319" s="68"/>
      <c r="Z319" s="68"/>
      <c r="AA319" s="68"/>
      <c r="AB319" s="68"/>
      <c r="AC319" s="68"/>
      <c r="AD319" s="68"/>
      <c r="AE319" s="68"/>
      <c r="AF319" s="68"/>
    </row>
    <row r="320">
      <c r="A320" s="68"/>
      <c r="B320" s="68"/>
      <c r="C320" s="78"/>
      <c r="D320" s="78"/>
      <c r="E320" s="68"/>
      <c r="F320" s="68"/>
      <c r="G320" s="68"/>
      <c r="H320" s="68"/>
      <c r="I320" s="68"/>
      <c r="J320" s="68"/>
      <c r="K320" s="68"/>
      <c r="L320" s="68"/>
      <c r="M320" s="79"/>
      <c r="N320" s="68"/>
      <c r="O320" s="68"/>
      <c r="P320" s="68"/>
      <c r="Q320" s="68"/>
      <c r="R320" s="68"/>
      <c r="S320" s="68"/>
      <c r="T320" s="68"/>
      <c r="U320" s="68"/>
      <c r="V320" s="68"/>
      <c r="W320" s="68"/>
      <c r="X320" s="68"/>
      <c r="Y320" s="68"/>
      <c r="Z320" s="68"/>
      <c r="AA320" s="68"/>
      <c r="AB320" s="68"/>
      <c r="AC320" s="68"/>
      <c r="AD320" s="68"/>
      <c r="AE320" s="68"/>
      <c r="AF320" s="68"/>
    </row>
    <row r="321">
      <c r="A321" s="68"/>
      <c r="B321" s="68"/>
      <c r="C321" s="78"/>
      <c r="D321" s="78"/>
      <c r="E321" s="68"/>
      <c r="F321" s="68"/>
      <c r="G321" s="68"/>
      <c r="H321" s="68"/>
      <c r="I321" s="68"/>
      <c r="J321" s="68"/>
      <c r="K321" s="68"/>
      <c r="L321" s="68"/>
      <c r="M321" s="79"/>
      <c r="N321" s="68"/>
      <c r="O321" s="68"/>
      <c r="P321" s="68"/>
      <c r="Q321" s="68"/>
      <c r="R321" s="68"/>
      <c r="S321" s="68"/>
      <c r="T321" s="68"/>
      <c r="U321" s="68"/>
      <c r="V321" s="68"/>
      <c r="W321" s="68"/>
      <c r="X321" s="68"/>
      <c r="Y321" s="68"/>
      <c r="Z321" s="68"/>
      <c r="AA321" s="68"/>
      <c r="AB321" s="68"/>
      <c r="AC321" s="68"/>
      <c r="AD321" s="68"/>
      <c r="AE321" s="68"/>
      <c r="AF321" s="68"/>
    </row>
    <row r="322">
      <c r="A322" s="68"/>
      <c r="B322" s="68"/>
      <c r="C322" s="78"/>
      <c r="D322" s="78"/>
      <c r="E322" s="68"/>
      <c r="F322" s="68"/>
      <c r="G322" s="68"/>
      <c r="H322" s="68"/>
      <c r="I322" s="68"/>
      <c r="J322" s="68"/>
      <c r="K322" s="68"/>
      <c r="L322" s="68"/>
      <c r="M322" s="79"/>
      <c r="N322" s="68"/>
      <c r="O322" s="68"/>
      <c r="P322" s="68"/>
      <c r="Q322" s="68"/>
      <c r="R322" s="68"/>
      <c r="S322" s="68"/>
      <c r="T322" s="68"/>
      <c r="U322" s="68"/>
      <c r="V322" s="68"/>
      <c r="W322" s="68"/>
      <c r="X322" s="68"/>
      <c r="Y322" s="68"/>
      <c r="Z322" s="68"/>
      <c r="AA322" s="68"/>
      <c r="AB322" s="68"/>
      <c r="AC322" s="68"/>
      <c r="AD322" s="68"/>
      <c r="AE322" s="68"/>
      <c r="AF322" s="68"/>
    </row>
    <row r="323">
      <c r="A323" s="68"/>
      <c r="B323" s="68"/>
      <c r="C323" s="78"/>
      <c r="D323" s="78"/>
      <c r="E323" s="68"/>
      <c r="F323" s="68"/>
      <c r="G323" s="68"/>
      <c r="H323" s="68"/>
      <c r="I323" s="68"/>
      <c r="J323" s="68"/>
      <c r="K323" s="68"/>
      <c r="L323" s="68"/>
      <c r="M323" s="79"/>
      <c r="N323" s="68"/>
      <c r="O323" s="68"/>
      <c r="P323" s="68"/>
      <c r="Q323" s="68"/>
      <c r="R323" s="68"/>
      <c r="S323" s="68"/>
      <c r="T323" s="68"/>
      <c r="U323" s="68"/>
      <c r="V323" s="68"/>
      <c r="W323" s="68"/>
      <c r="X323" s="68"/>
      <c r="Y323" s="68"/>
      <c r="Z323" s="68"/>
      <c r="AA323" s="68"/>
      <c r="AB323" s="68"/>
      <c r="AC323" s="68"/>
      <c r="AD323" s="68"/>
      <c r="AE323" s="68"/>
      <c r="AF323" s="68"/>
    </row>
    <row r="324">
      <c r="A324" s="68"/>
      <c r="B324" s="68"/>
      <c r="C324" s="78"/>
      <c r="D324" s="78"/>
      <c r="E324" s="68"/>
      <c r="F324" s="68"/>
      <c r="G324" s="68"/>
      <c r="H324" s="68"/>
      <c r="I324" s="68"/>
      <c r="J324" s="68"/>
      <c r="K324" s="68"/>
      <c r="L324" s="68"/>
      <c r="M324" s="79"/>
      <c r="N324" s="68"/>
      <c r="O324" s="68"/>
      <c r="P324" s="68"/>
      <c r="Q324" s="68"/>
      <c r="R324" s="68"/>
      <c r="S324" s="68"/>
      <c r="T324" s="68"/>
      <c r="U324" s="68"/>
      <c r="V324" s="68"/>
      <c r="W324" s="68"/>
      <c r="X324" s="68"/>
      <c r="Y324" s="68"/>
      <c r="Z324" s="68"/>
      <c r="AA324" s="68"/>
      <c r="AB324" s="68"/>
      <c r="AC324" s="68"/>
      <c r="AD324" s="68"/>
      <c r="AE324" s="68"/>
      <c r="AF324" s="68"/>
    </row>
    <row r="325">
      <c r="A325" s="68"/>
      <c r="B325" s="68"/>
      <c r="C325" s="78"/>
      <c r="D325" s="78"/>
      <c r="E325" s="68"/>
      <c r="F325" s="68"/>
      <c r="G325" s="68"/>
      <c r="H325" s="68"/>
      <c r="I325" s="68"/>
      <c r="J325" s="68"/>
      <c r="K325" s="68"/>
      <c r="L325" s="68"/>
      <c r="M325" s="79"/>
      <c r="N325" s="68"/>
      <c r="O325" s="68"/>
      <c r="P325" s="68"/>
      <c r="Q325" s="68"/>
      <c r="R325" s="68"/>
      <c r="S325" s="68"/>
      <c r="T325" s="68"/>
      <c r="U325" s="68"/>
      <c r="V325" s="68"/>
      <c r="W325" s="68"/>
      <c r="X325" s="68"/>
      <c r="Y325" s="68"/>
      <c r="Z325" s="68"/>
      <c r="AA325" s="68"/>
      <c r="AB325" s="68"/>
      <c r="AC325" s="68"/>
      <c r="AD325" s="68"/>
      <c r="AE325" s="68"/>
      <c r="AF325" s="68"/>
    </row>
    <row r="326">
      <c r="A326" s="68"/>
      <c r="B326" s="68"/>
      <c r="C326" s="78"/>
      <c r="D326" s="78"/>
      <c r="E326" s="68"/>
      <c r="F326" s="68"/>
      <c r="G326" s="68"/>
      <c r="H326" s="68"/>
      <c r="I326" s="68"/>
      <c r="J326" s="68"/>
      <c r="K326" s="68"/>
      <c r="L326" s="68"/>
      <c r="M326" s="79"/>
      <c r="N326" s="68"/>
      <c r="O326" s="68"/>
      <c r="P326" s="68"/>
      <c r="Q326" s="68"/>
      <c r="R326" s="68"/>
      <c r="S326" s="68"/>
      <c r="T326" s="68"/>
      <c r="U326" s="68"/>
      <c r="V326" s="68"/>
      <c r="W326" s="68"/>
      <c r="X326" s="68"/>
      <c r="Y326" s="68"/>
      <c r="Z326" s="68"/>
      <c r="AA326" s="68"/>
      <c r="AB326" s="68"/>
      <c r="AC326" s="68"/>
      <c r="AD326" s="68"/>
      <c r="AE326" s="68"/>
      <c r="AF326" s="68"/>
    </row>
    <row r="327">
      <c r="A327" s="68"/>
      <c r="B327" s="68"/>
      <c r="C327" s="78"/>
      <c r="D327" s="78"/>
      <c r="E327" s="68"/>
      <c r="F327" s="68"/>
      <c r="G327" s="68"/>
      <c r="H327" s="68"/>
      <c r="I327" s="68"/>
      <c r="J327" s="68"/>
      <c r="K327" s="68"/>
      <c r="L327" s="68"/>
      <c r="M327" s="79"/>
      <c r="N327" s="68"/>
      <c r="O327" s="68"/>
      <c r="P327" s="68"/>
      <c r="Q327" s="68"/>
      <c r="R327" s="68"/>
      <c r="S327" s="68"/>
      <c r="T327" s="68"/>
      <c r="U327" s="68"/>
      <c r="V327" s="68"/>
      <c r="W327" s="68"/>
      <c r="X327" s="68"/>
      <c r="Y327" s="68"/>
      <c r="Z327" s="68"/>
      <c r="AA327" s="68"/>
      <c r="AB327" s="68"/>
      <c r="AC327" s="68"/>
      <c r="AD327" s="68"/>
      <c r="AE327" s="68"/>
      <c r="AF327" s="68"/>
    </row>
    <row r="328">
      <c r="A328" s="68"/>
      <c r="B328" s="68"/>
      <c r="C328" s="78"/>
      <c r="D328" s="78"/>
      <c r="E328" s="68"/>
      <c r="F328" s="68"/>
      <c r="G328" s="68"/>
      <c r="H328" s="68"/>
      <c r="I328" s="68"/>
      <c r="J328" s="68"/>
      <c r="K328" s="68"/>
      <c r="L328" s="68"/>
      <c r="M328" s="79"/>
      <c r="N328" s="68"/>
      <c r="O328" s="68"/>
      <c r="P328" s="68"/>
      <c r="Q328" s="68"/>
      <c r="R328" s="68"/>
      <c r="S328" s="68"/>
      <c r="T328" s="68"/>
      <c r="U328" s="68"/>
      <c r="V328" s="68"/>
      <c r="W328" s="68"/>
      <c r="X328" s="68"/>
      <c r="Y328" s="68"/>
      <c r="Z328" s="68"/>
      <c r="AA328" s="68"/>
      <c r="AB328" s="68"/>
      <c r="AC328" s="68"/>
      <c r="AD328" s="68"/>
      <c r="AE328" s="68"/>
      <c r="AF328" s="68"/>
    </row>
    <row r="329">
      <c r="A329" s="68"/>
      <c r="B329" s="68"/>
      <c r="C329" s="78"/>
      <c r="D329" s="78"/>
      <c r="E329" s="68"/>
      <c r="F329" s="68"/>
      <c r="G329" s="68"/>
      <c r="H329" s="68"/>
      <c r="I329" s="68"/>
      <c r="J329" s="68"/>
      <c r="K329" s="68"/>
      <c r="L329" s="68"/>
      <c r="M329" s="79"/>
      <c r="N329" s="68"/>
      <c r="O329" s="68"/>
      <c r="P329" s="68"/>
      <c r="Q329" s="68"/>
      <c r="R329" s="68"/>
      <c r="S329" s="68"/>
      <c r="T329" s="68"/>
      <c r="U329" s="68"/>
      <c r="V329" s="68"/>
      <c r="W329" s="68"/>
      <c r="X329" s="68"/>
      <c r="Y329" s="68"/>
      <c r="Z329" s="68"/>
      <c r="AA329" s="68"/>
      <c r="AB329" s="68"/>
      <c r="AC329" s="68"/>
      <c r="AD329" s="68"/>
      <c r="AE329" s="68"/>
      <c r="AF329" s="68"/>
    </row>
    <row r="330">
      <c r="A330" s="68"/>
      <c r="B330" s="68"/>
      <c r="C330" s="78"/>
      <c r="D330" s="78"/>
      <c r="E330" s="68"/>
      <c r="F330" s="68"/>
      <c r="G330" s="68"/>
      <c r="H330" s="68"/>
      <c r="I330" s="68"/>
      <c r="J330" s="68"/>
      <c r="K330" s="68"/>
      <c r="L330" s="68"/>
      <c r="M330" s="79"/>
      <c r="N330" s="68"/>
      <c r="O330" s="68"/>
      <c r="P330" s="68"/>
      <c r="Q330" s="68"/>
      <c r="R330" s="68"/>
      <c r="S330" s="68"/>
      <c r="T330" s="68"/>
      <c r="U330" s="68"/>
      <c r="V330" s="68"/>
      <c r="W330" s="68"/>
      <c r="X330" s="68"/>
      <c r="Y330" s="68"/>
      <c r="Z330" s="68"/>
      <c r="AA330" s="68"/>
      <c r="AB330" s="68"/>
      <c r="AC330" s="68"/>
      <c r="AD330" s="68"/>
      <c r="AE330" s="68"/>
      <c r="AF330" s="68"/>
    </row>
    <row r="331">
      <c r="A331" s="68"/>
      <c r="B331" s="68"/>
      <c r="C331" s="78"/>
      <c r="D331" s="78"/>
      <c r="E331" s="68"/>
      <c r="F331" s="68"/>
      <c r="G331" s="68"/>
      <c r="H331" s="68"/>
      <c r="I331" s="68"/>
      <c r="J331" s="68"/>
      <c r="K331" s="68"/>
      <c r="L331" s="68"/>
      <c r="M331" s="79"/>
      <c r="N331" s="68"/>
      <c r="O331" s="68"/>
      <c r="P331" s="68"/>
      <c r="Q331" s="68"/>
      <c r="R331" s="68"/>
      <c r="S331" s="68"/>
      <c r="T331" s="68"/>
      <c r="U331" s="68"/>
      <c r="V331" s="68"/>
      <c r="W331" s="68"/>
      <c r="X331" s="68"/>
      <c r="Y331" s="68"/>
      <c r="Z331" s="68"/>
      <c r="AA331" s="68"/>
      <c r="AB331" s="68"/>
      <c r="AC331" s="68"/>
      <c r="AD331" s="68"/>
      <c r="AE331" s="68"/>
      <c r="AF331" s="68"/>
    </row>
    <row r="332">
      <c r="A332" s="68"/>
      <c r="B332" s="68"/>
      <c r="C332" s="78"/>
      <c r="D332" s="78"/>
      <c r="E332" s="68"/>
      <c r="F332" s="68"/>
      <c r="G332" s="68"/>
      <c r="H332" s="68"/>
      <c r="I332" s="68"/>
      <c r="J332" s="68"/>
      <c r="K332" s="68"/>
      <c r="L332" s="68"/>
      <c r="M332" s="79"/>
      <c r="N332" s="68"/>
      <c r="O332" s="68"/>
      <c r="P332" s="68"/>
      <c r="Q332" s="68"/>
      <c r="R332" s="68"/>
      <c r="S332" s="68"/>
      <c r="T332" s="68"/>
      <c r="U332" s="68"/>
      <c r="V332" s="68"/>
      <c r="W332" s="68"/>
      <c r="X332" s="68"/>
      <c r="Y332" s="68"/>
      <c r="Z332" s="68"/>
      <c r="AA332" s="68"/>
      <c r="AB332" s="68"/>
      <c r="AC332" s="68"/>
      <c r="AD332" s="68"/>
      <c r="AE332" s="68"/>
      <c r="AF332" s="68"/>
    </row>
    <row r="333">
      <c r="A333" s="68"/>
      <c r="B333" s="68"/>
      <c r="C333" s="78"/>
      <c r="D333" s="78"/>
      <c r="E333" s="68"/>
      <c r="F333" s="68"/>
      <c r="G333" s="68"/>
      <c r="H333" s="68"/>
      <c r="I333" s="68"/>
      <c r="J333" s="68"/>
      <c r="K333" s="68"/>
      <c r="L333" s="68"/>
      <c r="M333" s="79"/>
      <c r="N333" s="68"/>
      <c r="O333" s="68"/>
      <c r="P333" s="68"/>
      <c r="Q333" s="68"/>
      <c r="R333" s="68"/>
      <c r="S333" s="68"/>
      <c r="T333" s="68"/>
      <c r="U333" s="68"/>
      <c r="V333" s="68"/>
      <c r="W333" s="68"/>
      <c r="X333" s="68"/>
      <c r="Y333" s="68"/>
      <c r="Z333" s="68"/>
      <c r="AA333" s="68"/>
      <c r="AB333" s="68"/>
      <c r="AC333" s="68"/>
      <c r="AD333" s="68"/>
      <c r="AE333" s="68"/>
      <c r="AF333" s="68"/>
    </row>
    <row r="334">
      <c r="A334" s="68"/>
      <c r="B334" s="68"/>
      <c r="C334" s="78"/>
      <c r="D334" s="78"/>
      <c r="E334" s="68"/>
      <c r="F334" s="68"/>
      <c r="G334" s="68"/>
      <c r="H334" s="68"/>
      <c r="I334" s="68"/>
      <c r="J334" s="68"/>
      <c r="K334" s="68"/>
      <c r="L334" s="68"/>
      <c r="M334" s="79"/>
      <c r="N334" s="68"/>
      <c r="O334" s="68"/>
      <c r="P334" s="68"/>
      <c r="Q334" s="68"/>
      <c r="R334" s="68"/>
      <c r="S334" s="68"/>
      <c r="T334" s="68"/>
      <c r="U334" s="68"/>
      <c r="V334" s="68"/>
      <c r="W334" s="68"/>
      <c r="X334" s="68"/>
      <c r="Y334" s="68"/>
      <c r="Z334" s="68"/>
      <c r="AA334" s="68"/>
      <c r="AB334" s="68"/>
      <c r="AC334" s="68"/>
      <c r="AD334" s="68"/>
      <c r="AE334" s="68"/>
      <c r="AF334" s="68"/>
    </row>
    <row r="335">
      <c r="A335" s="68"/>
      <c r="B335" s="68"/>
      <c r="C335" s="78"/>
      <c r="D335" s="78"/>
      <c r="E335" s="68"/>
      <c r="F335" s="68"/>
      <c r="G335" s="68"/>
      <c r="H335" s="68"/>
      <c r="I335" s="68"/>
      <c r="J335" s="68"/>
      <c r="K335" s="68"/>
      <c r="L335" s="68"/>
      <c r="M335" s="79"/>
      <c r="N335" s="68"/>
      <c r="O335" s="68"/>
      <c r="P335" s="68"/>
      <c r="Q335" s="68"/>
      <c r="R335" s="68"/>
      <c r="S335" s="68"/>
      <c r="T335" s="68"/>
      <c r="U335" s="68"/>
      <c r="V335" s="68"/>
      <c r="W335" s="68"/>
      <c r="X335" s="68"/>
      <c r="Y335" s="68"/>
      <c r="Z335" s="68"/>
      <c r="AA335" s="68"/>
      <c r="AB335" s="68"/>
      <c r="AC335" s="68"/>
      <c r="AD335" s="68"/>
      <c r="AE335" s="68"/>
      <c r="AF335" s="68"/>
    </row>
    <row r="336">
      <c r="A336" s="68"/>
      <c r="B336" s="68"/>
      <c r="C336" s="78"/>
      <c r="D336" s="78"/>
      <c r="E336" s="68"/>
      <c r="F336" s="68"/>
      <c r="G336" s="68"/>
      <c r="H336" s="68"/>
      <c r="I336" s="68"/>
      <c r="J336" s="68"/>
      <c r="K336" s="68"/>
      <c r="L336" s="68"/>
      <c r="M336" s="79"/>
      <c r="N336" s="68"/>
      <c r="O336" s="68"/>
      <c r="P336" s="68"/>
      <c r="Q336" s="68"/>
      <c r="R336" s="68"/>
      <c r="S336" s="68"/>
      <c r="T336" s="68"/>
      <c r="U336" s="68"/>
      <c r="V336" s="68"/>
      <c r="W336" s="68"/>
      <c r="X336" s="68"/>
      <c r="Y336" s="68"/>
      <c r="Z336" s="68"/>
      <c r="AA336" s="68"/>
      <c r="AB336" s="68"/>
      <c r="AC336" s="68"/>
      <c r="AD336" s="68"/>
      <c r="AE336" s="68"/>
      <c r="AF336" s="68"/>
    </row>
    <row r="337">
      <c r="A337" s="68"/>
      <c r="B337" s="68"/>
      <c r="C337" s="78"/>
      <c r="D337" s="78"/>
      <c r="E337" s="68"/>
      <c r="F337" s="68"/>
      <c r="G337" s="68"/>
      <c r="H337" s="68"/>
      <c r="I337" s="68"/>
      <c r="J337" s="68"/>
      <c r="K337" s="68"/>
      <c r="L337" s="68"/>
      <c r="M337" s="79"/>
      <c r="N337" s="68"/>
      <c r="O337" s="68"/>
      <c r="P337" s="68"/>
      <c r="Q337" s="68"/>
      <c r="R337" s="68"/>
      <c r="S337" s="68"/>
      <c r="T337" s="68"/>
      <c r="U337" s="68"/>
      <c r="V337" s="68"/>
      <c r="W337" s="68"/>
      <c r="X337" s="68"/>
      <c r="Y337" s="68"/>
      <c r="Z337" s="68"/>
      <c r="AA337" s="68"/>
      <c r="AB337" s="68"/>
      <c r="AC337" s="68"/>
      <c r="AD337" s="68"/>
      <c r="AE337" s="68"/>
      <c r="AF337" s="68"/>
    </row>
    <row r="338">
      <c r="A338" s="68"/>
      <c r="B338" s="68"/>
      <c r="C338" s="78"/>
      <c r="D338" s="78"/>
      <c r="E338" s="68"/>
      <c r="F338" s="68"/>
      <c r="G338" s="68"/>
      <c r="H338" s="68"/>
      <c r="I338" s="68"/>
      <c r="J338" s="68"/>
      <c r="K338" s="68"/>
      <c r="L338" s="68"/>
      <c r="M338" s="79"/>
      <c r="N338" s="68"/>
      <c r="O338" s="68"/>
      <c r="P338" s="68"/>
      <c r="Q338" s="68"/>
      <c r="R338" s="68"/>
      <c r="S338" s="68"/>
      <c r="T338" s="68"/>
      <c r="U338" s="68"/>
      <c r="V338" s="68"/>
      <c r="W338" s="68"/>
      <c r="X338" s="68"/>
      <c r="Y338" s="68"/>
      <c r="Z338" s="68"/>
      <c r="AA338" s="68"/>
      <c r="AB338" s="68"/>
      <c r="AC338" s="68"/>
      <c r="AD338" s="68"/>
      <c r="AE338" s="68"/>
      <c r="AF338" s="68"/>
    </row>
    <row r="339">
      <c r="A339" s="68"/>
      <c r="B339" s="68"/>
      <c r="C339" s="78"/>
      <c r="D339" s="78"/>
      <c r="E339" s="68"/>
      <c r="F339" s="68"/>
      <c r="G339" s="68"/>
      <c r="H339" s="68"/>
      <c r="I339" s="68"/>
      <c r="J339" s="68"/>
      <c r="K339" s="68"/>
      <c r="L339" s="68"/>
      <c r="M339" s="79"/>
      <c r="N339" s="68"/>
      <c r="O339" s="68"/>
      <c r="P339" s="68"/>
      <c r="Q339" s="68"/>
      <c r="R339" s="68"/>
      <c r="S339" s="68"/>
      <c r="T339" s="68"/>
      <c r="U339" s="68"/>
      <c r="V339" s="68"/>
      <c r="W339" s="68"/>
      <c r="X339" s="68"/>
      <c r="Y339" s="68"/>
      <c r="Z339" s="68"/>
      <c r="AA339" s="68"/>
      <c r="AB339" s="68"/>
      <c r="AC339" s="68"/>
      <c r="AD339" s="68"/>
      <c r="AE339" s="68"/>
      <c r="AF339" s="68"/>
    </row>
    <row r="340">
      <c r="A340" s="68"/>
      <c r="B340" s="68"/>
      <c r="C340" s="78"/>
      <c r="D340" s="78"/>
      <c r="E340" s="68"/>
      <c r="F340" s="68"/>
      <c r="G340" s="68"/>
      <c r="H340" s="68"/>
      <c r="I340" s="68"/>
      <c r="J340" s="68"/>
      <c r="K340" s="68"/>
      <c r="L340" s="68"/>
      <c r="M340" s="79"/>
      <c r="N340" s="68"/>
      <c r="O340" s="68"/>
      <c r="P340" s="68"/>
      <c r="Q340" s="68"/>
      <c r="R340" s="68"/>
      <c r="S340" s="68"/>
      <c r="T340" s="68"/>
      <c r="U340" s="68"/>
      <c r="V340" s="68"/>
      <c r="W340" s="68"/>
      <c r="X340" s="68"/>
      <c r="Y340" s="68"/>
      <c r="Z340" s="68"/>
      <c r="AA340" s="68"/>
      <c r="AB340" s="68"/>
      <c r="AC340" s="68"/>
      <c r="AD340" s="68"/>
      <c r="AE340" s="68"/>
      <c r="AF340" s="68"/>
    </row>
    <row r="341">
      <c r="A341" s="68"/>
      <c r="B341" s="68"/>
      <c r="C341" s="78"/>
      <c r="D341" s="78"/>
      <c r="E341" s="68"/>
      <c r="F341" s="68"/>
      <c r="G341" s="68"/>
      <c r="H341" s="68"/>
      <c r="I341" s="68"/>
      <c r="J341" s="68"/>
      <c r="K341" s="68"/>
      <c r="L341" s="68"/>
      <c r="M341" s="79"/>
      <c r="N341" s="68"/>
      <c r="O341" s="68"/>
      <c r="P341" s="68"/>
      <c r="Q341" s="68"/>
      <c r="R341" s="68"/>
      <c r="S341" s="68"/>
      <c r="T341" s="68"/>
      <c r="U341" s="68"/>
      <c r="V341" s="68"/>
      <c r="W341" s="68"/>
      <c r="X341" s="68"/>
      <c r="Y341" s="68"/>
      <c r="Z341" s="68"/>
      <c r="AA341" s="68"/>
      <c r="AB341" s="68"/>
      <c r="AC341" s="68"/>
      <c r="AD341" s="68"/>
      <c r="AE341" s="68"/>
      <c r="AF341" s="68"/>
    </row>
    <row r="342">
      <c r="A342" s="68"/>
      <c r="B342" s="68"/>
      <c r="C342" s="78"/>
      <c r="D342" s="78"/>
      <c r="E342" s="68"/>
      <c r="F342" s="68"/>
      <c r="G342" s="68"/>
      <c r="H342" s="68"/>
      <c r="I342" s="68"/>
      <c r="J342" s="68"/>
      <c r="K342" s="68"/>
      <c r="L342" s="68"/>
      <c r="M342" s="79"/>
      <c r="N342" s="68"/>
      <c r="O342" s="68"/>
      <c r="P342" s="68"/>
      <c r="Q342" s="68"/>
      <c r="R342" s="68"/>
      <c r="S342" s="68"/>
      <c r="T342" s="68"/>
      <c r="U342" s="68"/>
      <c r="V342" s="68"/>
      <c r="W342" s="68"/>
      <c r="X342" s="68"/>
      <c r="Y342" s="68"/>
      <c r="Z342" s="68"/>
      <c r="AA342" s="68"/>
      <c r="AB342" s="68"/>
      <c r="AC342" s="68"/>
      <c r="AD342" s="68"/>
      <c r="AE342" s="68"/>
      <c r="AF342" s="68"/>
    </row>
    <row r="343">
      <c r="A343" s="68"/>
      <c r="B343" s="68"/>
      <c r="C343" s="78"/>
      <c r="D343" s="78"/>
      <c r="E343" s="68"/>
      <c r="F343" s="68"/>
      <c r="G343" s="68"/>
      <c r="H343" s="68"/>
      <c r="I343" s="68"/>
      <c r="J343" s="68"/>
      <c r="K343" s="68"/>
      <c r="L343" s="68"/>
      <c r="M343" s="79"/>
      <c r="N343" s="68"/>
      <c r="O343" s="68"/>
      <c r="P343" s="68"/>
      <c r="Q343" s="68"/>
      <c r="R343" s="68"/>
      <c r="S343" s="68"/>
      <c r="T343" s="68"/>
      <c r="U343" s="68"/>
      <c r="V343" s="68"/>
      <c r="W343" s="68"/>
      <c r="X343" s="68"/>
      <c r="Y343" s="68"/>
      <c r="Z343" s="68"/>
      <c r="AA343" s="68"/>
      <c r="AB343" s="68"/>
      <c r="AC343" s="68"/>
      <c r="AD343" s="68"/>
      <c r="AE343" s="68"/>
      <c r="AF343" s="68"/>
    </row>
    <row r="344">
      <c r="A344" s="68"/>
      <c r="B344" s="68"/>
      <c r="C344" s="78"/>
      <c r="D344" s="78"/>
      <c r="E344" s="68"/>
      <c r="F344" s="68"/>
      <c r="G344" s="68"/>
      <c r="H344" s="68"/>
      <c r="I344" s="68"/>
      <c r="J344" s="68"/>
      <c r="K344" s="68"/>
      <c r="L344" s="68"/>
      <c r="M344" s="79"/>
      <c r="N344" s="68"/>
      <c r="O344" s="68"/>
      <c r="P344" s="68"/>
      <c r="Q344" s="68"/>
      <c r="R344" s="68"/>
      <c r="S344" s="68"/>
      <c r="T344" s="68"/>
      <c r="U344" s="68"/>
      <c r="V344" s="68"/>
      <c r="W344" s="68"/>
      <c r="X344" s="68"/>
      <c r="Y344" s="68"/>
      <c r="Z344" s="68"/>
      <c r="AA344" s="68"/>
      <c r="AB344" s="68"/>
      <c r="AC344" s="68"/>
      <c r="AD344" s="68"/>
      <c r="AE344" s="68"/>
      <c r="AF344" s="68"/>
    </row>
    <row r="345">
      <c r="A345" s="68"/>
      <c r="B345" s="68"/>
      <c r="C345" s="78"/>
      <c r="D345" s="78"/>
      <c r="E345" s="68"/>
      <c r="F345" s="68"/>
      <c r="G345" s="68"/>
      <c r="H345" s="68"/>
      <c r="I345" s="68"/>
      <c r="J345" s="68"/>
      <c r="K345" s="68"/>
      <c r="L345" s="68"/>
      <c r="M345" s="79"/>
      <c r="N345" s="68"/>
      <c r="O345" s="68"/>
      <c r="P345" s="68"/>
      <c r="Q345" s="68"/>
      <c r="R345" s="68"/>
      <c r="S345" s="68"/>
      <c r="T345" s="68"/>
      <c r="U345" s="68"/>
      <c r="V345" s="68"/>
      <c r="W345" s="68"/>
      <c r="X345" s="68"/>
      <c r="Y345" s="68"/>
      <c r="Z345" s="68"/>
      <c r="AA345" s="68"/>
      <c r="AB345" s="68"/>
      <c r="AC345" s="68"/>
      <c r="AD345" s="68"/>
      <c r="AE345" s="68"/>
      <c r="AF345" s="68"/>
    </row>
    <row r="346">
      <c r="A346" s="68"/>
      <c r="B346" s="68"/>
      <c r="C346" s="78"/>
      <c r="D346" s="78"/>
      <c r="E346" s="68"/>
      <c r="F346" s="68"/>
      <c r="G346" s="68"/>
      <c r="H346" s="68"/>
      <c r="I346" s="68"/>
      <c r="J346" s="68"/>
      <c r="K346" s="68"/>
      <c r="L346" s="68"/>
      <c r="M346" s="79"/>
      <c r="N346" s="68"/>
      <c r="O346" s="68"/>
      <c r="P346" s="68"/>
      <c r="Q346" s="68"/>
      <c r="R346" s="68"/>
      <c r="S346" s="68"/>
      <c r="T346" s="68"/>
      <c r="U346" s="68"/>
      <c r="V346" s="68"/>
      <c r="W346" s="68"/>
      <c r="X346" s="68"/>
      <c r="Y346" s="68"/>
      <c r="Z346" s="68"/>
      <c r="AA346" s="68"/>
      <c r="AB346" s="68"/>
      <c r="AC346" s="68"/>
      <c r="AD346" s="68"/>
      <c r="AE346" s="68"/>
      <c r="AF346" s="68"/>
    </row>
    <row r="347">
      <c r="A347" s="68"/>
      <c r="B347" s="68"/>
      <c r="C347" s="78"/>
      <c r="D347" s="78"/>
      <c r="E347" s="68"/>
      <c r="F347" s="68"/>
      <c r="G347" s="68"/>
      <c r="H347" s="68"/>
      <c r="I347" s="68"/>
      <c r="J347" s="68"/>
      <c r="K347" s="68"/>
      <c r="L347" s="68"/>
      <c r="M347" s="79"/>
      <c r="N347" s="68"/>
      <c r="O347" s="68"/>
      <c r="P347" s="68"/>
      <c r="Q347" s="68"/>
      <c r="R347" s="68"/>
      <c r="S347" s="68"/>
      <c r="T347" s="68"/>
      <c r="U347" s="68"/>
      <c r="V347" s="68"/>
      <c r="W347" s="68"/>
      <c r="X347" s="68"/>
      <c r="Y347" s="68"/>
      <c r="Z347" s="68"/>
      <c r="AA347" s="68"/>
      <c r="AB347" s="68"/>
      <c r="AC347" s="68"/>
      <c r="AD347" s="68"/>
      <c r="AE347" s="68"/>
      <c r="AF347" s="68"/>
    </row>
    <row r="348">
      <c r="A348" s="68"/>
      <c r="B348" s="68"/>
      <c r="C348" s="78"/>
      <c r="D348" s="78"/>
      <c r="E348" s="68"/>
      <c r="F348" s="68"/>
      <c r="G348" s="68"/>
      <c r="H348" s="68"/>
      <c r="I348" s="68"/>
      <c r="J348" s="68"/>
      <c r="K348" s="68"/>
      <c r="L348" s="68"/>
      <c r="M348" s="79"/>
      <c r="N348" s="68"/>
      <c r="O348" s="68"/>
      <c r="P348" s="68"/>
      <c r="Q348" s="68"/>
      <c r="R348" s="68"/>
      <c r="S348" s="68"/>
      <c r="T348" s="68"/>
      <c r="U348" s="68"/>
      <c r="V348" s="68"/>
      <c r="W348" s="68"/>
      <c r="X348" s="68"/>
      <c r="Y348" s="68"/>
      <c r="Z348" s="68"/>
      <c r="AA348" s="68"/>
      <c r="AB348" s="68"/>
      <c r="AC348" s="68"/>
      <c r="AD348" s="68"/>
      <c r="AE348" s="68"/>
      <c r="AF348" s="68"/>
    </row>
    <row r="349">
      <c r="A349" s="68"/>
      <c r="B349" s="68"/>
      <c r="C349" s="78"/>
      <c r="D349" s="78"/>
      <c r="E349" s="68"/>
      <c r="F349" s="68"/>
      <c r="G349" s="68"/>
      <c r="H349" s="68"/>
      <c r="I349" s="68"/>
      <c r="J349" s="68"/>
      <c r="K349" s="68"/>
      <c r="L349" s="68"/>
      <c r="M349" s="79"/>
      <c r="N349" s="68"/>
      <c r="O349" s="68"/>
      <c r="P349" s="68"/>
      <c r="Q349" s="68"/>
      <c r="R349" s="68"/>
      <c r="S349" s="68"/>
      <c r="T349" s="68"/>
      <c r="U349" s="68"/>
      <c r="V349" s="68"/>
      <c r="W349" s="68"/>
      <c r="X349" s="68"/>
      <c r="Y349" s="68"/>
      <c r="Z349" s="68"/>
      <c r="AA349" s="68"/>
      <c r="AB349" s="68"/>
      <c r="AC349" s="68"/>
      <c r="AD349" s="68"/>
      <c r="AE349" s="68"/>
      <c r="AF349" s="68"/>
    </row>
    <row r="350">
      <c r="A350" s="68"/>
      <c r="B350" s="68"/>
      <c r="C350" s="78"/>
      <c r="D350" s="78"/>
      <c r="E350" s="68"/>
      <c r="F350" s="68"/>
      <c r="G350" s="68"/>
      <c r="H350" s="68"/>
      <c r="I350" s="68"/>
      <c r="J350" s="68"/>
      <c r="K350" s="68"/>
      <c r="L350" s="68"/>
      <c r="M350" s="79"/>
      <c r="N350" s="68"/>
      <c r="O350" s="68"/>
      <c r="P350" s="68"/>
      <c r="Q350" s="68"/>
      <c r="R350" s="68"/>
      <c r="S350" s="68"/>
      <c r="T350" s="68"/>
      <c r="U350" s="68"/>
      <c r="V350" s="68"/>
      <c r="W350" s="68"/>
      <c r="X350" s="68"/>
      <c r="Y350" s="68"/>
      <c r="Z350" s="68"/>
      <c r="AA350" s="68"/>
      <c r="AB350" s="68"/>
      <c r="AC350" s="68"/>
      <c r="AD350" s="68"/>
      <c r="AE350" s="68"/>
      <c r="AF350" s="68"/>
    </row>
    <row r="351">
      <c r="A351" s="68"/>
      <c r="B351" s="68"/>
      <c r="C351" s="78"/>
      <c r="D351" s="78"/>
      <c r="E351" s="68"/>
      <c r="F351" s="68"/>
      <c r="G351" s="68"/>
      <c r="H351" s="68"/>
      <c r="I351" s="68"/>
      <c r="J351" s="68"/>
      <c r="K351" s="68"/>
      <c r="L351" s="68"/>
      <c r="M351" s="79"/>
      <c r="N351" s="68"/>
      <c r="O351" s="68"/>
      <c r="P351" s="68"/>
      <c r="Q351" s="68"/>
      <c r="R351" s="68"/>
      <c r="S351" s="68"/>
      <c r="T351" s="68"/>
      <c r="U351" s="68"/>
      <c r="V351" s="68"/>
      <c r="W351" s="68"/>
      <c r="X351" s="68"/>
      <c r="Y351" s="68"/>
      <c r="Z351" s="68"/>
      <c r="AA351" s="68"/>
      <c r="AB351" s="68"/>
      <c r="AC351" s="68"/>
      <c r="AD351" s="68"/>
      <c r="AE351" s="68"/>
      <c r="AF351" s="68"/>
    </row>
    <row r="352">
      <c r="A352" s="68"/>
      <c r="B352" s="68"/>
      <c r="C352" s="78"/>
      <c r="D352" s="78"/>
      <c r="E352" s="68"/>
      <c r="F352" s="68"/>
      <c r="G352" s="68"/>
      <c r="H352" s="68"/>
      <c r="I352" s="68"/>
      <c r="J352" s="68"/>
      <c r="K352" s="68"/>
      <c r="L352" s="68"/>
      <c r="M352" s="79"/>
      <c r="N352" s="68"/>
      <c r="O352" s="68"/>
      <c r="P352" s="68"/>
      <c r="Q352" s="68"/>
      <c r="R352" s="68"/>
      <c r="S352" s="68"/>
      <c r="T352" s="68"/>
      <c r="U352" s="68"/>
      <c r="V352" s="68"/>
      <c r="W352" s="68"/>
      <c r="X352" s="68"/>
      <c r="Y352" s="68"/>
      <c r="Z352" s="68"/>
      <c r="AA352" s="68"/>
      <c r="AB352" s="68"/>
      <c r="AC352" s="68"/>
      <c r="AD352" s="68"/>
      <c r="AE352" s="68"/>
      <c r="AF352" s="68"/>
    </row>
    <row r="353">
      <c r="A353" s="68"/>
      <c r="B353" s="68"/>
      <c r="C353" s="78"/>
      <c r="D353" s="78"/>
      <c r="E353" s="68"/>
      <c r="F353" s="68"/>
      <c r="G353" s="68"/>
      <c r="H353" s="68"/>
      <c r="I353" s="68"/>
      <c r="J353" s="68"/>
      <c r="K353" s="68"/>
      <c r="L353" s="68"/>
      <c r="M353" s="79"/>
      <c r="N353" s="68"/>
      <c r="O353" s="68"/>
      <c r="P353" s="68"/>
      <c r="Q353" s="68"/>
      <c r="R353" s="68"/>
      <c r="S353" s="68"/>
      <c r="T353" s="68"/>
      <c r="U353" s="68"/>
      <c r="V353" s="68"/>
      <c r="W353" s="68"/>
      <c r="X353" s="68"/>
      <c r="Y353" s="68"/>
      <c r="Z353" s="68"/>
      <c r="AA353" s="68"/>
      <c r="AB353" s="68"/>
      <c r="AC353" s="68"/>
      <c r="AD353" s="68"/>
      <c r="AE353" s="68"/>
      <c r="AF353" s="68"/>
    </row>
    <row r="354">
      <c r="A354" s="68"/>
      <c r="B354" s="68"/>
      <c r="C354" s="78"/>
      <c r="D354" s="78"/>
      <c r="E354" s="68"/>
      <c r="F354" s="68"/>
      <c r="G354" s="68"/>
      <c r="H354" s="68"/>
      <c r="I354" s="68"/>
      <c r="J354" s="68"/>
      <c r="K354" s="68"/>
      <c r="L354" s="68"/>
      <c r="M354" s="79"/>
      <c r="N354" s="68"/>
      <c r="O354" s="68"/>
      <c r="P354" s="68"/>
      <c r="Q354" s="68"/>
      <c r="R354" s="68"/>
      <c r="S354" s="68"/>
      <c r="T354" s="68"/>
      <c r="U354" s="68"/>
      <c r="V354" s="68"/>
      <c r="W354" s="68"/>
      <c r="X354" s="68"/>
      <c r="Y354" s="68"/>
      <c r="Z354" s="68"/>
      <c r="AA354" s="68"/>
      <c r="AB354" s="68"/>
      <c r="AC354" s="68"/>
      <c r="AD354" s="68"/>
      <c r="AE354" s="68"/>
      <c r="AF354" s="68"/>
    </row>
    <row r="355">
      <c r="A355" s="68"/>
      <c r="B355" s="68"/>
      <c r="C355" s="78"/>
      <c r="D355" s="78"/>
      <c r="E355" s="68"/>
      <c r="F355" s="68"/>
      <c r="G355" s="68"/>
      <c r="H355" s="68"/>
      <c r="I355" s="68"/>
      <c r="J355" s="68"/>
      <c r="K355" s="68"/>
      <c r="L355" s="68"/>
      <c r="M355" s="79"/>
      <c r="N355" s="68"/>
      <c r="O355" s="68"/>
      <c r="P355" s="68"/>
      <c r="Q355" s="68"/>
      <c r="R355" s="68"/>
      <c r="S355" s="68"/>
      <c r="T355" s="68"/>
      <c r="U355" s="68"/>
      <c r="V355" s="68"/>
      <c r="W355" s="68"/>
      <c r="X355" s="68"/>
      <c r="Y355" s="68"/>
      <c r="Z355" s="68"/>
      <c r="AA355" s="68"/>
      <c r="AB355" s="68"/>
      <c r="AC355" s="68"/>
      <c r="AD355" s="68"/>
      <c r="AE355" s="68"/>
      <c r="AF355" s="68"/>
    </row>
    <row r="356">
      <c r="A356" s="68"/>
      <c r="B356" s="68"/>
      <c r="C356" s="78"/>
      <c r="D356" s="78"/>
      <c r="E356" s="68"/>
      <c r="F356" s="68"/>
      <c r="G356" s="68"/>
      <c r="H356" s="68"/>
      <c r="I356" s="68"/>
      <c r="J356" s="68"/>
      <c r="K356" s="68"/>
      <c r="L356" s="68"/>
      <c r="M356" s="79"/>
      <c r="N356" s="68"/>
      <c r="O356" s="68"/>
      <c r="P356" s="68"/>
      <c r="Q356" s="68"/>
      <c r="R356" s="68"/>
      <c r="S356" s="68"/>
      <c r="T356" s="68"/>
      <c r="U356" s="68"/>
      <c r="V356" s="68"/>
      <c r="W356" s="68"/>
      <c r="X356" s="68"/>
      <c r="Y356" s="68"/>
      <c r="Z356" s="68"/>
      <c r="AA356" s="68"/>
      <c r="AB356" s="68"/>
      <c r="AC356" s="68"/>
      <c r="AD356" s="68"/>
      <c r="AE356" s="68"/>
      <c r="AF356" s="68"/>
    </row>
    <row r="357">
      <c r="A357" s="68"/>
      <c r="B357" s="68"/>
      <c r="C357" s="78"/>
      <c r="D357" s="78"/>
      <c r="E357" s="68"/>
      <c r="F357" s="68"/>
      <c r="G357" s="68"/>
      <c r="H357" s="68"/>
      <c r="I357" s="68"/>
      <c r="J357" s="68"/>
      <c r="K357" s="68"/>
      <c r="L357" s="68"/>
      <c r="M357" s="79"/>
      <c r="N357" s="68"/>
      <c r="O357" s="68"/>
      <c r="P357" s="68"/>
      <c r="Q357" s="68"/>
      <c r="R357" s="68"/>
      <c r="S357" s="68"/>
      <c r="T357" s="68"/>
      <c r="U357" s="68"/>
      <c r="V357" s="68"/>
      <c r="W357" s="68"/>
      <c r="X357" s="68"/>
      <c r="Y357" s="68"/>
      <c r="Z357" s="68"/>
      <c r="AA357" s="68"/>
      <c r="AB357" s="68"/>
      <c r="AC357" s="68"/>
      <c r="AD357" s="68"/>
      <c r="AE357" s="68"/>
      <c r="AF357" s="68"/>
    </row>
    <row r="358">
      <c r="A358" s="68"/>
      <c r="B358" s="68"/>
      <c r="C358" s="78"/>
      <c r="D358" s="78"/>
      <c r="E358" s="68"/>
      <c r="F358" s="68"/>
      <c r="G358" s="68"/>
      <c r="H358" s="68"/>
      <c r="I358" s="68"/>
      <c r="J358" s="68"/>
      <c r="K358" s="68"/>
      <c r="L358" s="68"/>
      <c r="M358" s="79"/>
      <c r="N358" s="68"/>
      <c r="O358" s="68"/>
      <c r="P358" s="68"/>
      <c r="Q358" s="68"/>
      <c r="R358" s="68"/>
      <c r="S358" s="68"/>
      <c r="T358" s="68"/>
      <c r="U358" s="68"/>
      <c r="V358" s="68"/>
      <c r="W358" s="68"/>
      <c r="X358" s="68"/>
      <c r="Y358" s="68"/>
      <c r="Z358" s="68"/>
      <c r="AA358" s="68"/>
      <c r="AB358" s="68"/>
      <c r="AC358" s="68"/>
      <c r="AD358" s="68"/>
      <c r="AE358" s="68"/>
      <c r="AF358" s="68"/>
    </row>
    <row r="359">
      <c r="A359" s="68"/>
      <c r="B359" s="68"/>
      <c r="C359" s="78"/>
      <c r="D359" s="78"/>
      <c r="E359" s="68"/>
      <c r="F359" s="68"/>
      <c r="G359" s="68"/>
      <c r="H359" s="68"/>
      <c r="I359" s="68"/>
      <c r="J359" s="68"/>
      <c r="K359" s="68"/>
      <c r="L359" s="68"/>
      <c r="M359" s="79"/>
      <c r="N359" s="68"/>
      <c r="O359" s="68"/>
      <c r="P359" s="68"/>
      <c r="Q359" s="68"/>
      <c r="R359" s="68"/>
      <c r="S359" s="68"/>
      <c r="T359" s="68"/>
      <c r="U359" s="68"/>
      <c r="V359" s="68"/>
      <c r="W359" s="68"/>
      <c r="X359" s="68"/>
      <c r="Y359" s="68"/>
      <c r="Z359" s="68"/>
      <c r="AA359" s="68"/>
      <c r="AB359" s="68"/>
      <c r="AC359" s="68"/>
      <c r="AD359" s="68"/>
      <c r="AE359" s="68"/>
      <c r="AF359" s="68"/>
    </row>
    <row r="360">
      <c r="A360" s="68"/>
      <c r="B360" s="68"/>
      <c r="C360" s="78"/>
      <c r="D360" s="78"/>
      <c r="E360" s="68"/>
      <c r="F360" s="68"/>
      <c r="G360" s="68"/>
      <c r="H360" s="68"/>
      <c r="I360" s="68"/>
      <c r="J360" s="68"/>
      <c r="K360" s="68"/>
      <c r="L360" s="68"/>
      <c r="M360" s="79"/>
      <c r="N360" s="68"/>
      <c r="O360" s="68"/>
      <c r="P360" s="68"/>
      <c r="Q360" s="68"/>
      <c r="R360" s="68"/>
      <c r="S360" s="68"/>
      <c r="T360" s="68"/>
      <c r="U360" s="68"/>
      <c r="V360" s="68"/>
      <c r="W360" s="68"/>
      <c r="X360" s="68"/>
      <c r="Y360" s="68"/>
      <c r="Z360" s="68"/>
      <c r="AA360" s="68"/>
      <c r="AB360" s="68"/>
      <c r="AC360" s="68"/>
      <c r="AD360" s="68"/>
      <c r="AE360" s="68"/>
      <c r="AF360" s="68"/>
    </row>
    <row r="361">
      <c r="A361" s="68"/>
      <c r="B361" s="68"/>
      <c r="C361" s="78"/>
      <c r="D361" s="78"/>
      <c r="E361" s="68"/>
      <c r="F361" s="68"/>
      <c r="G361" s="68"/>
      <c r="H361" s="68"/>
      <c r="I361" s="68"/>
      <c r="J361" s="68"/>
      <c r="K361" s="68"/>
      <c r="L361" s="68"/>
      <c r="M361" s="79"/>
      <c r="N361" s="68"/>
      <c r="O361" s="68"/>
      <c r="P361" s="68"/>
      <c r="Q361" s="68"/>
      <c r="R361" s="68"/>
      <c r="S361" s="68"/>
      <c r="T361" s="68"/>
      <c r="U361" s="68"/>
      <c r="V361" s="68"/>
      <c r="W361" s="68"/>
      <c r="X361" s="68"/>
      <c r="Y361" s="68"/>
      <c r="Z361" s="68"/>
      <c r="AA361" s="68"/>
      <c r="AB361" s="68"/>
      <c r="AC361" s="68"/>
      <c r="AD361" s="68"/>
      <c r="AE361" s="68"/>
      <c r="AF361" s="68"/>
    </row>
    <row r="362">
      <c r="A362" s="68"/>
      <c r="B362" s="68"/>
      <c r="C362" s="78"/>
      <c r="D362" s="78"/>
      <c r="E362" s="68"/>
      <c r="F362" s="68"/>
      <c r="G362" s="68"/>
      <c r="H362" s="68"/>
      <c r="I362" s="68"/>
      <c r="J362" s="68"/>
      <c r="K362" s="68"/>
      <c r="L362" s="68"/>
      <c r="M362" s="79"/>
      <c r="N362" s="68"/>
      <c r="O362" s="68"/>
      <c r="P362" s="68"/>
      <c r="Q362" s="68"/>
      <c r="R362" s="68"/>
      <c r="S362" s="68"/>
      <c r="T362" s="68"/>
      <c r="U362" s="68"/>
      <c r="V362" s="68"/>
      <c r="W362" s="68"/>
      <c r="X362" s="68"/>
      <c r="Y362" s="68"/>
      <c r="Z362" s="68"/>
      <c r="AA362" s="68"/>
      <c r="AB362" s="68"/>
      <c r="AC362" s="68"/>
      <c r="AD362" s="68"/>
      <c r="AE362" s="68"/>
      <c r="AF362" s="68"/>
    </row>
    <row r="363">
      <c r="A363" s="68"/>
      <c r="B363" s="68"/>
      <c r="C363" s="78"/>
      <c r="D363" s="78"/>
      <c r="E363" s="68"/>
      <c r="F363" s="68"/>
      <c r="G363" s="68"/>
      <c r="H363" s="68"/>
      <c r="I363" s="68"/>
      <c r="J363" s="68"/>
      <c r="K363" s="68"/>
      <c r="L363" s="68"/>
      <c r="M363" s="79"/>
      <c r="N363" s="68"/>
      <c r="O363" s="68"/>
      <c r="P363" s="68"/>
      <c r="Q363" s="68"/>
      <c r="R363" s="68"/>
      <c r="S363" s="68"/>
      <c r="T363" s="68"/>
      <c r="U363" s="68"/>
      <c r="V363" s="68"/>
      <c r="W363" s="68"/>
      <c r="X363" s="68"/>
      <c r="Y363" s="68"/>
      <c r="Z363" s="68"/>
      <c r="AA363" s="68"/>
      <c r="AB363" s="68"/>
      <c r="AC363" s="68"/>
      <c r="AD363" s="68"/>
      <c r="AE363" s="68"/>
      <c r="AF363" s="68"/>
    </row>
    <row r="364">
      <c r="A364" s="68"/>
      <c r="B364" s="68"/>
      <c r="C364" s="78"/>
      <c r="D364" s="78"/>
      <c r="E364" s="68"/>
      <c r="F364" s="68"/>
      <c r="G364" s="68"/>
      <c r="H364" s="68"/>
      <c r="I364" s="68"/>
      <c r="J364" s="68"/>
      <c r="K364" s="68"/>
      <c r="L364" s="68"/>
      <c r="M364" s="79"/>
      <c r="N364" s="68"/>
      <c r="O364" s="68"/>
      <c r="P364" s="68"/>
      <c r="Q364" s="68"/>
      <c r="R364" s="68"/>
      <c r="S364" s="68"/>
      <c r="T364" s="68"/>
      <c r="U364" s="68"/>
      <c r="V364" s="68"/>
      <c r="W364" s="68"/>
      <c r="X364" s="68"/>
      <c r="Y364" s="68"/>
      <c r="Z364" s="68"/>
      <c r="AA364" s="68"/>
      <c r="AB364" s="68"/>
      <c r="AC364" s="68"/>
      <c r="AD364" s="68"/>
      <c r="AE364" s="68"/>
      <c r="AF364" s="68"/>
    </row>
    <row r="365">
      <c r="A365" s="68"/>
      <c r="B365" s="68"/>
      <c r="C365" s="78"/>
      <c r="D365" s="78"/>
      <c r="E365" s="68"/>
      <c r="F365" s="68"/>
      <c r="G365" s="68"/>
      <c r="H365" s="68"/>
      <c r="I365" s="68"/>
      <c r="J365" s="68"/>
      <c r="K365" s="68"/>
      <c r="L365" s="68"/>
      <c r="M365" s="79"/>
      <c r="N365" s="68"/>
      <c r="O365" s="68"/>
      <c r="P365" s="68"/>
      <c r="Q365" s="68"/>
      <c r="R365" s="68"/>
      <c r="S365" s="68"/>
      <c r="T365" s="68"/>
      <c r="U365" s="68"/>
      <c r="V365" s="68"/>
      <c r="W365" s="68"/>
      <c r="X365" s="68"/>
      <c r="Y365" s="68"/>
      <c r="Z365" s="68"/>
      <c r="AA365" s="68"/>
      <c r="AB365" s="68"/>
      <c r="AC365" s="68"/>
      <c r="AD365" s="68"/>
      <c r="AE365" s="68"/>
      <c r="AF365" s="68"/>
    </row>
    <row r="366">
      <c r="A366" s="68"/>
      <c r="B366" s="68"/>
      <c r="C366" s="78"/>
      <c r="D366" s="78"/>
      <c r="E366" s="68"/>
      <c r="F366" s="68"/>
      <c r="G366" s="68"/>
      <c r="H366" s="68"/>
      <c r="I366" s="68"/>
      <c r="J366" s="68"/>
      <c r="K366" s="68"/>
      <c r="L366" s="68"/>
      <c r="M366" s="79"/>
      <c r="N366" s="68"/>
      <c r="O366" s="68"/>
      <c r="P366" s="68"/>
      <c r="Q366" s="68"/>
      <c r="R366" s="68"/>
      <c r="S366" s="68"/>
      <c r="T366" s="68"/>
      <c r="U366" s="68"/>
      <c r="V366" s="68"/>
      <c r="W366" s="68"/>
      <c r="X366" s="68"/>
      <c r="Y366" s="68"/>
      <c r="Z366" s="68"/>
      <c r="AA366" s="68"/>
      <c r="AB366" s="68"/>
      <c r="AC366" s="68"/>
      <c r="AD366" s="68"/>
      <c r="AE366" s="68"/>
      <c r="AF366" s="68"/>
    </row>
    <row r="367">
      <c r="A367" s="68"/>
      <c r="B367" s="68"/>
      <c r="C367" s="78"/>
      <c r="D367" s="78"/>
      <c r="E367" s="68"/>
      <c r="F367" s="68"/>
      <c r="G367" s="68"/>
      <c r="H367" s="68"/>
      <c r="I367" s="68"/>
      <c r="J367" s="68"/>
      <c r="K367" s="68"/>
      <c r="L367" s="68"/>
      <c r="M367" s="79"/>
      <c r="N367" s="68"/>
      <c r="O367" s="68"/>
      <c r="P367" s="68"/>
      <c r="Q367" s="68"/>
      <c r="R367" s="68"/>
      <c r="S367" s="68"/>
      <c r="T367" s="68"/>
      <c r="U367" s="68"/>
      <c r="V367" s="68"/>
      <c r="W367" s="68"/>
      <c r="X367" s="68"/>
      <c r="Y367" s="68"/>
      <c r="Z367" s="68"/>
      <c r="AA367" s="68"/>
      <c r="AB367" s="68"/>
      <c r="AC367" s="68"/>
      <c r="AD367" s="68"/>
      <c r="AE367" s="68"/>
      <c r="AF367" s="68"/>
    </row>
    <row r="368">
      <c r="A368" s="68"/>
      <c r="B368" s="68"/>
      <c r="C368" s="78"/>
      <c r="D368" s="78"/>
      <c r="E368" s="68"/>
      <c r="F368" s="68"/>
      <c r="G368" s="68"/>
      <c r="H368" s="68"/>
      <c r="I368" s="68"/>
      <c r="J368" s="68"/>
      <c r="K368" s="68"/>
      <c r="L368" s="68"/>
      <c r="M368" s="79"/>
      <c r="N368" s="68"/>
      <c r="O368" s="68"/>
      <c r="P368" s="68"/>
      <c r="Q368" s="68"/>
      <c r="R368" s="68"/>
      <c r="S368" s="68"/>
      <c r="T368" s="68"/>
      <c r="U368" s="68"/>
      <c r="V368" s="68"/>
      <c r="W368" s="68"/>
      <c r="X368" s="68"/>
      <c r="Y368" s="68"/>
      <c r="Z368" s="68"/>
      <c r="AA368" s="68"/>
      <c r="AB368" s="68"/>
      <c r="AC368" s="68"/>
      <c r="AD368" s="68"/>
      <c r="AE368" s="68"/>
      <c r="AF368" s="68"/>
    </row>
    <row r="369">
      <c r="A369" s="68"/>
      <c r="B369" s="68"/>
      <c r="C369" s="78"/>
      <c r="D369" s="78"/>
      <c r="E369" s="68"/>
      <c r="F369" s="68"/>
      <c r="G369" s="68"/>
      <c r="H369" s="68"/>
      <c r="I369" s="68"/>
      <c r="J369" s="68"/>
      <c r="K369" s="68"/>
      <c r="L369" s="68"/>
      <c r="M369" s="79"/>
      <c r="N369" s="68"/>
      <c r="O369" s="68"/>
      <c r="P369" s="68"/>
      <c r="Q369" s="68"/>
      <c r="R369" s="68"/>
      <c r="S369" s="68"/>
      <c r="T369" s="68"/>
      <c r="U369" s="68"/>
      <c r="V369" s="68"/>
      <c r="W369" s="68"/>
      <c r="X369" s="68"/>
      <c r="Y369" s="68"/>
      <c r="Z369" s="68"/>
      <c r="AA369" s="68"/>
      <c r="AB369" s="68"/>
      <c r="AC369" s="68"/>
      <c r="AD369" s="68"/>
      <c r="AE369" s="68"/>
      <c r="AF369" s="68"/>
    </row>
    <row r="370">
      <c r="A370" s="68"/>
      <c r="B370" s="68"/>
      <c r="C370" s="78"/>
      <c r="D370" s="78"/>
      <c r="E370" s="68"/>
      <c r="F370" s="68"/>
      <c r="G370" s="68"/>
      <c r="H370" s="68"/>
      <c r="I370" s="68"/>
      <c r="J370" s="68"/>
      <c r="K370" s="68"/>
      <c r="L370" s="68"/>
      <c r="M370" s="79"/>
      <c r="N370" s="68"/>
      <c r="O370" s="68"/>
      <c r="P370" s="68"/>
      <c r="Q370" s="68"/>
      <c r="R370" s="68"/>
      <c r="S370" s="68"/>
      <c r="T370" s="68"/>
      <c r="U370" s="68"/>
      <c r="V370" s="68"/>
      <c r="W370" s="68"/>
      <c r="X370" s="68"/>
      <c r="Y370" s="68"/>
      <c r="Z370" s="68"/>
      <c r="AA370" s="68"/>
      <c r="AB370" s="68"/>
      <c r="AC370" s="68"/>
      <c r="AD370" s="68"/>
      <c r="AE370" s="68"/>
      <c r="AF370" s="68"/>
    </row>
    <row r="371">
      <c r="A371" s="68"/>
      <c r="B371" s="68"/>
      <c r="C371" s="78"/>
      <c r="D371" s="78"/>
      <c r="E371" s="68"/>
      <c r="F371" s="68"/>
      <c r="G371" s="68"/>
      <c r="H371" s="68"/>
      <c r="I371" s="68"/>
      <c r="J371" s="68"/>
      <c r="K371" s="68"/>
      <c r="L371" s="68"/>
      <c r="M371" s="79"/>
      <c r="N371" s="68"/>
      <c r="O371" s="68"/>
      <c r="P371" s="68"/>
      <c r="Q371" s="68"/>
      <c r="R371" s="68"/>
      <c r="S371" s="68"/>
      <c r="T371" s="68"/>
      <c r="U371" s="68"/>
      <c r="V371" s="68"/>
      <c r="W371" s="68"/>
      <c r="X371" s="68"/>
      <c r="Y371" s="68"/>
      <c r="Z371" s="68"/>
      <c r="AA371" s="68"/>
      <c r="AB371" s="68"/>
      <c r="AC371" s="68"/>
      <c r="AD371" s="68"/>
      <c r="AE371" s="68"/>
      <c r="AF371" s="68"/>
    </row>
    <row r="372">
      <c r="A372" s="68"/>
      <c r="B372" s="68"/>
      <c r="C372" s="78"/>
      <c r="D372" s="78"/>
      <c r="E372" s="68"/>
      <c r="F372" s="68"/>
      <c r="G372" s="68"/>
      <c r="H372" s="68"/>
      <c r="I372" s="68"/>
      <c r="J372" s="68"/>
      <c r="K372" s="68"/>
      <c r="L372" s="68"/>
      <c r="M372" s="79"/>
      <c r="N372" s="68"/>
      <c r="O372" s="68"/>
      <c r="P372" s="68"/>
      <c r="Q372" s="68"/>
      <c r="R372" s="68"/>
      <c r="S372" s="68"/>
      <c r="T372" s="68"/>
      <c r="U372" s="68"/>
      <c r="V372" s="68"/>
      <c r="W372" s="68"/>
      <c r="X372" s="68"/>
      <c r="Y372" s="68"/>
      <c r="Z372" s="68"/>
      <c r="AA372" s="68"/>
      <c r="AB372" s="68"/>
      <c r="AC372" s="68"/>
      <c r="AD372" s="68"/>
      <c r="AE372" s="68"/>
      <c r="AF372" s="68"/>
    </row>
    <row r="373">
      <c r="A373" s="68"/>
      <c r="B373" s="68"/>
      <c r="C373" s="78"/>
      <c r="D373" s="78"/>
      <c r="E373" s="68"/>
      <c r="F373" s="68"/>
      <c r="G373" s="68"/>
      <c r="H373" s="68"/>
      <c r="I373" s="68"/>
      <c r="J373" s="68"/>
      <c r="K373" s="68"/>
      <c r="L373" s="68"/>
      <c r="M373" s="79"/>
      <c r="N373" s="68"/>
      <c r="O373" s="68"/>
      <c r="P373" s="68"/>
      <c r="Q373" s="68"/>
      <c r="R373" s="68"/>
      <c r="S373" s="68"/>
      <c r="T373" s="68"/>
      <c r="U373" s="68"/>
      <c r="V373" s="68"/>
      <c r="W373" s="68"/>
      <c r="X373" s="68"/>
      <c r="Y373" s="68"/>
      <c r="Z373" s="68"/>
      <c r="AA373" s="68"/>
      <c r="AB373" s="68"/>
      <c r="AC373" s="68"/>
      <c r="AD373" s="68"/>
      <c r="AE373" s="68"/>
      <c r="AF373" s="68"/>
    </row>
    <row r="374">
      <c r="A374" s="68"/>
      <c r="B374" s="68"/>
      <c r="C374" s="78"/>
      <c r="D374" s="78"/>
      <c r="E374" s="68"/>
      <c r="F374" s="68"/>
      <c r="G374" s="68"/>
      <c r="H374" s="68"/>
      <c r="I374" s="68"/>
      <c r="J374" s="68"/>
      <c r="K374" s="68"/>
      <c r="L374" s="68"/>
      <c r="M374" s="79"/>
      <c r="N374" s="68"/>
      <c r="O374" s="68"/>
      <c r="P374" s="68"/>
      <c r="Q374" s="68"/>
      <c r="R374" s="68"/>
      <c r="S374" s="68"/>
      <c r="T374" s="68"/>
      <c r="U374" s="68"/>
      <c r="V374" s="68"/>
      <c r="W374" s="68"/>
      <c r="X374" s="68"/>
      <c r="Y374" s="68"/>
      <c r="Z374" s="68"/>
      <c r="AA374" s="68"/>
      <c r="AB374" s="68"/>
      <c r="AC374" s="68"/>
      <c r="AD374" s="68"/>
      <c r="AE374" s="68"/>
      <c r="AF374" s="68"/>
    </row>
    <row r="375">
      <c r="A375" s="68"/>
      <c r="B375" s="68"/>
      <c r="C375" s="78"/>
      <c r="D375" s="78"/>
      <c r="E375" s="68"/>
      <c r="F375" s="68"/>
      <c r="G375" s="68"/>
      <c r="H375" s="68"/>
      <c r="I375" s="68"/>
      <c r="J375" s="68"/>
      <c r="K375" s="68"/>
      <c r="L375" s="68"/>
      <c r="M375" s="79"/>
      <c r="N375" s="68"/>
      <c r="O375" s="68"/>
      <c r="P375" s="68"/>
      <c r="Q375" s="68"/>
      <c r="R375" s="68"/>
      <c r="S375" s="68"/>
      <c r="T375" s="68"/>
      <c r="U375" s="68"/>
      <c r="V375" s="68"/>
      <c r="W375" s="68"/>
      <c r="X375" s="68"/>
      <c r="Y375" s="68"/>
      <c r="Z375" s="68"/>
      <c r="AA375" s="68"/>
      <c r="AB375" s="68"/>
      <c r="AC375" s="68"/>
      <c r="AD375" s="68"/>
      <c r="AE375" s="68"/>
      <c r="AF375" s="68"/>
    </row>
    <row r="376">
      <c r="A376" s="68"/>
      <c r="B376" s="68"/>
      <c r="C376" s="78"/>
      <c r="D376" s="78"/>
      <c r="E376" s="68"/>
      <c r="F376" s="68"/>
      <c r="G376" s="68"/>
      <c r="H376" s="68"/>
      <c r="I376" s="68"/>
      <c r="J376" s="68"/>
      <c r="K376" s="68"/>
      <c r="L376" s="68"/>
      <c r="M376" s="79"/>
      <c r="N376" s="68"/>
      <c r="O376" s="68"/>
      <c r="P376" s="68"/>
      <c r="Q376" s="68"/>
      <c r="R376" s="68"/>
      <c r="S376" s="68"/>
      <c r="T376" s="68"/>
      <c r="U376" s="68"/>
      <c r="V376" s="68"/>
      <c r="W376" s="68"/>
      <c r="X376" s="68"/>
      <c r="Y376" s="68"/>
      <c r="Z376" s="68"/>
      <c r="AA376" s="68"/>
      <c r="AB376" s="68"/>
      <c r="AC376" s="68"/>
      <c r="AD376" s="68"/>
      <c r="AE376" s="68"/>
      <c r="AF376" s="68"/>
    </row>
    <row r="377">
      <c r="A377" s="68"/>
      <c r="B377" s="68"/>
      <c r="C377" s="78"/>
      <c r="D377" s="78"/>
      <c r="E377" s="68"/>
      <c r="F377" s="68"/>
      <c r="G377" s="68"/>
      <c r="H377" s="68"/>
      <c r="I377" s="68"/>
      <c r="J377" s="68"/>
      <c r="K377" s="68"/>
      <c r="L377" s="68"/>
      <c r="M377" s="79"/>
      <c r="N377" s="68"/>
      <c r="O377" s="68"/>
      <c r="P377" s="68"/>
      <c r="Q377" s="68"/>
      <c r="R377" s="68"/>
      <c r="S377" s="68"/>
      <c r="T377" s="68"/>
      <c r="U377" s="68"/>
      <c r="V377" s="68"/>
      <c r="W377" s="68"/>
      <c r="X377" s="68"/>
      <c r="Y377" s="68"/>
      <c r="Z377" s="68"/>
      <c r="AA377" s="68"/>
      <c r="AB377" s="68"/>
      <c r="AC377" s="68"/>
      <c r="AD377" s="68"/>
      <c r="AE377" s="68"/>
      <c r="AF377" s="68"/>
    </row>
    <row r="378">
      <c r="A378" s="68"/>
      <c r="B378" s="68"/>
      <c r="C378" s="78"/>
      <c r="D378" s="78"/>
      <c r="E378" s="68"/>
      <c r="F378" s="68"/>
      <c r="G378" s="68"/>
      <c r="H378" s="68"/>
      <c r="I378" s="68"/>
      <c r="J378" s="68"/>
      <c r="K378" s="68"/>
      <c r="L378" s="68"/>
      <c r="M378" s="79"/>
      <c r="N378" s="68"/>
      <c r="O378" s="68"/>
      <c r="P378" s="68"/>
      <c r="Q378" s="68"/>
      <c r="R378" s="68"/>
      <c r="S378" s="68"/>
      <c r="T378" s="68"/>
      <c r="U378" s="68"/>
      <c r="V378" s="68"/>
      <c r="W378" s="68"/>
      <c r="X378" s="68"/>
      <c r="Y378" s="68"/>
      <c r="Z378" s="68"/>
      <c r="AA378" s="68"/>
      <c r="AB378" s="68"/>
      <c r="AC378" s="68"/>
      <c r="AD378" s="68"/>
      <c r="AE378" s="68"/>
      <c r="AF378" s="68"/>
    </row>
    <row r="379">
      <c r="A379" s="68"/>
      <c r="B379" s="68"/>
      <c r="C379" s="78"/>
      <c r="D379" s="78"/>
      <c r="E379" s="68"/>
      <c r="F379" s="68"/>
      <c r="G379" s="68"/>
      <c r="H379" s="68"/>
      <c r="I379" s="68"/>
      <c r="J379" s="68"/>
      <c r="K379" s="68"/>
      <c r="L379" s="68"/>
      <c r="M379" s="79"/>
      <c r="N379" s="68"/>
      <c r="O379" s="68"/>
      <c r="P379" s="68"/>
      <c r="Q379" s="68"/>
      <c r="R379" s="68"/>
      <c r="S379" s="68"/>
      <c r="T379" s="68"/>
      <c r="U379" s="68"/>
      <c r="V379" s="68"/>
      <c r="W379" s="68"/>
      <c r="X379" s="68"/>
      <c r="Y379" s="68"/>
      <c r="Z379" s="68"/>
      <c r="AA379" s="68"/>
      <c r="AB379" s="68"/>
      <c r="AC379" s="68"/>
      <c r="AD379" s="68"/>
      <c r="AE379" s="68"/>
      <c r="AF379" s="68"/>
    </row>
    <row r="380">
      <c r="A380" s="68"/>
      <c r="B380" s="68"/>
      <c r="C380" s="78"/>
      <c r="D380" s="78"/>
      <c r="E380" s="68"/>
      <c r="F380" s="68"/>
      <c r="G380" s="68"/>
      <c r="H380" s="68"/>
      <c r="I380" s="68"/>
      <c r="J380" s="68"/>
      <c r="K380" s="68"/>
      <c r="L380" s="68"/>
      <c r="M380" s="79"/>
      <c r="N380" s="68"/>
      <c r="O380" s="68"/>
      <c r="P380" s="68"/>
      <c r="Q380" s="68"/>
      <c r="R380" s="68"/>
      <c r="S380" s="68"/>
      <c r="T380" s="68"/>
      <c r="U380" s="68"/>
      <c r="V380" s="68"/>
      <c r="W380" s="68"/>
      <c r="X380" s="68"/>
      <c r="Y380" s="68"/>
      <c r="Z380" s="68"/>
      <c r="AA380" s="68"/>
      <c r="AB380" s="68"/>
      <c r="AC380" s="68"/>
      <c r="AD380" s="68"/>
      <c r="AE380" s="68"/>
      <c r="AF380" s="68"/>
    </row>
    <row r="381">
      <c r="A381" s="68"/>
      <c r="B381" s="68"/>
      <c r="C381" s="78"/>
      <c r="D381" s="78"/>
      <c r="E381" s="68"/>
      <c r="F381" s="68"/>
      <c r="G381" s="68"/>
      <c r="H381" s="68"/>
      <c r="I381" s="68"/>
      <c r="J381" s="68"/>
      <c r="K381" s="68"/>
      <c r="L381" s="68"/>
      <c r="M381" s="79"/>
      <c r="N381" s="68"/>
      <c r="O381" s="68"/>
      <c r="P381" s="68"/>
      <c r="Q381" s="68"/>
      <c r="R381" s="68"/>
      <c r="S381" s="68"/>
      <c r="T381" s="68"/>
      <c r="U381" s="68"/>
      <c r="V381" s="68"/>
      <c r="W381" s="68"/>
      <c r="X381" s="68"/>
      <c r="Y381" s="68"/>
      <c r="Z381" s="68"/>
      <c r="AA381" s="68"/>
      <c r="AB381" s="68"/>
      <c r="AC381" s="68"/>
      <c r="AD381" s="68"/>
      <c r="AE381" s="68"/>
      <c r="AF381" s="68"/>
    </row>
    <row r="382">
      <c r="A382" s="68"/>
      <c r="B382" s="68"/>
      <c r="C382" s="78"/>
      <c r="D382" s="78"/>
      <c r="E382" s="68"/>
      <c r="F382" s="68"/>
      <c r="G382" s="68"/>
      <c r="H382" s="68"/>
      <c r="I382" s="68"/>
      <c r="J382" s="68"/>
      <c r="K382" s="68"/>
      <c r="L382" s="68"/>
      <c r="M382" s="79"/>
      <c r="N382" s="68"/>
      <c r="O382" s="68"/>
      <c r="P382" s="68"/>
      <c r="Q382" s="68"/>
      <c r="R382" s="68"/>
      <c r="S382" s="68"/>
      <c r="T382" s="68"/>
      <c r="U382" s="68"/>
      <c r="V382" s="68"/>
      <c r="W382" s="68"/>
      <c r="X382" s="68"/>
      <c r="Y382" s="68"/>
      <c r="Z382" s="68"/>
      <c r="AA382" s="68"/>
      <c r="AB382" s="68"/>
      <c r="AC382" s="68"/>
      <c r="AD382" s="68"/>
      <c r="AE382" s="68"/>
      <c r="AF382" s="68"/>
    </row>
    <row r="383">
      <c r="A383" s="68"/>
      <c r="B383" s="68"/>
      <c r="C383" s="78"/>
      <c r="D383" s="78"/>
      <c r="E383" s="68"/>
      <c r="F383" s="68"/>
      <c r="G383" s="68"/>
      <c r="H383" s="68"/>
      <c r="I383" s="68"/>
      <c r="J383" s="68"/>
      <c r="K383" s="68"/>
      <c r="L383" s="68"/>
      <c r="M383" s="79"/>
      <c r="N383" s="68"/>
      <c r="O383" s="68"/>
      <c r="P383" s="68"/>
      <c r="Q383" s="68"/>
      <c r="R383" s="68"/>
      <c r="S383" s="68"/>
      <c r="T383" s="68"/>
      <c r="U383" s="68"/>
      <c r="V383" s="68"/>
      <c r="W383" s="68"/>
      <c r="X383" s="68"/>
      <c r="Y383" s="68"/>
      <c r="Z383" s="68"/>
      <c r="AA383" s="68"/>
      <c r="AB383" s="68"/>
      <c r="AC383" s="68"/>
      <c r="AD383" s="68"/>
      <c r="AE383" s="68"/>
      <c r="AF383" s="68"/>
    </row>
    <row r="384">
      <c r="A384" s="68"/>
      <c r="B384" s="68"/>
      <c r="C384" s="78"/>
      <c r="D384" s="78"/>
      <c r="E384" s="68"/>
      <c r="F384" s="68"/>
      <c r="G384" s="68"/>
      <c r="H384" s="68"/>
      <c r="I384" s="68"/>
      <c r="J384" s="68"/>
      <c r="K384" s="68"/>
      <c r="L384" s="68"/>
      <c r="M384" s="79"/>
      <c r="N384" s="68"/>
      <c r="O384" s="68"/>
      <c r="P384" s="68"/>
      <c r="Q384" s="68"/>
      <c r="R384" s="68"/>
      <c r="S384" s="68"/>
      <c r="T384" s="68"/>
      <c r="U384" s="68"/>
      <c r="V384" s="68"/>
      <c r="W384" s="68"/>
      <c r="X384" s="68"/>
      <c r="Y384" s="68"/>
      <c r="Z384" s="68"/>
      <c r="AA384" s="68"/>
      <c r="AB384" s="68"/>
      <c r="AC384" s="68"/>
      <c r="AD384" s="68"/>
      <c r="AE384" s="68"/>
      <c r="AF384" s="68"/>
    </row>
    <row r="385">
      <c r="A385" s="68"/>
      <c r="B385" s="68"/>
      <c r="C385" s="78"/>
      <c r="D385" s="78"/>
      <c r="E385" s="68"/>
      <c r="F385" s="68"/>
      <c r="G385" s="68"/>
      <c r="H385" s="68"/>
      <c r="I385" s="68"/>
      <c r="J385" s="68"/>
      <c r="K385" s="68"/>
      <c r="L385" s="68"/>
      <c r="M385" s="79"/>
      <c r="N385" s="68"/>
      <c r="O385" s="68"/>
      <c r="P385" s="68"/>
      <c r="Q385" s="68"/>
      <c r="R385" s="68"/>
      <c r="S385" s="68"/>
      <c r="T385" s="68"/>
      <c r="U385" s="68"/>
      <c r="V385" s="68"/>
      <c r="W385" s="68"/>
      <c r="X385" s="68"/>
      <c r="Y385" s="68"/>
      <c r="Z385" s="68"/>
      <c r="AA385" s="68"/>
      <c r="AB385" s="68"/>
      <c r="AC385" s="68"/>
      <c r="AD385" s="68"/>
      <c r="AE385" s="68"/>
      <c r="AF385" s="68"/>
    </row>
    <row r="386">
      <c r="A386" s="68"/>
      <c r="B386" s="68"/>
      <c r="C386" s="78"/>
      <c r="D386" s="78"/>
      <c r="E386" s="68"/>
      <c r="F386" s="68"/>
      <c r="G386" s="68"/>
      <c r="H386" s="68"/>
      <c r="I386" s="68"/>
      <c r="J386" s="68"/>
      <c r="K386" s="68"/>
      <c r="L386" s="68"/>
      <c r="M386" s="79"/>
      <c r="N386" s="68"/>
      <c r="O386" s="68"/>
      <c r="P386" s="68"/>
      <c r="Q386" s="68"/>
      <c r="R386" s="68"/>
      <c r="S386" s="68"/>
      <c r="T386" s="68"/>
      <c r="U386" s="68"/>
      <c r="V386" s="68"/>
      <c r="W386" s="68"/>
      <c r="X386" s="68"/>
      <c r="Y386" s="68"/>
      <c r="Z386" s="68"/>
      <c r="AA386" s="68"/>
      <c r="AB386" s="68"/>
      <c r="AC386" s="68"/>
      <c r="AD386" s="68"/>
      <c r="AE386" s="68"/>
      <c r="AF386" s="68"/>
    </row>
    <row r="387">
      <c r="A387" s="68"/>
      <c r="B387" s="68"/>
      <c r="C387" s="78"/>
      <c r="D387" s="78"/>
      <c r="E387" s="68"/>
      <c r="F387" s="68"/>
      <c r="G387" s="68"/>
      <c r="H387" s="68"/>
      <c r="I387" s="68"/>
      <c r="J387" s="68"/>
      <c r="K387" s="68"/>
      <c r="L387" s="68"/>
      <c r="M387" s="79"/>
      <c r="N387" s="68"/>
      <c r="O387" s="68"/>
      <c r="P387" s="68"/>
      <c r="Q387" s="68"/>
      <c r="R387" s="68"/>
      <c r="S387" s="68"/>
      <c r="T387" s="68"/>
      <c r="U387" s="68"/>
      <c r="V387" s="68"/>
      <c r="W387" s="68"/>
      <c r="X387" s="68"/>
      <c r="Y387" s="68"/>
      <c r="Z387" s="68"/>
      <c r="AA387" s="68"/>
      <c r="AB387" s="68"/>
      <c r="AC387" s="68"/>
      <c r="AD387" s="68"/>
      <c r="AE387" s="68"/>
      <c r="AF387" s="68"/>
    </row>
    <row r="388">
      <c r="A388" s="68"/>
      <c r="B388" s="68"/>
      <c r="C388" s="78"/>
      <c r="D388" s="78"/>
      <c r="E388" s="68"/>
      <c r="F388" s="68"/>
      <c r="G388" s="68"/>
      <c r="H388" s="68"/>
      <c r="I388" s="68"/>
      <c r="J388" s="68"/>
      <c r="K388" s="68"/>
      <c r="L388" s="68"/>
      <c r="M388" s="79"/>
      <c r="N388" s="68"/>
      <c r="O388" s="68"/>
      <c r="P388" s="68"/>
      <c r="Q388" s="68"/>
      <c r="R388" s="68"/>
      <c r="S388" s="68"/>
      <c r="T388" s="68"/>
      <c r="U388" s="68"/>
      <c r="V388" s="68"/>
      <c r="W388" s="68"/>
      <c r="X388" s="68"/>
      <c r="Y388" s="68"/>
      <c r="Z388" s="68"/>
      <c r="AA388" s="68"/>
      <c r="AB388" s="68"/>
      <c r="AC388" s="68"/>
      <c r="AD388" s="68"/>
      <c r="AE388" s="68"/>
      <c r="AF388" s="68"/>
    </row>
    <row r="389">
      <c r="A389" s="68"/>
      <c r="B389" s="68"/>
      <c r="C389" s="78"/>
      <c r="D389" s="78"/>
      <c r="E389" s="68"/>
      <c r="F389" s="68"/>
      <c r="G389" s="68"/>
      <c r="H389" s="68"/>
      <c r="I389" s="68"/>
      <c r="J389" s="68"/>
      <c r="K389" s="68"/>
      <c r="L389" s="68"/>
      <c r="M389" s="79"/>
      <c r="N389" s="68"/>
      <c r="O389" s="68"/>
      <c r="P389" s="68"/>
      <c r="Q389" s="68"/>
      <c r="R389" s="68"/>
      <c r="S389" s="68"/>
      <c r="T389" s="68"/>
      <c r="U389" s="68"/>
      <c r="V389" s="68"/>
      <c r="W389" s="68"/>
      <c r="X389" s="68"/>
      <c r="Y389" s="68"/>
      <c r="Z389" s="68"/>
      <c r="AA389" s="68"/>
      <c r="AB389" s="68"/>
      <c r="AC389" s="68"/>
      <c r="AD389" s="68"/>
      <c r="AE389" s="68"/>
      <c r="AF389" s="68"/>
    </row>
    <row r="390">
      <c r="A390" s="68"/>
      <c r="B390" s="68"/>
      <c r="C390" s="78"/>
      <c r="D390" s="78"/>
      <c r="E390" s="68"/>
      <c r="F390" s="68"/>
      <c r="G390" s="68"/>
      <c r="H390" s="68"/>
      <c r="I390" s="68"/>
      <c r="J390" s="68"/>
      <c r="K390" s="68"/>
      <c r="L390" s="68"/>
      <c r="M390" s="79"/>
      <c r="N390" s="68"/>
      <c r="O390" s="68"/>
      <c r="P390" s="68"/>
      <c r="Q390" s="68"/>
      <c r="R390" s="68"/>
      <c r="S390" s="68"/>
      <c r="T390" s="68"/>
      <c r="U390" s="68"/>
      <c r="V390" s="68"/>
      <c r="W390" s="68"/>
      <c r="X390" s="68"/>
      <c r="Y390" s="68"/>
      <c r="Z390" s="68"/>
      <c r="AA390" s="68"/>
      <c r="AB390" s="68"/>
      <c r="AC390" s="68"/>
      <c r="AD390" s="68"/>
      <c r="AE390" s="68"/>
      <c r="AF390" s="68"/>
    </row>
    <row r="391">
      <c r="A391" s="68"/>
      <c r="B391" s="68"/>
      <c r="C391" s="78"/>
      <c r="D391" s="78"/>
      <c r="E391" s="68"/>
      <c r="F391" s="68"/>
      <c r="G391" s="68"/>
      <c r="H391" s="68"/>
      <c r="I391" s="68"/>
      <c r="J391" s="68"/>
      <c r="K391" s="68"/>
      <c r="L391" s="68"/>
      <c r="M391" s="79"/>
      <c r="N391" s="68"/>
      <c r="O391" s="68"/>
      <c r="P391" s="68"/>
      <c r="Q391" s="68"/>
      <c r="R391" s="68"/>
      <c r="S391" s="68"/>
      <c r="T391" s="68"/>
      <c r="U391" s="68"/>
      <c r="V391" s="68"/>
      <c r="W391" s="68"/>
      <c r="X391" s="68"/>
      <c r="Y391" s="68"/>
      <c r="Z391" s="68"/>
      <c r="AA391" s="68"/>
      <c r="AB391" s="68"/>
      <c r="AC391" s="68"/>
      <c r="AD391" s="68"/>
      <c r="AE391" s="68"/>
      <c r="AF391" s="68"/>
    </row>
    <row r="392">
      <c r="A392" s="68"/>
      <c r="B392" s="68"/>
      <c r="C392" s="78"/>
      <c r="D392" s="78"/>
      <c r="E392" s="68"/>
      <c r="F392" s="68"/>
      <c r="G392" s="68"/>
      <c r="H392" s="68"/>
      <c r="I392" s="68"/>
      <c r="J392" s="68"/>
      <c r="K392" s="68"/>
      <c r="L392" s="68"/>
      <c r="M392" s="79"/>
      <c r="N392" s="68"/>
      <c r="O392" s="68"/>
      <c r="P392" s="68"/>
      <c r="Q392" s="68"/>
      <c r="R392" s="68"/>
      <c r="S392" s="68"/>
      <c r="T392" s="68"/>
      <c r="U392" s="68"/>
      <c r="V392" s="68"/>
      <c r="W392" s="68"/>
      <c r="X392" s="68"/>
      <c r="Y392" s="68"/>
      <c r="Z392" s="68"/>
      <c r="AA392" s="68"/>
      <c r="AB392" s="68"/>
      <c r="AC392" s="68"/>
      <c r="AD392" s="68"/>
      <c r="AE392" s="68"/>
      <c r="AF392" s="68"/>
    </row>
    <row r="393">
      <c r="A393" s="68"/>
      <c r="B393" s="68"/>
      <c r="C393" s="78"/>
      <c r="D393" s="78"/>
      <c r="E393" s="68"/>
      <c r="F393" s="68"/>
      <c r="G393" s="68"/>
      <c r="H393" s="68"/>
      <c r="I393" s="68"/>
      <c r="J393" s="68"/>
      <c r="K393" s="68"/>
      <c r="L393" s="68"/>
      <c r="M393" s="79"/>
      <c r="N393" s="68"/>
      <c r="O393" s="68"/>
      <c r="P393" s="68"/>
      <c r="Q393" s="68"/>
      <c r="R393" s="68"/>
      <c r="S393" s="68"/>
      <c r="T393" s="68"/>
      <c r="U393" s="68"/>
      <c r="V393" s="68"/>
      <c r="W393" s="68"/>
      <c r="X393" s="68"/>
      <c r="Y393" s="68"/>
      <c r="Z393" s="68"/>
      <c r="AA393" s="68"/>
      <c r="AB393" s="68"/>
      <c r="AC393" s="68"/>
      <c r="AD393" s="68"/>
      <c r="AE393" s="68"/>
      <c r="AF393" s="68"/>
    </row>
    <row r="394">
      <c r="A394" s="68"/>
      <c r="B394" s="68"/>
      <c r="C394" s="78"/>
      <c r="D394" s="78"/>
      <c r="E394" s="68"/>
      <c r="F394" s="68"/>
      <c r="G394" s="68"/>
      <c r="H394" s="68"/>
      <c r="I394" s="68"/>
      <c r="J394" s="68"/>
      <c r="K394" s="68"/>
      <c r="L394" s="68"/>
      <c r="M394" s="79"/>
      <c r="N394" s="68"/>
      <c r="O394" s="68"/>
      <c r="P394" s="68"/>
      <c r="Q394" s="68"/>
      <c r="R394" s="68"/>
      <c r="S394" s="68"/>
      <c r="T394" s="68"/>
      <c r="U394" s="68"/>
      <c r="V394" s="68"/>
      <c r="W394" s="68"/>
      <c r="X394" s="68"/>
      <c r="Y394" s="68"/>
      <c r="Z394" s="68"/>
      <c r="AA394" s="68"/>
      <c r="AB394" s="68"/>
      <c r="AC394" s="68"/>
      <c r="AD394" s="68"/>
      <c r="AE394" s="68"/>
      <c r="AF394" s="68"/>
    </row>
    <row r="395">
      <c r="A395" s="68"/>
      <c r="B395" s="68"/>
      <c r="C395" s="78"/>
      <c r="D395" s="78"/>
      <c r="E395" s="68"/>
      <c r="F395" s="68"/>
      <c r="G395" s="68"/>
      <c r="H395" s="68"/>
      <c r="I395" s="68"/>
      <c r="J395" s="68"/>
      <c r="K395" s="68"/>
      <c r="L395" s="68"/>
      <c r="M395" s="79"/>
      <c r="N395" s="68"/>
      <c r="O395" s="68"/>
      <c r="P395" s="68"/>
      <c r="Q395" s="68"/>
      <c r="R395" s="68"/>
      <c r="S395" s="68"/>
      <c r="T395" s="68"/>
      <c r="U395" s="68"/>
      <c r="V395" s="68"/>
      <c r="W395" s="68"/>
      <c r="X395" s="68"/>
      <c r="Y395" s="68"/>
      <c r="Z395" s="68"/>
      <c r="AA395" s="68"/>
      <c r="AB395" s="68"/>
      <c r="AC395" s="68"/>
      <c r="AD395" s="68"/>
      <c r="AE395" s="68"/>
      <c r="AF395" s="68"/>
    </row>
    <row r="396">
      <c r="A396" s="68"/>
      <c r="B396" s="68"/>
      <c r="C396" s="78"/>
      <c r="D396" s="78"/>
      <c r="E396" s="68"/>
      <c r="F396" s="68"/>
      <c r="G396" s="68"/>
      <c r="H396" s="68"/>
      <c r="I396" s="68"/>
      <c r="J396" s="68"/>
      <c r="K396" s="68"/>
      <c r="L396" s="68"/>
      <c r="M396" s="79"/>
      <c r="N396" s="68"/>
      <c r="O396" s="68"/>
      <c r="P396" s="68"/>
      <c r="Q396" s="68"/>
      <c r="R396" s="68"/>
      <c r="S396" s="68"/>
      <c r="T396" s="68"/>
      <c r="U396" s="68"/>
      <c r="V396" s="68"/>
      <c r="W396" s="68"/>
      <c r="X396" s="68"/>
      <c r="Y396" s="68"/>
      <c r="Z396" s="68"/>
      <c r="AA396" s="68"/>
      <c r="AB396" s="68"/>
      <c r="AC396" s="68"/>
      <c r="AD396" s="68"/>
      <c r="AE396" s="68"/>
      <c r="AF396" s="68"/>
    </row>
    <row r="397">
      <c r="A397" s="68"/>
      <c r="B397" s="68"/>
      <c r="C397" s="78"/>
      <c r="D397" s="78"/>
      <c r="E397" s="68"/>
      <c r="F397" s="68"/>
      <c r="G397" s="68"/>
      <c r="H397" s="68"/>
      <c r="I397" s="68"/>
      <c r="J397" s="68"/>
      <c r="K397" s="68"/>
      <c r="L397" s="68"/>
      <c r="M397" s="79"/>
      <c r="N397" s="68"/>
      <c r="O397" s="68"/>
      <c r="P397" s="68"/>
      <c r="Q397" s="68"/>
      <c r="R397" s="68"/>
      <c r="S397" s="68"/>
      <c r="T397" s="68"/>
      <c r="U397" s="68"/>
      <c r="V397" s="68"/>
      <c r="W397" s="68"/>
      <c r="X397" s="68"/>
      <c r="Y397" s="68"/>
      <c r="Z397" s="68"/>
      <c r="AA397" s="68"/>
      <c r="AB397" s="68"/>
      <c r="AC397" s="68"/>
      <c r="AD397" s="68"/>
      <c r="AE397" s="68"/>
      <c r="AF397" s="68"/>
    </row>
    <row r="398">
      <c r="A398" s="68"/>
      <c r="B398" s="68"/>
      <c r="C398" s="78"/>
      <c r="D398" s="78"/>
      <c r="E398" s="68"/>
      <c r="F398" s="68"/>
      <c r="G398" s="68"/>
      <c r="H398" s="68"/>
      <c r="I398" s="68"/>
      <c r="J398" s="68"/>
      <c r="K398" s="68"/>
      <c r="L398" s="68"/>
      <c r="M398" s="79"/>
      <c r="N398" s="68"/>
      <c r="O398" s="68"/>
      <c r="P398" s="68"/>
      <c r="Q398" s="68"/>
      <c r="R398" s="68"/>
      <c r="S398" s="68"/>
      <c r="T398" s="68"/>
      <c r="U398" s="68"/>
      <c r="V398" s="68"/>
      <c r="W398" s="68"/>
      <c r="X398" s="68"/>
      <c r="Y398" s="68"/>
      <c r="Z398" s="68"/>
      <c r="AA398" s="68"/>
      <c r="AB398" s="68"/>
      <c r="AC398" s="68"/>
      <c r="AD398" s="68"/>
      <c r="AE398" s="68"/>
      <c r="AF398" s="68"/>
    </row>
    <row r="399">
      <c r="A399" s="68"/>
      <c r="B399" s="68"/>
      <c r="C399" s="78"/>
      <c r="D399" s="78"/>
      <c r="E399" s="68"/>
      <c r="F399" s="68"/>
      <c r="G399" s="68"/>
      <c r="H399" s="68"/>
      <c r="I399" s="68"/>
      <c r="J399" s="68"/>
      <c r="K399" s="68"/>
      <c r="L399" s="68"/>
      <c r="M399" s="79"/>
      <c r="N399" s="68"/>
      <c r="O399" s="68"/>
      <c r="P399" s="68"/>
      <c r="Q399" s="68"/>
      <c r="R399" s="68"/>
      <c r="S399" s="68"/>
      <c r="T399" s="68"/>
      <c r="U399" s="68"/>
      <c r="V399" s="68"/>
      <c r="W399" s="68"/>
      <c r="X399" s="68"/>
      <c r="Y399" s="68"/>
      <c r="Z399" s="68"/>
      <c r="AA399" s="68"/>
      <c r="AB399" s="68"/>
      <c r="AC399" s="68"/>
      <c r="AD399" s="68"/>
      <c r="AE399" s="68"/>
      <c r="AF399" s="68"/>
    </row>
    <row r="400">
      <c r="A400" s="68"/>
      <c r="B400" s="68"/>
      <c r="C400" s="78"/>
      <c r="D400" s="78"/>
      <c r="E400" s="68"/>
      <c r="F400" s="68"/>
      <c r="G400" s="68"/>
      <c r="H400" s="68"/>
      <c r="I400" s="68"/>
      <c r="J400" s="68"/>
      <c r="K400" s="68"/>
      <c r="L400" s="68"/>
      <c r="M400" s="79"/>
      <c r="N400" s="68"/>
      <c r="O400" s="68"/>
      <c r="P400" s="68"/>
      <c r="Q400" s="68"/>
      <c r="R400" s="68"/>
      <c r="S400" s="68"/>
      <c r="T400" s="68"/>
      <c r="U400" s="68"/>
      <c r="V400" s="68"/>
      <c r="W400" s="68"/>
      <c r="X400" s="68"/>
      <c r="Y400" s="68"/>
      <c r="Z400" s="68"/>
      <c r="AA400" s="68"/>
      <c r="AB400" s="68"/>
      <c r="AC400" s="68"/>
      <c r="AD400" s="68"/>
      <c r="AE400" s="68"/>
      <c r="AF400" s="68"/>
    </row>
    <row r="401">
      <c r="A401" s="68"/>
      <c r="B401" s="68"/>
      <c r="C401" s="78"/>
      <c r="D401" s="78"/>
      <c r="E401" s="68"/>
      <c r="F401" s="68"/>
      <c r="G401" s="68"/>
      <c r="H401" s="68"/>
      <c r="I401" s="68"/>
      <c r="J401" s="68"/>
      <c r="K401" s="68"/>
      <c r="L401" s="68"/>
      <c r="M401" s="79"/>
      <c r="N401" s="68"/>
      <c r="O401" s="68"/>
      <c r="P401" s="68"/>
      <c r="Q401" s="68"/>
      <c r="R401" s="68"/>
      <c r="S401" s="68"/>
      <c r="T401" s="68"/>
      <c r="U401" s="68"/>
      <c r="V401" s="68"/>
      <c r="W401" s="68"/>
      <c r="X401" s="68"/>
      <c r="Y401" s="68"/>
      <c r="Z401" s="68"/>
      <c r="AA401" s="68"/>
      <c r="AB401" s="68"/>
      <c r="AC401" s="68"/>
      <c r="AD401" s="68"/>
      <c r="AE401" s="68"/>
      <c r="AF401" s="68"/>
    </row>
    <row r="402">
      <c r="A402" s="68"/>
      <c r="B402" s="68"/>
      <c r="C402" s="78"/>
      <c r="D402" s="78"/>
      <c r="E402" s="68"/>
      <c r="F402" s="68"/>
      <c r="G402" s="68"/>
      <c r="H402" s="68"/>
      <c r="I402" s="68"/>
      <c r="J402" s="68"/>
      <c r="K402" s="68"/>
      <c r="L402" s="68"/>
      <c r="M402" s="79"/>
      <c r="N402" s="68"/>
      <c r="O402" s="68"/>
      <c r="P402" s="68"/>
      <c r="Q402" s="68"/>
      <c r="R402" s="68"/>
      <c r="S402" s="68"/>
      <c r="T402" s="68"/>
      <c r="U402" s="68"/>
      <c r="V402" s="68"/>
      <c r="W402" s="68"/>
      <c r="X402" s="68"/>
      <c r="Y402" s="68"/>
      <c r="Z402" s="68"/>
      <c r="AA402" s="68"/>
      <c r="AB402" s="68"/>
      <c r="AC402" s="68"/>
      <c r="AD402" s="68"/>
      <c r="AE402" s="68"/>
      <c r="AF402" s="68"/>
    </row>
    <row r="403">
      <c r="A403" s="68"/>
      <c r="B403" s="68"/>
      <c r="C403" s="78"/>
      <c r="D403" s="78"/>
      <c r="E403" s="68"/>
      <c r="F403" s="68"/>
      <c r="G403" s="68"/>
      <c r="H403" s="68"/>
      <c r="I403" s="68"/>
      <c r="J403" s="68"/>
      <c r="K403" s="68"/>
      <c r="L403" s="68"/>
      <c r="M403" s="79"/>
      <c r="N403" s="68"/>
      <c r="O403" s="68"/>
      <c r="P403" s="68"/>
      <c r="Q403" s="68"/>
      <c r="R403" s="68"/>
      <c r="S403" s="68"/>
      <c r="T403" s="68"/>
      <c r="U403" s="68"/>
      <c r="V403" s="68"/>
      <c r="W403" s="68"/>
      <c r="X403" s="68"/>
      <c r="Y403" s="68"/>
      <c r="Z403" s="68"/>
      <c r="AA403" s="68"/>
      <c r="AB403" s="68"/>
      <c r="AC403" s="68"/>
      <c r="AD403" s="68"/>
      <c r="AE403" s="68"/>
      <c r="AF403" s="68"/>
    </row>
    <row r="404">
      <c r="A404" s="68"/>
      <c r="B404" s="68"/>
      <c r="C404" s="78"/>
      <c r="D404" s="78"/>
      <c r="E404" s="68"/>
      <c r="F404" s="68"/>
      <c r="G404" s="68"/>
      <c r="H404" s="68"/>
      <c r="I404" s="68"/>
      <c r="J404" s="68"/>
      <c r="K404" s="68"/>
      <c r="L404" s="68"/>
      <c r="M404" s="79"/>
      <c r="N404" s="68"/>
      <c r="O404" s="68"/>
      <c r="P404" s="68"/>
      <c r="Q404" s="68"/>
      <c r="R404" s="68"/>
      <c r="S404" s="68"/>
      <c r="T404" s="68"/>
      <c r="U404" s="68"/>
      <c r="V404" s="68"/>
      <c r="W404" s="68"/>
      <c r="X404" s="68"/>
      <c r="Y404" s="68"/>
      <c r="Z404" s="68"/>
      <c r="AA404" s="68"/>
      <c r="AB404" s="68"/>
      <c r="AC404" s="68"/>
      <c r="AD404" s="68"/>
      <c r="AE404" s="68"/>
      <c r="AF404" s="68"/>
    </row>
    <row r="405">
      <c r="A405" s="68"/>
      <c r="B405" s="68"/>
      <c r="C405" s="78"/>
      <c r="D405" s="78"/>
      <c r="E405" s="68"/>
      <c r="F405" s="68"/>
      <c r="G405" s="68"/>
      <c r="H405" s="68"/>
      <c r="I405" s="68"/>
      <c r="J405" s="68"/>
      <c r="K405" s="68"/>
      <c r="L405" s="68"/>
      <c r="M405" s="79"/>
      <c r="N405" s="68"/>
      <c r="O405" s="68"/>
      <c r="P405" s="68"/>
      <c r="Q405" s="68"/>
      <c r="R405" s="68"/>
      <c r="S405" s="68"/>
      <c r="T405" s="68"/>
      <c r="U405" s="68"/>
      <c r="V405" s="68"/>
      <c r="W405" s="68"/>
      <c r="X405" s="68"/>
      <c r="Y405" s="68"/>
      <c r="Z405" s="68"/>
      <c r="AA405" s="68"/>
      <c r="AB405" s="68"/>
      <c r="AC405" s="68"/>
      <c r="AD405" s="68"/>
      <c r="AE405" s="68"/>
      <c r="AF405" s="68"/>
    </row>
    <row r="406">
      <c r="A406" s="68"/>
      <c r="B406" s="68"/>
      <c r="C406" s="78"/>
      <c r="D406" s="78"/>
      <c r="E406" s="68"/>
      <c r="F406" s="68"/>
      <c r="G406" s="68"/>
      <c r="H406" s="68"/>
      <c r="I406" s="68"/>
      <c r="J406" s="68"/>
      <c r="K406" s="68"/>
      <c r="L406" s="68"/>
      <c r="M406" s="79"/>
      <c r="N406" s="68"/>
      <c r="O406" s="68"/>
      <c r="P406" s="68"/>
      <c r="Q406" s="68"/>
      <c r="R406" s="68"/>
      <c r="S406" s="68"/>
      <c r="T406" s="68"/>
      <c r="U406" s="68"/>
      <c r="V406" s="68"/>
      <c r="W406" s="68"/>
      <c r="X406" s="68"/>
      <c r="Y406" s="68"/>
      <c r="Z406" s="68"/>
      <c r="AA406" s="68"/>
      <c r="AB406" s="68"/>
      <c r="AC406" s="68"/>
      <c r="AD406" s="68"/>
      <c r="AE406" s="68"/>
      <c r="AF406" s="68"/>
    </row>
    <row r="407">
      <c r="A407" s="68"/>
      <c r="B407" s="68"/>
      <c r="C407" s="78"/>
      <c r="D407" s="78"/>
      <c r="E407" s="68"/>
      <c r="F407" s="68"/>
      <c r="G407" s="68"/>
      <c r="H407" s="68"/>
      <c r="I407" s="68"/>
      <c r="J407" s="68"/>
      <c r="K407" s="68"/>
      <c r="L407" s="68"/>
      <c r="M407" s="79"/>
      <c r="N407" s="68"/>
      <c r="O407" s="68"/>
      <c r="P407" s="68"/>
      <c r="Q407" s="68"/>
      <c r="R407" s="68"/>
      <c r="S407" s="68"/>
      <c r="T407" s="68"/>
      <c r="U407" s="68"/>
      <c r="V407" s="68"/>
      <c r="W407" s="68"/>
      <c r="X407" s="68"/>
      <c r="Y407" s="68"/>
      <c r="Z407" s="68"/>
      <c r="AA407" s="68"/>
      <c r="AB407" s="68"/>
      <c r="AC407" s="68"/>
      <c r="AD407" s="68"/>
      <c r="AE407" s="68"/>
      <c r="AF407" s="68"/>
    </row>
    <row r="408">
      <c r="A408" s="68"/>
      <c r="B408" s="68"/>
      <c r="C408" s="78"/>
      <c r="D408" s="78"/>
      <c r="E408" s="68"/>
      <c r="F408" s="68"/>
      <c r="G408" s="68"/>
      <c r="H408" s="68"/>
      <c r="I408" s="68"/>
      <c r="J408" s="68"/>
      <c r="K408" s="68"/>
      <c r="L408" s="68"/>
      <c r="M408" s="79"/>
      <c r="N408" s="68"/>
      <c r="O408" s="68"/>
      <c r="P408" s="68"/>
      <c r="Q408" s="68"/>
      <c r="R408" s="68"/>
      <c r="S408" s="68"/>
      <c r="T408" s="68"/>
      <c r="U408" s="68"/>
      <c r="V408" s="68"/>
      <c r="W408" s="68"/>
      <c r="X408" s="68"/>
      <c r="Y408" s="68"/>
      <c r="Z408" s="68"/>
      <c r="AA408" s="68"/>
      <c r="AB408" s="68"/>
      <c r="AC408" s="68"/>
      <c r="AD408" s="68"/>
      <c r="AE408" s="68"/>
      <c r="AF408" s="68"/>
    </row>
    <row r="409">
      <c r="A409" s="68"/>
      <c r="B409" s="68"/>
      <c r="C409" s="78"/>
      <c r="D409" s="78"/>
      <c r="E409" s="68"/>
      <c r="F409" s="68"/>
      <c r="G409" s="68"/>
      <c r="H409" s="68"/>
      <c r="I409" s="68"/>
      <c r="J409" s="68"/>
      <c r="K409" s="68"/>
      <c r="L409" s="68"/>
      <c r="M409" s="79"/>
      <c r="N409" s="68"/>
      <c r="O409" s="68"/>
      <c r="P409" s="68"/>
      <c r="Q409" s="68"/>
      <c r="R409" s="68"/>
      <c r="S409" s="68"/>
      <c r="T409" s="68"/>
      <c r="U409" s="68"/>
      <c r="V409" s="68"/>
      <c r="W409" s="68"/>
      <c r="X409" s="68"/>
      <c r="Y409" s="68"/>
      <c r="Z409" s="68"/>
      <c r="AA409" s="68"/>
      <c r="AB409" s="68"/>
      <c r="AC409" s="68"/>
      <c r="AD409" s="68"/>
      <c r="AE409" s="68"/>
      <c r="AF409" s="68"/>
    </row>
    <row r="410">
      <c r="A410" s="68"/>
      <c r="B410" s="68"/>
      <c r="C410" s="78"/>
      <c r="D410" s="78"/>
      <c r="E410" s="68"/>
      <c r="F410" s="68"/>
      <c r="G410" s="68"/>
      <c r="H410" s="68"/>
      <c r="I410" s="68"/>
      <c r="J410" s="68"/>
      <c r="K410" s="68"/>
      <c r="L410" s="68"/>
      <c r="M410" s="79"/>
      <c r="N410" s="68"/>
      <c r="O410" s="68"/>
      <c r="P410" s="68"/>
      <c r="Q410" s="68"/>
      <c r="R410" s="68"/>
      <c r="S410" s="68"/>
      <c r="T410" s="68"/>
      <c r="U410" s="68"/>
      <c r="V410" s="68"/>
      <c r="W410" s="68"/>
      <c r="X410" s="68"/>
      <c r="Y410" s="68"/>
      <c r="Z410" s="68"/>
      <c r="AA410" s="68"/>
      <c r="AB410" s="68"/>
      <c r="AC410" s="68"/>
      <c r="AD410" s="68"/>
      <c r="AE410" s="68"/>
      <c r="AF410" s="68"/>
    </row>
    <row r="411">
      <c r="A411" s="68"/>
      <c r="B411" s="68"/>
      <c r="C411" s="78"/>
      <c r="D411" s="78"/>
      <c r="E411" s="68"/>
      <c r="F411" s="68"/>
      <c r="G411" s="68"/>
      <c r="H411" s="68"/>
      <c r="I411" s="68"/>
      <c r="J411" s="68"/>
      <c r="K411" s="68"/>
      <c r="L411" s="68"/>
      <c r="M411" s="79"/>
      <c r="N411" s="68"/>
      <c r="O411" s="68"/>
      <c r="P411" s="68"/>
      <c r="Q411" s="68"/>
      <c r="R411" s="68"/>
      <c r="S411" s="68"/>
      <c r="T411" s="68"/>
      <c r="U411" s="68"/>
      <c r="V411" s="68"/>
      <c r="W411" s="68"/>
      <c r="X411" s="68"/>
      <c r="Y411" s="68"/>
      <c r="Z411" s="68"/>
      <c r="AA411" s="68"/>
      <c r="AB411" s="68"/>
      <c r="AC411" s="68"/>
      <c r="AD411" s="68"/>
      <c r="AE411" s="68"/>
      <c r="AF411" s="68"/>
    </row>
    <row r="412">
      <c r="A412" s="68"/>
      <c r="B412" s="68"/>
      <c r="C412" s="78"/>
      <c r="D412" s="78"/>
      <c r="E412" s="68"/>
      <c r="F412" s="68"/>
      <c r="G412" s="68"/>
      <c r="H412" s="68"/>
      <c r="I412" s="68"/>
      <c r="J412" s="68"/>
      <c r="K412" s="68"/>
      <c r="L412" s="68"/>
      <c r="M412" s="79"/>
      <c r="N412" s="68"/>
      <c r="O412" s="68"/>
      <c r="P412" s="68"/>
      <c r="Q412" s="68"/>
      <c r="R412" s="68"/>
      <c r="S412" s="68"/>
      <c r="T412" s="68"/>
      <c r="U412" s="68"/>
      <c r="V412" s="68"/>
      <c r="W412" s="68"/>
      <c r="X412" s="68"/>
      <c r="Y412" s="68"/>
      <c r="Z412" s="68"/>
      <c r="AA412" s="68"/>
      <c r="AB412" s="68"/>
      <c r="AC412" s="68"/>
      <c r="AD412" s="68"/>
      <c r="AE412" s="68"/>
      <c r="AF412" s="68"/>
    </row>
    <row r="413">
      <c r="A413" s="68"/>
      <c r="B413" s="68"/>
      <c r="C413" s="78"/>
      <c r="D413" s="78"/>
      <c r="E413" s="68"/>
      <c r="F413" s="68"/>
      <c r="G413" s="68"/>
      <c r="H413" s="68"/>
      <c r="I413" s="68"/>
      <c r="J413" s="68"/>
      <c r="K413" s="68"/>
      <c r="L413" s="68"/>
      <c r="M413" s="79"/>
      <c r="N413" s="68"/>
      <c r="O413" s="68"/>
      <c r="P413" s="68"/>
      <c r="Q413" s="68"/>
      <c r="R413" s="68"/>
      <c r="S413" s="68"/>
      <c r="T413" s="68"/>
      <c r="U413" s="68"/>
      <c r="V413" s="68"/>
      <c r="W413" s="68"/>
      <c r="X413" s="68"/>
      <c r="Y413" s="68"/>
      <c r="Z413" s="68"/>
      <c r="AA413" s="68"/>
      <c r="AB413" s="68"/>
      <c r="AC413" s="68"/>
      <c r="AD413" s="68"/>
      <c r="AE413" s="68"/>
      <c r="AF413" s="68"/>
    </row>
    <row r="414">
      <c r="A414" s="68"/>
      <c r="B414" s="68"/>
      <c r="C414" s="78"/>
      <c r="D414" s="78"/>
      <c r="E414" s="68"/>
      <c r="F414" s="68"/>
      <c r="G414" s="68"/>
      <c r="H414" s="68"/>
      <c r="I414" s="68"/>
      <c r="J414" s="68"/>
      <c r="K414" s="68"/>
      <c r="L414" s="68"/>
      <c r="M414" s="79"/>
      <c r="N414" s="68"/>
      <c r="O414" s="68"/>
      <c r="P414" s="68"/>
      <c r="Q414" s="68"/>
      <c r="R414" s="68"/>
      <c r="S414" s="68"/>
      <c r="T414" s="68"/>
      <c r="U414" s="68"/>
      <c r="V414" s="68"/>
      <c r="W414" s="68"/>
      <c r="X414" s="68"/>
      <c r="Y414" s="68"/>
      <c r="Z414" s="68"/>
      <c r="AA414" s="68"/>
      <c r="AB414" s="68"/>
      <c r="AC414" s="68"/>
      <c r="AD414" s="68"/>
      <c r="AE414" s="68"/>
      <c r="AF414" s="68"/>
    </row>
    <row r="415">
      <c r="A415" s="68"/>
      <c r="B415" s="68"/>
      <c r="C415" s="78"/>
      <c r="D415" s="78"/>
      <c r="E415" s="68"/>
      <c r="F415" s="68"/>
      <c r="G415" s="68"/>
      <c r="H415" s="68"/>
      <c r="I415" s="68"/>
      <c r="J415" s="68"/>
      <c r="K415" s="68"/>
      <c r="L415" s="68"/>
      <c r="M415" s="79"/>
      <c r="N415" s="68"/>
      <c r="O415" s="68"/>
      <c r="P415" s="68"/>
      <c r="Q415" s="68"/>
      <c r="R415" s="68"/>
      <c r="S415" s="68"/>
      <c r="T415" s="68"/>
      <c r="U415" s="68"/>
      <c r="V415" s="68"/>
      <c r="W415" s="68"/>
      <c r="X415" s="68"/>
      <c r="Y415" s="68"/>
      <c r="Z415" s="68"/>
      <c r="AA415" s="68"/>
      <c r="AB415" s="68"/>
      <c r="AC415" s="68"/>
      <c r="AD415" s="68"/>
      <c r="AE415" s="68"/>
      <c r="AF415" s="68"/>
    </row>
    <row r="416">
      <c r="A416" s="68"/>
      <c r="B416" s="68"/>
      <c r="C416" s="78"/>
      <c r="D416" s="78"/>
      <c r="E416" s="68"/>
      <c r="F416" s="68"/>
      <c r="G416" s="68"/>
      <c r="H416" s="68"/>
      <c r="I416" s="68"/>
      <c r="J416" s="68"/>
      <c r="K416" s="68"/>
      <c r="L416" s="68"/>
      <c r="M416" s="79"/>
      <c r="N416" s="68"/>
      <c r="O416" s="68"/>
      <c r="P416" s="68"/>
      <c r="Q416" s="68"/>
      <c r="R416" s="68"/>
      <c r="S416" s="68"/>
      <c r="T416" s="68"/>
      <c r="U416" s="68"/>
      <c r="V416" s="68"/>
      <c r="W416" s="68"/>
      <c r="X416" s="68"/>
      <c r="Y416" s="68"/>
      <c r="Z416" s="68"/>
      <c r="AA416" s="68"/>
      <c r="AB416" s="68"/>
      <c r="AC416" s="68"/>
      <c r="AD416" s="68"/>
      <c r="AE416" s="68"/>
      <c r="AF416" s="68"/>
    </row>
    <row r="417">
      <c r="A417" s="68"/>
      <c r="B417" s="68"/>
      <c r="C417" s="78"/>
      <c r="D417" s="78"/>
      <c r="E417" s="68"/>
      <c r="F417" s="68"/>
      <c r="G417" s="68"/>
      <c r="H417" s="68"/>
      <c r="I417" s="68"/>
      <c r="J417" s="68"/>
      <c r="K417" s="68"/>
      <c r="L417" s="68"/>
      <c r="M417" s="79"/>
      <c r="N417" s="68"/>
      <c r="O417" s="68"/>
      <c r="P417" s="68"/>
      <c r="Q417" s="68"/>
      <c r="R417" s="68"/>
      <c r="S417" s="68"/>
      <c r="T417" s="68"/>
      <c r="U417" s="68"/>
      <c r="V417" s="68"/>
      <c r="W417" s="68"/>
      <c r="X417" s="68"/>
      <c r="Y417" s="68"/>
      <c r="Z417" s="68"/>
      <c r="AA417" s="68"/>
      <c r="AB417" s="68"/>
      <c r="AC417" s="68"/>
      <c r="AD417" s="68"/>
      <c r="AE417" s="68"/>
      <c r="AF417" s="68"/>
    </row>
    <row r="418">
      <c r="A418" s="68"/>
      <c r="B418" s="68"/>
      <c r="C418" s="78"/>
      <c r="D418" s="78"/>
      <c r="E418" s="68"/>
      <c r="F418" s="68"/>
      <c r="G418" s="68"/>
      <c r="H418" s="68"/>
      <c r="I418" s="68"/>
      <c r="J418" s="68"/>
      <c r="K418" s="68"/>
      <c r="L418" s="68"/>
      <c r="M418" s="79"/>
      <c r="N418" s="68"/>
      <c r="O418" s="68"/>
      <c r="P418" s="68"/>
      <c r="Q418" s="68"/>
      <c r="R418" s="68"/>
      <c r="S418" s="68"/>
      <c r="T418" s="68"/>
      <c r="U418" s="68"/>
      <c r="V418" s="68"/>
      <c r="W418" s="68"/>
      <c r="X418" s="68"/>
      <c r="Y418" s="68"/>
      <c r="Z418" s="68"/>
      <c r="AA418" s="68"/>
      <c r="AB418" s="68"/>
      <c r="AC418" s="68"/>
      <c r="AD418" s="68"/>
      <c r="AE418" s="68"/>
      <c r="AF418" s="68"/>
    </row>
    <row r="419">
      <c r="A419" s="68"/>
      <c r="B419" s="68"/>
      <c r="C419" s="78"/>
      <c r="D419" s="78"/>
      <c r="E419" s="68"/>
      <c r="F419" s="68"/>
      <c r="G419" s="68"/>
      <c r="H419" s="68"/>
      <c r="I419" s="68"/>
      <c r="J419" s="68"/>
      <c r="K419" s="68"/>
      <c r="L419" s="68"/>
      <c r="M419" s="79"/>
      <c r="N419" s="68"/>
      <c r="O419" s="68"/>
      <c r="P419" s="68"/>
      <c r="Q419" s="68"/>
      <c r="R419" s="68"/>
      <c r="S419" s="68"/>
      <c r="T419" s="68"/>
      <c r="U419" s="68"/>
      <c r="V419" s="68"/>
      <c r="W419" s="68"/>
      <c r="X419" s="68"/>
      <c r="Y419" s="68"/>
      <c r="Z419" s="68"/>
      <c r="AA419" s="68"/>
      <c r="AB419" s="68"/>
      <c r="AC419" s="68"/>
      <c r="AD419" s="68"/>
      <c r="AE419" s="68"/>
      <c r="AF419" s="68"/>
    </row>
    <row r="420">
      <c r="A420" s="68"/>
      <c r="B420" s="68"/>
      <c r="C420" s="78"/>
      <c r="D420" s="78"/>
      <c r="E420" s="68"/>
      <c r="F420" s="68"/>
      <c r="G420" s="68"/>
      <c r="H420" s="68"/>
      <c r="I420" s="68"/>
      <c r="J420" s="68"/>
      <c r="K420" s="68"/>
      <c r="L420" s="68"/>
      <c r="M420" s="79"/>
      <c r="N420" s="68"/>
      <c r="O420" s="68"/>
      <c r="P420" s="68"/>
      <c r="Q420" s="68"/>
      <c r="R420" s="68"/>
      <c r="S420" s="68"/>
      <c r="T420" s="68"/>
      <c r="U420" s="68"/>
      <c r="V420" s="68"/>
      <c r="W420" s="68"/>
      <c r="X420" s="68"/>
      <c r="Y420" s="68"/>
      <c r="Z420" s="68"/>
      <c r="AA420" s="68"/>
      <c r="AB420" s="68"/>
      <c r="AC420" s="68"/>
      <c r="AD420" s="68"/>
      <c r="AE420" s="68"/>
      <c r="AF420" s="68"/>
    </row>
    <row r="421">
      <c r="A421" s="68"/>
      <c r="B421" s="68"/>
      <c r="C421" s="78"/>
      <c r="D421" s="78"/>
      <c r="E421" s="68"/>
      <c r="F421" s="68"/>
      <c r="G421" s="68"/>
      <c r="H421" s="68"/>
      <c r="I421" s="68"/>
      <c r="J421" s="68"/>
      <c r="K421" s="68"/>
      <c r="L421" s="68"/>
      <c r="M421" s="79"/>
      <c r="N421" s="68"/>
      <c r="O421" s="68"/>
      <c r="P421" s="68"/>
      <c r="Q421" s="68"/>
      <c r="R421" s="68"/>
      <c r="S421" s="68"/>
      <c r="T421" s="68"/>
      <c r="U421" s="68"/>
      <c r="V421" s="68"/>
      <c r="W421" s="68"/>
      <c r="X421" s="68"/>
      <c r="Y421" s="68"/>
      <c r="Z421" s="68"/>
      <c r="AA421" s="68"/>
      <c r="AB421" s="68"/>
      <c r="AC421" s="68"/>
      <c r="AD421" s="68"/>
      <c r="AE421" s="68"/>
      <c r="AF421" s="68"/>
    </row>
    <row r="422">
      <c r="A422" s="68"/>
      <c r="B422" s="68"/>
      <c r="C422" s="78"/>
      <c r="D422" s="78"/>
      <c r="E422" s="68"/>
      <c r="F422" s="68"/>
      <c r="G422" s="68"/>
      <c r="H422" s="68"/>
      <c r="I422" s="68"/>
      <c r="J422" s="68"/>
      <c r="K422" s="68"/>
      <c r="L422" s="68"/>
      <c r="M422" s="79"/>
      <c r="N422" s="68"/>
      <c r="O422" s="68"/>
      <c r="P422" s="68"/>
      <c r="Q422" s="68"/>
      <c r="R422" s="68"/>
      <c r="S422" s="68"/>
      <c r="T422" s="68"/>
      <c r="U422" s="68"/>
      <c r="V422" s="68"/>
      <c r="W422" s="68"/>
      <c r="X422" s="68"/>
      <c r="Y422" s="68"/>
      <c r="Z422" s="68"/>
      <c r="AA422" s="68"/>
      <c r="AB422" s="68"/>
      <c r="AC422" s="68"/>
      <c r="AD422" s="68"/>
      <c r="AE422" s="68"/>
      <c r="AF422" s="68"/>
    </row>
    <row r="423">
      <c r="A423" s="68"/>
      <c r="B423" s="68"/>
      <c r="C423" s="78"/>
      <c r="D423" s="78"/>
      <c r="E423" s="68"/>
      <c r="F423" s="68"/>
      <c r="G423" s="68"/>
      <c r="H423" s="68"/>
      <c r="I423" s="68"/>
      <c r="J423" s="68"/>
      <c r="K423" s="68"/>
      <c r="L423" s="68"/>
      <c r="M423" s="79"/>
      <c r="N423" s="68"/>
      <c r="O423" s="68"/>
      <c r="P423" s="68"/>
      <c r="Q423" s="68"/>
      <c r="R423" s="68"/>
      <c r="S423" s="68"/>
      <c r="T423" s="68"/>
      <c r="U423" s="68"/>
      <c r="V423" s="68"/>
      <c r="W423" s="68"/>
      <c r="X423" s="68"/>
      <c r="Y423" s="68"/>
      <c r="Z423" s="68"/>
      <c r="AA423" s="68"/>
      <c r="AB423" s="68"/>
      <c r="AC423" s="68"/>
      <c r="AD423" s="68"/>
      <c r="AE423" s="68"/>
      <c r="AF423" s="68"/>
    </row>
    <row r="424">
      <c r="A424" s="68"/>
      <c r="B424" s="68"/>
      <c r="C424" s="78"/>
      <c r="D424" s="78"/>
      <c r="E424" s="68"/>
      <c r="F424" s="68"/>
      <c r="G424" s="68"/>
      <c r="H424" s="68"/>
      <c r="I424" s="68"/>
      <c r="J424" s="68"/>
      <c r="K424" s="68"/>
      <c r="L424" s="68"/>
      <c r="M424" s="79"/>
      <c r="N424" s="68"/>
      <c r="O424" s="68"/>
      <c r="P424" s="68"/>
      <c r="Q424" s="68"/>
      <c r="R424" s="68"/>
      <c r="S424" s="68"/>
      <c r="T424" s="68"/>
      <c r="U424" s="68"/>
      <c r="V424" s="68"/>
      <c r="W424" s="68"/>
      <c r="X424" s="68"/>
      <c r="Y424" s="68"/>
      <c r="Z424" s="68"/>
      <c r="AA424" s="68"/>
      <c r="AB424" s="68"/>
      <c r="AC424" s="68"/>
      <c r="AD424" s="68"/>
      <c r="AE424" s="68"/>
      <c r="AF424" s="68"/>
    </row>
    <row r="425">
      <c r="A425" s="68"/>
      <c r="B425" s="68"/>
      <c r="C425" s="78"/>
      <c r="D425" s="78"/>
      <c r="E425" s="68"/>
      <c r="F425" s="68"/>
      <c r="G425" s="68"/>
      <c r="H425" s="68"/>
      <c r="I425" s="68"/>
      <c r="J425" s="68"/>
      <c r="K425" s="68"/>
      <c r="L425" s="68"/>
      <c r="M425" s="79"/>
      <c r="N425" s="68"/>
      <c r="O425" s="68"/>
      <c r="P425" s="68"/>
      <c r="Q425" s="68"/>
      <c r="R425" s="68"/>
      <c r="S425" s="68"/>
      <c r="T425" s="68"/>
      <c r="U425" s="68"/>
      <c r="V425" s="68"/>
      <c r="W425" s="68"/>
      <c r="X425" s="68"/>
      <c r="Y425" s="68"/>
      <c r="Z425" s="68"/>
      <c r="AA425" s="68"/>
      <c r="AB425" s="68"/>
      <c r="AC425" s="68"/>
      <c r="AD425" s="68"/>
      <c r="AE425" s="68"/>
      <c r="AF425" s="68"/>
    </row>
    <row r="426">
      <c r="A426" s="68"/>
      <c r="B426" s="68"/>
      <c r="C426" s="78"/>
      <c r="D426" s="78"/>
      <c r="E426" s="68"/>
      <c r="F426" s="68"/>
      <c r="G426" s="68"/>
      <c r="H426" s="68"/>
      <c r="I426" s="68"/>
      <c r="J426" s="68"/>
      <c r="K426" s="68"/>
      <c r="L426" s="68"/>
      <c r="M426" s="79"/>
      <c r="N426" s="68"/>
      <c r="O426" s="68"/>
      <c r="P426" s="68"/>
      <c r="Q426" s="68"/>
      <c r="R426" s="68"/>
      <c r="S426" s="68"/>
      <c r="T426" s="68"/>
      <c r="U426" s="68"/>
      <c r="V426" s="68"/>
      <c r="W426" s="68"/>
      <c r="X426" s="68"/>
      <c r="Y426" s="68"/>
      <c r="Z426" s="68"/>
      <c r="AA426" s="68"/>
      <c r="AB426" s="68"/>
      <c r="AC426" s="68"/>
      <c r="AD426" s="68"/>
      <c r="AE426" s="68"/>
      <c r="AF426" s="68"/>
    </row>
    <row r="427">
      <c r="A427" s="68"/>
      <c r="B427" s="68"/>
      <c r="C427" s="78"/>
      <c r="D427" s="78"/>
      <c r="E427" s="68"/>
      <c r="F427" s="68"/>
      <c r="G427" s="68"/>
      <c r="H427" s="68"/>
      <c r="I427" s="68"/>
      <c r="J427" s="68"/>
      <c r="K427" s="68"/>
      <c r="L427" s="68"/>
      <c r="M427" s="79"/>
      <c r="N427" s="68"/>
      <c r="O427" s="68"/>
      <c r="P427" s="68"/>
      <c r="Q427" s="68"/>
      <c r="R427" s="68"/>
      <c r="S427" s="68"/>
      <c r="T427" s="68"/>
      <c r="U427" s="68"/>
      <c r="V427" s="68"/>
      <c r="W427" s="68"/>
      <c r="X427" s="68"/>
      <c r="Y427" s="68"/>
      <c r="Z427" s="68"/>
      <c r="AA427" s="68"/>
      <c r="AB427" s="68"/>
      <c r="AC427" s="68"/>
      <c r="AD427" s="68"/>
      <c r="AE427" s="68"/>
      <c r="AF427" s="68"/>
    </row>
    <row r="428">
      <c r="A428" s="68"/>
      <c r="B428" s="68"/>
      <c r="C428" s="78"/>
      <c r="D428" s="78"/>
      <c r="E428" s="68"/>
      <c r="F428" s="68"/>
      <c r="G428" s="68"/>
      <c r="H428" s="68"/>
      <c r="I428" s="68"/>
      <c r="J428" s="68"/>
      <c r="K428" s="68"/>
      <c r="L428" s="68"/>
      <c r="M428" s="79"/>
      <c r="N428" s="68"/>
      <c r="O428" s="68"/>
      <c r="P428" s="68"/>
      <c r="Q428" s="68"/>
      <c r="R428" s="68"/>
      <c r="S428" s="68"/>
      <c r="T428" s="68"/>
      <c r="U428" s="68"/>
      <c r="V428" s="68"/>
      <c r="W428" s="68"/>
      <c r="X428" s="68"/>
      <c r="Y428" s="68"/>
      <c r="Z428" s="68"/>
      <c r="AA428" s="68"/>
      <c r="AB428" s="68"/>
      <c r="AC428" s="68"/>
      <c r="AD428" s="68"/>
      <c r="AE428" s="68"/>
      <c r="AF428" s="68"/>
    </row>
    <row r="429">
      <c r="A429" s="68"/>
      <c r="B429" s="68"/>
      <c r="C429" s="78"/>
      <c r="D429" s="78"/>
      <c r="E429" s="68"/>
      <c r="F429" s="68"/>
      <c r="G429" s="68"/>
      <c r="H429" s="68"/>
      <c r="I429" s="68"/>
      <c r="J429" s="68"/>
      <c r="K429" s="68"/>
      <c r="L429" s="68"/>
      <c r="M429" s="79"/>
      <c r="N429" s="68"/>
      <c r="O429" s="68"/>
      <c r="P429" s="68"/>
      <c r="Q429" s="68"/>
      <c r="R429" s="68"/>
      <c r="S429" s="68"/>
      <c r="T429" s="68"/>
      <c r="U429" s="68"/>
      <c r="V429" s="68"/>
      <c r="W429" s="68"/>
      <c r="X429" s="68"/>
      <c r="Y429" s="68"/>
      <c r="Z429" s="68"/>
      <c r="AA429" s="68"/>
      <c r="AB429" s="68"/>
      <c r="AC429" s="68"/>
      <c r="AD429" s="68"/>
      <c r="AE429" s="68"/>
      <c r="AF429" s="68"/>
    </row>
    <row r="430">
      <c r="A430" s="68"/>
      <c r="B430" s="68"/>
      <c r="C430" s="78"/>
      <c r="D430" s="78"/>
      <c r="E430" s="68"/>
      <c r="F430" s="68"/>
      <c r="G430" s="68"/>
      <c r="H430" s="68"/>
      <c r="I430" s="68"/>
      <c r="J430" s="68"/>
      <c r="K430" s="68"/>
      <c r="L430" s="68"/>
      <c r="M430" s="79"/>
      <c r="N430" s="68"/>
      <c r="O430" s="68"/>
      <c r="P430" s="68"/>
      <c r="Q430" s="68"/>
      <c r="R430" s="68"/>
      <c r="S430" s="68"/>
      <c r="T430" s="68"/>
      <c r="U430" s="68"/>
      <c r="V430" s="68"/>
      <c r="W430" s="68"/>
      <c r="X430" s="68"/>
      <c r="Y430" s="68"/>
      <c r="Z430" s="68"/>
      <c r="AA430" s="68"/>
      <c r="AB430" s="68"/>
      <c r="AC430" s="68"/>
      <c r="AD430" s="68"/>
      <c r="AE430" s="68"/>
      <c r="AF430" s="68"/>
    </row>
    <row r="431">
      <c r="A431" s="68"/>
      <c r="B431" s="68"/>
      <c r="C431" s="78"/>
      <c r="D431" s="78"/>
      <c r="E431" s="68"/>
      <c r="F431" s="68"/>
      <c r="G431" s="68"/>
      <c r="H431" s="68"/>
      <c r="I431" s="68"/>
      <c r="J431" s="68"/>
      <c r="K431" s="68"/>
      <c r="L431" s="68"/>
      <c r="M431" s="79"/>
      <c r="N431" s="68"/>
      <c r="O431" s="68"/>
      <c r="P431" s="68"/>
      <c r="Q431" s="68"/>
      <c r="R431" s="68"/>
      <c r="S431" s="68"/>
      <c r="T431" s="68"/>
      <c r="U431" s="68"/>
      <c r="V431" s="68"/>
      <c r="W431" s="68"/>
      <c r="X431" s="68"/>
      <c r="Y431" s="68"/>
      <c r="Z431" s="68"/>
      <c r="AA431" s="68"/>
      <c r="AB431" s="68"/>
      <c r="AC431" s="68"/>
      <c r="AD431" s="68"/>
      <c r="AE431" s="68"/>
      <c r="AF431" s="68"/>
    </row>
    <row r="432">
      <c r="A432" s="68"/>
      <c r="B432" s="68"/>
      <c r="C432" s="78"/>
      <c r="D432" s="78"/>
      <c r="E432" s="68"/>
      <c r="F432" s="68"/>
      <c r="G432" s="68"/>
      <c r="H432" s="68"/>
      <c r="I432" s="68"/>
      <c r="J432" s="68"/>
      <c r="K432" s="68"/>
      <c r="L432" s="68"/>
      <c r="M432" s="79"/>
      <c r="N432" s="68"/>
      <c r="O432" s="68"/>
      <c r="P432" s="68"/>
      <c r="Q432" s="68"/>
      <c r="R432" s="68"/>
      <c r="S432" s="68"/>
      <c r="T432" s="68"/>
      <c r="U432" s="68"/>
      <c r="V432" s="68"/>
      <c r="W432" s="68"/>
      <c r="X432" s="68"/>
      <c r="Y432" s="68"/>
      <c r="Z432" s="68"/>
      <c r="AA432" s="68"/>
      <c r="AB432" s="68"/>
      <c r="AC432" s="68"/>
      <c r="AD432" s="68"/>
      <c r="AE432" s="68"/>
      <c r="AF432" s="68"/>
    </row>
    <row r="433">
      <c r="A433" s="68"/>
      <c r="B433" s="68"/>
      <c r="C433" s="78"/>
      <c r="D433" s="78"/>
      <c r="E433" s="68"/>
      <c r="F433" s="68"/>
      <c r="G433" s="68"/>
      <c r="H433" s="68"/>
      <c r="I433" s="68"/>
      <c r="J433" s="68"/>
      <c r="K433" s="68"/>
      <c r="L433" s="68"/>
      <c r="M433" s="79"/>
      <c r="N433" s="68"/>
      <c r="O433" s="68"/>
      <c r="P433" s="68"/>
      <c r="Q433" s="68"/>
      <c r="R433" s="68"/>
      <c r="S433" s="68"/>
      <c r="T433" s="68"/>
      <c r="U433" s="68"/>
      <c r="V433" s="68"/>
      <c r="W433" s="68"/>
      <c r="X433" s="68"/>
      <c r="Y433" s="68"/>
      <c r="Z433" s="68"/>
      <c r="AA433" s="68"/>
      <c r="AB433" s="68"/>
      <c r="AC433" s="68"/>
      <c r="AD433" s="68"/>
      <c r="AE433" s="68"/>
      <c r="AF433" s="68"/>
    </row>
    <row r="434">
      <c r="A434" s="68"/>
      <c r="B434" s="68"/>
      <c r="C434" s="78"/>
      <c r="D434" s="78"/>
      <c r="E434" s="68"/>
      <c r="F434" s="68"/>
      <c r="G434" s="68"/>
      <c r="H434" s="68"/>
      <c r="I434" s="68"/>
      <c r="J434" s="68"/>
      <c r="K434" s="68"/>
      <c r="L434" s="68"/>
      <c r="M434" s="79"/>
      <c r="N434" s="68"/>
      <c r="O434" s="68"/>
      <c r="P434" s="68"/>
      <c r="Q434" s="68"/>
      <c r="R434" s="68"/>
      <c r="S434" s="68"/>
      <c r="T434" s="68"/>
      <c r="U434" s="68"/>
      <c r="V434" s="68"/>
      <c r="W434" s="68"/>
      <c r="X434" s="68"/>
      <c r="Y434" s="68"/>
      <c r="Z434" s="68"/>
      <c r="AA434" s="68"/>
      <c r="AB434" s="68"/>
      <c r="AC434" s="68"/>
      <c r="AD434" s="68"/>
      <c r="AE434" s="68"/>
      <c r="AF434" s="68"/>
    </row>
    <row r="435">
      <c r="A435" s="68"/>
      <c r="B435" s="68"/>
      <c r="C435" s="78"/>
      <c r="D435" s="78"/>
      <c r="E435" s="68"/>
      <c r="F435" s="68"/>
      <c r="G435" s="68"/>
      <c r="H435" s="68"/>
      <c r="I435" s="68"/>
      <c r="J435" s="68"/>
      <c r="K435" s="68"/>
      <c r="L435" s="68"/>
      <c r="M435" s="79"/>
      <c r="N435" s="68"/>
      <c r="O435" s="68"/>
      <c r="P435" s="68"/>
      <c r="Q435" s="68"/>
      <c r="R435" s="68"/>
      <c r="S435" s="68"/>
      <c r="T435" s="68"/>
      <c r="U435" s="68"/>
      <c r="V435" s="68"/>
      <c r="W435" s="68"/>
      <c r="X435" s="68"/>
      <c r="Y435" s="68"/>
      <c r="Z435" s="68"/>
      <c r="AA435" s="68"/>
      <c r="AB435" s="68"/>
      <c r="AC435" s="68"/>
      <c r="AD435" s="68"/>
      <c r="AE435" s="68"/>
      <c r="AF435" s="68"/>
    </row>
    <row r="436">
      <c r="A436" s="68"/>
      <c r="B436" s="68"/>
      <c r="C436" s="78"/>
      <c r="D436" s="78"/>
      <c r="E436" s="68"/>
      <c r="F436" s="68"/>
      <c r="G436" s="68"/>
      <c r="H436" s="68"/>
      <c r="I436" s="68"/>
      <c r="J436" s="68"/>
      <c r="K436" s="68"/>
      <c r="L436" s="68"/>
      <c r="M436" s="79"/>
      <c r="N436" s="68"/>
      <c r="O436" s="68"/>
      <c r="P436" s="68"/>
      <c r="Q436" s="68"/>
      <c r="R436" s="68"/>
      <c r="S436" s="68"/>
      <c r="T436" s="68"/>
      <c r="U436" s="68"/>
      <c r="V436" s="68"/>
      <c r="W436" s="68"/>
      <c r="X436" s="68"/>
      <c r="Y436" s="68"/>
      <c r="Z436" s="68"/>
      <c r="AA436" s="68"/>
      <c r="AB436" s="68"/>
      <c r="AC436" s="68"/>
      <c r="AD436" s="68"/>
      <c r="AE436" s="68"/>
      <c r="AF436" s="68"/>
    </row>
    <row r="437">
      <c r="A437" s="68"/>
      <c r="B437" s="68"/>
      <c r="C437" s="78"/>
      <c r="D437" s="78"/>
      <c r="E437" s="68"/>
      <c r="F437" s="68"/>
      <c r="G437" s="68"/>
      <c r="H437" s="68"/>
      <c r="I437" s="68"/>
      <c r="J437" s="68"/>
      <c r="K437" s="68"/>
      <c r="L437" s="68"/>
      <c r="M437" s="79"/>
      <c r="N437" s="68"/>
      <c r="O437" s="68"/>
      <c r="P437" s="68"/>
      <c r="Q437" s="68"/>
      <c r="R437" s="68"/>
      <c r="S437" s="68"/>
      <c r="T437" s="68"/>
      <c r="U437" s="68"/>
      <c r="V437" s="68"/>
      <c r="W437" s="68"/>
      <c r="X437" s="68"/>
      <c r="Y437" s="68"/>
      <c r="Z437" s="68"/>
      <c r="AA437" s="68"/>
      <c r="AB437" s="68"/>
      <c r="AC437" s="68"/>
      <c r="AD437" s="68"/>
      <c r="AE437" s="68"/>
      <c r="AF437" s="68"/>
    </row>
    <row r="438">
      <c r="A438" s="68"/>
      <c r="B438" s="68"/>
      <c r="C438" s="78"/>
      <c r="D438" s="78"/>
      <c r="E438" s="68"/>
      <c r="F438" s="68"/>
      <c r="G438" s="68"/>
      <c r="H438" s="68"/>
      <c r="I438" s="68"/>
      <c r="J438" s="68"/>
      <c r="K438" s="68"/>
      <c r="L438" s="68"/>
      <c r="M438" s="79"/>
      <c r="N438" s="68"/>
      <c r="O438" s="68"/>
      <c r="P438" s="68"/>
      <c r="Q438" s="68"/>
      <c r="R438" s="68"/>
      <c r="S438" s="68"/>
      <c r="T438" s="68"/>
      <c r="U438" s="68"/>
      <c r="V438" s="68"/>
      <c r="W438" s="68"/>
      <c r="X438" s="68"/>
      <c r="Y438" s="68"/>
      <c r="Z438" s="68"/>
      <c r="AA438" s="68"/>
      <c r="AB438" s="68"/>
      <c r="AC438" s="68"/>
      <c r="AD438" s="68"/>
      <c r="AE438" s="68"/>
      <c r="AF438" s="68"/>
    </row>
    <row r="439">
      <c r="A439" s="68"/>
      <c r="B439" s="68"/>
      <c r="C439" s="78"/>
      <c r="D439" s="78"/>
      <c r="E439" s="68"/>
      <c r="F439" s="68"/>
      <c r="G439" s="68"/>
      <c r="H439" s="68"/>
      <c r="I439" s="68"/>
      <c r="J439" s="68"/>
      <c r="K439" s="68"/>
      <c r="L439" s="68"/>
      <c r="M439" s="79"/>
      <c r="N439" s="68"/>
      <c r="O439" s="68"/>
      <c r="P439" s="68"/>
      <c r="Q439" s="68"/>
      <c r="R439" s="68"/>
      <c r="S439" s="68"/>
      <c r="T439" s="68"/>
      <c r="U439" s="68"/>
      <c r="V439" s="68"/>
      <c r="W439" s="68"/>
      <c r="X439" s="68"/>
      <c r="Y439" s="68"/>
      <c r="Z439" s="68"/>
      <c r="AA439" s="68"/>
      <c r="AB439" s="68"/>
      <c r="AC439" s="68"/>
      <c r="AD439" s="68"/>
      <c r="AE439" s="68"/>
      <c r="AF439" s="68"/>
    </row>
    <row r="440">
      <c r="A440" s="68"/>
      <c r="B440" s="68"/>
      <c r="C440" s="78"/>
      <c r="D440" s="78"/>
      <c r="E440" s="68"/>
      <c r="F440" s="68"/>
      <c r="G440" s="68"/>
      <c r="H440" s="68"/>
      <c r="I440" s="68"/>
      <c r="J440" s="68"/>
      <c r="K440" s="68"/>
      <c r="L440" s="68"/>
      <c r="M440" s="79"/>
      <c r="N440" s="68"/>
      <c r="O440" s="68"/>
      <c r="P440" s="68"/>
      <c r="Q440" s="68"/>
      <c r="R440" s="68"/>
      <c r="S440" s="68"/>
      <c r="T440" s="68"/>
      <c r="U440" s="68"/>
      <c r="V440" s="68"/>
      <c r="W440" s="68"/>
      <c r="X440" s="68"/>
      <c r="Y440" s="68"/>
      <c r="Z440" s="68"/>
      <c r="AA440" s="68"/>
      <c r="AB440" s="68"/>
      <c r="AC440" s="68"/>
      <c r="AD440" s="68"/>
      <c r="AE440" s="68"/>
      <c r="AF440" s="68"/>
    </row>
    <row r="441">
      <c r="A441" s="68"/>
      <c r="B441" s="68"/>
      <c r="C441" s="78"/>
      <c r="D441" s="78"/>
      <c r="E441" s="68"/>
      <c r="F441" s="68"/>
      <c r="G441" s="68"/>
      <c r="H441" s="68"/>
      <c r="I441" s="68"/>
      <c r="J441" s="68"/>
      <c r="K441" s="68"/>
      <c r="L441" s="68"/>
      <c r="M441" s="79"/>
      <c r="N441" s="68"/>
      <c r="O441" s="68"/>
      <c r="P441" s="68"/>
      <c r="Q441" s="68"/>
      <c r="R441" s="68"/>
      <c r="S441" s="68"/>
      <c r="T441" s="68"/>
      <c r="U441" s="68"/>
      <c r="V441" s="68"/>
      <c r="W441" s="68"/>
      <c r="X441" s="68"/>
      <c r="Y441" s="68"/>
      <c r="Z441" s="68"/>
      <c r="AA441" s="68"/>
      <c r="AB441" s="68"/>
      <c r="AC441" s="68"/>
      <c r="AD441" s="68"/>
      <c r="AE441" s="68"/>
      <c r="AF441" s="68"/>
    </row>
    <row r="442">
      <c r="A442" s="68"/>
      <c r="B442" s="68"/>
      <c r="C442" s="78"/>
      <c r="D442" s="78"/>
      <c r="E442" s="68"/>
      <c r="F442" s="68"/>
      <c r="G442" s="68"/>
      <c r="H442" s="68"/>
      <c r="I442" s="68"/>
      <c r="J442" s="68"/>
      <c r="K442" s="68"/>
      <c r="L442" s="68"/>
      <c r="M442" s="79"/>
      <c r="N442" s="68"/>
      <c r="O442" s="68"/>
      <c r="P442" s="68"/>
      <c r="Q442" s="68"/>
      <c r="R442" s="68"/>
      <c r="S442" s="68"/>
      <c r="T442" s="68"/>
      <c r="U442" s="68"/>
      <c r="V442" s="68"/>
      <c r="W442" s="68"/>
      <c r="X442" s="68"/>
      <c r="Y442" s="68"/>
      <c r="Z442" s="68"/>
      <c r="AA442" s="68"/>
      <c r="AB442" s="68"/>
      <c r="AC442" s="68"/>
      <c r="AD442" s="68"/>
      <c r="AE442" s="68"/>
      <c r="AF442" s="68"/>
    </row>
    <row r="443">
      <c r="A443" s="68"/>
      <c r="B443" s="68"/>
      <c r="C443" s="78"/>
      <c r="D443" s="78"/>
      <c r="E443" s="68"/>
      <c r="F443" s="68"/>
      <c r="G443" s="68"/>
      <c r="H443" s="68"/>
      <c r="I443" s="68"/>
      <c r="J443" s="68"/>
      <c r="K443" s="68"/>
      <c r="L443" s="68"/>
      <c r="M443" s="79"/>
      <c r="N443" s="68"/>
      <c r="O443" s="68"/>
      <c r="P443" s="68"/>
      <c r="Q443" s="68"/>
      <c r="R443" s="68"/>
      <c r="S443" s="68"/>
      <c r="T443" s="68"/>
      <c r="U443" s="68"/>
      <c r="V443" s="68"/>
      <c r="W443" s="68"/>
      <c r="X443" s="68"/>
      <c r="Y443" s="68"/>
      <c r="Z443" s="68"/>
      <c r="AA443" s="68"/>
      <c r="AB443" s="68"/>
      <c r="AC443" s="68"/>
      <c r="AD443" s="68"/>
      <c r="AE443" s="68"/>
      <c r="AF443" s="68"/>
    </row>
    <row r="444">
      <c r="A444" s="68"/>
      <c r="B444" s="68"/>
      <c r="C444" s="78"/>
      <c r="D444" s="78"/>
      <c r="E444" s="68"/>
      <c r="F444" s="68"/>
      <c r="G444" s="68"/>
      <c r="H444" s="68"/>
      <c r="I444" s="68"/>
      <c r="J444" s="68"/>
      <c r="K444" s="68"/>
      <c r="L444" s="68"/>
      <c r="M444" s="79"/>
      <c r="N444" s="68"/>
      <c r="O444" s="68"/>
      <c r="P444" s="68"/>
      <c r="Q444" s="68"/>
      <c r="R444" s="68"/>
      <c r="S444" s="68"/>
      <c r="T444" s="68"/>
      <c r="U444" s="68"/>
      <c r="V444" s="68"/>
      <c r="W444" s="68"/>
      <c r="X444" s="68"/>
      <c r="Y444" s="68"/>
      <c r="Z444" s="68"/>
      <c r="AA444" s="68"/>
      <c r="AB444" s="68"/>
      <c r="AC444" s="68"/>
      <c r="AD444" s="68"/>
      <c r="AE444" s="68"/>
      <c r="AF444" s="68"/>
    </row>
    <row r="445">
      <c r="A445" s="68"/>
      <c r="B445" s="68"/>
      <c r="C445" s="78"/>
      <c r="D445" s="78"/>
      <c r="E445" s="68"/>
      <c r="F445" s="68"/>
      <c r="G445" s="68"/>
      <c r="H445" s="68"/>
      <c r="I445" s="68"/>
      <c r="J445" s="68"/>
      <c r="K445" s="68"/>
      <c r="L445" s="68"/>
      <c r="M445" s="79"/>
      <c r="N445" s="68"/>
      <c r="O445" s="68"/>
      <c r="P445" s="68"/>
      <c r="Q445" s="68"/>
      <c r="R445" s="68"/>
      <c r="S445" s="68"/>
      <c r="T445" s="68"/>
      <c r="U445" s="68"/>
      <c r="V445" s="68"/>
      <c r="W445" s="68"/>
      <c r="X445" s="68"/>
      <c r="Y445" s="68"/>
      <c r="Z445" s="68"/>
      <c r="AA445" s="68"/>
      <c r="AB445" s="68"/>
      <c r="AC445" s="68"/>
      <c r="AD445" s="68"/>
      <c r="AE445" s="68"/>
      <c r="AF445" s="68"/>
    </row>
    <row r="446">
      <c r="A446" s="68"/>
      <c r="B446" s="68"/>
      <c r="C446" s="78"/>
      <c r="D446" s="78"/>
      <c r="E446" s="68"/>
      <c r="F446" s="68"/>
      <c r="G446" s="68"/>
      <c r="H446" s="68"/>
      <c r="I446" s="68"/>
      <c r="J446" s="68"/>
      <c r="K446" s="68"/>
      <c r="L446" s="68"/>
      <c r="M446" s="79"/>
      <c r="N446" s="68"/>
      <c r="O446" s="68"/>
      <c r="P446" s="68"/>
      <c r="Q446" s="68"/>
      <c r="R446" s="68"/>
      <c r="S446" s="68"/>
      <c r="T446" s="68"/>
      <c r="U446" s="68"/>
      <c r="V446" s="68"/>
      <c r="W446" s="68"/>
      <c r="X446" s="68"/>
      <c r="Y446" s="68"/>
      <c r="Z446" s="68"/>
      <c r="AA446" s="68"/>
      <c r="AB446" s="68"/>
      <c r="AC446" s="68"/>
      <c r="AD446" s="68"/>
      <c r="AE446" s="68"/>
      <c r="AF446" s="68"/>
    </row>
    <row r="447">
      <c r="A447" s="68"/>
      <c r="B447" s="68"/>
      <c r="C447" s="78"/>
      <c r="D447" s="78"/>
      <c r="E447" s="68"/>
      <c r="F447" s="68"/>
      <c r="G447" s="68"/>
      <c r="H447" s="68"/>
      <c r="I447" s="68"/>
      <c r="J447" s="68"/>
      <c r="K447" s="68"/>
      <c r="L447" s="68"/>
      <c r="M447" s="79"/>
      <c r="N447" s="68"/>
      <c r="O447" s="68"/>
      <c r="P447" s="68"/>
      <c r="Q447" s="68"/>
      <c r="R447" s="68"/>
      <c r="S447" s="68"/>
      <c r="T447" s="68"/>
      <c r="U447" s="68"/>
      <c r="V447" s="68"/>
      <c r="W447" s="68"/>
      <c r="X447" s="68"/>
      <c r="Y447" s="68"/>
      <c r="Z447" s="68"/>
      <c r="AA447" s="68"/>
      <c r="AB447" s="68"/>
      <c r="AC447" s="68"/>
      <c r="AD447" s="68"/>
      <c r="AE447" s="68"/>
      <c r="AF447" s="68"/>
    </row>
    <row r="448">
      <c r="A448" s="68"/>
      <c r="B448" s="68"/>
      <c r="C448" s="78"/>
      <c r="D448" s="78"/>
      <c r="E448" s="68"/>
      <c r="F448" s="68"/>
      <c r="G448" s="68"/>
      <c r="H448" s="68"/>
      <c r="I448" s="68"/>
      <c r="J448" s="68"/>
      <c r="K448" s="68"/>
      <c r="L448" s="68"/>
      <c r="M448" s="79"/>
      <c r="N448" s="68"/>
      <c r="O448" s="68"/>
      <c r="P448" s="68"/>
      <c r="Q448" s="68"/>
      <c r="R448" s="68"/>
      <c r="S448" s="68"/>
      <c r="T448" s="68"/>
      <c r="U448" s="68"/>
      <c r="V448" s="68"/>
      <c r="W448" s="68"/>
      <c r="X448" s="68"/>
      <c r="Y448" s="68"/>
      <c r="Z448" s="68"/>
      <c r="AA448" s="68"/>
      <c r="AB448" s="68"/>
      <c r="AC448" s="68"/>
      <c r="AD448" s="68"/>
      <c r="AE448" s="68"/>
      <c r="AF448" s="68"/>
    </row>
    <row r="449">
      <c r="A449" s="68"/>
      <c r="B449" s="68"/>
      <c r="C449" s="78"/>
      <c r="D449" s="78"/>
      <c r="E449" s="68"/>
      <c r="F449" s="68"/>
      <c r="G449" s="68"/>
      <c r="H449" s="68"/>
      <c r="I449" s="68"/>
      <c r="J449" s="68"/>
      <c r="K449" s="68"/>
      <c r="L449" s="68"/>
      <c r="M449" s="79"/>
      <c r="N449" s="68"/>
      <c r="O449" s="68"/>
      <c r="P449" s="68"/>
      <c r="Q449" s="68"/>
      <c r="R449" s="68"/>
      <c r="S449" s="68"/>
      <c r="T449" s="68"/>
      <c r="U449" s="68"/>
      <c r="V449" s="68"/>
      <c r="W449" s="68"/>
      <c r="X449" s="68"/>
      <c r="Y449" s="68"/>
      <c r="Z449" s="68"/>
      <c r="AA449" s="68"/>
      <c r="AB449" s="68"/>
      <c r="AC449" s="68"/>
      <c r="AD449" s="68"/>
      <c r="AE449" s="68"/>
      <c r="AF449" s="68"/>
    </row>
    <row r="450">
      <c r="A450" s="68"/>
      <c r="B450" s="68"/>
      <c r="C450" s="78"/>
      <c r="D450" s="78"/>
      <c r="E450" s="68"/>
      <c r="F450" s="68"/>
      <c r="G450" s="68"/>
      <c r="H450" s="68"/>
      <c r="I450" s="68"/>
      <c r="J450" s="68"/>
      <c r="K450" s="68"/>
      <c r="L450" s="68"/>
      <c r="M450" s="79"/>
      <c r="N450" s="68"/>
      <c r="O450" s="68"/>
      <c r="P450" s="68"/>
      <c r="Q450" s="68"/>
      <c r="R450" s="68"/>
      <c r="S450" s="68"/>
      <c r="T450" s="68"/>
      <c r="U450" s="68"/>
      <c r="V450" s="68"/>
      <c r="W450" s="68"/>
      <c r="X450" s="68"/>
      <c r="Y450" s="68"/>
      <c r="Z450" s="68"/>
      <c r="AA450" s="68"/>
      <c r="AB450" s="68"/>
      <c r="AC450" s="68"/>
      <c r="AD450" s="68"/>
      <c r="AE450" s="68"/>
      <c r="AF450" s="68"/>
    </row>
    <row r="451">
      <c r="A451" s="68"/>
      <c r="B451" s="68"/>
      <c r="C451" s="78"/>
      <c r="D451" s="78"/>
      <c r="E451" s="68"/>
      <c r="F451" s="68"/>
      <c r="G451" s="68"/>
      <c r="H451" s="68"/>
      <c r="I451" s="68"/>
      <c r="J451" s="68"/>
      <c r="K451" s="68"/>
      <c r="L451" s="68"/>
      <c r="M451" s="79"/>
      <c r="N451" s="68"/>
      <c r="O451" s="68"/>
      <c r="P451" s="68"/>
      <c r="Q451" s="68"/>
      <c r="R451" s="68"/>
      <c r="S451" s="68"/>
      <c r="T451" s="68"/>
      <c r="U451" s="68"/>
      <c r="V451" s="68"/>
      <c r="W451" s="68"/>
      <c r="X451" s="68"/>
      <c r="Y451" s="68"/>
      <c r="Z451" s="68"/>
      <c r="AA451" s="68"/>
      <c r="AB451" s="68"/>
      <c r="AC451" s="68"/>
      <c r="AD451" s="68"/>
      <c r="AE451" s="68"/>
      <c r="AF451" s="68"/>
    </row>
    <row r="452">
      <c r="A452" s="68"/>
      <c r="B452" s="68"/>
      <c r="C452" s="78"/>
      <c r="D452" s="78"/>
      <c r="E452" s="68"/>
      <c r="F452" s="68"/>
      <c r="G452" s="68"/>
      <c r="H452" s="68"/>
      <c r="I452" s="68"/>
      <c r="J452" s="68"/>
      <c r="K452" s="68"/>
      <c r="L452" s="68"/>
      <c r="M452" s="79"/>
      <c r="N452" s="68"/>
      <c r="O452" s="68"/>
      <c r="P452" s="68"/>
      <c r="Q452" s="68"/>
      <c r="R452" s="68"/>
      <c r="S452" s="68"/>
      <c r="T452" s="68"/>
      <c r="U452" s="68"/>
      <c r="V452" s="68"/>
      <c r="W452" s="68"/>
      <c r="X452" s="68"/>
      <c r="Y452" s="68"/>
      <c r="Z452" s="68"/>
      <c r="AA452" s="68"/>
      <c r="AB452" s="68"/>
      <c r="AC452" s="68"/>
      <c r="AD452" s="68"/>
      <c r="AE452" s="68"/>
      <c r="AF452" s="68"/>
    </row>
    <row r="453">
      <c r="A453" s="68"/>
      <c r="B453" s="68"/>
      <c r="C453" s="78"/>
      <c r="D453" s="78"/>
      <c r="E453" s="68"/>
      <c r="F453" s="68"/>
      <c r="G453" s="68"/>
      <c r="H453" s="68"/>
      <c r="I453" s="68"/>
      <c r="J453" s="68"/>
      <c r="K453" s="68"/>
      <c r="L453" s="68"/>
      <c r="M453" s="79"/>
      <c r="N453" s="68"/>
      <c r="O453" s="68"/>
      <c r="P453" s="68"/>
      <c r="Q453" s="68"/>
      <c r="R453" s="68"/>
      <c r="S453" s="68"/>
      <c r="T453" s="68"/>
      <c r="U453" s="68"/>
      <c r="V453" s="68"/>
      <c r="W453" s="68"/>
      <c r="X453" s="68"/>
      <c r="Y453" s="68"/>
      <c r="Z453" s="68"/>
      <c r="AA453" s="68"/>
      <c r="AB453" s="68"/>
      <c r="AC453" s="68"/>
      <c r="AD453" s="68"/>
      <c r="AE453" s="68"/>
      <c r="AF453" s="68"/>
    </row>
    <row r="454">
      <c r="A454" s="68"/>
      <c r="B454" s="68"/>
      <c r="C454" s="78"/>
      <c r="D454" s="78"/>
      <c r="E454" s="68"/>
      <c r="F454" s="68"/>
      <c r="G454" s="68"/>
      <c r="H454" s="68"/>
      <c r="I454" s="68"/>
      <c r="J454" s="68"/>
      <c r="K454" s="68"/>
      <c r="L454" s="68"/>
      <c r="M454" s="79"/>
      <c r="N454" s="68"/>
      <c r="O454" s="68"/>
      <c r="P454" s="68"/>
      <c r="Q454" s="68"/>
      <c r="R454" s="68"/>
      <c r="S454" s="68"/>
      <c r="T454" s="68"/>
      <c r="U454" s="68"/>
      <c r="V454" s="68"/>
      <c r="W454" s="68"/>
      <c r="X454" s="68"/>
      <c r="Y454" s="68"/>
      <c r="Z454" s="68"/>
      <c r="AA454" s="68"/>
      <c r="AB454" s="68"/>
      <c r="AC454" s="68"/>
      <c r="AD454" s="68"/>
      <c r="AE454" s="68"/>
      <c r="AF454" s="68"/>
    </row>
    <row r="455">
      <c r="A455" s="68"/>
      <c r="B455" s="68"/>
      <c r="C455" s="78"/>
      <c r="D455" s="78"/>
      <c r="E455" s="68"/>
      <c r="F455" s="68"/>
      <c r="G455" s="68"/>
      <c r="H455" s="68"/>
      <c r="I455" s="68"/>
      <c r="J455" s="68"/>
      <c r="K455" s="68"/>
      <c r="L455" s="68"/>
      <c r="M455" s="79"/>
      <c r="N455" s="68"/>
      <c r="O455" s="68"/>
      <c r="P455" s="68"/>
      <c r="Q455" s="68"/>
      <c r="R455" s="68"/>
      <c r="S455" s="68"/>
      <c r="T455" s="68"/>
      <c r="U455" s="68"/>
      <c r="V455" s="68"/>
      <c r="W455" s="68"/>
      <c r="X455" s="68"/>
      <c r="Y455" s="68"/>
      <c r="Z455" s="68"/>
      <c r="AA455" s="68"/>
      <c r="AB455" s="68"/>
      <c r="AC455" s="68"/>
      <c r="AD455" s="68"/>
      <c r="AE455" s="68"/>
      <c r="AF455" s="68"/>
    </row>
    <row r="456">
      <c r="A456" s="68"/>
      <c r="B456" s="68"/>
      <c r="C456" s="78"/>
      <c r="D456" s="78"/>
      <c r="E456" s="68"/>
      <c r="F456" s="68"/>
      <c r="G456" s="68"/>
      <c r="H456" s="68"/>
      <c r="I456" s="68"/>
      <c r="J456" s="68"/>
      <c r="K456" s="68"/>
      <c r="L456" s="68"/>
      <c r="M456" s="79"/>
      <c r="N456" s="68"/>
      <c r="O456" s="68"/>
      <c r="P456" s="68"/>
      <c r="Q456" s="68"/>
      <c r="R456" s="68"/>
      <c r="S456" s="68"/>
      <c r="T456" s="68"/>
      <c r="U456" s="68"/>
      <c r="V456" s="68"/>
      <c r="W456" s="68"/>
      <c r="X456" s="68"/>
      <c r="Y456" s="68"/>
      <c r="Z456" s="68"/>
      <c r="AA456" s="68"/>
      <c r="AB456" s="68"/>
      <c r="AC456" s="68"/>
      <c r="AD456" s="68"/>
      <c r="AE456" s="68"/>
      <c r="AF456" s="68"/>
    </row>
    <row r="457">
      <c r="A457" s="68"/>
      <c r="B457" s="68"/>
      <c r="C457" s="78"/>
      <c r="D457" s="78"/>
      <c r="E457" s="68"/>
      <c r="F457" s="68"/>
      <c r="G457" s="68"/>
      <c r="H457" s="68"/>
      <c r="I457" s="68"/>
      <c r="J457" s="68"/>
      <c r="K457" s="68"/>
      <c r="L457" s="68"/>
      <c r="M457" s="79"/>
      <c r="N457" s="68"/>
      <c r="O457" s="68"/>
      <c r="P457" s="68"/>
      <c r="Q457" s="68"/>
      <c r="R457" s="68"/>
      <c r="S457" s="68"/>
      <c r="T457" s="68"/>
      <c r="U457" s="68"/>
      <c r="V457" s="68"/>
      <c r="W457" s="68"/>
      <c r="X457" s="68"/>
      <c r="Y457" s="68"/>
      <c r="Z457" s="68"/>
      <c r="AA457" s="68"/>
      <c r="AB457" s="68"/>
      <c r="AC457" s="68"/>
      <c r="AD457" s="68"/>
      <c r="AE457" s="68"/>
      <c r="AF457" s="68"/>
    </row>
    <row r="458">
      <c r="A458" s="68"/>
      <c r="B458" s="68"/>
      <c r="C458" s="78"/>
      <c r="D458" s="78"/>
      <c r="E458" s="68"/>
      <c r="F458" s="68"/>
      <c r="G458" s="68"/>
      <c r="H458" s="68"/>
      <c r="I458" s="68"/>
      <c r="J458" s="68"/>
      <c r="K458" s="68"/>
      <c r="L458" s="68"/>
      <c r="M458" s="79"/>
      <c r="N458" s="68"/>
      <c r="O458" s="68"/>
      <c r="P458" s="68"/>
      <c r="Q458" s="68"/>
      <c r="R458" s="68"/>
      <c r="S458" s="68"/>
      <c r="T458" s="68"/>
      <c r="U458" s="68"/>
      <c r="V458" s="68"/>
      <c r="W458" s="68"/>
      <c r="X458" s="68"/>
      <c r="Y458" s="68"/>
      <c r="Z458" s="68"/>
      <c r="AA458" s="68"/>
      <c r="AB458" s="68"/>
      <c r="AC458" s="68"/>
      <c r="AD458" s="68"/>
      <c r="AE458" s="68"/>
      <c r="AF458" s="68"/>
    </row>
    <row r="459">
      <c r="A459" s="68"/>
      <c r="B459" s="68"/>
      <c r="C459" s="78"/>
      <c r="D459" s="78"/>
      <c r="E459" s="68"/>
      <c r="F459" s="68"/>
      <c r="G459" s="68"/>
      <c r="H459" s="68"/>
      <c r="I459" s="68"/>
      <c r="J459" s="68"/>
      <c r="K459" s="68"/>
      <c r="L459" s="68"/>
      <c r="M459" s="79"/>
      <c r="N459" s="68"/>
      <c r="O459" s="68"/>
      <c r="P459" s="68"/>
      <c r="Q459" s="68"/>
      <c r="R459" s="68"/>
      <c r="S459" s="68"/>
      <c r="T459" s="68"/>
      <c r="U459" s="68"/>
      <c r="V459" s="68"/>
      <c r="W459" s="68"/>
      <c r="X459" s="68"/>
      <c r="Y459" s="68"/>
      <c r="Z459" s="68"/>
      <c r="AA459" s="68"/>
      <c r="AB459" s="68"/>
      <c r="AC459" s="68"/>
      <c r="AD459" s="68"/>
      <c r="AE459" s="68"/>
      <c r="AF459" s="68"/>
    </row>
    <row r="460">
      <c r="A460" s="68"/>
      <c r="B460" s="68"/>
      <c r="C460" s="78"/>
      <c r="D460" s="78"/>
      <c r="E460" s="68"/>
      <c r="F460" s="68"/>
      <c r="G460" s="68"/>
      <c r="H460" s="68"/>
      <c r="I460" s="68"/>
      <c r="J460" s="68"/>
      <c r="K460" s="68"/>
      <c r="L460" s="68"/>
      <c r="M460" s="79"/>
      <c r="N460" s="68"/>
      <c r="O460" s="68"/>
      <c r="P460" s="68"/>
      <c r="Q460" s="68"/>
      <c r="R460" s="68"/>
      <c r="S460" s="68"/>
      <c r="T460" s="68"/>
      <c r="U460" s="68"/>
      <c r="V460" s="68"/>
      <c r="W460" s="68"/>
      <c r="X460" s="68"/>
      <c r="Y460" s="68"/>
      <c r="Z460" s="68"/>
      <c r="AA460" s="68"/>
      <c r="AB460" s="68"/>
      <c r="AC460" s="68"/>
      <c r="AD460" s="68"/>
      <c r="AE460" s="68"/>
      <c r="AF460" s="68"/>
    </row>
    <row r="461">
      <c r="A461" s="68"/>
      <c r="B461" s="68"/>
      <c r="C461" s="78"/>
      <c r="D461" s="78"/>
      <c r="E461" s="68"/>
      <c r="F461" s="68"/>
      <c r="G461" s="68"/>
      <c r="H461" s="68"/>
      <c r="I461" s="68"/>
      <c r="J461" s="68"/>
      <c r="K461" s="68"/>
      <c r="L461" s="68"/>
      <c r="M461" s="79"/>
      <c r="N461" s="68"/>
      <c r="O461" s="68"/>
      <c r="P461" s="68"/>
      <c r="Q461" s="68"/>
      <c r="R461" s="68"/>
      <c r="S461" s="68"/>
      <c r="T461" s="68"/>
      <c r="U461" s="68"/>
      <c r="V461" s="68"/>
      <c r="W461" s="68"/>
      <c r="X461" s="68"/>
      <c r="Y461" s="68"/>
      <c r="Z461" s="68"/>
      <c r="AA461" s="68"/>
      <c r="AB461" s="68"/>
      <c r="AC461" s="68"/>
      <c r="AD461" s="68"/>
      <c r="AE461" s="68"/>
      <c r="AF461" s="68"/>
    </row>
    <row r="462">
      <c r="A462" s="68"/>
      <c r="B462" s="68"/>
      <c r="C462" s="78"/>
      <c r="D462" s="78"/>
      <c r="E462" s="68"/>
      <c r="F462" s="68"/>
      <c r="G462" s="68"/>
      <c r="H462" s="68"/>
      <c r="I462" s="68"/>
      <c r="J462" s="68"/>
      <c r="K462" s="68"/>
      <c r="L462" s="68"/>
      <c r="M462" s="79"/>
      <c r="N462" s="68"/>
      <c r="O462" s="68"/>
      <c r="P462" s="68"/>
      <c r="Q462" s="68"/>
      <c r="R462" s="68"/>
      <c r="S462" s="68"/>
      <c r="T462" s="68"/>
      <c r="U462" s="68"/>
      <c r="V462" s="68"/>
      <c r="W462" s="68"/>
      <c r="X462" s="68"/>
      <c r="Y462" s="68"/>
      <c r="Z462" s="68"/>
      <c r="AA462" s="68"/>
      <c r="AB462" s="68"/>
      <c r="AC462" s="68"/>
      <c r="AD462" s="68"/>
      <c r="AE462" s="68"/>
      <c r="AF462" s="68"/>
    </row>
    <row r="463">
      <c r="A463" s="68"/>
      <c r="B463" s="68"/>
      <c r="C463" s="78"/>
      <c r="D463" s="78"/>
      <c r="E463" s="68"/>
      <c r="F463" s="68"/>
      <c r="G463" s="68"/>
      <c r="H463" s="68"/>
      <c r="I463" s="68"/>
      <c r="J463" s="68"/>
      <c r="K463" s="68"/>
      <c r="L463" s="68"/>
      <c r="M463" s="79"/>
      <c r="N463" s="68"/>
      <c r="O463" s="68"/>
      <c r="P463" s="68"/>
      <c r="Q463" s="68"/>
      <c r="R463" s="68"/>
      <c r="S463" s="68"/>
      <c r="T463" s="68"/>
      <c r="U463" s="68"/>
      <c r="V463" s="68"/>
      <c r="W463" s="68"/>
      <c r="X463" s="68"/>
      <c r="Y463" s="68"/>
      <c r="Z463" s="68"/>
      <c r="AA463" s="68"/>
      <c r="AB463" s="68"/>
      <c r="AC463" s="68"/>
      <c r="AD463" s="68"/>
      <c r="AE463" s="68"/>
      <c r="AF463" s="68"/>
    </row>
    <row r="464">
      <c r="A464" s="68"/>
      <c r="B464" s="68"/>
      <c r="C464" s="78"/>
      <c r="D464" s="78"/>
      <c r="E464" s="68"/>
      <c r="F464" s="68"/>
      <c r="G464" s="68"/>
      <c r="H464" s="68"/>
      <c r="I464" s="68"/>
      <c r="J464" s="68"/>
      <c r="K464" s="68"/>
      <c r="L464" s="68"/>
      <c r="M464" s="79"/>
      <c r="N464" s="68"/>
      <c r="O464" s="68"/>
      <c r="P464" s="68"/>
      <c r="Q464" s="68"/>
      <c r="R464" s="68"/>
      <c r="S464" s="68"/>
      <c r="T464" s="68"/>
      <c r="U464" s="68"/>
      <c r="V464" s="68"/>
      <c r="W464" s="68"/>
      <c r="X464" s="68"/>
      <c r="Y464" s="68"/>
      <c r="Z464" s="68"/>
      <c r="AA464" s="68"/>
      <c r="AB464" s="68"/>
      <c r="AC464" s="68"/>
      <c r="AD464" s="68"/>
      <c r="AE464" s="68"/>
      <c r="AF464" s="68"/>
    </row>
    <row r="465">
      <c r="A465" s="68"/>
      <c r="B465" s="68"/>
      <c r="C465" s="78"/>
      <c r="D465" s="78"/>
      <c r="E465" s="68"/>
      <c r="F465" s="68"/>
      <c r="G465" s="68"/>
      <c r="H465" s="68"/>
      <c r="I465" s="68"/>
      <c r="J465" s="68"/>
      <c r="K465" s="68"/>
      <c r="L465" s="68"/>
      <c r="M465" s="79"/>
      <c r="N465" s="68"/>
      <c r="O465" s="68"/>
      <c r="P465" s="68"/>
      <c r="Q465" s="68"/>
      <c r="R465" s="68"/>
      <c r="S465" s="68"/>
      <c r="T465" s="68"/>
      <c r="U465" s="68"/>
      <c r="V465" s="68"/>
      <c r="W465" s="68"/>
      <c r="X465" s="68"/>
      <c r="Y465" s="68"/>
      <c r="Z465" s="68"/>
      <c r="AA465" s="68"/>
      <c r="AB465" s="68"/>
      <c r="AC465" s="68"/>
      <c r="AD465" s="68"/>
      <c r="AE465" s="68"/>
      <c r="AF465" s="68"/>
    </row>
    <row r="466">
      <c r="A466" s="68"/>
      <c r="B466" s="68"/>
      <c r="C466" s="78"/>
      <c r="D466" s="78"/>
      <c r="E466" s="68"/>
      <c r="F466" s="68"/>
      <c r="G466" s="68"/>
      <c r="H466" s="68"/>
      <c r="I466" s="68"/>
      <c r="J466" s="68"/>
      <c r="K466" s="68"/>
      <c r="L466" s="68"/>
      <c r="M466" s="79"/>
      <c r="N466" s="68"/>
      <c r="O466" s="68"/>
      <c r="P466" s="68"/>
      <c r="Q466" s="68"/>
      <c r="R466" s="68"/>
      <c r="S466" s="68"/>
      <c r="T466" s="68"/>
      <c r="U466" s="68"/>
      <c r="V466" s="68"/>
      <c r="W466" s="68"/>
      <c r="X466" s="68"/>
      <c r="Y466" s="68"/>
      <c r="Z466" s="68"/>
      <c r="AA466" s="68"/>
      <c r="AB466" s="68"/>
      <c r="AC466" s="68"/>
      <c r="AD466" s="68"/>
      <c r="AE466" s="68"/>
      <c r="AF466" s="68"/>
    </row>
    <row r="467">
      <c r="A467" s="68"/>
      <c r="B467" s="68"/>
      <c r="C467" s="78"/>
      <c r="D467" s="78"/>
      <c r="E467" s="68"/>
      <c r="F467" s="68"/>
      <c r="G467" s="68"/>
      <c r="H467" s="68"/>
      <c r="I467" s="68"/>
      <c r="J467" s="68"/>
      <c r="K467" s="68"/>
      <c r="L467" s="68"/>
      <c r="M467" s="79"/>
      <c r="N467" s="68"/>
      <c r="O467" s="68"/>
      <c r="P467" s="68"/>
      <c r="Q467" s="68"/>
      <c r="R467" s="68"/>
      <c r="S467" s="68"/>
      <c r="T467" s="68"/>
      <c r="U467" s="68"/>
      <c r="V467" s="68"/>
      <c r="W467" s="68"/>
      <c r="X467" s="68"/>
      <c r="Y467" s="68"/>
      <c r="Z467" s="68"/>
      <c r="AA467" s="68"/>
      <c r="AB467" s="68"/>
      <c r="AC467" s="68"/>
      <c r="AD467" s="68"/>
      <c r="AE467" s="68"/>
      <c r="AF467" s="68"/>
    </row>
    <row r="468">
      <c r="A468" s="68"/>
      <c r="B468" s="68"/>
      <c r="C468" s="78"/>
      <c r="D468" s="78"/>
      <c r="E468" s="68"/>
      <c r="F468" s="68"/>
      <c r="G468" s="68"/>
      <c r="H468" s="68"/>
      <c r="I468" s="68"/>
      <c r="J468" s="68"/>
      <c r="K468" s="68"/>
      <c r="L468" s="68"/>
      <c r="M468" s="79"/>
      <c r="N468" s="68"/>
      <c r="O468" s="68"/>
      <c r="P468" s="68"/>
      <c r="Q468" s="68"/>
      <c r="R468" s="68"/>
      <c r="S468" s="68"/>
      <c r="T468" s="68"/>
      <c r="U468" s="68"/>
      <c r="V468" s="68"/>
      <c r="W468" s="68"/>
      <c r="X468" s="68"/>
      <c r="Y468" s="68"/>
      <c r="Z468" s="68"/>
      <c r="AA468" s="68"/>
      <c r="AB468" s="68"/>
      <c r="AC468" s="68"/>
      <c r="AD468" s="68"/>
      <c r="AE468" s="68"/>
      <c r="AF468" s="68"/>
    </row>
    <row r="469">
      <c r="A469" s="68"/>
      <c r="B469" s="68"/>
      <c r="C469" s="78"/>
      <c r="D469" s="78"/>
      <c r="E469" s="68"/>
      <c r="F469" s="68"/>
      <c r="G469" s="68"/>
      <c r="H469" s="68"/>
      <c r="I469" s="68"/>
      <c r="J469" s="68"/>
      <c r="K469" s="68"/>
      <c r="L469" s="68"/>
      <c r="M469" s="79"/>
      <c r="N469" s="68"/>
      <c r="O469" s="68"/>
      <c r="P469" s="68"/>
      <c r="Q469" s="68"/>
      <c r="R469" s="68"/>
      <c r="S469" s="68"/>
      <c r="T469" s="68"/>
      <c r="U469" s="68"/>
      <c r="V469" s="68"/>
      <c r="W469" s="68"/>
      <c r="X469" s="68"/>
      <c r="Y469" s="68"/>
      <c r="Z469" s="68"/>
      <c r="AA469" s="68"/>
      <c r="AB469" s="68"/>
      <c r="AC469" s="68"/>
      <c r="AD469" s="68"/>
      <c r="AE469" s="68"/>
      <c r="AF469" s="68"/>
    </row>
    <row r="470">
      <c r="A470" s="68"/>
      <c r="B470" s="68"/>
      <c r="C470" s="78"/>
      <c r="D470" s="78"/>
      <c r="E470" s="68"/>
      <c r="F470" s="68"/>
      <c r="G470" s="68"/>
      <c r="H470" s="68"/>
      <c r="I470" s="68"/>
      <c r="J470" s="68"/>
      <c r="K470" s="68"/>
      <c r="L470" s="68"/>
      <c r="M470" s="79"/>
      <c r="N470" s="68"/>
      <c r="O470" s="68"/>
      <c r="P470" s="68"/>
      <c r="Q470" s="68"/>
      <c r="R470" s="68"/>
      <c r="S470" s="68"/>
      <c r="T470" s="68"/>
      <c r="U470" s="68"/>
      <c r="V470" s="68"/>
      <c r="W470" s="68"/>
      <c r="X470" s="68"/>
      <c r="Y470" s="68"/>
      <c r="Z470" s="68"/>
      <c r="AA470" s="68"/>
      <c r="AB470" s="68"/>
      <c r="AC470" s="68"/>
      <c r="AD470" s="68"/>
      <c r="AE470" s="68"/>
      <c r="AF470" s="68"/>
    </row>
    <row r="471">
      <c r="A471" s="68"/>
      <c r="B471" s="68"/>
      <c r="C471" s="78"/>
      <c r="D471" s="78"/>
      <c r="E471" s="68"/>
      <c r="F471" s="68"/>
      <c r="G471" s="68"/>
      <c r="H471" s="68"/>
      <c r="I471" s="68"/>
      <c r="J471" s="68"/>
      <c r="K471" s="68"/>
      <c r="L471" s="68"/>
      <c r="M471" s="79"/>
      <c r="N471" s="68"/>
      <c r="O471" s="68"/>
      <c r="P471" s="68"/>
      <c r="Q471" s="68"/>
      <c r="R471" s="68"/>
      <c r="S471" s="68"/>
      <c r="T471" s="68"/>
      <c r="U471" s="68"/>
      <c r="V471" s="68"/>
      <c r="W471" s="68"/>
      <c r="X471" s="68"/>
      <c r="Y471" s="68"/>
      <c r="Z471" s="68"/>
      <c r="AA471" s="68"/>
      <c r="AB471" s="68"/>
      <c r="AC471" s="68"/>
      <c r="AD471" s="68"/>
      <c r="AE471" s="68"/>
      <c r="AF471" s="68"/>
    </row>
    <row r="472">
      <c r="A472" s="68"/>
      <c r="B472" s="68"/>
      <c r="C472" s="78"/>
      <c r="D472" s="78"/>
      <c r="E472" s="68"/>
      <c r="F472" s="68"/>
      <c r="G472" s="68"/>
      <c r="H472" s="68"/>
      <c r="I472" s="68"/>
      <c r="J472" s="68"/>
      <c r="K472" s="68"/>
      <c r="L472" s="68"/>
      <c r="M472" s="79"/>
      <c r="N472" s="68"/>
      <c r="O472" s="68"/>
      <c r="P472" s="68"/>
      <c r="Q472" s="68"/>
      <c r="R472" s="68"/>
      <c r="S472" s="68"/>
      <c r="T472" s="68"/>
      <c r="U472" s="68"/>
      <c r="V472" s="68"/>
      <c r="W472" s="68"/>
      <c r="X472" s="68"/>
      <c r="Y472" s="68"/>
      <c r="Z472" s="68"/>
      <c r="AA472" s="68"/>
      <c r="AB472" s="68"/>
      <c r="AC472" s="68"/>
      <c r="AD472" s="68"/>
      <c r="AE472" s="68"/>
      <c r="AF472" s="68"/>
    </row>
    <row r="473">
      <c r="A473" s="68"/>
      <c r="B473" s="68"/>
      <c r="C473" s="78"/>
      <c r="D473" s="78"/>
      <c r="E473" s="68"/>
      <c r="F473" s="68"/>
      <c r="G473" s="68"/>
      <c r="H473" s="68"/>
      <c r="I473" s="68"/>
      <c r="J473" s="68"/>
      <c r="K473" s="68"/>
      <c r="L473" s="68"/>
      <c r="M473" s="79"/>
      <c r="N473" s="68"/>
      <c r="O473" s="68"/>
      <c r="P473" s="68"/>
      <c r="Q473" s="68"/>
      <c r="R473" s="68"/>
      <c r="S473" s="68"/>
      <c r="T473" s="68"/>
      <c r="U473" s="68"/>
      <c r="V473" s="68"/>
      <c r="W473" s="68"/>
      <c r="X473" s="68"/>
      <c r="Y473" s="68"/>
      <c r="Z473" s="68"/>
      <c r="AA473" s="68"/>
      <c r="AB473" s="68"/>
      <c r="AC473" s="68"/>
      <c r="AD473" s="68"/>
      <c r="AE473" s="68"/>
      <c r="AF473" s="68"/>
    </row>
    <row r="474">
      <c r="A474" s="68"/>
      <c r="B474" s="68"/>
      <c r="C474" s="78"/>
      <c r="D474" s="78"/>
      <c r="E474" s="68"/>
      <c r="F474" s="68"/>
      <c r="G474" s="68"/>
      <c r="H474" s="68"/>
      <c r="I474" s="68"/>
      <c r="J474" s="68"/>
      <c r="K474" s="68"/>
      <c r="L474" s="68"/>
      <c r="M474" s="79"/>
      <c r="N474" s="68"/>
      <c r="O474" s="68"/>
      <c r="P474" s="68"/>
      <c r="Q474" s="68"/>
      <c r="R474" s="68"/>
      <c r="S474" s="68"/>
      <c r="T474" s="68"/>
      <c r="U474" s="68"/>
      <c r="V474" s="68"/>
      <c r="W474" s="68"/>
      <c r="X474" s="68"/>
      <c r="Y474" s="68"/>
      <c r="Z474" s="68"/>
      <c r="AA474" s="68"/>
      <c r="AB474" s="68"/>
      <c r="AC474" s="68"/>
      <c r="AD474" s="68"/>
      <c r="AE474" s="68"/>
      <c r="AF474" s="68"/>
    </row>
    <row r="475">
      <c r="A475" s="68"/>
      <c r="B475" s="68"/>
      <c r="C475" s="78"/>
      <c r="D475" s="78"/>
      <c r="E475" s="68"/>
      <c r="F475" s="68"/>
      <c r="G475" s="68"/>
      <c r="H475" s="68"/>
      <c r="I475" s="68"/>
      <c r="J475" s="68"/>
      <c r="K475" s="68"/>
      <c r="L475" s="68"/>
      <c r="M475" s="79"/>
      <c r="N475" s="68"/>
      <c r="O475" s="68"/>
      <c r="P475" s="68"/>
      <c r="Q475" s="68"/>
      <c r="R475" s="68"/>
      <c r="S475" s="68"/>
      <c r="T475" s="68"/>
      <c r="U475" s="68"/>
      <c r="V475" s="68"/>
      <c r="W475" s="68"/>
      <c r="X475" s="68"/>
      <c r="Y475" s="68"/>
      <c r="Z475" s="68"/>
      <c r="AA475" s="68"/>
      <c r="AB475" s="68"/>
      <c r="AC475" s="68"/>
      <c r="AD475" s="68"/>
      <c r="AE475" s="68"/>
      <c r="AF475" s="68"/>
    </row>
    <row r="476">
      <c r="A476" s="68"/>
      <c r="B476" s="68"/>
      <c r="C476" s="78"/>
      <c r="D476" s="78"/>
      <c r="E476" s="68"/>
      <c r="F476" s="68"/>
      <c r="G476" s="68"/>
      <c r="H476" s="68"/>
      <c r="I476" s="68"/>
      <c r="J476" s="68"/>
      <c r="K476" s="68"/>
      <c r="L476" s="68"/>
      <c r="M476" s="79"/>
      <c r="N476" s="68"/>
      <c r="O476" s="68"/>
      <c r="P476" s="68"/>
      <c r="Q476" s="68"/>
      <c r="R476" s="68"/>
      <c r="S476" s="68"/>
      <c r="T476" s="68"/>
      <c r="U476" s="68"/>
      <c r="V476" s="68"/>
      <c r="W476" s="68"/>
      <c r="X476" s="68"/>
      <c r="Y476" s="68"/>
      <c r="Z476" s="68"/>
      <c r="AA476" s="68"/>
      <c r="AB476" s="68"/>
      <c r="AC476" s="68"/>
      <c r="AD476" s="68"/>
      <c r="AE476" s="68"/>
      <c r="AF476" s="68"/>
    </row>
    <row r="477">
      <c r="A477" s="68"/>
      <c r="B477" s="68"/>
      <c r="C477" s="78"/>
      <c r="D477" s="78"/>
      <c r="E477" s="68"/>
      <c r="F477" s="68"/>
      <c r="G477" s="68"/>
      <c r="H477" s="68"/>
      <c r="I477" s="68"/>
      <c r="J477" s="68"/>
      <c r="K477" s="68"/>
      <c r="L477" s="68"/>
      <c r="M477" s="79"/>
      <c r="N477" s="68"/>
      <c r="O477" s="68"/>
      <c r="P477" s="68"/>
      <c r="Q477" s="68"/>
      <c r="R477" s="68"/>
      <c r="S477" s="68"/>
      <c r="T477" s="68"/>
      <c r="U477" s="68"/>
      <c r="V477" s="68"/>
      <c r="W477" s="68"/>
      <c r="X477" s="68"/>
      <c r="Y477" s="68"/>
      <c r="Z477" s="68"/>
      <c r="AA477" s="68"/>
      <c r="AB477" s="68"/>
      <c r="AC477" s="68"/>
      <c r="AD477" s="68"/>
      <c r="AE477" s="68"/>
      <c r="AF477" s="68"/>
    </row>
    <row r="478">
      <c r="A478" s="68"/>
      <c r="B478" s="68"/>
      <c r="C478" s="78"/>
      <c r="D478" s="78"/>
      <c r="E478" s="68"/>
      <c r="F478" s="68"/>
      <c r="G478" s="68"/>
      <c r="H478" s="68"/>
      <c r="I478" s="68"/>
      <c r="J478" s="68"/>
      <c r="K478" s="68"/>
      <c r="L478" s="68"/>
      <c r="M478" s="79"/>
      <c r="N478" s="68"/>
      <c r="O478" s="68"/>
      <c r="P478" s="68"/>
      <c r="Q478" s="68"/>
      <c r="R478" s="68"/>
      <c r="S478" s="68"/>
      <c r="T478" s="68"/>
      <c r="U478" s="68"/>
      <c r="V478" s="68"/>
      <c r="W478" s="68"/>
      <c r="X478" s="68"/>
      <c r="Y478" s="68"/>
      <c r="Z478" s="68"/>
      <c r="AA478" s="68"/>
      <c r="AB478" s="68"/>
      <c r="AC478" s="68"/>
      <c r="AD478" s="68"/>
      <c r="AE478" s="68"/>
      <c r="AF478" s="68"/>
    </row>
    <row r="479">
      <c r="A479" s="68"/>
      <c r="B479" s="68"/>
      <c r="C479" s="78"/>
      <c r="D479" s="78"/>
      <c r="E479" s="68"/>
      <c r="F479" s="68"/>
      <c r="G479" s="68"/>
      <c r="H479" s="68"/>
      <c r="I479" s="68"/>
      <c r="J479" s="68"/>
      <c r="K479" s="68"/>
      <c r="L479" s="68"/>
      <c r="M479" s="79"/>
      <c r="N479" s="68"/>
      <c r="O479" s="68"/>
      <c r="P479" s="68"/>
      <c r="Q479" s="68"/>
      <c r="R479" s="68"/>
      <c r="S479" s="68"/>
      <c r="T479" s="68"/>
      <c r="U479" s="68"/>
      <c r="V479" s="68"/>
      <c r="W479" s="68"/>
      <c r="X479" s="68"/>
      <c r="Y479" s="68"/>
      <c r="Z479" s="68"/>
      <c r="AA479" s="68"/>
      <c r="AB479" s="68"/>
      <c r="AC479" s="68"/>
      <c r="AD479" s="68"/>
      <c r="AE479" s="68"/>
      <c r="AF479" s="68"/>
    </row>
    <row r="480">
      <c r="A480" s="68"/>
      <c r="B480" s="68"/>
      <c r="C480" s="78"/>
      <c r="D480" s="78"/>
      <c r="E480" s="68"/>
      <c r="F480" s="68"/>
      <c r="G480" s="68"/>
      <c r="H480" s="68"/>
      <c r="I480" s="68"/>
      <c r="J480" s="68"/>
      <c r="K480" s="68"/>
      <c r="L480" s="68"/>
      <c r="M480" s="79"/>
      <c r="N480" s="68"/>
      <c r="O480" s="68"/>
      <c r="P480" s="68"/>
      <c r="Q480" s="68"/>
      <c r="R480" s="68"/>
      <c r="S480" s="68"/>
      <c r="T480" s="68"/>
      <c r="U480" s="68"/>
      <c r="V480" s="68"/>
      <c r="W480" s="68"/>
      <c r="X480" s="68"/>
      <c r="Y480" s="68"/>
      <c r="Z480" s="68"/>
      <c r="AA480" s="68"/>
      <c r="AB480" s="68"/>
      <c r="AC480" s="68"/>
      <c r="AD480" s="68"/>
      <c r="AE480" s="68"/>
      <c r="AF480" s="68"/>
    </row>
    <row r="481">
      <c r="A481" s="68"/>
      <c r="B481" s="68"/>
      <c r="C481" s="78"/>
      <c r="D481" s="78"/>
      <c r="E481" s="68"/>
      <c r="F481" s="68"/>
      <c r="G481" s="68"/>
      <c r="H481" s="68"/>
      <c r="I481" s="68"/>
      <c r="J481" s="68"/>
      <c r="K481" s="68"/>
      <c r="L481" s="68"/>
      <c r="M481" s="79"/>
      <c r="N481" s="68"/>
      <c r="O481" s="68"/>
      <c r="P481" s="68"/>
      <c r="Q481" s="68"/>
      <c r="R481" s="68"/>
      <c r="S481" s="68"/>
      <c r="T481" s="68"/>
      <c r="U481" s="68"/>
      <c r="V481" s="68"/>
      <c r="W481" s="68"/>
      <c r="X481" s="68"/>
      <c r="Y481" s="68"/>
      <c r="Z481" s="68"/>
      <c r="AA481" s="68"/>
      <c r="AB481" s="68"/>
      <c r="AC481" s="68"/>
      <c r="AD481" s="68"/>
      <c r="AE481" s="68"/>
      <c r="AF481" s="68"/>
    </row>
    <row r="482">
      <c r="A482" s="68"/>
      <c r="B482" s="68"/>
      <c r="C482" s="78"/>
      <c r="D482" s="78"/>
      <c r="E482" s="68"/>
      <c r="F482" s="68"/>
      <c r="G482" s="68"/>
      <c r="H482" s="68"/>
      <c r="I482" s="68"/>
      <c r="J482" s="68"/>
      <c r="K482" s="68"/>
      <c r="L482" s="68"/>
      <c r="M482" s="79"/>
      <c r="N482" s="68"/>
      <c r="O482" s="68"/>
      <c r="P482" s="68"/>
      <c r="Q482" s="68"/>
      <c r="R482" s="68"/>
      <c r="S482" s="68"/>
      <c r="T482" s="68"/>
      <c r="U482" s="68"/>
      <c r="V482" s="68"/>
      <c r="W482" s="68"/>
      <c r="X482" s="68"/>
      <c r="Y482" s="68"/>
      <c r="Z482" s="68"/>
      <c r="AA482" s="68"/>
      <c r="AB482" s="68"/>
      <c r="AC482" s="68"/>
      <c r="AD482" s="68"/>
      <c r="AE482" s="68"/>
      <c r="AF482" s="68"/>
    </row>
    <row r="483">
      <c r="A483" s="68"/>
      <c r="B483" s="68"/>
      <c r="C483" s="78"/>
      <c r="D483" s="78"/>
      <c r="E483" s="68"/>
      <c r="F483" s="68"/>
      <c r="G483" s="68"/>
      <c r="H483" s="68"/>
      <c r="I483" s="68"/>
      <c r="J483" s="68"/>
      <c r="K483" s="68"/>
      <c r="L483" s="68"/>
      <c r="M483" s="79"/>
      <c r="N483" s="68"/>
      <c r="O483" s="68"/>
      <c r="P483" s="68"/>
      <c r="Q483" s="68"/>
      <c r="R483" s="68"/>
      <c r="S483" s="68"/>
      <c r="T483" s="68"/>
      <c r="U483" s="68"/>
      <c r="V483" s="68"/>
      <c r="W483" s="68"/>
      <c r="X483" s="68"/>
      <c r="Y483" s="68"/>
      <c r="Z483" s="68"/>
      <c r="AA483" s="68"/>
      <c r="AB483" s="68"/>
      <c r="AC483" s="68"/>
      <c r="AD483" s="68"/>
      <c r="AE483" s="68"/>
      <c r="AF483" s="68"/>
    </row>
    <row r="484">
      <c r="A484" s="68"/>
      <c r="B484" s="68"/>
      <c r="C484" s="78"/>
      <c r="D484" s="78"/>
      <c r="E484" s="68"/>
      <c r="F484" s="68"/>
      <c r="G484" s="68"/>
      <c r="H484" s="68"/>
      <c r="I484" s="68"/>
      <c r="J484" s="68"/>
      <c r="K484" s="68"/>
      <c r="L484" s="68"/>
      <c r="M484" s="79"/>
      <c r="N484" s="68"/>
      <c r="O484" s="68"/>
      <c r="P484" s="68"/>
      <c r="Q484" s="68"/>
      <c r="R484" s="68"/>
      <c r="S484" s="68"/>
      <c r="T484" s="68"/>
      <c r="U484" s="68"/>
      <c r="V484" s="68"/>
      <c r="W484" s="68"/>
      <c r="X484" s="68"/>
      <c r="Y484" s="68"/>
      <c r="Z484" s="68"/>
      <c r="AA484" s="68"/>
      <c r="AB484" s="68"/>
      <c r="AC484" s="68"/>
      <c r="AD484" s="68"/>
      <c r="AE484" s="68"/>
      <c r="AF484" s="68"/>
    </row>
    <row r="485">
      <c r="A485" s="68"/>
      <c r="B485" s="68"/>
      <c r="C485" s="78"/>
      <c r="D485" s="78"/>
      <c r="E485" s="68"/>
      <c r="F485" s="68"/>
      <c r="G485" s="68"/>
      <c r="H485" s="68"/>
      <c r="I485" s="68"/>
      <c r="J485" s="68"/>
      <c r="K485" s="68"/>
      <c r="L485" s="68"/>
      <c r="M485" s="79"/>
      <c r="N485" s="68"/>
      <c r="O485" s="68"/>
      <c r="P485" s="68"/>
      <c r="Q485" s="68"/>
      <c r="R485" s="68"/>
      <c r="S485" s="68"/>
      <c r="T485" s="68"/>
      <c r="U485" s="68"/>
      <c r="V485" s="68"/>
      <c r="W485" s="68"/>
      <c r="X485" s="68"/>
      <c r="Y485" s="68"/>
      <c r="Z485" s="68"/>
      <c r="AA485" s="68"/>
      <c r="AB485" s="68"/>
      <c r="AC485" s="68"/>
      <c r="AD485" s="68"/>
      <c r="AE485" s="68"/>
      <c r="AF485" s="68"/>
    </row>
    <row r="486">
      <c r="A486" s="68"/>
      <c r="B486" s="68"/>
      <c r="C486" s="78"/>
      <c r="D486" s="78"/>
      <c r="E486" s="68"/>
      <c r="F486" s="68"/>
      <c r="G486" s="68"/>
      <c r="H486" s="68"/>
      <c r="I486" s="68"/>
      <c r="J486" s="68"/>
      <c r="K486" s="68"/>
      <c r="L486" s="68"/>
      <c r="M486" s="79"/>
      <c r="N486" s="68"/>
      <c r="O486" s="68"/>
      <c r="P486" s="68"/>
      <c r="Q486" s="68"/>
      <c r="R486" s="68"/>
      <c r="S486" s="68"/>
      <c r="T486" s="68"/>
      <c r="U486" s="68"/>
      <c r="V486" s="68"/>
      <c r="W486" s="68"/>
      <c r="X486" s="68"/>
      <c r="Y486" s="68"/>
      <c r="Z486" s="68"/>
      <c r="AA486" s="68"/>
      <c r="AB486" s="68"/>
      <c r="AC486" s="68"/>
      <c r="AD486" s="68"/>
      <c r="AE486" s="68"/>
      <c r="AF486" s="68"/>
    </row>
    <row r="487">
      <c r="A487" s="68"/>
      <c r="B487" s="68"/>
      <c r="C487" s="78"/>
      <c r="D487" s="78"/>
      <c r="E487" s="68"/>
      <c r="F487" s="68"/>
      <c r="G487" s="68"/>
      <c r="H487" s="68"/>
      <c r="I487" s="68"/>
      <c r="J487" s="68"/>
      <c r="K487" s="68"/>
      <c r="L487" s="68"/>
      <c r="M487" s="79"/>
      <c r="N487" s="68"/>
      <c r="O487" s="68"/>
      <c r="P487" s="68"/>
      <c r="Q487" s="68"/>
      <c r="R487" s="68"/>
      <c r="S487" s="68"/>
      <c r="T487" s="68"/>
      <c r="U487" s="68"/>
      <c r="V487" s="68"/>
      <c r="W487" s="68"/>
      <c r="X487" s="68"/>
      <c r="Y487" s="68"/>
      <c r="Z487" s="68"/>
      <c r="AA487" s="68"/>
      <c r="AB487" s="68"/>
      <c r="AC487" s="68"/>
      <c r="AD487" s="68"/>
      <c r="AE487" s="68"/>
      <c r="AF487" s="68"/>
    </row>
    <row r="488">
      <c r="A488" s="68"/>
      <c r="B488" s="68"/>
      <c r="C488" s="78"/>
      <c r="D488" s="78"/>
      <c r="E488" s="68"/>
      <c r="F488" s="68"/>
      <c r="G488" s="68"/>
      <c r="H488" s="68"/>
      <c r="I488" s="68"/>
      <c r="J488" s="68"/>
      <c r="K488" s="68"/>
      <c r="L488" s="68"/>
      <c r="M488" s="79"/>
      <c r="N488" s="68"/>
      <c r="O488" s="68"/>
      <c r="P488" s="68"/>
      <c r="Q488" s="68"/>
      <c r="R488" s="68"/>
      <c r="S488" s="68"/>
      <c r="T488" s="68"/>
      <c r="U488" s="68"/>
      <c r="V488" s="68"/>
      <c r="W488" s="68"/>
      <c r="X488" s="68"/>
      <c r="Y488" s="68"/>
      <c r="Z488" s="68"/>
      <c r="AA488" s="68"/>
      <c r="AB488" s="68"/>
      <c r="AC488" s="68"/>
      <c r="AD488" s="68"/>
      <c r="AE488" s="68"/>
      <c r="AF488" s="68"/>
    </row>
    <row r="489">
      <c r="A489" s="68"/>
      <c r="B489" s="68"/>
      <c r="C489" s="78"/>
      <c r="D489" s="78"/>
      <c r="E489" s="68"/>
      <c r="F489" s="68"/>
      <c r="G489" s="68"/>
      <c r="H489" s="68"/>
      <c r="I489" s="68"/>
      <c r="J489" s="68"/>
      <c r="K489" s="68"/>
      <c r="L489" s="68"/>
      <c r="M489" s="79"/>
      <c r="N489" s="68"/>
      <c r="O489" s="68"/>
      <c r="P489" s="68"/>
      <c r="Q489" s="68"/>
      <c r="R489" s="68"/>
      <c r="S489" s="68"/>
      <c r="T489" s="68"/>
      <c r="U489" s="68"/>
      <c r="V489" s="68"/>
      <c r="W489" s="68"/>
      <c r="X489" s="68"/>
      <c r="Y489" s="68"/>
      <c r="Z489" s="68"/>
      <c r="AA489" s="68"/>
      <c r="AB489" s="68"/>
      <c r="AC489" s="68"/>
      <c r="AD489" s="68"/>
      <c r="AE489" s="68"/>
      <c r="AF489" s="68"/>
    </row>
    <row r="490">
      <c r="A490" s="68"/>
      <c r="B490" s="68"/>
      <c r="C490" s="78"/>
      <c r="D490" s="78"/>
      <c r="E490" s="68"/>
      <c r="F490" s="68"/>
      <c r="G490" s="68"/>
      <c r="H490" s="68"/>
      <c r="I490" s="68"/>
      <c r="J490" s="68"/>
      <c r="K490" s="68"/>
      <c r="L490" s="68"/>
      <c r="M490" s="79"/>
      <c r="N490" s="68"/>
      <c r="O490" s="68"/>
      <c r="P490" s="68"/>
      <c r="Q490" s="68"/>
      <c r="R490" s="68"/>
      <c r="S490" s="68"/>
      <c r="T490" s="68"/>
      <c r="U490" s="68"/>
      <c r="V490" s="68"/>
      <c r="W490" s="68"/>
      <c r="X490" s="68"/>
      <c r="Y490" s="68"/>
      <c r="Z490" s="68"/>
      <c r="AA490" s="68"/>
      <c r="AB490" s="68"/>
      <c r="AC490" s="68"/>
      <c r="AD490" s="68"/>
      <c r="AE490" s="68"/>
      <c r="AF490" s="68"/>
    </row>
    <row r="491">
      <c r="A491" s="68"/>
      <c r="B491" s="68"/>
      <c r="C491" s="78"/>
      <c r="D491" s="78"/>
      <c r="E491" s="68"/>
      <c r="F491" s="68"/>
      <c r="G491" s="68"/>
      <c r="H491" s="68"/>
      <c r="I491" s="68"/>
      <c r="J491" s="68"/>
      <c r="K491" s="68"/>
      <c r="L491" s="68"/>
      <c r="M491" s="79"/>
      <c r="N491" s="68"/>
      <c r="O491" s="68"/>
      <c r="P491" s="68"/>
      <c r="Q491" s="68"/>
      <c r="R491" s="68"/>
      <c r="S491" s="68"/>
      <c r="T491" s="68"/>
      <c r="U491" s="68"/>
      <c r="V491" s="68"/>
      <c r="W491" s="68"/>
      <c r="X491" s="68"/>
      <c r="Y491" s="68"/>
      <c r="Z491" s="68"/>
      <c r="AA491" s="68"/>
      <c r="AB491" s="68"/>
      <c r="AC491" s="68"/>
      <c r="AD491" s="68"/>
      <c r="AE491" s="68"/>
      <c r="AF491" s="68"/>
    </row>
    <row r="492">
      <c r="A492" s="68"/>
      <c r="B492" s="68"/>
      <c r="C492" s="78"/>
      <c r="D492" s="78"/>
      <c r="E492" s="68"/>
      <c r="F492" s="68"/>
      <c r="G492" s="68"/>
      <c r="H492" s="68"/>
      <c r="I492" s="68"/>
      <c r="J492" s="68"/>
      <c r="K492" s="68"/>
      <c r="L492" s="68"/>
      <c r="M492" s="79"/>
      <c r="N492" s="68"/>
      <c r="O492" s="68"/>
      <c r="P492" s="68"/>
      <c r="Q492" s="68"/>
      <c r="R492" s="68"/>
      <c r="S492" s="68"/>
      <c r="T492" s="68"/>
      <c r="U492" s="68"/>
      <c r="V492" s="68"/>
      <c r="W492" s="68"/>
      <c r="X492" s="68"/>
      <c r="Y492" s="68"/>
      <c r="Z492" s="68"/>
      <c r="AA492" s="68"/>
      <c r="AB492" s="68"/>
      <c r="AC492" s="68"/>
      <c r="AD492" s="68"/>
      <c r="AE492" s="68"/>
      <c r="AF492" s="68"/>
    </row>
    <row r="493">
      <c r="A493" s="68"/>
      <c r="B493" s="68"/>
      <c r="C493" s="78"/>
      <c r="D493" s="78"/>
      <c r="E493" s="68"/>
      <c r="F493" s="68"/>
      <c r="G493" s="68"/>
      <c r="H493" s="68"/>
      <c r="I493" s="68"/>
      <c r="J493" s="68"/>
      <c r="K493" s="68"/>
      <c r="L493" s="68"/>
      <c r="M493" s="79"/>
      <c r="N493" s="68"/>
      <c r="O493" s="68"/>
      <c r="P493" s="68"/>
      <c r="Q493" s="68"/>
      <c r="R493" s="68"/>
      <c r="S493" s="68"/>
      <c r="T493" s="68"/>
      <c r="U493" s="68"/>
      <c r="V493" s="68"/>
      <c r="W493" s="68"/>
      <c r="X493" s="68"/>
      <c r="Y493" s="68"/>
      <c r="Z493" s="68"/>
      <c r="AA493" s="68"/>
      <c r="AB493" s="68"/>
      <c r="AC493" s="68"/>
      <c r="AD493" s="68"/>
      <c r="AE493" s="68"/>
      <c r="AF493" s="68"/>
    </row>
    <row r="494">
      <c r="A494" s="68"/>
      <c r="B494" s="68"/>
      <c r="C494" s="78"/>
      <c r="D494" s="78"/>
      <c r="E494" s="68"/>
      <c r="F494" s="68"/>
      <c r="G494" s="68"/>
      <c r="H494" s="68"/>
      <c r="I494" s="68"/>
      <c r="J494" s="68"/>
      <c r="K494" s="68"/>
      <c r="L494" s="68"/>
      <c r="M494" s="79"/>
      <c r="N494" s="68"/>
      <c r="O494" s="68"/>
      <c r="P494" s="68"/>
      <c r="Q494" s="68"/>
      <c r="R494" s="68"/>
      <c r="S494" s="68"/>
      <c r="T494" s="68"/>
      <c r="U494" s="68"/>
      <c r="V494" s="68"/>
      <c r="W494" s="68"/>
      <c r="X494" s="68"/>
      <c r="Y494" s="68"/>
      <c r="Z494" s="68"/>
      <c r="AA494" s="68"/>
      <c r="AB494" s="68"/>
      <c r="AC494" s="68"/>
      <c r="AD494" s="68"/>
      <c r="AE494" s="68"/>
      <c r="AF494" s="68"/>
    </row>
    <row r="495">
      <c r="A495" s="68"/>
      <c r="B495" s="68"/>
      <c r="C495" s="78"/>
      <c r="D495" s="78"/>
      <c r="E495" s="68"/>
      <c r="F495" s="68"/>
      <c r="G495" s="68"/>
      <c r="H495" s="68"/>
      <c r="I495" s="68"/>
      <c r="J495" s="68"/>
      <c r="K495" s="68"/>
      <c r="L495" s="68"/>
      <c r="M495" s="79"/>
      <c r="N495" s="68"/>
      <c r="O495" s="68"/>
      <c r="P495" s="68"/>
      <c r="Q495" s="68"/>
      <c r="R495" s="68"/>
      <c r="S495" s="68"/>
      <c r="T495" s="68"/>
      <c r="U495" s="68"/>
      <c r="V495" s="68"/>
      <c r="W495" s="68"/>
      <c r="X495" s="68"/>
      <c r="Y495" s="68"/>
      <c r="Z495" s="68"/>
      <c r="AA495" s="68"/>
      <c r="AB495" s="68"/>
      <c r="AC495" s="68"/>
      <c r="AD495" s="68"/>
      <c r="AE495" s="68"/>
      <c r="AF495" s="68"/>
    </row>
    <row r="496">
      <c r="A496" s="68"/>
      <c r="B496" s="68"/>
      <c r="C496" s="78"/>
      <c r="D496" s="78"/>
      <c r="E496" s="68"/>
      <c r="F496" s="68"/>
      <c r="G496" s="68"/>
      <c r="H496" s="68"/>
      <c r="I496" s="68"/>
      <c r="J496" s="68"/>
      <c r="K496" s="68"/>
      <c r="L496" s="68"/>
      <c r="M496" s="79"/>
      <c r="N496" s="68"/>
      <c r="O496" s="68"/>
      <c r="P496" s="68"/>
      <c r="Q496" s="68"/>
      <c r="R496" s="68"/>
      <c r="S496" s="68"/>
      <c r="T496" s="68"/>
      <c r="U496" s="68"/>
      <c r="V496" s="68"/>
      <c r="W496" s="68"/>
      <c r="X496" s="68"/>
      <c r="Y496" s="68"/>
      <c r="Z496" s="68"/>
      <c r="AA496" s="68"/>
      <c r="AB496" s="68"/>
      <c r="AC496" s="68"/>
      <c r="AD496" s="68"/>
      <c r="AE496" s="68"/>
      <c r="AF496" s="68"/>
    </row>
    <row r="497">
      <c r="A497" s="68"/>
      <c r="B497" s="68"/>
      <c r="C497" s="78"/>
      <c r="D497" s="78"/>
      <c r="E497" s="68"/>
      <c r="F497" s="68"/>
      <c r="G497" s="68"/>
      <c r="H497" s="68"/>
      <c r="I497" s="68"/>
      <c r="J497" s="68"/>
      <c r="K497" s="68"/>
      <c r="L497" s="68"/>
      <c r="M497" s="79"/>
      <c r="N497" s="68"/>
      <c r="O497" s="68"/>
      <c r="P497" s="68"/>
      <c r="Q497" s="68"/>
      <c r="R497" s="68"/>
      <c r="S497" s="68"/>
      <c r="T497" s="68"/>
      <c r="U497" s="68"/>
      <c r="V497" s="68"/>
      <c r="W497" s="68"/>
      <c r="X497" s="68"/>
      <c r="Y497" s="68"/>
      <c r="Z497" s="68"/>
      <c r="AA497" s="68"/>
      <c r="AB497" s="68"/>
      <c r="AC497" s="68"/>
      <c r="AD497" s="68"/>
      <c r="AE497" s="68"/>
      <c r="AF497" s="68"/>
    </row>
    <row r="498">
      <c r="A498" s="68"/>
      <c r="B498" s="68"/>
      <c r="C498" s="78"/>
      <c r="D498" s="78"/>
      <c r="E498" s="68"/>
      <c r="F498" s="68"/>
      <c r="G498" s="68"/>
      <c r="H498" s="68"/>
      <c r="I498" s="68"/>
      <c r="J498" s="68"/>
      <c r="K498" s="68"/>
      <c r="L498" s="68"/>
      <c r="M498" s="79"/>
      <c r="N498" s="68"/>
      <c r="O498" s="68"/>
      <c r="P498" s="68"/>
      <c r="Q498" s="68"/>
      <c r="R498" s="68"/>
      <c r="S498" s="68"/>
      <c r="T498" s="68"/>
      <c r="U498" s="68"/>
      <c r="V498" s="68"/>
      <c r="W498" s="68"/>
      <c r="X498" s="68"/>
      <c r="Y498" s="68"/>
      <c r="Z498" s="68"/>
      <c r="AA498" s="68"/>
      <c r="AB498" s="68"/>
      <c r="AC498" s="68"/>
      <c r="AD498" s="68"/>
      <c r="AE498" s="68"/>
      <c r="AF498" s="68"/>
    </row>
    <row r="499">
      <c r="A499" s="68"/>
      <c r="B499" s="68"/>
      <c r="C499" s="78"/>
      <c r="D499" s="78"/>
      <c r="E499" s="68"/>
      <c r="F499" s="68"/>
      <c r="G499" s="68"/>
      <c r="H499" s="68"/>
      <c r="I499" s="68"/>
      <c r="J499" s="68"/>
      <c r="K499" s="68"/>
      <c r="L499" s="68"/>
      <c r="M499" s="79"/>
      <c r="N499" s="68"/>
      <c r="O499" s="68"/>
      <c r="P499" s="68"/>
      <c r="Q499" s="68"/>
      <c r="R499" s="68"/>
      <c r="S499" s="68"/>
      <c r="T499" s="68"/>
      <c r="U499" s="68"/>
      <c r="V499" s="68"/>
      <c r="W499" s="68"/>
      <c r="X499" s="68"/>
      <c r="Y499" s="68"/>
      <c r="Z499" s="68"/>
      <c r="AA499" s="68"/>
      <c r="AB499" s="68"/>
      <c r="AC499" s="68"/>
      <c r="AD499" s="68"/>
      <c r="AE499" s="68"/>
      <c r="AF499" s="68"/>
    </row>
    <row r="500">
      <c r="A500" s="68"/>
      <c r="B500" s="68"/>
      <c r="C500" s="78"/>
      <c r="D500" s="78"/>
      <c r="E500" s="68"/>
      <c r="F500" s="68"/>
      <c r="G500" s="68"/>
      <c r="H500" s="68"/>
      <c r="I500" s="68"/>
      <c r="J500" s="68"/>
      <c r="K500" s="68"/>
      <c r="L500" s="68"/>
      <c r="M500" s="79"/>
      <c r="N500" s="68"/>
      <c r="O500" s="68"/>
      <c r="P500" s="68"/>
      <c r="Q500" s="68"/>
      <c r="R500" s="68"/>
      <c r="S500" s="68"/>
      <c r="T500" s="68"/>
      <c r="U500" s="68"/>
      <c r="V500" s="68"/>
      <c r="W500" s="68"/>
      <c r="X500" s="68"/>
      <c r="Y500" s="68"/>
      <c r="Z500" s="68"/>
      <c r="AA500" s="68"/>
      <c r="AB500" s="68"/>
      <c r="AC500" s="68"/>
      <c r="AD500" s="68"/>
      <c r="AE500" s="68"/>
      <c r="AF500" s="68"/>
    </row>
    <row r="501">
      <c r="A501" s="68"/>
      <c r="B501" s="68"/>
      <c r="C501" s="78"/>
      <c r="D501" s="78"/>
      <c r="E501" s="68"/>
      <c r="F501" s="68"/>
      <c r="G501" s="68"/>
      <c r="H501" s="68"/>
      <c r="I501" s="68"/>
      <c r="J501" s="68"/>
      <c r="K501" s="68"/>
      <c r="L501" s="68"/>
      <c r="M501" s="79"/>
      <c r="N501" s="68"/>
      <c r="O501" s="68"/>
      <c r="P501" s="68"/>
      <c r="Q501" s="68"/>
      <c r="R501" s="68"/>
      <c r="S501" s="68"/>
      <c r="T501" s="68"/>
      <c r="U501" s="68"/>
      <c r="V501" s="68"/>
      <c r="W501" s="68"/>
      <c r="X501" s="68"/>
      <c r="Y501" s="68"/>
      <c r="Z501" s="68"/>
      <c r="AA501" s="68"/>
      <c r="AB501" s="68"/>
      <c r="AC501" s="68"/>
      <c r="AD501" s="68"/>
      <c r="AE501" s="68"/>
      <c r="AF501" s="68"/>
    </row>
    <row r="502">
      <c r="A502" s="68"/>
      <c r="B502" s="68"/>
      <c r="C502" s="78"/>
      <c r="D502" s="78"/>
      <c r="E502" s="68"/>
      <c r="F502" s="68"/>
      <c r="G502" s="68"/>
      <c r="H502" s="68"/>
      <c r="I502" s="68"/>
      <c r="J502" s="68"/>
      <c r="K502" s="68"/>
      <c r="L502" s="68"/>
      <c r="M502" s="79"/>
      <c r="N502" s="68"/>
      <c r="O502" s="68"/>
      <c r="P502" s="68"/>
      <c r="Q502" s="68"/>
      <c r="R502" s="68"/>
      <c r="S502" s="68"/>
      <c r="T502" s="68"/>
      <c r="U502" s="68"/>
      <c r="V502" s="68"/>
      <c r="W502" s="68"/>
      <c r="X502" s="68"/>
      <c r="Y502" s="68"/>
      <c r="Z502" s="68"/>
      <c r="AA502" s="68"/>
      <c r="AB502" s="68"/>
      <c r="AC502" s="68"/>
      <c r="AD502" s="68"/>
      <c r="AE502" s="68"/>
      <c r="AF502" s="68"/>
    </row>
    <row r="503">
      <c r="A503" s="68"/>
      <c r="B503" s="68"/>
      <c r="C503" s="78"/>
      <c r="D503" s="78"/>
      <c r="E503" s="68"/>
      <c r="F503" s="68"/>
      <c r="G503" s="68"/>
      <c r="H503" s="68"/>
      <c r="I503" s="68"/>
      <c r="J503" s="68"/>
      <c r="K503" s="68"/>
      <c r="L503" s="68"/>
      <c r="M503" s="79"/>
      <c r="N503" s="68"/>
      <c r="O503" s="68"/>
      <c r="P503" s="68"/>
      <c r="Q503" s="68"/>
      <c r="R503" s="68"/>
      <c r="S503" s="68"/>
      <c r="T503" s="68"/>
      <c r="U503" s="68"/>
      <c r="V503" s="68"/>
      <c r="W503" s="68"/>
      <c r="X503" s="68"/>
      <c r="Y503" s="68"/>
      <c r="Z503" s="68"/>
      <c r="AA503" s="68"/>
      <c r="AB503" s="68"/>
      <c r="AC503" s="68"/>
      <c r="AD503" s="68"/>
      <c r="AE503" s="68"/>
      <c r="AF503" s="68"/>
    </row>
    <row r="504">
      <c r="A504" s="68"/>
      <c r="B504" s="68"/>
      <c r="C504" s="78"/>
      <c r="D504" s="78"/>
      <c r="E504" s="68"/>
      <c r="F504" s="68"/>
      <c r="G504" s="68"/>
      <c r="H504" s="68"/>
      <c r="I504" s="68"/>
      <c r="J504" s="68"/>
      <c r="K504" s="68"/>
      <c r="L504" s="68"/>
      <c r="M504" s="79"/>
      <c r="N504" s="68"/>
      <c r="O504" s="68"/>
      <c r="P504" s="68"/>
      <c r="Q504" s="68"/>
      <c r="R504" s="68"/>
      <c r="S504" s="68"/>
      <c r="T504" s="68"/>
      <c r="U504" s="68"/>
      <c r="V504" s="68"/>
      <c r="W504" s="68"/>
      <c r="X504" s="68"/>
      <c r="Y504" s="68"/>
      <c r="Z504" s="68"/>
      <c r="AA504" s="68"/>
      <c r="AB504" s="68"/>
      <c r="AC504" s="68"/>
      <c r="AD504" s="68"/>
      <c r="AE504" s="68"/>
      <c r="AF504" s="68"/>
    </row>
    <row r="505">
      <c r="A505" s="68"/>
      <c r="B505" s="68"/>
      <c r="C505" s="78"/>
      <c r="D505" s="78"/>
      <c r="E505" s="68"/>
      <c r="F505" s="68"/>
      <c r="G505" s="68"/>
      <c r="H505" s="68"/>
      <c r="I505" s="68"/>
      <c r="J505" s="68"/>
      <c r="K505" s="68"/>
      <c r="L505" s="68"/>
      <c r="M505" s="79"/>
      <c r="N505" s="68"/>
      <c r="O505" s="68"/>
      <c r="P505" s="68"/>
      <c r="Q505" s="68"/>
      <c r="R505" s="68"/>
      <c r="S505" s="68"/>
      <c r="T505" s="68"/>
      <c r="U505" s="68"/>
      <c r="V505" s="68"/>
      <c r="W505" s="68"/>
      <c r="X505" s="68"/>
      <c r="Y505" s="68"/>
      <c r="Z505" s="68"/>
      <c r="AA505" s="68"/>
      <c r="AB505" s="68"/>
      <c r="AC505" s="68"/>
      <c r="AD505" s="68"/>
      <c r="AE505" s="68"/>
      <c r="AF505" s="68"/>
    </row>
    <row r="506">
      <c r="A506" s="68"/>
      <c r="B506" s="68"/>
      <c r="C506" s="78"/>
      <c r="D506" s="78"/>
      <c r="E506" s="68"/>
      <c r="F506" s="68"/>
      <c r="G506" s="68"/>
      <c r="H506" s="68"/>
      <c r="I506" s="68"/>
      <c r="J506" s="68"/>
      <c r="K506" s="68"/>
      <c r="L506" s="68"/>
      <c r="M506" s="79"/>
      <c r="N506" s="68"/>
      <c r="O506" s="68"/>
      <c r="P506" s="68"/>
      <c r="Q506" s="68"/>
      <c r="R506" s="68"/>
      <c r="S506" s="68"/>
      <c r="T506" s="68"/>
      <c r="U506" s="68"/>
      <c r="V506" s="68"/>
      <c r="W506" s="68"/>
      <c r="X506" s="68"/>
      <c r="Y506" s="68"/>
      <c r="Z506" s="68"/>
      <c r="AA506" s="68"/>
      <c r="AB506" s="68"/>
      <c r="AC506" s="68"/>
      <c r="AD506" s="68"/>
      <c r="AE506" s="68"/>
      <c r="AF506" s="68"/>
    </row>
    <row r="507">
      <c r="A507" s="68"/>
      <c r="B507" s="68"/>
      <c r="C507" s="78"/>
      <c r="D507" s="78"/>
      <c r="E507" s="68"/>
      <c r="F507" s="68"/>
      <c r="G507" s="68"/>
      <c r="H507" s="68"/>
      <c r="I507" s="68"/>
      <c r="J507" s="68"/>
      <c r="K507" s="68"/>
      <c r="L507" s="68"/>
      <c r="M507" s="79"/>
      <c r="N507" s="68"/>
      <c r="O507" s="68"/>
      <c r="P507" s="68"/>
      <c r="Q507" s="68"/>
      <c r="R507" s="68"/>
      <c r="S507" s="68"/>
      <c r="T507" s="68"/>
      <c r="U507" s="68"/>
      <c r="V507" s="68"/>
      <c r="W507" s="68"/>
      <c r="X507" s="68"/>
      <c r="Y507" s="68"/>
      <c r="Z507" s="68"/>
      <c r="AA507" s="68"/>
      <c r="AB507" s="68"/>
      <c r="AC507" s="68"/>
      <c r="AD507" s="68"/>
      <c r="AE507" s="68"/>
      <c r="AF507" s="68"/>
    </row>
    <row r="508">
      <c r="A508" s="68"/>
      <c r="B508" s="68"/>
      <c r="C508" s="78"/>
      <c r="D508" s="78"/>
      <c r="E508" s="68"/>
      <c r="F508" s="68"/>
      <c r="G508" s="68"/>
      <c r="H508" s="68"/>
      <c r="I508" s="68"/>
      <c r="J508" s="68"/>
      <c r="K508" s="68"/>
      <c r="L508" s="68"/>
      <c r="M508" s="79"/>
      <c r="N508" s="68"/>
      <c r="O508" s="68"/>
      <c r="P508" s="68"/>
      <c r="Q508" s="68"/>
      <c r="R508" s="68"/>
      <c r="S508" s="68"/>
      <c r="T508" s="68"/>
      <c r="U508" s="68"/>
      <c r="V508" s="68"/>
      <c r="W508" s="68"/>
      <c r="X508" s="68"/>
      <c r="Y508" s="68"/>
      <c r="Z508" s="68"/>
      <c r="AA508" s="68"/>
      <c r="AB508" s="68"/>
      <c r="AC508" s="68"/>
      <c r="AD508" s="68"/>
      <c r="AE508" s="68"/>
      <c r="AF508" s="68"/>
    </row>
    <row r="509">
      <c r="A509" s="68"/>
      <c r="B509" s="68"/>
      <c r="C509" s="78"/>
      <c r="D509" s="78"/>
      <c r="E509" s="68"/>
      <c r="F509" s="68"/>
      <c r="G509" s="68"/>
      <c r="H509" s="68"/>
      <c r="I509" s="68"/>
      <c r="J509" s="68"/>
      <c r="K509" s="68"/>
      <c r="L509" s="68"/>
      <c r="M509" s="79"/>
      <c r="N509" s="68"/>
      <c r="O509" s="68"/>
      <c r="P509" s="68"/>
      <c r="Q509" s="68"/>
      <c r="R509" s="68"/>
      <c r="S509" s="68"/>
      <c r="T509" s="68"/>
      <c r="U509" s="68"/>
      <c r="V509" s="68"/>
      <c r="W509" s="68"/>
      <c r="X509" s="68"/>
      <c r="Y509" s="68"/>
      <c r="Z509" s="68"/>
      <c r="AA509" s="68"/>
      <c r="AB509" s="68"/>
      <c r="AC509" s="68"/>
      <c r="AD509" s="68"/>
      <c r="AE509" s="68"/>
      <c r="AF509" s="68"/>
    </row>
    <row r="510">
      <c r="A510" s="68"/>
      <c r="B510" s="68"/>
      <c r="C510" s="78"/>
      <c r="D510" s="78"/>
      <c r="E510" s="68"/>
      <c r="F510" s="68"/>
      <c r="G510" s="68"/>
      <c r="H510" s="68"/>
      <c r="I510" s="68"/>
      <c r="J510" s="68"/>
      <c r="K510" s="68"/>
      <c r="L510" s="68"/>
      <c r="M510" s="79"/>
      <c r="N510" s="68"/>
      <c r="O510" s="68"/>
      <c r="P510" s="68"/>
      <c r="Q510" s="68"/>
      <c r="R510" s="68"/>
      <c r="S510" s="68"/>
      <c r="T510" s="68"/>
      <c r="U510" s="68"/>
      <c r="V510" s="68"/>
      <c r="W510" s="68"/>
      <c r="X510" s="68"/>
      <c r="Y510" s="68"/>
      <c r="Z510" s="68"/>
      <c r="AA510" s="68"/>
      <c r="AB510" s="68"/>
      <c r="AC510" s="68"/>
      <c r="AD510" s="68"/>
      <c r="AE510" s="68"/>
      <c r="AF510" s="68"/>
    </row>
    <row r="511">
      <c r="A511" s="68"/>
      <c r="B511" s="68"/>
      <c r="C511" s="78"/>
      <c r="D511" s="78"/>
      <c r="E511" s="68"/>
      <c r="F511" s="68"/>
      <c r="G511" s="68"/>
      <c r="H511" s="68"/>
      <c r="I511" s="68"/>
      <c r="J511" s="68"/>
      <c r="K511" s="68"/>
      <c r="L511" s="68"/>
      <c r="M511" s="79"/>
      <c r="N511" s="68"/>
      <c r="O511" s="68"/>
      <c r="P511" s="68"/>
      <c r="Q511" s="68"/>
      <c r="R511" s="68"/>
      <c r="S511" s="68"/>
      <c r="T511" s="68"/>
      <c r="U511" s="68"/>
      <c r="V511" s="68"/>
      <c r="W511" s="68"/>
      <c r="X511" s="68"/>
      <c r="Y511" s="68"/>
      <c r="Z511" s="68"/>
      <c r="AA511" s="68"/>
      <c r="AB511" s="68"/>
      <c r="AC511" s="68"/>
      <c r="AD511" s="68"/>
      <c r="AE511" s="68"/>
      <c r="AF511" s="68"/>
    </row>
    <row r="512">
      <c r="A512" s="68"/>
      <c r="B512" s="68"/>
      <c r="C512" s="78"/>
      <c r="D512" s="78"/>
      <c r="E512" s="68"/>
      <c r="F512" s="68"/>
      <c r="G512" s="68"/>
      <c r="H512" s="68"/>
      <c r="I512" s="68"/>
      <c r="J512" s="68"/>
      <c r="K512" s="68"/>
      <c r="L512" s="68"/>
      <c r="M512" s="79"/>
      <c r="N512" s="68"/>
      <c r="O512" s="68"/>
      <c r="P512" s="68"/>
      <c r="Q512" s="68"/>
      <c r="R512" s="68"/>
      <c r="S512" s="68"/>
      <c r="T512" s="68"/>
      <c r="U512" s="68"/>
      <c r="V512" s="68"/>
      <c r="W512" s="68"/>
      <c r="X512" s="68"/>
      <c r="Y512" s="68"/>
      <c r="Z512" s="68"/>
      <c r="AA512" s="68"/>
      <c r="AB512" s="68"/>
      <c r="AC512" s="68"/>
      <c r="AD512" s="68"/>
      <c r="AE512" s="68"/>
      <c r="AF512" s="68"/>
    </row>
    <row r="513">
      <c r="A513" s="68"/>
      <c r="B513" s="68"/>
      <c r="C513" s="78"/>
      <c r="D513" s="78"/>
      <c r="E513" s="68"/>
      <c r="F513" s="68"/>
      <c r="G513" s="68"/>
      <c r="H513" s="68"/>
      <c r="I513" s="68"/>
      <c r="J513" s="68"/>
      <c r="K513" s="68"/>
      <c r="L513" s="68"/>
      <c r="M513" s="79"/>
      <c r="N513" s="68"/>
      <c r="O513" s="68"/>
      <c r="P513" s="68"/>
      <c r="Q513" s="68"/>
      <c r="R513" s="68"/>
      <c r="S513" s="68"/>
      <c r="T513" s="68"/>
      <c r="U513" s="68"/>
      <c r="V513" s="68"/>
      <c r="W513" s="68"/>
      <c r="X513" s="68"/>
      <c r="Y513" s="68"/>
      <c r="Z513" s="68"/>
      <c r="AA513" s="68"/>
      <c r="AB513" s="68"/>
      <c r="AC513" s="68"/>
      <c r="AD513" s="68"/>
      <c r="AE513" s="68"/>
      <c r="AF513" s="68"/>
    </row>
    <row r="514">
      <c r="A514" s="68"/>
      <c r="B514" s="68"/>
      <c r="C514" s="78"/>
      <c r="D514" s="78"/>
      <c r="E514" s="68"/>
      <c r="F514" s="68"/>
      <c r="G514" s="68"/>
      <c r="H514" s="68"/>
      <c r="I514" s="68"/>
      <c r="J514" s="68"/>
      <c r="K514" s="68"/>
      <c r="L514" s="68"/>
      <c r="M514" s="79"/>
      <c r="N514" s="68"/>
      <c r="O514" s="68"/>
      <c r="P514" s="68"/>
      <c r="Q514" s="68"/>
      <c r="R514" s="68"/>
      <c r="S514" s="68"/>
      <c r="T514" s="68"/>
      <c r="U514" s="68"/>
      <c r="V514" s="68"/>
      <c r="W514" s="68"/>
      <c r="X514" s="68"/>
      <c r="Y514" s="68"/>
      <c r="Z514" s="68"/>
      <c r="AA514" s="68"/>
      <c r="AB514" s="68"/>
      <c r="AC514" s="68"/>
      <c r="AD514" s="68"/>
      <c r="AE514" s="68"/>
      <c r="AF514" s="68"/>
    </row>
    <row r="515">
      <c r="A515" s="68"/>
      <c r="B515" s="68"/>
      <c r="C515" s="78"/>
      <c r="D515" s="78"/>
      <c r="E515" s="68"/>
      <c r="F515" s="68"/>
      <c r="G515" s="68"/>
      <c r="H515" s="68"/>
      <c r="I515" s="68"/>
      <c r="J515" s="68"/>
      <c r="K515" s="68"/>
      <c r="L515" s="68"/>
      <c r="M515" s="79"/>
      <c r="N515" s="68"/>
      <c r="O515" s="68"/>
      <c r="P515" s="68"/>
      <c r="Q515" s="68"/>
      <c r="R515" s="68"/>
      <c r="S515" s="68"/>
      <c r="T515" s="68"/>
      <c r="U515" s="68"/>
      <c r="V515" s="68"/>
      <c r="W515" s="68"/>
      <c r="X515" s="68"/>
      <c r="Y515" s="68"/>
      <c r="Z515" s="68"/>
      <c r="AA515" s="68"/>
      <c r="AB515" s="68"/>
      <c r="AC515" s="68"/>
      <c r="AD515" s="68"/>
      <c r="AE515" s="68"/>
      <c r="AF515" s="68"/>
    </row>
    <row r="516">
      <c r="A516" s="68"/>
      <c r="B516" s="68"/>
      <c r="C516" s="78"/>
      <c r="D516" s="78"/>
      <c r="E516" s="68"/>
      <c r="F516" s="68"/>
      <c r="G516" s="68"/>
      <c r="H516" s="68"/>
      <c r="I516" s="68"/>
      <c r="J516" s="68"/>
      <c r="K516" s="68"/>
      <c r="L516" s="68"/>
      <c r="M516" s="79"/>
      <c r="N516" s="68"/>
      <c r="O516" s="68"/>
      <c r="P516" s="68"/>
      <c r="Q516" s="68"/>
      <c r="R516" s="68"/>
      <c r="S516" s="68"/>
      <c r="T516" s="68"/>
      <c r="U516" s="68"/>
      <c r="V516" s="68"/>
      <c r="W516" s="68"/>
      <c r="X516" s="68"/>
      <c r="Y516" s="68"/>
      <c r="Z516" s="68"/>
      <c r="AA516" s="68"/>
      <c r="AB516" s="68"/>
      <c r="AC516" s="68"/>
      <c r="AD516" s="68"/>
      <c r="AE516" s="68"/>
      <c r="AF516" s="68"/>
    </row>
    <row r="517">
      <c r="A517" s="68"/>
      <c r="B517" s="68"/>
      <c r="C517" s="78"/>
      <c r="D517" s="78"/>
      <c r="E517" s="68"/>
      <c r="F517" s="68"/>
      <c r="G517" s="68"/>
      <c r="H517" s="68"/>
      <c r="I517" s="68"/>
      <c r="J517" s="68"/>
      <c r="K517" s="68"/>
      <c r="L517" s="68"/>
      <c r="M517" s="79"/>
      <c r="N517" s="68"/>
      <c r="O517" s="68"/>
      <c r="P517" s="68"/>
      <c r="Q517" s="68"/>
      <c r="R517" s="68"/>
      <c r="S517" s="68"/>
      <c r="T517" s="68"/>
      <c r="U517" s="68"/>
      <c r="V517" s="68"/>
      <c r="W517" s="68"/>
      <c r="X517" s="68"/>
      <c r="Y517" s="68"/>
      <c r="Z517" s="68"/>
      <c r="AA517" s="68"/>
      <c r="AB517" s="68"/>
      <c r="AC517" s="68"/>
      <c r="AD517" s="68"/>
      <c r="AE517" s="68"/>
      <c r="AF517" s="68"/>
    </row>
    <row r="518">
      <c r="A518" s="68"/>
      <c r="B518" s="68"/>
      <c r="C518" s="78"/>
      <c r="D518" s="78"/>
      <c r="E518" s="68"/>
      <c r="F518" s="68"/>
      <c r="G518" s="68"/>
      <c r="H518" s="68"/>
      <c r="I518" s="68"/>
      <c r="J518" s="68"/>
      <c r="K518" s="68"/>
      <c r="L518" s="68"/>
      <c r="M518" s="79"/>
      <c r="N518" s="68"/>
      <c r="O518" s="68"/>
      <c r="P518" s="68"/>
      <c r="Q518" s="68"/>
      <c r="R518" s="68"/>
      <c r="S518" s="68"/>
      <c r="T518" s="68"/>
      <c r="U518" s="68"/>
      <c r="V518" s="68"/>
      <c r="W518" s="68"/>
      <c r="X518" s="68"/>
      <c r="Y518" s="68"/>
      <c r="Z518" s="68"/>
      <c r="AA518" s="68"/>
      <c r="AB518" s="68"/>
      <c r="AC518" s="68"/>
      <c r="AD518" s="68"/>
      <c r="AE518" s="68"/>
      <c r="AF518" s="68"/>
    </row>
    <row r="519">
      <c r="A519" s="68"/>
      <c r="B519" s="68"/>
      <c r="C519" s="78"/>
      <c r="D519" s="78"/>
      <c r="E519" s="68"/>
      <c r="F519" s="68"/>
      <c r="G519" s="68"/>
      <c r="H519" s="68"/>
      <c r="I519" s="68"/>
      <c r="J519" s="68"/>
      <c r="K519" s="68"/>
      <c r="L519" s="68"/>
      <c r="M519" s="79"/>
      <c r="N519" s="68"/>
      <c r="O519" s="68"/>
      <c r="P519" s="68"/>
      <c r="Q519" s="68"/>
      <c r="R519" s="68"/>
      <c r="S519" s="68"/>
      <c r="T519" s="68"/>
      <c r="U519" s="68"/>
      <c r="V519" s="68"/>
      <c r="W519" s="68"/>
      <c r="X519" s="68"/>
      <c r="Y519" s="68"/>
      <c r="Z519" s="68"/>
      <c r="AA519" s="68"/>
      <c r="AB519" s="68"/>
      <c r="AC519" s="68"/>
      <c r="AD519" s="68"/>
      <c r="AE519" s="68"/>
      <c r="AF519" s="68"/>
    </row>
    <row r="520">
      <c r="A520" s="68"/>
      <c r="B520" s="68"/>
      <c r="C520" s="78"/>
      <c r="D520" s="78"/>
      <c r="E520" s="68"/>
      <c r="F520" s="68"/>
      <c r="G520" s="68"/>
      <c r="H520" s="68"/>
      <c r="I520" s="68"/>
      <c r="J520" s="68"/>
      <c r="K520" s="68"/>
      <c r="L520" s="68"/>
      <c r="M520" s="79"/>
      <c r="N520" s="68"/>
      <c r="O520" s="68"/>
      <c r="P520" s="68"/>
      <c r="Q520" s="68"/>
      <c r="R520" s="68"/>
      <c r="S520" s="68"/>
      <c r="T520" s="68"/>
      <c r="U520" s="68"/>
      <c r="V520" s="68"/>
      <c r="W520" s="68"/>
      <c r="X520" s="68"/>
      <c r="Y520" s="68"/>
      <c r="Z520" s="68"/>
      <c r="AA520" s="68"/>
      <c r="AB520" s="68"/>
      <c r="AC520" s="68"/>
      <c r="AD520" s="68"/>
      <c r="AE520" s="68"/>
      <c r="AF520" s="68"/>
    </row>
    <row r="521">
      <c r="A521" s="68"/>
      <c r="B521" s="68"/>
      <c r="C521" s="78"/>
      <c r="D521" s="78"/>
      <c r="E521" s="68"/>
      <c r="F521" s="68"/>
      <c r="G521" s="68"/>
      <c r="H521" s="68"/>
      <c r="I521" s="68"/>
      <c r="J521" s="68"/>
      <c r="K521" s="68"/>
      <c r="L521" s="68"/>
      <c r="M521" s="79"/>
      <c r="N521" s="68"/>
      <c r="O521" s="68"/>
      <c r="P521" s="68"/>
      <c r="Q521" s="68"/>
      <c r="R521" s="68"/>
      <c r="S521" s="68"/>
      <c r="T521" s="68"/>
      <c r="U521" s="68"/>
      <c r="V521" s="68"/>
      <c r="W521" s="68"/>
      <c r="X521" s="68"/>
      <c r="Y521" s="68"/>
      <c r="Z521" s="68"/>
      <c r="AA521" s="68"/>
      <c r="AB521" s="68"/>
      <c r="AC521" s="68"/>
      <c r="AD521" s="68"/>
      <c r="AE521" s="68"/>
      <c r="AF521" s="68"/>
    </row>
    <row r="522">
      <c r="A522" s="68"/>
      <c r="B522" s="68"/>
      <c r="C522" s="78"/>
      <c r="D522" s="78"/>
      <c r="E522" s="68"/>
      <c r="F522" s="68"/>
      <c r="G522" s="68"/>
      <c r="H522" s="68"/>
      <c r="I522" s="68"/>
      <c r="J522" s="68"/>
      <c r="K522" s="68"/>
      <c r="L522" s="68"/>
      <c r="M522" s="79"/>
      <c r="N522" s="68"/>
      <c r="O522" s="68"/>
      <c r="P522" s="68"/>
      <c r="Q522" s="68"/>
      <c r="R522" s="68"/>
      <c r="S522" s="68"/>
      <c r="T522" s="68"/>
      <c r="U522" s="68"/>
      <c r="V522" s="68"/>
      <c r="W522" s="68"/>
      <c r="X522" s="68"/>
      <c r="Y522" s="68"/>
      <c r="Z522" s="68"/>
      <c r="AA522" s="68"/>
      <c r="AB522" s="68"/>
      <c r="AC522" s="68"/>
      <c r="AD522" s="68"/>
      <c r="AE522" s="68"/>
      <c r="AF522" s="68"/>
    </row>
    <row r="523">
      <c r="A523" s="68"/>
      <c r="B523" s="68"/>
      <c r="C523" s="78"/>
      <c r="D523" s="78"/>
      <c r="E523" s="68"/>
      <c r="F523" s="68"/>
      <c r="G523" s="68"/>
      <c r="H523" s="68"/>
      <c r="I523" s="68"/>
      <c r="J523" s="68"/>
      <c r="K523" s="68"/>
      <c r="L523" s="68"/>
      <c r="M523" s="79"/>
      <c r="N523" s="68"/>
      <c r="O523" s="68"/>
      <c r="P523" s="68"/>
      <c r="Q523" s="68"/>
      <c r="R523" s="68"/>
      <c r="S523" s="68"/>
      <c r="T523" s="68"/>
      <c r="U523" s="68"/>
      <c r="V523" s="68"/>
      <c r="W523" s="68"/>
      <c r="X523" s="68"/>
      <c r="Y523" s="68"/>
      <c r="Z523" s="68"/>
      <c r="AA523" s="68"/>
      <c r="AB523" s="68"/>
      <c r="AC523" s="68"/>
      <c r="AD523" s="68"/>
      <c r="AE523" s="68"/>
      <c r="AF523" s="68"/>
    </row>
    <row r="524">
      <c r="A524" s="68"/>
      <c r="B524" s="68"/>
      <c r="C524" s="78"/>
      <c r="D524" s="78"/>
      <c r="E524" s="68"/>
      <c r="F524" s="68"/>
      <c r="G524" s="68"/>
      <c r="H524" s="68"/>
      <c r="I524" s="68"/>
      <c r="J524" s="68"/>
      <c r="K524" s="68"/>
      <c r="L524" s="68"/>
      <c r="M524" s="79"/>
      <c r="N524" s="68"/>
      <c r="O524" s="68"/>
      <c r="P524" s="68"/>
      <c r="Q524" s="68"/>
      <c r="R524" s="68"/>
      <c r="S524" s="68"/>
      <c r="T524" s="68"/>
      <c r="U524" s="68"/>
      <c r="V524" s="68"/>
      <c r="W524" s="68"/>
      <c r="X524" s="68"/>
      <c r="Y524" s="68"/>
      <c r="Z524" s="68"/>
      <c r="AA524" s="68"/>
      <c r="AB524" s="68"/>
      <c r="AC524" s="68"/>
      <c r="AD524" s="68"/>
      <c r="AE524" s="68"/>
      <c r="AF524" s="68"/>
    </row>
    <row r="525">
      <c r="A525" s="68"/>
      <c r="B525" s="68"/>
      <c r="C525" s="78"/>
      <c r="D525" s="78"/>
      <c r="E525" s="68"/>
      <c r="F525" s="68"/>
      <c r="G525" s="68"/>
      <c r="H525" s="68"/>
      <c r="I525" s="68"/>
      <c r="J525" s="68"/>
      <c r="K525" s="68"/>
      <c r="L525" s="68"/>
      <c r="M525" s="79"/>
      <c r="N525" s="68"/>
      <c r="O525" s="68"/>
      <c r="P525" s="68"/>
      <c r="Q525" s="68"/>
      <c r="R525" s="68"/>
      <c r="S525" s="68"/>
      <c r="T525" s="68"/>
      <c r="U525" s="68"/>
      <c r="V525" s="68"/>
      <c r="W525" s="68"/>
      <c r="X525" s="68"/>
      <c r="Y525" s="68"/>
      <c r="Z525" s="68"/>
      <c r="AA525" s="68"/>
      <c r="AB525" s="68"/>
      <c r="AC525" s="68"/>
      <c r="AD525" s="68"/>
      <c r="AE525" s="68"/>
      <c r="AF525" s="68"/>
    </row>
    <row r="526">
      <c r="A526" s="68"/>
      <c r="B526" s="68"/>
      <c r="C526" s="78"/>
      <c r="D526" s="78"/>
      <c r="E526" s="68"/>
      <c r="F526" s="68"/>
      <c r="G526" s="68"/>
      <c r="H526" s="68"/>
      <c r="I526" s="68"/>
      <c r="J526" s="68"/>
      <c r="K526" s="68"/>
      <c r="L526" s="68"/>
      <c r="M526" s="79"/>
      <c r="N526" s="68"/>
      <c r="O526" s="68"/>
      <c r="P526" s="68"/>
      <c r="Q526" s="68"/>
      <c r="R526" s="68"/>
      <c r="S526" s="68"/>
      <c r="T526" s="68"/>
      <c r="U526" s="68"/>
      <c r="V526" s="68"/>
      <c r="W526" s="68"/>
      <c r="X526" s="68"/>
      <c r="Y526" s="68"/>
      <c r="Z526" s="68"/>
      <c r="AA526" s="68"/>
      <c r="AB526" s="68"/>
      <c r="AC526" s="68"/>
      <c r="AD526" s="68"/>
      <c r="AE526" s="68"/>
      <c r="AF526" s="68"/>
    </row>
    <row r="527">
      <c r="A527" s="68"/>
      <c r="B527" s="68"/>
      <c r="C527" s="78"/>
      <c r="D527" s="78"/>
      <c r="E527" s="68"/>
      <c r="F527" s="68"/>
      <c r="G527" s="68"/>
      <c r="H527" s="68"/>
      <c r="I527" s="68"/>
      <c r="J527" s="68"/>
      <c r="K527" s="68"/>
      <c r="L527" s="68"/>
      <c r="M527" s="79"/>
      <c r="N527" s="68"/>
      <c r="O527" s="68"/>
      <c r="P527" s="68"/>
      <c r="Q527" s="68"/>
      <c r="R527" s="68"/>
      <c r="S527" s="68"/>
      <c r="T527" s="68"/>
      <c r="U527" s="68"/>
      <c r="V527" s="68"/>
      <c r="W527" s="68"/>
      <c r="X527" s="68"/>
      <c r="Y527" s="68"/>
      <c r="Z527" s="68"/>
      <c r="AA527" s="68"/>
      <c r="AB527" s="68"/>
      <c r="AC527" s="68"/>
      <c r="AD527" s="68"/>
      <c r="AE527" s="68"/>
      <c r="AF527" s="68"/>
    </row>
    <row r="528">
      <c r="A528" s="68"/>
      <c r="B528" s="68"/>
      <c r="C528" s="78"/>
      <c r="D528" s="78"/>
      <c r="E528" s="68"/>
      <c r="F528" s="68"/>
      <c r="G528" s="68"/>
      <c r="H528" s="68"/>
      <c r="I528" s="68"/>
      <c r="J528" s="68"/>
      <c r="K528" s="68"/>
      <c r="L528" s="68"/>
      <c r="M528" s="79"/>
      <c r="N528" s="68"/>
      <c r="O528" s="68"/>
      <c r="P528" s="68"/>
      <c r="Q528" s="68"/>
      <c r="R528" s="68"/>
      <c r="S528" s="68"/>
      <c r="T528" s="68"/>
      <c r="U528" s="68"/>
      <c r="V528" s="68"/>
      <c r="W528" s="68"/>
      <c r="X528" s="68"/>
      <c r="Y528" s="68"/>
      <c r="Z528" s="68"/>
      <c r="AA528" s="68"/>
      <c r="AB528" s="68"/>
      <c r="AC528" s="68"/>
      <c r="AD528" s="68"/>
      <c r="AE528" s="68"/>
      <c r="AF528" s="68"/>
    </row>
    <row r="529">
      <c r="A529" s="68"/>
      <c r="B529" s="68"/>
      <c r="C529" s="78"/>
      <c r="D529" s="78"/>
      <c r="E529" s="68"/>
      <c r="F529" s="68"/>
      <c r="G529" s="68"/>
      <c r="H529" s="68"/>
      <c r="I529" s="68"/>
      <c r="J529" s="68"/>
      <c r="K529" s="68"/>
      <c r="L529" s="68"/>
      <c r="M529" s="79"/>
      <c r="N529" s="68"/>
      <c r="O529" s="68"/>
      <c r="P529" s="68"/>
      <c r="Q529" s="68"/>
      <c r="R529" s="68"/>
      <c r="S529" s="68"/>
      <c r="T529" s="68"/>
      <c r="U529" s="68"/>
      <c r="V529" s="68"/>
      <c r="W529" s="68"/>
      <c r="X529" s="68"/>
      <c r="Y529" s="68"/>
      <c r="Z529" s="68"/>
      <c r="AA529" s="68"/>
      <c r="AB529" s="68"/>
      <c r="AC529" s="68"/>
      <c r="AD529" s="68"/>
      <c r="AE529" s="68"/>
      <c r="AF529" s="68"/>
    </row>
    <row r="530">
      <c r="A530" s="68"/>
      <c r="B530" s="68"/>
      <c r="C530" s="78"/>
      <c r="D530" s="78"/>
      <c r="E530" s="68"/>
      <c r="F530" s="68"/>
      <c r="G530" s="68"/>
      <c r="H530" s="68"/>
      <c r="I530" s="68"/>
      <c r="J530" s="68"/>
      <c r="K530" s="68"/>
      <c r="L530" s="68"/>
      <c r="M530" s="79"/>
      <c r="N530" s="68"/>
      <c r="O530" s="68"/>
      <c r="P530" s="68"/>
      <c r="Q530" s="68"/>
      <c r="R530" s="68"/>
      <c r="S530" s="68"/>
      <c r="T530" s="68"/>
      <c r="U530" s="68"/>
      <c r="V530" s="68"/>
      <c r="W530" s="68"/>
      <c r="X530" s="68"/>
      <c r="Y530" s="68"/>
      <c r="Z530" s="68"/>
      <c r="AA530" s="68"/>
      <c r="AB530" s="68"/>
      <c r="AC530" s="68"/>
      <c r="AD530" s="68"/>
      <c r="AE530" s="68"/>
      <c r="AF530" s="68"/>
    </row>
    <row r="531">
      <c r="A531" s="68"/>
      <c r="B531" s="68"/>
      <c r="C531" s="78"/>
      <c r="D531" s="78"/>
      <c r="E531" s="68"/>
      <c r="F531" s="68"/>
      <c r="G531" s="68"/>
      <c r="H531" s="68"/>
      <c r="I531" s="68"/>
      <c r="J531" s="68"/>
      <c r="K531" s="68"/>
      <c r="L531" s="68"/>
      <c r="M531" s="79"/>
      <c r="N531" s="68"/>
      <c r="O531" s="68"/>
      <c r="P531" s="68"/>
      <c r="Q531" s="68"/>
      <c r="R531" s="68"/>
      <c r="S531" s="68"/>
      <c r="T531" s="68"/>
      <c r="U531" s="68"/>
      <c r="V531" s="68"/>
      <c r="W531" s="68"/>
      <c r="X531" s="68"/>
      <c r="Y531" s="68"/>
      <c r="Z531" s="68"/>
      <c r="AA531" s="68"/>
      <c r="AB531" s="68"/>
      <c r="AC531" s="68"/>
      <c r="AD531" s="68"/>
      <c r="AE531" s="68"/>
      <c r="AF531" s="68"/>
    </row>
    <row r="532">
      <c r="A532" s="68"/>
      <c r="B532" s="68"/>
      <c r="C532" s="78"/>
      <c r="D532" s="78"/>
      <c r="E532" s="68"/>
      <c r="F532" s="68"/>
      <c r="G532" s="68"/>
      <c r="H532" s="68"/>
      <c r="I532" s="68"/>
      <c r="J532" s="68"/>
      <c r="K532" s="68"/>
      <c r="L532" s="68"/>
      <c r="M532" s="79"/>
      <c r="N532" s="68"/>
      <c r="O532" s="68"/>
      <c r="P532" s="68"/>
      <c r="Q532" s="68"/>
      <c r="R532" s="68"/>
      <c r="S532" s="68"/>
      <c r="T532" s="68"/>
      <c r="U532" s="68"/>
      <c r="V532" s="68"/>
      <c r="W532" s="68"/>
      <c r="X532" s="68"/>
      <c r="Y532" s="68"/>
      <c r="Z532" s="68"/>
      <c r="AA532" s="68"/>
      <c r="AB532" s="68"/>
      <c r="AC532" s="68"/>
      <c r="AD532" s="68"/>
      <c r="AE532" s="68"/>
      <c r="AF532" s="68"/>
    </row>
    <row r="533">
      <c r="A533" s="68"/>
      <c r="B533" s="68"/>
      <c r="C533" s="78"/>
      <c r="D533" s="78"/>
      <c r="E533" s="68"/>
      <c r="F533" s="68"/>
      <c r="G533" s="68"/>
      <c r="H533" s="68"/>
      <c r="I533" s="68"/>
      <c r="J533" s="68"/>
      <c r="K533" s="68"/>
      <c r="L533" s="68"/>
      <c r="M533" s="79"/>
      <c r="N533" s="68"/>
      <c r="O533" s="68"/>
      <c r="P533" s="68"/>
      <c r="Q533" s="68"/>
      <c r="R533" s="68"/>
      <c r="S533" s="68"/>
      <c r="T533" s="68"/>
      <c r="U533" s="68"/>
      <c r="V533" s="68"/>
      <c r="W533" s="68"/>
      <c r="X533" s="68"/>
      <c r="Y533" s="68"/>
      <c r="Z533" s="68"/>
      <c r="AA533" s="68"/>
      <c r="AB533" s="68"/>
      <c r="AC533" s="68"/>
      <c r="AD533" s="68"/>
      <c r="AE533" s="68"/>
      <c r="AF533" s="68"/>
    </row>
    <row r="534">
      <c r="A534" s="68"/>
      <c r="B534" s="68"/>
      <c r="C534" s="78"/>
      <c r="D534" s="78"/>
      <c r="E534" s="68"/>
      <c r="F534" s="68"/>
      <c r="G534" s="68"/>
      <c r="H534" s="68"/>
      <c r="I534" s="68"/>
      <c r="J534" s="68"/>
      <c r="K534" s="68"/>
      <c r="L534" s="68"/>
      <c r="M534" s="79"/>
      <c r="N534" s="68"/>
      <c r="O534" s="68"/>
      <c r="P534" s="68"/>
      <c r="Q534" s="68"/>
      <c r="R534" s="68"/>
      <c r="S534" s="68"/>
      <c r="T534" s="68"/>
      <c r="U534" s="68"/>
      <c r="V534" s="68"/>
      <c r="W534" s="68"/>
      <c r="X534" s="68"/>
      <c r="Y534" s="68"/>
      <c r="Z534" s="68"/>
      <c r="AA534" s="68"/>
      <c r="AB534" s="68"/>
      <c r="AC534" s="68"/>
      <c r="AD534" s="68"/>
      <c r="AE534" s="68"/>
      <c r="AF534" s="68"/>
    </row>
    <row r="535">
      <c r="A535" s="68"/>
      <c r="B535" s="68"/>
      <c r="C535" s="78"/>
      <c r="D535" s="78"/>
      <c r="E535" s="68"/>
      <c r="F535" s="68"/>
      <c r="G535" s="68"/>
      <c r="H535" s="68"/>
      <c r="I535" s="68"/>
      <c r="J535" s="68"/>
      <c r="K535" s="68"/>
      <c r="L535" s="68"/>
      <c r="M535" s="79"/>
      <c r="N535" s="68"/>
      <c r="O535" s="68"/>
      <c r="P535" s="68"/>
      <c r="Q535" s="68"/>
      <c r="R535" s="68"/>
      <c r="S535" s="68"/>
      <c r="T535" s="68"/>
      <c r="U535" s="68"/>
      <c r="V535" s="68"/>
      <c r="W535" s="68"/>
      <c r="X535" s="68"/>
      <c r="Y535" s="68"/>
      <c r="Z535" s="68"/>
      <c r="AA535" s="68"/>
      <c r="AB535" s="68"/>
      <c r="AC535" s="68"/>
      <c r="AD535" s="68"/>
      <c r="AE535" s="68"/>
      <c r="AF535" s="68"/>
    </row>
    <row r="536">
      <c r="A536" s="68"/>
      <c r="B536" s="68"/>
      <c r="C536" s="78"/>
      <c r="D536" s="78"/>
      <c r="E536" s="68"/>
      <c r="F536" s="68"/>
      <c r="G536" s="68"/>
      <c r="H536" s="68"/>
      <c r="I536" s="68"/>
      <c r="J536" s="68"/>
      <c r="K536" s="68"/>
      <c r="L536" s="68"/>
      <c r="M536" s="79"/>
      <c r="N536" s="68"/>
      <c r="O536" s="68"/>
      <c r="P536" s="68"/>
      <c r="Q536" s="68"/>
      <c r="R536" s="68"/>
      <c r="S536" s="68"/>
      <c r="T536" s="68"/>
      <c r="U536" s="68"/>
      <c r="V536" s="68"/>
      <c r="W536" s="68"/>
      <c r="X536" s="68"/>
      <c r="Y536" s="68"/>
      <c r="Z536" s="68"/>
      <c r="AA536" s="68"/>
      <c r="AB536" s="68"/>
      <c r="AC536" s="68"/>
      <c r="AD536" s="68"/>
      <c r="AE536" s="68"/>
      <c r="AF536" s="68"/>
    </row>
    <row r="537">
      <c r="A537" s="68"/>
      <c r="B537" s="68"/>
      <c r="C537" s="78"/>
      <c r="D537" s="78"/>
      <c r="E537" s="68"/>
      <c r="F537" s="68"/>
      <c r="G537" s="68"/>
      <c r="H537" s="68"/>
      <c r="I537" s="68"/>
      <c r="J537" s="68"/>
      <c r="K537" s="68"/>
      <c r="L537" s="68"/>
      <c r="M537" s="79"/>
      <c r="N537" s="68"/>
      <c r="O537" s="68"/>
      <c r="P537" s="68"/>
      <c r="Q537" s="68"/>
      <c r="R537" s="68"/>
      <c r="S537" s="68"/>
      <c r="T537" s="68"/>
      <c r="U537" s="68"/>
      <c r="V537" s="68"/>
      <c r="W537" s="68"/>
      <c r="X537" s="68"/>
      <c r="Y537" s="68"/>
      <c r="Z537" s="68"/>
      <c r="AA537" s="68"/>
      <c r="AB537" s="68"/>
      <c r="AC537" s="68"/>
      <c r="AD537" s="68"/>
      <c r="AE537" s="68"/>
      <c r="AF537" s="68"/>
    </row>
    <row r="538">
      <c r="A538" s="68"/>
      <c r="B538" s="68"/>
      <c r="C538" s="78"/>
      <c r="D538" s="78"/>
      <c r="E538" s="68"/>
      <c r="F538" s="68"/>
      <c r="G538" s="68"/>
      <c r="H538" s="68"/>
      <c r="I538" s="68"/>
      <c r="J538" s="68"/>
      <c r="K538" s="68"/>
      <c r="L538" s="68"/>
      <c r="M538" s="79"/>
      <c r="N538" s="68"/>
      <c r="O538" s="68"/>
      <c r="P538" s="68"/>
      <c r="Q538" s="68"/>
      <c r="R538" s="68"/>
      <c r="S538" s="68"/>
      <c r="T538" s="68"/>
      <c r="U538" s="68"/>
      <c r="V538" s="68"/>
      <c r="W538" s="68"/>
      <c r="X538" s="68"/>
      <c r="Y538" s="68"/>
      <c r="Z538" s="68"/>
      <c r="AA538" s="68"/>
      <c r="AB538" s="68"/>
      <c r="AC538" s="68"/>
      <c r="AD538" s="68"/>
      <c r="AE538" s="68"/>
      <c r="AF538" s="68"/>
    </row>
    <row r="539">
      <c r="A539" s="68"/>
      <c r="B539" s="68"/>
      <c r="C539" s="78"/>
      <c r="D539" s="78"/>
      <c r="E539" s="68"/>
      <c r="F539" s="68"/>
      <c r="G539" s="68"/>
      <c r="H539" s="68"/>
      <c r="I539" s="68"/>
      <c r="J539" s="68"/>
      <c r="K539" s="68"/>
      <c r="L539" s="68"/>
      <c r="M539" s="79"/>
      <c r="N539" s="68"/>
      <c r="O539" s="68"/>
      <c r="P539" s="68"/>
      <c r="Q539" s="68"/>
      <c r="R539" s="68"/>
      <c r="S539" s="68"/>
      <c r="T539" s="68"/>
      <c r="U539" s="68"/>
      <c r="V539" s="68"/>
      <c r="W539" s="68"/>
      <c r="X539" s="68"/>
      <c r="Y539" s="68"/>
      <c r="Z539" s="68"/>
      <c r="AA539" s="68"/>
      <c r="AB539" s="68"/>
      <c r="AC539" s="68"/>
      <c r="AD539" s="68"/>
      <c r="AE539" s="68"/>
      <c r="AF539" s="68"/>
    </row>
    <row r="540">
      <c r="A540" s="68"/>
      <c r="B540" s="68"/>
      <c r="C540" s="78"/>
      <c r="D540" s="78"/>
      <c r="E540" s="68"/>
      <c r="F540" s="68"/>
      <c r="G540" s="68"/>
      <c r="H540" s="68"/>
      <c r="I540" s="68"/>
      <c r="J540" s="68"/>
      <c r="K540" s="68"/>
      <c r="L540" s="68"/>
      <c r="M540" s="79"/>
      <c r="N540" s="68"/>
      <c r="O540" s="68"/>
      <c r="P540" s="68"/>
      <c r="Q540" s="68"/>
      <c r="R540" s="68"/>
      <c r="S540" s="68"/>
      <c r="T540" s="68"/>
      <c r="U540" s="68"/>
      <c r="V540" s="68"/>
      <c r="W540" s="68"/>
      <c r="X540" s="68"/>
      <c r="Y540" s="68"/>
      <c r="Z540" s="68"/>
      <c r="AA540" s="68"/>
      <c r="AB540" s="68"/>
      <c r="AC540" s="68"/>
      <c r="AD540" s="68"/>
      <c r="AE540" s="68"/>
      <c r="AF540" s="68"/>
    </row>
    <row r="541">
      <c r="A541" s="68"/>
      <c r="B541" s="68"/>
      <c r="C541" s="78"/>
      <c r="D541" s="78"/>
      <c r="E541" s="68"/>
      <c r="F541" s="68"/>
      <c r="G541" s="68"/>
      <c r="H541" s="68"/>
      <c r="I541" s="68"/>
      <c r="J541" s="68"/>
      <c r="K541" s="68"/>
      <c r="L541" s="68"/>
      <c r="M541" s="79"/>
      <c r="N541" s="68"/>
      <c r="O541" s="68"/>
      <c r="P541" s="68"/>
      <c r="Q541" s="68"/>
      <c r="R541" s="68"/>
      <c r="S541" s="68"/>
      <c r="T541" s="68"/>
      <c r="U541" s="68"/>
      <c r="V541" s="68"/>
      <c r="W541" s="68"/>
      <c r="X541" s="68"/>
      <c r="Y541" s="68"/>
      <c r="Z541" s="68"/>
      <c r="AA541" s="68"/>
      <c r="AB541" s="68"/>
      <c r="AC541" s="68"/>
      <c r="AD541" s="68"/>
      <c r="AE541" s="68"/>
      <c r="AF541" s="68"/>
    </row>
    <row r="542">
      <c r="A542" s="68"/>
      <c r="B542" s="68"/>
      <c r="C542" s="78"/>
      <c r="D542" s="78"/>
      <c r="E542" s="68"/>
      <c r="F542" s="68"/>
      <c r="G542" s="68"/>
      <c r="H542" s="68"/>
      <c r="I542" s="68"/>
      <c r="J542" s="68"/>
      <c r="K542" s="68"/>
      <c r="L542" s="68"/>
      <c r="M542" s="79"/>
      <c r="N542" s="68"/>
      <c r="O542" s="68"/>
      <c r="P542" s="68"/>
      <c r="Q542" s="68"/>
      <c r="R542" s="68"/>
      <c r="S542" s="68"/>
      <c r="T542" s="68"/>
      <c r="U542" s="68"/>
      <c r="V542" s="68"/>
      <c r="W542" s="68"/>
      <c r="X542" s="68"/>
      <c r="Y542" s="68"/>
      <c r="Z542" s="68"/>
      <c r="AA542" s="68"/>
      <c r="AB542" s="68"/>
      <c r="AC542" s="68"/>
      <c r="AD542" s="68"/>
      <c r="AE542" s="68"/>
      <c r="AF542" s="68"/>
    </row>
    <row r="543">
      <c r="A543" s="68"/>
      <c r="B543" s="68"/>
      <c r="C543" s="78"/>
      <c r="D543" s="78"/>
      <c r="E543" s="68"/>
      <c r="F543" s="68"/>
      <c r="G543" s="68"/>
      <c r="H543" s="68"/>
      <c r="I543" s="68"/>
      <c r="J543" s="68"/>
      <c r="K543" s="68"/>
      <c r="L543" s="68"/>
      <c r="M543" s="79"/>
      <c r="N543" s="68"/>
      <c r="O543" s="68"/>
      <c r="P543" s="68"/>
      <c r="Q543" s="68"/>
      <c r="R543" s="68"/>
      <c r="S543" s="68"/>
      <c r="T543" s="68"/>
      <c r="U543" s="68"/>
      <c r="V543" s="68"/>
      <c r="W543" s="68"/>
      <c r="X543" s="68"/>
      <c r="Y543" s="68"/>
      <c r="Z543" s="68"/>
      <c r="AA543" s="68"/>
      <c r="AB543" s="68"/>
      <c r="AC543" s="68"/>
      <c r="AD543" s="68"/>
      <c r="AE543" s="68"/>
      <c r="AF543" s="68"/>
    </row>
    <row r="544">
      <c r="A544" s="68"/>
      <c r="B544" s="68"/>
      <c r="C544" s="78"/>
      <c r="D544" s="78"/>
      <c r="E544" s="68"/>
      <c r="F544" s="68"/>
      <c r="G544" s="68"/>
      <c r="H544" s="68"/>
      <c r="I544" s="68"/>
      <c r="J544" s="68"/>
      <c r="K544" s="68"/>
      <c r="L544" s="68"/>
      <c r="M544" s="79"/>
      <c r="N544" s="68"/>
      <c r="O544" s="68"/>
      <c r="P544" s="68"/>
      <c r="Q544" s="68"/>
      <c r="R544" s="68"/>
      <c r="S544" s="68"/>
      <c r="T544" s="68"/>
      <c r="U544" s="68"/>
      <c r="V544" s="68"/>
      <c r="W544" s="68"/>
      <c r="X544" s="68"/>
      <c r="Y544" s="68"/>
      <c r="Z544" s="68"/>
      <c r="AA544" s="68"/>
      <c r="AB544" s="68"/>
      <c r="AC544" s="68"/>
      <c r="AD544" s="68"/>
      <c r="AE544" s="68"/>
      <c r="AF544" s="68"/>
    </row>
    <row r="545">
      <c r="A545" s="68"/>
      <c r="B545" s="68"/>
      <c r="C545" s="78"/>
      <c r="D545" s="78"/>
      <c r="E545" s="68"/>
      <c r="F545" s="68"/>
      <c r="G545" s="68"/>
      <c r="H545" s="68"/>
      <c r="I545" s="68"/>
      <c r="J545" s="68"/>
      <c r="K545" s="68"/>
      <c r="L545" s="68"/>
      <c r="M545" s="79"/>
      <c r="N545" s="68"/>
      <c r="O545" s="68"/>
      <c r="P545" s="68"/>
      <c r="Q545" s="68"/>
      <c r="R545" s="68"/>
      <c r="S545" s="68"/>
      <c r="T545" s="68"/>
      <c r="U545" s="68"/>
      <c r="V545" s="68"/>
      <c r="W545" s="68"/>
      <c r="X545" s="68"/>
      <c r="Y545" s="68"/>
      <c r="Z545" s="68"/>
      <c r="AA545" s="68"/>
      <c r="AB545" s="68"/>
      <c r="AC545" s="68"/>
      <c r="AD545" s="68"/>
      <c r="AE545" s="68"/>
      <c r="AF545" s="68"/>
    </row>
    <row r="546">
      <c r="A546" s="68"/>
      <c r="B546" s="68"/>
      <c r="C546" s="78"/>
      <c r="D546" s="78"/>
      <c r="E546" s="68"/>
      <c r="F546" s="68"/>
      <c r="G546" s="68"/>
      <c r="H546" s="68"/>
      <c r="I546" s="68"/>
      <c r="J546" s="68"/>
      <c r="K546" s="68"/>
      <c r="L546" s="68"/>
      <c r="M546" s="79"/>
      <c r="N546" s="68"/>
      <c r="O546" s="68"/>
      <c r="P546" s="68"/>
      <c r="Q546" s="68"/>
      <c r="R546" s="68"/>
      <c r="S546" s="68"/>
      <c r="T546" s="68"/>
      <c r="U546" s="68"/>
      <c r="V546" s="68"/>
      <c r="W546" s="68"/>
      <c r="X546" s="68"/>
      <c r="Y546" s="68"/>
      <c r="Z546" s="68"/>
      <c r="AA546" s="68"/>
      <c r="AB546" s="68"/>
      <c r="AC546" s="68"/>
      <c r="AD546" s="68"/>
      <c r="AE546" s="68"/>
      <c r="AF546" s="68"/>
    </row>
    <row r="547">
      <c r="A547" s="68"/>
      <c r="B547" s="68"/>
      <c r="C547" s="78"/>
      <c r="D547" s="78"/>
      <c r="E547" s="68"/>
      <c r="F547" s="68"/>
      <c r="G547" s="68"/>
      <c r="H547" s="68"/>
      <c r="I547" s="68"/>
      <c r="J547" s="68"/>
      <c r="K547" s="68"/>
      <c r="L547" s="68"/>
      <c r="M547" s="79"/>
      <c r="N547" s="68"/>
      <c r="O547" s="68"/>
      <c r="P547" s="68"/>
      <c r="Q547" s="68"/>
      <c r="R547" s="68"/>
      <c r="S547" s="68"/>
      <c r="T547" s="68"/>
      <c r="U547" s="68"/>
      <c r="V547" s="68"/>
      <c r="W547" s="68"/>
      <c r="X547" s="68"/>
      <c r="Y547" s="68"/>
      <c r="Z547" s="68"/>
      <c r="AA547" s="68"/>
      <c r="AB547" s="68"/>
      <c r="AC547" s="68"/>
      <c r="AD547" s="68"/>
      <c r="AE547" s="68"/>
      <c r="AF547" s="68"/>
    </row>
    <row r="548">
      <c r="A548" s="68"/>
      <c r="B548" s="68"/>
      <c r="C548" s="78"/>
      <c r="D548" s="78"/>
      <c r="E548" s="68"/>
      <c r="F548" s="68"/>
      <c r="G548" s="68"/>
      <c r="H548" s="68"/>
      <c r="I548" s="68"/>
      <c r="J548" s="68"/>
      <c r="K548" s="68"/>
      <c r="L548" s="68"/>
      <c r="M548" s="79"/>
      <c r="N548" s="68"/>
      <c r="O548" s="68"/>
      <c r="P548" s="68"/>
      <c r="Q548" s="68"/>
      <c r="R548" s="68"/>
      <c r="S548" s="68"/>
      <c r="T548" s="68"/>
      <c r="U548" s="68"/>
      <c r="V548" s="68"/>
      <c r="W548" s="68"/>
      <c r="X548" s="68"/>
      <c r="Y548" s="68"/>
      <c r="Z548" s="68"/>
      <c r="AA548" s="68"/>
      <c r="AB548" s="68"/>
      <c r="AC548" s="68"/>
      <c r="AD548" s="68"/>
      <c r="AE548" s="68"/>
      <c r="AF548" s="68"/>
    </row>
    <row r="549">
      <c r="A549" s="68"/>
      <c r="B549" s="68"/>
      <c r="C549" s="78"/>
      <c r="D549" s="78"/>
      <c r="E549" s="68"/>
      <c r="F549" s="68"/>
      <c r="G549" s="68"/>
      <c r="H549" s="68"/>
      <c r="I549" s="68"/>
      <c r="J549" s="68"/>
      <c r="K549" s="68"/>
      <c r="L549" s="68"/>
      <c r="M549" s="79"/>
      <c r="N549" s="68"/>
      <c r="O549" s="68"/>
      <c r="P549" s="68"/>
      <c r="Q549" s="68"/>
      <c r="R549" s="68"/>
      <c r="S549" s="68"/>
      <c r="T549" s="68"/>
      <c r="U549" s="68"/>
      <c r="V549" s="68"/>
      <c r="W549" s="68"/>
      <c r="X549" s="68"/>
      <c r="Y549" s="68"/>
      <c r="Z549" s="68"/>
      <c r="AA549" s="68"/>
      <c r="AB549" s="68"/>
      <c r="AC549" s="68"/>
      <c r="AD549" s="68"/>
      <c r="AE549" s="68"/>
      <c r="AF549" s="68"/>
    </row>
    <row r="550">
      <c r="A550" s="68"/>
      <c r="B550" s="68"/>
      <c r="C550" s="78"/>
      <c r="D550" s="78"/>
      <c r="E550" s="68"/>
      <c r="F550" s="68"/>
      <c r="G550" s="68"/>
      <c r="H550" s="68"/>
      <c r="I550" s="68"/>
      <c r="J550" s="68"/>
      <c r="K550" s="68"/>
      <c r="L550" s="68"/>
      <c r="M550" s="79"/>
      <c r="N550" s="68"/>
      <c r="O550" s="68"/>
      <c r="P550" s="68"/>
      <c r="Q550" s="68"/>
      <c r="R550" s="68"/>
      <c r="S550" s="68"/>
      <c r="T550" s="68"/>
      <c r="U550" s="68"/>
      <c r="V550" s="68"/>
      <c r="W550" s="68"/>
      <c r="X550" s="68"/>
      <c r="Y550" s="68"/>
      <c r="Z550" s="68"/>
      <c r="AA550" s="68"/>
      <c r="AB550" s="68"/>
      <c r="AC550" s="68"/>
      <c r="AD550" s="68"/>
      <c r="AE550" s="68"/>
      <c r="AF550" s="68"/>
    </row>
    <row r="551">
      <c r="A551" s="68"/>
      <c r="B551" s="68"/>
      <c r="C551" s="78"/>
      <c r="D551" s="78"/>
      <c r="E551" s="68"/>
      <c r="F551" s="68"/>
      <c r="G551" s="68"/>
      <c r="H551" s="68"/>
      <c r="I551" s="68"/>
      <c r="J551" s="68"/>
      <c r="K551" s="68"/>
      <c r="L551" s="68"/>
      <c r="M551" s="79"/>
      <c r="N551" s="68"/>
      <c r="O551" s="68"/>
      <c r="P551" s="68"/>
      <c r="Q551" s="68"/>
      <c r="R551" s="68"/>
      <c r="S551" s="68"/>
      <c r="T551" s="68"/>
      <c r="U551" s="68"/>
      <c r="V551" s="68"/>
      <c r="W551" s="68"/>
      <c r="X551" s="68"/>
      <c r="Y551" s="68"/>
      <c r="Z551" s="68"/>
      <c r="AA551" s="68"/>
      <c r="AB551" s="68"/>
      <c r="AC551" s="68"/>
      <c r="AD551" s="68"/>
      <c r="AE551" s="68"/>
      <c r="AF551" s="68"/>
    </row>
    <row r="552">
      <c r="A552" s="68"/>
      <c r="B552" s="68"/>
      <c r="C552" s="78"/>
      <c r="D552" s="78"/>
      <c r="E552" s="68"/>
      <c r="F552" s="68"/>
      <c r="G552" s="68"/>
      <c r="H552" s="68"/>
      <c r="I552" s="68"/>
      <c r="J552" s="68"/>
      <c r="K552" s="68"/>
      <c r="L552" s="68"/>
      <c r="M552" s="79"/>
      <c r="N552" s="68"/>
      <c r="O552" s="68"/>
      <c r="P552" s="68"/>
      <c r="Q552" s="68"/>
      <c r="R552" s="68"/>
      <c r="S552" s="68"/>
      <c r="T552" s="68"/>
      <c r="U552" s="68"/>
      <c r="V552" s="68"/>
      <c r="W552" s="68"/>
      <c r="X552" s="68"/>
      <c r="Y552" s="68"/>
      <c r="Z552" s="68"/>
      <c r="AA552" s="68"/>
      <c r="AB552" s="68"/>
      <c r="AC552" s="68"/>
      <c r="AD552" s="68"/>
      <c r="AE552" s="68"/>
      <c r="AF552" s="68"/>
    </row>
    <row r="553">
      <c r="A553" s="68"/>
      <c r="B553" s="68"/>
      <c r="C553" s="78"/>
      <c r="D553" s="78"/>
      <c r="E553" s="68"/>
      <c r="F553" s="68"/>
      <c r="G553" s="68"/>
      <c r="H553" s="68"/>
      <c r="I553" s="68"/>
      <c r="J553" s="68"/>
      <c r="K553" s="68"/>
      <c r="L553" s="68"/>
      <c r="M553" s="79"/>
      <c r="N553" s="68"/>
      <c r="O553" s="68"/>
      <c r="P553" s="68"/>
      <c r="Q553" s="68"/>
      <c r="R553" s="68"/>
      <c r="S553" s="68"/>
      <c r="T553" s="68"/>
      <c r="U553" s="68"/>
      <c r="V553" s="68"/>
      <c r="W553" s="68"/>
      <c r="X553" s="68"/>
      <c r="Y553" s="68"/>
      <c r="Z553" s="68"/>
      <c r="AA553" s="68"/>
      <c r="AB553" s="68"/>
      <c r="AC553" s="68"/>
      <c r="AD553" s="68"/>
      <c r="AE553" s="68"/>
      <c r="AF553" s="68"/>
    </row>
    <row r="554">
      <c r="A554" s="68"/>
      <c r="B554" s="68"/>
      <c r="C554" s="78"/>
      <c r="D554" s="78"/>
      <c r="E554" s="68"/>
      <c r="F554" s="68"/>
      <c r="G554" s="68"/>
      <c r="H554" s="68"/>
      <c r="I554" s="68"/>
      <c r="J554" s="68"/>
      <c r="K554" s="68"/>
      <c r="L554" s="68"/>
      <c r="M554" s="79"/>
      <c r="N554" s="68"/>
      <c r="O554" s="68"/>
      <c r="P554" s="68"/>
      <c r="Q554" s="68"/>
      <c r="R554" s="68"/>
      <c r="S554" s="68"/>
      <c r="T554" s="68"/>
      <c r="U554" s="68"/>
      <c r="V554" s="68"/>
      <c r="W554" s="68"/>
      <c r="X554" s="68"/>
      <c r="Y554" s="68"/>
      <c r="Z554" s="68"/>
      <c r="AA554" s="68"/>
      <c r="AB554" s="68"/>
      <c r="AC554" s="68"/>
      <c r="AD554" s="68"/>
      <c r="AE554" s="68"/>
      <c r="AF554" s="68"/>
    </row>
    <row r="555">
      <c r="A555" s="68"/>
      <c r="B555" s="68"/>
      <c r="C555" s="78"/>
      <c r="D555" s="78"/>
      <c r="E555" s="68"/>
      <c r="F555" s="68"/>
      <c r="G555" s="68"/>
      <c r="H555" s="68"/>
      <c r="I555" s="68"/>
      <c r="J555" s="68"/>
      <c r="K555" s="68"/>
      <c r="L555" s="68"/>
      <c r="M555" s="79"/>
      <c r="N555" s="68"/>
      <c r="O555" s="68"/>
      <c r="P555" s="68"/>
      <c r="Q555" s="68"/>
      <c r="R555" s="68"/>
      <c r="S555" s="68"/>
      <c r="T555" s="68"/>
      <c r="U555" s="68"/>
      <c r="V555" s="68"/>
      <c r="W555" s="68"/>
      <c r="X555" s="68"/>
      <c r="Y555" s="68"/>
      <c r="Z555" s="68"/>
      <c r="AA555" s="68"/>
      <c r="AB555" s="68"/>
      <c r="AC555" s="68"/>
      <c r="AD555" s="68"/>
      <c r="AE555" s="68"/>
      <c r="AF555" s="68"/>
    </row>
    <row r="556">
      <c r="A556" s="68"/>
      <c r="B556" s="68"/>
      <c r="C556" s="78"/>
      <c r="D556" s="78"/>
      <c r="E556" s="68"/>
      <c r="F556" s="68"/>
      <c r="G556" s="68"/>
      <c r="H556" s="68"/>
      <c r="I556" s="68"/>
      <c r="J556" s="68"/>
      <c r="K556" s="68"/>
      <c r="L556" s="68"/>
      <c r="M556" s="79"/>
      <c r="N556" s="68"/>
      <c r="O556" s="68"/>
      <c r="P556" s="68"/>
      <c r="Q556" s="68"/>
      <c r="R556" s="68"/>
      <c r="S556" s="68"/>
      <c r="T556" s="68"/>
      <c r="U556" s="68"/>
      <c r="V556" s="68"/>
      <c r="W556" s="68"/>
      <c r="X556" s="68"/>
      <c r="Y556" s="68"/>
      <c r="Z556" s="68"/>
      <c r="AA556" s="68"/>
      <c r="AB556" s="68"/>
      <c r="AC556" s="68"/>
      <c r="AD556" s="68"/>
      <c r="AE556" s="68"/>
      <c r="AF556" s="68"/>
    </row>
    <row r="557">
      <c r="A557" s="68"/>
      <c r="B557" s="68"/>
      <c r="C557" s="78"/>
      <c r="D557" s="78"/>
      <c r="E557" s="68"/>
      <c r="F557" s="68"/>
      <c r="G557" s="68"/>
      <c r="H557" s="68"/>
      <c r="I557" s="68"/>
      <c r="J557" s="68"/>
      <c r="K557" s="68"/>
      <c r="L557" s="68"/>
      <c r="M557" s="79"/>
      <c r="N557" s="68"/>
      <c r="O557" s="68"/>
      <c r="P557" s="68"/>
      <c r="Q557" s="68"/>
      <c r="R557" s="68"/>
      <c r="S557" s="68"/>
      <c r="T557" s="68"/>
      <c r="U557" s="68"/>
      <c r="V557" s="68"/>
      <c r="W557" s="68"/>
      <c r="X557" s="68"/>
      <c r="Y557" s="68"/>
      <c r="Z557" s="68"/>
      <c r="AA557" s="68"/>
      <c r="AB557" s="68"/>
      <c r="AC557" s="68"/>
      <c r="AD557" s="68"/>
      <c r="AE557" s="68"/>
      <c r="AF557" s="68"/>
    </row>
    <row r="558">
      <c r="A558" s="68"/>
      <c r="B558" s="68"/>
      <c r="C558" s="78"/>
      <c r="D558" s="78"/>
      <c r="E558" s="68"/>
      <c r="F558" s="68"/>
      <c r="G558" s="68"/>
      <c r="H558" s="68"/>
      <c r="I558" s="68"/>
      <c r="J558" s="68"/>
      <c r="K558" s="68"/>
      <c r="L558" s="68"/>
      <c r="M558" s="79"/>
      <c r="N558" s="68"/>
      <c r="O558" s="68"/>
      <c r="P558" s="68"/>
      <c r="Q558" s="68"/>
      <c r="R558" s="68"/>
      <c r="S558" s="68"/>
      <c r="T558" s="68"/>
      <c r="U558" s="68"/>
      <c r="V558" s="68"/>
      <c r="W558" s="68"/>
      <c r="X558" s="68"/>
      <c r="Y558" s="68"/>
      <c r="Z558" s="68"/>
      <c r="AA558" s="68"/>
      <c r="AB558" s="68"/>
      <c r="AC558" s="68"/>
      <c r="AD558" s="68"/>
      <c r="AE558" s="68"/>
      <c r="AF558" s="68"/>
    </row>
    <row r="559">
      <c r="A559" s="68"/>
      <c r="B559" s="68"/>
      <c r="C559" s="78"/>
      <c r="D559" s="78"/>
      <c r="E559" s="68"/>
      <c r="F559" s="68"/>
      <c r="G559" s="68"/>
      <c r="H559" s="68"/>
      <c r="I559" s="68"/>
      <c r="J559" s="68"/>
      <c r="K559" s="68"/>
      <c r="L559" s="68"/>
      <c r="M559" s="79"/>
      <c r="N559" s="68"/>
      <c r="O559" s="68"/>
      <c r="P559" s="68"/>
      <c r="Q559" s="68"/>
      <c r="R559" s="68"/>
      <c r="S559" s="68"/>
      <c r="T559" s="68"/>
      <c r="U559" s="68"/>
      <c r="V559" s="68"/>
      <c r="W559" s="68"/>
      <c r="X559" s="68"/>
      <c r="Y559" s="68"/>
      <c r="Z559" s="68"/>
      <c r="AA559" s="68"/>
      <c r="AB559" s="68"/>
      <c r="AC559" s="68"/>
      <c r="AD559" s="68"/>
      <c r="AE559" s="68"/>
      <c r="AF559" s="68"/>
    </row>
    <row r="560">
      <c r="A560" s="68"/>
      <c r="B560" s="68"/>
      <c r="C560" s="78"/>
      <c r="D560" s="78"/>
      <c r="E560" s="68"/>
      <c r="F560" s="68"/>
      <c r="G560" s="68"/>
      <c r="H560" s="68"/>
      <c r="I560" s="68"/>
      <c r="J560" s="68"/>
      <c r="K560" s="68"/>
      <c r="L560" s="68"/>
      <c r="M560" s="79"/>
      <c r="N560" s="68"/>
      <c r="O560" s="68"/>
      <c r="P560" s="68"/>
      <c r="Q560" s="68"/>
      <c r="R560" s="68"/>
      <c r="S560" s="68"/>
      <c r="T560" s="68"/>
      <c r="U560" s="68"/>
      <c r="V560" s="68"/>
      <c r="W560" s="68"/>
      <c r="X560" s="68"/>
      <c r="Y560" s="68"/>
      <c r="Z560" s="68"/>
      <c r="AA560" s="68"/>
      <c r="AB560" s="68"/>
      <c r="AC560" s="68"/>
      <c r="AD560" s="68"/>
      <c r="AE560" s="68"/>
      <c r="AF560" s="68"/>
    </row>
    <row r="561">
      <c r="A561" s="68"/>
      <c r="B561" s="68"/>
      <c r="C561" s="78"/>
      <c r="D561" s="78"/>
      <c r="E561" s="68"/>
      <c r="F561" s="68"/>
      <c r="G561" s="68"/>
      <c r="H561" s="68"/>
      <c r="I561" s="68"/>
      <c r="J561" s="68"/>
      <c r="K561" s="68"/>
      <c r="L561" s="68"/>
      <c r="M561" s="79"/>
      <c r="N561" s="68"/>
      <c r="O561" s="68"/>
      <c r="P561" s="68"/>
      <c r="Q561" s="68"/>
      <c r="R561" s="68"/>
      <c r="S561" s="68"/>
      <c r="T561" s="68"/>
      <c r="U561" s="68"/>
      <c r="V561" s="68"/>
      <c r="W561" s="68"/>
      <c r="X561" s="68"/>
      <c r="Y561" s="68"/>
      <c r="Z561" s="68"/>
      <c r="AA561" s="68"/>
      <c r="AB561" s="68"/>
      <c r="AC561" s="68"/>
      <c r="AD561" s="68"/>
      <c r="AE561" s="68"/>
      <c r="AF561" s="68"/>
    </row>
    <row r="562">
      <c r="A562" s="68"/>
      <c r="B562" s="68"/>
      <c r="C562" s="78"/>
      <c r="D562" s="78"/>
      <c r="E562" s="68"/>
      <c r="F562" s="68"/>
      <c r="G562" s="68"/>
      <c r="H562" s="68"/>
      <c r="I562" s="68"/>
      <c r="J562" s="68"/>
      <c r="K562" s="68"/>
      <c r="L562" s="68"/>
      <c r="M562" s="79"/>
      <c r="N562" s="68"/>
      <c r="O562" s="68"/>
      <c r="P562" s="68"/>
      <c r="Q562" s="68"/>
      <c r="R562" s="68"/>
      <c r="S562" s="68"/>
      <c r="T562" s="68"/>
      <c r="U562" s="68"/>
      <c r="V562" s="68"/>
      <c r="W562" s="68"/>
      <c r="X562" s="68"/>
      <c r="Y562" s="68"/>
      <c r="Z562" s="68"/>
      <c r="AA562" s="68"/>
      <c r="AB562" s="68"/>
      <c r="AC562" s="68"/>
      <c r="AD562" s="68"/>
      <c r="AE562" s="68"/>
      <c r="AF562" s="68"/>
    </row>
    <row r="563">
      <c r="A563" s="68"/>
      <c r="B563" s="68"/>
      <c r="C563" s="78"/>
      <c r="D563" s="78"/>
      <c r="E563" s="68"/>
      <c r="F563" s="68"/>
      <c r="G563" s="68"/>
      <c r="H563" s="68"/>
      <c r="I563" s="68"/>
      <c r="J563" s="68"/>
      <c r="K563" s="68"/>
      <c r="L563" s="68"/>
      <c r="M563" s="79"/>
      <c r="N563" s="68"/>
      <c r="O563" s="68"/>
      <c r="P563" s="68"/>
      <c r="Q563" s="68"/>
      <c r="R563" s="68"/>
      <c r="S563" s="68"/>
      <c r="T563" s="68"/>
      <c r="U563" s="68"/>
      <c r="V563" s="68"/>
      <c r="W563" s="68"/>
      <c r="X563" s="68"/>
      <c r="Y563" s="68"/>
      <c r="Z563" s="68"/>
      <c r="AA563" s="68"/>
      <c r="AB563" s="68"/>
      <c r="AC563" s="68"/>
      <c r="AD563" s="68"/>
      <c r="AE563" s="68"/>
      <c r="AF563" s="68"/>
    </row>
    <row r="564">
      <c r="A564" s="68"/>
      <c r="B564" s="68"/>
      <c r="C564" s="78"/>
      <c r="D564" s="78"/>
      <c r="E564" s="68"/>
      <c r="F564" s="68"/>
      <c r="G564" s="68"/>
      <c r="H564" s="68"/>
      <c r="I564" s="68"/>
      <c r="J564" s="68"/>
      <c r="K564" s="68"/>
      <c r="L564" s="68"/>
      <c r="M564" s="79"/>
      <c r="N564" s="68"/>
      <c r="O564" s="68"/>
      <c r="P564" s="68"/>
      <c r="Q564" s="68"/>
      <c r="R564" s="68"/>
      <c r="S564" s="68"/>
      <c r="T564" s="68"/>
      <c r="U564" s="68"/>
      <c r="V564" s="68"/>
      <c r="W564" s="68"/>
      <c r="X564" s="68"/>
      <c r="Y564" s="68"/>
      <c r="Z564" s="68"/>
      <c r="AA564" s="68"/>
      <c r="AB564" s="68"/>
      <c r="AC564" s="68"/>
      <c r="AD564" s="68"/>
      <c r="AE564" s="68"/>
      <c r="AF564" s="68"/>
    </row>
    <row r="565">
      <c r="A565" s="68"/>
      <c r="B565" s="68"/>
      <c r="C565" s="78"/>
      <c r="D565" s="78"/>
      <c r="E565" s="68"/>
      <c r="F565" s="68"/>
      <c r="G565" s="68"/>
      <c r="H565" s="68"/>
      <c r="I565" s="68"/>
      <c r="J565" s="68"/>
      <c r="K565" s="68"/>
      <c r="L565" s="68"/>
      <c r="M565" s="79"/>
      <c r="N565" s="68"/>
      <c r="O565" s="68"/>
      <c r="P565" s="68"/>
      <c r="Q565" s="68"/>
      <c r="R565" s="68"/>
      <c r="S565" s="68"/>
      <c r="T565" s="68"/>
      <c r="U565" s="68"/>
      <c r="V565" s="68"/>
      <c r="W565" s="68"/>
      <c r="X565" s="68"/>
      <c r="Y565" s="68"/>
      <c r="Z565" s="68"/>
      <c r="AA565" s="68"/>
      <c r="AB565" s="68"/>
      <c r="AC565" s="68"/>
      <c r="AD565" s="68"/>
      <c r="AE565" s="68"/>
      <c r="AF565" s="68"/>
    </row>
    <row r="566">
      <c r="A566" s="68"/>
      <c r="B566" s="68"/>
      <c r="C566" s="78"/>
      <c r="D566" s="78"/>
      <c r="E566" s="68"/>
      <c r="F566" s="68"/>
      <c r="G566" s="68"/>
      <c r="H566" s="68"/>
      <c r="I566" s="68"/>
      <c r="J566" s="68"/>
      <c r="K566" s="68"/>
      <c r="L566" s="68"/>
      <c r="M566" s="79"/>
      <c r="N566" s="68"/>
      <c r="O566" s="68"/>
      <c r="P566" s="68"/>
      <c r="Q566" s="68"/>
      <c r="R566" s="68"/>
      <c r="S566" s="68"/>
      <c r="T566" s="68"/>
      <c r="U566" s="68"/>
      <c r="V566" s="68"/>
      <c r="W566" s="68"/>
      <c r="X566" s="68"/>
      <c r="Y566" s="68"/>
      <c r="Z566" s="68"/>
      <c r="AA566" s="68"/>
      <c r="AB566" s="68"/>
      <c r="AC566" s="68"/>
      <c r="AD566" s="68"/>
      <c r="AE566" s="68"/>
      <c r="AF566" s="68"/>
    </row>
    <row r="567">
      <c r="A567" s="68"/>
      <c r="B567" s="68"/>
      <c r="C567" s="78"/>
      <c r="D567" s="78"/>
      <c r="E567" s="68"/>
      <c r="F567" s="68"/>
      <c r="G567" s="68"/>
      <c r="H567" s="68"/>
      <c r="I567" s="68"/>
      <c r="J567" s="68"/>
      <c r="K567" s="68"/>
      <c r="L567" s="68"/>
      <c r="M567" s="79"/>
      <c r="N567" s="68"/>
      <c r="O567" s="68"/>
      <c r="P567" s="68"/>
      <c r="Q567" s="68"/>
      <c r="R567" s="68"/>
      <c r="S567" s="68"/>
      <c r="T567" s="68"/>
      <c r="U567" s="68"/>
      <c r="V567" s="68"/>
      <c r="W567" s="68"/>
      <c r="X567" s="68"/>
      <c r="Y567" s="68"/>
      <c r="Z567" s="68"/>
      <c r="AA567" s="68"/>
      <c r="AB567" s="68"/>
      <c r="AC567" s="68"/>
      <c r="AD567" s="68"/>
      <c r="AE567" s="68"/>
      <c r="AF567" s="68"/>
    </row>
    <row r="568">
      <c r="A568" s="68"/>
      <c r="B568" s="68"/>
      <c r="C568" s="78"/>
      <c r="D568" s="78"/>
      <c r="E568" s="68"/>
      <c r="F568" s="68"/>
      <c r="G568" s="68"/>
      <c r="H568" s="68"/>
      <c r="I568" s="68"/>
      <c r="J568" s="68"/>
      <c r="K568" s="68"/>
      <c r="L568" s="68"/>
      <c r="M568" s="79"/>
      <c r="N568" s="68"/>
      <c r="O568" s="68"/>
      <c r="P568" s="68"/>
      <c r="Q568" s="68"/>
      <c r="R568" s="68"/>
      <c r="S568" s="68"/>
      <c r="T568" s="68"/>
      <c r="U568" s="68"/>
      <c r="V568" s="68"/>
      <c r="W568" s="68"/>
      <c r="X568" s="68"/>
      <c r="Y568" s="68"/>
      <c r="Z568" s="68"/>
      <c r="AA568" s="68"/>
      <c r="AB568" s="68"/>
      <c r="AC568" s="68"/>
      <c r="AD568" s="68"/>
      <c r="AE568" s="68"/>
      <c r="AF568" s="68"/>
    </row>
    <row r="569">
      <c r="A569" s="68"/>
      <c r="B569" s="68"/>
      <c r="C569" s="78"/>
      <c r="D569" s="78"/>
      <c r="E569" s="68"/>
      <c r="F569" s="68"/>
      <c r="G569" s="68"/>
      <c r="H569" s="68"/>
      <c r="I569" s="68"/>
      <c r="J569" s="68"/>
      <c r="K569" s="68"/>
      <c r="L569" s="68"/>
      <c r="M569" s="79"/>
      <c r="N569" s="68"/>
      <c r="O569" s="68"/>
      <c r="P569" s="68"/>
      <c r="Q569" s="68"/>
      <c r="R569" s="68"/>
      <c r="S569" s="68"/>
      <c r="T569" s="68"/>
      <c r="U569" s="68"/>
      <c r="V569" s="68"/>
      <c r="W569" s="68"/>
      <c r="X569" s="68"/>
      <c r="Y569" s="68"/>
      <c r="Z569" s="68"/>
      <c r="AA569" s="68"/>
      <c r="AB569" s="68"/>
      <c r="AC569" s="68"/>
      <c r="AD569" s="68"/>
      <c r="AE569" s="68"/>
      <c r="AF569" s="68"/>
    </row>
    <row r="570">
      <c r="A570" s="68"/>
      <c r="B570" s="68"/>
      <c r="C570" s="78"/>
      <c r="D570" s="78"/>
      <c r="E570" s="68"/>
      <c r="F570" s="68"/>
      <c r="G570" s="68"/>
      <c r="H570" s="68"/>
      <c r="I570" s="68"/>
      <c r="J570" s="68"/>
      <c r="K570" s="68"/>
      <c r="L570" s="68"/>
      <c r="M570" s="79"/>
      <c r="N570" s="68"/>
      <c r="O570" s="68"/>
      <c r="P570" s="68"/>
      <c r="Q570" s="68"/>
      <c r="R570" s="68"/>
      <c r="S570" s="68"/>
      <c r="T570" s="68"/>
      <c r="U570" s="68"/>
      <c r="V570" s="68"/>
      <c r="W570" s="68"/>
      <c r="X570" s="68"/>
      <c r="Y570" s="68"/>
      <c r="Z570" s="68"/>
      <c r="AA570" s="68"/>
      <c r="AB570" s="68"/>
      <c r="AC570" s="68"/>
      <c r="AD570" s="68"/>
      <c r="AE570" s="68"/>
      <c r="AF570" s="68"/>
    </row>
    <row r="571">
      <c r="A571" s="68"/>
      <c r="B571" s="68"/>
      <c r="C571" s="78"/>
      <c r="D571" s="78"/>
      <c r="E571" s="68"/>
      <c r="F571" s="68"/>
      <c r="G571" s="68"/>
      <c r="H571" s="68"/>
      <c r="I571" s="68"/>
      <c r="J571" s="68"/>
      <c r="K571" s="68"/>
      <c r="L571" s="68"/>
      <c r="M571" s="79"/>
      <c r="N571" s="68"/>
      <c r="O571" s="68"/>
      <c r="P571" s="68"/>
      <c r="Q571" s="68"/>
      <c r="R571" s="68"/>
      <c r="S571" s="68"/>
      <c r="T571" s="68"/>
      <c r="U571" s="68"/>
      <c r="V571" s="68"/>
      <c r="W571" s="68"/>
      <c r="X571" s="68"/>
      <c r="Y571" s="68"/>
      <c r="Z571" s="68"/>
      <c r="AA571" s="68"/>
      <c r="AB571" s="68"/>
      <c r="AC571" s="68"/>
      <c r="AD571" s="68"/>
      <c r="AE571" s="68"/>
      <c r="AF571" s="68"/>
    </row>
    <row r="572">
      <c r="A572" s="68"/>
      <c r="B572" s="68"/>
      <c r="C572" s="78"/>
      <c r="D572" s="78"/>
      <c r="E572" s="68"/>
      <c r="F572" s="68"/>
      <c r="G572" s="68"/>
      <c r="H572" s="68"/>
      <c r="I572" s="68"/>
      <c r="J572" s="68"/>
      <c r="K572" s="68"/>
      <c r="L572" s="68"/>
      <c r="M572" s="79"/>
      <c r="N572" s="68"/>
      <c r="O572" s="68"/>
      <c r="P572" s="68"/>
      <c r="Q572" s="68"/>
      <c r="R572" s="68"/>
      <c r="S572" s="68"/>
      <c r="T572" s="68"/>
      <c r="U572" s="68"/>
      <c r="V572" s="68"/>
      <c r="W572" s="68"/>
      <c r="X572" s="68"/>
      <c r="Y572" s="68"/>
      <c r="Z572" s="68"/>
      <c r="AA572" s="68"/>
      <c r="AB572" s="68"/>
      <c r="AC572" s="68"/>
      <c r="AD572" s="68"/>
      <c r="AE572" s="68"/>
      <c r="AF572" s="68"/>
    </row>
    <row r="573">
      <c r="A573" s="68"/>
      <c r="B573" s="68"/>
      <c r="C573" s="78"/>
      <c r="D573" s="78"/>
      <c r="E573" s="68"/>
      <c r="F573" s="68"/>
      <c r="G573" s="68"/>
      <c r="H573" s="68"/>
      <c r="I573" s="68"/>
      <c r="J573" s="68"/>
      <c r="K573" s="68"/>
      <c r="L573" s="68"/>
      <c r="M573" s="79"/>
      <c r="N573" s="68"/>
      <c r="O573" s="68"/>
      <c r="P573" s="68"/>
      <c r="Q573" s="68"/>
      <c r="R573" s="68"/>
      <c r="S573" s="68"/>
      <c r="T573" s="68"/>
      <c r="U573" s="68"/>
      <c r="V573" s="68"/>
      <c r="W573" s="68"/>
      <c r="X573" s="68"/>
      <c r="Y573" s="68"/>
      <c r="Z573" s="68"/>
      <c r="AA573" s="68"/>
      <c r="AB573" s="68"/>
      <c r="AC573" s="68"/>
      <c r="AD573" s="68"/>
      <c r="AE573" s="68"/>
      <c r="AF573" s="68"/>
    </row>
    <row r="574">
      <c r="A574" s="68"/>
      <c r="B574" s="68"/>
      <c r="C574" s="78"/>
      <c r="D574" s="78"/>
      <c r="E574" s="68"/>
      <c r="F574" s="68"/>
      <c r="G574" s="68"/>
      <c r="H574" s="68"/>
      <c r="I574" s="68"/>
      <c r="J574" s="68"/>
      <c r="K574" s="68"/>
      <c r="L574" s="68"/>
      <c r="M574" s="79"/>
      <c r="N574" s="68"/>
      <c r="O574" s="68"/>
      <c r="P574" s="68"/>
      <c r="Q574" s="68"/>
      <c r="R574" s="68"/>
      <c r="S574" s="68"/>
      <c r="T574" s="68"/>
      <c r="U574" s="68"/>
      <c r="V574" s="68"/>
      <c r="W574" s="68"/>
      <c r="X574" s="68"/>
      <c r="Y574" s="68"/>
      <c r="Z574" s="68"/>
      <c r="AA574" s="68"/>
      <c r="AB574" s="68"/>
      <c r="AC574" s="68"/>
      <c r="AD574" s="68"/>
      <c r="AE574" s="68"/>
      <c r="AF574" s="68"/>
    </row>
    <row r="575">
      <c r="A575" s="68"/>
      <c r="B575" s="68"/>
      <c r="C575" s="78"/>
      <c r="D575" s="78"/>
      <c r="E575" s="68"/>
      <c r="F575" s="68"/>
      <c r="G575" s="68"/>
      <c r="H575" s="68"/>
      <c r="I575" s="68"/>
      <c r="J575" s="68"/>
      <c r="K575" s="68"/>
      <c r="L575" s="68"/>
      <c r="M575" s="79"/>
      <c r="N575" s="68"/>
      <c r="O575" s="68"/>
      <c r="P575" s="68"/>
      <c r="Q575" s="68"/>
      <c r="R575" s="68"/>
      <c r="S575" s="68"/>
      <c r="T575" s="68"/>
      <c r="U575" s="68"/>
      <c r="V575" s="68"/>
      <c r="W575" s="68"/>
      <c r="X575" s="68"/>
      <c r="Y575" s="68"/>
      <c r="Z575" s="68"/>
      <c r="AA575" s="68"/>
      <c r="AB575" s="68"/>
      <c r="AC575" s="68"/>
      <c r="AD575" s="68"/>
      <c r="AE575" s="68"/>
      <c r="AF575" s="68"/>
    </row>
    <row r="576">
      <c r="A576" s="68"/>
      <c r="B576" s="68"/>
      <c r="C576" s="78"/>
      <c r="D576" s="78"/>
      <c r="E576" s="68"/>
      <c r="F576" s="68"/>
      <c r="G576" s="68"/>
      <c r="H576" s="68"/>
      <c r="I576" s="68"/>
      <c r="J576" s="68"/>
      <c r="K576" s="68"/>
      <c r="L576" s="68"/>
      <c r="M576" s="79"/>
      <c r="N576" s="68"/>
      <c r="O576" s="68"/>
      <c r="P576" s="68"/>
      <c r="Q576" s="68"/>
      <c r="R576" s="68"/>
      <c r="S576" s="68"/>
      <c r="T576" s="68"/>
      <c r="U576" s="68"/>
      <c r="V576" s="68"/>
      <c r="W576" s="68"/>
      <c r="X576" s="68"/>
      <c r="Y576" s="68"/>
      <c r="Z576" s="68"/>
      <c r="AA576" s="68"/>
      <c r="AB576" s="68"/>
      <c r="AC576" s="68"/>
      <c r="AD576" s="68"/>
      <c r="AE576" s="68"/>
      <c r="AF576" s="68"/>
    </row>
    <row r="577">
      <c r="A577" s="68"/>
      <c r="B577" s="68"/>
      <c r="C577" s="78"/>
      <c r="D577" s="78"/>
      <c r="E577" s="68"/>
      <c r="F577" s="68"/>
      <c r="G577" s="68"/>
      <c r="H577" s="68"/>
      <c r="I577" s="68"/>
      <c r="J577" s="68"/>
      <c r="K577" s="68"/>
      <c r="L577" s="68"/>
      <c r="M577" s="79"/>
      <c r="N577" s="68"/>
      <c r="O577" s="68"/>
      <c r="P577" s="68"/>
      <c r="Q577" s="68"/>
      <c r="R577" s="68"/>
      <c r="S577" s="68"/>
      <c r="T577" s="68"/>
      <c r="U577" s="68"/>
      <c r="V577" s="68"/>
      <c r="W577" s="68"/>
      <c r="X577" s="68"/>
      <c r="Y577" s="68"/>
      <c r="Z577" s="68"/>
      <c r="AA577" s="68"/>
      <c r="AB577" s="68"/>
      <c r="AC577" s="68"/>
      <c r="AD577" s="68"/>
      <c r="AE577" s="68"/>
      <c r="AF577" s="68"/>
    </row>
    <row r="578">
      <c r="A578" s="68"/>
      <c r="B578" s="68"/>
      <c r="C578" s="78"/>
      <c r="D578" s="78"/>
      <c r="E578" s="68"/>
      <c r="F578" s="68"/>
      <c r="G578" s="68"/>
      <c r="H578" s="68"/>
      <c r="I578" s="68"/>
      <c r="J578" s="68"/>
      <c r="K578" s="68"/>
      <c r="L578" s="68"/>
      <c r="M578" s="79"/>
      <c r="N578" s="68"/>
      <c r="O578" s="68"/>
      <c r="P578" s="68"/>
      <c r="Q578" s="68"/>
      <c r="R578" s="68"/>
      <c r="S578" s="68"/>
      <c r="T578" s="68"/>
      <c r="U578" s="68"/>
      <c r="V578" s="68"/>
      <c r="W578" s="68"/>
      <c r="X578" s="68"/>
      <c r="Y578" s="68"/>
      <c r="Z578" s="68"/>
      <c r="AA578" s="68"/>
      <c r="AB578" s="68"/>
      <c r="AC578" s="68"/>
      <c r="AD578" s="68"/>
      <c r="AE578" s="68"/>
      <c r="AF578" s="68"/>
    </row>
    <row r="579">
      <c r="A579" s="68"/>
      <c r="B579" s="68"/>
      <c r="C579" s="78"/>
      <c r="D579" s="78"/>
      <c r="E579" s="68"/>
      <c r="F579" s="68"/>
      <c r="G579" s="68"/>
      <c r="H579" s="68"/>
      <c r="I579" s="68"/>
      <c r="J579" s="68"/>
      <c r="K579" s="68"/>
      <c r="L579" s="68"/>
      <c r="M579" s="79"/>
      <c r="N579" s="68"/>
      <c r="O579" s="68"/>
      <c r="P579" s="68"/>
      <c r="Q579" s="68"/>
      <c r="R579" s="68"/>
      <c r="S579" s="68"/>
      <c r="T579" s="68"/>
      <c r="U579" s="68"/>
      <c r="V579" s="68"/>
      <c r="W579" s="68"/>
      <c r="X579" s="68"/>
      <c r="Y579" s="68"/>
      <c r="Z579" s="68"/>
      <c r="AA579" s="68"/>
      <c r="AB579" s="68"/>
      <c r="AC579" s="68"/>
      <c r="AD579" s="68"/>
      <c r="AE579" s="68"/>
      <c r="AF579" s="68"/>
    </row>
    <row r="580">
      <c r="A580" s="68"/>
      <c r="B580" s="68"/>
      <c r="C580" s="78"/>
      <c r="D580" s="78"/>
      <c r="E580" s="68"/>
      <c r="F580" s="68"/>
      <c r="G580" s="68"/>
      <c r="H580" s="68"/>
      <c r="I580" s="68"/>
      <c r="J580" s="68"/>
      <c r="K580" s="68"/>
      <c r="L580" s="68"/>
      <c r="M580" s="79"/>
      <c r="N580" s="68"/>
      <c r="O580" s="68"/>
      <c r="P580" s="68"/>
      <c r="Q580" s="68"/>
      <c r="R580" s="68"/>
      <c r="S580" s="68"/>
      <c r="T580" s="68"/>
      <c r="U580" s="68"/>
      <c r="V580" s="68"/>
      <c r="W580" s="68"/>
      <c r="X580" s="68"/>
      <c r="Y580" s="68"/>
      <c r="Z580" s="68"/>
      <c r="AA580" s="68"/>
      <c r="AB580" s="68"/>
      <c r="AC580" s="68"/>
      <c r="AD580" s="68"/>
      <c r="AE580" s="68"/>
      <c r="AF580" s="68"/>
    </row>
    <row r="581">
      <c r="A581" s="68"/>
      <c r="B581" s="68"/>
      <c r="C581" s="78"/>
      <c r="D581" s="78"/>
      <c r="E581" s="68"/>
      <c r="F581" s="68"/>
      <c r="G581" s="68"/>
      <c r="H581" s="68"/>
      <c r="I581" s="68"/>
      <c r="J581" s="68"/>
      <c r="K581" s="68"/>
      <c r="L581" s="68"/>
      <c r="M581" s="79"/>
      <c r="N581" s="68"/>
      <c r="O581" s="68"/>
      <c r="P581" s="68"/>
      <c r="Q581" s="68"/>
      <c r="R581" s="68"/>
      <c r="S581" s="68"/>
      <c r="T581" s="68"/>
      <c r="U581" s="68"/>
      <c r="V581" s="68"/>
      <c r="W581" s="68"/>
      <c r="X581" s="68"/>
      <c r="Y581" s="68"/>
      <c r="Z581" s="68"/>
      <c r="AA581" s="68"/>
      <c r="AB581" s="68"/>
      <c r="AC581" s="68"/>
      <c r="AD581" s="68"/>
      <c r="AE581" s="68"/>
      <c r="AF581" s="68"/>
    </row>
    <row r="582">
      <c r="A582" s="68"/>
      <c r="B582" s="68"/>
      <c r="C582" s="78"/>
      <c r="D582" s="78"/>
      <c r="E582" s="68"/>
      <c r="F582" s="68"/>
      <c r="G582" s="68"/>
      <c r="H582" s="68"/>
      <c r="I582" s="68"/>
      <c r="J582" s="68"/>
      <c r="K582" s="68"/>
      <c r="L582" s="68"/>
      <c r="M582" s="79"/>
      <c r="N582" s="68"/>
      <c r="O582" s="68"/>
      <c r="P582" s="68"/>
      <c r="Q582" s="68"/>
      <c r="R582" s="68"/>
      <c r="S582" s="68"/>
      <c r="T582" s="68"/>
      <c r="U582" s="68"/>
      <c r="V582" s="68"/>
      <c r="W582" s="68"/>
      <c r="X582" s="68"/>
      <c r="Y582" s="68"/>
      <c r="Z582" s="68"/>
      <c r="AA582" s="68"/>
      <c r="AB582" s="68"/>
      <c r="AC582" s="68"/>
      <c r="AD582" s="68"/>
      <c r="AE582" s="68"/>
      <c r="AF582" s="68"/>
    </row>
    <row r="583">
      <c r="A583" s="68"/>
      <c r="B583" s="68"/>
      <c r="C583" s="78"/>
      <c r="D583" s="78"/>
      <c r="E583" s="68"/>
      <c r="F583" s="68"/>
      <c r="G583" s="68"/>
      <c r="H583" s="68"/>
      <c r="I583" s="68"/>
      <c r="J583" s="68"/>
      <c r="K583" s="68"/>
      <c r="L583" s="68"/>
      <c r="M583" s="79"/>
      <c r="N583" s="68"/>
      <c r="O583" s="68"/>
      <c r="P583" s="68"/>
      <c r="Q583" s="68"/>
      <c r="R583" s="68"/>
      <c r="S583" s="68"/>
      <c r="T583" s="68"/>
      <c r="U583" s="68"/>
      <c r="V583" s="68"/>
      <c r="W583" s="68"/>
      <c r="X583" s="68"/>
      <c r="Y583" s="68"/>
      <c r="Z583" s="68"/>
      <c r="AA583" s="68"/>
      <c r="AB583" s="68"/>
      <c r="AC583" s="68"/>
      <c r="AD583" s="68"/>
      <c r="AE583" s="68"/>
      <c r="AF583" s="68"/>
    </row>
    <row r="584">
      <c r="A584" s="68"/>
      <c r="B584" s="68"/>
      <c r="C584" s="78"/>
      <c r="D584" s="78"/>
      <c r="E584" s="68"/>
      <c r="F584" s="68"/>
      <c r="G584" s="68"/>
      <c r="H584" s="68"/>
      <c r="I584" s="68"/>
      <c r="J584" s="68"/>
      <c r="K584" s="68"/>
      <c r="L584" s="68"/>
      <c r="M584" s="79"/>
      <c r="N584" s="68"/>
      <c r="O584" s="68"/>
      <c r="P584" s="68"/>
      <c r="Q584" s="68"/>
      <c r="R584" s="68"/>
      <c r="S584" s="68"/>
      <c r="T584" s="68"/>
      <c r="U584" s="68"/>
      <c r="V584" s="68"/>
      <c r="W584" s="68"/>
      <c r="X584" s="68"/>
      <c r="Y584" s="68"/>
      <c r="Z584" s="68"/>
      <c r="AA584" s="68"/>
      <c r="AB584" s="68"/>
      <c r="AC584" s="68"/>
      <c r="AD584" s="68"/>
      <c r="AE584" s="68"/>
      <c r="AF584" s="68"/>
    </row>
    <row r="585">
      <c r="A585" s="68"/>
      <c r="B585" s="68"/>
      <c r="C585" s="78"/>
      <c r="D585" s="78"/>
      <c r="E585" s="68"/>
      <c r="F585" s="68"/>
      <c r="G585" s="68"/>
      <c r="H585" s="68"/>
      <c r="I585" s="68"/>
      <c r="J585" s="68"/>
      <c r="K585" s="68"/>
      <c r="L585" s="68"/>
      <c r="M585" s="79"/>
      <c r="N585" s="68"/>
      <c r="O585" s="68"/>
      <c r="P585" s="68"/>
      <c r="Q585" s="68"/>
      <c r="R585" s="68"/>
      <c r="S585" s="68"/>
      <c r="T585" s="68"/>
      <c r="U585" s="68"/>
      <c r="V585" s="68"/>
      <c r="W585" s="68"/>
      <c r="X585" s="68"/>
      <c r="Y585" s="68"/>
      <c r="Z585" s="68"/>
      <c r="AA585" s="68"/>
      <c r="AB585" s="68"/>
      <c r="AC585" s="68"/>
      <c r="AD585" s="68"/>
      <c r="AE585" s="68"/>
      <c r="AF585" s="68"/>
    </row>
    <row r="586">
      <c r="A586" s="68"/>
      <c r="B586" s="68"/>
      <c r="C586" s="78"/>
      <c r="D586" s="78"/>
      <c r="E586" s="68"/>
      <c r="F586" s="68"/>
      <c r="G586" s="68"/>
      <c r="H586" s="68"/>
      <c r="I586" s="68"/>
      <c r="J586" s="68"/>
      <c r="K586" s="68"/>
      <c r="L586" s="68"/>
      <c r="M586" s="79"/>
      <c r="N586" s="68"/>
      <c r="O586" s="68"/>
      <c r="P586" s="68"/>
      <c r="Q586" s="68"/>
      <c r="R586" s="68"/>
      <c r="S586" s="68"/>
      <c r="T586" s="68"/>
      <c r="U586" s="68"/>
      <c r="V586" s="68"/>
      <c r="W586" s="68"/>
      <c r="X586" s="68"/>
      <c r="Y586" s="68"/>
      <c r="Z586" s="68"/>
      <c r="AA586" s="68"/>
      <c r="AB586" s="68"/>
      <c r="AC586" s="68"/>
      <c r="AD586" s="68"/>
      <c r="AE586" s="68"/>
      <c r="AF586" s="68"/>
    </row>
    <row r="587">
      <c r="A587" s="68"/>
      <c r="B587" s="68"/>
      <c r="C587" s="78"/>
      <c r="D587" s="78"/>
      <c r="E587" s="68"/>
      <c r="F587" s="68"/>
      <c r="G587" s="68"/>
      <c r="H587" s="68"/>
      <c r="I587" s="68"/>
      <c r="J587" s="68"/>
      <c r="K587" s="68"/>
      <c r="L587" s="68"/>
      <c r="M587" s="79"/>
      <c r="N587" s="68"/>
      <c r="O587" s="68"/>
      <c r="P587" s="68"/>
      <c r="Q587" s="68"/>
      <c r="R587" s="68"/>
      <c r="S587" s="68"/>
      <c r="T587" s="68"/>
      <c r="U587" s="68"/>
      <c r="V587" s="68"/>
      <c r="W587" s="68"/>
      <c r="X587" s="68"/>
      <c r="Y587" s="68"/>
      <c r="Z587" s="68"/>
      <c r="AA587" s="68"/>
      <c r="AB587" s="68"/>
      <c r="AC587" s="68"/>
      <c r="AD587" s="68"/>
      <c r="AE587" s="68"/>
      <c r="AF587" s="68"/>
    </row>
    <row r="588">
      <c r="A588" s="68"/>
      <c r="B588" s="68"/>
      <c r="C588" s="78"/>
      <c r="D588" s="78"/>
      <c r="E588" s="68"/>
      <c r="F588" s="68"/>
      <c r="G588" s="68"/>
      <c r="H588" s="68"/>
      <c r="I588" s="68"/>
      <c r="J588" s="68"/>
      <c r="K588" s="68"/>
      <c r="L588" s="68"/>
      <c r="M588" s="79"/>
      <c r="N588" s="68"/>
      <c r="O588" s="68"/>
      <c r="P588" s="68"/>
      <c r="Q588" s="68"/>
      <c r="R588" s="68"/>
      <c r="S588" s="68"/>
      <c r="T588" s="68"/>
      <c r="U588" s="68"/>
      <c r="V588" s="68"/>
      <c r="W588" s="68"/>
      <c r="X588" s="68"/>
      <c r="Y588" s="68"/>
      <c r="Z588" s="68"/>
      <c r="AA588" s="68"/>
      <c r="AB588" s="68"/>
      <c r="AC588" s="68"/>
      <c r="AD588" s="68"/>
      <c r="AE588" s="68"/>
      <c r="AF588" s="68"/>
    </row>
    <row r="589">
      <c r="A589" s="68"/>
      <c r="B589" s="68"/>
      <c r="C589" s="78"/>
      <c r="D589" s="78"/>
      <c r="E589" s="68"/>
      <c r="F589" s="68"/>
      <c r="G589" s="68"/>
      <c r="H589" s="68"/>
      <c r="I589" s="68"/>
      <c r="J589" s="68"/>
      <c r="K589" s="68"/>
      <c r="L589" s="68"/>
      <c r="M589" s="79"/>
      <c r="N589" s="68"/>
      <c r="O589" s="68"/>
      <c r="P589" s="68"/>
      <c r="Q589" s="68"/>
      <c r="R589" s="68"/>
      <c r="S589" s="68"/>
      <c r="T589" s="68"/>
      <c r="U589" s="68"/>
      <c r="V589" s="68"/>
      <c r="W589" s="68"/>
      <c r="X589" s="68"/>
      <c r="Y589" s="68"/>
      <c r="Z589" s="68"/>
      <c r="AA589" s="68"/>
      <c r="AB589" s="68"/>
      <c r="AC589" s="68"/>
      <c r="AD589" s="68"/>
      <c r="AE589" s="68"/>
      <c r="AF589" s="68"/>
    </row>
    <row r="590">
      <c r="A590" s="68"/>
      <c r="B590" s="68"/>
      <c r="C590" s="78"/>
      <c r="D590" s="78"/>
      <c r="E590" s="68"/>
      <c r="F590" s="68"/>
      <c r="G590" s="68"/>
      <c r="H590" s="68"/>
      <c r="I590" s="68"/>
      <c r="J590" s="68"/>
      <c r="K590" s="68"/>
      <c r="L590" s="68"/>
      <c r="M590" s="79"/>
      <c r="N590" s="68"/>
      <c r="O590" s="68"/>
      <c r="P590" s="68"/>
      <c r="Q590" s="68"/>
      <c r="R590" s="68"/>
      <c r="S590" s="68"/>
      <c r="T590" s="68"/>
      <c r="U590" s="68"/>
      <c r="V590" s="68"/>
      <c r="W590" s="68"/>
      <c r="X590" s="68"/>
      <c r="Y590" s="68"/>
      <c r="Z590" s="68"/>
      <c r="AA590" s="68"/>
      <c r="AB590" s="68"/>
      <c r="AC590" s="68"/>
      <c r="AD590" s="68"/>
      <c r="AE590" s="68"/>
      <c r="AF590" s="68"/>
    </row>
    <row r="591">
      <c r="A591" s="68"/>
      <c r="B591" s="68"/>
      <c r="C591" s="78"/>
      <c r="D591" s="78"/>
      <c r="E591" s="68"/>
      <c r="F591" s="68"/>
      <c r="G591" s="68"/>
      <c r="H591" s="68"/>
      <c r="I591" s="68"/>
      <c r="J591" s="68"/>
      <c r="K591" s="68"/>
      <c r="L591" s="68"/>
      <c r="M591" s="79"/>
      <c r="N591" s="68"/>
      <c r="O591" s="68"/>
      <c r="P591" s="68"/>
      <c r="Q591" s="68"/>
      <c r="R591" s="68"/>
      <c r="S591" s="68"/>
      <c r="T591" s="68"/>
      <c r="U591" s="68"/>
      <c r="V591" s="68"/>
      <c r="W591" s="68"/>
      <c r="X591" s="68"/>
      <c r="Y591" s="68"/>
      <c r="Z591" s="68"/>
      <c r="AA591" s="68"/>
      <c r="AB591" s="68"/>
      <c r="AC591" s="68"/>
      <c r="AD591" s="68"/>
      <c r="AE591" s="68"/>
      <c r="AF591" s="68"/>
    </row>
    <row r="592">
      <c r="A592" s="68"/>
      <c r="B592" s="68"/>
      <c r="C592" s="78"/>
      <c r="D592" s="78"/>
      <c r="E592" s="68"/>
      <c r="F592" s="68"/>
      <c r="G592" s="68"/>
      <c r="H592" s="68"/>
      <c r="I592" s="68"/>
      <c r="J592" s="68"/>
      <c r="K592" s="68"/>
      <c r="L592" s="68"/>
      <c r="M592" s="79"/>
      <c r="N592" s="68"/>
      <c r="O592" s="68"/>
      <c r="P592" s="68"/>
      <c r="Q592" s="68"/>
      <c r="R592" s="68"/>
      <c r="S592" s="68"/>
      <c r="T592" s="68"/>
      <c r="U592" s="68"/>
      <c r="V592" s="68"/>
      <c r="W592" s="68"/>
      <c r="X592" s="68"/>
      <c r="Y592" s="68"/>
      <c r="Z592" s="68"/>
      <c r="AA592" s="68"/>
      <c r="AB592" s="68"/>
      <c r="AC592" s="68"/>
      <c r="AD592" s="68"/>
      <c r="AE592" s="68"/>
      <c r="AF592" s="68"/>
    </row>
    <row r="593">
      <c r="A593" s="68"/>
      <c r="B593" s="68"/>
      <c r="C593" s="78"/>
      <c r="D593" s="78"/>
      <c r="E593" s="68"/>
      <c r="F593" s="68"/>
      <c r="G593" s="68"/>
      <c r="H593" s="68"/>
      <c r="I593" s="68"/>
      <c r="J593" s="68"/>
      <c r="K593" s="68"/>
      <c r="L593" s="68"/>
      <c r="M593" s="79"/>
      <c r="N593" s="68"/>
      <c r="O593" s="68"/>
      <c r="P593" s="68"/>
      <c r="Q593" s="68"/>
      <c r="R593" s="68"/>
      <c r="S593" s="68"/>
      <c r="T593" s="68"/>
      <c r="U593" s="68"/>
      <c r="V593" s="68"/>
      <c r="W593" s="68"/>
      <c r="X593" s="68"/>
      <c r="Y593" s="68"/>
      <c r="Z593" s="68"/>
      <c r="AA593" s="68"/>
      <c r="AB593" s="68"/>
      <c r="AC593" s="68"/>
      <c r="AD593" s="68"/>
      <c r="AE593" s="68"/>
      <c r="AF593" s="68"/>
    </row>
    <row r="594">
      <c r="A594" s="68"/>
      <c r="B594" s="68"/>
      <c r="C594" s="78"/>
      <c r="D594" s="78"/>
      <c r="E594" s="68"/>
      <c r="F594" s="68"/>
      <c r="G594" s="68"/>
      <c r="H594" s="68"/>
      <c r="I594" s="68"/>
      <c r="J594" s="68"/>
      <c r="K594" s="68"/>
      <c r="L594" s="68"/>
      <c r="M594" s="79"/>
      <c r="N594" s="68"/>
      <c r="O594" s="68"/>
      <c r="P594" s="68"/>
      <c r="Q594" s="68"/>
      <c r="R594" s="68"/>
      <c r="S594" s="68"/>
      <c r="T594" s="68"/>
      <c r="U594" s="68"/>
      <c r="V594" s="68"/>
      <c r="W594" s="68"/>
      <c r="X594" s="68"/>
      <c r="Y594" s="68"/>
      <c r="Z594" s="68"/>
      <c r="AA594" s="68"/>
      <c r="AB594" s="68"/>
      <c r="AC594" s="68"/>
      <c r="AD594" s="68"/>
      <c r="AE594" s="68"/>
      <c r="AF594" s="68"/>
    </row>
    <row r="595">
      <c r="A595" s="68"/>
      <c r="B595" s="68"/>
      <c r="C595" s="78"/>
      <c r="D595" s="78"/>
      <c r="E595" s="68"/>
      <c r="F595" s="68"/>
      <c r="G595" s="68"/>
      <c r="H595" s="68"/>
      <c r="I595" s="68"/>
      <c r="J595" s="68"/>
      <c r="K595" s="68"/>
      <c r="L595" s="68"/>
      <c r="M595" s="79"/>
      <c r="N595" s="68"/>
      <c r="O595" s="68"/>
      <c r="P595" s="68"/>
      <c r="Q595" s="68"/>
      <c r="R595" s="68"/>
      <c r="S595" s="68"/>
      <c r="T595" s="68"/>
      <c r="U595" s="68"/>
      <c r="V595" s="68"/>
      <c r="W595" s="68"/>
      <c r="X595" s="68"/>
      <c r="Y595" s="68"/>
      <c r="Z595" s="68"/>
      <c r="AA595" s="68"/>
      <c r="AB595" s="68"/>
      <c r="AC595" s="68"/>
      <c r="AD595" s="68"/>
      <c r="AE595" s="68"/>
      <c r="AF595" s="68"/>
    </row>
    <row r="596">
      <c r="A596" s="68"/>
      <c r="B596" s="68"/>
      <c r="C596" s="78"/>
      <c r="D596" s="78"/>
      <c r="E596" s="68"/>
      <c r="F596" s="68"/>
      <c r="G596" s="68"/>
      <c r="H596" s="68"/>
      <c r="I596" s="68"/>
      <c r="J596" s="68"/>
      <c r="K596" s="68"/>
      <c r="L596" s="68"/>
      <c r="M596" s="79"/>
      <c r="N596" s="68"/>
      <c r="O596" s="68"/>
      <c r="P596" s="68"/>
      <c r="Q596" s="68"/>
      <c r="R596" s="68"/>
      <c r="S596" s="68"/>
      <c r="T596" s="68"/>
      <c r="U596" s="68"/>
      <c r="V596" s="68"/>
      <c r="W596" s="68"/>
      <c r="X596" s="68"/>
      <c r="Y596" s="68"/>
      <c r="Z596" s="68"/>
      <c r="AA596" s="68"/>
      <c r="AB596" s="68"/>
      <c r="AC596" s="68"/>
      <c r="AD596" s="68"/>
      <c r="AE596" s="68"/>
      <c r="AF596" s="68"/>
    </row>
    <row r="597">
      <c r="A597" s="68"/>
      <c r="B597" s="68"/>
      <c r="C597" s="78"/>
      <c r="D597" s="78"/>
      <c r="E597" s="68"/>
      <c r="F597" s="68"/>
      <c r="G597" s="68"/>
      <c r="H597" s="68"/>
      <c r="I597" s="68"/>
      <c r="J597" s="68"/>
      <c r="K597" s="68"/>
      <c r="L597" s="68"/>
      <c r="M597" s="79"/>
      <c r="N597" s="68"/>
      <c r="O597" s="68"/>
      <c r="P597" s="68"/>
      <c r="Q597" s="68"/>
      <c r="R597" s="68"/>
      <c r="S597" s="68"/>
      <c r="T597" s="68"/>
      <c r="U597" s="68"/>
      <c r="V597" s="68"/>
      <c r="W597" s="68"/>
      <c r="X597" s="68"/>
      <c r="Y597" s="68"/>
      <c r="Z597" s="68"/>
      <c r="AA597" s="68"/>
      <c r="AB597" s="68"/>
      <c r="AC597" s="68"/>
      <c r="AD597" s="68"/>
      <c r="AE597" s="68"/>
      <c r="AF597" s="68"/>
    </row>
    <row r="598">
      <c r="A598" s="68"/>
      <c r="B598" s="68"/>
      <c r="C598" s="78"/>
      <c r="D598" s="78"/>
      <c r="E598" s="68"/>
      <c r="F598" s="68"/>
      <c r="G598" s="68"/>
      <c r="H598" s="68"/>
      <c r="I598" s="68"/>
      <c r="J598" s="68"/>
      <c r="K598" s="68"/>
      <c r="L598" s="68"/>
      <c r="M598" s="79"/>
      <c r="N598" s="68"/>
      <c r="O598" s="68"/>
      <c r="P598" s="68"/>
      <c r="Q598" s="68"/>
      <c r="R598" s="68"/>
      <c r="S598" s="68"/>
      <c r="T598" s="68"/>
      <c r="U598" s="68"/>
      <c r="V598" s="68"/>
      <c r="W598" s="68"/>
      <c r="X598" s="68"/>
      <c r="Y598" s="68"/>
      <c r="Z598" s="68"/>
      <c r="AA598" s="68"/>
      <c r="AB598" s="68"/>
      <c r="AC598" s="68"/>
      <c r="AD598" s="68"/>
      <c r="AE598" s="68"/>
      <c r="AF598" s="68"/>
    </row>
    <row r="599">
      <c r="A599" s="68"/>
      <c r="B599" s="68"/>
      <c r="C599" s="78"/>
      <c r="D599" s="78"/>
      <c r="E599" s="68"/>
      <c r="F599" s="68"/>
      <c r="G599" s="68"/>
      <c r="H599" s="68"/>
      <c r="I599" s="68"/>
      <c r="J599" s="68"/>
      <c r="K599" s="68"/>
      <c r="L599" s="68"/>
      <c r="M599" s="79"/>
      <c r="N599" s="68"/>
      <c r="O599" s="68"/>
      <c r="P599" s="68"/>
      <c r="Q599" s="68"/>
      <c r="R599" s="68"/>
      <c r="S599" s="68"/>
      <c r="T599" s="68"/>
      <c r="U599" s="68"/>
      <c r="V599" s="68"/>
      <c r="W599" s="68"/>
      <c r="X599" s="68"/>
      <c r="Y599" s="68"/>
      <c r="Z599" s="68"/>
      <c r="AA599" s="68"/>
      <c r="AB599" s="68"/>
      <c r="AC599" s="68"/>
      <c r="AD599" s="68"/>
      <c r="AE599" s="68"/>
      <c r="AF599" s="68"/>
    </row>
    <row r="600">
      <c r="A600" s="68"/>
      <c r="B600" s="68"/>
      <c r="C600" s="78"/>
      <c r="D600" s="78"/>
      <c r="E600" s="68"/>
      <c r="F600" s="68"/>
      <c r="G600" s="68"/>
      <c r="H600" s="68"/>
      <c r="I600" s="68"/>
      <c r="J600" s="68"/>
      <c r="K600" s="68"/>
      <c r="L600" s="68"/>
      <c r="M600" s="79"/>
      <c r="N600" s="68"/>
      <c r="O600" s="68"/>
      <c r="P600" s="68"/>
      <c r="Q600" s="68"/>
      <c r="R600" s="68"/>
      <c r="S600" s="68"/>
      <c r="T600" s="68"/>
      <c r="U600" s="68"/>
      <c r="V600" s="68"/>
      <c r="W600" s="68"/>
      <c r="X600" s="68"/>
      <c r="Y600" s="68"/>
      <c r="Z600" s="68"/>
      <c r="AA600" s="68"/>
      <c r="AB600" s="68"/>
      <c r="AC600" s="68"/>
      <c r="AD600" s="68"/>
      <c r="AE600" s="68"/>
      <c r="AF600" s="68"/>
    </row>
    <row r="601">
      <c r="A601" s="68"/>
      <c r="B601" s="68"/>
      <c r="C601" s="78"/>
      <c r="D601" s="78"/>
      <c r="E601" s="68"/>
      <c r="F601" s="68"/>
      <c r="G601" s="68"/>
      <c r="H601" s="68"/>
      <c r="I601" s="68"/>
      <c r="J601" s="68"/>
      <c r="K601" s="68"/>
      <c r="L601" s="68"/>
      <c r="M601" s="79"/>
      <c r="N601" s="68"/>
      <c r="O601" s="68"/>
      <c r="P601" s="68"/>
      <c r="Q601" s="68"/>
      <c r="R601" s="68"/>
      <c r="S601" s="68"/>
      <c r="T601" s="68"/>
      <c r="U601" s="68"/>
      <c r="V601" s="68"/>
      <c r="W601" s="68"/>
      <c r="X601" s="68"/>
      <c r="Y601" s="68"/>
      <c r="Z601" s="68"/>
      <c r="AA601" s="68"/>
      <c r="AB601" s="68"/>
      <c r="AC601" s="68"/>
      <c r="AD601" s="68"/>
      <c r="AE601" s="68"/>
      <c r="AF601" s="68"/>
    </row>
    <row r="602">
      <c r="A602" s="68"/>
      <c r="B602" s="68"/>
      <c r="C602" s="78"/>
      <c r="D602" s="78"/>
      <c r="E602" s="68"/>
      <c r="F602" s="68"/>
      <c r="G602" s="68"/>
      <c r="H602" s="68"/>
      <c r="I602" s="68"/>
      <c r="J602" s="68"/>
      <c r="K602" s="68"/>
      <c r="L602" s="68"/>
      <c r="M602" s="79"/>
      <c r="N602" s="68"/>
      <c r="O602" s="68"/>
      <c r="P602" s="68"/>
      <c r="Q602" s="68"/>
      <c r="R602" s="68"/>
      <c r="S602" s="68"/>
      <c r="T602" s="68"/>
      <c r="U602" s="68"/>
      <c r="V602" s="68"/>
      <c r="W602" s="68"/>
      <c r="X602" s="68"/>
      <c r="Y602" s="68"/>
      <c r="Z602" s="68"/>
      <c r="AA602" s="68"/>
      <c r="AB602" s="68"/>
      <c r="AC602" s="68"/>
      <c r="AD602" s="68"/>
      <c r="AE602" s="68"/>
      <c r="AF602" s="68"/>
    </row>
    <row r="603">
      <c r="A603" s="68"/>
      <c r="B603" s="68"/>
      <c r="C603" s="78"/>
      <c r="D603" s="78"/>
      <c r="E603" s="68"/>
      <c r="F603" s="68"/>
      <c r="G603" s="68"/>
      <c r="H603" s="68"/>
      <c r="I603" s="68"/>
      <c r="J603" s="68"/>
      <c r="K603" s="68"/>
      <c r="L603" s="68"/>
      <c r="M603" s="79"/>
      <c r="N603" s="68"/>
      <c r="O603" s="68"/>
      <c r="P603" s="68"/>
      <c r="Q603" s="68"/>
      <c r="R603" s="68"/>
      <c r="S603" s="68"/>
      <c r="T603" s="68"/>
      <c r="U603" s="68"/>
      <c r="V603" s="68"/>
      <c r="W603" s="68"/>
      <c r="X603" s="68"/>
      <c r="Y603" s="68"/>
      <c r="Z603" s="68"/>
      <c r="AA603" s="68"/>
      <c r="AB603" s="68"/>
      <c r="AC603" s="68"/>
      <c r="AD603" s="68"/>
      <c r="AE603" s="68"/>
      <c r="AF603" s="68"/>
    </row>
    <row r="604">
      <c r="A604" s="68"/>
      <c r="B604" s="68"/>
      <c r="C604" s="78"/>
      <c r="D604" s="78"/>
      <c r="E604" s="68"/>
      <c r="F604" s="68"/>
      <c r="G604" s="68"/>
      <c r="H604" s="68"/>
      <c r="I604" s="68"/>
      <c r="J604" s="68"/>
      <c r="K604" s="68"/>
      <c r="L604" s="68"/>
      <c r="M604" s="79"/>
      <c r="N604" s="68"/>
      <c r="O604" s="68"/>
      <c r="P604" s="68"/>
      <c r="Q604" s="68"/>
      <c r="R604" s="68"/>
      <c r="S604" s="68"/>
      <c r="T604" s="68"/>
      <c r="U604" s="68"/>
      <c r="V604" s="68"/>
      <c r="W604" s="68"/>
      <c r="X604" s="68"/>
      <c r="Y604" s="68"/>
      <c r="Z604" s="68"/>
      <c r="AA604" s="68"/>
      <c r="AB604" s="68"/>
      <c r="AC604" s="68"/>
      <c r="AD604" s="68"/>
      <c r="AE604" s="68"/>
      <c r="AF604" s="68"/>
    </row>
    <row r="605">
      <c r="A605" s="68"/>
      <c r="B605" s="68"/>
      <c r="C605" s="78"/>
      <c r="D605" s="78"/>
      <c r="E605" s="68"/>
      <c r="F605" s="68"/>
      <c r="G605" s="68"/>
      <c r="H605" s="68"/>
      <c r="I605" s="68"/>
      <c r="J605" s="68"/>
      <c r="K605" s="68"/>
      <c r="L605" s="68"/>
      <c r="M605" s="79"/>
      <c r="N605" s="68"/>
      <c r="O605" s="68"/>
      <c r="P605" s="68"/>
      <c r="Q605" s="68"/>
      <c r="R605" s="68"/>
      <c r="S605" s="68"/>
      <c r="T605" s="68"/>
      <c r="U605" s="68"/>
      <c r="V605" s="68"/>
      <c r="W605" s="68"/>
      <c r="X605" s="68"/>
      <c r="Y605" s="68"/>
      <c r="Z605" s="68"/>
      <c r="AA605" s="68"/>
      <c r="AB605" s="68"/>
      <c r="AC605" s="68"/>
      <c r="AD605" s="68"/>
      <c r="AE605" s="68"/>
      <c r="AF605" s="68"/>
    </row>
    <row r="606">
      <c r="A606" s="68"/>
      <c r="B606" s="68"/>
      <c r="C606" s="78"/>
      <c r="D606" s="78"/>
      <c r="E606" s="68"/>
      <c r="F606" s="68"/>
      <c r="G606" s="68"/>
      <c r="H606" s="68"/>
      <c r="I606" s="68"/>
      <c r="J606" s="68"/>
      <c r="K606" s="68"/>
      <c r="L606" s="68"/>
      <c r="M606" s="79"/>
      <c r="N606" s="68"/>
      <c r="O606" s="68"/>
      <c r="P606" s="68"/>
      <c r="Q606" s="68"/>
      <c r="R606" s="68"/>
      <c r="S606" s="68"/>
      <c r="T606" s="68"/>
      <c r="U606" s="68"/>
      <c r="V606" s="68"/>
      <c r="W606" s="68"/>
      <c r="X606" s="68"/>
      <c r="Y606" s="68"/>
      <c r="Z606" s="68"/>
      <c r="AA606" s="68"/>
      <c r="AB606" s="68"/>
      <c r="AC606" s="68"/>
      <c r="AD606" s="68"/>
      <c r="AE606" s="68"/>
      <c r="AF606" s="68"/>
    </row>
    <row r="607">
      <c r="A607" s="68"/>
      <c r="B607" s="68"/>
      <c r="C607" s="78"/>
      <c r="D607" s="78"/>
      <c r="E607" s="68"/>
      <c r="F607" s="68"/>
      <c r="G607" s="68"/>
      <c r="H607" s="68"/>
      <c r="I607" s="68"/>
      <c r="J607" s="68"/>
      <c r="K607" s="68"/>
      <c r="L607" s="68"/>
      <c r="M607" s="79"/>
      <c r="N607" s="68"/>
      <c r="O607" s="68"/>
      <c r="P607" s="68"/>
      <c r="Q607" s="68"/>
      <c r="R607" s="68"/>
      <c r="S607" s="68"/>
      <c r="T607" s="68"/>
      <c r="U607" s="68"/>
      <c r="V607" s="68"/>
      <c r="W607" s="68"/>
      <c r="X607" s="68"/>
      <c r="Y607" s="68"/>
      <c r="Z607" s="68"/>
      <c r="AA607" s="68"/>
      <c r="AB607" s="68"/>
      <c r="AC607" s="68"/>
      <c r="AD607" s="68"/>
      <c r="AE607" s="68"/>
      <c r="AF607" s="68"/>
    </row>
    <row r="608">
      <c r="A608" s="68"/>
      <c r="B608" s="68"/>
      <c r="C608" s="78"/>
      <c r="D608" s="78"/>
      <c r="E608" s="68"/>
      <c r="F608" s="68"/>
      <c r="G608" s="68"/>
      <c r="H608" s="68"/>
      <c r="I608" s="68"/>
      <c r="J608" s="68"/>
      <c r="K608" s="68"/>
      <c r="L608" s="68"/>
      <c r="M608" s="79"/>
      <c r="N608" s="68"/>
      <c r="O608" s="68"/>
      <c r="P608" s="68"/>
      <c r="Q608" s="68"/>
      <c r="R608" s="68"/>
      <c r="S608" s="68"/>
      <c r="T608" s="68"/>
      <c r="U608" s="68"/>
      <c r="V608" s="68"/>
      <c r="W608" s="68"/>
      <c r="X608" s="68"/>
      <c r="Y608" s="68"/>
      <c r="Z608" s="68"/>
      <c r="AA608" s="68"/>
      <c r="AB608" s="68"/>
      <c r="AC608" s="68"/>
      <c r="AD608" s="68"/>
      <c r="AE608" s="68"/>
      <c r="AF608" s="68"/>
    </row>
    <row r="609">
      <c r="A609" s="68"/>
      <c r="B609" s="68"/>
      <c r="C609" s="78"/>
      <c r="D609" s="78"/>
      <c r="E609" s="68"/>
      <c r="F609" s="68"/>
      <c r="G609" s="68"/>
      <c r="H609" s="68"/>
      <c r="I609" s="68"/>
      <c r="J609" s="68"/>
      <c r="K609" s="68"/>
      <c r="L609" s="68"/>
      <c r="M609" s="79"/>
      <c r="N609" s="68"/>
      <c r="O609" s="68"/>
      <c r="P609" s="68"/>
      <c r="Q609" s="68"/>
      <c r="R609" s="68"/>
      <c r="S609" s="68"/>
      <c r="T609" s="68"/>
      <c r="U609" s="68"/>
      <c r="V609" s="68"/>
      <c r="W609" s="68"/>
      <c r="X609" s="68"/>
      <c r="Y609" s="68"/>
      <c r="Z609" s="68"/>
      <c r="AA609" s="68"/>
      <c r="AB609" s="68"/>
      <c r="AC609" s="68"/>
      <c r="AD609" s="68"/>
      <c r="AE609" s="68"/>
      <c r="AF609" s="68"/>
    </row>
    <row r="610">
      <c r="A610" s="68"/>
      <c r="B610" s="68"/>
      <c r="C610" s="78"/>
      <c r="D610" s="78"/>
      <c r="E610" s="68"/>
      <c r="F610" s="68"/>
      <c r="G610" s="68"/>
      <c r="H610" s="68"/>
      <c r="I610" s="68"/>
      <c r="J610" s="68"/>
      <c r="K610" s="68"/>
      <c r="L610" s="68"/>
      <c r="M610" s="79"/>
      <c r="N610" s="68"/>
      <c r="O610" s="68"/>
      <c r="P610" s="68"/>
      <c r="Q610" s="68"/>
      <c r="R610" s="68"/>
      <c r="S610" s="68"/>
      <c r="T610" s="68"/>
      <c r="U610" s="68"/>
      <c r="V610" s="68"/>
      <c r="W610" s="68"/>
      <c r="X610" s="68"/>
      <c r="Y610" s="68"/>
      <c r="Z610" s="68"/>
      <c r="AA610" s="68"/>
      <c r="AB610" s="68"/>
      <c r="AC610" s="68"/>
      <c r="AD610" s="68"/>
      <c r="AE610" s="68"/>
      <c r="AF610" s="68"/>
    </row>
    <row r="611">
      <c r="A611" s="68"/>
      <c r="B611" s="68"/>
      <c r="C611" s="78"/>
      <c r="D611" s="78"/>
      <c r="E611" s="68"/>
      <c r="F611" s="68"/>
      <c r="G611" s="68"/>
      <c r="H611" s="68"/>
      <c r="I611" s="68"/>
      <c r="J611" s="68"/>
      <c r="K611" s="68"/>
      <c r="L611" s="68"/>
      <c r="M611" s="79"/>
      <c r="N611" s="68"/>
      <c r="O611" s="68"/>
      <c r="P611" s="68"/>
      <c r="Q611" s="68"/>
      <c r="R611" s="68"/>
      <c r="S611" s="68"/>
      <c r="T611" s="68"/>
      <c r="U611" s="68"/>
      <c r="V611" s="68"/>
      <c r="W611" s="68"/>
      <c r="X611" s="68"/>
      <c r="Y611" s="68"/>
      <c r="Z611" s="68"/>
      <c r="AA611" s="68"/>
      <c r="AB611" s="68"/>
      <c r="AC611" s="68"/>
      <c r="AD611" s="68"/>
      <c r="AE611" s="68"/>
      <c r="AF611" s="68"/>
    </row>
    <row r="612">
      <c r="A612" s="68"/>
      <c r="B612" s="68"/>
      <c r="C612" s="78"/>
      <c r="D612" s="78"/>
      <c r="E612" s="68"/>
      <c r="F612" s="68"/>
      <c r="G612" s="68"/>
      <c r="H612" s="68"/>
      <c r="I612" s="68"/>
      <c r="J612" s="68"/>
      <c r="K612" s="68"/>
      <c r="L612" s="68"/>
      <c r="M612" s="79"/>
      <c r="N612" s="68"/>
      <c r="O612" s="68"/>
      <c r="P612" s="68"/>
      <c r="Q612" s="68"/>
      <c r="R612" s="68"/>
      <c r="S612" s="68"/>
      <c r="T612" s="68"/>
      <c r="U612" s="68"/>
      <c r="V612" s="68"/>
      <c r="W612" s="68"/>
      <c r="X612" s="68"/>
      <c r="Y612" s="68"/>
      <c r="Z612" s="68"/>
      <c r="AA612" s="68"/>
      <c r="AB612" s="68"/>
      <c r="AC612" s="68"/>
      <c r="AD612" s="68"/>
      <c r="AE612" s="68"/>
      <c r="AF612" s="68"/>
    </row>
    <row r="613">
      <c r="A613" s="68"/>
      <c r="B613" s="68"/>
      <c r="C613" s="78"/>
      <c r="D613" s="78"/>
      <c r="E613" s="68"/>
      <c r="F613" s="68"/>
      <c r="G613" s="68"/>
      <c r="H613" s="68"/>
      <c r="I613" s="68"/>
      <c r="J613" s="68"/>
      <c r="K613" s="68"/>
      <c r="L613" s="68"/>
      <c r="M613" s="79"/>
      <c r="N613" s="68"/>
      <c r="O613" s="68"/>
      <c r="P613" s="68"/>
      <c r="Q613" s="68"/>
      <c r="R613" s="68"/>
      <c r="S613" s="68"/>
      <c r="T613" s="68"/>
      <c r="U613" s="68"/>
      <c r="V613" s="68"/>
      <c r="W613" s="68"/>
      <c r="X613" s="68"/>
      <c r="Y613" s="68"/>
      <c r="Z613" s="68"/>
      <c r="AA613" s="68"/>
      <c r="AB613" s="68"/>
      <c r="AC613" s="68"/>
      <c r="AD613" s="68"/>
      <c r="AE613" s="68"/>
      <c r="AF613" s="68"/>
    </row>
    <row r="614">
      <c r="A614" s="68"/>
      <c r="B614" s="68"/>
      <c r="C614" s="78"/>
      <c r="D614" s="78"/>
      <c r="E614" s="68"/>
      <c r="F614" s="68"/>
      <c r="G614" s="68"/>
      <c r="H614" s="68"/>
      <c r="I614" s="68"/>
      <c r="J614" s="68"/>
      <c r="K614" s="68"/>
      <c r="L614" s="68"/>
      <c r="M614" s="79"/>
      <c r="N614" s="68"/>
      <c r="O614" s="68"/>
      <c r="P614" s="68"/>
      <c r="Q614" s="68"/>
      <c r="R614" s="68"/>
      <c r="S614" s="68"/>
      <c r="T614" s="68"/>
      <c r="U614" s="68"/>
      <c r="V614" s="68"/>
      <c r="W614" s="68"/>
      <c r="X614" s="68"/>
      <c r="Y614" s="68"/>
      <c r="Z614" s="68"/>
      <c r="AA614" s="68"/>
      <c r="AB614" s="68"/>
      <c r="AC614" s="68"/>
      <c r="AD614" s="68"/>
      <c r="AE614" s="68"/>
      <c r="AF614" s="68"/>
    </row>
    <row r="615">
      <c r="A615" s="68"/>
      <c r="B615" s="68"/>
      <c r="C615" s="78"/>
      <c r="D615" s="78"/>
      <c r="E615" s="68"/>
      <c r="F615" s="68"/>
      <c r="G615" s="68"/>
      <c r="H615" s="68"/>
      <c r="I615" s="68"/>
      <c r="J615" s="68"/>
      <c r="K615" s="68"/>
      <c r="L615" s="68"/>
      <c r="M615" s="79"/>
      <c r="N615" s="68"/>
      <c r="O615" s="68"/>
      <c r="P615" s="68"/>
      <c r="Q615" s="68"/>
      <c r="R615" s="68"/>
      <c r="S615" s="68"/>
      <c r="T615" s="68"/>
      <c r="U615" s="68"/>
      <c r="V615" s="68"/>
      <c r="W615" s="68"/>
      <c r="X615" s="68"/>
      <c r="Y615" s="68"/>
      <c r="Z615" s="68"/>
      <c r="AA615" s="68"/>
      <c r="AB615" s="68"/>
      <c r="AC615" s="68"/>
      <c r="AD615" s="68"/>
      <c r="AE615" s="68"/>
      <c r="AF615" s="68"/>
    </row>
    <row r="616">
      <c r="A616" s="68"/>
      <c r="B616" s="68"/>
      <c r="C616" s="78"/>
      <c r="D616" s="78"/>
      <c r="E616" s="68"/>
      <c r="F616" s="68"/>
      <c r="G616" s="68"/>
      <c r="H616" s="68"/>
      <c r="I616" s="68"/>
      <c r="J616" s="68"/>
      <c r="K616" s="68"/>
      <c r="L616" s="68"/>
      <c r="M616" s="79"/>
      <c r="N616" s="68"/>
      <c r="O616" s="68"/>
      <c r="P616" s="68"/>
      <c r="Q616" s="68"/>
      <c r="R616" s="68"/>
      <c r="S616" s="68"/>
      <c r="T616" s="68"/>
      <c r="U616" s="68"/>
      <c r="V616" s="68"/>
      <c r="W616" s="68"/>
      <c r="X616" s="68"/>
      <c r="Y616" s="68"/>
      <c r="Z616" s="68"/>
      <c r="AA616" s="68"/>
      <c r="AB616" s="68"/>
      <c r="AC616" s="68"/>
      <c r="AD616" s="68"/>
      <c r="AE616" s="68"/>
      <c r="AF616" s="68"/>
    </row>
    <row r="617">
      <c r="A617" s="68"/>
      <c r="B617" s="68"/>
      <c r="C617" s="78"/>
      <c r="D617" s="78"/>
      <c r="E617" s="68"/>
      <c r="F617" s="68"/>
      <c r="G617" s="68"/>
      <c r="H617" s="68"/>
      <c r="I617" s="68"/>
      <c r="J617" s="68"/>
      <c r="K617" s="68"/>
      <c r="L617" s="68"/>
      <c r="M617" s="79"/>
      <c r="N617" s="68"/>
      <c r="O617" s="68"/>
      <c r="P617" s="68"/>
      <c r="Q617" s="68"/>
      <c r="R617" s="68"/>
      <c r="S617" s="68"/>
      <c r="T617" s="68"/>
      <c r="U617" s="68"/>
      <c r="V617" s="68"/>
      <c r="W617" s="68"/>
      <c r="X617" s="68"/>
      <c r="Y617" s="68"/>
      <c r="Z617" s="68"/>
      <c r="AA617" s="68"/>
      <c r="AB617" s="68"/>
      <c r="AC617" s="68"/>
      <c r="AD617" s="68"/>
      <c r="AE617" s="68"/>
      <c r="AF617" s="68"/>
    </row>
    <row r="618">
      <c r="A618" s="68"/>
      <c r="B618" s="68"/>
      <c r="C618" s="78"/>
      <c r="D618" s="78"/>
      <c r="E618" s="68"/>
      <c r="F618" s="68"/>
      <c r="G618" s="68"/>
      <c r="H618" s="68"/>
      <c r="I618" s="68"/>
      <c r="J618" s="68"/>
      <c r="K618" s="68"/>
      <c r="L618" s="68"/>
      <c r="M618" s="79"/>
      <c r="N618" s="68"/>
      <c r="O618" s="68"/>
      <c r="P618" s="68"/>
      <c r="Q618" s="68"/>
      <c r="R618" s="68"/>
      <c r="S618" s="68"/>
      <c r="T618" s="68"/>
      <c r="U618" s="68"/>
      <c r="V618" s="68"/>
      <c r="W618" s="68"/>
      <c r="X618" s="68"/>
      <c r="Y618" s="68"/>
      <c r="Z618" s="68"/>
      <c r="AA618" s="68"/>
      <c r="AB618" s="68"/>
      <c r="AC618" s="68"/>
      <c r="AD618" s="68"/>
      <c r="AE618" s="68"/>
      <c r="AF618" s="68"/>
    </row>
    <row r="619">
      <c r="A619" s="68"/>
      <c r="B619" s="68"/>
      <c r="C619" s="78"/>
      <c r="D619" s="78"/>
      <c r="E619" s="68"/>
      <c r="F619" s="68"/>
      <c r="G619" s="68"/>
      <c r="H619" s="68"/>
      <c r="I619" s="68"/>
      <c r="J619" s="68"/>
      <c r="K619" s="68"/>
      <c r="L619" s="68"/>
      <c r="M619" s="79"/>
      <c r="N619" s="68"/>
      <c r="O619" s="68"/>
      <c r="P619" s="68"/>
      <c r="Q619" s="68"/>
      <c r="R619" s="68"/>
      <c r="S619" s="68"/>
      <c r="T619" s="68"/>
      <c r="U619" s="68"/>
      <c r="V619" s="68"/>
      <c r="W619" s="68"/>
      <c r="X619" s="68"/>
      <c r="Y619" s="68"/>
      <c r="Z619" s="68"/>
      <c r="AA619" s="68"/>
      <c r="AB619" s="68"/>
      <c r="AC619" s="68"/>
      <c r="AD619" s="68"/>
      <c r="AE619" s="68"/>
      <c r="AF619" s="68"/>
    </row>
    <row r="620">
      <c r="A620" s="68"/>
      <c r="B620" s="68"/>
      <c r="C620" s="78"/>
      <c r="D620" s="78"/>
      <c r="E620" s="68"/>
      <c r="F620" s="68"/>
      <c r="G620" s="68"/>
      <c r="H620" s="68"/>
      <c r="I620" s="68"/>
      <c r="J620" s="68"/>
      <c r="K620" s="68"/>
      <c r="L620" s="68"/>
      <c r="M620" s="79"/>
      <c r="N620" s="68"/>
      <c r="O620" s="68"/>
      <c r="P620" s="68"/>
      <c r="Q620" s="68"/>
      <c r="R620" s="68"/>
      <c r="S620" s="68"/>
      <c r="T620" s="68"/>
      <c r="U620" s="68"/>
      <c r="V620" s="68"/>
      <c r="W620" s="68"/>
      <c r="X620" s="68"/>
      <c r="Y620" s="68"/>
      <c r="Z620" s="68"/>
      <c r="AA620" s="68"/>
      <c r="AB620" s="68"/>
      <c r="AC620" s="68"/>
      <c r="AD620" s="68"/>
      <c r="AE620" s="68"/>
      <c r="AF620" s="68"/>
    </row>
    <row r="621">
      <c r="A621" s="68"/>
      <c r="B621" s="68"/>
      <c r="C621" s="78"/>
      <c r="D621" s="78"/>
      <c r="E621" s="68"/>
      <c r="F621" s="68"/>
      <c r="G621" s="68"/>
      <c r="H621" s="68"/>
      <c r="I621" s="68"/>
      <c r="J621" s="68"/>
      <c r="K621" s="68"/>
      <c r="L621" s="68"/>
      <c r="M621" s="79"/>
      <c r="N621" s="68"/>
      <c r="O621" s="68"/>
      <c r="P621" s="68"/>
      <c r="Q621" s="68"/>
      <c r="R621" s="68"/>
      <c r="S621" s="68"/>
      <c r="T621" s="68"/>
      <c r="U621" s="68"/>
      <c r="V621" s="68"/>
      <c r="W621" s="68"/>
      <c r="X621" s="68"/>
      <c r="Y621" s="68"/>
      <c r="Z621" s="68"/>
      <c r="AA621" s="68"/>
      <c r="AB621" s="68"/>
      <c r="AC621" s="68"/>
      <c r="AD621" s="68"/>
      <c r="AE621" s="68"/>
      <c r="AF621" s="68"/>
    </row>
    <row r="622">
      <c r="A622" s="68"/>
      <c r="B622" s="68"/>
      <c r="C622" s="78"/>
      <c r="D622" s="78"/>
      <c r="E622" s="68"/>
      <c r="F622" s="68"/>
      <c r="G622" s="68"/>
      <c r="H622" s="68"/>
      <c r="I622" s="68"/>
      <c r="J622" s="68"/>
      <c r="K622" s="68"/>
      <c r="L622" s="68"/>
      <c r="M622" s="79"/>
      <c r="N622" s="68"/>
      <c r="O622" s="68"/>
      <c r="P622" s="68"/>
      <c r="Q622" s="68"/>
      <c r="R622" s="68"/>
      <c r="S622" s="68"/>
      <c r="T622" s="68"/>
      <c r="U622" s="68"/>
      <c r="V622" s="68"/>
      <c r="W622" s="68"/>
      <c r="X622" s="68"/>
      <c r="Y622" s="68"/>
      <c r="Z622" s="68"/>
      <c r="AA622" s="68"/>
      <c r="AB622" s="68"/>
      <c r="AC622" s="68"/>
      <c r="AD622" s="68"/>
      <c r="AE622" s="68"/>
      <c r="AF622" s="68"/>
    </row>
    <row r="623">
      <c r="A623" s="68"/>
      <c r="B623" s="68"/>
      <c r="C623" s="78"/>
      <c r="D623" s="78"/>
      <c r="E623" s="68"/>
      <c r="F623" s="68"/>
      <c r="G623" s="68"/>
      <c r="H623" s="68"/>
      <c r="I623" s="68"/>
      <c r="J623" s="68"/>
      <c r="K623" s="68"/>
      <c r="L623" s="68"/>
      <c r="M623" s="79"/>
      <c r="N623" s="68"/>
      <c r="O623" s="68"/>
      <c r="P623" s="68"/>
      <c r="Q623" s="68"/>
      <c r="R623" s="68"/>
      <c r="S623" s="68"/>
      <c r="T623" s="68"/>
      <c r="U623" s="68"/>
      <c r="V623" s="68"/>
      <c r="W623" s="68"/>
      <c r="X623" s="68"/>
      <c r="Y623" s="68"/>
      <c r="Z623" s="68"/>
      <c r="AA623" s="68"/>
      <c r="AB623" s="68"/>
      <c r="AC623" s="68"/>
      <c r="AD623" s="68"/>
      <c r="AE623" s="68"/>
      <c r="AF623" s="68"/>
    </row>
    <row r="624">
      <c r="A624" s="68"/>
      <c r="B624" s="68"/>
      <c r="C624" s="78"/>
      <c r="D624" s="78"/>
      <c r="E624" s="68"/>
      <c r="F624" s="68"/>
      <c r="G624" s="68"/>
      <c r="H624" s="68"/>
      <c r="I624" s="68"/>
      <c r="J624" s="68"/>
      <c r="K624" s="68"/>
      <c r="L624" s="68"/>
      <c r="M624" s="79"/>
      <c r="N624" s="68"/>
      <c r="O624" s="68"/>
      <c r="P624" s="68"/>
      <c r="Q624" s="68"/>
      <c r="R624" s="68"/>
      <c r="S624" s="68"/>
      <c r="T624" s="68"/>
      <c r="U624" s="68"/>
      <c r="V624" s="68"/>
      <c r="W624" s="68"/>
      <c r="X624" s="68"/>
      <c r="Y624" s="68"/>
      <c r="Z624" s="68"/>
      <c r="AA624" s="68"/>
      <c r="AB624" s="68"/>
      <c r="AC624" s="68"/>
      <c r="AD624" s="68"/>
      <c r="AE624" s="68"/>
      <c r="AF624" s="68"/>
    </row>
    <row r="625">
      <c r="A625" s="68"/>
      <c r="B625" s="68"/>
      <c r="C625" s="78"/>
      <c r="D625" s="78"/>
      <c r="E625" s="68"/>
      <c r="F625" s="68"/>
      <c r="G625" s="68"/>
      <c r="H625" s="68"/>
      <c r="I625" s="68"/>
      <c r="J625" s="68"/>
      <c r="K625" s="68"/>
      <c r="L625" s="68"/>
      <c r="M625" s="79"/>
      <c r="N625" s="68"/>
      <c r="O625" s="68"/>
      <c r="P625" s="68"/>
      <c r="Q625" s="68"/>
      <c r="R625" s="68"/>
      <c r="S625" s="68"/>
      <c r="T625" s="68"/>
      <c r="U625" s="68"/>
      <c r="V625" s="68"/>
      <c r="W625" s="68"/>
      <c r="X625" s="68"/>
      <c r="Y625" s="68"/>
      <c r="Z625" s="68"/>
      <c r="AA625" s="68"/>
      <c r="AB625" s="68"/>
      <c r="AC625" s="68"/>
      <c r="AD625" s="68"/>
      <c r="AE625" s="68"/>
      <c r="AF625" s="68"/>
    </row>
    <row r="626">
      <c r="A626" s="68"/>
      <c r="B626" s="68"/>
      <c r="C626" s="78"/>
      <c r="D626" s="78"/>
      <c r="E626" s="68"/>
      <c r="F626" s="68"/>
      <c r="G626" s="68"/>
      <c r="H626" s="68"/>
      <c r="I626" s="68"/>
      <c r="J626" s="68"/>
      <c r="K626" s="68"/>
      <c r="L626" s="68"/>
      <c r="M626" s="79"/>
      <c r="N626" s="68"/>
      <c r="O626" s="68"/>
      <c r="P626" s="68"/>
      <c r="Q626" s="68"/>
      <c r="R626" s="68"/>
      <c r="S626" s="68"/>
      <c r="T626" s="68"/>
      <c r="U626" s="68"/>
      <c r="V626" s="68"/>
      <c r="W626" s="68"/>
      <c r="X626" s="68"/>
      <c r="Y626" s="68"/>
      <c r="Z626" s="68"/>
      <c r="AA626" s="68"/>
      <c r="AB626" s="68"/>
      <c r="AC626" s="68"/>
      <c r="AD626" s="68"/>
      <c r="AE626" s="68"/>
      <c r="AF626" s="68"/>
    </row>
    <row r="627">
      <c r="A627" s="68"/>
      <c r="B627" s="68"/>
      <c r="C627" s="78"/>
      <c r="D627" s="78"/>
      <c r="E627" s="68"/>
      <c r="F627" s="68"/>
      <c r="G627" s="68"/>
      <c r="H627" s="68"/>
      <c r="I627" s="68"/>
      <c r="J627" s="68"/>
      <c r="K627" s="68"/>
      <c r="L627" s="68"/>
      <c r="M627" s="79"/>
      <c r="N627" s="68"/>
      <c r="O627" s="68"/>
      <c r="P627" s="68"/>
      <c r="Q627" s="68"/>
      <c r="R627" s="68"/>
      <c r="S627" s="68"/>
      <c r="T627" s="68"/>
      <c r="U627" s="68"/>
      <c r="V627" s="68"/>
      <c r="W627" s="68"/>
      <c r="X627" s="68"/>
      <c r="Y627" s="68"/>
      <c r="Z627" s="68"/>
      <c r="AA627" s="68"/>
      <c r="AB627" s="68"/>
      <c r="AC627" s="68"/>
      <c r="AD627" s="68"/>
      <c r="AE627" s="68"/>
      <c r="AF627" s="68"/>
    </row>
    <row r="628">
      <c r="A628" s="68"/>
      <c r="B628" s="68"/>
      <c r="C628" s="78"/>
      <c r="D628" s="78"/>
      <c r="E628" s="68"/>
      <c r="F628" s="68"/>
      <c r="G628" s="68"/>
      <c r="H628" s="68"/>
      <c r="I628" s="68"/>
      <c r="J628" s="68"/>
      <c r="K628" s="68"/>
      <c r="L628" s="68"/>
      <c r="M628" s="79"/>
      <c r="N628" s="68"/>
      <c r="O628" s="68"/>
      <c r="P628" s="68"/>
      <c r="Q628" s="68"/>
      <c r="R628" s="68"/>
      <c r="S628" s="68"/>
      <c r="T628" s="68"/>
      <c r="U628" s="68"/>
      <c r="V628" s="68"/>
      <c r="W628" s="68"/>
      <c r="X628" s="68"/>
      <c r="Y628" s="68"/>
      <c r="Z628" s="68"/>
      <c r="AA628" s="68"/>
      <c r="AB628" s="68"/>
      <c r="AC628" s="68"/>
      <c r="AD628" s="68"/>
      <c r="AE628" s="68"/>
      <c r="AF628" s="68"/>
    </row>
    <row r="629">
      <c r="A629" s="68"/>
      <c r="B629" s="68"/>
      <c r="C629" s="78"/>
      <c r="D629" s="78"/>
      <c r="E629" s="68"/>
      <c r="F629" s="68"/>
      <c r="G629" s="68"/>
      <c r="H629" s="68"/>
      <c r="I629" s="68"/>
      <c r="J629" s="68"/>
      <c r="K629" s="68"/>
      <c r="L629" s="68"/>
      <c r="M629" s="79"/>
      <c r="N629" s="68"/>
      <c r="O629" s="68"/>
      <c r="P629" s="68"/>
      <c r="Q629" s="68"/>
      <c r="R629" s="68"/>
      <c r="S629" s="68"/>
      <c r="T629" s="68"/>
      <c r="U629" s="68"/>
      <c r="V629" s="68"/>
      <c r="W629" s="68"/>
      <c r="X629" s="68"/>
      <c r="Y629" s="68"/>
      <c r="Z629" s="68"/>
      <c r="AA629" s="68"/>
      <c r="AB629" s="68"/>
      <c r="AC629" s="68"/>
      <c r="AD629" s="68"/>
      <c r="AE629" s="68"/>
      <c r="AF629" s="68"/>
    </row>
    <row r="630">
      <c r="A630" s="68"/>
      <c r="B630" s="68"/>
      <c r="C630" s="78"/>
      <c r="D630" s="78"/>
      <c r="E630" s="68"/>
      <c r="F630" s="68"/>
      <c r="G630" s="68"/>
      <c r="H630" s="68"/>
      <c r="I630" s="68"/>
      <c r="J630" s="68"/>
      <c r="K630" s="68"/>
      <c r="L630" s="68"/>
      <c r="M630" s="79"/>
      <c r="N630" s="68"/>
      <c r="O630" s="68"/>
      <c r="P630" s="68"/>
      <c r="Q630" s="68"/>
      <c r="R630" s="68"/>
      <c r="S630" s="68"/>
      <c r="T630" s="68"/>
      <c r="U630" s="68"/>
      <c r="V630" s="68"/>
      <c r="W630" s="68"/>
      <c r="X630" s="68"/>
      <c r="Y630" s="68"/>
      <c r="Z630" s="68"/>
      <c r="AA630" s="68"/>
      <c r="AB630" s="68"/>
      <c r="AC630" s="68"/>
      <c r="AD630" s="68"/>
      <c r="AE630" s="68"/>
      <c r="AF630" s="68"/>
    </row>
    <row r="631">
      <c r="A631" s="68"/>
      <c r="B631" s="68"/>
      <c r="C631" s="78"/>
      <c r="D631" s="78"/>
      <c r="E631" s="68"/>
      <c r="F631" s="68"/>
      <c r="G631" s="68"/>
      <c r="H631" s="68"/>
      <c r="I631" s="68"/>
      <c r="J631" s="68"/>
      <c r="K631" s="68"/>
      <c r="L631" s="68"/>
      <c r="M631" s="79"/>
      <c r="N631" s="68"/>
      <c r="O631" s="68"/>
      <c r="P631" s="68"/>
      <c r="Q631" s="68"/>
      <c r="R631" s="68"/>
      <c r="S631" s="68"/>
      <c r="T631" s="68"/>
      <c r="U631" s="68"/>
      <c r="V631" s="68"/>
      <c r="W631" s="68"/>
      <c r="X631" s="68"/>
      <c r="Y631" s="68"/>
      <c r="Z631" s="68"/>
      <c r="AA631" s="68"/>
      <c r="AB631" s="68"/>
      <c r="AC631" s="68"/>
      <c r="AD631" s="68"/>
      <c r="AE631" s="68"/>
      <c r="AF631" s="68"/>
    </row>
    <row r="632">
      <c r="A632" s="68"/>
      <c r="B632" s="68"/>
      <c r="C632" s="78"/>
      <c r="D632" s="78"/>
      <c r="E632" s="68"/>
      <c r="F632" s="68"/>
      <c r="G632" s="68"/>
      <c r="H632" s="68"/>
      <c r="I632" s="68"/>
      <c r="J632" s="68"/>
      <c r="K632" s="68"/>
      <c r="L632" s="68"/>
      <c r="M632" s="79"/>
      <c r="N632" s="68"/>
      <c r="O632" s="68"/>
      <c r="P632" s="68"/>
      <c r="Q632" s="68"/>
      <c r="R632" s="68"/>
      <c r="S632" s="68"/>
      <c r="T632" s="68"/>
      <c r="U632" s="68"/>
      <c r="V632" s="68"/>
      <c r="W632" s="68"/>
      <c r="X632" s="68"/>
      <c r="Y632" s="68"/>
      <c r="Z632" s="68"/>
      <c r="AA632" s="68"/>
      <c r="AB632" s="68"/>
      <c r="AC632" s="68"/>
      <c r="AD632" s="68"/>
      <c r="AE632" s="68"/>
      <c r="AF632" s="68"/>
    </row>
    <row r="633">
      <c r="A633" s="68"/>
      <c r="B633" s="68"/>
      <c r="C633" s="78"/>
      <c r="D633" s="78"/>
      <c r="E633" s="68"/>
      <c r="F633" s="68"/>
      <c r="G633" s="68"/>
      <c r="H633" s="68"/>
      <c r="I633" s="68"/>
      <c r="J633" s="68"/>
      <c r="K633" s="68"/>
      <c r="L633" s="68"/>
      <c r="M633" s="79"/>
      <c r="N633" s="68"/>
      <c r="O633" s="68"/>
      <c r="P633" s="68"/>
      <c r="Q633" s="68"/>
      <c r="R633" s="68"/>
      <c r="S633" s="68"/>
      <c r="T633" s="68"/>
      <c r="U633" s="68"/>
      <c r="V633" s="68"/>
      <c r="W633" s="68"/>
      <c r="X633" s="68"/>
      <c r="Y633" s="68"/>
      <c r="Z633" s="68"/>
      <c r="AA633" s="68"/>
      <c r="AB633" s="68"/>
      <c r="AC633" s="68"/>
      <c r="AD633" s="68"/>
      <c r="AE633" s="68"/>
      <c r="AF633" s="68"/>
    </row>
    <row r="634">
      <c r="A634" s="68"/>
      <c r="B634" s="68"/>
      <c r="C634" s="78"/>
      <c r="D634" s="78"/>
      <c r="E634" s="68"/>
      <c r="F634" s="68"/>
      <c r="G634" s="68"/>
      <c r="H634" s="68"/>
      <c r="I634" s="68"/>
      <c r="J634" s="68"/>
      <c r="K634" s="68"/>
      <c r="L634" s="68"/>
      <c r="M634" s="79"/>
      <c r="N634" s="68"/>
      <c r="O634" s="68"/>
      <c r="P634" s="68"/>
      <c r="Q634" s="68"/>
      <c r="R634" s="68"/>
      <c r="S634" s="68"/>
      <c r="T634" s="68"/>
      <c r="U634" s="68"/>
      <c r="V634" s="68"/>
      <c r="W634" s="68"/>
      <c r="X634" s="68"/>
      <c r="Y634" s="68"/>
      <c r="Z634" s="68"/>
      <c r="AA634" s="68"/>
      <c r="AB634" s="68"/>
      <c r="AC634" s="68"/>
      <c r="AD634" s="68"/>
      <c r="AE634" s="68"/>
      <c r="AF634" s="68"/>
    </row>
    <row r="635">
      <c r="A635" s="68"/>
      <c r="B635" s="68"/>
      <c r="C635" s="78"/>
      <c r="D635" s="78"/>
      <c r="E635" s="68"/>
      <c r="F635" s="68"/>
      <c r="G635" s="68"/>
      <c r="H635" s="68"/>
      <c r="I635" s="68"/>
      <c r="J635" s="68"/>
      <c r="K635" s="68"/>
      <c r="L635" s="68"/>
      <c r="M635" s="79"/>
      <c r="N635" s="68"/>
      <c r="O635" s="68"/>
      <c r="P635" s="68"/>
      <c r="Q635" s="68"/>
      <c r="R635" s="68"/>
      <c r="S635" s="68"/>
      <c r="T635" s="68"/>
      <c r="U635" s="68"/>
      <c r="V635" s="68"/>
      <c r="W635" s="68"/>
      <c r="X635" s="68"/>
      <c r="Y635" s="68"/>
      <c r="Z635" s="68"/>
      <c r="AA635" s="68"/>
      <c r="AB635" s="68"/>
      <c r="AC635" s="68"/>
      <c r="AD635" s="68"/>
      <c r="AE635" s="68"/>
      <c r="AF635" s="68"/>
    </row>
    <row r="636">
      <c r="A636" s="68"/>
      <c r="B636" s="68"/>
      <c r="C636" s="78"/>
      <c r="D636" s="78"/>
      <c r="E636" s="68"/>
      <c r="F636" s="68"/>
      <c r="G636" s="68"/>
      <c r="H636" s="68"/>
      <c r="I636" s="68"/>
      <c r="J636" s="68"/>
      <c r="K636" s="68"/>
      <c r="L636" s="68"/>
      <c r="M636" s="79"/>
      <c r="N636" s="68"/>
      <c r="O636" s="68"/>
      <c r="P636" s="68"/>
      <c r="Q636" s="68"/>
      <c r="R636" s="68"/>
      <c r="S636" s="68"/>
      <c r="T636" s="68"/>
      <c r="U636" s="68"/>
      <c r="V636" s="68"/>
      <c r="W636" s="68"/>
      <c r="X636" s="68"/>
      <c r="Y636" s="68"/>
      <c r="Z636" s="68"/>
      <c r="AA636" s="68"/>
      <c r="AB636" s="68"/>
      <c r="AC636" s="68"/>
      <c r="AD636" s="68"/>
      <c r="AE636" s="68"/>
      <c r="AF636" s="68"/>
    </row>
    <row r="637">
      <c r="A637" s="68"/>
      <c r="B637" s="68"/>
      <c r="C637" s="78"/>
      <c r="D637" s="78"/>
      <c r="E637" s="68"/>
      <c r="F637" s="68"/>
      <c r="G637" s="68"/>
      <c r="H637" s="68"/>
      <c r="I637" s="68"/>
      <c r="J637" s="68"/>
      <c r="K637" s="68"/>
      <c r="L637" s="68"/>
      <c r="M637" s="79"/>
      <c r="N637" s="68"/>
      <c r="O637" s="68"/>
      <c r="P637" s="68"/>
      <c r="Q637" s="68"/>
      <c r="R637" s="68"/>
      <c r="S637" s="68"/>
      <c r="T637" s="68"/>
      <c r="U637" s="68"/>
      <c r="V637" s="68"/>
      <c r="W637" s="68"/>
      <c r="X637" s="68"/>
      <c r="Y637" s="68"/>
      <c r="Z637" s="68"/>
      <c r="AA637" s="68"/>
      <c r="AB637" s="68"/>
      <c r="AC637" s="68"/>
      <c r="AD637" s="68"/>
      <c r="AE637" s="68"/>
      <c r="AF637" s="68"/>
    </row>
    <row r="638">
      <c r="A638" s="68"/>
      <c r="B638" s="68"/>
      <c r="C638" s="78"/>
      <c r="D638" s="78"/>
      <c r="E638" s="68"/>
      <c r="F638" s="68"/>
      <c r="G638" s="68"/>
      <c r="H638" s="68"/>
      <c r="I638" s="68"/>
      <c r="J638" s="68"/>
      <c r="K638" s="68"/>
      <c r="L638" s="68"/>
      <c r="M638" s="79"/>
      <c r="N638" s="68"/>
      <c r="O638" s="68"/>
      <c r="P638" s="68"/>
      <c r="Q638" s="68"/>
      <c r="R638" s="68"/>
      <c r="S638" s="68"/>
      <c r="T638" s="68"/>
      <c r="U638" s="68"/>
      <c r="V638" s="68"/>
      <c r="W638" s="68"/>
      <c r="X638" s="68"/>
      <c r="Y638" s="68"/>
      <c r="Z638" s="68"/>
      <c r="AA638" s="68"/>
      <c r="AB638" s="68"/>
      <c r="AC638" s="68"/>
      <c r="AD638" s="68"/>
      <c r="AE638" s="68"/>
      <c r="AF638" s="68"/>
    </row>
    <row r="639">
      <c r="A639" s="68"/>
      <c r="B639" s="68"/>
      <c r="C639" s="78"/>
      <c r="D639" s="78"/>
      <c r="E639" s="68"/>
      <c r="F639" s="68"/>
      <c r="G639" s="68"/>
      <c r="H639" s="68"/>
      <c r="I639" s="68"/>
      <c r="J639" s="68"/>
      <c r="K639" s="68"/>
      <c r="L639" s="68"/>
      <c r="M639" s="79"/>
      <c r="N639" s="68"/>
      <c r="O639" s="68"/>
      <c r="P639" s="68"/>
      <c r="Q639" s="68"/>
      <c r="R639" s="68"/>
      <c r="S639" s="68"/>
      <c r="T639" s="68"/>
      <c r="U639" s="68"/>
      <c r="V639" s="68"/>
      <c r="W639" s="68"/>
      <c r="X639" s="68"/>
      <c r="Y639" s="68"/>
      <c r="Z639" s="68"/>
      <c r="AA639" s="68"/>
      <c r="AB639" s="68"/>
      <c r="AC639" s="68"/>
      <c r="AD639" s="68"/>
      <c r="AE639" s="68"/>
      <c r="AF639" s="68"/>
    </row>
    <row r="640">
      <c r="A640" s="68"/>
      <c r="B640" s="68"/>
      <c r="C640" s="78"/>
      <c r="D640" s="78"/>
      <c r="E640" s="68"/>
      <c r="F640" s="68"/>
      <c r="G640" s="68"/>
      <c r="H640" s="68"/>
      <c r="I640" s="68"/>
      <c r="J640" s="68"/>
      <c r="K640" s="68"/>
      <c r="L640" s="68"/>
      <c r="M640" s="79"/>
      <c r="N640" s="68"/>
      <c r="O640" s="68"/>
      <c r="P640" s="68"/>
      <c r="Q640" s="68"/>
      <c r="R640" s="68"/>
      <c r="S640" s="68"/>
      <c r="T640" s="68"/>
      <c r="U640" s="68"/>
      <c r="V640" s="68"/>
      <c r="W640" s="68"/>
      <c r="X640" s="68"/>
      <c r="Y640" s="68"/>
      <c r="Z640" s="68"/>
      <c r="AA640" s="68"/>
      <c r="AB640" s="68"/>
      <c r="AC640" s="68"/>
      <c r="AD640" s="68"/>
      <c r="AE640" s="68"/>
      <c r="AF640" s="68"/>
    </row>
    <row r="641">
      <c r="A641" s="68"/>
      <c r="B641" s="68"/>
      <c r="C641" s="78"/>
      <c r="D641" s="78"/>
      <c r="E641" s="68"/>
      <c r="F641" s="68"/>
      <c r="G641" s="68"/>
      <c r="H641" s="68"/>
      <c r="I641" s="68"/>
      <c r="J641" s="68"/>
      <c r="K641" s="68"/>
      <c r="L641" s="68"/>
      <c r="M641" s="79"/>
      <c r="N641" s="68"/>
      <c r="O641" s="68"/>
      <c r="P641" s="68"/>
      <c r="Q641" s="68"/>
      <c r="R641" s="68"/>
      <c r="S641" s="68"/>
      <c r="T641" s="68"/>
      <c r="U641" s="68"/>
      <c r="V641" s="68"/>
      <c r="W641" s="68"/>
      <c r="X641" s="68"/>
      <c r="Y641" s="68"/>
      <c r="Z641" s="68"/>
      <c r="AA641" s="68"/>
      <c r="AB641" s="68"/>
      <c r="AC641" s="68"/>
      <c r="AD641" s="68"/>
      <c r="AE641" s="68"/>
      <c r="AF641" s="68"/>
    </row>
    <row r="642">
      <c r="A642" s="68"/>
      <c r="B642" s="68"/>
      <c r="C642" s="78"/>
      <c r="D642" s="78"/>
      <c r="E642" s="68"/>
      <c r="F642" s="68"/>
      <c r="G642" s="68"/>
      <c r="H642" s="68"/>
      <c r="I642" s="68"/>
      <c r="J642" s="68"/>
      <c r="K642" s="68"/>
      <c r="L642" s="68"/>
      <c r="M642" s="79"/>
      <c r="N642" s="68"/>
      <c r="O642" s="68"/>
      <c r="P642" s="68"/>
      <c r="Q642" s="68"/>
      <c r="R642" s="68"/>
      <c r="S642" s="68"/>
      <c r="T642" s="68"/>
      <c r="U642" s="68"/>
      <c r="V642" s="68"/>
      <c r="W642" s="68"/>
      <c r="X642" s="68"/>
      <c r="Y642" s="68"/>
      <c r="Z642" s="68"/>
      <c r="AA642" s="68"/>
      <c r="AB642" s="68"/>
      <c r="AC642" s="68"/>
      <c r="AD642" s="68"/>
      <c r="AE642" s="68"/>
      <c r="AF642" s="68"/>
    </row>
    <row r="643">
      <c r="A643" s="68"/>
      <c r="B643" s="68"/>
      <c r="C643" s="78"/>
      <c r="D643" s="78"/>
      <c r="E643" s="68"/>
      <c r="F643" s="68"/>
      <c r="G643" s="68"/>
      <c r="H643" s="68"/>
      <c r="I643" s="68"/>
      <c r="J643" s="68"/>
      <c r="K643" s="68"/>
      <c r="L643" s="68"/>
      <c r="M643" s="79"/>
      <c r="N643" s="68"/>
      <c r="O643" s="68"/>
      <c r="P643" s="68"/>
      <c r="Q643" s="68"/>
      <c r="R643" s="68"/>
      <c r="S643" s="68"/>
      <c r="T643" s="68"/>
      <c r="U643" s="68"/>
      <c r="V643" s="68"/>
      <c r="W643" s="68"/>
      <c r="X643" s="68"/>
      <c r="Y643" s="68"/>
      <c r="Z643" s="68"/>
      <c r="AA643" s="68"/>
      <c r="AB643" s="68"/>
      <c r="AC643" s="68"/>
      <c r="AD643" s="68"/>
      <c r="AE643" s="68"/>
      <c r="AF643" s="68"/>
    </row>
    <row r="644">
      <c r="A644" s="68"/>
      <c r="B644" s="68"/>
      <c r="C644" s="78"/>
      <c r="D644" s="78"/>
      <c r="E644" s="68"/>
      <c r="F644" s="68"/>
      <c r="G644" s="68"/>
      <c r="H644" s="68"/>
      <c r="I644" s="68"/>
      <c r="J644" s="68"/>
      <c r="K644" s="68"/>
      <c r="L644" s="68"/>
      <c r="M644" s="79"/>
      <c r="N644" s="68"/>
      <c r="O644" s="68"/>
      <c r="P644" s="68"/>
      <c r="Q644" s="68"/>
      <c r="R644" s="68"/>
      <c r="S644" s="68"/>
      <c r="T644" s="68"/>
      <c r="U644" s="68"/>
      <c r="V644" s="68"/>
      <c r="W644" s="68"/>
      <c r="X644" s="68"/>
      <c r="Y644" s="68"/>
      <c r="Z644" s="68"/>
      <c r="AA644" s="68"/>
      <c r="AB644" s="68"/>
      <c r="AC644" s="68"/>
      <c r="AD644" s="68"/>
      <c r="AE644" s="68"/>
      <c r="AF644" s="68"/>
    </row>
    <row r="645">
      <c r="A645" s="68"/>
      <c r="B645" s="68"/>
      <c r="C645" s="78"/>
      <c r="D645" s="78"/>
      <c r="E645" s="68"/>
      <c r="F645" s="68"/>
      <c r="G645" s="68"/>
      <c r="H645" s="68"/>
      <c r="I645" s="68"/>
      <c r="J645" s="68"/>
      <c r="K645" s="68"/>
      <c r="L645" s="68"/>
      <c r="M645" s="79"/>
      <c r="N645" s="68"/>
      <c r="O645" s="68"/>
      <c r="P645" s="68"/>
      <c r="Q645" s="68"/>
      <c r="R645" s="68"/>
      <c r="S645" s="68"/>
      <c r="T645" s="68"/>
      <c r="U645" s="68"/>
      <c r="V645" s="68"/>
      <c r="W645" s="68"/>
      <c r="X645" s="68"/>
      <c r="Y645" s="68"/>
      <c r="Z645" s="68"/>
      <c r="AA645" s="68"/>
      <c r="AB645" s="68"/>
      <c r="AC645" s="68"/>
      <c r="AD645" s="68"/>
      <c r="AE645" s="68"/>
      <c r="AF645" s="68"/>
    </row>
    <row r="646">
      <c r="A646" s="68"/>
      <c r="B646" s="68"/>
      <c r="C646" s="78"/>
      <c r="D646" s="78"/>
      <c r="E646" s="68"/>
      <c r="F646" s="68"/>
      <c r="G646" s="68"/>
      <c r="H646" s="68"/>
      <c r="I646" s="68"/>
      <c r="J646" s="68"/>
      <c r="K646" s="68"/>
      <c r="L646" s="68"/>
      <c r="M646" s="79"/>
      <c r="N646" s="68"/>
      <c r="O646" s="68"/>
      <c r="P646" s="68"/>
      <c r="Q646" s="68"/>
      <c r="R646" s="68"/>
      <c r="S646" s="68"/>
      <c r="T646" s="68"/>
      <c r="U646" s="68"/>
      <c r="V646" s="68"/>
      <c r="W646" s="68"/>
      <c r="X646" s="68"/>
      <c r="Y646" s="68"/>
      <c r="Z646" s="68"/>
      <c r="AA646" s="68"/>
      <c r="AB646" s="68"/>
      <c r="AC646" s="68"/>
      <c r="AD646" s="68"/>
      <c r="AE646" s="68"/>
      <c r="AF646" s="68"/>
    </row>
    <row r="647">
      <c r="A647" s="68"/>
      <c r="B647" s="68"/>
      <c r="C647" s="78"/>
      <c r="D647" s="78"/>
      <c r="E647" s="68"/>
      <c r="F647" s="68"/>
      <c r="G647" s="68"/>
      <c r="H647" s="68"/>
      <c r="I647" s="68"/>
      <c r="J647" s="68"/>
      <c r="K647" s="68"/>
      <c r="L647" s="68"/>
      <c r="M647" s="79"/>
      <c r="N647" s="68"/>
      <c r="O647" s="68"/>
      <c r="P647" s="68"/>
      <c r="Q647" s="68"/>
      <c r="R647" s="68"/>
      <c r="S647" s="68"/>
      <c r="T647" s="68"/>
      <c r="U647" s="68"/>
      <c r="V647" s="68"/>
      <c r="W647" s="68"/>
      <c r="X647" s="68"/>
      <c r="Y647" s="68"/>
      <c r="Z647" s="68"/>
      <c r="AA647" s="68"/>
      <c r="AB647" s="68"/>
      <c r="AC647" s="68"/>
      <c r="AD647" s="68"/>
      <c r="AE647" s="68"/>
      <c r="AF647" s="68"/>
    </row>
    <row r="648">
      <c r="A648" s="68"/>
      <c r="B648" s="68"/>
      <c r="C648" s="78"/>
      <c r="D648" s="78"/>
      <c r="E648" s="68"/>
      <c r="F648" s="68"/>
      <c r="G648" s="68"/>
      <c r="H648" s="68"/>
      <c r="I648" s="68"/>
      <c r="J648" s="68"/>
      <c r="K648" s="68"/>
      <c r="L648" s="68"/>
      <c r="M648" s="79"/>
      <c r="N648" s="68"/>
      <c r="O648" s="68"/>
      <c r="P648" s="68"/>
      <c r="Q648" s="68"/>
      <c r="R648" s="68"/>
      <c r="S648" s="68"/>
      <c r="T648" s="68"/>
      <c r="U648" s="68"/>
      <c r="V648" s="68"/>
      <c r="W648" s="68"/>
      <c r="X648" s="68"/>
      <c r="Y648" s="68"/>
      <c r="Z648" s="68"/>
      <c r="AA648" s="68"/>
      <c r="AB648" s="68"/>
      <c r="AC648" s="68"/>
      <c r="AD648" s="68"/>
      <c r="AE648" s="68"/>
      <c r="AF648" s="68"/>
    </row>
    <row r="649">
      <c r="A649" s="68"/>
      <c r="B649" s="68"/>
      <c r="C649" s="78"/>
      <c r="D649" s="78"/>
      <c r="E649" s="68"/>
      <c r="F649" s="68"/>
      <c r="G649" s="68"/>
      <c r="H649" s="68"/>
      <c r="I649" s="68"/>
      <c r="J649" s="68"/>
      <c r="K649" s="68"/>
      <c r="L649" s="68"/>
      <c r="M649" s="79"/>
      <c r="N649" s="68"/>
      <c r="O649" s="68"/>
      <c r="P649" s="68"/>
      <c r="Q649" s="68"/>
      <c r="R649" s="68"/>
      <c r="S649" s="68"/>
      <c r="T649" s="68"/>
      <c r="U649" s="68"/>
      <c r="V649" s="68"/>
      <c r="W649" s="68"/>
      <c r="X649" s="68"/>
      <c r="Y649" s="68"/>
      <c r="Z649" s="68"/>
      <c r="AA649" s="68"/>
      <c r="AB649" s="68"/>
      <c r="AC649" s="68"/>
      <c r="AD649" s="68"/>
      <c r="AE649" s="68"/>
      <c r="AF649" s="68"/>
    </row>
    <row r="650">
      <c r="A650" s="68"/>
      <c r="B650" s="68"/>
      <c r="C650" s="78"/>
      <c r="D650" s="78"/>
      <c r="E650" s="68"/>
      <c r="F650" s="68"/>
      <c r="G650" s="68"/>
      <c r="H650" s="68"/>
      <c r="I650" s="68"/>
      <c r="J650" s="68"/>
      <c r="K650" s="68"/>
      <c r="L650" s="68"/>
      <c r="M650" s="79"/>
      <c r="N650" s="68"/>
      <c r="O650" s="68"/>
      <c r="P650" s="68"/>
      <c r="Q650" s="68"/>
      <c r="R650" s="68"/>
      <c r="S650" s="68"/>
      <c r="T650" s="68"/>
      <c r="U650" s="68"/>
      <c r="V650" s="68"/>
      <c r="W650" s="68"/>
      <c r="X650" s="68"/>
      <c r="Y650" s="68"/>
      <c r="Z650" s="68"/>
      <c r="AA650" s="68"/>
      <c r="AB650" s="68"/>
      <c r="AC650" s="68"/>
      <c r="AD650" s="68"/>
      <c r="AE650" s="68"/>
      <c r="AF650" s="68"/>
    </row>
    <row r="651">
      <c r="A651" s="68"/>
      <c r="B651" s="68"/>
      <c r="C651" s="78"/>
      <c r="D651" s="78"/>
      <c r="E651" s="68"/>
      <c r="F651" s="68"/>
      <c r="G651" s="68"/>
      <c r="H651" s="68"/>
      <c r="I651" s="68"/>
      <c r="J651" s="68"/>
      <c r="K651" s="68"/>
      <c r="L651" s="68"/>
      <c r="M651" s="79"/>
      <c r="N651" s="68"/>
      <c r="O651" s="68"/>
      <c r="P651" s="68"/>
      <c r="Q651" s="68"/>
      <c r="R651" s="68"/>
      <c r="S651" s="68"/>
      <c r="T651" s="68"/>
      <c r="U651" s="68"/>
      <c r="V651" s="68"/>
      <c r="W651" s="68"/>
      <c r="X651" s="68"/>
      <c r="Y651" s="68"/>
      <c r="Z651" s="68"/>
      <c r="AA651" s="68"/>
      <c r="AB651" s="68"/>
      <c r="AC651" s="68"/>
      <c r="AD651" s="68"/>
      <c r="AE651" s="68"/>
      <c r="AF651" s="68"/>
    </row>
    <row r="652">
      <c r="A652" s="68"/>
      <c r="B652" s="68"/>
      <c r="C652" s="78"/>
      <c r="D652" s="78"/>
      <c r="E652" s="68"/>
      <c r="F652" s="68"/>
      <c r="G652" s="68"/>
      <c r="H652" s="68"/>
      <c r="I652" s="68"/>
      <c r="J652" s="68"/>
      <c r="K652" s="68"/>
      <c r="L652" s="68"/>
      <c r="M652" s="79"/>
      <c r="N652" s="68"/>
      <c r="O652" s="68"/>
      <c r="P652" s="68"/>
      <c r="Q652" s="68"/>
      <c r="R652" s="68"/>
      <c r="S652" s="68"/>
      <c r="T652" s="68"/>
      <c r="U652" s="68"/>
      <c r="V652" s="68"/>
      <c r="W652" s="68"/>
      <c r="X652" s="68"/>
      <c r="Y652" s="68"/>
      <c r="Z652" s="68"/>
      <c r="AA652" s="68"/>
      <c r="AB652" s="68"/>
      <c r="AC652" s="68"/>
      <c r="AD652" s="68"/>
      <c r="AE652" s="68"/>
      <c r="AF652" s="68"/>
    </row>
    <row r="653">
      <c r="A653" s="68"/>
      <c r="B653" s="68"/>
      <c r="C653" s="78"/>
      <c r="D653" s="78"/>
      <c r="E653" s="68"/>
      <c r="F653" s="68"/>
      <c r="G653" s="68"/>
      <c r="H653" s="68"/>
      <c r="I653" s="68"/>
      <c r="J653" s="68"/>
      <c r="K653" s="68"/>
      <c r="L653" s="68"/>
      <c r="M653" s="79"/>
      <c r="N653" s="68"/>
      <c r="O653" s="68"/>
      <c r="P653" s="68"/>
      <c r="Q653" s="68"/>
      <c r="R653" s="68"/>
      <c r="S653" s="68"/>
      <c r="T653" s="68"/>
      <c r="U653" s="68"/>
      <c r="V653" s="68"/>
      <c r="W653" s="68"/>
      <c r="X653" s="68"/>
      <c r="Y653" s="68"/>
      <c r="Z653" s="68"/>
      <c r="AA653" s="68"/>
      <c r="AB653" s="68"/>
      <c r="AC653" s="68"/>
      <c r="AD653" s="68"/>
      <c r="AE653" s="68"/>
      <c r="AF653" s="68"/>
    </row>
    <row r="654">
      <c r="A654" s="68"/>
      <c r="B654" s="68"/>
      <c r="C654" s="78"/>
      <c r="D654" s="78"/>
      <c r="E654" s="68"/>
      <c r="F654" s="68"/>
      <c r="G654" s="68"/>
      <c r="H654" s="68"/>
      <c r="I654" s="68"/>
      <c r="J654" s="68"/>
      <c r="K654" s="68"/>
      <c r="L654" s="68"/>
      <c r="M654" s="79"/>
      <c r="N654" s="68"/>
      <c r="O654" s="68"/>
      <c r="P654" s="68"/>
      <c r="Q654" s="68"/>
      <c r="R654" s="68"/>
      <c r="S654" s="68"/>
      <c r="T654" s="68"/>
      <c r="U654" s="68"/>
      <c r="V654" s="68"/>
      <c r="W654" s="68"/>
      <c r="X654" s="68"/>
      <c r="Y654" s="68"/>
      <c r="Z654" s="68"/>
      <c r="AA654" s="68"/>
      <c r="AB654" s="68"/>
      <c r="AC654" s="68"/>
      <c r="AD654" s="68"/>
      <c r="AE654" s="68"/>
      <c r="AF654" s="68"/>
    </row>
    <row r="655">
      <c r="A655" s="68"/>
      <c r="B655" s="68"/>
      <c r="C655" s="78"/>
      <c r="D655" s="78"/>
      <c r="E655" s="68"/>
      <c r="F655" s="68"/>
      <c r="G655" s="68"/>
      <c r="H655" s="68"/>
      <c r="I655" s="68"/>
      <c r="J655" s="68"/>
      <c r="K655" s="68"/>
      <c r="L655" s="68"/>
      <c r="M655" s="79"/>
      <c r="N655" s="68"/>
      <c r="O655" s="68"/>
      <c r="P655" s="68"/>
      <c r="Q655" s="68"/>
      <c r="R655" s="68"/>
      <c r="S655" s="68"/>
      <c r="T655" s="68"/>
      <c r="U655" s="68"/>
      <c r="V655" s="68"/>
      <c r="W655" s="68"/>
      <c r="X655" s="68"/>
      <c r="Y655" s="68"/>
      <c r="Z655" s="68"/>
      <c r="AA655" s="68"/>
      <c r="AB655" s="68"/>
      <c r="AC655" s="68"/>
      <c r="AD655" s="68"/>
      <c r="AE655" s="68"/>
      <c r="AF655" s="68"/>
    </row>
    <row r="656">
      <c r="A656" s="68"/>
      <c r="B656" s="68"/>
      <c r="C656" s="78"/>
      <c r="D656" s="78"/>
      <c r="E656" s="68"/>
      <c r="F656" s="68"/>
      <c r="G656" s="68"/>
      <c r="H656" s="68"/>
      <c r="I656" s="68"/>
      <c r="J656" s="68"/>
      <c r="K656" s="68"/>
      <c r="L656" s="68"/>
      <c r="M656" s="79"/>
      <c r="N656" s="68"/>
      <c r="O656" s="68"/>
      <c r="P656" s="68"/>
      <c r="Q656" s="68"/>
      <c r="R656" s="68"/>
      <c r="S656" s="68"/>
      <c r="T656" s="68"/>
      <c r="U656" s="68"/>
      <c r="V656" s="68"/>
      <c r="W656" s="68"/>
      <c r="X656" s="68"/>
      <c r="Y656" s="68"/>
      <c r="Z656" s="68"/>
      <c r="AA656" s="68"/>
      <c r="AB656" s="68"/>
      <c r="AC656" s="68"/>
      <c r="AD656" s="68"/>
      <c r="AE656" s="68"/>
      <c r="AF656" s="68"/>
    </row>
    <row r="657">
      <c r="A657" s="68"/>
      <c r="B657" s="68"/>
      <c r="C657" s="78"/>
      <c r="D657" s="78"/>
      <c r="E657" s="68"/>
      <c r="F657" s="68"/>
      <c r="G657" s="68"/>
      <c r="H657" s="68"/>
      <c r="I657" s="68"/>
      <c r="J657" s="68"/>
      <c r="K657" s="68"/>
      <c r="L657" s="68"/>
      <c r="M657" s="79"/>
      <c r="N657" s="68"/>
      <c r="O657" s="68"/>
      <c r="P657" s="68"/>
      <c r="Q657" s="68"/>
      <c r="R657" s="68"/>
      <c r="S657" s="68"/>
      <c r="T657" s="68"/>
      <c r="U657" s="68"/>
      <c r="V657" s="68"/>
      <c r="W657" s="68"/>
      <c r="X657" s="68"/>
      <c r="Y657" s="68"/>
      <c r="Z657" s="68"/>
      <c r="AA657" s="68"/>
      <c r="AB657" s="68"/>
      <c r="AC657" s="68"/>
      <c r="AD657" s="68"/>
      <c r="AE657" s="68"/>
      <c r="AF657" s="68"/>
    </row>
    <row r="658">
      <c r="A658" s="68"/>
      <c r="B658" s="68"/>
      <c r="C658" s="78"/>
      <c r="D658" s="78"/>
      <c r="E658" s="68"/>
      <c r="F658" s="68"/>
      <c r="G658" s="68"/>
      <c r="H658" s="68"/>
      <c r="I658" s="68"/>
      <c r="J658" s="68"/>
      <c r="K658" s="68"/>
      <c r="L658" s="68"/>
      <c r="M658" s="79"/>
      <c r="N658" s="68"/>
      <c r="O658" s="68"/>
      <c r="P658" s="68"/>
      <c r="Q658" s="68"/>
      <c r="R658" s="68"/>
      <c r="S658" s="68"/>
      <c r="T658" s="68"/>
      <c r="U658" s="68"/>
      <c r="V658" s="68"/>
      <c r="W658" s="68"/>
      <c r="X658" s="68"/>
      <c r="Y658" s="68"/>
      <c r="Z658" s="68"/>
      <c r="AA658" s="68"/>
      <c r="AB658" s="68"/>
      <c r="AC658" s="68"/>
      <c r="AD658" s="68"/>
      <c r="AE658" s="68"/>
      <c r="AF658" s="68"/>
    </row>
    <row r="659">
      <c r="A659" s="68"/>
      <c r="B659" s="68"/>
      <c r="C659" s="78"/>
      <c r="D659" s="78"/>
      <c r="E659" s="68"/>
      <c r="F659" s="68"/>
      <c r="G659" s="68"/>
      <c r="H659" s="68"/>
      <c r="I659" s="68"/>
      <c r="J659" s="68"/>
      <c r="K659" s="68"/>
      <c r="L659" s="68"/>
      <c r="M659" s="79"/>
      <c r="N659" s="68"/>
      <c r="O659" s="68"/>
      <c r="P659" s="68"/>
      <c r="Q659" s="68"/>
      <c r="R659" s="68"/>
      <c r="S659" s="68"/>
      <c r="T659" s="68"/>
      <c r="U659" s="68"/>
      <c r="V659" s="68"/>
      <c r="W659" s="68"/>
      <c r="X659" s="68"/>
      <c r="Y659" s="68"/>
      <c r="Z659" s="68"/>
      <c r="AA659" s="68"/>
      <c r="AB659" s="68"/>
      <c r="AC659" s="68"/>
      <c r="AD659" s="68"/>
      <c r="AE659" s="68"/>
      <c r="AF659" s="68"/>
    </row>
    <row r="660">
      <c r="A660" s="68"/>
      <c r="B660" s="68"/>
      <c r="C660" s="78"/>
      <c r="D660" s="78"/>
      <c r="E660" s="68"/>
      <c r="F660" s="68"/>
      <c r="G660" s="68"/>
      <c r="H660" s="68"/>
      <c r="I660" s="68"/>
      <c r="J660" s="68"/>
      <c r="K660" s="68"/>
      <c r="L660" s="68"/>
      <c r="M660" s="79"/>
      <c r="N660" s="68"/>
      <c r="O660" s="68"/>
      <c r="P660" s="68"/>
      <c r="Q660" s="68"/>
      <c r="R660" s="68"/>
      <c r="S660" s="68"/>
      <c r="T660" s="68"/>
      <c r="U660" s="68"/>
      <c r="V660" s="68"/>
      <c r="W660" s="68"/>
      <c r="X660" s="68"/>
      <c r="Y660" s="68"/>
      <c r="Z660" s="68"/>
      <c r="AA660" s="68"/>
      <c r="AB660" s="68"/>
      <c r="AC660" s="68"/>
      <c r="AD660" s="68"/>
      <c r="AE660" s="68"/>
      <c r="AF660" s="68"/>
    </row>
    <row r="661">
      <c r="A661" s="68"/>
      <c r="B661" s="68"/>
      <c r="C661" s="78"/>
      <c r="D661" s="78"/>
      <c r="E661" s="68"/>
      <c r="F661" s="68"/>
      <c r="G661" s="68"/>
      <c r="H661" s="68"/>
      <c r="I661" s="68"/>
      <c r="J661" s="68"/>
      <c r="K661" s="68"/>
      <c r="L661" s="68"/>
      <c r="M661" s="79"/>
      <c r="N661" s="68"/>
      <c r="O661" s="68"/>
      <c r="P661" s="68"/>
      <c r="Q661" s="68"/>
      <c r="R661" s="68"/>
      <c r="S661" s="68"/>
      <c r="T661" s="68"/>
      <c r="U661" s="68"/>
      <c r="V661" s="68"/>
      <c r="W661" s="68"/>
      <c r="X661" s="68"/>
      <c r="Y661" s="68"/>
      <c r="Z661" s="68"/>
      <c r="AA661" s="68"/>
      <c r="AB661" s="68"/>
      <c r="AC661" s="68"/>
      <c r="AD661" s="68"/>
      <c r="AE661" s="68"/>
      <c r="AF661" s="68"/>
    </row>
    <row r="662">
      <c r="A662" s="68"/>
      <c r="B662" s="68"/>
      <c r="C662" s="78"/>
      <c r="D662" s="78"/>
      <c r="E662" s="68"/>
      <c r="F662" s="68"/>
      <c r="G662" s="68"/>
      <c r="H662" s="68"/>
      <c r="I662" s="68"/>
      <c r="J662" s="68"/>
      <c r="K662" s="68"/>
      <c r="L662" s="68"/>
      <c r="M662" s="79"/>
      <c r="N662" s="68"/>
      <c r="O662" s="68"/>
      <c r="P662" s="68"/>
      <c r="Q662" s="68"/>
      <c r="R662" s="68"/>
      <c r="S662" s="68"/>
      <c r="T662" s="68"/>
      <c r="U662" s="68"/>
      <c r="V662" s="68"/>
      <c r="W662" s="68"/>
      <c r="X662" s="68"/>
      <c r="Y662" s="68"/>
      <c r="Z662" s="68"/>
      <c r="AA662" s="68"/>
      <c r="AB662" s="68"/>
      <c r="AC662" s="68"/>
      <c r="AD662" s="68"/>
      <c r="AE662" s="68"/>
      <c r="AF662" s="68"/>
    </row>
    <row r="663">
      <c r="A663" s="68"/>
      <c r="B663" s="68"/>
      <c r="C663" s="78"/>
      <c r="D663" s="78"/>
      <c r="E663" s="68"/>
      <c r="F663" s="68"/>
      <c r="G663" s="68"/>
      <c r="H663" s="68"/>
      <c r="I663" s="68"/>
      <c r="J663" s="68"/>
      <c r="K663" s="68"/>
      <c r="L663" s="68"/>
      <c r="M663" s="79"/>
      <c r="N663" s="68"/>
      <c r="O663" s="68"/>
      <c r="P663" s="68"/>
      <c r="Q663" s="68"/>
      <c r="R663" s="68"/>
      <c r="S663" s="68"/>
      <c r="T663" s="68"/>
      <c r="U663" s="68"/>
      <c r="V663" s="68"/>
      <c r="W663" s="68"/>
      <c r="X663" s="68"/>
      <c r="Y663" s="68"/>
      <c r="Z663" s="68"/>
      <c r="AA663" s="68"/>
      <c r="AB663" s="68"/>
      <c r="AC663" s="68"/>
      <c r="AD663" s="68"/>
      <c r="AE663" s="68"/>
      <c r="AF663" s="68"/>
    </row>
    <row r="664">
      <c r="A664" s="68"/>
      <c r="B664" s="68"/>
      <c r="C664" s="78"/>
      <c r="D664" s="78"/>
      <c r="E664" s="68"/>
      <c r="F664" s="68"/>
      <c r="G664" s="68"/>
      <c r="H664" s="68"/>
      <c r="I664" s="68"/>
      <c r="J664" s="68"/>
      <c r="K664" s="68"/>
      <c r="L664" s="68"/>
      <c r="M664" s="79"/>
      <c r="N664" s="68"/>
      <c r="O664" s="68"/>
      <c r="P664" s="68"/>
      <c r="Q664" s="68"/>
      <c r="R664" s="68"/>
      <c r="S664" s="68"/>
      <c r="T664" s="68"/>
      <c r="U664" s="68"/>
      <c r="V664" s="68"/>
      <c r="W664" s="68"/>
      <c r="X664" s="68"/>
      <c r="Y664" s="68"/>
      <c r="Z664" s="68"/>
      <c r="AA664" s="68"/>
      <c r="AB664" s="68"/>
      <c r="AC664" s="68"/>
      <c r="AD664" s="68"/>
      <c r="AE664" s="68"/>
      <c r="AF664" s="68"/>
    </row>
    <row r="665">
      <c r="A665" s="68"/>
      <c r="B665" s="68"/>
      <c r="C665" s="78"/>
      <c r="D665" s="78"/>
      <c r="E665" s="68"/>
      <c r="F665" s="68"/>
      <c r="G665" s="68"/>
      <c r="H665" s="68"/>
      <c r="I665" s="68"/>
      <c r="J665" s="68"/>
      <c r="K665" s="68"/>
      <c r="L665" s="68"/>
      <c r="M665" s="79"/>
      <c r="N665" s="68"/>
      <c r="O665" s="68"/>
      <c r="P665" s="68"/>
      <c r="Q665" s="68"/>
      <c r="R665" s="68"/>
      <c r="S665" s="68"/>
      <c r="T665" s="68"/>
      <c r="U665" s="68"/>
      <c r="V665" s="68"/>
      <c r="W665" s="68"/>
      <c r="X665" s="68"/>
      <c r="Y665" s="68"/>
      <c r="Z665" s="68"/>
      <c r="AA665" s="68"/>
      <c r="AB665" s="68"/>
      <c r="AC665" s="68"/>
      <c r="AD665" s="68"/>
      <c r="AE665" s="68"/>
      <c r="AF665" s="68"/>
    </row>
    <row r="666">
      <c r="A666" s="68"/>
      <c r="B666" s="68"/>
      <c r="C666" s="78"/>
      <c r="D666" s="78"/>
      <c r="E666" s="68"/>
      <c r="F666" s="68"/>
      <c r="G666" s="68"/>
      <c r="H666" s="68"/>
      <c r="I666" s="68"/>
      <c r="J666" s="68"/>
      <c r="K666" s="68"/>
      <c r="L666" s="68"/>
      <c r="M666" s="79"/>
      <c r="N666" s="68"/>
      <c r="O666" s="68"/>
      <c r="P666" s="68"/>
      <c r="Q666" s="68"/>
      <c r="R666" s="68"/>
      <c r="S666" s="68"/>
      <c r="T666" s="68"/>
      <c r="U666" s="68"/>
      <c r="V666" s="68"/>
      <c r="W666" s="68"/>
      <c r="X666" s="68"/>
      <c r="Y666" s="68"/>
      <c r="Z666" s="68"/>
      <c r="AA666" s="68"/>
      <c r="AB666" s="68"/>
      <c r="AC666" s="68"/>
      <c r="AD666" s="68"/>
      <c r="AE666" s="68"/>
      <c r="AF666" s="68"/>
    </row>
    <row r="667">
      <c r="A667" s="68"/>
      <c r="B667" s="68"/>
      <c r="C667" s="78"/>
      <c r="D667" s="78"/>
      <c r="E667" s="68"/>
      <c r="F667" s="68"/>
      <c r="G667" s="68"/>
      <c r="H667" s="68"/>
      <c r="I667" s="68"/>
      <c r="J667" s="68"/>
      <c r="K667" s="68"/>
      <c r="L667" s="68"/>
      <c r="M667" s="79"/>
      <c r="N667" s="68"/>
      <c r="O667" s="68"/>
      <c r="P667" s="68"/>
      <c r="Q667" s="68"/>
      <c r="R667" s="68"/>
      <c r="S667" s="68"/>
      <c r="T667" s="68"/>
      <c r="U667" s="68"/>
      <c r="V667" s="68"/>
      <c r="W667" s="68"/>
      <c r="X667" s="68"/>
      <c r="Y667" s="68"/>
      <c r="Z667" s="68"/>
      <c r="AA667" s="68"/>
      <c r="AB667" s="68"/>
      <c r="AC667" s="68"/>
      <c r="AD667" s="68"/>
      <c r="AE667" s="68"/>
      <c r="AF667" s="68"/>
    </row>
    <row r="668">
      <c r="A668" s="68"/>
      <c r="B668" s="68"/>
      <c r="C668" s="78"/>
      <c r="D668" s="78"/>
      <c r="E668" s="68"/>
      <c r="F668" s="68"/>
      <c r="G668" s="68"/>
      <c r="H668" s="68"/>
      <c r="I668" s="68"/>
      <c r="J668" s="68"/>
      <c r="K668" s="68"/>
      <c r="L668" s="68"/>
      <c r="M668" s="79"/>
      <c r="N668" s="68"/>
      <c r="O668" s="68"/>
      <c r="P668" s="68"/>
      <c r="Q668" s="68"/>
      <c r="R668" s="68"/>
      <c r="S668" s="68"/>
      <c r="T668" s="68"/>
      <c r="U668" s="68"/>
      <c r="V668" s="68"/>
      <c r="W668" s="68"/>
      <c r="X668" s="68"/>
      <c r="Y668" s="68"/>
      <c r="Z668" s="68"/>
      <c r="AA668" s="68"/>
      <c r="AB668" s="68"/>
      <c r="AC668" s="68"/>
      <c r="AD668" s="68"/>
      <c r="AE668" s="68"/>
      <c r="AF668" s="68"/>
    </row>
    <row r="669">
      <c r="A669" s="68"/>
      <c r="B669" s="68"/>
      <c r="C669" s="78"/>
      <c r="D669" s="78"/>
      <c r="E669" s="68"/>
      <c r="F669" s="68"/>
      <c r="G669" s="68"/>
      <c r="H669" s="68"/>
      <c r="I669" s="68"/>
      <c r="J669" s="68"/>
      <c r="K669" s="68"/>
      <c r="L669" s="68"/>
      <c r="M669" s="79"/>
      <c r="N669" s="68"/>
      <c r="O669" s="68"/>
      <c r="P669" s="68"/>
      <c r="Q669" s="68"/>
      <c r="R669" s="68"/>
      <c r="S669" s="68"/>
      <c r="T669" s="68"/>
      <c r="U669" s="68"/>
      <c r="V669" s="68"/>
      <c r="W669" s="68"/>
      <c r="X669" s="68"/>
      <c r="Y669" s="68"/>
      <c r="Z669" s="68"/>
      <c r="AA669" s="68"/>
      <c r="AB669" s="68"/>
      <c r="AC669" s="68"/>
      <c r="AD669" s="68"/>
      <c r="AE669" s="68"/>
      <c r="AF669" s="68"/>
    </row>
    <row r="670">
      <c r="A670" s="68"/>
      <c r="B670" s="68"/>
      <c r="C670" s="78"/>
      <c r="D670" s="78"/>
      <c r="E670" s="68"/>
      <c r="F670" s="68"/>
      <c r="G670" s="68"/>
      <c r="H670" s="68"/>
      <c r="I670" s="68"/>
      <c r="J670" s="68"/>
      <c r="K670" s="68"/>
      <c r="L670" s="68"/>
      <c r="M670" s="79"/>
      <c r="N670" s="68"/>
      <c r="O670" s="68"/>
      <c r="P670" s="68"/>
      <c r="Q670" s="68"/>
      <c r="R670" s="68"/>
      <c r="S670" s="68"/>
      <c r="T670" s="68"/>
      <c r="U670" s="68"/>
      <c r="V670" s="68"/>
      <c r="W670" s="68"/>
      <c r="X670" s="68"/>
      <c r="Y670" s="68"/>
      <c r="Z670" s="68"/>
      <c r="AA670" s="68"/>
      <c r="AB670" s="68"/>
      <c r="AC670" s="68"/>
      <c r="AD670" s="68"/>
      <c r="AE670" s="68"/>
      <c r="AF670" s="68"/>
    </row>
    <row r="671">
      <c r="A671" s="68"/>
      <c r="B671" s="68"/>
      <c r="C671" s="78"/>
      <c r="D671" s="78"/>
      <c r="E671" s="68"/>
      <c r="F671" s="68"/>
      <c r="G671" s="68"/>
      <c r="H671" s="68"/>
      <c r="I671" s="68"/>
      <c r="J671" s="68"/>
      <c r="K671" s="68"/>
      <c r="L671" s="68"/>
      <c r="M671" s="79"/>
      <c r="N671" s="68"/>
      <c r="O671" s="68"/>
      <c r="P671" s="68"/>
      <c r="Q671" s="68"/>
      <c r="R671" s="68"/>
      <c r="S671" s="68"/>
      <c r="T671" s="68"/>
      <c r="U671" s="68"/>
      <c r="V671" s="68"/>
      <c r="W671" s="68"/>
      <c r="X671" s="68"/>
      <c r="Y671" s="68"/>
      <c r="Z671" s="68"/>
      <c r="AA671" s="68"/>
      <c r="AB671" s="68"/>
      <c r="AC671" s="68"/>
      <c r="AD671" s="68"/>
      <c r="AE671" s="68"/>
      <c r="AF671" s="68"/>
    </row>
    <row r="672">
      <c r="A672" s="68"/>
      <c r="B672" s="68"/>
      <c r="C672" s="78"/>
      <c r="D672" s="78"/>
      <c r="E672" s="68"/>
      <c r="F672" s="68"/>
      <c r="G672" s="68"/>
      <c r="H672" s="68"/>
      <c r="I672" s="68"/>
      <c r="J672" s="68"/>
      <c r="K672" s="68"/>
      <c r="L672" s="68"/>
      <c r="M672" s="79"/>
      <c r="N672" s="68"/>
      <c r="O672" s="68"/>
      <c r="P672" s="68"/>
      <c r="Q672" s="68"/>
      <c r="R672" s="68"/>
      <c r="S672" s="68"/>
      <c r="T672" s="68"/>
      <c r="U672" s="68"/>
      <c r="V672" s="68"/>
      <c r="W672" s="68"/>
      <c r="X672" s="68"/>
      <c r="Y672" s="68"/>
      <c r="Z672" s="68"/>
      <c r="AA672" s="68"/>
      <c r="AB672" s="68"/>
      <c r="AC672" s="68"/>
      <c r="AD672" s="68"/>
      <c r="AE672" s="68"/>
      <c r="AF672" s="68"/>
    </row>
    <row r="673">
      <c r="A673" s="68"/>
      <c r="B673" s="68"/>
      <c r="C673" s="78"/>
      <c r="D673" s="78"/>
      <c r="E673" s="68"/>
      <c r="F673" s="68"/>
      <c r="G673" s="68"/>
      <c r="H673" s="68"/>
      <c r="I673" s="68"/>
      <c r="J673" s="68"/>
      <c r="K673" s="68"/>
      <c r="L673" s="68"/>
      <c r="M673" s="79"/>
      <c r="N673" s="68"/>
      <c r="O673" s="68"/>
      <c r="P673" s="68"/>
      <c r="Q673" s="68"/>
      <c r="R673" s="68"/>
      <c r="S673" s="68"/>
      <c r="T673" s="68"/>
      <c r="U673" s="68"/>
      <c r="V673" s="68"/>
      <c r="W673" s="68"/>
      <c r="X673" s="68"/>
      <c r="Y673" s="68"/>
      <c r="Z673" s="68"/>
      <c r="AA673" s="68"/>
      <c r="AB673" s="68"/>
      <c r="AC673" s="68"/>
      <c r="AD673" s="68"/>
      <c r="AE673" s="68"/>
      <c r="AF673" s="68"/>
    </row>
    <row r="674">
      <c r="A674" s="68"/>
      <c r="B674" s="68"/>
      <c r="C674" s="78"/>
      <c r="D674" s="78"/>
      <c r="E674" s="68"/>
      <c r="F674" s="68"/>
      <c r="G674" s="68"/>
      <c r="H674" s="68"/>
      <c r="I674" s="68"/>
      <c r="J674" s="68"/>
      <c r="K674" s="68"/>
      <c r="L674" s="68"/>
      <c r="M674" s="79"/>
      <c r="N674" s="68"/>
      <c r="O674" s="68"/>
      <c r="P674" s="68"/>
      <c r="Q674" s="68"/>
      <c r="R674" s="68"/>
      <c r="S674" s="68"/>
      <c r="T674" s="68"/>
      <c r="U674" s="68"/>
      <c r="V674" s="68"/>
      <c r="W674" s="68"/>
      <c r="X674" s="68"/>
      <c r="Y674" s="68"/>
      <c r="Z674" s="68"/>
      <c r="AA674" s="68"/>
      <c r="AB674" s="68"/>
      <c r="AC674" s="68"/>
      <c r="AD674" s="68"/>
      <c r="AE674" s="68"/>
      <c r="AF674" s="68"/>
    </row>
    <row r="675">
      <c r="A675" s="68"/>
      <c r="B675" s="68"/>
      <c r="C675" s="78"/>
      <c r="D675" s="78"/>
      <c r="E675" s="68"/>
      <c r="F675" s="68"/>
      <c r="G675" s="68"/>
      <c r="H675" s="68"/>
      <c r="I675" s="68"/>
      <c r="J675" s="68"/>
      <c r="K675" s="68"/>
      <c r="L675" s="68"/>
      <c r="M675" s="79"/>
      <c r="N675" s="68"/>
      <c r="O675" s="68"/>
      <c r="P675" s="68"/>
      <c r="Q675" s="68"/>
      <c r="R675" s="68"/>
      <c r="S675" s="68"/>
      <c r="T675" s="68"/>
      <c r="U675" s="68"/>
      <c r="V675" s="68"/>
      <c r="W675" s="68"/>
      <c r="X675" s="68"/>
      <c r="Y675" s="68"/>
      <c r="Z675" s="68"/>
      <c r="AA675" s="68"/>
      <c r="AB675" s="68"/>
      <c r="AC675" s="68"/>
      <c r="AD675" s="68"/>
      <c r="AE675" s="68"/>
      <c r="AF675" s="68"/>
    </row>
    <row r="676">
      <c r="A676" s="68"/>
      <c r="B676" s="68"/>
      <c r="C676" s="78"/>
      <c r="D676" s="78"/>
      <c r="E676" s="68"/>
      <c r="F676" s="68"/>
      <c r="G676" s="68"/>
      <c r="H676" s="68"/>
      <c r="I676" s="68"/>
      <c r="J676" s="68"/>
      <c r="K676" s="68"/>
      <c r="L676" s="68"/>
      <c r="M676" s="79"/>
      <c r="N676" s="68"/>
      <c r="O676" s="68"/>
      <c r="P676" s="68"/>
      <c r="Q676" s="68"/>
      <c r="R676" s="68"/>
      <c r="S676" s="68"/>
      <c r="T676" s="68"/>
      <c r="U676" s="68"/>
      <c r="V676" s="68"/>
      <c r="W676" s="68"/>
      <c r="X676" s="68"/>
      <c r="Y676" s="68"/>
      <c r="Z676" s="68"/>
      <c r="AA676" s="68"/>
      <c r="AB676" s="68"/>
      <c r="AC676" s="68"/>
      <c r="AD676" s="68"/>
      <c r="AE676" s="68"/>
      <c r="AF676" s="68"/>
    </row>
    <row r="677">
      <c r="A677" s="68"/>
      <c r="B677" s="68"/>
      <c r="C677" s="78"/>
      <c r="D677" s="78"/>
      <c r="E677" s="68"/>
      <c r="F677" s="68"/>
      <c r="G677" s="68"/>
      <c r="H677" s="68"/>
      <c r="I677" s="68"/>
      <c r="J677" s="68"/>
      <c r="K677" s="68"/>
      <c r="L677" s="68"/>
      <c r="M677" s="79"/>
      <c r="N677" s="68"/>
      <c r="O677" s="68"/>
      <c r="P677" s="68"/>
      <c r="Q677" s="68"/>
      <c r="R677" s="68"/>
      <c r="S677" s="68"/>
      <c r="T677" s="68"/>
      <c r="U677" s="68"/>
      <c r="V677" s="68"/>
      <c r="W677" s="68"/>
      <c r="X677" s="68"/>
      <c r="Y677" s="68"/>
      <c r="Z677" s="68"/>
      <c r="AA677" s="68"/>
      <c r="AB677" s="68"/>
      <c r="AC677" s="68"/>
      <c r="AD677" s="68"/>
      <c r="AE677" s="68"/>
      <c r="AF677" s="68"/>
    </row>
    <row r="678">
      <c r="A678" s="68"/>
      <c r="B678" s="68"/>
      <c r="C678" s="78"/>
      <c r="D678" s="78"/>
      <c r="E678" s="68"/>
      <c r="F678" s="68"/>
      <c r="G678" s="68"/>
      <c r="H678" s="68"/>
      <c r="I678" s="68"/>
      <c r="J678" s="68"/>
      <c r="K678" s="68"/>
      <c r="L678" s="68"/>
      <c r="M678" s="79"/>
      <c r="N678" s="68"/>
      <c r="O678" s="68"/>
      <c r="P678" s="68"/>
      <c r="Q678" s="68"/>
      <c r="R678" s="68"/>
      <c r="S678" s="68"/>
      <c r="T678" s="68"/>
      <c r="U678" s="68"/>
      <c r="V678" s="68"/>
      <c r="W678" s="68"/>
      <c r="X678" s="68"/>
      <c r="Y678" s="68"/>
      <c r="Z678" s="68"/>
      <c r="AA678" s="68"/>
      <c r="AB678" s="68"/>
      <c r="AC678" s="68"/>
      <c r="AD678" s="68"/>
      <c r="AE678" s="68"/>
      <c r="AF678" s="68"/>
    </row>
    <row r="679">
      <c r="A679" s="68"/>
      <c r="B679" s="68"/>
      <c r="C679" s="78"/>
      <c r="D679" s="78"/>
      <c r="E679" s="68"/>
      <c r="F679" s="68"/>
      <c r="G679" s="68"/>
      <c r="H679" s="68"/>
      <c r="I679" s="68"/>
      <c r="J679" s="68"/>
      <c r="K679" s="68"/>
      <c r="L679" s="68"/>
      <c r="M679" s="79"/>
      <c r="N679" s="68"/>
      <c r="O679" s="68"/>
      <c r="P679" s="68"/>
      <c r="Q679" s="68"/>
      <c r="R679" s="68"/>
      <c r="S679" s="68"/>
      <c r="T679" s="68"/>
      <c r="U679" s="68"/>
      <c r="V679" s="68"/>
      <c r="W679" s="68"/>
      <c r="X679" s="68"/>
      <c r="Y679" s="68"/>
      <c r="Z679" s="68"/>
      <c r="AA679" s="68"/>
      <c r="AB679" s="68"/>
      <c r="AC679" s="68"/>
      <c r="AD679" s="68"/>
      <c r="AE679" s="68"/>
      <c r="AF679" s="68"/>
    </row>
    <row r="680">
      <c r="A680" s="68"/>
      <c r="B680" s="68"/>
      <c r="C680" s="78"/>
      <c r="D680" s="78"/>
      <c r="E680" s="68"/>
      <c r="F680" s="68"/>
      <c r="G680" s="68"/>
      <c r="H680" s="68"/>
      <c r="I680" s="68"/>
      <c r="J680" s="68"/>
      <c r="K680" s="68"/>
      <c r="L680" s="68"/>
      <c r="M680" s="79"/>
      <c r="N680" s="68"/>
      <c r="O680" s="68"/>
      <c r="P680" s="68"/>
      <c r="Q680" s="68"/>
      <c r="R680" s="68"/>
      <c r="S680" s="68"/>
      <c r="T680" s="68"/>
      <c r="U680" s="68"/>
      <c r="V680" s="68"/>
      <c r="W680" s="68"/>
      <c r="X680" s="68"/>
      <c r="Y680" s="68"/>
      <c r="Z680" s="68"/>
      <c r="AA680" s="68"/>
      <c r="AB680" s="68"/>
      <c r="AC680" s="68"/>
      <c r="AD680" s="68"/>
      <c r="AE680" s="68"/>
      <c r="AF680" s="68"/>
    </row>
    <row r="681">
      <c r="A681" s="68"/>
      <c r="B681" s="68"/>
      <c r="C681" s="78"/>
      <c r="D681" s="78"/>
      <c r="E681" s="68"/>
      <c r="F681" s="68"/>
      <c r="G681" s="68"/>
      <c r="H681" s="68"/>
      <c r="I681" s="68"/>
      <c r="J681" s="68"/>
      <c r="K681" s="68"/>
      <c r="L681" s="68"/>
      <c r="M681" s="79"/>
      <c r="N681" s="68"/>
      <c r="O681" s="68"/>
      <c r="P681" s="68"/>
      <c r="Q681" s="68"/>
      <c r="R681" s="68"/>
      <c r="S681" s="68"/>
      <c r="T681" s="68"/>
      <c r="U681" s="68"/>
      <c r="V681" s="68"/>
      <c r="W681" s="68"/>
      <c r="X681" s="68"/>
      <c r="Y681" s="68"/>
      <c r="Z681" s="68"/>
      <c r="AA681" s="68"/>
      <c r="AB681" s="68"/>
      <c r="AC681" s="68"/>
      <c r="AD681" s="68"/>
      <c r="AE681" s="68"/>
      <c r="AF681" s="68"/>
    </row>
    <row r="682">
      <c r="A682" s="68"/>
      <c r="B682" s="68"/>
      <c r="C682" s="78"/>
      <c r="D682" s="78"/>
      <c r="E682" s="68"/>
      <c r="F682" s="68"/>
      <c r="G682" s="68"/>
      <c r="H682" s="68"/>
      <c r="I682" s="68"/>
      <c r="J682" s="68"/>
      <c r="K682" s="68"/>
      <c r="L682" s="68"/>
      <c r="M682" s="79"/>
      <c r="N682" s="68"/>
      <c r="O682" s="68"/>
      <c r="P682" s="68"/>
      <c r="Q682" s="68"/>
      <c r="R682" s="68"/>
      <c r="S682" s="68"/>
      <c r="T682" s="68"/>
      <c r="U682" s="68"/>
      <c r="V682" s="68"/>
      <c r="W682" s="68"/>
      <c r="X682" s="68"/>
      <c r="Y682" s="68"/>
      <c r="Z682" s="68"/>
      <c r="AA682" s="68"/>
      <c r="AB682" s="68"/>
      <c r="AC682" s="68"/>
      <c r="AD682" s="68"/>
      <c r="AE682" s="68"/>
      <c r="AF682" s="68"/>
    </row>
    <row r="683">
      <c r="A683" s="68"/>
      <c r="B683" s="68"/>
      <c r="C683" s="78"/>
      <c r="D683" s="78"/>
      <c r="E683" s="68"/>
      <c r="F683" s="68"/>
      <c r="G683" s="68"/>
      <c r="H683" s="68"/>
      <c r="I683" s="68"/>
      <c r="J683" s="68"/>
      <c r="K683" s="68"/>
      <c r="L683" s="68"/>
      <c r="M683" s="79"/>
      <c r="N683" s="68"/>
      <c r="O683" s="68"/>
      <c r="P683" s="68"/>
      <c r="Q683" s="68"/>
      <c r="R683" s="68"/>
      <c r="S683" s="68"/>
      <c r="T683" s="68"/>
      <c r="U683" s="68"/>
      <c r="V683" s="68"/>
      <c r="W683" s="68"/>
      <c r="X683" s="68"/>
      <c r="Y683" s="68"/>
      <c r="Z683" s="68"/>
      <c r="AA683" s="68"/>
      <c r="AB683" s="68"/>
      <c r="AC683" s="68"/>
      <c r="AD683" s="68"/>
      <c r="AE683" s="68"/>
      <c r="AF683" s="68"/>
    </row>
    <row r="684">
      <c r="A684" s="68"/>
      <c r="B684" s="68"/>
      <c r="C684" s="78"/>
      <c r="D684" s="78"/>
      <c r="E684" s="68"/>
      <c r="F684" s="68"/>
      <c r="G684" s="68"/>
      <c r="H684" s="68"/>
      <c r="I684" s="68"/>
      <c r="J684" s="68"/>
      <c r="K684" s="68"/>
      <c r="L684" s="68"/>
      <c r="M684" s="79"/>
      <c r="N684" s="68"/>
      <c r="O684" s="68"/>
      <c r="P684" s="68"/>
      <c r="Q684" s="68"/>
      <c r="R684" s="68"/>
      <c r="S684" s="68"/>
      <c r="T684" s="68"/>
      <c r="U684" s="68"/>
      <c r="V684" s="68"/>
      <c r="W684" s="68"/>
      <c r="X684" s="68"/>
      <c r="Y684" s="68"/>
      <c r="Z684" s="68"/>
      <c r="AA684" s="68"/>
      <c r="AB684" s="68"/>
      <c r="AC684" s="68"/>
      <c r="AD684" s="68"/>
      <c r="AE684" s="68"/>
      <c r="AF684" s="68"/>
    </row>
    <row r="685">
      <c r="A685" s="68"/>
      <c r="B685" s="68"/>
      <c r="C685" s="78"/>
      <c r="D685" s="78"/>
      <c r="E685" s="68"/>
      <c r="F685" s="68"/>
      <c r="G685" s="68"/>
      <c r="H685" s="68"/>
      <c r="I685" s="68"/>
      <c r="J685" s="68"/>
      <c r="K685" s="68"/>
      <c r="L685" s="68"/>
      <c r="M685" s="79"/>
      <c r="N685" s="68"/>
      <c r="O685" s="68"/>
      <c r="P685" s="68"/>
      <c r="Q685" s="68"/>
      <c r="R685" s="68"/>
      <c r="S685" s="68"/>
      <c r="T685" s="68"/>
      <c r="U685" s="68"/>
      <c r="V685" s="68"/>
      <c r="W685" s="68"/>
      <c r="X685" s="68"/>
      <c r="Y685" s="68"/>
      <c r="Z685" s="68"/>
      <c r="AA685" s="68"/>
      <c r="AB685" s="68"/>
      <c r="AC685" s="68"/>
      <c r="AD685" s="68"/>
      <c r="AE685" s="68"/>
      <c r="AF685" s="68"/>
    </row>
    <row r="686">
      <c r="A686" s="68"/>
      <c r="B686" s="68"/>
      <c r="C686" s="78"/>
      <c r="D686" s="78"/>
      <c r="E686" s="68"/>
      <c r="F686" s="68"/>
      <c r="G686" s="68"/>
      <c r="H686" s="68"/>
      <c r="I686" s="68"/>
      <c r="J686" s="68"/>
      <c r="K686" s="68"/>
      <c r="L686" s="68"/>
      <c r="M686" s="79"/>
      <c r="N686" s="68"/>
      <c r="O686" s="68"/>
      <c r="P686" s="68"/>
      <c r="Q686" s="68"/>
      <c r="R686" s="68"/>
      <c r="S686" s="68"/>
      <c r="T686" s="68"/>
      <c r="U686" s="68"/>
      <c r="V686" s="68"/>
      <c r="W686" s="68"/>
      <c r="X686" s="68"/>
      <c r="Y686" s="68"/>
      <c r="Z686" s="68"/>
      <c r="AA686" s="68"/>
      <c r="AB686" s="68"/>
      <c r="AC686" s="68"/>
      <c r="AD686" s="68"/>
      <c r="AE686" s="68"/>
      <c r="AF686" s="68"/>
    </row>
    <row r="687">
      <c r="A687" s="68"/>
      <c r="B687" s="68"/>
      <c r="C687" s="78"/>
      <c r="D687" s="78"/>
      <c r="E687" s="68"/>
      <c r="F687" s="68"/>
      <c r="G687" s="68"/>
      <c r="H687" s="68"/>
      <c r="I687" s="68"/>
      <c r="J687" s="68"/>
      <c r="K687" s="68"/>
      <c r="L687" s="68"/>
      <c r="M687" s="79"/>
      <c r="N687" s="68"/>
      <c r="O687" s="68"/>
      <c r="P687" s="68"/>
      <c r="Q687" s="68"/>
      <c r="R687" s="68"/>
      <c r="S687" s="68"/>
      <c r="T687" s="68"/>
      <c r="U687" s="68"/>
      <c r="V687" s="68"/>
      <c r="W687" s="68"/>
      <c r="X687" s="68"/>
      <c r="Y687" s="68"/>
      <c r="Z687" s="68"/>
      <c r="AA687" s="68"/>
      <c r="AB687" s="68"/>
      <c r="AC687" s="68"/>
      <c r="AD687" s="68"/>
      <c r="AE687" s="68"/>
      <c r="AF687" s="68"/>
    </row>
    <row r="688">
      <c r="A688" s="68"/>
      <c r="B688" s="68"/>
      <c r="C688" s="78"/>
      <c r="D688" s="78"/>
      <c r="E688" s="68"/>
      <c r="F688" s="68"/>
      <c r="G688" s="68"/>
      <c r="H688" s="68"/>
      <c r="I688" s="68"/>
      <c r="J688" s="68"/>
      <c r="K688" s="68"/>
      <c r="L688" s="68"/>
      <c r="M688" s="79"/>
      <c r="N688" s="68"/>
      <c r="O688" s="68"/>
      <c r="P688" s="68"/>
      <c r="Q688" s="68"/>
      <c r="R688" s="68"/>
      <c r="S688" s="68"/>
      <c r="T688" s="68"/>
      <c r="U688" s="68"/>
      <c r="V688" s="68"/>
      <c r="W688" s="68"/>
      <c r="X688" s="68"/>
      <c r="Y688" s="68"/>
      <c r="Z688" s="68"/>
      <c r="AA688" s="68"/>
      <c r="AB688" s="68"/>
      <c r="AC688" s="68"/>
      <c r="AD688" s="68"/>
      <c r="AE688" s="68"/>
      <c r="AF688" s="68"/>
    </row>
    <row r="689">
      <c r="A689" s="68"/>
      <c r="B689" s="68"/>
      <c r="C689" s="78"/>
      <c r="D689" s="78"/>
      <c r="E689" s="68"/>
      <c r="F689" s="68"/>
      <c r="G689" s="68"/>
      <c r="H689" s="68"/>
      <c r="I689" s="68"/>
      <c r="J689" s="68"/>
      <c r="K689" s="68"/>
      <c r="L689" s="68"/>
      <c r="M689" s="79"/>
      <c r="N689" s="68"/>
      <c r="O689" s="68"/>
      <c r="P689" s="68"/>
      <c r="Q689" s="68"/>
      <c r="R689" s="68"/>
      <c r="S689" s="68"/>
      <c r="T689" s="68"/>
      <c r="U689" s="68"/>
      <c r="V689" s="68"/>
      <c r="W689" s="68"/>
      <c r="X689" s="68"/>
      <c r="Y689" s="68"/>
      <c r="Z689" s="68"/>
      <c r="AA689" s="68"/>
      <c r="AB689" s="68"/>
      <c r="AC689" s="68"/>
      <c r="AD689" s="68"/>
      <c r="AE689" s="68"/>
      <c r="AF689" s="68"/>
    </row>
    <row r="690">
      <c r="A690" s="68"/>
      <c r="B690" s="68"/>
      <c r="C690" s="78"/>
      <c r="D690" s="78"/>
      <c r="E690" s="68"/>
      <c r="F690" s="68"/>
      <c r="G690" s="68"/>
      <c r="H690" s="68"/>
      <c r="I690" s="68"/>
      <c r="J690" s="68"/>
      <c r="K690" s="68"/>
      <c r="L690" s="68"/>
      <c r="M690" s="79"/>
      <c r="N690" s="68"/>
      <c r="O690" s="68"/>
      <c r="P690" s="68"/>
      <c r="Q690" s="68"/>
      <c r="R690" s="68"/>
      <c r="S690" s="68"/>
      <c r="T690" s="68"/>
      <c r="U690" s="68"/>
      <c r="V690" s="68"/>
      <c r="W690" s="68"/>
      <c r="X690" s="68"/>
      <c r="Y690" s="68"/>
      <c r="Z690" s="68"/>
      <c r="AA690" s="68"/>
      <c r="AB690" s="68"/>
      <c r="AC690" s="68"/>
      <c r="AD690" s="68"/>
      <c r="AE690" s="68"/>
      <c r="AF690" s="68"/>
    </row>
    <row r="691">
      <c r="A691" s="68"/>
      <c r="B691" s="68"/>
      <c r="C691" s="78"/>
      <c r="D691" s="78"/>
      <c r="E691" s="68"/>
      <c r="F691" s="68"/>
      <c r="G691" s="68"/>
      <c r="H691" s="68"/>
      <c r="I691" s="68"/>
      <c r="J691" s="68"/>
      <c r="K691" s="68"/>
      <c r="L691" s="68"/>
      <c r="M691" s="79"/>
      <c r="N691" s="68"/>
      <c r="O691" s="68"/>
      <c r="P691" s="68"/>
      <c r="Q691" s="68"/>
      <c r="R691" s="68"/>
      <c r="S691" s="68"/>
      <c r="T691" s="68"/>
      <c r="U691" s="68"/>
      <c r="V691" s="68"/>
      <c r="W691" s="68"/>
      <c r="X691" s="68"/>
      <c r="Y691" s="68"/>
      <c r="Z691" s="68"/>
      <c r="AA691" s="68"/>
      <c r="AB691" s="68"/>
      <c r="AC691" s="68"/>
      <c r="AD691" s="68"/>
      <c r="AE691" s="68"/>
      <c r="AF691" s="68"/>
    </row>
    <row r="692">
      <c r="A692" s="68"/>
      <c r="B692" s="68"/>
      <c r="C692" s="78"/>
      <c r="D692" s="78"/>
      <c r="E692" s="68"/>
      <c r="F692" s="68"/>
      <c r="G692" s="68"/>
      <c r="H692" s="68"/>
      <c r="I692" s="68"/>
      <c r="J692" s="68"/>
      <c r="K692" s="68"/>
      <c r="L692" s="68"/>
      <c r="M692" s="79"/>
      <c r="N692" s="68"/>
      <c r="O692" s="68"/>
      <c r="P692" s="68"/>
      <c r="Q692" s="68"/>
      <c r="R692" s="68"/>
      <c r="S692" s="68"/>
      <c r="T692" s="68"/>
      <c r="U692" s="68"/>
      <c r="V692" s="68"/>
      <c r="W692" s="68"/>
      <c r="X692" s="68"/>
      <c r="Y692" s="68"/>
      <c r="Z692" s="68"/>
      <c r="AA692" s="68"/>
      <c r="AB692" s="68"/>
      <c r="AC692" s="68"/>
      <c r="AD692" s="68"/>
      <c r="AE692" s="68"/>
      <c r="AF692" s="68"/>
    </row>
    <row r="693">
      <c r="A693" s="68"/>
      <c r="B693" s="68"/>
      <c r="C693" s="78"/>
      <c r="D693" s="78"/>
      <c r="E693" s="68"/>
      <c r="F693" s="68"/>
      <c r="G693" s="68"/>
      <c r="H693" s="68"/>
      <c r="I693" s="68"/>
      <c r="J693" s="68"/>
      <c r="K693" s="68"/>
      <c r="L693" s="68"/>
      <c r="M693" s="79"/>
      <c r="N693" s="68"/>
      <c r="O693" s="68"/>
      <c r="P693" s="68"/>
      <c r="Q693" s="68"/>
      <c r="R693" s="68"/>
      <c r="S693" s="68"/>
      <c r="T693" s="68"/>
      <c r="U693" s="68"/>
      <c r="V693" s="68"/>
      <c r="W693" s="68"/>
      <c r="X693" s="68"/>
      <c r="Y693" s="68"/>
      <c r="Z693" s="68"/>
      <c r="AA693" s="68"/>
      <c r="AB693" s="68"/>
      <c r="AC693" s="68"/>
      <c r="AD693" s="68"/>
      <c r="AE693" s="68"/>
      <c r="AF693" s="68"/>
    </row>
    <row r="694">
      <c r="A694" s="68"/>
      <c r="B694" s="68"/>
      <c r="C694" s="78"/>
      <c r="D694" s="78"/>
      <c r="E694" s="68"/>
      <c r="F694" s="68"/>
      <c r="G694" s="68"/>
      <c r="H694" s="68"/>
      <c r="I694" s="68"/>
      <c r="J694" s="68"/>
      <c r="K694" s="68"/>
      <c r="L694" s="68"/>
      <c r="M694" s="79"/>
      <c r="N694" s="68"/>
      <c r="O694" s="68"/>
      <c r="P694" s="68"/>
      <c r="Q694" s="68"/>
      <c r="R694" s="68"/>
      <c r="S694" s="68"/>
      <c r="T694" s="68"/>
      <c r="U694" s="68"/>
      <c r="V694" s="68"/>
      <c r="W694" s="68"/>
      <c r="X694" s="68"/>
      <c r="Y694" s="68"/>
      <c r="Z694" s="68"/>
      <c r="AA694" s="68"/>
      <c r="AB694" s="68"/>
      <c r="AC694" s="68"/>
      <c r="AD694" s="68"/>
      <c r="AE694" s="68"/>
      <c r="AF694" s="68"/>
    </row>
    <row r="695">
      <c r="A695" s="68"/>
      <c r="B695" s="68"/>
      <c r="C695" s="78"/>
      <c r="D695" s="78"/>
      <c r="E695" s="68"/>
      <c r="F695" s="68"/>
      <c r="G695" s="68"/>
      <c r="H695" s="68"/>
      <c r="I695" s="68"/>
      <c r="J695" s="68"/>
      <c r="K695" s="68"/>
      <c r="L695" s="68"/>
      <c r="M695" s="79"/>
      <c r="N695" s="68"/>
      <c r="O695" s="68"/>
      <c r="P695" s="68"/>
      <c r="Q695" s="68"/>
      <c r="R695" s="68"/>
      <c r="S695" s="68"/>
      <c r="T695" s="68"/>
      <c r="U695" s="68"/>
      <c r="V695" s="68"/>
      <c r="W695" s="68"/>
      <c r="X695" s="68"/>
      <c r="Y695" s="68"/>
      <c r="Z695" s="68"/>
      <c r="AA695" s="68"/>
      <c r="AB695" s="68"/>
      <c r="AC695" s="68"/>
      <c r="AD695" s="68"/>
      <c r="AE695" s="68"/>
      <c r="AF695" s="68"/>
    </row>
    <row r="696">
      <c r="A696" s="68"/>
      <c r="B696" s="68"/>
      <c r="C696" s="78"/>
      <c r="D696" s="78"/>
      <c r="E696" s="68"/>
      <c r="F696" s="68"/>
      <c r="G696" s="68"/>
      <c r="H696" s="68"/>
      <c r="I696" s="68"/>
      <c r="J696" s="68"/>
      <c r="K696" s="68"/>
      <c r="L696" s="68"/>
      <c r="M696" s="79"/>
      <c r="N696" s="68"/>
      <c r="O696" s="68"/>
      <c r="P696" s="68"/>
      <c r="Q696" s="68"/>
      <c r="R696" s="68"/>
      <c r="S696" s="68"/>
      <c r="T696" s="68"/>
      <c r="U696" s="68"/>
      <c r="V696" s="68"/>
      <c r="W696" s="68"/>
      <c r="X696" s="68"/>
      <c r="Y696" s="68"/>
      <c r="Z696" s="68"/>
      <c r="AA696" s="68"/>
      <c r="AB696" s="68"/>
      <c r="AC696" s="68"/>
      <c r="AD696" s="68"/>
      <c r="AE696" s="68"/>
      <c r="AF696" s="68"/>
    </row>
    <row r="697">
      <c r="A697" s="68"/>
      <c r="B697" s="68"/>
      <c r="C697" s="78"/>
      <c r="D697" s="78"/>
      <c r="E697" s="68"/>
      <c r="F697" s="68"/>
      <c r="G697" s="68"/>
      <c r="H697" s="68"/>
      <c r="I697" s="68"/>
      <c r="J697" s="68"/>
      <c r="K697" s="68"/>
      <c r="L697" s="68"/>
      <c r="M697" s="79"/>
      <c r="N697" s="68"/>
      <c r="O697" s="68"/>
      <c r="P697" s="68"/>
      <c r="Q697" s="68"/>
      <c r="R697" s="68"/>
      <c r="S697" s="68"/>
      <c r="T697" s="68"/>
      <c r="U697" s="68"/>
      <c r="V697" s="68"/>
      <c r="W697" s="68"/>
      <c r="X697" s="68"/>
      <c r="Y697" s="68"/>
      <c r="Z697" s="68"/>
      <c r="AA697" s="68"/>
      <c r="AB697" s="68"/>
      <c r="AC697" s="68"/>
      <c r="AD697" s="68"/>
      <c r="AE697" s="68"/>
      <c r="AF697" s="68"/>
    </row>
    <row r="698">
      <c r="A698" s="68"/>
      <c r="B698" s="68"/>
      <c r="C698" s="78"/>
      <c r="D698" s="78"/>
      <c r="E698" s="68"/>
      <c r="F698" s="68"/>
      <c r="G698" s="68"/>
      <c r="H698" s="68"/>
      <c r="I698" s="68"/>
      <c r="J698" s="68"/>
      <c r="K698" s="68"/>
      <c r="L698" s="68"/>
      <c r="M698" s="79"/>
      <c r="N698" s="68"/>
      <c r="O698" s="68"/>
      <c r="P698" s="68"/>
      <c r="Q698" s="68"/>
      <c r="R698" s="68"/>
      <c r="S698" s="68"/>
      <c r="T698" s="68"/>
      <c r="U698" s="68"/>
      <c r="V698" s="68"/>
      <c r="W698" s="68"/>
      <c r="X698" s="68"/>
      <c r="Y698" s="68"/>
      <c r="Z698" s="68"/>
      <c r="AA698" s="68"/>
      <c r="AB698" s="68"/>
      <c r="AC698" s="68"/>
      <c r="AD698" s="68"/>
      <c r="AE698" s="68"/>
      <c r="AF698" s="68"/>
    </row>
    <row r="699">
      <c r="A699" s="68"/>
      <c r="B699" s="68"/>
      <c r="C699" s="78"/>
      <c r="D699" s="78"/>
      <c r="E699" s="68"/>
      <c r="F699" s="68"/>
      <c r="G699" s="68"/>
      <c r="H699" s="68"/>
      <c r="I699" s="68"/>
      <c r="J699" s="68"/>
      <c r="K699" s="68"/>
      <c r="L699" s="68"/>
      <c r="M699" s="79"/>
      <c r="N699" s="68"/>
      <c r="O699" s="68"/>
      <c r="P699" s="68"/>
      <c r="Q699" s="68"/>
      <c r="R699" s="68"/>
      <c r="S699" s="68"/>
      <c r="T699" s="68"/>
      <c r="U699" s="68"/>
      <c r="V699" s="68"/>
      <c r="W699" s="68"/>
      <c r="X699" s="68"/>
      <c r="Y699" s="68"/>
      <c r="Z699" s="68"/>
      <c r="AA699" s="68"/>
      <c r="AB699" s="68"/>
      <c r="AC699" s="68"/>
      <c r="AD699" s="68"/>
      <c r="AE699" s="68"/>
      <c r="AF699" s="68"/>
    </row>
    <row r="700">
      <c r="A700" s="68"/>
      <c r="B700" s="68"/>
      <c r="C700" s="78"/>
      <c r="D700" s="78"/>
      <c r="E700" s="68"/>
      <c r="F700" s="68"/>
      <c r="G700" s="68"/>
      <c r="H700" s="68"/>
      <c r="I700" s="68"/>
      <c r="J700" s="68"/>
      <c r="K700" s="68"/>
      <c r="L700" s="68"/>
      <c r="M700" s="79"/>
      <c r="N700" s="68"/>
      <c r="O700" s="68"/>
      <c r="P700" s="68"/>
      <c r="Q700" s="68"/>
      <c r="R700" s="68"/>
      <c r="S700" s="68"/>
      <c r="T700" s="68"/>
      <c r="U700" s="68"/>
      <c r="V700" s="68"/>
      <c r="W700" s="68"/>
      <c r="X700" s="68"/>
      <c r="Y700" s="68"/>
      <c r="Z700" s="68"/>
      <c r="AA700" s="68"/>
      <c r="AB700" s="68"/>
      <c r="AC700" s="68"/>
      <c r="AD700" s="68"/>
      <c r="AE700" s="68"/>
      <c r="AF700" s="68"/>
    </row>
    <row r="701">
      <c r="A701" s="68"/>
      <c r="B701" s="68"/>
      <c r="C701" s="78"/>
      <c r="D701" s="78"/>
      <c r="E701" s="68"/>
      <c r="F701" s="68"/>
      <c r="G701" s="68"/>
      <c r="H701" s="68"/>
      <c r="I701" s="68"/>
      <c r="J701" s="68"/>
      <c r="K701" s="68"/>
      <c r="L701" s="68"/>
      <c r="M701" s="79"/>
      <c r="N701" s="68"/>
      <c r="O701" s="68"/>
      <c r="P701" s="68"/>
      <c r="Q701" s="68"/>
      <c r="R701" s="68"/>
      <c r="S701" s="68"/>
      <c r="T701" s="68"/>
      <c r="U701" s="68"/>
      <c r="V701" s="68"/>
      <c r="W701" s="68"/>
      <c r="X701" s="68"/>
      <c r="Y701" s="68"/>
      <c r="Z701" s="68"/>
      <c r="AA701" s="68"/>
      <c r="AB701" s="68"/>
      <c r="AC701" s="68"/>
      <c r="AD701" s="68"/>
      <c r="AE701" s="68"/>
      <c r="AF701" s="68"/>
    </row>
    <row r="702">
      <c r="A702" s="68"/>
      <c r="B702" s="68"/>
      <c r="C702" s="78"/>
      <c r="D702" s="78"/>
      <c r="E702" s="68"/>
      <c r="F702" s="68"/>
      <c r="G702" s="68"/>
      <c r="H702" s="68"/>
      <c r="I702" s="68"/>
      <c r="J702" s="68"/>
      <c r="K702" s="68"/>
      <c r="L702" s="68"/>
      <c r="M702" s="79"/>
      <c r="N702" s="68"/>
      <c r="O702" s="68"/>
      <c r="P702" s="68"/>
      <c r="Q702" s="68"/>
      <c r="R702" s="68"/>
      <c r="S702" s="68"/>
      <c r="T702" s="68"/>
      <c r="U702" s="68"/>
      <c r="V702" s="68"/>
      <c r="W702" s="68"/>
      <c r="X702" s="68"/>
      <c r="Y702" s="68"/>
      <c r="Z702" s="68"/>
      <c r="AA702" s="68"/>
      <c r="AB702" s="68"/>
      <c r="AC702" s="68"/>
      <c r="AD702" s="68"/>
      <c r="AE702" s="68"/>
      <c r="AF702" s="68"/>
    </row>
    <row r="703">
      <c r="A703" s="68"/>
      <c r="B703" s="68"/>
      <c r="C703" s="78"/>
      <c r="D703" s="78"/>
      <c r="E703" s="68"/>
      <c r="F703" s="68"/>
      <c r="G703" s="68"/>
      <c r="H703" s="68"/>
      <c r="I703" s="68"/>
      <c r="J703" s="68"/>
      <c r="K703" s="68"/>
      <c r="L703" s="68"/>
      <c r="M703" s="79"/>
      <c r="N703" s="68"/>
      <c r="O703" s="68"/>
      <c r="P703" s="68"/>
      <c r="Q703" s="68"/>
      <c r="R703" s="68"/>
      <c r="S703" s="68"/>
      <c r="T703" s="68"/>
      <c r="U703" s="68"/>
      <c r="V703" s="68"/>
      <c r="W703" s="68"/>
      <c r="X703" s="68"/>
      <c r="Y703" s="68"/>
      <c r="Z703" s="68"/>
      <c r="AA703" s="68"/>
      <c r="AB703" s="68"/>
      <c r="AC703" s="68"/>
      <c r="AD703" s="68"/>
      <c r="AE703" s="68"/>
      <c r="AF703" s="68"/>
    </row>
    <row r="704">
      <c r="A704" s="68"/>
      <c r="B704" s="68"/>
      <c r="C704" s="78"/>
      <c r="D704" s="78"/>
      <c r="E704" s="68"/>
      <c r="F704" s="68"/>
      <c r="G704" s="68"/>
      <c r="H704" s="68"/>
      <c r="I704" s="68"/>
      <c r="J704" s="68"/>
      <c r="K704" s="68"/>
      <c r="L704" s="68"/>
      <c r="M704" s="79"/>
      <c r="N704" s="68"/>
      <c r="O704" s="68"/>
      <c r="P704" s="68"/>
      <c r="Q704" s="68"/>
      <c r="R704" s="68"/>
      <c r="S704" s="68"/>
      <c r="T704" s="68"/>
      <c r="U704" s="68"/>
      <c r="V704" s="68"/>
      <c r="W704" s="68"/>
      <c r="X704" s="68"/>
      <c r="Y704" s="68"/>
      <c r="Z704" s="68"/>
      <c r="AA704" s="68"/>
      <c r="AB704" s="68"/>
      <c r="AC704" s="68"/>
      <c r="AD704" s="68"/>
      <c r="AE704" s="68"/>
      <c r="AF704" s="68"/>
    </row>
    <row r="705">
      <c r="A705" s="68"/>
      <c r="B705" s="68"/>
      <c r="C705" s="78"/>
      <c r="D705" s="78"/>
      <c r="E705" s="68"/>
      <c r="F705" s="68"/>
      <c r="G705" s="68"/>
      <c r="H705" s="68"/>
      <c r="I705" s="68"/>
      <c r="J705" s="68"/>
      <c r="K705" s="68"/>
      <c r="L705" s="68"/>
      <c r="M705" s="79"/>
      <c r="N705" s="68"/>
      <c r="O705" s="68"/>
      <c r="P705" s="68"/>
      <c r="Q705" s="68"/>
      <c r="R705" s="68"/>
      <c r="S705" s="68"/>
      <c r="T705" s="68"/>
      <c r="U705" s="68"/>
      <c r="V705" s="68"/>
      <c r="W705" s="68"/>
      <c r="X705" s="68"/>
      <c r="Y705" s="68"/>
      <c r="Z705" s="68"/>
      <c r="AA705" s="68"/>
      <c r="AB705" s="68"/>
      <c r="AC705" s="68"/>
      <c r="AD705" s="68"/>
      <c r="AE705" s="68"/>
      <c r="AF705" s="68"/>
    </row>
    <row r="706">
      <c r="A706" s="68"/>
      <c r="B706" s="68"/>
      <c r="C706" s="78"/>
      <c r="D706" s="78"/>
      <c r="E706" s="68"/>
      <c r="F706" s="68"/>
      <c r="G706" s="68"/>
      <c r="H706" s="68"/>
      <c r="I706" s="68"/>
      <c r="J706" s="68"/>
      <c r="K706" s="68"/>
      <c r="L706" s="68"/>
      <c r="M706" s="79"/>
      <c r="N706" s="68"/>
      <c r="O706" s="68"/>
      <c r="P706" s="68"/>
      <c r="Q706" s="68"/>
      <c r="R706" s="68"/>
      <c r="S706" s="68"/>
      <c r="T706" s="68"/>
      <c r="U706" s="68"/>
      <c r="V706" s="68"/>
      <c r="W706" s="68"/>
      <c r="X706" s="68"/>
      <c r="Y706" s="68"/>
      <c r="Z706" s="68"/>
      <c r="AA706" s="68"/>
      <c r="AB706" s="68"/>
      <c r="AC706" s="68"/>
      <c r="AD706" s="68"/>
      <c r="AE706" s="68"/>
      <c r="AF706" s="68"/>
    </row>
    <row r="707">
      <c r="A707" s="68"/>
      <c r="B707" s="68"/>
      <c r="C707" s="78"/>
      <c r="D707" s="78"/>
      <c r="E707" s="68"/>
      <c r="F707" s="68"/>
      <c r="G707" s="68"/>
      <c r="H707" s="68"/>
      <c r="I707" s="68"/>
      <c r="J707" s="68"/>
      <c r="K707" s="68"/>
      <c r="L707" s="68"/>
      <c r="M707" s="79"/>
      <c r="N707" s="68"/>
      <c r="O707" s="68"/>
      <c r="P707" s="68"/>
      <c r="Q707" s="68"/>
      <c r="R707" s="68"/>
      <c r="S707" s="68"/>
      <c r="T707" s="68"/>
      <c r="U707" s="68"/>
      <c r="V707" s="68"/>
      <c r="W707" s="68"/>
      <c r="X707" s="68"/>
      <c r="Y707" s="68"/>
      <c r="Z707" s="68"/>
      <c r="AA707" s="68"/>
      <c r="AB707" s="68"/>
      <c r="AC707" s="68"/>
      <c r="AD707" s="68"/>
      <c r="AE707" s="68"/>
      <c r="AF707" s="68"/>
    </row>
    <row r="708">
      <c r="A708" s="68"/>
      <c r="B708" s="68"/>
      <c r="C708" s="78"/>
      <c r="D708" s="78"/>
      <c r="E708" s="68"/>
      <c r="F708" s="68"/>
      <c r="G708" s="68"/>
      <c r="H708" s="68"/>
      <c r="I708" s="68"/>
      <c r="J708" s="68"/>
      <c r="K708" s="68"/>
      <c r="L708" s="68"/>
      <c r="M708" s="79"/>
      <c r="N708" s="68"/>
      <c r="O708" s="68"/>
      <c r="P708" s="68"/>
      <c r="Q708" s="68"/>
      <c r="R708" s="68"/>
      <c r="S708" s="68"/>
      <c r="T708" s="68"/>
      <c r="U708" s="68"/>
      <c r="V708" s="68"/>
      <c r="W708" s="68"/>
      <c r="X708" s="68"/>
      <c r="Y708" s="68"/>
      <c r="Z708" s="68"/>
      <c r="AA708" s="68"/>
      <c r="AB708" s="68"/>
      <c r="AC708" s="68"/>
      <c r="AD708" s="68"/>
      <c r="AE708" s="68"/>
      <c r="AF708" s="68"/>
    </row>
    <row r="709">
      <c r="A709" s="68"/>
      <c r="B709" s="68"/>
      <c r="C709" s="78"/>
      <c r="D709" s="78"/>
      <c r="E709" s="68"/>
      <c r="F709" s="68"/>
      <c r="G709" s="68"/>
      <c r="H709" s="68"/>
      <c r="I709" s="68"/>
      <c r="J709" s="68"/>
      <c r="K709" s="68"/>
      <c r="L709" s="68"/>
      <c r="M709" s="79"/>
      <c r="N709" s="68"/>
      <c r="O709" s="68"/>
      <c r="P709" s="68"/>
      <c r="Q709" s="68"/>
      <c r="R709" s="68"/>
      <c r="S709" s="68"/>
      <c r="T709" s="68"/>
      <c r="U709" s="68"/>
      <c r="V709" s="68"/>
      <c r="W709" s="68"/>
      <c r="X709" s="68"/>
      <c r="Y709" s="68"/>
      <c r="Z709" s="68"/>
      <c r="AA709" s="68"/>
      <c r="AB709" s="68"/>
      <c r="AC709" s="68"/>
      <c r="AD709" s="68"/>
      <c r="AE709" s="68"/>
      <c r="AF709" s="68"/>
    </row>
    <row r="710">
      <c r="A710" s="68"/>
      <c r="B710" s="68"/>
      <c r="C710" s="78"/>
      <c r="D710" s="78"/>
      <c r="E710" s="68"/>
      <c r="F710" s="68"/>
      <c r="G710" s="68"/>
      <c r="H710" s="68"/>
      <c r="I710" s="68"/>
      <c r="J710" s="68"/>
      <c r="K710" s="68"/>
      <c r="L710" s="68"/>
      <c r="M710" s="79"/>
      <c r="N710" s="68"/>
      <c r="O710" s="68"/>
      <c r="P710" s="68"/>
      <c r="Q710" s="68"/>
      <c r="R710" s="68"/>
      <c r="S710" s="68"/>
      <c r="T710" s="68"/>
      <c r="U710" s="68"/>
      <c r="V710" s="68"/>
      <c r="W710" s="68"/>
      <c r="X710" s="68"/>
      <c r="Y710" s="68"/>
      <c r="Z710" s="68"/>
      <c r="AA710" s="68"/>
      <c r="AB710" s="68"/>
      <c r="AC710" s="68"/>
      <c r="AD710" s="68"/>
      <c r="AE710" s="68"/>
      <c r="AF710" s="68"/>
    </row>
    <row r="711">
      <c r="A711" s="68"/>
      <c r="B711" s="68"/>
      <c r="C711" s="78"/>
      <c r="D711" s="78"/>
      <c r="E711" s="68"/>
      <c r="F711" s="68"/>
      <c r="G711" s="68"/>
      <c r="H711" s="68"/>
      <c r="I711" s="68"/>
      <c r="J711" s="68"/>
      <c r="K711" s="68"/>
      <c r="L711" s="68"/>
      <c r="M711" s="79"/>
      <c r="N711" s="68"/>
      <c r="O711" s="68"/>
      <c r="P711" s="68"/>
      <c r="Q711" s="68"/>
      <c r="R711" s="68"/>
      <c r="S711" s="68"/>
      <c r="T711" s="68"/>
      <c r="U711" s="68"/>
      <c r="V711" s="68"/>
      <c r="W711" s="68"/>
      <c r="X711" s="68"/>
      <c r="Y711" s="68"/>
      <c r="Z711" s="68"/>
      <c r="AA711" s="68"/>
      <c r="AB711" s="68"/>
      <c r="AC711" s="68"/>
      <c r="AD711" s="68"/>
      <c r="AE711" s="68"/>
      <c r="AF711" s="68"/>
    </row>
    <row r="712">
      <c r="A712" s="68"/>
      <c r="B712" s="68"/>
      <c r="C712" s="78"/>
      <c r="D712" s="78"/>
      <c r="E712" s="68"/>
      <c r="F712" s="68"/>
      <c r="G712" s="68"/>
      <c r="H712" s="68"/>
      <c r="I712" s="68"/>
      <c r="J712" s="68"/>
      <c r="K712" s="68"/>
      <c r="L712" s="68"/>
      <c r="M712" s="79"/>
      <c r="N712" s="68"/>
      <c r="O712" s="68"/>
      <c r="P712" s="68"/>
      <c r="Q712" s="68"/>
      <c r="R712" s="68"/>
      <c r="S712" s="68"/>
      <c r="T712" s="68"/>
      <c r="U712" s="68"/>
      <c r="V712" s="68"/>
      <c r="W712" s="68"/>
      <c r="X712" s="68"/>
      <c r="Y712" s="68"/>
      <c r="Z712" s="68"/>
      <c r="AA712" s="68"/>
      <c r="AB712" s="68"/>
      <c r="AC712" s="68"/>
      <c r="AD712" s="68"/>
      <c r="AE712" s="68"/>
      <c r="AF712" s="68"/>
    </row>
    <row r="713">
      <c r="A713" s="68"/>
      <c r="B713" s="68"/>
      <c r="C713" s="78"/>
      <c r="D713" s="78"/>
      <c r="E713" s="68"/>
      <c r="F713" s="68"/>
      <c r="G713" s="68"/>
      <c r="H713" s="68"/>
      <c r="I713" s="68"/>
      <c r="J713" s="68"/>
      <c r="K713" s="68"/>
      <c r="L713" s="68"/>
      <c r="M713" s="79"/>
      <c r="N713" s="68"/>
      <c r="O713" s="68"/>
      <c r="P713" s="68"/>
      <c r="Q713" s="68"/>
      <c r="R713" s="68"/>
      <c r="S713" s="68"/>
      <c r="T713" s="68"/>
      <c r="U713" s="68"/>
      <c r="V713" s="68"/>
      <c r="W713" s="68"/>
      <c r="X713" s="68"/>
      <c r="Y713" s="68"/>
      <c r="Z713" s="68"/>
      <c r="AA713" s="68"/>
      <c r="AB713" s="68"/>
      <c r="AC713" s="68"/>
      <c r="AD713" s="68"/>
      <c r="AE713" s="68"/>
      <c r="AF713" s="68"/>
    </row>
    <row r="714">
      <c r="A714" s="68"/>
      <c r="B714" s="68"/>
      <c r="C714" s="78"/>
      <c r="D714" s="78"/>
      <c r="E714" s="68"/>
      <c r="F714" s="68"/>
      <c r="G714" s="68"/>
      <c r="H714" s="68"/>
      <c r="I714" s="68"/>
      <c r="J714" s="68"/>
      <c r="K714" s="68"/>
      <c r="L714" s="68"/>
      <c r="M714" s="79"/>
      <c r="N714" s="68"/>
      <c r="O714" s="68"/>
      <c r="P714" s="68"/>
      <c r="Q714" s="68"/>
      <c r="R714" s="68"/>
      <c r="S714" s="68"/>
      <c r="T714" s="68"/>
      <c r="U714" s="68"/>
      <c r="V714" s="68"/>
      <c r="W714" s="68"/>
      <c r="X714" s="68"/>
      <c r="Y714" s="68"/>
      <c r="Z714" s="68"/>
      <c r="AA714" s="68"/>
      <c r="AB714" s="68"/>
      <c r="AC714" s="68"/>
      <c r="AD714" s="68"/>
      <c r="AE714" s="68"/>
      <c r="AF714" s="68"/>
    </row>
    <row r="715">
      <c r="A715" s="68"/>
      <c r="B715" s="68"/>
      <c r="C715" s="78"/>
      <c r="D715" s="78"/>
      <c r="E715" s="68"/>
      <c r="F715" s="68"/>
      <c r="G715" s="68"/>
      <c r="H715" s="68"/>
      <c r="I715" s="68"/>
      <c r="J715" s="68"/>
      <c r="K715" s="68"/>
      <c r="L715" s="68"/>
      <c r="M715" s="79"/>
      <c r="N715" s="68"/>
      <c r="O715" s="68"/>
      <c r="P715" s="68"/>
      <c r="Q715" s="68"/>
      <c r="R715" s="68"/>
      <c r="S715" s="68"/>
      <c r="T715" s="68"/>
      <c r="U715" s="68"/>
      <c r="V715" s="68"/>
      <c r="W715" s="68"/>
      <c r="X715" s="68"/>
      <c r="Y715" s="68"/>
      <c r="Z715" s="68"/>
      <c r="AA715" s="68"/>
      <c r="AB715" s="68"/>
      <c r="AC715" s="68"/>
      <c r="AD715" s="68"/>
      <c r="AE715" s="68"/>
      <c r="AF715" s="68"/>
    </row>
    <row r="716">
      <c r="A716" s="68"/>
      <c r="B716" s="68"/>
      <c r="C716" s="78"/>
      <c r="D716" s="78"/>
      <c r="E716" s="68"/>
      <c r="F716" s="68"/>
      <c r="G716" s="68"/>
      <c r="H716" s="68"/>
      <c r="I716" s="68"/>
      <c r="J716" s="68"/>
      <c r="K716" s="68"/>
      <c r="L716" s="68"/>
      <c r="M716" s="79"/>
      <c r="N716" s="68"/>
      <c r="O716" s="68"/>
      <c r="P716" s="68"/>
      <c r="Q716" s="68"/>
      <c r="R716" s="68"/>
      <c r="S716" s="68"/>
      <c r="T716" s="68"/>
      <c r="U716" s="68"/>
      <c r="V716" s="68"/>
      <c r="W716" s="68"/>
      <c r="X716" s="68"/>
      <c r="Y716" s="68"/>
      <c r="Z716" s="68"/>
      <c r="AA716" s="68"/>
      <c r="AB716" s="68"/>
      <c r="AC716" s="68"/>
      <c r="AD716" s="68"/>
      <c r="AE716" s="68"/>
      <c r="AF716" s="68"/>
    </row>
    <row r="717">
      <c r="A717" s="68"/>
      <c r="B717" s="68"/>
      <c r="C717" s="78"/>
      <c r="D717" s="78"/>
      <c r="E717" s="68"/>
      <c r="F717" s="68"/>
      <c r="G717" s="68"/>
      <c r="H717" s="68"/>
      <c r="I717" s="68"/>
      <c r="J717" s="68"/>
      <c r="K717" s="68"/>
      <c r="L717" s="68"/>
      <c r="M717" s="79"/>
      <c r="N717" s="68"/>
      <c r="O717" s="68"/>
      <c r="P717" s="68"/>
      <c r="Q717" s="68"/>
      <c r="R717" s="68"/>
      <c r="S717" s="68"/>
      <c r="T717" s="68"/>
      <c r="U717" s="68"/>
      <c r="V717" s="68"/>
      <c r="W717" s="68"/>
      <c r="X717" s="68"/>
      <c r="Y717" s="68"/>
      <c r="Z717" s="68"/>
      <c r="AA717" s="68"/>
      <c r="AB717" s="68"/>
      <c r="AC717" s="68"/>
      <c r="AD717" s="68"/>
      <c r="AE717" s="68"/>
      <c r="AF717" s="68"/>
    </row>
    <row r="718">
      <c r="A718" s="68"/>
      <c r="B718" s="68"/>
      <c r="C718" s="78"/>
      <c r="D718" s="78"/>
      <c r="E718" s="68"/>
      <c r="F718" s="68"/>
      <c r="G718" s="68"/>
      <c r="H718" s="68"/>
      <c r="I718" s="68"/>
      <c r="J718" s="68"/>
      <c r="K718" s="68"/>
      <c r="L718" s="68"/>
      <c r="M718" s="79"/>
      <c r="N718" s="68"/>
      <c r="O718" s="68"/>
      <c r="P718" s="68"/>
      <c r="Q718" s="68"/>
      <c r="R718" s="68"/>
      <c r="S718" s="68"/>
      <c r="T718" s="68"/>
      <c r="U718" s="68"/>
      <c r="V718" s="68"/>
      <c r="W718" s="68"/>
      <c r="X718" s="68"/>
      <c r="Y718" s="68"/>
      <c r="Z718" s="68"/>
      <c r="AA718" s="68"/>
      <c r="AB718" s="68"/>
      <c r="AC718" s="68"/>
      <c r="AD718" s="68"/>
      <c r="AE718" s="68"/>
      <c r="AF718" s="68"/>
    </row>
    <row r="719">
      <c r="A719" s="68"/>
      <c r="B719" s="68"/>
      <c r="C719" s="78"/>
      <c r="D719" s="78"/>
      <c r="E719" s="68"/>
      <c r="F719" s="68"/>
      <c r="G719" s="68"/>
      <c r="H719" s="68"/>
      <c r="I719" s="68"/>
      <c r="J719" s="68"/>
      <c r="K719" s="68"/>
      <c r="L719" s="68"/>
      <c r="M719" s="79"/>
      <c r="N719" s="68"/>
      <c r="O719" s="68"/>
      <c r="P719" s="68"/>
      <c r="Q719" s="68"/>
      <c r="R719" s="68"/>
      <c r="S719" s="68"/>
      <c r="T719" s="68"/>
      <c r="U719" s="68"/>
      <c r="V719" s="68"/>
      <c r="W719" s="68"/>
      <c r="X719" s="68"/>
      <c r="Y719" s="68"/>
      <c r="Z719" s="68"/>
      <c r="AA719" s="68"/>
      <c r="AB719" s="68"/>
      <c r="AC719" s="68"/>
      <c r="AD719" s="68"/>
      <c r="AE719" s="68"/>
      <c r="AF719" s="68"/>
    </row>
    <row r="720">
      <c r="A720" s="68"/>
      <c r="B720" s="68"/>
      <c r="C720" s="78"/>
      <c r="D720" s="78"/>
      <c r="E720" s="68"/>
      <c r="F720" s="68"/>
      <c r="G720" s="68"/>
      <c r="H720" s="68"/>
      <c r="I720" s="68"/>
      <c r="J720" s="68"/>
      <c r="K720" s="68"/>
      <c r="L720" s="68"/>
      <c r="M720" s="79"/>
      <c r="N720" s="68"/>
      <c r="O720" s="68"/>
      <c r="P720" s="68"/>
      <c r="Q720" s="68"/>
      <c r="R720" s="68"/>
      <c r="S720" s="68"/>
      <c r="T720" s="68"/>
      <c r="U720" s="68"/>
      <c r="V720" s="68"/>
      <c r="W720" s="68"/>
      <c r="X720" s="68"/>
      <c r="Y720" s="68"/>
      <c r="Z720" s="68"/>
      <c r="AA720" s="68"/>
      <c r="AB720" s="68"/>
      <c r="AC720" s="68"/>
      <c r="AD720" s="68"/>
      <c r="AE720" s="68"/>
      <c r="AF720" s="68"/>
    </row>
    <row r="721">
      <c r="A721" s="68"/>
      <c r="B721" s="68"/>
      <c r="C721" s="78"/>
      <c r="D721" s="78"/>
      <c r="E721" s="68"/>
      <c r="F721" s="68"/>
      <c r="G721" s="68"/>
      <c r="H721" s="68"/>
      <c r="I721" s="68"/>
      <c r="J721" s="68"/>
      <c r="K721" s="68"/>
      <c r="L721" s="68"/>
      <c r="M721" s="79"/>
      <c r="N721" s="68"/>
      <c r="O721" s="68"/>
      <c r="P721" s="68"/>
      <c r="Q721" s="68"/>
      <c r="R721" s="68"/>
      <c r="S721" s="68"/>
      <c r="T721" s="68"/>
      <c r="U721" s="68"/>
      <c r="V721" s="68"/>
      <c r="W721" s="68"/>
      <c r="X721" s="68"/>
      <c r="Y721" s="68"/>
      <c r="Z721" s="68"/>
      <c r="AA721" s="68"/>
      <c r="AB721" s="68"/>
      <c r="AC721" s="68"/>
      <c r="AD721" s="68"/>
      <c r="AE721" s="68"/>
      <c r="AF721" s="68"/>
    </row>
    <row r="722">
      <c r="A722" s="68"/>
      <c r="B722" s="68"/>
      <c r="C722" s="78"/>
      <c r="D722" s="78"/>
      <c r="E722" s="68"/>
      <c r="F722" s="68"/>
      <c r="G722" s="68"/>
      <c r="H722" s="68"/>
      <c r="I722" s="68"/>
      <c r="J722" s="68"/>
      <c r="K722" s="68"/>
      <c r="L722" s="68"/>
      <c r="M722" s="79"/>
      <c r="N722" s="68"/>
      <c r="O722" s="68"/>
      <c r="P722" s="68"/>
      <c r="Q722" s="68"/>
      <c r="R722" s="68"/>
      <c r="S722" s="68"/>
      <c r="T722" s="68"/>
      <c r="U722" s="68"/>
      <c r="V722" s="68"/>
      <c r="W722" s="68"/>
      <c r="X722" s="68"/>
      <c r="Y722" s="68"/>
      <c r="Z722" s="68"/>
      <c r="AA722" s="68"/>
      <c r="AB722" s="68"/>
      <c r="AC722" s="68"/>
      <c r="AD722" s="68"/>
      <c r="AE722" s="68"/>
      <c r="AF722" s="68"/>
    </row>
    <row r="723">
      <c r="A723" s="68"/>
      <c r="B723" s="68"/>
      <c r="C723" s="78"/>
      <c r="D723" s="78"/>
      <c r="E723" s="68"/>
      <c r="F723" s="68"/>
      <c r="G723" s="68"/>
      <c r="H723" s="68"/>
      <c r="I723" s="68"/>
      <c r="J723" s="68"/>
      <c r="K723" s="68"/>
      <c r="L723" s="68"/>
      <c r="M723" s="79"/>
      <c r="N723" s="68"/>
      <c r="O723" s="68"/>
      <c r="P723" s="68"/>
      <c r="Q723" s="68"/>
      <c r="R723" s="68"/>
      <c r="S723" s="68"/>
      <c r="T723" s="68"/>
      <c r="U723" s="68"/>
      <c r="V723" s="68"/>
      <c r="W723" s="68"/>
      <c r="X723" s="68"/>
      <c r="Y723" s="68"/>
      <c r="Z723" s="68"/>
      <c r="AA723" s="68"/>
      <c r="AB723" s="68"/>
      <c r="AC723" s="68"/>
      <c r="AD723" s="68"/>
      <c r="AE723" s="68"/>
      <c r="AF723" s="68"/>
    </row>
    <row r="724">
      <c r="A724" s="68"/>
      <c r="B724" s="68"/>
      <c r="C724" s="78"/>
      <c r="D724" s="78"/>
      <c r="E724" s="68"/>
      <c r="F724" s="68"/>
      <c r="G724" s="68"/>
      <c r="H724" s="68"/>
      <c r="I724" s="68"/>
      <c r="J724" s="68"/>
      <c r="K724" s="68"/>
      <c r="L724" s="68"/>
      <c r="M724" s="79"/>
      <c r="N724" s="68"/>
      <c r="O724" s="68"/>
      <c r="P724" s="68"/>
      <c r="Q724" s="68"/>
      <c r="R724" s="68"/>
      <c r="S724" s="68"/>
      <c r="T724" s="68"/>
      <c r="U724" s="68"/>
      <c r="V724" s="68"/>
      <c r="W724" s="68"/>
      <c r="X724" s="68"/>
      <c r="Y724" s="68"/>
      <c r="Z724" s="68"/>
      <c r="AA724" s="68"/>
      <c r="AB724" s="68"/>
      <c r="AC724" s="68"/>
      <c r="AD724" s="68"/>
      <c r="AE724" s="68"/>
      <c r="AF724" s="68"/>
    </row>
    <row r="725">
      <c r="A725" s="68"/>
      <c r="B725" s="68"/>
      <c r="C725" s="78"/>
      <c r="D725" s="78"/>
      <c r="E725" s="68"/>
      <c r="F725" s="68"/>
      <c r="G725" s="68"/>
      <c r="H725" s="68"/>
      <c r="I725" s="68"/>
      <c r="J725" s="68"/>
      <c r="K725" s="68"/>
      <c r="L725" s="68"/>
      <c r="M725" s="79"/>
      <c r="N725" s="68"/>
      <c r="O725" s="68"/>
      <c r="P725" s="68"/>
      <c r="Q725" s="68"/>
      <c r="R725" s="68"/>
      <c r="S725" s="68"/>
      <c r="T725" s="68"/>
      <c r="U725" s="68"/>
      <c r="V725" s="68"/>
      <c r="W725" s="68"/>
      <c r="X725" s="68"/>
      <c r="Y725" s="68"/>
      <c r="Z725" s="68"/>
      <c r="AA725" s="68"/>
      <c r="AB725" s="68"/>
      <c r="AC725" s="68"/>
      <c r="AD725" s="68"/>
      <c r="AE725" s="68"/>
      <c r="AF725" s="68"/>
    </row>
    <row r="726">
      <c r="A726" s="68"/>
      <c r="B726" s="68"/>
      <c r="C726" s="78"/>
      <c r="D726" s="78"/>
      <c r="E726" s="68"/>
      <c r="F726" s="68"/>
      <c r="G726" s="68"/>
      <c r="H726" s="68"/>
      <c r="I726" s="68"/>
      <c r="J726" s="68"/>
      <c r="K726" s="68"/>
      <c r="L726" s="68"/>
      <c r="M726" s="79"/>
      <c r="N726" s="68"/>
      <c r="O726" s="68"/>
      <c r="P726" s="68"/>
      <c r="Q726" s="68"/>
      <c r="R726" s="68"/>
      <c r="S726" s="68"/>
      <c r="T726" s="68"/>
      <c r="U726" s="68"/>
      <c r="V726" s="68"/>
      <c r="W726" s="68"/>
      <c r="X726" s="68"/>
      <c r="Y726" s="68"/>
      <c r="Z726" s="68"/>
      <c r="AA726" s="68"/>
      <c r="AB726" s="68"/>
      <c r="AC726" s="68"/>
      <c r="AD726" s="68"/>
      <c r="AE726" s="68"/>
      <c r="AF726" s="68"/>
    </row>
    <row r="727">
      <c r="A727" s="68"/>
      <c r="B727" s="68"/>
      <c r="C727" s="78"/>
      <c r="D727" s="78"/>
      <c r="E727" s="68"/>
      <c r="F727" s="68"/>
      <c r="G727" s="68"/>
      <c r="H727" s="68"/>
      <c r="I727" s="68"/>
      <c r="J727" s="68"/>
      <c r="K727" s="68"/>
      <c r="L727" s="68"/>
      <c r="M727" s="79"/>
      <c r="N727" s="68"/>
      <c r="O727" s="68"/>
      <c r="P727" s="68"/>
      <c r="Q727" s="68"/>
      <c r="R727" s="68"/>
      <c r="S727" s="68"/>
      <c r="T727" s="68"/>
      <c r="U727" s="68"/>
      <c r="V727" s="68"/>
      <c r="W727" s="68"/>
      <c r="X727" s="68"/>
      <c r="Y727" s="68"/>
      <c r="Z727" s="68"/>
      <c r="AA727" s="68"/>
      <c r="AB727" s="68"/>
      <c r="AC727" s="68"/>
      <c r="AD727" s="68"/>
      <c r="AE727" s="68"/>
      <c r="AF727" s="68"/>
    </row>
    <row r="728">
      <c r="A728" s="68"/>
      <c r="B728" s="68"/>
      <c r="C728" s="78"/>
      <c r="D728" s="78"/>
      <c r="E728" s="68"/>
      <c r="F728" s="68"/>
      <c r="G728" s="68"/>
      <c r="H728" s="68"/>
      <c r="I728" s="68"/>
      <c r="J728" s="68"/>
      <c r="K728" s="68"/>
      <c r="L728" s="68"/>
      <c r="M728" s="79"/>
      <c r="N728" s="68"/>
      <c r="O728" s="68"/>
      <c r="P728" s="68"/>
      <c r="Q728" s="68"/>
      <c r="R728" s="68"/>
      <c r="S728" s="68"/>
      <c r="T728" s="68"/>
      <c r="U728" s="68"/>
      <c r="V728" s="68"/>
      <c r="W728" s="68"/>
      <c r="X728" s="68"/>
      <c r="Y728" s="68"/>
      <c r="Z728" s="68"/>
      <c r="AA728" s="68"/>
      <c r="AB728" s="68"/>
      <c r="AC728" s="68"/>
      <c r="AD728" s="68"/>
      <c r="AE728" s="68"/>
      <c r="AF728" s="68"/>
    </row>
    <row r="729">
      <c r="A729" s="68"/>
      <c r="B729" s="68"/>
      <c r="C729" s="78"/>
      <c r="D729" s="78"/>
      <c r="E729" s="68"/>
      <c r="F729" s="68"/>
      <c r="G729" s="68"/>
      <c r="H729" s="68"/>
      <c r="I729" s="68"/>
      <c r="J729" s="68"/>
      <c r="K729" s="68"/>
      <c r="L729" s="68"/>
      <c r="M729" s="79"/>
      <c r="N729" s="68"/>
      <c r="O729" s="68"/>
      <c r="P729" s="68"/>
      <c r="Q729" s="68"/>
      <c r="R729" s="68"/>
      <c r="S729" s="68"/>
      <c r="T729" s="68"/>
      <c r="U729" s="68"/>
      <c r="V729" s="68"/>
      <c r="W729" s="68"/>
      <c r="X729" s="68"/>
      <c r="Y729" s="68"/>
      <c r="Z729" s="68"/>
      <c r="AA729" s="68"/>
      <c r="AB729" s="68"/>
      <c r="AC729" s="68"/>
      <c r="AD729" s="68"/>
      <c r="AE729" s="68"/>
      <c r="AF729" s="68"/>
    </row>
    <row r="730">
      <c r="A730" s="68"/>
      <c r="B730" s="68"/>
      <c r="C730" s="78"/>
      <c r="D730" s="78"/>
      <c r="E730" s="68"/>
      <c r="F730" s="68"/>
      <c r="G730" s="68"/>
      <c r="H730" s="68"/>
      <c r="I730" s="68"/>
      <c r="J730" s="68"/>
      <c r="K730" s="68"/>
      <c r="L730" s="68"/>
      <c r="M730" s="79"/>
      <c r="N730" s="68"/>
      <c r="O730" s="68"/>
      <c r="P730" s="68"/>
      <c r="Q730" s="68"/>
      <c r="R730" s="68"/>
      <c r="S730" s="68"/>
      <c r="T730" s="68"/>
      <c r="U730" s="68"/>
      <c r="V730" s="68"/>
      <c r="W730" s="68"/>
      <c r="X730" s="68"/>
      <c r="Y730" s="68"/>
      <c r="Z730" s="68"/>
      <c r="AA730" s="68"/>
      <c r="AB730" s="68"/>
      <c r="AC730" s="68"/>
      <c r="AD730" s="68"/>
      <c r="AE730" s="68"/>
      <c r="AF730" s="68"/>
    </row>
    <row r="731">
      <c r="A731" s="68"/>
      <c r="B731" s="68"/>
      <c r="C731" s="78"/>
      <c r="D731" s="78"/>
      <c r="E731" s="68"/>
      <c r="F731" s="68"/>
      <c r="G731" s="68"/>
      <c r="H731" s="68"/>
      <c r="I731" s="68"/>
      <c r="J731" s="68"/>
      <c r="K731" s="68"/>
      <c r="L731" s="68"/>
      <c r="M731" s="79"/>
      <c r="N731" s="68"/>
      <c r="O731" s="68"/>
      <c r="P731" s="68"/>
      <c r="Q731" s="68"/>
      <c r="R731" s="68"/>
      <c r="S731" s="68"/>
      <c r="T731" s="68"/>
      <c r="U731" s="68"/>
      <c r="V731" s="68"/>
      <c r="W731" s="68"/>
      <c r="X731" s="68"/>
      <c r="Y731" s="68"/>
      <c r="Z731" s="68"/>
      <c r="AA731" s="68"/>
      <c r="AB731" s="68"/>
      <c r="AC731" s="68"/>
      <c r="AD731" s="68"/>
      <c r="AE731" s="68"/>
      <c r="AF731" s="68"/>
    </row>
    <row r="732">
      <c r="A732" s="68"/>
      <c r="B732" s="68"/>
      <c r="C732" s="78"/>
      <c r="D732" s="78"/>
      <c r="E732" s="68"/>
      <c r="F732" s="68"/>
      <c r="G732" s="68"/>
      <c r="H732" s="68"/>
      <c r="I732" s="68"/>
      <c r="J732" s="68"/>
      <c r="K732" s="68"/>
      <c r="L732" s="68"/>
      <c r="M732" s="79"/>
      <c r="N732" s="68"/>
      <c r="O732" s="68"/>
      <c r="P732" s="68"/>
      <c r="Q732" s="68"/>
      <c r="R732" s="68"/>
      <c r="S732" s="68"/>
      <c r="T732" s="68"/>
      <c r="U732" s="68"/>
      <c r="V732" s="68"/>
      <c r="W732" s="68"/>
      <c r="X732" s="68"/>
      <c r="Y732" s="68"/>
      <c r="Z732" s="68"/>
      <c r="AA732" s="68"/>
      <c r="AB732" s="68"/>
      <c r="AC732" s="68"/>
      <c r="AD732" s="68"/>
      <c r="AE732" s="68"/>
      <c r="AF732" s="68"/>
    </row>
    <row r="733">
      <c r="A733" s="68"/>
      <c r="B733" s="68"/>
      <c r="C733" s="78"/>
      <c r="D733" s="78"/>
      <c r="E733" s="68"/>
      <c r="F733" s="68"/>
      <c r="G733" s="68"/>
      <c r="H733" s="68"/>
      <c r="I733" s="68"/>
      <c r="J733" s="68"/>
      <c r="K733" s="68"/>
      <c r="L733" s="68"/>
      <c r="M733" s="79"/>
      <c r="N733" s="68"/>
      <c r="O733" s="68"/>
      <c r="P733" s="68"/>
      <c r="Q733" s="68"/>
      <c r="R733" s="68"/>
      <c r="S733" s="68"/>
      <c r="T733" s="68"/>
      <c r="U733" s="68"/>
      <c r="V733" s="68"/>
      <c r="W733" s="68"/>
      <c r="X733" s="68"/>
      <c r="Y733" s="68"/>
      <c r="Z733" s="68"/>
      <c r="AA733" s="68"/>
      <c r="AB733" s="68"/>
      <c r="AC733" s="68"/>
      <c r="AD733" s="68"/>
      <c r="AE733" s="68"/>
      <c r="AF733" s="68"/>
    </row>
    <row r="734">
      <c r="A734" s="68"/>
      <c r="B734" s="68"/>
      <c r="C734" s="78"/>
      <c r="D734" s="78"/>
      <c r="E734" s="68"/>
      <c r="F734" s="68"/>
      <c r="G734" s="68"/>
      <c r="H734" s="68"/>
      <c r="I734" s="68"/>
      <c r="J734" s="68"/>
      <c r="K734" s="68"/>
      <c r="L734" s="68"/>
      <c r="M734" s="79"/>
      <c r="N734" s="68"/>
      <c r="O734" s="68"/>
      <c r="P734" s="68"/>
      <c r="Q734" s="68"/>
      <c r="R734" s="68"/>
      <c r="S734" s="68"/>
      <c r="T734" s="68"/>
      <c r="U734" s="68"/>
      <c r="V734" s="68"/>
      <c r="W734" s="68"/>
      <c r="X734" s="68"/>
      <c r="Y734" s="68"/>
      <c r="Z734" s="68"/>
      <c r="AA734" s="68"/>
      <c r="AB734" s="68"/>
      <c r="AC734" s="68"/>
      <c r="AD734" s="68"/>
      <c r="AE734" s="68"/>
      <c r="AF734" s="68"/>
    </row>
    <row r="735">
      <c r="A735" s="68"/>
      <c r="B735" s="68"/>
      <c r="C735" s="78"/>
      <c r="D735" s="78"/>
      <c r="E735" s="68"/>
      <c r="F735" s="68"/>
      <c r="G735" s="68"/>
      <c r="H735" s="68"/>
      <c r="I735" s="68"/>
      <c r="J735" s="68"/>
      <c r="K735" s="68"/>
      <c r="L735" s="68"/>
      <c r="M735" s="79"/>
      <c r="N735" s="68"/>
      <c r="O735" s="68"/>
      <c r="P735" s="68"/>
      <c r="Q735" s="68"/>
      <c r="R735" s="68"/>
      <c r="S735" s="68"/>
      <c r="T735" s="68"/>
      <c r="U735" s="68"/>
      <c r="V735" s="68"/>
      <c r="W735" s="68"/>
      <c r="X735" s="68"/>
      <c r="Y735" s="68"/>
      <c r="Z735" s="68"/>
      <c r="AA735" s="68"/>
      <c r="AB735" s="68"/>
      <c r="AC735" s="68"/>
      <c r="AD735" s="68"/>
      <c r="AE735" s="68"/>
      <c r="AF735" s="68"/>
    </row>
    <row r="736">
      <c r="A736" s="68"/>
      <c r="B736" s="68"/>
      <c r="C736" s="78"/>
      <c r="D736" s="78"/>
      <c r="E736" s="68"/>
      <c r="F736" s="68"/>
      <c r="G736" s="68"/>
      <c r="H736" s="68"/>
      <c r="I736" s="68"/>
      <c r="J736" s="68"/>
      <c r="K736" s="68"/>
      <c r="L736" s="68"/>
      <c r="M736" s="79"/>
      <c r="N736" s="68"/>
      <c r="O736" s="68"/>
      <c r="P736" s="68"/>
      <c r="Q736" s="68"/>
      <c r="R736" s="68"/>
      <c r="S736" s="68"/>
      <c r="T736" s="68"/>
      <c r="U736" s="68"/>
      <c r="V736" s="68"/>
      <c r="W736" s="68"/>
      <c r="X736" s="68"/>
      <c r="Y736" s="68"/>
      <c r="Z736" s="68"/>
      <c r="AA736" s="68"/>
      <c r="AB736" s="68"/>
      <c r="AC736" s="68"/>
      <c r="AD736" s="68"/>
      <c r="AE736" s="68"/>
      <c r="AF736" s="68"/>
    </row>
    <row r="737">
      <c r="A737" s="68"/>
      <c r="B737" s="68"/>
      <c r="C737" s="78"/>
      <c r="D737" s="78"/>
      <c r="E737" s="68"/>
      <c r="F737" s="68"/>
      <c r="G737" s="68"/>
      <c r="H737" s="68"/>
      <c r="I737" s="68"/>
      <c r="J737" s="68"/>
      <c r="K737" s="68"/>
      <c r="L737" s="68"/>
      <c r="M737" s="79"/>
      <c r="N737" s="68"/>
      <c r="O737" s="68"/>
      <c r="P737" s="68"/>
      <c r="Q737" s="68"/>
      <c r="R737" s="68"/>
      <c r="S737" s="68"/>
      <c r="T737" s="68"/>
      <c r="U737" s="68"/>
      <c r="V737" s="68"/>
      <c r="W737" s="68"/>
      <c r="X737" s="68"/>
      <c r="Y737" s="68"/>
      <c r="Z737" s="68"/>
      <c r="AA737" s="68"/>
      <c r="AB737" s="68"/>
      <c r="AC737" s="68"/>
      <c r="AD737" s="68"/>
      <c r="AE737" s="68"/>
      <c r="AF737" s="68"/>
    </row>
    <row r="738">
      <c r="A738" s="68"/>
      <c r="B738" s="68"/>
      <c r="C738" s="78"/>
      <c r="D738" s="78"/>
      <c r="E738" s="68"/>
      <c r="F738" s="68"/>
      <c r="G738" s="68"/>
      <c r="H738" s="68"/>
      <c r="I738" s="68"/>
      <c r="J738" s="68"/>
      <c r="K738" s="68"/>
      <c r="L738" s="68"/>
      <c r="M738" s="79"/>
      <c r="N738" s="68"/>
      <c r="O738" s="68"/>
      <c r="P738" s="68"/>
      <c r="Q738" s="68"/>
      <c r="R738" s="68"/>
      <c r="S738" s="68"/>
      <c r="T738" s="68"/>
      <c r="U738" s="68"/>
      <c r="V738" s="68"/>
      <c r="W738" s="68"/>
      <c r="X738" s="68"/>
      <c r="Y738" s="68"/>
      <c r="Z738" s="68"/>
      <c r="AA738" s="68"/>
      <c r="AB738" s="68"/>
      <c r="AC738" s="68"/>
      <c r="AD738" s="68"/>
      <c r="AE738" s="68"/>
      <c r="AF738" s="68"/>
    </row>
    <row r="739">
      <c r="A739" s="68"/>
      <c r="B739" s="68"/>
      <c r="C739" s="78"/>
      <c r="D739" s="78"/>
      <c r="E739" s="68"/>
      <c r="F739" s="68"/>
      <c r="G739" s="68"/>
      <c r="H739" s="68"/>
      <c r="I739" s="68"/>
      <c r="J739" s="68"/>
      <c r="K739" s="68"/>
      <c r="L739" s="68"/>
      <c r="M739" s="79"/>
      <c r="N739" s="68"/>
      <c r="O739" s="68"/>
      <c r="P739" s="68"/>
      <c r="Q739" s="68"/>
      <c r="R739" s="68"/>
      <c r="S739" s="68"/>
      <c r="T739" s="68"/>
      <c r="U739" s="68"/>
      <c r="V739" s="68"/>
      <c r="W739" s="68"/>
      <c r="X739" s="68"/>
      <c r="Y739" s="68"/>
      <c r="Z739" s="68"/>
      <c r="AA739" s="68"/>
      <c r="AB739" s="68"/>
      <c r="AC739" s="68"/>
      <c r="AD739" s="68"/>
      <c r="AE739" s="68"/>
      <c r="AF739" s="68"/>
    </row>
    <row r="740">
      <c r="A740" s="68"/>
      <c r="B740" s="68"/>
      <c r="C740" s="78"/>
      <c r="D740" s="78"/>
      <c r="E740" s="68"/>
      <c r="F740" s="68"/>
      <c r="G740" s="68"/>
      <c r="H740" s="68"/>
      <c r="I740" s="68"/>
      <c r="J740" s="68"/>
      <c r="K740" s="68"/>
      <c r="L740" s="68"/>
      <c r="M740" s="79"/>
      <c r="N740" s="68"/>
      <c r="O740" s="68"/>
      <c r="P740" s="68"/>
      <c r="Q740" s="68"/>
      <c r="R740" s="68"/>
      <c r="S740" s="68"/>
      <c r="T740" s="68"/>
      <c r="U740" s="68"/>
      <c r="V740" s="68"/>
      <c r="W740" s="68"/>
      <c r="X740" s="68"/>
      <c r="Y740" s="68"/>
      <c r="Z740" s="68"/>
      <c r="AA740" s="68"/>
      <c r="AB740" s="68"/>
      <c r="AC740" s="68"/>
      <c r="AD740" s="68"/>
      <c r="AE740" s="68"/>
      <c r="AF740" s="68"/>
    </row>
    <row r="741">
      <c r="A741" s="68"/>
      <c r="B741" s="68"/>
      <c r="C741" s="78"/>
      <c r="D741" s="78"/>
      <c r="E741" s="68"/>
      <c r="F741" s="68"/>
      <c r="G741" s="68"/>
      <c r="H741" s="68"/>
      <c r="I741" s="68"/>
      <c r="J741" s="68"/>
      <c r="K741" s="68"/>
      <c r="L741" s="68"/>
      <c r="M741" s="79"/>
      <c r="N741" s="68"/>
      <c r="O741" s="68"/>
      <c r="P741" s="68"/>
      <c r="Q741" s="68"/>
      <c r="R741" s="68"/>
      <c r="S741" s="68"/>
      <c r="T741" s="68"/>
      <c r="U741" s="68"/>
      <c r="V741" s="68"/>
      <c r="W741" s="68"/>
      <c r="X741" s="68"/>
      <c r="Y741" s="68"/>
      <c r="Z741" s="68"/>
      <c r="AA741" s="68"/>
      <c r="AB741" s="68"/>
      <c r="AC741" s="68"/>
      <c r="AD741" s="68"/>
      <c r="AE741" s="68"/>
      <c r="AF741" s="68"/>
    </row>
    <row r="742">
      <c r="A742" s="68"/>
      <c r="B742" s="68"/>
      <c r="C742" s="78"/>
      <c r="D742" s="78"/>
      <c r="E742" s="68"/>
      <c r="F742" s="68"/>
      <c r="G742" s="68"/>
      <c r="H742" s="68"/>
      <c r="I742" s="68"/>
      <c r="J742" s="68"/>
      <c r="K742" s="68"/>
      <c r="L742" s="68"/>
      <c r="M742" s="79"/>
      <c r="N742" s="68"/>
      <c r="O742" s="68"/>
      <c r="P742" s="68"/>
      <c r="Q742" s="68"/>
      <c r="R742" s="68"/>
      <c r="S742" s="68"/>
      <c r="T742" s="68"/>
      <c r="U742" s="68"/>
      <c r="V742" s="68"/>
      <c r="W742" s="68"/>
      <c r="X742" s="68"/>
      <c r="Y742" s="68"/>
      <c r="Z742" s="68"/>
      <c r="AA742" s="68"/>
      <c r="AB742" s="68"/>
      <c r="AC742" s="68"/>
      <c r="AD742" s="68"/>
      <c r="AE742" s="68"/>
      <c r="AF742" s="68"/>
    </row>
    <row r="743">
      <c r="A743" s="68"/>
      <c r="B743" s="68"/>
      <c r="C743" s="78"/>
      <c r="D743" s="78"/>
      <c r="E743" s="68"/>
      <c r="F743" s="68"/>
      <c r="G743" s="68"/>
      <c r="H743" s="68"/>
      <c r="I743" s="68"/>
      <c r="J743" s="68"/>
      <c r="K743" s="68"/>
      <c r="L743" s="68"/>
      <c r="M743" s="79"/>
      <c r="N743" s="68"/>
      <c r="O743" s="68"/>
      <c r="P743" s="68"/>
      <c r="Q743" s="68"/>
      <c r="R743" s="68"/>
      <c r="S743" s="68"/>
      <c r="T743" s="68"/>
      <c r="U743" s="68"/>
      <c r="V743" s="68"/>
      <c r="W743" s="68"/>
      <c r="X743" s="68"/>
      <c r="Y743" s="68"/>
      <c r="Z743" s="68"/>
      <c r="AA743" s="68"/>
      <c r="AB743" s="68"/>
      <c r="AC743" s="68"/>
      <c r="AD743" s="68"/>
      <c r="AE743" s="68"/>
      <c r="AF743" s="68"/>
    </row>
    <row r="744">
      <c r="A744" s="68"/>
      <c r="B744" s="68"/>
      <c r="C744" s="78"/>
      <c r="D744" s="78"/>
      <c r="E744" s="68"/>
      <c r="F744" s="68"/>
      <c r="G744" s="68"/>
      <c r="H744" s="68"/>
      <c r="I744" s="68"/>
      <c r="J744" s="68"/>
      <c r="K744" s="68"/>
      <c r="L744" s="68"/>
      <c r="M744" s="79"/>
      <c r="N744" s="68"/>
      <c r="O744" s="68"/>
      <c r="P744" s="68"/>
      <c r="Q744" s="68"/>
      <c r="R744" s="68"/>
      <c r="S744" s="68"/>
      <c r="T744" s="68"/>
      <c r="U744" s="68"/>
      <c r="V744" s="68"/>
      <c r="W744" s="68"/>
      <c r="X744" s="68"/>
      <c r="Y744" s="68"/>
      <c r="Z744" s="68"/>
      <c r="AA744" s="68"/>
      <c r="AB744" s="68"/>
      <c r="AC744" s="68"/>
      <c r="AD744" s="68"/>
      <c r="AE744" s="68"/>
      <c r="AF744" s="68"/>
    </row>
    <row r="745">
      <c r="A745" s="68"/>
      <c r="B745" s="68"/>
      <c r="C745" s="78"/>
      <c r="D745" s="78"/>
      <c r="E745" s="68"/>
      <c r="F745" s="68"/>
      <c r="G745" s="68"/>
      <c r="H745" s="68"/>
      <c r="I745" s="68"/>
      <c r="J745" s="68"/>
      <c r="K745" s="68"/>
      <c r="L745" s="68"/>
      <c r="M745" s="79"/>
      <c r="N745" s="68"/>
      <c r="O745" s="68"/>
      <c r="P745" s="68"/>
      <c r="Q745" s="68"/>
      <c r="R745" s="68"/>
      <c r="S745" s="68"/>
      <c r="T745" s="68"/>
      <c r="U745" s="68"/>
      <c r="V745" s="68"/>
      <c r="W745" s="68"/>
      <c r="X745" s="68"/>
      <c r="Y745" s="68"/>
      <c r="Z745" s="68"/>
      <c r="AA745" s="68"/>
      <c r="AB745" s="68"/>
      <c r="AC745" s="68"/>
      <c r="AD745" s="68"/>
      <c r="AE745" s="68"/>
      <c r="AF745" s="68"/>
    </row>
    <row r="746">
      <c r="A746" s="68"/>
      <c r="B746" s="68"/>
      <c r="C746" s="78"/>
      <c r="D746" s="78"/>
      <c r="E746" s="68"/>
      <c r="F746" s="68"/>
      <c r="G746" s="68"/>
      <c r="H746" s="68"/>
      <c r="I746" s="68"/>
      <c r="J746" s="68"/>
      <c r="K746" s="68"/>
      <c r="L746" s="68"/>
      <c r="M746" s="79"/>
      <c r="N746" s="68"/>
      <c r="O746" s="68"/>
      <c r="P746" s="68"/>
      <c r="Q746" s="68"/>
      <c r="R746" s="68"/>
      <c r="S746" s="68"/>
      <c r="T746" s="68"/>
      <c r="U746" s="68"/>
      <c r="V746" s="68"/>
      <c r="W746" s="68"/>
      <c r="X746" s="68"/>
      <c r="Y746" s="68"/>
      <c r="Z746" s="68"/>
      <c r="AA746" s="68"/>
      <c r="AB746" s="68"/>
      <c r="AC746" s="68"/>
      <c r="AD746" s="68"/>
      <c r="AE746" s="68"/>
      <c r="AF746" s="68"/>
    </row>
    <row r="747">
      <c r="A747" s="68"/>
      <c r="B747" s="68"/>
      <c r="C747" s="78"/>
      <c r="D747" s="78"/>
      <c r="E747" s="68"/>
      <c r="F747" s="68"/>
      <c r="G747" s="68"/>
      <c r="H747" s="68"/>
      <c r="I747" s="68"/>
      <c r="J747" s="68"/>
      <c r="K747" s="68"/>
      <c r="L747" s="68"/>
      <c r="M747" s="79"/>
      <c r="N747" s="68"/>
      <c r="O747" s="68"/>
      <c r="P747" s="68"/>
      <c r="Q747" s="68"/>
      <c r="R747" s="68"/>
      <c r="S747" s="68"/>
      <c r="T747" s="68"/>
      <c r="U747" s="68"/>
      <c r="V747" s="68"/>
      <c r="W747" s="68"/>
      <c r="X747" s="68"/>
      <c r="Y747" s="68"/>
      <c r="Z747" s="68"/>
      <c r="AA747" s="68"/>
      <c r="AB747" s="68"/>
      <c r="AC747" s="68"/>
      <c r="AD747" s="68"/>
      <c r="AE747" s="68"/>
      <c r="AF747" s="68"/>
    </row>
    <row r="748">
      <c r="A748" s="68"/>
      <c r="B748" s="68"/>
      <c r="C748" s="78"/>
      <c r="D748" s="78"/>
      <c r="E748" s="68"/>
      <c r="F748" s="68"/>
      <c r="G748" s="68"/>
      <c r="H748" s="68"/>
      <c r="I748" s="68"/>
      <c r="J748" s="68"/>
      <c r="K748" s="68"/>
      <c r="L748" s="68"/>
      <c r="M748" s="79"/>
      <c r="N748" s="68"/>
      <c r="O748" s="68"/>
      <c r="P748" s="68"/>
      <c r="Q748" s="68"/>
      <c r="R748" s="68"/>
      <c r="S748" s="68"/>
      <c r="T748" s="68"/>
      <c r="U748" s="68"/>
      <c r="V748" s="68"/>
      <c r="W748" s="68"/>
      <c r="X748" s="68"/>
      <c r="Y748" s="68"/>
      <c r="Z748" s="68"/>
      <c r="AA748" s="68"/>
      <c r="AB748" s="68"/>
      <c r="AC748" s="68"/>
      <c r="AD748" s="68"/>
      <c r="AE748" s="68"/>
      <c r="AF748" s="68"/>
    </row>
    <row r="749">
      <c r="A749" s="68"/>
      <c r="B749" s="68"/>
      <c r="C749" s="78"/>
      <c r="D749" s="78"/>
      <c r="E749" s="68"/>
      <c r="F749" s="68"/>
      <c r="G749" s="68"/>
      <c r="H749" s="68"/>
      <c r="I749" s="68"/>
      <c r="J749" s="68"/>
      <c r="K749" s="68"/>
      <c r="L749" s="68"/>
      <c r="M749" s="79"/>
      <c r="N749" s="68"/>
      <c r="O749" s="68"/>
      <c r="P749" s="68"/>
      <c r="Q749" s="68"/>
      <c r="R749" s="68"/>
      <c r="S749" s="68"/>
      <c r="T749" s="68"/>
      <c r="U749" s="68"/>
      <c r="V749" s="68"/>
      <c r="W749" s="68"/>
      <c r="X749" s="68"/>
      <c r="Y749" s="68"/>
      <c r="Z749" s="68"/>
      <c r="AA749" s="68"/>
      <c r="AB749" s="68"/>
      <c r="AC749" s="68"/>
      <c r="AD749" s="68"/>
      <c r="AE749" s="68"/>
      <c r="AF749" s="68"/>
    </row>
    <row r="750">
      <c r="A750" s="68"/>
      <c r="B750" s="68"/>
      <c r="C750" s="78"/>
      <c r="D750" s="78"/>
      <c r="E750" s="68"/>
      <c r="F750" s="68"/>
      <c r="G750" s="68"/>
      <c r="H750" s="68"/>
      <c r="I750" s="68"/>
      <c r="J750" s="68"/>
      <c r="K750" s="68"/>
      <c r="L750" s="68"/>
      <c r="M750" s="79"/>
      <c r="N750" s="68"/>
      <c r="O750" s="68"/>
      <c r="P750" s="68"/>
      <c r="Q750" s="68"/>
      <c r="R750" s="68"/>
      <c r="S750" s="68"/>
      <c r="T750" s="68"/>
      <c r="U750" s="68"/>
      <c r="V750" s="68"/>
      <c r="W750" s="68"/>
      <c r="X750" s="68"/>
      <c r="Y750" s="68"/>
      <c r="Z750" s="68"/>
      <c r="AA750" s="68"/>
      <c r="AB750" s="68"/>
      <c r="AC750" s="68"/>
      <c r="AD750" s="68"/>
      <c r="AE750" s="68"/>
      <c r="AF750" s="68"/>
    </row>
    <row r="751">
      <c r="A751" s="68"/>
      <c r="B751" s="68"/>
      <c r="C751" s="78"/>
      <c r="D751" s="78"/>
      <c r="E751" s="68"/>
      <c r="F751" s="68"/>
      <c r="G751" s="68"/>
      <c r="H751" s="68"/>
      <c r="I751" s="68"/>
      <c r="J751" s="68"/>
      <c r="K751" s="68"/>
      <c r="L751" s="68"/>
      <c r="M751" s="79"/>
      <c r="N751" s="68"/>
      <c r="O751" s="68"/>
      <c r="P751" s="68"/>
      <c r="Q751" s="68"/>
      <c r="R751" s="68"/>
      <c r="S751" s="68"/>
      <c r="T751" s="68"/>
      <c r="U751" s="68"/>
      <c r="V751" s="68"/>
      <c r="W751" s="68"/>
      <c r="X751" s="68"/>
      <c r="Y751" s="68"/>
      <c r="Z751" s="68"/>
      <c r="AA751" s="68"/>
      <c r="AB751" s="68"/>
      <c r="AC751" s="68"/>
      <c r="AD751" s="68"/>
      <c r="AE751" s="68"/>
      <c r="AF751" s="68"/>
    </row>
    <row r="752">
      <c r="A752" s="68"/>
      <c r="B752" s="68"/>
      <c r="C752" s="78"/>
      <c r="D752" s="78"/>
      <c r="E752" s="68"/>
      <c r="F752" s="68"/>
      <c r="G752" s="68"/>
      <c r="H752" s="68"/>
      <c r="I752" s="68"/>
      <c r="J752" s="68"/>
      <c r="K752" s="68"/>
      <c r="L752" s="68"/>
      <c r="M752" s="79"/>
      <c r="N752" s="68"/>
      <c r="O752" s="68"/>
      <c r="P752" s="68"/>
      <c r="Q752" s="68"/>
      <c r="R752" s="68"/>
      <c r="S752" s="68"/>
      <c r="T752" s="68"/>
      <c r="U752" s="68"/>
      <c r="V752" s="68"/>
      <c r="W752" s="68"/>
      <c r="X752" s="68"/>
      <c r="Y752" s="68"/>
      <c r="Z752" s="68"/>
      <c r="AA752" s="68"/>
      <c r="AB752" s="68"/>
      <c r="AC752" s="68"/>
      <c r="AD752" s="68"/>
      <c r="AE752" s="68"/>
      <c r="AF752" s="68"/>
    </row>
    <row r="753">
      <c r="A753" s="68"/>
      <c r="B753" s="68"/>
      <c r="C753" s="78"/>
      <c r="D753" s="78"/>
      <c r="E753" s="68"/>
      <c r="F753" s="68"/>
      <c r="G753" s="68"/>
      <c r="H753" s="68"/>
      <c r="I753" s="68"/>
      <c r="J753" s="68"/>
      <c r="K753" s="68"/>
      <c r="L753" s="68"/>
      <c r="M753" s="79"/>
      <c r="N753" s="68"/>
      <c r="O753" s="68"/>
      <c r="P753" s="68"/>
      <c r="Q753" s="68"/>
      <c r="R753" s="68"/>
      <c r="S753" s="68"/>
      <c r="T753" s="68"/>
      <c r="U753" s="68"/>
      <c r="V753" s="68"/>
      <c r="W753" s="68"/>
      <c r="X753" s="68"/>
      <c r="Y753" s="68"/>
      <c r="Z753" s="68"/>
      <c r="AA753" s="68"/>
      <c r="AB753" s="68"/>
      <c r="AC753" s="68"/>
      <c r="AD753" s="68"/>
      <c r="AE753" s="68"/>
      <c r="AF753" s="68"/>
    </row>
    <row r="754">
      <c r="A754" s="68"/>
      <c r="B754" s="68"/>
      <c r="C754" s="78"/>
      <c r="D754" s="78"/>
      <c r="E754" s="68"/>
      <c r="F754" s="68"/>
      <c r="G754" s="68"/>
      <c r="H754" s="68"/>
      <c r="I754" s="68"/>
      <c r="J754" s="68"/>
      <c r="K754" s="68"/>
      <c r="L754" s="68"/>
      <c r="M754" s="79"/>
      <c r="N754" s="68"/>
      <c r="O754" s="68"/>
      <c r="P754" s="68"/>
      <c r="Q754" s="68"/>
      <c r="R754" s="68"/>
      <c r="S754" s="68"/>
      <c r="T754" s="68"/>
      <c r="U754" s="68"/>
      <c r="V754" s="68"/>
      <c r="W754" s="68"/>
      <c r="X754" s="68"/>
      <c r="Y754" s="68"/>
      <c r="Z754" s="68"/>
      <c r="AA754" s="68"/>
      <c r="AB754" s="68"/>
      <c r="AC754" s="68"/>
      <c r="AD754" s="68"/>
      <c r="AE754" s="68"/>
      <c r="AF754" s="68"/>
    </row>
    <row r="755">
      <c r="A755" s="68"/>
      <c r="B755" s="68"/>
      <c r="C755" s="78"/>
      <c r="D755" s="78"/>
      <c r="E755" s="68"/>
      <c r="F755" s="68"/>
      <c r="G755" s="68"/>
      <c r="H755" s="68"/>
      <c r="I755" s="68"/>
      <c r="J755" s="68"/>
      <c r="K755" s="68"/>
      <c r="L755" s="68"/>
      <c r="M755" s="79"/>
      <c r="N755" s="68"/>
      <c r="O755" s="68"/>
      <c r="P755" s="68"/>
      <c r="Q755" s="68"/>
      <c r="R755" s="68"/>
      <c r="S755" s="68"/>
      <c r="T755" s="68"/>
      <c r="U755" s="68"/>
      <c r="V755" s="68"/>
      <c r="W755" s="68"/>
      <c r="X755" s="68"/>
      <c r="Y755" s="68"/>
      <c r="Z755" s="68"/>
      <c r="AA755" s="68"/>
      <c r="AB755" s="68"/>
      <c r="AC755" s="68"/>
      <c r="AD755" s="68"/>
      <c r="AE755" s="68"/>
      <c r="AF755" s="68"/>
    </row>
    <row r="756">
      <c r="A756" s="68"/>
      <c r="B756" s="68"/>
      <c r="C756" s="78"/>
      <c r="D756" s="78"/>
      <c r="E756" s="68"/>
      <c r="F756" s="68"/>
      <c r="G756" s="68"/>
      <c r="H756" s="68"/>
      <c r="I756" s="68"/>
      <c r="J756" s="68"/>
      <c r="K756" s="68"/>
      <c r="L756" s="68"/>
      <c r="M756" s="79"/>
      <c r="N756" s="68"/>
      <c r="O756" s="68"/>
      <c r="P756" s="68"/>
      <c r="Q756" s="68"/>
      <c r="R756" s="68"/>
      <c r="S756" s="68"/>
      <c r="T756" s="68"/>
      <c r="U756" s="68"/>
      <c r="V756" s="68"/>
      <c r="W756" s="68"/>
      <c r="X756" s="68"/>
      <c r="Y756" s="68"/>
      <c r="Z756" s="68"/>
      <c r="AA756" s="68"/>
      <c r="AB756" s="68"/>
      <c r="AC756" s="68"/>
      <c r="AD756" s="68"/>
      <c r="AE756" s="68"/>
      <c r="AF756" s="68"/>
    </row>
    <row r="757">
      <c r="A757" s="68"/>
      <c r="B757" s="68"/>
      <c r="C757" s="78"/>
      <c r="D757" s="78"/>
      <c r="E757" s="68"/>
      <c r="F757" s="68"/>
      <c r="G757" s="68"/>
      <c r="H757" s="68"/>
      <c r="I757" s="68"/>
      <c r="J757" s="68"/>
      <c r="K757" s="68"/>
      <c r="L757" s="68"/>
      <c r="M757" s="79"/>
      <c r="N757" s="68"/>
      <c r="O757" s="68"/>
      <c r="P757" s="68"/>
      <c r="Q757" s="68"/>
      <c r="R757" s="68"/>
      <c r="S757" s="68"/>
      <c r="T757" s="68"/>
      <c r="U757" s="68"/>
      <c r="V757" s="68"/>
      <c r="W757" s="68"/>
      <c r="X757" s="68"/>
      <c r="Y757" s="68"/>
      <c r="Z757" s="68"/>
      <c r="AA757" s="68"/>
      <c r="AB757" s="68"/>
      <c r="AC757" s="68"/>
      <c r="AD757" s="68"/>
      <c r="AE757" s="68"/>
      <c r="AF757" s="68"/>
    </row>
    <row r="758">
      <c r="A758" s="68"/>
      <c r="B758" s="68"/>
      <c r="C758" s="78"/>
      <c r="D758" s="78"/>
      <c r="E758" s="68"/>
      <c r="F758" s="68"/>
      <c r="G758" s="68"/>
      <c r="H758" s="68"/>
      <c r="I758" s="68"/>
      <c r="J758" s="68"/>
      <c r="K758" s="68"/>
      <c r="L758" s="68"/>
      <c r="M758" s="79"/>
      <c r="N758" s="68"/>
      <c r="O758" s="68"/>
      <c r="P758" s="68"/>
      <c r="Q758" s="68"/>
      <c r="R758" s="68"/>
      <c r="S758" s="68"/>
      <c r="T758" s="68"/>
      <c r="U758" s="68"/>
      <c r="V758" s="68"/>
      <c r="W758" s="68"/>
      <c r="X758" s="68"/>
      <c r="Y758" s="68"/>
      <c r="Z758" s="68"/>
      <c r="AA758" s="68"/>
      <c r="AB758" s="68"/>
      <c r="AC758" s="68"/>
      <c r="AD758" s="68"/>
      <c r="AE758" s="68"/>
      <c r="AF758" s="68"/>
    </row>
    <row r="759">
      <c r="A759" s="68"/>
      <c r="B759" s="68"/>
      <c r="C759" s="78"/>
      <c r="D759" s="78"/>
      <c r="E759" s="68"/>
      <c r="F759" s="68"/>
      <c r="G759" s="68"/>
      <c r="H759" s="68"/>
      <c r="I759" s="68"/>
      <c r="J759" s="68"/>
      <c r="K759" s="68"/>
      <c r="L759" s="68"/>
      <c r="M759" s="79"/>
      <c r="N759" s="68"/>
      <c r="O759" s="68"/>
      <c r="P759" s="68"/>
      <c r="Q759" s="68"/>
      <c r="R759" s="68"/>
      <c r="S759" s="68"/>
      <c r="T759" s="68"/>
      <c r="U759" s="68"/>
      <c r="V759" s="68"/>
      <c r="W759" s="68"/>
      <c r="X759" s="68"/>
      <c r="Y759" s="68"/>
      <c r="Z759" s="68"/>
      <c r="AA759" s="68"/>
      <c r="AB759" s="68"/>
      <c r="AC759" s="68"/>
      <c r="AD759" s="68"/>
      <c r="AE759" s="68"/>
      <c r="AF759" s="68"/>
    </row>
    <row r="760">
      <c r="A760" s="68"/>
      <c r="B760" s="68"/>
      <c r="C760" s="78"/>
      <c r="D760" s="78"/>
      <c r="E760" s="68"/>
      <c r="F760" s="68"/>
      <c r="G760" s="68"/>
      <c r="H760" s="68"/>
      <c r="I760" s="68"/>
      <c r="J760" s="68"/>
      <c r="K760" s="68"/>
      <c r="L760" s="68"/>
      <c r="M760" s="79"/>
      <c r="N760" s="68"/>
      <c r="O760" s="68"/>
      <c r="P760" s="68"/>
      <c r="Q760" s="68"/>
      <c r="R760" s="68"/>
      <c r="S760" s="68"/>
      <c r="T760" s="68"/>
      <c r="U760" s="68"/>
      <c r="V760" s="68"/>
      <c r="W760" s="68"/>
      <c r="X760" s="68"/>
      <c r="Y760" s="68"/>
      <c r="Z760" s="68"/>
      <c r="AA760" s="68"/>
      <c r="AB760" s="68"/>
      <c r="AC760" s="68"/>
      <c r="AD760" s="68"/>
      <c r="AE760" s="68"/>
      <c r="AF760" s="68"/>
    </row>
    <row r="761">
      <c r="A761" s="68"/>
      <c r="B761" s="68"/>
      <c r="C761" s="78"/>
      <c r="D761" s="78"/>
      <c r="E761" s="68"/>
      <c r="F761" s="68"/>
      <c r="G761" s="68"/>
      <c r="H761" s="68"/>
      <c r="I761" s="68"/>
      <c r="J761" s="68"/>
      <c r="K761" s="68"/>
      <c r="L761" s="68"/>
      <c r="M761" s="79"/>
      <c r="N761" s="68"/>
      <c r="O761" s="68"/>
      <c r="P761" s="68"/>
      <c r="Q761" s="68"/>
      <c r="R761" s="68"/>
      <c r="S761" s="68"/>
      <c r="T761" s="68"/>
      <c r="U761" s="68"/>
      <c r="V761" s="68"/>
      <c r="W761" s="68"/>
      <c r="X761" s="68"/>
      <c r="Y761" s="68"/>
      <c r="Z761" s="68"/>
      <c r="AA761" s="68"/>
      <c r="AB761" s="68"/>
      <c r="AC761" s="68"/>
      <c r="AD761" s="68"/>
      <c r="AE761" s="68"/>
      <c r="AF761" s="68"/>
    </row>
    <row r="762">
      <c r="A762" s="68"/>
      <c r="B762" s="68"/>
      <c r="C762" s="78"/>
      <c r="D762" s="78"/>
      <c r="E762" s="68"/>
      <c r="F762" s="68"/>
      <c r="G762" s="68"/>
      <c r="H762" s="68"/>
      <c r="I762" s="68"/>
      <c r="J762" s="68"/>
      <c r="K762" s="68"/>
      <c r="L762" s="68"/>
      <c r="M762" s="79"/>
      <c r="N762" s="68"/>
      <c r="O762" s="68"/>
      <c r="P762" s="68"/>
      <c r="Q762" s="68"/>
      <c r="R762" s="68"/>
      <c r="S762" s="68"/>
      <c r="T762" s="68"/>
      <c r="U762" s="68"/>
      <c r="V762" s="68"/>
      <c r="W762" s="68"/>
      <c r="X762" s="68"/>
      <c r="Y762" s="68"/>
      <c r="Z762" s="68"/>
      <c r="AA762" s="68"/>
      <c r="AB762" s="68"/>
      <c r="AC762" s="68"/>
      <c r="AD762" s="68"/>
      <c r="AE762" s="68"/>
      <c r="AF762" s="68"/>
    </row>
    <row r="763">
      <c r="A763" s="68"/>
      <c r="B763" s="68"/>
      <c r="C763" s="78"/>
      <c r="D763" s="78"/>
      <c r="E763" s="68"/>
      <c r="F763" s="68"/>
      <c r="G763" s="68"/>
      <c r="H763" s="68"/>
      <c r="I763" s="68"/>
      <c r="J763" s="68"/>
      <c r="K763" s="68"/>
      <c r="L763" s="68"/>
      <c r="M763" s="79"/>
      <c r="N763" s="68"/>
      <c r="O763" s="68"/>
      <c r="P763" s="68"/>
      <c r="Q763" s="68"/>
      <c r="R763" s="68"/>
      <c r="S763" s="68"/>
      <c r="T763" s="68"/>
      <c r="U763" s="68"/>
      <c r="V763" s="68"/>
      <c r="W763" s="68"/>
      <c r="X763" s="68"/>
      <c r="Y763" s="68"/>
      <c r="Z763" s="68"/>
      <c r="AA763" s="68"/>
      <c r="AB763" s="68"/>
      <c r="AC763" s="68"/>
      <c r="AD763" s="68"/>
      <c r="AE763" s="68"/>
      <c r="AF763" s="68"/>
    </row>
    <row r="764">
      <c r="A764" s="68"/>
      <c r="B764" s="68"/>
      <c r="C764" s="78"/>
      <c r="D764" s="78"/>
      <c r="E764" s="68"/>
      <c r="F764" s="68"/>
      <c r="G764" s="68"/>
      <c r="H764" s="68"/>
      <c r="I764" s="68"/>
      <c r="J764" s="68"/>
      <c r="K764" s="68"/>
      <c r="L764" s="68"/>
      <c r="M764" s="79"/>
      <c r="N764" s="68"/>
      <c r="O764" s="68"/>
      <c r="P764" s="68"/>
      <c r="Q764" s="68"/>
      <c r="R764" s="68"/>
      <c r="S764" s="68"/>
      <c r="T764" s="68"/>
      <c r="U764" s="68"/>
      <c r="V764" s="68"/>
      <c r="W764" s="68"/>
      <c r="X764" s="68"/>
      <c r="Y764" s="68"/>
      <c r="Z764" s="68"/>
      <c r="AA764" s="68"/>
      <c r="AB764" s="68"/>
      <c r="AC764" s="68"/>
      <c r="AD764" s="68"/>
      <c r="AE764" s="68"/>
      <c r="AF764" s="68"/>
    </row>
    <row r="765">
      <c r="A765" s="68"/>
      <c r="B765" s="68"/>
      <c r="C765" s="78"/>
      <c r="D765" s="78"/>
      <c r="E765" s="68"/>
      <c r="F765" s="68"/>
      <c r="G765" s="68"/>
      <c r="H765" s="68"/>
      <c r="I765" s="68"/>
      <c r="J765" s="68"/>
      <c r="K765" s="68"/>
      <c r="L765" s="68"/>
      <c r="M765" s="79"/>
      <c r="N765" s="68"/>
      <c r="O765" s="68"/>
      <c r="P765" s="68"/>
      <c r="Q765" s="68"/>
      <c r="R765" s="68"/>
      <c r="S765" s="68"/>
      <c r="T765" s="68"/>
      <c r="U765" s="68"/>
      <c r="V765" s="68"/>
      <c r="W765" s="68"/>
      <c r="X765" s="68"/>
      <c r="Y765" s="68"/>
      <c r="Z765" s="68"/>
      <c r="AA765" s="68"/>
      <c r="AB765" s="68"/>
      <c r="AC765" s="68"/>
      <c r="AD765" s="68"/>
      <c r="AE765" s="68"/>
      <c r="AF765" s="68"/>
    </row>
    <row r="766">
      <c r="A766" s="68"/>
      <c r="B766" s="68"/>
      <c r="C766" s="78"/>
      <c r="D766" s="78"/>
      <c r="E766" s="68"/>
      <c r="F766" s="68"/>
      <c r="G766" s="68"/>
      <c r="H766" s="68"/>
      <c r="I766" s="68"/>
      <c r="J766" s="68"/>
      <c r="K766" s="68"/>
      <c r="L766" s="68"/>
      <c r="M766" s="79"/>
      <c r="N766" s="68"/>
      <c r="O766" s="68"/>
      <c r="P766" s="68"/>
      <c r="Q766" s="68"/>
      <c r="R766" s="68"/>
      <c r="S766" s="68"/>
      <c r="T766" s="68"/>
      <c r="U766" s="68"/>
      <c r="V766" s="68"/>
      <c r="W766" s="68"/>
      <c r="X766" s="68"/>
      <c r="Y766" s="68"/>
      <c r="Z766" s="68"/>
      <c r="AA766" s="68"/>
      <c r="AB766" s="68"/>
      <c r="AC766" s="68"/>
      <c r="AD766" s="68"/>
      <c r="AE766" s="68"/>
      <c r="AF766" s="68"/>
    </row>
    <row r="767">
      <c r="A767" s="68"/>
      <c r="B767" s="68"/>
      <c r="C767" s="78"/>
      <c r="D767" s="78"/>
      <c r="E767" s="68"/>
      <c r="F767" s="68"/>
      <c r="G767" s="68"/>
      <c r="H767" s="68"/>
      <c r="I767" s="68"/>
      <c r="J767" s="68"/>
      <c r="K767" s="68"/>
      <c r="L767" s="68"/>
      <c r="M767" s="79"/>
      <c r="N767" s="68"/>
      <c r="O767" s="68"/>
      <c r="P767" s="68"/>
      <c r="Q767" s="68"/>
      <c r="R767" s="68"/>
      <c r="S767" s="68"/>
      <c r="T767" s="68"/>
      <c r="U767" s="68"/>
      <c r="V767" s="68"/>
      <c r="W767" s="68"/>
      <c r="X767" s="68"/>
      <c r="Y767" s="68"/>
      <c r="Z767" s="68"/>
      <c r="AA767" s="68"/>
      <c r="AB767" s="68"/>
      <c r="AC767" s="68"/>
      <c r="AD767" s="68"/>
      <c r="AE767" s="68"/>
      <c r="AF767" s="68"/>
    </row>
    <row r="768">
      <c r="A768" s="68"/>
      <c r="B768" s="68"/>
      <c r="C768" s="78"/>
      <c r="D768" s="78"/>
      <c r="E768" s="68"/>
      <c r="F768" s="68"/>
      <c r="G768" s="68"/>
      <c r="H768" s="68"/>
      <c r="I768" s="68"/>
      <c r="J768" s="68"/>
      <c r="K768" s="68"/>
      <c r="L768" s="68"/>
      <c r="M768" s="79"/>
      <c r="N768" s="68"/>
      <c r="O768" s="68"/>
      <c r="P768" s="68"/>
      <c r="Q768" s="68"/>
      <c r="R768" s="68"/>
      <c r="S768" s="68"/>
      <c r="T768" s="68"/>
      <c r="U768" s="68"/>
      <c r="V768" s="68"/>
      <c r="W768" s="68"/>
      <c r="X768" s="68"/>
      <c r="Y768" s="68"/>
      <c r="Z768" s="68"/>
      <c r="AA768" s="68"/>
      <c r="AB768" s="68"/>
      <c r="AC768" s="68"/>
      <c r="AD768" s="68"/>
      <c r="AE768" s="68"/>
      <c r="AF768" s="68"/>
    </row>
    <row r="769">
      <c r="A769" s="68"/>
      <c r="B769" s="68"/>
      <c r="C769" s="78"/>
      <c r="D769" s="78"/>
      <c r="E769" s="68"/>
      <c r="F769" s="68"/>
      <c r="G769" s="68"/>
      <c r="H769" s="68"/>
      <c r="I769" s="68"/>
      <c r="J769" s="68"/>
      <c r="K769" s="68"/>
      <c r="L769" s="68"/>
      <c r="M769" s="79"/>
      <c r="N769" s="68"/>
      <c r="O769" s="68"/>
      <c r="P769" s="68"/>
      <c r="Q769" s="68"/>
      <c r="R769" s="68"/>
      <c r="S769" s="68"/>
      <c r="T769" s="68"/>
      <c r="U769" s="68"/>
      <c r="V769" s="68"/>
      <c r="W769" s="68"/>
      <c r="X769" s="68"/>
      <c r="Y769" s="68"/>
      <c r="Z769" s="68"/>
      <c r="AA769" s="68"/>
      <c r="AB769" s="68"/>
      <c r="AC769" s="68"/>
      <c r="AD769" s="68"/>
      <c r="AE769" s="68"/>
      <c r="AF769" s="68"/>
    </row>
    <row r="770">
      <c r="A770" s="68"/>
      <c r="B770" s="68"/>
      <c r="C770" s="78"/>
      <c r="D770" s="78"/>
      <c r="E770" s="68"/>
      <c r="F770" s="68"/>
      <c r="G770" s="68"/>
      <c r="H770" s="68"/>
      <c r="I770" s="68"/>
      <c r="J770" s="68"/>
      <c r="K770" s="68"/>
      <c r="L770" s="68"/>
      <c r="M770" s="79"/>
      <c r="N770" s="68"/>
      <c r="O770" s="68"/>
      <c r="P770" s="68"/>
      <c r="Q770" s="68"/>
      <c r="R770" s="68"/>
      <c r="S770" s="68"/>
      <c r="T770" s="68"/>
      <c r="U770" s="68"/>
      <c r="V770" s="68"/>
      <c r="W770" s="68"/>
      <c r="X770" s="68"/>
      <c r="Y770" s="68"/>
      <c r="Z770" s="68"/>
      <c r="AA770" s="68"/>
      <c r="AB770" s="68"/>
      <c r="AC770" s="68"/>
      <c r="AD770" s="68"/>
      <c r="AE770" s="68"/>
      <c r="AF770" s="68"/>
    </row>
    <row r="771">
      <c r="A771" s="68"/>
      <c r="B771" s="68"/>
      <c r="C771" s="78"/>
      <c r="D771" s="78"/>
      <c r="E771" s="68"/>
      <c r="F771" s="68"/>
      <c r="G771" s="68"/>
      <c r="H771" s="68"/>
      <c r="I771" s="68"/>
      <c r="J771" s="68"/>
      <c r="K771" s="68"/>
      <c r="L771" s="68"/>
      <c r="M771" s="79"/>
      <c r="N771" s="68"/>
      <c r="O771" s="68"/>
      <c r="P771" s="68"/>
      <c r="Q771" s="68"/>
      <c r="R771" s="68"/>
      <c r="S771" s="68"/>
      <c r="T771" s="68"/>
      <c r="U771" s="68"/>
      <c r="V771" s="68"/>
      <c r="W771" s="68"/>
      <c r="X771" s="68"/>
      <c r="Y771" s="68"/>
      <c r="Z771" s="68"/>
      <c r="AA771" s="68"/>
      <c r="AB771" s="68"/>
      <c r="AC771" s="68"/>
      <c r="AD771" s="68"/>
      <c r="AE771" s="68"/>
      <c r="AF771" s="68"/>
    </row>
    <row r="772">
      <c r="A772" s="68"/>
      <c r="B772" s="68"/>
      <c r="C772" s="78"/>
      <c r="D772" s="78"/>
      <c r="E772" s="68"/>
      <c r="F772" s="68"/>
      <c r="G772" s="68"/>
      <c r="H772" s="68"/>
      <c r="I772" s="68"/>
      <c r="J772" s="68"/>
      <c r="K772" s="68"/>
      <c r="L772" s="68"/>
      <c r="M772" s="79"/>
      <c r="N772" s="68"/>
      <c r="O772" s="68"/>
      <c r="P772" s="68"/>
      <c r="Q772" s="68"/>
      <c r="R772" s="68"/>
      <c r="S772" s="68"/>
      <c r="T772" s="68"/>
      <c r="U772" s="68"/>
      <c r="V772" s="68"/>
      <c r="W772" s="68"/>
      <c r="X772" s="68"/>
      <c r="Y772" s="68"/>
      <c r="Z772" s="68"/>
      <c r="AA772" s="68"/>
      <c r="AB772" s="68"/>
      <c r="AC772" s="68"/>
      <c r="AD772" s="68"/>
      <c r="AE772" s="68"/>
      <c r="AF772" s="68"/>
    </row>
    <row r="773">
      <c r="A773" s="68"/>
      <c r="B773" s="68"/>
      <c r="C773" s="78"/>
      <c r="D773" s="78"/>
      <c r="E773" s="68"/>
      <c r="F773" s="68"/>
      <c r="G773" s="68"/>
      <c r="H773" s="68"/>
      <c r="I773" s="68"/>
      <c r="J773" s="68"/>
      <c r="K773" s="68"/>
      <c r="L773" s="68"/>
      <c r="M773" s="79"/>
      <c r="N773" s="68"/>
      <c r="O773" s="68"/>
      <c r="P773" s="68"/>
      <c r="Q773" s="68"/>
      <c r="R773" s="68"/>
      <c r="S773" s="68"/>
      <c r="T773" s="68"/>
      <c r="U773" s="68"/>
      <c r="V773" s="68"/>
      <c r="W773" s="68"/>
      <c r="X773" s="68"/>
      <c r="Y773" s="68"/>
      <c r="Z773" s="68"/>
      <c r="AA773" s="68"/>
      <c r="AB773" s="68"/>
      <c r="AC773" s="68"/>
      <c r="AD773" s="68"/>
      <c r="AE773" s="68"/>
      <c r="AF773" s="68"/>
    </row>
    <row r="774">
      <c r="A774" s="68"/>
      <c r="B774" s="68"/>
      <c r="C774" s="78"/>
      <c r="D774" s="78"/>
      <c r="E774" s="68"/>
      <c r="F774" s="68"/>
      <c r="G774" s="68"/>
      <c r="H774" s="68"/>
      <c r="I774" s="68"/>
      <c r="J774" s="68"/>
      <c r="K774" s="68"/>
      <c r="L774" s="68"/>
      <c r="M774" s="79"/>
      <c r="N774" s="68"/>
      <c r="O774" s="68"/>
      <c r="P774" s="68"/>
      <c r="Q774" s="68"/>
      <c r="R774" s="68"/>
      <c r="S774" s="68"/>
      <c r="T774" s="68"/>
      <c r="U774" s="68"/>
      <c r="V774" s="68"/>
      <c r="W774" s="68"/>
      <c r="X774" s="68"/>
      <c r="Y774" s="68"/>
      <c r="Z774" s="68"/>
      <c r="AA774" s="68"/>
      <c r="AB774" s="68"/>
      <c r="AC774" s="68"/>
      <c r="AD774" s="68"/>
      <c r="AE774" s="68"/>
      <c r="AF774" s="68"/>
    </row>
    <row r="775">
      <c r="A775" s="68"/>
      <c r="B775" s="68"/>
      <c r="C775" s="78"/>
      <c r="D775" s="78"/>
      <c r="E775" s="68"/>
      <c r="F775" s="68"/>
      <c r="G775" s="68"/>
      <c r="H775" s="68"/>
      <c r="I775" s="68"/>
      <c r="J775" s="68"/>
      <c r="K775" s="68"/>
      <c r="L775" s="68"/>
      <c r="M775" s="79"/>
      <c r="N775" s="68"/>
      <c r="O775" s="68"/>
      <c r="P775" s="68"/>
      <c r="Q775" s="68"/>
      <c r="R775" s="68"/>
      <c r="S775" s="68"/>
      <c r="T775" s="68"/>
      <c r="U775" s="68"/>
      <c r="V775" s="68"/>
      <c r="W775" s="68"/>
      <c r="X775" s="68"/>
      <c r="Y775" s="68"/>
      <c r="Z775" s="68"/>
      <c r="AA775" s="68"/>
      <c r="AB775" s="68"/>
      <c r="AC775" s="68"/>
      <c r="AD775" s="68"/>
      <c r="AE775" s="68"/>
      <c r="AF775" s="68"/>
    </row>
    <row r="776">
      <c r="A776" s="68"/>
      <c r="B776" s="68"/>
      <c r="C776" s="78"/>
      <c r="D776" s="78"/>
      <c r="E776" s="68"/>
      <c r="F776" s="68"/>
      <c r="G776" s="68"/>
      <c r="H776" s="68"/>
      <c r="I776" s="68"/>
      <c r="J776" s="68"/>
      <c r="K776" s="68"/>
      <c r="L776" s="68"/>
      <c r="M776" s="79"/>
      <c r="N776" s="68"/>
      <c r="O776" s="68"/>
      <c r="P776" s="68"/>
      <c r="Q776" s="68"/>
      <c r="R776" s="68"/>
      <c r="S776" s="68"/>
      <c r="T776" s="68"/>
      <c r="U776" s="68"/>
      <c r="V776" s="68"/>
      <c r="W776" s="68"/>
      <c r="X776" s="68"/>
      <c r="Y776" s="68"/>
      <c r="Z776" s="68"/>
      <c r="AA776" s="68"/>
      <c r="AB776" s="68"/>
      <c r="AC776" s="68"/>
      <c r="AD776" s="68"/>
      <c r="AE776" s="68"/>
      <c r="AF776" s="68"/>
    </row>
    <row r="777">
      <c r="A777" s="68"/>
      <c r="B777" s="68"/>
      <c r="C777" s="78"/>
      <c r="D777" s="78"/>
      <c r="E777" s="68"/>
      <c r="F777" s="68"/>
      <c r="G777" s="68"/>
      <c r="H777" s="68"/>
      <c r="I777" s="68"/>
      <c r="J777" s="68"/>
      <c r="K777" s="68"/>
      <c r="L777" s="68"/>
      <c r="M777" s="79"/>
      <c r="N777" s="68"/>
      <c r="O777" s="68"/>
      <c r="P777" s="68"/>
      <c r="Q777" s="68"/>
      <c r="R777" s="68"/>
      <c r="S777" s="68"/>
      <c r="T777" s="68"/>
      <c r="U777" s="68"/>
      <c r="V777" s="68"/>
      <c r="W777" s="68"/>
      <c r="X777" s="68"/>
      <c r="Y777" s="68"/>
      <c r="Z777" s="68"/>
      <c r="AA777" s="68"/>
      <c r="AB777" s="68"/>
      <c r="AC777" s="68"/>
      <c r="AD777" s="68"/>
      <c r="AE777" s="68"/>
      <c r="AF777" s="68"/>
    </row>
    <row r="778">
      <c r="A778" s="68"/>
      <c r="B778" s="68"/>
      <c r="C778" s="78"/>
      <c r="D778" s="78"/>
      <c r="E778" s="68"/>
      <c r="F778" s="68"/>
      <c r="G778" s="68"/>
      <c r="H778" s="68"/>
      <c r="I778" s="68"/>
      <c r="J778" s="68"/>
      <c r="K778" s="68"/>
      <c r="L778" s="68"/>
      <c r="M778" s="79"/>
      <c r="N778" s="68"/>
      <c r="O778" s="68"/>
      <c r="P778" s="68"/>
      <c r="Q778" s="68"/>
      <c r="R778" s="68"/>
      <c r="S778" s="68"/>
      <c r="T778" s="68"/>
      <c r="U778" s="68"/>
      <c r="V778" s="68"/>
      <c r="W778" s="68"/>
      <c r="X778" s="68"/>
      <c r="Y778" s="68"/>
      <c r="Z778" s="68"/>
      <c r="AA778" s="68"/>
      <c r="AB778" s="68"/>
      <c r="AC778" s="68"/>
      <c r="AD778" s="68"/>
      <c r="AE778" s="68"/>
      <c r="AF778" s="68"/>
    </row>
    <row r="779">
      <c r="A779" s="68"/>
      <c r="B779" s="68"/>
      <c r="C779" s="78"/>
      <c r="D779" s="78"/>
      <c r="E779" s="68"/>
      <c r="F779" s="68"/>
      <c r="G779" s="68"/>
      <c r="H779" s="68"/>
      <c r="I779" s="68"/>
      <c r="J779" s="68"/>
      <c r="K779" s="68"/>
      <c r="L779" s="68"/>
      <c r="M779" s="79"/>
      <c r="N779" s="68"/>
      <c r="O779" s="68"/>
      <c r="P779" s="68"/>
      <c r="Q779" s="68"/>
      <c r="R779" s="68"/>
      <c r="S779" s="68"/>
      <c r="T779" s="68"/>
      <c r="U779" s="68"/>
      <c r="V779" s="68"/>
      <c r="W779" s="68"/>
      <c r="X779" s="68"/>
      <c r="Y779" s="68"/>
      <c r="Z779" s="68"/>
      <c r="AA779" s="68"/>
      <c r="AB779" s="68"/>
      <c r="AC779" s="68"/>
      <c r="AD779" s="68"/>
      <c r="AE779" s="68"/>
      <c r="AF779" s="68"/>
    </row>
    <row r="780">
      <c r="A780" s="68"/>
      <c r="B780" s="68"/>
      <c r="C780" s="78"/>
      <c r="D780" s="78"/>
      <c r="E780" s="68"/>
      <c r="F780" s="68"/>
      <c r="G780" s="68"/>
      <c r="H780" s="68"/>
      <c r="I780" s="68"/>
      <c r="J780" s="68"/>
      <c r="K780" s="68"/>
      <c r="L780" s="68"/>
      <c r="M780" s="79"/>
      <c r="N780" s="68"/>
      <c r="O780" s="68"/>
      <c r="P780" s="68"/>
      <c r="Q780" s="68"/>
      <c r="R780" s="68"/>
      <c r="S780" s="68"/>
      <c r="T780" s="68"/>
      <c r="U780" s="68"/>
      <c r="V780" s="68"/>
      <c r="W780" s="68"/>
      <c r="X780" s="68"/>
      <c r="Y780" s="68"/>
      <c r="Z780" s="68"/>
      <c r="AA780" s="68"/>
      <c r="AB780" s="68"/>
      <c r="AC780" s="68"/>
      <c r="AD780" s="68"/>
      <c r="AE780" s="68"/>
      <c r="AF780" s="68"/>
    </row>
    <row r="781">
      <c r="A781" s="68"/>
      <c r="B781" s="68"/>
      <c r="C781" s="78"/>
      <c r="D781" s="78"/>
      <c r="E781" s="68"/>
      <c r="F781" s="68"/>
      <c r="G781" s="68"/>
      <c r="H781" s="68"/>
      <c r="I781" s="68"/>
      <c r="J781" s="68"/>
      <c r="K781" s="68"/>
      <c r="L781" s="68"/>
      <c r="M781" s="79"/>
      <c r="N781" s="68"/>
      <c r="O781" s="68"/>
      <c r="P781" s="68"/>
      <c r="Q781" s="68"/>
      <c r="R781" s="68"/>
      <c r="S781" s="68"/>
      <c r="T781" s="68"/>
      <c r="U781" s="68"/>
      <c r="V781" s="68"/>
      <c r="W781" s="68"/>
      <c r="X781" s="68"/>
      <c r="Y781" s="68"/>
      <c r="Z781" s="68"/>
      <c r="AA781" s="68"/>
      <c r="AB781" s="68"/>
      <c r="AC781" s="68"/>
      <c r="AD781" s="68"/>
      <c r="AE781" s="68"/>
      <c r="AF781" s="68"/>
    </row>
    <row r="782">
      <c r="A782" s="68"/>
      <c r="B782" s="68"/>
      <c r="C782" s="78"/>
      <c r="D782" s="78"/>
      <c r="E782" s="68"/>
      <c r="F782" s="68"/>
      <c r="G782" s="68"/>
      <c r="H782" s="68"/>
      <c r="I782" s="68"/>
      <c r="J782" s="68"/>
      <c r="K782" s="68"/>
      <c r="L782" s="68"/>
      <c r="M782" s="79"/>
      <c r="N782" s="68"/>
      <c r="O782" s="68"/>
      <c r="P782" s="68"/>
      <c r="Q782" s="68"/>
      <c r="R782" s="68"/>
      <c r="S782" s="68"/>
      <c r="T782" s="68"/>
      <c r="U782" s="68"/>
      <c r="V782" s="68"/>
      <c r="W782" s="68"/>
      <c r="X782" s="68"/>
      <c r="Y782" s="68"/>
      <c r="Z782" s="68"/>
      <c r="AA782" s="68"/>
      <c r="AB782" s="68"/>
      <c r="AC782" s="68"/>
      <c r="AD782" s="68"/>
      <c r="AE782" s="68"/>
      <c r="AF782" s="68"/>
    </row>
    <row r="783">
      <c r="A783" s="68"/>
      <c r="B783" s="68"/>
      <c r="C783" s="78"/>
      <c r="D783" s="78"/>
      <c r="E783" s="68"/>
      <c r="F783" s="68"/>
      <c r="G783" s="68"/>
      <c r="H783" s="68"/>
      <c r="I783" s="68"/>
      <c r="J783" s="68"/>
      <c r="K783" s="68"/>
      <c r="L783" s="68"/>
      <c r="M783" s="79"/>
      <c r="N783" s="68"/>
      <c r="O783" s="68"/>
      <c r="P783" s="68"/>
      <c r="Q783" s="68"/>
      <c r="R783" s="68"/>
      <c r="S783" s="68"/>
      <c r="T783" s="68"/>
      <c r="U783" s="68"/>
      <c r="V783" s="68"/>
      <c r="W783" s="68"/>
      <c r="X783" s="68"/>
      <c r="Y783" s="68"/>
      <c r="Z783" s="68"/>
      <c r="AA783" s="68"/>
      <c r="AB783" s="68"/>
      <c r="AC783" s="68"/>
      <c r="AD783" s="68"/>
      <c r="AE783" s="68"/>
      <c r="AF783" s="68"/>
    </row>
    <row r="784">
      <c r="A784" s="68"/>
      <c r="B784" s="68"/>
      <c r="C784" s="78"/>
      <c r="D784" s="78"/>
      <c r="E784" s="68"/>
      <c r="F784" s="68"/>
      <c r="G784" s="68"/>
      <c r="H784" s="68"/>
      <c r="I784" s="68"/>
      <c r="J784" s="68"/>
      <c r="K784" s="68"/>
      <c r="L784" s="68"/>
      <c r="M784" s="79"/>
      <c r="N784" s="68"/>
      <c r="O784" s="68"/>
      <c r="P784" s="68"/>
      <c r="Q784" s="68"/>
      <c r="R784" s="68"/>
      <c r="S784" s="68"/>
      <c r="T784" s="68"/>
      <c r="U784" s="68"/>
      <c r="V784" s="68"/>
      <c r="W784" s="68"/>
      <c r="X784" s="68"/>
      <c r="Y784" s="68"/>
      <c r="Z784" s="68"/>
      <c r="AA784" s="68"/>
      <c r="AB784" s="68"/>
      <c r="AC784" s="68"/>
      <c r="AD784" s="68"/>
      <c r="AE784" s="68"/>
      <c r="AF784" s="68"/>
    </row>
    <row r="785">
      <c r="A785" s="68"/>
      <c r="B785" s="68"/>
      <c r="C785" s="78"/>
      <c r="D785" s="78"/>
      <c r="E785" s="68"/>
      <c r="F785" s="68"/>
      <c r="G785" s="68"/>
      <c r="H785" s="68"/>
      <c r="I785" s="68"/>
      <c r="J785" s="68"/>
      <c r="K785" s="68"/>
      <c r="L785" s="68"/>
      <c r="M785" s="79"/>
      <c r="N785" s="68"/>
      <c r="O785" s="68"/>
      <c r="P785" s="68"/>
      <c r="Q785" s="68"/>
      <c r="R785" s="68"/>
      <c r="S785" s="68"/>
      <c r="T785" s="68"/>
      <c r="U785" s="68"/>
      <c r="V785" s="68"/>
      <c r="W785" s="68"/>
      <c r="X785" s="68"/>
      <c r="Y785" s="68"/>
      <c r="Z785" s="68"/>
      <c r="AA785" s="68"/>
      <c r="AB785" s="68"/>
      <c r="AC785" s="68"/>
      <c r="AD785" s="68"/>
      <c r="AE785" s="68"/>
      <c r="AF785" s="68"/>
    </row>
    <row r="786">
      <c r="A786" s="68"/>
      <c r="B786" s="68"/>
      <c r="C786" s="78"/>
      <c r="D786" s="78"/>
      <c r="E786" s="68"/>
      <c r="F786" s="68"/>
      <c r="G786" s="68"/>
      <c r="H786" s="68"/>
      <c r="I786" s="68"/>
      <c r="J786" s="68"/>
      <c r="K786" s="68"/>
      <c r="L786" s="68"/>
      <c r="M786" s="79"/>
      <c r="N786" s="68"/>
      <c r="O786" s="68"/>
      <c r="P786" s="68"/>
      <c r="Q786" s="68"/>
      <c r="R786" s="68"/>
      <c r="S786" s="68"/>
      <c r="T786" s="68"/>
      <c r="U786" s="68"/>
      <c r="V786" s="68"/>
      <c r="W786" s="68"/>
      <c r="X786" s="68"/>
      <c r="Y786" s="68"/>
      <c r="Z786" s="68"/>
      <c r="AA786" s="68"/>
      <c r="AB786" s="68"/>
      <c r="AC786" s="68"/>
      <c r="AD786" s="68"/>
      <c r="AE786" s="68"/>
      <c r="AF786" s="68"/>
    </row>
    <row r="787">
      <c r="A787" s="68"/>
      <c r="B787" s="68"/>
      <c r="C787" s="78"/>
      <c r="D787" s="78"/>
      <c r="E787" s="68"/>
      <c r="F787" s="68"/>
      <c r="G787" s="68"/>
      <c r="H787" s="68"/>
      <c r="I787" s="68"/>
      <c r="J787" s="68"/>
      <c r="K787" s="68"/>
      <c r="L787" s="68"/>
      <c r="M787" s="79"/>
      <c r="N787" s="68"/>
      <c r="O787" s="68"/>
      <c r="P787" s="68"/>
      <c r="Q787" s="68"/>
      <c r="R787" s="68"/>
      <c r="S787" s="68"/>
      <c r="T787" s="68"/>
      <c r="U787" s="68"/>
      <c r="V787" s="68"/>
      <c r="W787" s="68"/>
      <c r="X787" s="68"/>
      <c r="Y787" s="68"/>
      <c r="Z787" s="68"/>
      <c r="AA787" s="68"/>
      <c r="AB787" s="68"/>
      <c r="AC787" s="68"/>
      <c r="AD787" s="68"/>
      <c r="AE787" s="68"/>
      <c r="AF787" s="68"/>
    </row>
    <row r="788">
      <c r="A788" s="68"/>
      <c r="B788" s="68"/>
      <c r="C788" s="78"/>
      <c r="D788" s="78"/>
      <c r="E788" s="68"/>
      <c r="F788" s="68"/>
      <c r="G788" s="68"/>
      <c r="H788" s="68"/>
      <c r="I788" s="68"/>
      <c r="J788" s="68"/>
      <c r="K788" s="68"/>
      <c r="L788" s="68"/>
      <c r="M788" s="79"/>
      <c r="N788" s="68"/>
      <c r="O788" s="68"/>
      <c r="P788" s="68"/>
      <c r="Q788" s="68"/>
      <c r="R788" s="68"/>
      <c r="S788" s="68"/>
      <c r="T788" s="68"/>
      <c r="U788" s="68"/>
      <c r="V788" s="68"/>
      <c r="W788" s="68"/>
      <c r="X788" s="68"/>
      <c r="Y788" s="68"/>
      <c r="Z788" s="68"/>
      <c r="AA788" s="68"/>
      <c r="AB788" s="68"/>
      <c r="AC788" s="68"/>
      <c r="AD788" s="68"/>
      <c r="AE788" s="68"/>
      <c r="AF788" s="68"/>
    </row>
    <row r="789">
      <c r="A789" s="68"/>
      <c r="B789" s="68"/>
      <c r="C789" s="78"/>
      <c r="D789" s="78"/>
      <c r="E789" s="68"/>
      <c r="F789" s="68"/>
      <c r="G789" s="68"/>
      <c r="H789" s="68"/>
      <c r="I789" s="68"/>
      <c r="J789" s="68"/>
      <c r="K789" s="68"/>
      <c r="L789" s="68"/>
      <c r="M789" s="79"/>
      <c r="N789" s="68"/>
      <c r="O789" s="68"/>
      <c r="P789" s="68"/>
      <c r="Q789" s="68"/>
      <c r="R789" s="68"/>
      <c r="S789" s="68"/>
      <c r="T789" s="68"/>
      <c r="U789" s="68"/>
      <c r="V789" s="68"/>
      <c r="W789" s="68"/>
      <c r="X789" s="68"/>
      <c r="Y789" s="68"/>
      <c r="Z789" s="68"/>
      <c r="AA789" s="68"/>
      <c r="AB789" s="68"/>
      <c r="AC789" s="68"/>
      <c r="AD789" s="68"/>
      <c r="AE789" s="68"/>
      <c r="AF789" s="68"/>
    </row>
    <row r="790">
      <c r="A790" s="68"/>
      <c r="B790" s="68"/>
      <c r="C790" s="78"/>
      <c r="D790" s="78"/>
      <c r="E790" s="68"/>
      <c r="F790" s="68"/>
      <c r="G790" s="68"/>
      <c r="H790" s="68"/>
      <c r="I790" s="68"/>
      <c r="J790" s="68"/>
      <c r="K790" s="68"/>
      <c r="L790" s="68"/>
      <c r="M790" s="79"/>
      <c r="N790" s="68"/>
      <c r="O790" s="68"/>
      <c r="P790" s="68"/>
      <c r="Q790" s="68"/>
      <c r="R790" s="68"/>
      <c r="S790" s="68"/>
      <c r="T790" s="68"/>
      <c r="U790" s="68"/>
      <c r="V790" s="68"/>
      <c r="W790" s="68"/>
      <c r="X790" s="68"/>
      <c r="Y790" s="68"/>
      <c r="Z790" s="68"/>
      <c r="AA790" s="68"/>
      <c r="AB790" s="68"/>
      <c r="AC790" s="68"/>
      <c r="AD790" s="68"/>
      <c r="AE790" s="68"/>
      <c r="AF790" s="68"/>
    </row>
    <row r="791">
      <c r="A791" s="68"/>
      <c r="B791" s="68"/>
      <c r="C791" s="78"/>
      <c r="D791" s="78"/>
      <c r="E791" s="68"/>
      <c r="F791" s="68"/>
      <c r="G791" s="68"/>
      <c r="H791" s="68"/>
      <c r="I791" s="68"/>
      <c r="J791" s="68"/>
      <c r="K791" s="68"/>
      <c r="L791" s="68"/>
      <c r="M791" s="79"/>
      <c r="N791" s="68"/>
      <c r="O791" s="68"/>
      <c r="P791" s="68"/>
      <c r="Q791" s="68"/>
      <c r="R791" s="68"/>
      <c r="S791" s="68"/>
      <c r="T791" s="68"/>
      <c r="U791" s="68"/>
      <c r="V791" s="68"/>
      <c r="W791" s="68"/>
      <c r="X791" s="68"/>
      <c r="Y791" s="68"/>
      <c r="Z791" s="68"/>
      <c r="AA791" s="68"/>
      <c r="AB791" s="68"/>
      <c r="AC791" s="68"/>
      <c r="AD791" s="68"/>
      <c r="AE791" s="68"/>
      <c r="AF791" s="68"/>
    </row>
    <row r="792">
      <c r="A792" s="68"/>
      <c r="B792" s="68"/>
      <c r="C792" s="78"/>
      <c r="D792" s="78"/>
      <c r="E792" s="68"/>
      <c r="F792" s="68"/>
      <c r="G792" s="68"/>
      <c r="H792" s="68"/>
      <c r="I792" s="68"/>
      <c r="J792" s="68"/>
      <c r="K792" s="68"/>
      <c r="L792" s="68"/>
      <c r="M792" s="79"/>
      <c r="N792" s="68"/>
      <c r="O792" s="68"/>
      <c r="P792" s="68"/>
      <c r="Q792" s="68"/>
      <c r="R792" s="68"/>
      <c r="S792" s="68"/>
      <c r="T792" s="68"/>
      <c r="U792" s="68"/>
      <c r="V792" s="68"/>
      <c r="W792" s="68"/>
      <c r="X792" s="68"/>
      <c r="Y792" s="68"/>
      <c r="Z792" s="68"/>
      <c r="AA792" s="68"/>
      <c r="AB792" s="68"/>
      <c r="AC792" s="68"/>
      <c r="AD792" s="68"/>
      <c r="AE792" s="68"/>
      <c r="AF792" s="68"/>
    </row>
    <row r="793">
      <c r="A793" s="68"/>
      <c r="B793" s="68"/>
      <c r="C793" s="78"/>
      <c r="D793" s="78"/>
      <c r="E793" s="68"/>
      <c r="F793" s="68"/>
      <c r="G793" s="68"/>
      <c r="H793" s="68"/>
      <c r="I793" s="68"/>
      <c r="J793" s="68"/>
      <c r="K793" s="68"/>
      <c r="L793" s="68"/>
      <c r="M793" s="79"/>
      <c r="N793" s="68"/>
      <c r="O793" s="68"/>
      <c r="P793" s="68"/>
      <c r="Q793" s="68"/>
      <c r="R793" s="68"/>
      <c r="S793" s="68"/>
      <c r="T793" s="68"/>
      <c r="U793" s="68"/>
      <c r="V793" s="68"/>
      <c r="W793" s="68"/>
      <c r="X793" s="68"/>
      <c r="Y793" s="68"/>
      <c r="Z793" s="68"/>
      <c r="AA793" s="68"/>
      <c r="AB793" s="68"/>
      <c r="AC793" s="68"/>
      <c r="AD793" s="68"/>
      <c r="AE793" s="68"/>
      <c r="AF793" s="68"/>
    </row>
    <row r="794">
      <c r="A794" s="68"/>
      <c r="B794" s="68"/>
      <c r="C794" s="78"/>
      <c r="D794" s="78"/>
      <c r="E794" s="68"/>
      <c r="F794" s="68"/>
      <c r="G794" s="68"/>
      <c r="H794" s="68"/>
      <c r="I794" s="68"/>
      <c r="J794" s="68"/>
      <c r="K794" s="68"/>
      <c r="L794" s="68"/>
      <c r="M794" s="79"/>
      <c r="N794" s="68"/>
      <c r="O794" s="68"/>
      <c r="P794" s="68"/>
      <c r="Q794" s="68"/>
      <c r="R794" s="68"/>
      <c r="S794" s="68"/>
      <c r="T794" s="68"/>
      <c r="U794" s="68"/>
      <c r="V794" s="68"/>
      <c r="W794" s="68"/>
      <c r="X794" s="68"/>
      <c r="Y794" s="68"/>
      <c r="Z794" s="68"/>
      <c r="AA794" s="68"/>
      <c r="AB794" s="68"/>
      <c r="AC794" s="68"/>
      <c r="AD794" s="68"/>
      <c r="AE794" s="68"/>
      <c r="AF794" s="68"/>
    </row>
    <row r="795">
      <c r="A795" s="68"/>
      <c r="B795" s="68"/>
      <c r="C795" s="78"/>
      <c r="D795" s="78"/>
      <c r="E795" s="68"/>
      <c r="F795" s="68"/>
      <c r="G795" s="68"/>
      <c r="H795" s="68"/>
      <c r="I795" s="68"/>
      <c r="J795" s="68"/>
      <c r="K795" s="68"/>
      <c r="L795" s="68"/>
      <c r="M795" s="79"/>
      <c r="N795" s="68"/>
      <c r="O795" s="68"/>
      <c r="P795" s="68"/>
      <c r="Q795" s="68"/>
      <c r="R795" s="68"/>
      <c r="S795" s="68"/>
      <c r="T795" s="68"/>
      <c r="U795" s="68"/>
      <c r="V795" s="68"/>
      <c r="W795" s="68"/>
      <c r="X795" s="68"/>
      <c r="Y795" s="68"/>
      <c r="Z795" s="68"/>
      <c r="AA795" s="68"/>
      <c r="AB795" s="68"/>
      <c r="AC795" s="68"/>
      <c r="AD795" s="68"/>
      <c r="AE795" s="68"/>
      <c r="AF795" s="68"/>
    </row>
    <row r="796">
      <c r="A796" s="68"/>
      <c r="B796" s="68"/>
      <c r="C796" s="78"/>
      <c r="D796" s="78"/>
      <c r="E796" s="68"/>
      <c r="F796" s="68"/>
      <c r="G796" s="68"/>
      <c r="H796" s="68"/>
      <c r="I796" s="68"/>
      <c r="J796" s="68"/>
      <c r="K796" s="68"/>
      <c r="L796" s="68"/>
      <c r="M796" s="79"/>
      <c r="N796" s="68"/>
      <c r="O796" s="68"/>
      <c r="P796" s="68"/>
      <c r="Q796" s="68"/>
      <c r="R796" s="68"/>
      <c r="S796" s="68"/>
      <c r="T796" s="68"/>
      <c r="U796" s="68"/>
      <c r="V796" s="68"/>
      <c r="W796" s="68"/>
      <c r="X796" s="68"/>
      <c r="Y796" s="68"/>
      <c r="Z796" s="68"/>
      <c r="AA796" s="68"/>
      <c r="AB796" s="68"/>
      <c r="AC796" s="68"/>
      <c r="AD796" s="68"/>
      <c r="AE796" s="68"/>
      <c r="AF796" s="68"/>
    </row>
    <row r="797">
      <c r="A797" s="68"/>
      <c r="B797" s="68"/>
      <c r="C797" s="78"/>
      <c r="D797" s="78"/>
      <c r="E797" s="68"/>
      <c r="F797" s="68"/>
      <c r="G797" s="68"/>
      <c r="H797" s="68"/>
      <c r="I797" s="68"/>
      <c r="J797" s="68"/>
      <c r="K797" s="68"/>
      <c r="L797" s="68"/>
      <c r="M797" s="79"/>
      <c r="N797" s="68"/>
      <c r="O797" s="68"/>
      <c r="P797" s="68"/>
      <c r="Q797" s="68"/>
      <c r="R797" s="68"/>
      <c r="S797" s="68"/>
      <c r="T797" s="68"/>
      <c r="U797" s="68"/>
      <c r="V797" s="68"/>
      <c r="W797" s="68"/>
      <c r="X797" s="68"/>
      <c r="Y797" s="68"/>
      <c r="Z797" s="68"/>
      <c r="AA797" s="68"/>
      <c r="AB797" s="68"/>
      <c r="AC797" s="68"/>
      <c r="AD797" s="68"/>
      <c r="AE797" s="68"/>
      <c r="AF797" s="68"/>
    </row>
    <row r="798">
      <c r="A798" s="68"/>
      <c r="B798" s="68"/>
      <c r="C798" s="78"/>
      <c r="D798" s="78"/>
      <c r="E798" s="68"/>
      <c r="F798" s="68"/>
      <c r="G798" s="68"/>
      <c r="H798" s="68"/>
      <c r="I798" s="68"/>
      <c r="J798" s="68"/>
      <c r="K798" s="68"/>
      <c r="L798" s="68"/>
      <c r="M798" s="79"/>
      <c r="N798" s="68"/>
      <c r="O798" s="68"/>
      <c r="P798" s="68"/>
      <c r="Q798" s="68"/>
      <c r="R798" s="68"/>
      <c r="S798" s="68"/>
      <c r="T798" s="68"/>
      <c r="U798" s="68"/>
      <c r="V798" s="68"/>
      <c r="W798" s="68"/>
      <c r="X798" s="68"/>
      <c r="Y798" s="68"/>
      <c r="Z798" s="68"/>
      <c r="AA798" s="68"/>
      <c r="AB798" s="68"/>
      <c r="AC798" s="68"/>
      <c r="AD798" s="68"/>
      <c r="AE798" s="68"/>
      <c r="AF798" s="68"/>
    </row>
    <row r="799">
      <c r="A799" s="68"/>
      <c r="B799" s="68"/>
      <c r="C799" s="78"/>
      <c r="D799" s="78"/>
      <c r="E799" s="68"/>
      <c r="F799" s="68"/>
      <c r="G799" s="68"/>
      <c r="H799" s="68"/>
      <c r="I799" s="68"/>
      <c r="J799" s="68"/>
      <c r="K799" s="68"/>
      <c r="L799" s="68"/>
      <c r="M799" s="79"/>
      <c r="N799" s="68"/>
      <c r="O799" s="68"/>
      <c r="P799" s="68"/>
      <c r="Q799" s="68"/>
      <c r="R799" s="68"/>
      <c r="S799" s="68"/>
      <c r="T799" s="68"/>
      <c r="U799" s="68"/>
      <c r="V799" s="68"/>
      <c r="W799" s="68"/>
      <c r="X799" s="68"/>
      <c r="Y799" s="68"/>
      <c r="Z799" s="68"/>
      <c r="AA799" s="68"/>
      <c r="AB799" s="68"/>
      <c r="AC799" s="68"/>
      <c r="AD799" s="68"/>
      <c r="AE799" s="68"/>
      <c r="AF799" s="68"/>
    </row>
    <row r="800">
      <c r="A800" s="68"/>
      <c r="B800" s="68"/>
      <c r="C800" s="78"/>
      <c r="D800" s="78"/>
      <c r="E800" s="68"/>
      <c r="F800" s="68"/>
      <c r="G800" s="68"/>
      <c r="H800" s="68"/>
      <c r="I800" s="68"/>
      <c r="J800" s="68"/>
      <c r="K800" s="68"/>
      <c r="L800" s="68"/>
      <c r="M800" s="79"/>
      <c r="N800" s="68"/>
      <c r="O800" s="68"/>
      <c r="P800" s="68"/>
      <c r="Q800" s="68"/>
      <c r="R800" s="68"/>
      <c r="S800" s="68"/>
      <c r="T800" s="68"/>
      <c r="U800" s="68"/>
      <c r="V800" s="68"/>
      <c r="W800" s="68"/>
      <c r="X800" s="68"/>
      <c r="Y800" s="68"/>
      <c r="Z800" s="68"/>
      <c r="AA800" s="68"/>
      <c r="AB800" s="68"/>
      <c r="AC800" s="68"/>
      <c r="AD800" s="68"/>
      <c r="AE800" s="68"/>
      <c r="AF800" s="68"/>
    </row>
    <row r="801">
      <c r="A801" s="68"/>
      <c r="B801" s="68"/>
      <c r="C801" s="78"/>
      <c r="D801" s="78"/>
      <c r="E801" s="68"/>
      <c r="F801" s="68"/>
      <c r="G801" s="68"/>
      <c r="H801" s="68"/>
      <c r="I801" s="68"/>
      <c r="J801" s="68"/>
      <c r="K801" s="68"/>
      <c r="L801" s="68"/>
      <c r="M801" s="79"/>
      <c r="N801" s="68"/>
      <c r="O801" s="68"/>
      <c r="P801" s="68"/>
      <c r="Q801" s="68"/>
      <c r="R801" s="68"/>
      <c r="S801" s="68"/>
      <c r="T801" s="68"/>
      <c r="U801" s="68"/>
      <c r="V801" s="68"/>
      <c r="W801" s="68"/>
      <c r="X801" s="68"/>
      <c r="Y801" s="68"/>
      <c r="Z801" s="68"/>
      <c r="AA801" s="68"/>
      <c r="AB801" s="68"/>
      <c r="AC801" s="68"/>
      <c r="AD801" s="68"/>
      <c r="AE801" s="68"/>
      <c r="AF801" s="68"/>
    </row>
    <row r="802">
      <c r="A802" s="68"/>
      <c r="B802" s="68"/>
      <c r="C802" s="78"/>
      <c r="D802" s="78"/>
      <c r="E802" s="68"/>
      <c r="F802" s="68"/>
      <c r="G802" s="68"/>
      <c r="H802" s="68"/>
      <c r="I802" s="68"/>
      <c r="J802" s="68"/>
      <c r="K802" s="68"/>
      <c r="L802" s="68"/>
      <c r="M802" s="79"/>
      <c r="N802" s="68"/>
      <c r="O802" s="68"/>
      <c r="P802" s="68"/>
      <c r="Q802" s="68"/>
      <c r="R802" s="68"/>
      <c r="S802" s="68"/>
      <c r="T802" s="68"/>
      <c r="U802" s="68"/>
      <c r="V802" s="68"/>
      <c r="W802" s="68"/>
      <c r="X802" s="68"/>
      <c r="Y802" s="68"/>
      <c r="Z802" s="68"/>
      <c r="AA802" s="68"/>
      <c r="AB802" s="68"/>
      <c r="AC802" s="68"/>
      <c r="AD802" s="68"/>
      <c r="AE802" s="68"/>
      <c r="AF802" s="68"/>
    </row>
    <row r="803">
      <c r="A803" s="68"/>
      <c r="B803" s="68"/>
      <c r="C803" s="78"/>
      <c r="D803" s="78"/>
      <c r="E803" s="68"/>
      <c r="F803" s="68"/>
      <c r="G803" s="68"/>
      <c r="H803" s="68"/>
      <c r="I803" s="68"/>
      <c r="J803" s="68"/>
      <c r="K803" s="68"/>
      <c r="L803" s="68"/>
      <c r="M803" s="79"/>
      <c r="N803" s="68"/>
      <c r="O803" s="68"/>
      <c r="P803" s="68"/>
      <c r="Q803" s="68"/>
      <c r="R803" s="68"/>
      <c r="S803" s="68"/>
      <c r="T803" s="68"/>
      <c r="U803" s="68"/>
      <c r="V803" s="68"/>
      <c r="W803" s="68"/>
      <c r="X803" s="68"/>
      <c r="Y803" s="68"/>
      <c r="Z803" s="68"/>
      <c r="AA803" s="68"/>
      <c r="AB803" s="68"/>
      <c r="AC803" s="68"/>
      <c r="AD803" s="68"/>
      <c r="AE803" s="68"/>
      <c r="AF803" s="68"/>
    </row>
    <row r="804">
      <c r="A804" s="68"/>
      <c r="B804" s="68"/>
      <c r="C804" s="78"/>
      <c r="D804" s="78"/>
      <c r="E804" s="68"/>
      <c r="F804" s="68"/>
      <c r="G804" s="68"/>
      <c r="H804" s="68"/>
      <c r="I804" s="68"/>
      <c r="J804" s="68"/>
      <c r="K804" s="68"/>
      <c r="L804" s="68"/>
      <c r="M804" s="79"/>
      <c r="N804" s="68"/>
      <c r="O804" s="68"/>
      <c r="P804" s="68"/>
      <c r="Q804" s="68"/>
      <c r="R804" s="68"/>
      <c r="S804" s="68"/>
      <c r="T804" s="68"/>
      <c r="U804" s="68"/>
      <c r="V804" s="68"/>
      <c r="W804" s="68"/>
      <c r="X804" s="68"/>
      <c r="Y804" s="68"/>
      <c r="Z804" s="68"/>
      <c r="AA804" s="68"/>
      <c r="AB804" s="68"/>
      <c r="AC804" s="68"/>
      <c r="AD804" s="68"/>
      <c r="AE804" s="68"/>
      <c r="AF804" s="68"/>
    </row>
    <row r="805">
      <c r="A805" s="68"/>
      <c r="B805" s="68"/>
      <c r="C805" s="78"/>
      <c r="D805" s="78"/>
      <c r="E805" s="68"/>
      <c r="F805" s="68"/>
      <c r="G805" s="68"/>
      <c r="H805" s="68"/>
      <c r="I805" s="68"/>
      <c r="J805" s="68"/>
      <c r="K805" s="68"/>
      <c r="L805" s="68"/>
      <c r="M805" s="79"/>
      <c r="N805" s="68"/>
      <c r="O805" s="68"/>
      <c r="P805" s="68"/>
      <c r="Q805" s="68"/>
      <c r="R805" s="68"/>
      <c r="S805" s="68"/>
      <c r="T805" s="68"/>
      <c r="U805" s="68"/>
      <c r="V805" s="68"/>
      <c r="W805" s="68"/>
      <c r="X805" s="68"/>
      <c r="Y805" s="68"/>
      <c r="Z805" s="68"/>
      <c r="AA805" s="68"/>
      <c r="AB805" s="68"/>
      <c r="AC805" s="68"/>
      <c r="AD805" s="68"/>
      <c r="AE805" s="68"/>
      <c r="AF805" s="68"/>
    </row>
    <row r="806">
      <c r="A806" s="68"/>
      <c r="B806" s="68"/>
      <c r="C806" s="78"/>
      <c r="D806" s="78"/>
      <c r="E806" s="68"/>
      <c r="F806" s="68"/>
      <c r="G806" s="68"/>
      <c r="H806" s="68"/>
      <c r="I806" s="68"/>
      <c r="J806" s="68"/>
      <c r="K806" s="68"/>
      <c r="L806" s="68"/>
      <c r="M806" s="79"/>
      <c r="N806" s="68"/>
      <c r="O806" s="68"/>
      <c r="P806" s="68"/>
      <c r="Q806" s="68"/>
      <c r="R806" s="68"/>
      <c r="S806" s="68"/>
      <c r="T806" s="68"/>
      <c r="U806" s="68"/>
      <c r="V806" s="68"/>
      <c r="W806" s="68"/>
      <c r="X806" s="68"/>
      <c r="Y806" s="68"/>
      <c r="Z806" s="68"/>
      <c r="AA806" s="68"/>
      <c r="AB806" s="68"/>
      <c r="AC806" s="68"/>
      <c r="AD806" s="68"/>
      <c r="AE806" s="68"/>
      <c r="AF806" s="68"/>
    </row>
    <row r="807">
      <c r="A807" s="68"/>
      <c r="B807" s="68"/>
      <c r="C807" s="78"/>
      <c r="D807" s="78"/>
      <c r="E807" s="68"/>
      <c r="F807" s="68"/>
      <c r="G807" s="68"/>
      <c r="H807" s="68"/>
      <c r="I807" s="68"/>
      <c r="J807" s="68"/>
      <c r="K807" s="68"/>
      <c r="L807" s="68"/>
      <c r="M807" s="79"/>
      <c r="N807" s="68"/>
      <c r="O807" s="68"/>
      <c r="P807" s="68"/>
      <c r="Q807" s="68"/>
      <c r="R807" s="68"/>
      <c r="S807" s="68"/>
      <c r="T807" s="68"/>
      <c r="U807" s="68"/>
      <c r="V807" s="68"/>
      <c r="W807" s="68"/>
      <c r="X807" s="68"/>
      <c r="Y807" s="68"/>
      <c r="Z807" s="68"/>
      <c r="AA807" s="68"/>
      <c r="AB807" s="68"/>
      <c r="AC807" s="68"/>
      <c r="AD807" s="68"/>
      <c r="AE807" s="68"/>
      <c r="AF807" s="68"/>
    </row>
    <row r="808">
      <c r="A808" s="68"/>
      <c r="B808" s="68"/>
      <c r="C808" s="78"/>
      <c r="D808" s="78"/>
      <c r="E808" s="68"/>
      <c r="F808" s="68"/>
      <c r="G808" s="68"/>
      <c r="H808" s="68"/>
      <c r="I808" s="68"/>
      <c r="J808" s="68"/>
      <c r="K808" s="68"/>
      <c r="L808" s="68"/>
      <c r="M808" s="79"/>
      <c r="N808" s="68"/>
      <c r="O808" s="68"/>
      <c r="P808" s="68"/>
      <c r="Q808" s="68"/>
      <c r="R808" s="68"/>
      <c r="S808" s="68"/>
      <c r="T808" s="68"/>
      <c r="U808" s="68"/>
      <c r="V808" s="68"/>
      <c r="W808" s="68"/>
      <c r="X808" s="68"/>
      <c r="Y808" s="68"/>
      <c r="Z808" s="68"/>
      <c r="AA808" s="68"/>
      <c r="AB808" s="68"/>
      <c r="AC808" s="68"/>
      <c r="AD808" s="68"/>
      <c r="AE808" s="68"/>
      <c r="AF808" s="68"/>
    </row>
    <row r="809">
      <c r="A809" s="68"/>
      <c r="B809" s="68"/>
      <c r="C809" s="78"/>
      <c r="D809" s="78"/>
      <c r="E809" s="68"/>
      <c r="F809" s="68"/>
      <c r="G809" s="68"/>
      <c r="H809" s="68"/>
      <c r="I809" s="68"/>
      <c r="J809" s="68"/>
      <c r="K809" s="68"/>
      <c r="L809" s="68"/>
      <c r="M809" s="79"/>
      <c r="N809" s="68"/>
      <c r="O809" s="68"/>
      <c r="P809" s="68"/>
      <c r="Q809" s="68"/>
      <c r="R809" s="68"/>
      <c r="S809" s="68"/>
      <c r="T809" s="68"/>
      <c r="U809" s="68"/>
      <c r="V809" s="68"/>
      <c r="W809" s="68"/>
      <c r="X809" s="68"/>
      <c r="Y809" s="68"/>
      <c r="Z809" s="68"/>
      <c r="AA809" s="68"/>
      <c r="AB809" s="68"/>
      <c r="AC809" s="68"/>
      <c r="AD809" s="68"/>
      <c r="AE809" s="68"/>
      <c r="AF809" s="68"/>
    </row>
    <row r="810">
      <c r="A810" s="68"/>
      <c r="B810" s="68"/>
      <c r="C810" s="78"/>
      <c r="D810" s="78"/>
      <c r="E810" s="68"/>
      <c r="F810" s="68"/>
      <c r="G810" s="68"/>
      <c r="H810" s="68"/>
      <c r="I810" s="68"/>
      <c r="J810" s="68"/>
      <c r="K810" s="68"/>
      <c r="L810" s="68"/>
      <c r="M810" s="79"/>
      <c r="N810" s="68"/>
      <c r="O810" s="68"/>
      <c r="P810" s="68"/>
      <c r="Q810" s="68"/>
      <c r="R810" s="68"/>
      <c r="S810" s="68"/>
      <c r="T810" s="68"/>
      <c r="U810" s="68"/>
      <c r="V810" s="68"/>
      <c r="W810" s="68"/>
      <c r="X810" s="68"/>
      <c r="Y810" s="68"/>
      <c r="Z810" s="68"/>
      <c r="AA810" s="68"/>
      <c r="AB810" s="68"/>
      <c r="AC810" s="68"/>
      <c r="AD810" s="68"/>
      <c r="AE810" s="68"/>
      <c r="AF810" s="68"/>
    </row>
    <row r="811">
      <c r="A811" s="68"/>
      <c r="B811" s="68"/>
      <c r="C811" s="78"/>
      <c r="D811" s="78"/>
      <c r="E811" s="68"/>
      <c r="F811" s="68"/>
      <c r="G811" s="68"/>
      <c r="H811" s="68"/>
      <c r="I811" s="68"/>
      <c r="J811" s="68"/>
      <c r="K811" s="68"/>
      <c r="L811" s="68"/>
      <c r="M811" s="79"/>
      <c r="N811" s="68"/>
      <c r="O811" s="68"/>
      <c r="P811" s="68"/>
      <c r="Q811" s="68"/>
      <c r="R811" s="68"/>
      <c r="S811" s="68"/>
      <c r="T811" s="68"/>
      <c r="U811" s="68"/>
      <c r="V811" s="68"/>
      <c r="W811" s="68"/>
      <c r="X811" s="68"/>
      <c r="Y811" s="68"/>
      <c r="Z811" s="68"/>
      <c r="AA811" s="68"/>
      <c r="AB811" s="68"/>
      <c r="AC811" s="68"/>
      <c r="AD811" s="68"/>
      <c r="AE811" s="68"/>
      <c r="AF811" s="68"/>
    </row>
    <row r="812">
      <c r="A812" s="68"/>
      <c r="B812" s="68"/>
      <c r="C812" s="78"/>
      <c r="D812" s="78"/>
      <c r="E812" s="68"/>
      <c r="F812" s="68"/>
      <c r="G812" s="68"/>
      <c r="H812" s="68"/>
      <c r="I812" s="68"/>
      <c r="J812" s="68"/>
      <c r="K812" s="68"/>
      <c r="L812" s="68"/>
      <c r="M812" s="79"/>
      <c r="N812" s="68"/>
      <c r="O812" s="68"/>
      <c r="P812" s="68"/>
      <c r="Q812" s="68"/>
      <c r="R812" s="68"/>
      <c r="S812" s="68"/>
      <c r="T812" s="68"/>
      <c r="U812" s="68"/>
      <c r="V812" s="68"/>
      <c r="W812" s="68"/>
      <c r="X812" s="68"/>
      <c r="Y812" s="68"/>
      <c r="Z812" s="68"/>
      <c r="AA812" s="68"/>
      <c r="AB812" s="68"/>
      <c r="AC812" s="68"/>
      <c r="AD812" s="68"/>
      <c r="AE812" s="68"/>
      <c r="AF812" s="68"/>
    </row>
    <row r="813">
      <c r="A813" s="68"/>
      <c r="B813" s="68"/>
      <c r="C813" s="78"/>
      <c r="D813" s="78"/>
      <c r="E813" s="68"/>
      <c r="F813" s="68"/>
      <c r="G813" s="68"/>
      <c r="H813" s="68"/>
      <c r="I813" s="68"/>
      <c r="J813" s="68"/>
      <c r="K813" s="68"/>
      <c r="L813" s="68"/>
      <c r="M813" s="79"/>
      <c r="N813" s="68"/>
      <c r="O813" s="68"/>
      <c r="P813" s="68"/>
      <c r="Q813" s="68"/>
      <c r="R813" s="68"/>
      <c r="S813" s="68"/>
      <c r="T813" s="68"/>
      <c r="U813" s="68"/>
      <c r="V813" s="68"/>
      <c r="W813" s="68"/>
      <c r="X813" s="68"/>
      <c r="Y813" s="68"/>
      <c r="Z813" s="68"/>
      <c r="AA813" s="68"/>
      <c r="AB813" s="68"/>
      <c r="AC813" s="68"/>
      <c r="AD813" s="68"/>
      <c r="AE813" s="68"/>
      <c r="AF813" s="68"/>
    </row>
    <row r="814">
      <c r="A814" s="68"/>
      <c r="B814" s="68"/>
      <c r="C814" s="78"/>
      <c r="D814" s="78"/>
      <c r="E814" s="68"/>
      <c r="F814" s="68"/>
      <c r="G814" s="68"/>
      <c r="H814" s="68"/>
      <c r="I814" s="68"/>
      <c r="J814" s="68"/>
      <c r="K814" s="68"/>
      <c r="L814" s="68"/>
      <c r="M814" s="79"/>
      <c r="N814" s="68"/>
      <c r="O814" s="68"/>
      <c r="P814" s="68"/>
      <c r="Q814" s="68"/>
      <c r="R814" s="68"/>
      <c r="S814" s="68"/>
      <c r="T814" s="68"/>
      <c r="U814" s="68"/>
      <c r="V814" s="68"/>
      <c r="W814" s="68"/>
      <c r="X814" s="68"/>
      <c r="Y814" s="68"/>
      <c r="Z814" s="68"/>
      <c r="AA814" s="68"/>
      <c r="AB814" s="68"/>
      <c r="AC814" s="68"/>
      <c r="AD814" s="68"/>
      <c r="AE814" s="68"/>
      <c r="AF814" s="68"/>
    </row>
    <row r="815">
      <c r="A815" s="68"/>
      <c r="B815" s="68"/>
      <c r="C815" s="78"/>
      <c r="D815" s="78"/>
      <c r="E815" s="68"/>
      <c r="F815" s="68"/>
      <c r="G815" s="68"/>
      <c r="H815" s="68"/>
      <c r="I815" s="68"/>
      <c r="J815" s="68"/>
      <c r="K815" s="68"/>
      <c r="L815" s="68"/>
      <c r="M815" s="79"/>
      <c r="N815" s="68"/>
      <c r="O815" s="68"/>
      <c r="P815" s="68"/>
      <c r="Q815" s="68"/>
      <c r="R815" s="68"/>
      <c r="S815" s="68"/>
      <c r="T815" s="68"/>
      <c r="U815" s="68"/>
      <c r="V815" s="68"/>
      <c r="W815" s="68"/>
      <c r="X815" s="68"/>
      <c r="Y815" s="68"/>
      <c r="Z815" s="68"/>
      <c r="AA815" s="68"/>
      <c r="AB815" s="68"/>
      <c r="AC815" s="68"/>
      <c r="AD815" s="68"/>
      <c r="AE815" s="68"/>
      <c r="AF815" s="68"/>
    </row>
    <row r="816">
      <c r="A816" s="68"/>
      <c r="B816" s="68"/>
      <c r="C816" s="78"/>
      <c r="D816" s="78"/>
      <c r="E816" s="68"/>
      <c r="F816" s="68"/>
      <c r="G816" s="68"/>
      <c r="H816" s="68"/>
      <c r="I816" s="68"/>
      <c r="J816" s="68"/>
      <c r="K816" s="68"/>
      <c r="L816" s="68"/>
      <c r="M816" s="79"/>
      <c r="N816" s="68"/>
      <c r="O816" s="68"/>
      <c r="P816" s="68"/>
      <c r="Q816" s="68"/>
      <c r="R816" s="68"/>
      <c r="S816" s="68"/>
      <c r="T816" s="68"/>
      <c r="U816" s="68"/>
      <c r="V816" s="68"/>
      <c r="W816" s="68"/>
      <c r="X816" s="68"/>
      <c r="Y816" s="68"/>
      <c r="Z816" s="68"/>
      <c r="AA816" s="68"/>
      <c r="AB816" s="68"/>
      <c r="AC816" s="68"/>
      <c r="AD816" s="68"/>
      <c r="AE816" s="68"/>
      <c r="AF816" s="68"/>
    </row>
    <row r="817">
      <c r="A817" s="68"/>
      <c r="B817" s="68"/>
      <c r="C817" s="78"/>
      <c r="D817" s="78"/>
      <c r="E817" s="68"/>
      <c r="F817" s="68"/>
      <c r="G817" s="68"/>
      <c r="H817" s="68"/>
      <c r="I817" s="68"/>
      <c r="J817" s="68"/>
      <c r="K817" s="68"/>
      <c r="L817" s="68"/>
      <c r="M817" s="79"/>
      <c r="N817" s="68"/>
      <c r="O817" s="68"/>
      <c r="P817" s="68"/>
      <c r="Q817" s="68"/>
      <c r="R817" s="68"/>
      <c r="S817" s="68"/>
      <c r="T817" s="68"/>
      <c r="U817" s="68"/>
      <c r="V817" s="68"/>
      <c r="W817" s="68"/>
      <c r="X817" s="68"/>
      <c r="Y817" s="68"/>
      <c r="Z817" s="68"/>
      <c r="AA817" s="68"/>
      <c r="AB817" s="68"/>
      <c r="AC817" s="68"/>
      <c r="AD817" s="68"/>
      <c r="AE817" s="68"/>
      <c r="AF817" s="68"/>
    </row>
    <row r="818">
      <c r="A818" s="68"/>
      <c r="B818" s="68"/>
      <c r="C818" s="78"/>
      <c r="D818" s="78"/>
      <c r="E818" s="68"/>
      <c r="F818" s="68"/>
      <c r="G818" s="68"/>
      <c r="H818" s="68"/>
      <c r="I818" s="68"/>
      <c r="J818" s="68"/>
      <c r="K818" s="68"/>
      <c r="L818" s="68"/>
      <c r="M818" s="79"/>
      <c r="N818" s="68"/>
      <c r="O818" s="68"/>
      <c r="P818" s="68"/>
      <c r="Q818" s="68"/>
      <c r="R818" s="68"/>
      <c r="S818" s="68"/>
      <c r="T818" s="68"/>
      <c r="U818" s="68"/>
      <c r="V818" s="68"/>
      <c r="W818" s="68"/>
      <c r="X818" s="68"/>
      <c r="Y818" s="68"/>
      <c r="Z818" s="68"/>
      <c r="AA818" s="68"/>
      <c r="AB818" s="68"/>
      <c r="AC818" s="68"/>
      <c r="AD818" s="68"/>
      <c r="AE818" s="68"/>
      <c r="AF818" s="68"/>
    </row>
    <row r="819">
      <c r="A819" s="68"/>
      <c r="B819" s="68"/>
      <c r="C819" s="78"/>
      <c r="D819" s="78"/>
      <c r="E819" s="68"/>
      <c r="F819" s="68"/>
      <c r="G819" s="68"/>
      <c r="H819" s="68"/>
      <c r="I819" s="68"/>
      <c r="J819" s="68"/>
      <c r="K819" s="68"/>
      <c r="L819" s="68"/>
      <c r="M819" s="79"/>
      <c r="N819" s="68"/>
      <c r="O819" s="68"/>
      <c r="P819" s="68"/>
      <c r="Q819" s="68"/>
      <c r="R819" s="68"/>
      <c r="S819" s="68"/>
      <c r="T819" s="68"/>
      <c r="U819" s="68"/>
      <c r="V819" s="68"/>
      <c r="W819" s="68"/>
      <c r="X819" s="68"/>
      <c r="Y819" s="68"/>
      <c r="Z819" s="68"/>
      <c r="AA819" s="68"/>
      <c r="AB819" s="68"/>
      <c r="AC819" s="68"/>
      <c r="AD819" s="68"/>
      <c r="AE819" s="68"/>
      <c r="AF819" s="68"/>
    </row>
    <row r="820">
      <c r="A820" s="68"/>
      <c r="B820" s="68"/>
      <c r="C820" s="78"/>
      <c r="D820" s="78"/>
      <c r="E820" s="68"/>
      <c r="F820" s="68"/>
      <c r="G820" s="68"/>
      <c r="H820" s="68"/>
      <c r="I820" s="68"/>
      <c r="J820" s="68"/>
      <c r="K820" s="68"/>
      <c r="L820" s="68"/>
      <c r="M820" s="79"/>
      <c r="N820" s="68"/>
      <c r="O820" s="68"/>
      <c r="P820" s="68"/>
      <c r="Q820" s="68"/>
      <c r="R820" s="68"/>
      <c r="S820" s="68"/>
      <c r="T820" s="68"/>
      <c r="U820" s="68"/>
      <c r="V820" s="68"/>
      <c r="W820" s="68"/>
      <c r="X820" s="68"/>
      <c r="Y820" s="68"/>
      <c r="Z820" s="68"/>
      <c r="AA820" s="68"/>
      <c r="AB820" s="68"/>
      <c r="AC820" s="68"/>
      <c r="AD820" s="68"/>
      <c r="AE820" s="68"/>
      <c r="AF820" s="68"/>
    </row>
    <row r="821">
      <c r="A821" s="68"/>
      <c r="B821" s="68"/>
      <c r="C821" s="78"/>
      <c r="D821" s="78"/>
      <c r="E821" s="68"/>
      <c r="F821" s="68"/>
      <c r="G821" s="68"/>
      <c r="H821" s="68"/>
      <c r="I821" s="68"/>
      <c r="J821" s="68"/>
      <c r="K821" s="68"/>
      <c r="L821" s="68"/>
      <c r="M821" s="79"/>
      <c r="N821" s="68"/>
      <c r="O821" s="68"/>
      <c r="P821" s="68"/>
      <c r="Q821" s="68"/>
      <c r="R821" s="68"/>
      <c r="S821" s="68"/>
      <c r="T821" s="68"/>
      <c r="U821" s="68"/>
      <c r="V821" s="68"/>
      <c r="W821" s="68"/>
      <c r="X821" s="68"/>
      <c r="Y821" s="68"/>
      <c r="Z821" s="68"/>
      <c r="AA821" s="68"/>
      <c r="AB821" s="68"/>
      <c r="AC821" s="68"/>
      <c r="AD821" s="68"/>
      <c r="AE821" s="68"/>
      <c r="AF821" s="68"/>
    </row>
    <row r="822">
      <c r="A822" s="68"/>
      <c r="B822" s="68"/>
      <c r="C822" s="78"/>
      <c r="D822" s="78"/>
      <c r="E822" s="68"/>
      <c r="F822" s="68"/>
      <c r="G822" s="68"/>
      <c r="H822" s="68"/>
      <c r="I822" s="68"/>
      <c r="J822" s="68"/>
      <c r="K822" s="68"/>
      <c r="L822" s="68"/>
      <c r="M822" s="79"/>
      <c r="N822" s="68"/>
      <c r="O822" s="68"/>
      <c r="P822" s="68"/>
      <c r="Q822" s="68"/>
      <c r="R822" s="68"/>
      <c r="S822" s="68"/>
      <c r="T822" s="68"/>
      <c r="U822" s="68"/>
      <c r="V822" s="68"/>
      <c r="W822" s="68"/>
      <c r="X822" s="68"/>
      <c r="Y822" s="68"/>
      <c r="Z822" s="68"/>
      <c r="AA822" s="68"/>
      <c r="AB822" s="68"/>
      <c r="AC822" s="68"/>
      <c r="AD822" s="68"/>
      <c r="AE822" s="68"/>
      <c r="AF822" s="68"/>
    </row>
    <row r="823">
      <c r="A823" s="68"/>
      <c r="B823" s="68"/>
      <c r="C823" s="78"/>
      <c r="D823" s="78"/>
      <c r="E823" s="68"/>
      <c r="F823" s="68"/>
      <c r="G823" s="68"/>
      <c r="H823" s="68"/>
      <c r="I823" s="68"/>
      <c r="J823" s="68"/>
      <c r="K823" s="68"/>
      <c r="L823" s="68"/>
      <c r="M823" s="79"/>
      <c r="N823" s="68"/>
      <c r="O823" s="68"/>
      <c r="P823" s="68"/>
      <c r="Q823" s="68"/>
      <c r="R823" s="68"/>
      <c r="S823" s="68"/>
      <c r="T823" s="68"/>
      <c r="U823" s="68"/>
      <c r="V823" s="68"/>
      <c r="W823" s="68"/>
      <c r="X823" s="68"/>
      <c r="Y823" s="68"/>
      <c r="Z823" s="68"/>
      <c r="AA823" s="68"/>
      <c r="AB823" s="68"/>
      <c r="AC823" s="68"/>
      <c r="AD823" s="68"/>
      <c r="AE823" s="68"/>
      <c r="AF823" s="68"/>
    </row>
    <row r="824">
      <c r="A824" s="68"/>
      <c r="B824" s="68"/>
      <c r="C824" s="78"/>
      <c r="D824" s="78"/>
      <c r="E824" s="68"/>
      <c r="F824" s="68"/>
      <c r="G824" s="68"/>
      <c r="H824" s="68"/>
      <c r="I824" s="68"/>
      <c r="J824" s="68"/>
      <c r="K824" s="68"/>
      <c r="L824" s="68"/>
      <c r="M824" s="79"/>
      <c r="N824" s="68"/>
      <c r="O824" s="68"/>
      <c r="P824" s="68"/>
      <c r="Q824" s="68"/>
      <c r="R824" s="68"/>
      <c r="S824" s="68"/>
      <c r="T824" s="68"/>
      <c r="U824" s="68"/>
      <c r="V824" s="68"/>
      <c r="W824" s="68"/>
      <c r="X824" s="68"/>
      <c r="Y824" s="68"/>
      <c r="Z824" s="68"/>
      <c r="AA824" s="68"/>
      <c r="AB824" s="68"/>
      <c r="AC824" s="68"/>
      <c r="AD824" s="68"/>
      <c r="AE824" s="68"/>
      <c r="AF824" s="68"/>
    </row>
    <row r="825">
      <c r="A825" s="68"/>
      <c r="B825" s="68"/>
      <c r="C825" s="78"/>
      <c r="D825" s="78"/>
      <c r="E825" s="68"/>
      <c r="F825" s="68"/>
      <c r="G825" s="68"/>
      <c r="H825" s="68"/>
      <c r="I825" s="68"/>
      <c r="J825" s="68"/>
      <c r="K825" s="68"/>
      <c r="L825" s="68"/>
      <c r="M825" s="79"/>
      <c r="N825" s="68"/>
      <c r="O825" s="68"/>
      <c r="P825" s="68"/>
      <c r="Q825" s="68"/>
      <c r="R825" s="68"/>
      <c r="S825" s="68"/>
      <c r="T825" s="68"/>
      <c r="U825" s="68"/>
      <c r="V825" s="68"/>
      <c r="W825" s="68"/>
      <c r="X825" s="68"/>
      <c r="Y825" s="68"/>
      <c r="Z825" s="68"/>
      <c r="AA825" s="68"/>
      <c r="AB825" s="68"/>
      <c r="AC825" s="68"/>
      <c r="AD825" s="68"/>
      <c r="AE825" s="68"/>
      <c r="AF825" s="68"/>
    </row>
    <row r="826">
      <c r="A826" s="68"/>
      <c r="B826" s="68"/>
      <c r="C826" s="78"/>
      <c r="D826" s="78"/>
      <c r="E826" s="68"/>
      <c r="F826" s="68"/>
      <c r="G826" s="68"/>
      <c r="H826" s="68"/>
      <c r="I826" s="68"/>
      <c r="J826" s="68"/>
      <c r="K826" s="68"/>
      <c r="L826" s="68"/>
      <c r="M826" s="79"/>
      <c r="N826" s="68"/>
      <c r="O826" s="68"/>
      <c r="P826" s="68"/>
      <c r="Q826" s="68"/>
      <c r="R826" s="68"/>
      <c r="S826" s="68"/>
      <c r="T826" s="68"/>
      <c r="U826" s="68"/>
      <c r="V826" s="68"/>
      <c r="W826" s="68"/>
      <c r="X826" s="68"/>
      <c r="Y826" s="68"/>
      <c r="Z826" s="68"/>
      <c r="AA826" s="68"/>
      <c r="AB826" s="68"/>
      <c r="AC826" s="68"/>
      <c r="AD826" s="68"/>
      <c r="AE826" s="68"/>
      <c r="AF826" s="68"/>
    </row>
    <row r="827">
      <c r="A827" s="68"/>
      <c r="B827" s="68"/>
      <c r="C827" s="78"/>
      <c r="D827" s="78"/>
      <c r="E827" s="68"/>
      <c r="F827" s="68"/>
      <c r="G827" s="68"/>
      <c r="H827" s="68"/>
      <c r="I827" s="68"/>
      <c r="J827" s="68"/>
      <c r="K827" s="68"/>
      <c r="L827" s="68"/>
      <c r="M827" s="79"/>
      <c r="N827" s="68"/>
      <c r="O827" s="68"/>
      <c r="P827" s="68"/>
      <c r="Q827" s="68"/>
      <c r="R827" s="68"/>
      <c r="S827" s="68"/>
      <c r="T827" s="68"/>
      <c r="U827" s="68"/>
      <c r="V827" s="68"/>
      <c r="W827" s="68"/>
      <c r="X827" s="68"/>
      <c r="Y827" s="68"/>
      <c r="Z827" s="68"/>
      <c r="AA827" s="68"/>
      <c r="AB827" s="68"/>
      <c r="AC827" s="68"/>
      <c r="AD827" s="68"/>
      <c r="AE827" s="68"/>
      <c r="AF827" s="68"/>
    </row>
    <row r="828">
      <c r="A828" s="68"/>
      <c r="B828" s="68"/>
      <c r="C828" s="78"/>
      <c r="D828" s="78"/>
      <c r="E828" s="68"/>
      <c r="F828" s="68"/>
      <c r="G828" s="68"/>
      <c r="H828" s="68"/>
      <c r="I828" s="68"/>
      <c r="J828" s="68"/>
      <c r="K828" s="68"/>
      <c r="L828" s="68"/>
      <c r="M828" s="79"/>
      <c r="N828" s="68"/>
      <c r="O828" s="68"/>
      <c r="P828" s="68"/>
      <c r="Q828" s="68"/>
      <c r="R828" s="68"/>
      <c r="S828" s="68"/>
      <c r="T828" s="68"/>
      <c r="U828" s="68"/>
      <c r="V828" s="68"/>
      <c r="W828" s="68"/>
      <c r="X828" s="68"/>
      <c r="Y828" s="68"/>
      <c r="Z828" s="68"/>
      <c r="AA828" s="68"/>
      <c r="AB828" s="68"/>
      <c r="AC828" s="68"/>
      <c r="AD828" s="68"/>
      <c r="AE828" s="68"/>
      <c r="AF828" s="68"/>
    </row>
    <row r="829">
      <c r="A829" s="68"/>
      <c r="B829" s="68"/>
      <c r="C829" s="78"/>
      <c r="D829" s="78"/>
      <c r="E829" s="68"/>
      <c r="F829" s="68"/>
      <c r="G829" s="68"/>
      <c r="H829" s="68"/>
      <c r="I829" s="68"/>
      <c r="J829" s="68"/>
      <c r="K829" s="68"/>
      <c r="L829" s="68"/>
      <c r="M829" s="79"/>
      <c r="N829" s="68"/>
      <c r="O829" s="68"/>
      <c r="P829" s="68"/>
      <c r="Q829" s="68"/>
      <c r="R829" s="68"/>
      <c r="S829" s="68"/>
      <c r="T829" s="68"/>
      <c r="U829" s="68"/>
      <c r="V829" s="68"/>
      <c r="W829" s="68"/>
      <c r="X829" s="68"/>
      <c r="Y829" s="68"/>
      <c r="Z829" s="68"/>
      <c r="AA829" s="68"/>
      <c r="AB829" s="68"/>
      <c r="AC829" s="68"/>
      <c r="AD829" s="68"/>
      <c r="AE829" s="68"/>
      <c r="AF829" s="68"/>
    </row>
    <row r="830">
      <c r="A830" s="68"/>
      <c r="B830" s="68"/>
      <c r="C830" s="78"/>
      <c r="D830" s="78"/>
      <c r="E830" s="68"/>
      <c r="F830" s="68"/>
      <c r="G830" s="68"/>
      <c r="H830" s="68"/>
      <c r="I830" s="68"/>
      <c r="J830" s="68"/>
      <c r="K830" s="68"/>
      <c r="L830" s="68"/>
      <c r="M830" s="79"/>
      <c r="N830" s="68"/>
      <c r="O830" s="68"/>
      <c r="P830" s="68"/>
      <c r="Q830" s="68"/>
      <c r="R830" s="68"/>
      <c r="S830" s="68"/>
      <c r="T830" s="68"/>
      <c r="U830" s="68"/>
      <c r="V830" s="68"/>
      <c r="W830" s="68"/>
      <c r="X830" s="68"/>
      <c r="Y830" s="68"/>
      <c r="Z830" s="68"/>
      <c r="AA830" s="68"/>
      <c r="AB830" s="68"/>
      <c r="AC830" s="68"/>
      <c r="AD830" s="68"/>
      <c r="AE830" s="68"/>
      <c r="AF830" s="68"/>
    </row>
    <row r="831">
      <c r="A831" s="68"/>
      <c r="B831" s="68"/>
      <c r="C831" s="78"/>
      <c r="D831" s="78"/>
      <c r="E831" s="68"/>
      <c r="F831" s="68"/>
      <c r="G831" s="68"/>
      <c r="H831" s="68"/>
      <c r="I831" s="68"/>
      <c r="J831" s="68"/>
      <c r="K831" s="68"/>
      <c r="L831" s="68"/>
      <c r="M831" s="79"/>
      <c r="N831" s="68"/>
      <c r="O831" s="68"/>
      <c r="P831" s="68"/>
      <c r="Q831" s="68"/>
      <c r="R831" s="68"/>
      <c r="S831" s="68"/>
      <c r="T831" s="68"/>
      <c r="U831" s="68"/>
      <c r="V831" s="68"/>
      <c r="W831" s="68"/>
      <c r="X831" s="68"/>
      <c r="Y831" s="68"/>
      <c r="Z831" s="68"/>
      <c r="AA831" s="68"/>
      <c r="AB831" s="68"/>
      <c r="AC831" s="68"/>
      <c r="AD831" s="68"/>
      <c r="AE831" s="68"/>
      <c r="AF831" s="68"/>
    </row>
    <row r="832">
      <c r="A832" s="68"/>
      <c r="B832" s="68"/>
      <c r="C832" s="78"/>
      <c r="D832" s="78"/>
      <c r="E832" s="68"/>
      <c r="F832" s="68"/>
      <c r="G832" s="68"/>
      <c r="H832" s="68"/>
      <c r="I832" s="68"/>
      <c r="J832" s="68"/>
      <c r="K832" s="68"/>
      <c r="L832" s="68"/>
      <c r="M832" s="79"/>
      <c r="N832" s="68"/>
      <c r="O832" s="68"/>
      <c r="P832" s="68"/>
      <c r="Q832" s="68"/>
      <c r="R832" s="68"/>
      <c r="S832" s="68"/>
      <c r="T832" s="68"/>
      <c r="U832" s="68"/>
      <c r="V832" s="68"/>
      <c r="W832" s="68"/>
      <c r="X832" s="68"/>
      <c r="Y832" s="68"/>
      <c r="Z832" s="68"/>
      <c r="AA832" s="68"/>
      <c r="AB832" s="68"/>
      <c r="AC832" s="68"/>
      <c r="AD832" s="68"/>
      <c r="AE832" s="68"/>
      <c r="AF832" s="68"/>
    </row>
    <row r="833">
      <c r="A833" s="68"/>
      <c r="B833" s="68"/>
      <c r="C833" s="78"/>
      <c r="D833" s="78"/>
      <c r="E833" s="68"/>
      <c r="F833" s="68"/>
      <c r="G833" s="68"/>
      <c r="H833" s="68"/>
      <c r="I833" s="68"/>
      <c r="J833" s="68"/>
      <c r="K833" s="68"/>
      <c r="L833" s="68"/>
      <c r="M833" s="79"/>
      <c r="N833" s="68"/>
      <c r="O833" s="68"/>
      <c r="P833" s="68"/>
      <c r="Q833" s="68"/>
      <c r="R833" s="68"/>
      <c r="S833" s="68"/>
      <c r="T833" s="68"/>
      <c r="U833" s="68"/>
      <c r="V833" s="68"/>
      <c r="W833" s="68"/>
      <c r="X833" s="68"/>
      <c r="Y833" s="68"/>
      <c r="Z833" s="68"/>
      <c r="AA833" s="68"/>
      <c r="AB833" s="68"/>
      <c r="AC833" s="68"/>
      <c r="AD833" s="68"/>
      <c r="AE833" s="68"/>
      <c r="AF833" s="68"/>
    </row>
    <row r="834">
      <c r="A834" s="68"/>
      <c r="B834" s="68"/>
      <c r="C834" s="78"/>
      <c r="D834" s="78"/>
      <c r="E834" s="68"/>
      <c r="F834" s="68"/>
      <c r="G834" s="68"/>
      <c r="H834" s="68"/>
      <c r="I834" s="68"/>
      <c r="J834" s="68"/>
      <c r="K834" s="68"/>
      <c r="L834" s="68"/>
      <c r="M834" s="79"/>
      <c r="N834" s="68"/>
      <c r="O834" s="68"/>
      <c r="P834" s="68"/>
      <c r="Q834" s="68"/>
      <c r="R834" s="68"/>
      <c r="S834" s="68"/>
      <c r="T834" s="68"/>
      <c r="U834" s="68"/>
      <c r="V834" s="68"/>
      <c r="W834" s="68"/>
      <c r="X834" s="68"/>
      <c r="Y834" s="68"/>
      <c r="Z834" s="68"/>
      <c r="AA834" s="68"/>
      <c r="AB834" s="68"/>
      <c r="AC834" s="68"/>
      <c r="AD834" s="68"/>
      <c r="AE834" s="68"/>
      <c r="AF834" s="68"/>
    </row>
    <row r="835">
      <c r="A835" s="68"/>
      <c r="B835" s="68"/>
      <c r="C835" s="78"/>
      <c r="D835" s="78"/>
      <c r="E835" s="68"/>
      <c r="F835" s="68"/>
      <c r="G835" s="68"/>
      <c r="H835" s="68"/>
      <c r="I835" s="68"/>
      <c r="J835" s="68"/>
      <c r="K835" s="68"/>
      <c r="L835" s="68"/>
      <c r="M835" s="79"/>
      <c r="N835" s="68"/>
      <c r="O835" s="68"/>
      <c r="P835" s="68"/>
      <c r="Q835" s="68"/>
      <c r="R835" s="68"/>
      <c r="S835" s="68"/>
      <c r="T835" s="68"/>
      <c r="U835" s="68"/>
      <c r="V835" s="68"/>
      <c r="W835" s="68"/>
      <c r="X835" s="68"/>
      <c r="Y835" s="68"/>
      <c r="Z835" s="68"/>
      <c r="AA835" s="68"/>
      <c r="AB835" s="68"/>
      <c r="AC835" s="68"/>
      <c r="AD835" s="68"/>
      <c r="AE835" s="68"/>
      <c r="AF835" s="68"/>
    </row>
    <row r="836">
      <c r="A836" s="68"/>
      <c r="B836" s="68"/>
      <c r="C836" s="78"/>
      <c r="D836" s="78"/>
      <c r="E836" s="68"/>
      <c r="F836" s="68"/>
      <c r="G836" s="68"/>
      <c r="H836" s="68"/>
      <c r="I836" s="68"/>
      <c r="J836" s="68"/>
      <c r="K836" s="68"/>
      <c r="L836" s="68"/>
      <c r="M836" s="79"/>
      <c r="N836" s="68"/>
      <c r="O836" s="68"/>
      <c r="P836" s="68"/>
      <c r="Q836" s="68"/>
      <c r="R836" s="68"/>
      <c r="S836" s="68"/>
      <c r="T836" s="68"/>
      <c r="U836" s="68"/>
      <c r="V836" s="68"/>
      <c r="W836" s="68"/>
      <c r="X836" s="68"/>
      <c r="Y836" s="68"/>
      <c r="Z836" s="68"/>
      <c r="AA836" s="68"/>
      <c r="AB836" s="68"/>
      <c r="AC836" s="68"/>
      <c r="AD836" s="68"/>
      <c r="AE836" s="68"/>
      <c r="AF836" s="68"/>
    </row>
    <row r="837">
      <c r="A837" s="68"/>
      <c r="B837" s="68"/>
      <c r="C837" s="78"/>
      <c r="D837" s="78"/>
      <c r="E837" s="68"/>
      <c r="F837" s="68"/>
      <c r="G837" s="68"/>
      <c r="H837" s="68"/>
      <c r="I837" s="68"/>
      <c r="J837" s="68"/>
      <c r="K837" s="68"/>
      <c r="L837" s="68"/>
      <c r="M837" s="79"/>
      <c r="N837" s="68"/>
      <c r="O837" s="68"/>
      <c r="P837" s="68"/>
      <c r="Q837" s="68"/>
      <c r="R837" s="68"/>
      <c r="S837" s="68"/>
      <c r="T837" s="68"/>
      <c r="U837" s="68"/>
      <c r="V837" s="68"/>
      <c r="W837" s="68"/>
      <c r="X837" s="68"/>
      <c r="Y837" s="68"/>
      <c r="Z837" s="68"/>
      <c r="AA837" s="68"/>
      <c r="AB837" s="68"/>
      <c r="AC837" s="68"/>
      <c r="AD837" s="68"/>
      <c r="AE837" s="68"/>
      <c r="AF837" s="68"/>
    </row>
    <row r="838">
      <c r="A838" s="68"/>
      <c r="B838" s="68"/>
      <c r="C838" s="78"/>
      <c r="D838" s="78"/>
      <c r="E838" s="68"/>
      <c r="F838" s="68"/>
      <c r="G838" s="68"/>
      <c r="H838" s="68"/>
      <c r="I838" s="68"/>
      <c r="J838" s="68"/>
      <c r="K838" s="68"/>
      <c r="L838" s="68"/>
      <c r="M838" s="79"/>
      <c r="N838" s="68"/>
      <c r="O838" s="68"/>
      <c r="P838" s="68"/>
      <c r="Q838" s="68"/>
      <c r="R838" s="68"/>
      <c r="S838" s="68"/>
      <c r="T838" s="68"/>
      <c r="U838" s="68"/>
      <c r="V838" s="68"/>
      <c r="W838" s="68"/>
      <c r="X838" s="68"/>
      <c r="Y838" s="68"/>
      <c r="Z838" s="68"/>
      <c r="AA838" s="68"/>
      <c r="AB838" s="68"/>
      <c r="AC838" s="68"/>
      <c r="AD838" s="68"/>
      <c r="AE838" s="68"/>
      <c r="AF838" s="68"/>
    </row>
    <row r="839">
      <c r="A839" s="68"/>
      <c r="B839" s="68"/>
      <c r="C839" s="78"/>
      <c r="D839" s="78"/>
      <c r="E839" s="68"/>
      <c r="F839" s="68"/>
      <c r="G839" s="68"/>
      <c r="H839" s="68"/>
      <c r="I839" s="68"/>
      <c r="J839" s="68"/>
      <c r="K839" s="68"/>
      <c r="L839" s="68"/>
      <c r="M839" s="79"/>
      <c r="N839" s="68"/>
      <c r="O839" s="68"/>
      <c r="P839" s="68"/>
      <c r="Q839" s="68"/>
      <c r="R839" s="68"/>
      <c r="S839" s="68"/>
      <c r="T839" s="68"/>
      <c r="U839" s="68"/>
      <c r="V839" s="68"/>
      <c r="W839" s="68"/>
      <c r="X839" s="68"/>
      <c r="Y839" s="68"/>
      <c r="Z839" s="68"/>
      <c r="AA839" s="68"/>
      <c r="AB839" s="68"/>
      <c r="AC839" s="68"/>
      <c r="AD839" s="68"/>
      <c r="AE839" s="68"/>
      <c r="AF839" s="68"/>
    </row>
    <row r="840">
      <c r="A840" s="68"/>
      <c r="B840" s="68"/>
      <c r="C840" s="78"/>
      <c r="D840" s="78"/>
      <c r="E840" s="68"/>
      <c r="F840" s="68"/>
      <c r="G840" s="68"/>
      <c r="H840" s="68"/>
      <c r="I840" s="68"/>
      <c r="J840" s="68"/>
      <c r="K840" s="68"/>
      <c r="L840" s="68"/>
      <c r="M840" s="79"/>
      <c r="N840" s="68"/>
      <c r="O840" s="68"/>
      <c r="P840" s="68"/>
      <c r="Q840" s="68"/>
      <c r="R840" s="68"/>
      <c r="S840" s="68"/>
      <c r="T840" s="68"/>
      <c r="U840" s="68"/>
      <c r="V840" s="68"/>
      <c r="W840" s="68"/>
      <c r="X840" s="68"/>
      <c r="Y840" s="68"/>
      <c r="Z840" s="68"/>
      <c r="AA840" s="68"/>
      <c r="AB840" s="68"/>
      <c r="AC840" s="68"/>
      <c r="AD840" s="68"/>
      <c r="AE840" s="68"/>
      <c r="AF840" s="68"/>
    </row>
    <row r="841">
      <c r="A841" s="68"/>
      <c r="B841" s="68"/>
      <c r="C841" s="78"/>
      <c r="D841" s="78"/>
      <c r="E841" s="68"/>
      <c r="F841" s="68"/>
      <c r="G841" s="68"/>
      <c r="H841" s="68"/>
      <c r="I841" s="68"/>
      <c r="J841" s="68"/>
      <c r="K841" s="68"/>
      <c r="L841" s="68"/>
      <c r="M841" s="79"/>
      <c r="N841" s="68"/>
      <c r="O841" s="68"/>
      <c r="P841" s="68"/>
      <c r="Q841" s="68"/>
      <c r="R841" s="68"/>
      <c r="S841" s="68"/>
      <c r="T841" s="68"/>
      <c r="U841" s="68"/>
      <c r="V841" s="68"/>
      <c r="W841" s="68"/>
      <c r="X841" s="68"/>
      <c r="Y841" s="68"/>
      <c r="Z841" s="68"/>
      <c r="AA841" s="68"/>
      <c r="AB841" s="68"/>
      <c r="AC841" s="68"/>
      <c r="AD841" s="68"/>
      <c r="AE841" s="68"/>
      <c r="AF841" s="68"/>
    </row>
    <row r="842">
      <c r="A842" s="68"/>
      <c r="B842" s="68"/>
      <c r="C842" s="78"/>
      <c r="D842" s="78"/>
      <c r="E842" s="68"/>
      <c r="F842" s="68"/>
      <c r="G842" s="68"/>
      <c r="H842" s="68"/>
      <c r="I842" s="68"/>
      <c r="J842" s="68"/>
      <c r="K842" s="68"/>
      <c r="L842" s="68"/>
      <c r="M842" s="79"/>
      <c r="N842" s="68"/>
      <c r="O842" s="68"/>
      <c r="P842" s="68"/>
      <c r="Q842" s="68"/>
      <c r="R842" s="68"/>
      <c r="S842" s="68"/>
      <c r="T842" s="68"/>
      <c r="U842" s="68"/>
      <c r="V842" s="68"/>
      <c r="W842" s="68"/>
      <c r="X842" s="68"/>
      <c r="Y842" s="68"/>
      <c r="Z842" s="68"/>
      <c r="AA842" s="68"/>
      <c r="AB842" s="68"/>
      <c r="AC842" s="68"/>
      <c r="AD842" s="68"/>
      <c r="AE842" s="68"/>
      <c r="AF842" s="68"/>
    </row>
    <row r="843">
      <c r="A843" s="68"/>
      <c r="B843" s="68"/>
      <c r="C843" s="78"/>
      <c r="D843" s="78"/>
      <c r="E843" s="68"/>
      <c r="F843" s="68"/>
      <c r="G843" s="68"/>
      <c r="H843" s="68"/>
      <c r="I843" s="68"/>
      <c r="J843" s="68"/>
      <c r="K843" s="68"/>
      <c r="L843" s="68"/>
      <c r="M843" s="79"/>
      <c r="N843" s="68"/>
      <c r="O843" s="68"/>
      <c r="P843" s="68"/>
      <c r="Q843" s="68"/>
      <c r="R843" s="68"/>
      <c r="S843" s="68"/>
      <c r="T843" s="68"/>
      <c r="U843" s="68"/>
      <c r="V843" s="68"/>
      <c r="W843" s="68"/>
      <c r="X843" s="68"/>
      <c r="Y843" s="68"/>
      <c r="Z843" s="68"/>
      <c r="AA843" s="68"/>
      <c r="AB843" s="68"/>
      <c r="AC843" s="68"/>
      <c r="AD843" s="68"/>
      <c r="AE843" s="68"/>
      <c r="AF843" s="68"/>
    </row>
    <row r="844">
      <c r="A844" s="68"/>
      <c r="B844" s="68"/>
      <c r="C844" s="78"/>
      <c r="D844" s="78"/>
      <c r="E844" s="68"/>
      <c r="F844" s="68"/>
      <c r="G844" s="68"/>
      <c r="H844" s="68"/>
      <c r="I844" s="68"/>
      <c r="J844" s="68"/>
      <c r="K844" s="68"/>
      <c r="L844" s="68"/>
      <c r="M844" s="79"/>
      <c r="N844" s="68"/>
      <c r="O844" s="68"/>
      <c r="P844" s="68"/>
      <c r="Q844" s="68"/>
      <c r="R844" s="68"/>
      <c r="S844" s="68"/>
      <c r="T844" s="68"/>
      <c r="U844" s="68"/>
      <c r="V844" s="68"/>
      <c r="W844" s="68"/>
      <c r="X844" s="68"/>
      <c r="Y844" s="68"/>
      <c r="Z844" s="68"/>
      <c r="AA844" s="68"/>
      <c r="AB844" s="68"/>
      <c r="AC844" s="68"/>
      <c r="AD844" s="68"/>
      <c r="AE844" s="68"/>
      <c r="AF844" s="68"/>
    </row>
    <row r="845">
      <c r="A845" s="68"/>
      <c r="B845" s="68"/>
      <c r="C845" s="78"/>
      <c r="D845" s="78"/>
      <c r="E845" s="68"/>
      <c r="F845" s="68"/>
      <c r="G845" s="68"/>
      <c r="H845" s="68"/>
      <c r="I845" s="68"/>
      <c r="J845" s="68"/>
      <c r="K845" s="68"/>
      <c r="L845" s="68"/>
      <c r="M845" s="79"/>
      <c r="N845" s="68"/>
      <c r="O845" s="68"/>
      <c r="P845" s="68"/>
      <c r="Q845" s="68"/>
      <c r="R845" s="68"/>
      <c r="S845" s="68"/>
      <c r="T845" s="68"/>
      <c r="U845" s="68"/>
      <c r="V845" s="68"/>
      <c r="W845" s="68"/>
      <c r="X845" s="68"/>
      <c r="Y845" s="68"/>
      <c r="Z845" s="68"/>
      <c r="AA845" s="68"/>
      <c r="AB845" s="68"/>
      <c r="AC845" s="68"/>
      <c r="AD845" s="68"/>
      <c r="AE845" s="68"/>
      <c r="AF845" s="68"/>
    </row>
    <row r="846">
      <c r="A846" s="68"/>
      <c r="B846" s="68"/>
      <c r="C846" s="78"/>
      <c r="D846" s="78"/>
      <c r="E846" s="68"/>
      <c r="F846" s="68"/>
      <c r="G846" s="68"/>
      <c r="H846" s="68"/>
      <c r="I846" s="68"/>
      <c r="J846" s="68"/>
      <c r="K846" s="68"/>
      <c r="L846" s="68"/>
      <c r="M846" s="79"/>
      <c r="N846" s="68"/>
      <c r="O846" s="68"/>
      <c r="P846" s="68"/>
      <c r="Q846" s="68"/>
      <c r="R846" s="68"/>
      <c r="S846" s="68"/>
      <c r="T846" s="68"/>
      <c r="U846" s="68"/>
      <c r="V846" s="68"/>
      <c r="W846" s="68"/>
      <c r="X846" s="68"/>
      <c r="Y846" s="68"/>
      <c r="Z846" s="68"/>
      <c r="AA846" s="68"/>
      <c r="AB846" s="68"/>
      <c r="AC846" s="68"/>
      <c r="AD846" s="68"/>
      <c r="AE846" s="68"/>
      <c r="AF846" s="68"/>
    </row>
    <row r="847">
      <c r="A847" s="68"/>
      <c r="B847" s="68"/>
      <c r="C847" s="78"/>
      <c r="D847" s="78"/>
      <c r="E847" s="68"/>
      <c r="F847" s="68"/>
      <c r="G847" s="68"/>
      <c r="H847" s="68"/>
      <c r="I847" s="68"/>
      <c r="J847" s="68"/>
      <c r="K847" s="68"/>
      <c r="L847" s="68"/>
      <c r="M847" s="79"/>
      <c r="N847" s="68"/>
      <c r="O847" s="68"/>
      <c r="P847" s="68"/>
      <c r="Q847" s="68"/>
      <c r="R847" s="68"/>
      <c r="S847" s="68"/>
      <c r="T847" s="68"/>
      <c r="U847" s="68"/>
      <c r="V847" s="68"/>
      <c r="W847" s="68"/>
      <c r="X847" s="68"/>
      <c r="Y847" s="68"/>
      <c r="Z847" s="68"/>
      <c r="AA847" s="68"/>
      <c r="AB847" s="68"/>
      <c r="AC847" s="68"/>
      <c r="AD847" s="68"/>
      <c r="AE847" s="68"/>
      <c r="AF847" s="68"/>
    </row>
    <row r="848">
      <c r="A848" s="68"/>
      <c r="B848" s="68"/>
      <c r="C848" s="78"/>
      <c r="D848" s="78"/>
      <c r="E848" s="68"/>
      <c r="F848" s="68"/>
      <c r="G848" s="68"/>
      <c r="H848" s="68"/>
      <c r="I848" s="68"/>
      <c r="J848" s="68"/>
      <c r="K848" s="68"/>
      <c r="L848" s="68"/>
      <c r="M848" s="79"/>
      <c r="N848" s="68"/>
      <c r="O848" s="68"/>
      <c r="P848" s="68"/>
      <c r="Q848" s="68"/>
      <c r="R848" s="68"/>
      <c r="S848" s="68"/>
      <c r="T848" s="68"/>
      <c r="U848" s="68"/>
      <c r="V848" s="68"/>
      <c r="W848" s="68"/>
      <c r="X848" s="68"/>
      <c r="Y848" s="68"/>
      <c r="Z848" s="68"/>
      <c r="AA848" s="68"/>
      <c r="AB848" s="68"/>
      <c r="AC848" s="68"/>
      <c r="AD848" s="68"/>
      <c r="AE848" s="68"/>
      <c r="AF848" s="68"/>
    </row>
    <row r="849">
      <c r="A849" s="68"/>
      <c r="B849" s="68"/>
      <c r="C849" s="78"/>
      <c r="D849" s="78"/>
      <c r="E849" s="68"/>
      <c r="F849" s="68"/>
      <c r="G849" s="68"/>
      <c r="H849" s="68"/>
      <c r="I849" s="68"/>
      <c r="J849" s="68"/>
      <c r="K849" s="68"/>
      <c r="L849" s="68"/>
      <c r="M849" s="79"/>
      <c r="N849" s="68"/>
      <c r="O849" s="68"/>
      <c r="P849" s="68"/>
      <c r="Q849" s="68"/>
      <c r="R849" s="68"/>
      <c r="S849" s="68"/>
      <c r="T849" s="68"/>
      <c r="U849" s="68"/>
      <c r="V849" s="68"/>
      <c r="W849" s="68"/>
      <c r="X849" s="68"/>
      <c r="Y849" s="68"/>
      <c r="Z849" s="68"/>
      <c r="AA849" s="68"/>
      <c r="AB849" s="68"/>
      <c r="AC849" s="68"/>
      <c r="AD849" s="68"/>
      <c r="AE849" s="68"/>
      <c r="AF849" s="68"/>
    </row>
    <row r="850">
      <c r="A850" s="68"/>
      <c r="B850" s="68"/>
      <c r="C850" s="78"/>
      <c r="D850" s="78"/>
      <c r="E850" s="68"/>
      <c r="F850" s="68"/>
      <c r="G850" s="68"/>
      <c r="H850" s="68"/>
      <c r="I850" s="68"/>
      <c r="J850" s="68"/>
      <c r="K850" s="68"/>
      <c r="L850" s="68"/>
      <c r="M850" s="79"/>
      <c r="N850" s="68"/>
      <c r="O850" s="68"/>
      <c r="P850" s="68"/>
      <c r="Q850" s="68"/>
      <c r="R850" s="68"/>
      <c r="S850" s="68"/>
      <c r="T850" s="68"/>
      <c r="U850" s="68"/>
      <c r="V850" s="68"/>
      <c r="W850" s="68"/>
      <c r="X850" s="68"/>
      <c r="Y850" s="68"/>
      <c r="Z850" s="68"/>
      <c r="AA850" s="68"/>
      <c r="AB850" s="68"/>
      <c r="AC850" s="68"/>
      <c r="AD850" s="68"/>
      <c r="AE850" s="68"/>
      <c r="AF850" s="68"/>
    </row>
    <row r="851">
      <c r="A851" s="68"/>
      <c r="B851" s="68"/>
      <c r="C851" s="78"/>
      <c r="D851" s="78"/>
      <c r="E851" s="68"/>
      <c r="F851" s="68"/>
      <c r="G851" s="68"/>
      <c r="H851" s="68"/>
      <c r="I851" s="68"/>
      <c r="J851" s="68"/>
      <c r="K851" s="68"/>
      <c r="L851" s="68"/>
      <c r="M851" s="79"/>
      <c r="N851" s="68"/>
      <c r="O851" s="68"/>
      <c r="P851" s="68"/>
      <c r="Q851" s="68"/>
      <c r="R851" s="68"/>
      <c r="S851" s="68"/>
      <c r="T851" s="68"/>
      <c r="U851" s="68"/>
      <c r="V851" s="68"/>
      <c r="W851" s="68"/>
      <c r="X851" s="68"/>
      <c r="Y851" s="68"/>
      <c r="Z851" s="68"/>
      <c r="AA851" s="68"/>
      <c r="AB851" s="68"/>
      <c r="AC851" s="68"/>
      <c r="AD851" s="68"/>
      <c r="AE851" s="68"/>
      <c r="AF851" s="68"/>
    </row>
    <row r="852">
      <c r="A852" s="68"/>
      <c r="B852" s="68"/>
      <c r="C852" s="78"/>
      <c r="D852" s="78"/>
      <c r="E852" s="68"/>
      <c r="F852" s="68"/>
      <c r="G852" s="68"/>
      <c r="H852" s="68"/>
      <c r="I852" s="68"/>
      <c r="J852" s="68"/>
      <c r="K852" s="68"/>
      <c r="L852" s="68"/>
      <c r="M852" s="79"/>
      <c r="N852" s="68"/>
      <c r="O852" s="68"/>
      <c r="P852" s="68"/>
      <c r="Q852" s="68"/>
      <c r="R852" s="68"/>
      <c r="S852" s="68"/>
      <c r="T852" s="68"/>
      <c r="U852" s="68"/>
      <c r="V852" s="68"/>
      <c r="W852" s="68"/>
      <c r="X852" s="68"/>
      <c r="Y852" s="68"/>
      <c r="Z852" s="68"/>
      <c r="AA852" s="68"/>
      <c r="AB852" s="68"/>
      <c r="AC852" s="68"/>
      <c r="AD852" s="68"/>
      <c r="AE852" s="68"/>
      <c r="AF852" s="68"/>
    </row>
    <row r="853">
      <c r="A853" s="68"/>
      <c r="B853" s="68"/>
      <c r="C853" s="78"/>
      <c r="D853" s="78"/>
      <c r="E853" s="68"/>
      <c r="F853" s="68"/>
      <c r="G853" s="68"/>
      <c r="H853" s="68"/>
      <c r="I853" s="68"/>
      <c r="J853" s="68"/>
      <c r="K853" s="68"/>
      <c r="L853" s="68"/>
      <c r="M853" s="79"/>
      <c r="N853" s="68"/>
      <c r="O853" s="68"/>
      <c r="P853" s="68"/>
      <c r="Q853" s="68"/>
      <c r="R853" s="68"/>
      <c r="S853" s="68"/>
      <c r="T853" s="68"/>
      <c r="U853" s="68"/>
      <c r="V853" s="68"/>
      <c r="W853" s="68"/>
      <c r="X853" s="68"/>
      <c r="Y853" s="68"/>
      <c r="Z853" s="68"/>
      <c r="AA853" s="68"/>
      <c r="AB853" s="68"/>
      <c r="AC853" s="68"/>
      <c r="AD853" s="68"/>
      <c r="AE853" s="68"/>
      <c r="AF853" s="68"/>
    </row>
    <row r="854">
      <c r="A854" s="68"/>
      <c r="B854" s="68"/>
      <c r="C854" s="78"/>
      <c r="D854" s="78"/>
      <c r="E854" s="68"/>
      <c r="F854" s="68"/>
      <c r="G854" s="68"/>
      <c r="H854" s="68"/>
      <c r="I854" s="68"/>
      <c r="J854" s="68"/>
      <c r="K854" s="68"/>
      <c r="L854" s="68"/>
      <c r="M854" s="79"/>
      <c r="N854" s="68"/>
      <c r="O854" s="68"/>
      <c r="P854" s="68"/>
      <c r="Q854" s="68"/>
      <c r="R854" s="68"/>
      <c r="S854" s="68"/>
      <c r="T854" s="68"/>
      <c r="U854" s="68"/>
      <c r="V854" s="68"/>
      <c r="W854" s="68"/>
      <c r="X854" s="68"/>
      <c r="Y854" s="68"/>
      <c r="Z854" s="68"/>
      <c r="AA854" s="68"/>
      <c r="AB854" s="68"/>
      <c r="AC854" s="68"/>
      <c r="AD854" s="68"/>
      <c r="AE854" s="68"/>
      <c r="AF854" s="68"/>
    </row>
    <row r="855">
      <c r="A855" s="68"/>
      <c r="B855" s="68"/>
      <c r="C855" s="78"/>
      <c r="D855" s="78"/>
      <c r="E855" s="68"/>
      <c r="F855" s="68"/>
      <c r="G855" s="68"/>
      <c r="H855" s="68"/>
      <c r="I855" s="68"/>
      <c r="J855" s="68"/>
      <c r="K855" s="68"/>
      <c r="L855" s="68"/>
      <c r="M855" s="79"/>
      <c r="N855" s="68"/>
      <c r="O855" s="68"/>
      <c r="P855" s="68"/>
      <c r="Q855" s="68"/>
      <c r="R855" s="68"/>
      <c r="S855" s="68"/>
      <c r="T855" s="68"/>
      <c r="U855" s="68"/>
      <c r="V855" s="68"/>
      <c r="W855" s="68"/>
      <c r="X855" s="68"/>
      <c r="Y855" s="68"/>
      <c r="Z855" s="68"/>
      <c r="AA855" s="68"/>
      <c r="AB855" s="68"/>
      <c r="AC855" s="68"/>
      <c r="AD855" s="68"/>
      <c r="AE855" s="68"/>
      <c r="AF855" s="68"/>
    </row>
    <row r="856">
      <c r="A856" s="68"/>
      <c r="B856" s="68"/>
      <c r="C856" s="78"/>
      <c r="D856" s="78"/>
      <c r="E856" s="68"/>
      <c r="F856" s="68"/>
      <c r="G856" s="68"/>
      <c r="H856" s="68"/>
      <c r="I856" s="68"/>
      <c r="J856" s="68"/>
      <c r="K856" s="68"/>
      <c r="L856" s="68"/>
      <c r="M856" s="79"/>
      <c r="N856" s="68"/>
      <c r="O856" s="68"/>
      <c r="P856" s="68"/>
      <c r="Q856" s="68"/>
      <c r="R856" s="68"/>
      <c r="S856" s="68"/>
      <c r="T856" s="68"/>
      <c r="U856" s="68"/>
      <c r="V856" s="68"/>
      <c r="W856" s="68"/>
      <c r="X856" s="68"/>
      <c r="Y856" s="68"/>
      <c r="Z856" s="68"/>
      <c r="AA856" s="68"/>
      <c r="AB856" s="68"/>
      <c r="AC856" s="68"/>
      <c r="AD856" s="68"/>
      <c r="AE856" s="68"/>
      <c r="AF856" s="68"/>
    </row>
    <row r="857">
      <c r="A857" s="68"/>
      <c r="B857" s="68"/>
      <c r="C857" s="78"/>
      <c r="D857" s="78"/>
      <c r="E857" s="68"/>
      <c r="F857" s="68"/>
      <c r="G857" s="68"/>
      <c r="H857" s="68"/>
      <c r="I857" s="68"/>
      <c r="J857" s="68"/>
      <c r="K857" s="68"/>
      <c r="L857" s="68"/>
      <c r="M857" s="79"/>
      <c r="N857" s="68"/>
      <c r="O857" s="68"/>
      <c r="P857" s="68"/>
      <c r="Q857" s="68"/>
      <c r="R857" s="68"/>
      <c r="S857" s="68"/>
      <c r="T857" s="68"/>
      <c r="U857" s="68"/>
      <c r="V857" s="68"/>
      <c r="W857" s="68"/>
      <c r="X857" s="68"/>
      <c r="Y857" s="68"/>
      <c r="Z857" s="68"/>
      <c r="AA857" s="68"/>
      <c r="AB857" s="68"/>
      <c r="AC857" s="68"/>
      <c r="AD857" s="68"/>
      <c r="AE857" s="68"/>
      <c r="AF857" s="68"/>
    </row>
    <row r="858">
      <c r="A858" s="68"/>
      <c r="B858" s="68"/>
      <c r="C858" s="78"/>
      <c r="D858" s="78"/>
      <c r="E858" s="68"/>
      <c r="F858" s="68"/>
      <c r="G858" s="68"/>
      <c r="H858" s="68"/>
      <c r="I858" s="68"/>
      <c r="J858" s="68"/>
      <c r="K858" s="68"/>
      <c r="L858" s="68"/>
      <c r="M858" s="79"/>
      <c r="N858" s="68"/>
      <c r="O858" s="68"/>
      <c r="P858" s="68"/>
      <c r="Q858" s="68"/>
      <c r="R858" s="68"/>
      <c r="S858" s="68"/>
      <c r="T858" s="68"/>
      <c r="U858" s="68"/>
      <c r="V858" s="68"/>
      <c r="W858" s="68"/>
      <c r="X858" s="68"/>
      <c r="Y858" s="68"/>
      <c r="Z858" s="68"/>
      <c r="AA858" s="68"/>
      <c r="AB858" s="68"/>
      <c r="AC858" s="68"/>
      <c r="AD858" s="68"/>
      <c r="AE858" s="68"/>
      <c r="AF858" s="68"/>
    </row>
    <row r="859">
      <c r="A859" s="68"/>
      <c r="B859" s="68"/>
      <c r="C859" s="78"/>
      <c r="D859" s="78"/>
      <c r="E859" s="68"/>
      <c r="F859" s="68"/>
      <c r="G859" s="68"/>
      <c r="H859" s="68"/>
      <c r="I859" s="68"/>
      <c r="J859" s="68"/>
      <c r="K859" s="68"/>
      <c r="L859" s="68"/>
      <c r="M859" s="79"/>
      <c r="N859" s="68"/>
      <c r="O859" s="68"/>
      <c r="P859" s="68"/>
      <c r="Q859" s="68"/>
      <c r="R859" s="68"/>
      <c r="S859" s="68"/>
      <c r="T859" s="68"/>
      <c r="U859" s="68"/>
      <c r="V859" s="68"/>
      <c r="W859" s="68"/>
      <c r="X859" s="68"/>
      <c r="Y859" s="68"/>
      <c r="Z859" s="68"/>
      <c r="AA859" s="68"/>
      <c r="AB859" s="68"/>
      <c r="AC859" s="68"/>
      <c r="AD859" s="68"/>
      <c r="AE859" s="68"/>
      <c r="AF859" s="68"/>
    </row>
    <row r="860">
      <c r="A860" s="68"/>
      <c r="B860" s="68"/>
      <c r="C860" s="78"/>
      <c r="D860" s="78"/>
      <c r="E860" s="68"/>
      <c r="F860" s="68"/>
      <c r="G860" s="68"/>
      <c r="H860" s="68"/>
      <c r="I860" s="68"/>
      <c r="J860" s="68"/>
      <c r="K860" s="68"/>
      <c r="L860" s="68"/>
      <c r="M860" s="79"/>
      <c r="N860" s="68"/>
      <c r="O860" s="68"/>
      <c r="P860" s="68"/>
      <c r="Q860" s="68"/>
      <c r="R860" s="68"/>
      <c r="S860" s="68"/>
      <c r="T860" s="68"/>
      <c r="U860" s="68"/>
      <c r="V860" s="68"/>
      <c r="W860" s="68"/>
      <c r="X860" s="68"/>
      <c r="Y860" s="68"/>
      <c r="Z860" s="68"/>
      <c r="AA860" s="68"/>
      <c r="AB860" s="68"/>
      <c r="AC860" s="68"/>
      <c r="AD860" s="68"/>
      <c r="AE860" s="68"/>
      <c r="AF860" s="68"/>
    </row>
    <row r="861">
      <c r="A861" s="68"/>
      <c r="B861" s="68"/>
      <c r="C861" s="78"/>
      <c r="D861" s="78"/>
      <c r="E861" s="68"/>
      <c r="F861" s="68"/>
      <c r="G861" s="68"/>
      <c r="H861" s="68"/>
      <c r="I861" s="68"/>
      <c r="J861" s="68"/>
      <c r="K861" s="68"/>
      <c r="L861" s="68"/>
      <c r="M861" s="79"/>
      <c r="N861" s="68"/>
      <c r="O861" s="68"/>
      <c r="P861" s="68"/>
      <c r="Q861" s="68"/>
      <c r="R861" s="68"/>
      <c r="S861" s="68"/>
      <c r="T861" s="68"/>
      <c r="U861" s="68"/>
      <c r="V861" s="68"/>
      <c r="W861" s="68"/>
      <c r="X861" s="68"/>
      <c r="Y861" s="68"/>
      <c r="Z861" s="68"/>
      <c r="AA861" s="68"/>
      <c r="AB861" s="68"/>
      <c r="AC861" s="68"/>
      <c r="AD861" s="68"/>
      <c r="AE861" s="68"/>
      <c r="AF861" s="68"/>
    </row>
    <row r="862">
      <c r="A862" s="68"/>
      <c r="B862" s="68"/>
      <c r="C862" s="78"/>
      <c r="D862" s="78"/>
      <c r="E862" s="68"/>
      <c r="F862" s="68"/>
      <c r="G862" s="68"/>
      <c r="H862" s="68"/>
      <c r="I862" s="68"/>
      <c r="J862" s="68"/>
      <c r="K862" s="68"/>
      <c r="L862" s="68"/>
      <c r="M862" s="79"/>
      <c r="N862" s="68"/>
      <c r="O862" s="68"/>
      <c r="P862" s="68"/>
      <c r="Q862" s="68"/>
      <c r="R862" s="68"/>
      <c r="S862" s="68"/>
      <c r="T862" s="68"/>
      <c r="U862" s="68"/>
      <c r="V862" s="68"/>
      <c r="W862" s="68"/>
      <c r="X862" s="68"/>
      <c r="Y862" s="68"/>
      <c r="Z862" s="68"/>
      <c r="AA862" s="68"/>
      <c r="AB862" s="68"/>
      <c r="AC862" s="68"/>
      <c r="AD862" s="68"/>
      <c r="AE862" s="68"/>
      <c r="AF862" s="68"/>
    </row>
    <row r="863">
      <c r="A863" s="68"/>
      <c r="B863" s="68"/>
      <c r="C863" s="78"/>
      <c r="D863" s="78"/>
      <c r="E863" s="68"/>
      <c r="F863" s="68"/>
      <c r="G863" s="68"/>
      <c r="H863" s="68"/>
      <c r="I863" s="68"/>
      <c r="J863" s="68"/>
      <c r="K863" s="68"/>
      <c r="L863" s="68"/>
      <c r="M863" s="79"/>
      <c r="N863" s="68"/>
      <c r="O863" s="68"/>
      <c r="P863" s="68"/>
      <c r="Q863" s="68"/>
      <c r="R863" s="68"/>
      <c r="S863" s="68"/>
      <c r="T863" s="68"/>
      <c r="U863" s="68"/>
      <c r="V863" s="68"/>
      <c r="W863" s="68"/>
      <c r="X863" s="68"/>
      <c r="Y863" s="68"/>
      <c r="Z863" s="68"/>
      <c r="AA863" s="68"/>
      <c r="AB863" s="68"/>
      <c r="AC863" s="68"/>
      <c r="AD863" s="68"/>
      <c r="AE863" s="68"/>
      <c r="AF863" s="68"/>
    </row>
    <row r="864">
      <c r="A864" s="68"/>
      <c r="B864" s="68"/>
      <c r="C864" s="78"/>
      <c r="D864" s="78"/>
      <c r="E864" s="68"/>
      <c r="F864" s="68"/>
      <c r="G864" s="68"/>
      <c r="H864" s="68"/>
      <c r="I864" s="68"/>
      <c r="J864" s="68"/>
      <c r="K864" s="68"/>
      <c r="L864" s="68"/>
      <c r="M864" s="79"/>
      <c r="N864" s="68"/>
      <c r="O864" s="68"/>
      <c r="P864" s="68"/>
      <c r="Q864" s="68"/>
      <c r="R864" s="68"/>
      <c r="S864" s="68"/>
      <c r="T864" s="68"/>
      <c r="U864" s="68"/>
      <c r="V864" s="68"/>
      <c r="W864" s="68"/>
      <c r="X864" s="68"/>
      <c r="Y864" s="68"/>
      <c r="Z864" s="68"/>
      <c r="AA864" s="68"/>
      <c r="AB864" s="68"/>
      <c r="AC864" s="68"/>
      <c r="AD864" s="68"/>
      <c r="AE864" s="68"/>
      <c r="AF864" s="68"/>
    </row>
    <row r="865">
      <c r="A865" s="68"/>
      <c r="B865" s="68"/>
      <c r="C865" s="78"/>
      <c r="D865" s="78"/>
      <c r="E865" s="68"/>
      <c r="F865" s="68"/>
      <c r="G865" s="68"/>
      <c r="H865" s="68"/>
      <c r="I865" s="68"/>
      <c r="J865" s="68"/>
      <c r="K865" s="68"/>
      <c r="L865" s="68"/>
      <c r="M865" s="79"/>
      <c r="N865" s="68"/>
      <c r="O865" s="68"/>
      <c r="P865" s="68"/>
      <c r="Q865" s="68"/>
      <c r="R865" s="68"/>
      <c r="S865" s="68"/>
      <c r="T865" s="68"/>
      <c r="U865" s="68"/>
      <c r="V865" s="68"/>
      <c r="W865" s="68"/>
      <c r="X865" s="68"/>
      <c r="Y865" s="68"/>
      <c r="Z865" s="68"/>
      <c r="AA865" s="68"/>
      <c r="AB865" s="68"/>
      <c r="AC865" s="68"/>
      <c r="AD865" s="68"/>
      <c r="AE865" s="68"/>
      <c r="AF865" s="68"/>
    </row>
    <row r="866">
      <c r="A866" s="68"/>
      <c r="B866" s="68"/>
      <c r="C866" s="78"/>
      <c r="D866" s="78"/>
      <c r="E866" s="68"/>
      <c r="F866" s="68"/>
      <c r="G866" s="68"/>
      <c r="H866" s="68"/>
      <c r="I866" s="68"/>
      <c r="J866" s="68"/>
      <c r="K866" s="68"/>
      <c r="L866" s="68"/>
      <c r="M866" s="79"/>
      <c r="N866" s="68"/>
      <c r="O866" s="68"/>
      <c r="P866" s="68"/>
      <c r="Q866" s="68"/>
      <c r="R866" s="68"/>
      <c r="S866" s="68"/>
      <c r="T866" s="68"/>
      <c r="U866" s="68"/>
      <c r="V866" s="68"/>
      <c r="W866" s="68"/>
      <c r="X866" s="68"/>
      <c r="Y866" s="68"/>
      <c r="Z866" s="68"/>
      <c r="AA866" s="68"/>
      <c r="AB866" s="68"/>
      <c r="AC866" s="68"/>
      <c r="AD866" s="68"/>
      <c r="AE866" s="68"/>
      <c r="AF866" s="68"/>
    </row>
    <row r="867">
      <c r="A867" s="68"/>
      <c r="B867" s="68"/>
      <c r="C867" s="78"/>
      <c r="D867" s="78"/>
      <c r="E867" s="68"/>
      <c r="F867" s="68"/>
      <c r="G867" s="68"/>
      <c r="H867" s="68"/>
      <c r="I867" s="68"/>
      <c r="J867" s="68"/>
      <c r="K867" s="68"/>
      <c r="L867" s="68"/>
      <c r="M867" s="79"/>
      <c r="N867" s="68"/>
      <c r="O867" s="68"/>
      <c r="P867" s="68"/>
      <c r="Q867" s="68"/>
      <c r="R867" s="68"/>
      <c r="S867" s="68"/>
      <c r="T867" s="68"/>
      <c r="U867" s="68"/>
      <c r="V867" s="68"/>
      <c r="W867" s="68"/>
      <c r="X867" s="68"/>
      <c r="Y867" s="68"/>
      <c r="Z867" s="68"/>
      <c r="AA867" s="68"/>
      <c r="AB867" s="68"/>
      <c r="AC867" s="68"/>
      <c r="AD867" s="68"/>
      <c r="AE867" s="68"/>
      <c r="AF867" s="68"/>
    </row>
    <row r="868">
      <c r="A868" s="68"/>
      <c r="B868" s="68"/>
      <c r="C868" s="78"/>
      <c r="D868" s="78"/>
      <c r="E868" s="68"/>
      <c r="F868" s="68"/>
      <c r="G868" s="68"/>
      <c r="H868" s="68"/>
      <c r="I868" s="68"/>
      <c r="J868" s="68"/>
      <c r="K868" s="68"/>
      <c r="L868" s="68"/>
      <c r="M868" s="79"/>
      <c r="N868" s="68"/>
      <c r="O868" s="68"/>
      <c r="P868" s="68"/>
      <c r="Q868" s="68"/>
      <c r="R868" s="68"/>
      <c r="S868" s="68"/>
      <c r="T868" s="68"/>
      <c r="U868" s="68"/>
      <c r="V868" s="68"/>
      <c r="W868" s="68"/>
      <c r="X868" s="68"/>
      <c r="Y868" s="68"/>
      <c r="Z868" s="68"/>
      <c r="AA868" s="68"/>
      <c r="AB868" s="68"/>
      <c r="AC868" s="68"/>
      <c r="AD868" s="68"/>
      <c r="AE868" s="68"/>
      <c r="AF868" s="68"/>
    </row>
    <row r="869">
      <c r="A869" s="68"/>
      <c r="B869" s="68"/>
      <c r="C869" s="78"/>
      <c r="D869" s="78"/>
      <c r="E869" s="68"/>
      <c r="F869" s="68"/>
      <c r="G869" s="68"/>
      <c r="H869" s="68"/>
      <c r="I869" s="68"/>
      <c r="J869" s="68"/>
      <c r="K869" s="68"/>
      <c r="L869" s="68"/>
      <c r="M869" s="79"/>
      <c r="N869" s="68"/>
      <c r="O869" s="68"/>
      <c r="P869" s="68"/>
      <c r="Q869" s="68"/>
      <c r="R869" s="68"/>
      <c r="S869" s="68"/>
      <c r="T869" s="68"/>
      <c r="U869" s="68"/>
      <c r="V869" s="68"/>
      <c r="W869" s="68"/>
      <c r="X869" s="68"/>
      <c r="Y869" s="68"/>
      <c r="Z869" s="68"/>
      <c r="AA869" s="68"/>
      <c r="AB869" s="68"/>
      <c r="AC869" s="68"/>
      <c r="AD869" s="68"/>
      <c r="AE869" s="68"/>
      <c r="AF869" s="68"/>
    </row>
    <row r="870">
      <c r="A870" s="68"/>
      <c r="B870" s="68"/>
      <c r="C870" s="78"/>
      <c r="D870" s="78"/>
      <c r="E870" s="68"/>
      <c r="F870" s="68"/>
      <c r="G870" s="68"/>
      <c r="H870" s="68"/>
      <c r="I870" s="68"/>
      <c r="J870" s="68"/>
      <c r="K870" s="68"/>
      <c r="L870" s="68"/>
      <c r="M870" s="79"/>
      <c r="N870" s="68"/>
      <c r="O870" s="68"/>
      <c r="P870" s="68"/>
      <c r="Q870" s="68"/>
      <c r="R870" s="68"/>
      <c r="S870" s="68"/>
      <c r="T870" s="68"/>
      <c r="U870" s="68"/>
      <c r="V870" s="68"/>
      <c r="W870" s="68"/>
      <c r="X870" s="68"/>
      <c r="Y870" s="68"/>
      <c r="Z870" s="68"/>
      <c r="AA870" s="68"/>
      <c r="AB870" s="68"/>
      <c r="AC870" s="68"/>
      <c r="AD870" s="68"/>
      <c r="AE870" s="68"/>
      <c r="AF870" s="68"/>
    </row>
    <row r="871">
      <c r="A871" s="68"/>
      <c r="B871" s="68"/>
      <c r="C871" s="78"/>
      <c r="D871" s="78"/>
      <c r="E871" s="68"/>
      <c r="F871" s="68"/>
      <c r="G871" s="68"/>
      <c r="H871" s="68"/>
      <c r="I871" s="68"/>
      <c r="J871" s="68"/>
      <c r="K871" s="68"/>
      <c r="L871" s="68"/>
      <c r="M871" s="79"/>
      <c r="N871" s="68"/>
      <c r="O871" s="68"/>
      <c r="P871" s="68"/>
      <c r="Q871" s="68"/>
      <c r="R871" s="68"/>
      <c r="S871" s="68"/>
      <c r="T871" s="68"/>
      <c r="U871" s="68"/>
      <c r="V871" s="68"/>
      <c r="W871" s="68"/>
      <c r="X871" s="68"/>
      <c r="Y871" s="68"/>
      <c r="Z871" s="68"/>
      <c r="AA871" s="68"/>
      <c r="AB871" s="68"/>
      <c r="AC871" s="68"/>
      <c r="AD871" s="68"/>
      <c r="AE871" s="68"/>
      <c r="AF871" s="68"/>
    </row>
    <row r="872">
      <c r="A872" s="68"/>
      <c r="B872" s="68"/>
      <c r="C872" s="78"/>
      <c r="D872" s="78"/>
      <c r="E872" s="68"/>
      <c r="F872" s="68"/>
      <c r="G872" s="68"/>
      <c r="H872" s="68"/>
      <c r="I872" s="68"/>
      <c r="J872" s="68"/>
      <c r="K872" s="68"/>
      <c r="L872" s="68"/>
      <c r="M872" s="79"/>
      <c r="N872" s="68"/>
      <c r="O872" s="68"/>
      <c r="P872" s="68"/>
      <c r="Q872" s="68"/>
      <c r="R872" s="68"/>
      <c r="S872" s="68"/>
      <c r="T872" s="68"/>
      <c r="U872" s="68"/>
      <c r="V872" s="68"/>
      <c r="W872" s="68"/>
      <c r="X872" s="68"/>
      <c r="Y872" s="68"/>
      <c r="Z872" s="68"/>
      <c r="AA872" s="68"/>
      <c r="AB872" s="68"/>
      <c r="AC872" s="68"/>
      <c r="AD872" s="68"/>
      <c r="AE872" s="68"/>
      <c r="AF872" s="68"/>
    </row>
    <row r="873">
      <c r="A873" s="68"/>
      <c r="B873" s="68"/>
      <c r="C873" s="78"/>
      <c r="D873" s="78"/>
      <c r="E873" s="68"/>
      <c r="F873" s="68"/>
      <c r="G873" s="68"/>
      <c r="H873" s="68"/>
      <c r="I873" s="68"/>
      <c r="J873" s="68"/>
      <c r="K873" s="68"/>
      <c r="L873" s="68"/>
      <c r="M873" s="79"/>
      <c r="N873" s="68"/>
      <c r="O873" s="68"/>
      <c r="P873" s="68"/>
      <c r="Q873" s="68"/>
      <c r="R873" s="68"/>
      <c r="S873" s="68"/>
      <c r="T873" s="68"/>
      <c r="U873" s="68"/>
      <c r="V873" s="68"/>
      <c r="W873" s="68"/>
      <c r="X873" s="68"/>
      <c r="Y873" s="68"/>
      <c r="Z873" s="68"/>
      <c r="AA873" s="68"/>
      <c r="AB873" s="68"/>
      <c r="AC873" s="68"/>
      <c r="AD873" s="68"/>
      <c r="AE873" s="68"/>
      <c r="AF873" s="68"/>
    </row>
    <row r="874">
      <c r="A874" s="68"/>
      <c r="B874" s="68"/>
      <c r="C874" s="78"/>
      <c r="D874" s="78"/>
      <c r="E874" s="68"/>
      <c r="F874" s="68"/>
      <c r="G874" s="68"/>
      <c r="H874" s="68"/>
      <c r="I874" s="68"/>
      <c r="J874" s="68"/>
      <c r="K874" s="68"/>
      <c r="L874" s="68"/>
      <c r="M874" s="79"/>
      <c r="N874" s="68"/>
      <c r="O874" s="68"/>
      <c r="P874" s="68"/>
      <c r="Q874" s="68"/>
      <c r="R874" s="68"/>
      <c r="S874" s="68"/>
      <c r="T874" s="68"/>
      <c r="U874" s="68"/>
      <c r="V874" s="68"/>
      <c r="W874" s="68"/>
      <c r="X874" s="68"/>
      <c r="Y874" s="68"/>
      <c r="Z874" s="68"/>
      <c r="AA874" s="68"/>
      <c r="AB874" s="68"/>
      <c r="AC874" s="68"/>
      <c r="AD874" s="68"/>
      <c r="AE874" s="68"/>
      <c r="AF874" s="68"/>
    </row>
    <row r="875">
      <c r="A875" s="68"/>
      <c r="B875" s="68"/>
      <c r="C875" s="78"/>
      <c r="D875" s="78"/>
      <c r="E875" s="68"/>
      <c r="F875" s="68"/>
      <c r="G875" s="68"/>
      <c r="H875" s="68"/>
      <c r="I875" s="68"/>
      <c r="J875" s="68"/>
      <c r="K875" s="68"/>
      <c r="L875" s="68"/>
      <c r="M875" s="79"/>
      <c r="N875" s="68"/>
      <c r="O875" s="68"/>
      <c r="P875" s="68"/>
      <c r="Q875" s="68"/>
      <c r="R875" s="68"/>
      <c r="S875" s="68"/>
      <c r="T875" s="68"/>
      <c r="U875" s="68"/>
      <c r="V875" s="68"/>
      <c r="W875" s="68"/>
      <c r="X875" s="68"/>
      <c r="Y875" s="68"/>
      <c r="Z875" s="68"/>
      <c r="AA875" s="68"/>
      <c r="AB875" s="68"/>
      <c r="AC875" s="68"/>
      <c r="AD875" s="68"/>
      <c r="AE875" s="68"/>
      <c r="AF875" s="68"/>
    </row>
    <row r="876">
      <c r="A876" s="68"/>
      <c r="B876" s="68"/>
      <c r="C876" s="78"/>
      <c r="D876" s="78"/>
      <c r="E876" s="68"/>
      <c r="F876" s="68"/>
      <c r="G876" s="68"/>
      <c r="H876" s="68"/>
      <c r="I876" s="68"/>
      <c r="J876" s="68"/>
      <c r="K876" s="68"/>
      <c r="L876" s="68"/>
      <c r="M876" s="79"/>
      <c r="N876" s="68"/>
      <c r="O876" s="68"/>
      <c r="P876" s="68"/>
      <c r="Q876" s="68"/>
      <c r="R876" s="68"/>
      <c r="S876" s="68"/>
      <c r="T876" s="68"/>
      <c r="U876" s="68"/>
      <c r="V876" s="68"/>
      <c r="W876" s="68"/>
      <c r="X876" s="68"/>
      <c r="Y876" s="68"/>
      <c r="Z876" s="68"/>
      <c r="AA876" s="68"/>
      <c r="AB876" s="68"/>
      <c r="AC876" s="68"/>
      <c r="AD876" s="68"/>
      <c r="AE876" s="68"/>
      <c r="AF876" s="68"/>
    </row>
    <row r="877">
      <c r="A877" s="68"/>
      <c r="B877" s="68"/>
      <c r="C877" s="78"/>
      <c r="D877" s="78"/>
      <c r="E877" s="68"/>
      <c r="F877" s="68"/>
      <c r="G877" s="68"/>
      <c r="H877" s="68"/>
      <c r="I877" s="68"/>
      <c r="J877" s="68"/>
      <c r="K877" s="68"/>
      <c r="L877" s="68"/>
      <c r="M877" s="79"/>
      <c r="N877" s="68"/>
      <c r="O877" s="68"/>
      <c r="P877" s="68"/>
      <c r="Q877" s="68"/>
      <c r="R877" s="68"/>
      <c r="S877" s="68"/>
      <c r="T877" s="68"/>
      <c r="U877" s="68"/>
      <c r="V877" s="68"/>
      <c r="W877" s="68"/>
      <c r="X877" s="68"/>
      <c r="Y877" s="68"/>
      <c r="Z877" s="68"/>
      <c r="AA877" s="68"/>
      <c r="AB877" s="68"/>
      <c r="AC877" s="68"/>
      <c r="AD877" s="68"/>
      <c r="AE877" s="68"/>
      <c r="AF877" s="68"/>
    </row>
    <row r="878">
      <c r="A878" s="68"/>
      <c r="B878" s="68"/>
      <c r="C878" s="78"/>
      <c r="D878" s="78"/>
      <c r="E878" s="68"/>
      <c r="F878" s="68"/>
      <c r="G878" s="68"/>
      <c r="H878" s="68"/>
      <c r="I878" s="68"/>
      <c r="J878" s="68"/>
      <c r="K878" s="68"/>
      <c r="L878" s="68"/>
      <c r="M878" s="79"/>
      <c r="N878" s="68"/>
      <c r="O878" s="68"/>
      <c r="P878" s="68"/>
      <c r="Q878" s="68"/>
      <c r="R878" s="68"/>
      <c r="S878" s="68"/>
      <c r="T878" s="68"/>
      <c r="U878" s="68"/>
      <c r="V878" s="68"/>
      <c r="W878" s="68"/>
      <c r="X878" s="68"/>
      <c r="Y878" s="68"/>
      <c r="Z878" s="68"/>
      <c r="AA878" s="68"/>
      <c r="AB878" s="68"/>
      <c r="AC878" s="68"/>
      <c r="AD878" s="68"/>
      <c r="AE878" s="68"/>
      <c r="AF878" s="68"/>
    </row>
    <row r="879">
      <c r="A879" s="68"/>
      <c r="B879" s="68"/>
      <c r="C879" s="78"/>
      <c r="D879" s="78"/>
      <c r="E879" s="68"/>
      <c r="F879" s="68"/>
      <c r="G879" s="68"/>
      <c r="H879" s="68"/>
      <c r="I879" s="68"/>
      <c r="J879" s="68"/>
      <c r="K879" s="68"/>
      <c r="L879" s="68"/>
      <c r="M879" s="79"/>
      <c r="N879" s="68"/>
      <c r="O879" s="68"/>
      <c r="P879" s="68"/>
      <c r="Q879" s="68"/>
      <c r="R879" s="68"/>
      <c r="S879" s="68"/>
      <c r="T879" s="68"/>
      <c r="U879" s="68"/>
      <c r="V879" s="68"/>
      <c r="W879" s="68"/>
      <c r="X879" s="68"/>
      <c r="Y879" s="68"/>
      <c r="Z879" s="68"/>
      <c r="AA879" s="68"/>
      <c r="AB879" s="68"/>
      <c r="AC879" s="68"/>
      <c r="AD879" s="68"/>
      <c r="AE879" s="68"/>
      <c r="AF879" s="68"/>
    </row>
    <row r="880">
      <c r="A880" s="68"/>
      <c r="B880" s="68"/>
      <c r="C880" s="78"/>
      <c r="D880" s="78"/>
      <c r="E880" s="68"/>
      <c r="F880" s="68"/>
      <c r="G880" s="68"/>
      <c r="H880" s="68"/>
      <c r="I880" s="68"/>
      <c r="J880" s="68"/>
      <c r="K880" s="68"/>
      <c r="L880" s="68"/>
      <c r="M880" s="79"/>
      <c r="N880" s="68"/>
      <c r="O880" s="68"/>
      <c r="P880" s="68"/>
      <c r="Q880" s="68"/>
      <c r="R880" s="68"/>
      <c r="S880" s="68"/>
      <c r="T880" s="68"/>
      <c r="U880" s="68"/>
      <c r="V880" s="68"/>
      <c r="W880" s="68"/>
      <c r="X880" s="68"/>
      <c r="Y880" s="68"/>
      <c r="Z880" s="68"/>
      <c r="AA880" s="68"/>
      <c r="AB880" s="68"/>
      <c r="AC880" s="68"/>
      <c r="AD880" s="68"/>
      <c r="AE880" s="68"/>
      <c r="AF880" s="68"/>
    </row>
    <row r="881">
      <c r="A881" s="68"/>
      <c r="B881" s="68"/>
      <c r="C881" s="78"/>
      <c r="D881" s="78"/>
      <c r="E881" s="68"/>
      <c r="F881" s="68"/>
      <c r="G881" s="68"/>
      <c r="H881" s="68"/>
      <c r="I881" s="68"/>
      <c r="J881" s="68"/>
      <c r="K881" s="68"/>
      <c r="L881" s="68"/>
      <c r="M881" s="79"/>
      <c r="N881" s="68"/>
      <c r="O881" s="68"/>
      <c r="P881" s="68"/>
      <c r="Q881" s="68"/>
      <c r="R881" s="68"/>
      <c r="S881" s="68"/>
      <c r="T881" s="68"/>
      <c r="U881" s="68"/>
      <c r="V881" s="68"/>
      <c r="W881" s="68"/>
      <c r="X881" s="68"/>
      <c r="Y881" s="68"/>
      <c r="Z881" s="68"/>
      <c r="AA881" s="68"/>
      <c r="AB881" s="68"/>
      <c r="AC881" s="68"/>
      <c r="AD881" s="68"/>
      <c r="AE881" s="68"/>
      <c r="AF881" s="68"/>
    </row>
    <row r="882">
      <c r="A882" s="68"/>
      <c r="B882" s="68"/>
      <c r="C882" s="78"/>
      <c r="D882" s="78"/>
      <c r="E882" s="68"/>
      <c r="F882" s="68"/>
      <c r="G882" s="68"/>
      <c r="H882" s="68"/>
      <c r="I882" s="68"/>
      <c r="J882" s="68"/>
      <c r="K882" s="68"/>
      <c r="L882" s="68"/>
      <c r="M882" s="79"/>
      <c r="N882" s="68"/>
      <c r="O882" s="68"/>
      <c r="P882" s="68"/>
      <c r="Q882" s="68"/>
      <c r="R882" s="68"/>
      <c r="S882" s="68"/>
      <c r="T882" s="68"/>
      <c r="U882" s="68"/>
      <c r="V882" s="68"/>
      <c r="W882" s="68"/>
      <c r="X882" s="68"/>
      <c r="Y882" s="68"/>
      <c r="Z882" s="68"/>
      <c r="AA882" s="68"/>
      <c r="AB882" s="68"/>
      <c r="AC882" s="68"/>
      <c r="AD882" s="68"/>
      <c r="AE882" s="68"/>
      <c r="AF882" s="68"/>
    </row>
    <row r="883">
      <c r="A883" s="68"/>
      <c r="B883" s="68"/>
      <c r="C883" s="78"/>
      <c r="D883" s="78"/>
      <c r="E883" s="68"/>
      <c r="F883" s="68"/>
      <c r="G883" s="68"/>
      <c r="H883" s="68"/>
      <c r="I883" s="68"/>
      <c r="J883" s="68"/>
      <c r="K883" s="68"/>
      <c r="L883" s="68"/>
      <c r="M883" s="79"/>
      <c r="N883" s="68"/>
      <c r="O883" s="68"/>
      <c r="P883" s="68"/>
      <c r="Q883" s="68"/>
      <c r="R883" s="68"/>
      <c r="S883" s="68"/>
      <c r="T883" s="68"/>
      <c r="U883" s="68"/>
      <c r="V883" s="68"/>
      <c r="W883" s="68"/>
      <c r="X883" s="68"/>
      <c r="Y883" s="68"/>
      <c r="Z883" s="68"/>
      <c r="AA883" s="68"/>
      <c r="AB883" s="68"/>
      <c r="AC883" s="68"/>
      <c r="AD883" s="68"/>
      <c r="AE883" s="68"/>
      <c r="AF883" s="68"/>
    </row>
    <row r="884">
      <c r="A884" s="68"/>
      <c r="B884" s="68"/>
      <c r="C884" s="78"/>
      <c r="D884" s="78"/>
      <c r="E884" s="68"/>
      <c r="F884" s="68"/>
      <c r="G884" s="68"/>
      <c r="H884" s="68"/>
      <c r="I884" s="68"/>
      <c r="J884" s="68"/>
      <c r="K884" s="68"/>
      <c r="L884" s="68"/>
      <c r="M884" s="79"/>
      <c r="N884" s="68"/>
      <c r="O884" s="68"/>
      <c r="P884" s="68"/>
      <c r="Q884" s="68"/>
      <c r="R884" s="68"/>
      <c r="S884" s="68"/>
      <c r="T884" s="68"/>
      <c r="U884" s="68"/>
      <c r="V884" s="68"/>
      <c r="W884" s="68"/>
      <c r="X884" s="68"/>
      <c r="Y884" s="68"/>
      <c r="Z884" s="68"/>
      <c r="AA884" s="68"/>
      <c r="AB884" s="68"/>
      <c r="AC884" s="68"/>
      <c r="AD884" s="68"/>
      <c r="AE884" s="68"/>
      <c r="AF884" s="68"/>
    </row>
    <row r="885">
      <c r="A885" s="68"/>
      <c r="B885" s="68"/>
      <c r="C885" s="78"/>
      <c r="D885" s="78"/>
      <c r="E885" s="68"/>
      <c r="F885" s="68"/>
      <c r="G885" s="68"/>
      <c r="H885" s="68"/>
      <c r="I885" s="68"/>
      <c r="J885" s="68"/>
      <c r="K885" s="68"/>
      <c r="L885" s="68"/>
      <c r="M885" s="79"/>
      <c r="N885" s="68"/>
      <c r="O885" s="68"/>
      <c r="P885" s="68"/>
      <c r="Q885" s="68"/>
      <c r="R885" s="68"/>
      <c r="S885" s="68"/>
      <c r="T885" s="68"/>
      <c r="U885" s="68"/>
      <c r="V885" s="68"/>
      <c r="W885" s="68"/>
      <c r="X885" s="68"/>
      <c r="Y885" s="68"/>
      <c r="Z885" s="68"/>
      <c r="AA885" s="68"/>
      <c r="AB885" s="68"/>
      <c r="AC885" s="68"/>
      <c r="AD885" s="68"/>
      <c r="AE885" s="68"/>
      <c r="AF885" s="68"/>
    </row>
    <row r="886">
      <c r="A886" s="68"/>
      <c r="B886" s="68"/>
      <c r="C886" s="78"/>
      <c r="D886" s="78"/>
      <c r="E886" s="68"/>
      <c r="F886" s="68"/>
      <c r="G886" s="68"/>
      <c r="H886" s="68"/>
      <c r="I886" s="68"/>
      <c r="J886" s="68"/>
      <c r="K886" s="68"/>
      <c r="L886" s="68"/>
      <c r="M886" s="79"/>
      <c r="N886" s="68"/>
      <c r="O886" s="68"/>
      <c r="P886" s="68"/>
      <c r="Q886" s="68"/>
      <c r="R886" s="68"/>
      <c r="S886" s="68"/>
      <c r="T886" s="68"/>
      <c r="U886" s="68"/>
      <c r="V886" s="68"/>
      <c r="W886" s="68"/>
      <c r="X886" s="68"/>
      <c r="Y886" s="68"/>
      <c r="Z886" s="68"/>
      <c r="AA886" s="68"/>
      <c r="AB886" s="68"/>
      <c r="AC886" s="68"/>
      <c r="AD886" s="68"/>
      <c r="AE886" s="68"/>
      <c r="AF886" s="68"/>
    </row>
    <row r="887">
      <c r="A887" s="68"/>
      <c r="B887" s="68"/>
      <c r="C887" s="78"/>
      <c r="D887" s="78"/>
      <c r="E887" s="68"/>
      <c r="F887" s="68"/>
      <c r="G887" s="68"/>
      <c r="H887" s="68"/>
      <c r="I887" s="68"/>
      <c r="J887" s="68"/>
      <c r="K887" s="68"/>
      <c r="L887" s="68"/>
      <c r="M887" s="79"/>
      <c r="N887" s="68"/>
      <c r="O887" s="68"/>
      <c r="P887" s="68"/>
      <c r="Q887" s="68"/>
      <c r="R887" s="68"/>
      <c r="S887" s="68"/>
      <c r="T887" s="68"/>
      <c r="U887" s="68"/>
      <c r="V887" s="68"/>
      <c r="W887" s="68"/>
      <c r="X887" s="68"/>
      <c r="Y887" s="68"/>
      <c r="Z887" s="68"/>
      <c r="AA887" s="68"/>
      <c r="AB887" s="68"/>
      <c r="AC887" s="68"/>
      <c r="AD887" s="68"/>
      <c r="AE887" s="68"/>
      <c r="AF887" s="68"/>
    </row>
    <row r="888">
      <c r="A888" s="68"/>
      <c r="B888" s="68"/>
      <c r="C888" s="78"/>
      <c r="D888" s="78"/>
      <c r="E888" s="68"/>
      <c r="F888" s="68"/>
      <c r="G888" s="68"/>
      <c r="H888" s="68"/>
      <c r="I888" s="68"/>
      <c r="J888" s="68"/>
      <c r="K888" s="68"/>
      <c r="L888" s="68"/>
      <c r="M888" s="79"/>
      <c r="N888" s="68"/>
      <c r="O888" s="68"/>
      <c r="P888" s="68"/>
      <c r="Q888" s="68"/>
      <c r="R888" s="68"/>
      <c r="S888" s="68"/>
      <c r="T888" s="68"/>
      <c r="U888" s="68"/>
      <c r="V888" s="68"/>
      <c r="W888" s="68"/>
      <c r="X888" s="68"/>
      <c r="Y888" s="68"/>
      <c r="Z888" s="68"/>
      <c r="AA888" s="68"/>
      <c r="AB888" s="68"/>
      <c r="AC888" s="68"/>
      <c r="AD888" s="68"/>
      <c r="AE888" s="68"/>
      <c r="AF888" s="68"/>
    </row>
    <row r="889">
      <c r="A889" s="68"/>
      <c r="B889" s="68"/>
      <c r="C889" s="78"/>
      <c r="D889" s="78"/>
      <c r="E889" s="68"/>
      <c r="F889" s="68"/>
      <c r="G889" s="68"/>
      <c r="H889" s="68"/>
      <c r="I889" s="68"/>
      <c r="J889" s="68"/>
      <c r="K889" s="68"/>
      <c r="L889" s="68"/>
      <c r="M889" s="79"/>
      <c r="N889" s="68"/>
      <c r="O889" s="68"/>
      <c r="P889" s="68"/>
      <c r="Q889" s="68"/>
      <c r="R889" s="68"/>
      <c r="S889" s="68"/>
      <c r="T889" s="68"/>
      <c r="U889" s="68"/>
      <c r="V889" s="68"/>
      <c r="W889" s="68"/>
      <c r="X889" s="68"/>
      <c r="Y889" s="68"/>
      <c r="Z889" s="68"/>
      <c r="AA889" s="68"/>
      <c r="AB889" s="68"/>
      <c r="AC889" s="68"/>
      <c r="AD889" s="68"/>
      <c r="AE889" s="68"/>
      <c r="AF889" s="68"/>
    </row>
    <row r="890">
      <c r="A890" s="68"/>
      <c r="B890" s="68"/>
      <c r="C890" s="78"/>
      <c r="D890" s="78"/>
      <c r="E890" s="68"/>
      <c r="F890" s="68"/>
      <c r="G890" s="68"/>
      <c r="H890" s="68"/>
      <c r="I890" s="68"/>
      <c r="J890" s="68"/>
      <c r="K890" s="68"/>
      <c r="L890" s="68"/>
      <c r="M890" s="79"/>
      <c r="N890" s="68"/>
      <c r="O890" s="68"/>
      <c r="P890" s="68"/>
      <c r="Q890" s="68"/>
      <c r="R890" s="68"/>
      <c r="S890" s="68"/>
      <c r="T890" s="68"/>
      <c r="U890" s="68"/>
      <c r="V890" s="68"/>
      <c r="W890" s="68"/>
      <c r="X890" s="68"/>
      <c r="Y890" s="68"/>
      <c r="Z890" s="68"/>
      <c r="AA890" s="68"/>
      <c r="AB890" s="68"/>
      <c r="AC890" s="68"/>
      <c r="AD890" s="68"/>
      <c r="AE890" s="68"/>
      <c r="AF890" s="68"/>
    </row>
    <row r="891">
      <c r="A891" s="68"/>
      <c r="B891" s="68"/>
      <c r="C891" s="78"/>
      <c r="D891" s="78"/>
      <c r="E891" s="68"/>
      <c r="F891" s="68"/>
      <c r="G891" s="68"/>
      <c r="H891" s="68"/>
      <c r="I891" s="68"/>
      <c r="J891" s="68"/>
      <c r="K891" s="68"/>
      <c r="L891" s="68"/>
      <c r="M891" s="79"/>
      <c r="N891" s="68"/>
      <c r="O891" s="68"/>
      <c r="P891" s="68"/>
      <c r="Q891" s="68"/>
      <c r="R891" s="68"/>
      <c r="S891" s="68"/>
      <c r="T891" s="68"/>
      <c r="U891" s="68"/>
      <c r="V891" s="68"/>
      <c r="W891" s="68"/>
      <c r="X891" s="68"/>
      <c r="Y891" s="68"/>
      <c r="Z891" s="68"/>
      <c r="AA891" s="68"/>
      <c r="AB891" s="68"/>
      <c r="AC891" s="68"/>
      <c r="AD891" s="68"/>
      <c r="AE891" s="68"/>
      <c r="AF891" s="68"/>
    </row>
    <row r="892">
      <c r="A892" s="68"/>
      <c r="B892" s="68"/>
      <c r="C892" s="78"/>
      <c r="D892" s="78"/>
      <c r="E892" s="68"/>
      <c r="F892" s="68"/>
      <c r="G892" s="68"/>
      <c r="H892" s="68"/>
      <c r="I892" s="68"/>
      <c r="J892" s="68"/>
      <c r="K892" s="68"/>
      <c r="L892" s="68"/>
      <c r="M892" s="79"/>
      <c r="N892" s="68"/>
      <c r="O892" s="68"/>
      <c r="P892" s="68"/>
      <c r="Q892" s="68"/>
      <c r="R892" s="68"/>
      <c r="S892" s="68"/>
      <c r="T892" s="68"/>
      <c r="U892" s="68"/>
      <c r="V892" s="68"/>
      <c r="W892" s="68"/>
      <c r="X892" s="68"/>
      <c r="Y892" s="68"/>
      <c r="Z892" s="68"/>
      <c r="AA892" s="68"/>
      <c r="AB892" s="68"/>
      <c r="AC892" s="68"/>
      <c r="AD892" s="68"/>
      <c r="AE892" s="68"/>
      <c r="AF892" s="68"/>
    </row>
    <row r="893">
      <c r="A893" s="68"/>
      <c r="B893" s="68"/>
      <c r="C893" s="78"/>
      <c r="D893" s="78"/>
      <c r="E893" s="68"/>
      <c r="F893" s="68"/>
      <c r="G893" s="68"/>
      <c r="H893" s="68"/>
      <c r="I893" s="68"/>
      <c r="J893" s="68"/>
      <c r="K893" s="68"/>
      <c r="L893" s="68"/>
      <c r="M893" s="79"/>
      <c r="N893" s="68"/>
      <c r="O893" s="68"/>
      <c r="P893" s="68"/>
      <c r="Q893" s="68"/>
      <c r="R893" s="68"/>
      <c r="S893" s="68"/>
      <c r="T893" s="68"/>
      <c r="U893" s="68"/>
      <c r="V893" s="68"/>
      <c r="W893" s="68"/>
      <c r="X893" s="68"/>
      <c r="Y893" s="68"/>
      <c r="Z893" s="68"/>
      <c r="AA893" s="68"/>
      <c r="AB893" s="68"/>
      <c r="AC893" s="68"/>
      <c r="AD893" s="68"/>
      <c r="AE893" s="68"/>
      <c r="AF893" s="68"/>
    </row>
    <row r="894">
      <c r="A894" s="68"/>
      <c r="B894" s="68"/>
      <c r="C894" s="78"/>
      <c r="D894" s="78"/>
      <c r="E894" s="68"/>
      <c r="F894" s="68"/>
      <c r="G894" s="68"/>
      <c r="H894" s="68"/>
      <c r="I894" s="68"/>
      <c r="J894" s="68"/>
      <c r="K894" s="68"/>
      <c r="L894" s="68"/>
      <c r="M894" s="79"/>
      <c r="N894" s="68"/>
      <c r="O894" s="68"/>
      <c r="P894" s="68"/>
      <c r="Q894" s="68"/>
      <c r="R894" s="68"/>
      <c r="S894" s="68"/>
      <c r="T894" s="68"/>
      <c r="U894" s="68"/>
      <c r="V894" s="68"/>
      <c r="W894" s="68"/>
      <c r="X894" s="68"/>
      <c r="Y894" s="68"/>
      <c r="Z894" s="68"/>
      <c r="AA894" s="68"/>
      <c r="AB894" s="68"/>
      <c r="AC894" s="68"/>
      <c r="AD894" s="68"/>
      <c r="AE894" s="68"/>
      <c r="AF894" s="68"/>
    </row>
    <row r="895">
      <c r="A895" s="68"/>
      <c r="B895" s="68"/>
      <c r="C895" s="78"/>
      <c r="D895" s="78"/>
      <c r="E895" s="68"/>
      <c r="F895" s="68"/>
      <c r="G895" s="68"/>
      <c r="H895" s="68"/>
      <c r="I895" s="68"/>
      <c r="J895" s="68"/>
      <c r="K895" s="68"/>
      <c r="L895" s="68"/>
      <c r="M895" s="79"/>
      <c r="N895" s="68"/>
      <c r="O895" s="68"/>
      <c r="P895" s="68"/>
      <c r="Q895" s="68"/>
      <c r="R895" s="68"/>
      <c r="S895" s="68"/>
      <c r="T895" s="68"/>
      <c r="U895" s="68"/>
      <c r="V895" s="68"/>
      <c r="W895" s="68"/>
      <c r="X895" s="68"/>
      <c r="Y895" s="68"/>
      <c r="Z895" s="68"/>
      <c r="AA895" s="68"/>
      <c r="AB895" s="68"/>
      <c r="AC895" s="68"/>
      <c r="AD895" s="68"/>
      <c r="AE895" s="68"/>
      <c r="AF895" s="68"/>
    </row>
    <row r="896">
      <c r="A896" s="68"/>
      <c r="B896" s="68"/>
      <c r="C896" s="78"/>
      <c r="D896" s="78"/>
      <c r="E896" s="68"/>
      <c r="F896" s="68"/>
      <c r="G896" s="68"/>
      <c r="H896" s="68"/>
      <c r="I896" s="68"/>
      <c r="J896" s="68"/>
      <c r="K896" s="68"/>
      <c r="L896" s="68"/>
      <c r="M896" s="79"/>
      <c r="N896" s="68"/>
      <c r="O896" s="68"/>
      <c r="P896" s="68"/>
      <c r="Q896" s="68"/>
      <c r="R896" s="68"/>
      <c r="S896" s="68"/>
      <c r="T896" s="68"/>
      <c r="U896" s="68"/>
      <c r="V896" s="68"/>
      <c r="W896" s="68"/>
      <c r="X896" s="68"/>
      <c r="Y896" s="68"/>
      <c r="Z896" s="68"/>
      <c r="AA896" s="68"/>
      <c r="AB896" s="68"/>
      <c r="AC896" s="68"/>
      <c r="AD896" s="68"/>
      <c r="AE896" s="68"/>
      <c r="AF896" s="68"/>
    </row>
    <row r="897">
      <c r="A897" s="68"/>
      <c r="B897" s="68"/>
      <c r="C897" s="78"/>
      <c r="D897" s="78"/>
      <c r="E897" s="68"/>
      <c r="F897" s="68"/>
      <c r="G897" s="68"/>
      <c r="H897" s="68"/>
      <c r="I897" s="68"/>
      <c r="J897" s="68"/>
      <c r="K897" s="68"/>
      <c r="L897" s="68"/>
      <c r="M897" s="79"/>
      <c r="N897" s="68"/>
      <c r="O897" s="68"/>
      <c r="P897" s="68"/>
      <c r="Q897" s="68"/>
      <c r="R897" s="68"/>
      <c r="S897" s="68"/>
      <c r="T897" s="68"/>
      <c r="U897" s="68"/>
      <c r="V897" s="68"/>
      <c r="W897" s="68"/>
      <c r="X897" s="68"/>
      <c r="Y897" s="68"/>
      <c r="Z897" s="68"/>
      <c r="AA897" s="68"/>
      <c r="AB897" s="68"/>
      <c r="AC897" s="68"/>
      <c r="AD897" s="68"/>
      <c r="AE897" s="68"/>
      <c r="AF897" s="68"/>
    </row>
    <row r="898">
      <c r="A898" s="68"/>
      <c r="B898" s="68"/>
      <c r="C898" s="78"/>
      <c r="D898" s="78"/>
      <c r="E898" s="68"/>
      <c r="F898" s="68"/>
      <c r="G898" s="68"/>
      <c r="H898" s="68"/>
      <c r="I898" s="68"/>
      <c r="J898" s="68"/>
      <c r="K898" s="68"/>
      <c r="L898" s="68"/>
      <c r="M898" s="79"/>
      <c r="N898" s="68"/>
      <c r="O898" s="68"/>
      <c r="P898" s="68"/>
      <c r="Q898" s="68"/>
      <c r="R898" s="68"/>
      <c r="S898" s="68"/>
      <c r="T898" s="68"/>
      <c r="U898" s="68"/>
      <c r="V898" s="68"/>
      <c r="W898" s="68"/>
      <c r="X898" s="68"/>
      <c r="Y898" s="68"/>
      <c r="Z898" s="68"/>
      <c r="AA898" s="68"/>
      <c r="AB898" s="68"/>
      <c r="AC898" s="68"/>
      <c r="AD898" s="68"/>
      <c r="AE898" s="68"/>
      <c r="AF898" s="68"/>
    </row>
    <row r="899">
      <c r="A899" s="68"/>
      <c r="B899" s="68"/>
      <c r="C899" s="78"/>
      <c r="D899" s="78"/>
      <c r="E899" s="68"/>
      <c r="F899" s="68"/>
      <c r="G899" s="68"/>
      <c r="H899" s="68"/>
      <c r="I899" s="68"/>
      <c r="J899" s="68"/>
      <c r="K899" s="68"/>
      <c r="L899" s="68"/>
      <c r="M899" s="79"/>
      <c r="N899" s="68"/>
      <c r="O899" s="68"/>
      <c r="P899" s="68"/>
      <c r="Q899" s="68"/>
      <c r="R899" s="68"/>
      <c r="S899" s="68"/>
      <c r="T899" s="68"/>
      <c r="U899" s="68"/>
      <c r="V899" s="68"/>
      <c r="W899" s="68"/>
      <c r="X899" s="68"/>
      <c r="Y899" s="68"/>
      <c r="Z899" s="68"/>
      <c r="AA899" s="68"/>
      <c r="AB899" s="68"/>
      <c r="AC899" s="68"/>
      <c r="AD899" s="68"/>
      <c r="AE899" s="68"/>
      <c r="AF899" s="68"/>
    </row>
    <row r="900">
      <c r="A900" s="68"/>
      <c r="B900" s="68"/>
      <c r="C900" s="78"/>
      <c r="D900" s="78"/>
      <c r="E900" s="68"/>
      <c r="F900" s="68"/>
      <c r="G900" s="68"/>
      <c r="H900" s="68"/>
      <c r="I900" s="68"/>
      <c r="J900" s="68"/>
      <c r="K900" s="68"/>
      <c r="L900" s="68"/>
      <c r="M900" s="79"/>
      <c r="N900" s="68"/>
      <c r="O900" s="68"/>
      <c r="P900" s="68"/>
      <c r="Q900" s="68"/>
      <c r="R900" s="68"/>
      <c r="S900" s="68"/>
      <c r="T900" s="68"/>
      <c r="U900" s="68"/>
      <c r="V900" s="68"/>
      <c r="W900" s="68"/>
      <c r="X900" s="68"/>
      <c r="Y900" s="68"/>
      <c r="Z900" s="68"/>
      <c r="AA900" s="68"/>
      <c r="AB900" s="68"/>
      <c r="AC900" s="68"/>
      <c r="AD900" s="68"/>
      <c r="AE900" s="68"/>
      <c r="AF900" s="68"/>
    </row>
    <row r="901">
      <c r="A901" s="68"/>
      <c r="B901" s="68"/>
      <c r="C901" s="78"/>
      <c r="D901" s="78"/>
      <c r="E901" s="68"/>
      <c r="F901" s="68"/>
      <c r="G901" s="68"/>
      <c r="H901" s="68"/>
      <c r="I901" s="68"/>
      <c r="J901" s="68"/>
      <c r="K901" s="68"/>
      <c r="L901" s="68"/>
      <c r="M901" s="79"/>
      <c r="N901" s="68"/>
      <c r="O901" s="68"/>
      <c r="P901" s="68"/>
      <c r="Q901" s="68"/>
      <c r="R901" s="68"/>
      <c r="S901" s="68"/>
      <c r="T901" s="68"/>
      <c r="U901" s="68"/>
      <c r="V901" s="68"/>
      <c r="W901" s="68"/>
      <c r="X901" s="68"/>
      <c r="Y901" s="68"/>
      <c r="Z901" s="68"/>
      <c r="AA901" s="68"/>
      <c r="AB901" s="68"/>
      <c r="AC901" s="68"/>
      <c r="AD901" s="68"/>
      <c r="AE901" s="68"/>
      <c r="AF901" s="68"/>
    </row>
    <row r="902">
      <c r="A902" s="68"/>
      <c r="B902" s="68"/>
      <c r="C902" s="78"/>
      <c r="D902" s="78"/>
      <c r="E902" s="68"/>
      <c r="F902" s="68"/>
      <c r="G902" s="68"/>
      <c r="H902" s="68"/>
      <c r="I902" s="68"/>
      <c r="J902" s="68"/>
      <c r="K902" s="68"/>
      <c r="L902" s="68"/>
      <c r="M902" s="79"/>
      <c r="N902" s="68"/>
      <c r="O902" s="68"/>
      <c r="P902" s="68"/>
      <c r="Q902" s="68"/>
      <c r="R902" s="68"/>
      <c r="S902" s="68"/>
      <c r="T902" s="68"/>
      <c r="U902" s="68"/>
      <c r="V902" s="68"/>
      <c r="W902" s="68"/>
      <c r="X902" s="68"/>
      <c r="Y902" s="68"/>
      <c r="Z902" s="68"/>
      <c r="AA902" s="68"/>
      <c r="AB902" s="68"/>
      <c r="AC902" s="68"/>
      <c r="AD902" s="68"/>
      <c r="AE902" s="68"/>
      <c r="AF902" s="68"/>
    </row>
    <row r="903">
      <c r="A903" s="68"/>
      <c r="B903" s="68"/>
      <c r="C903" s="78"/>
      <c r="D903" s="78"/>
      <c r="E903" s="68"/>
      <c r="F903" s="68"/>
      <c r="G903" s="68"/>
      <c r="H903" s="68"/>
      <c r="I903" s="68"/>
      <c r="J903" s="68"/>
      <c r="K903" s="68"/>
      <c r="L903" s="68"/>
      <c r="M903" s="79"/>
      <c r="N903" s="68"/>
      <c r="O903" s="68"/>
      <c r="P903" s="68"/>
      <c r="Q903" s="68"/>
      <c r="R903" s="68"/>
      <c r="S903" s="68"/>
      <c r="T903" s="68"/>
      <c r="U903" s="68"/>
      <c r="V903" s="68"/>
      <c r="W903" s="68"/>
      <c r="X903" s="68"/>
      <c r="Y903" s="68"/>
      <c r="Z903" s="68"/>
      <c r="AA903" s="68"/>
      <c r="AB903" s="68"/>
      <c r="AC903" s="68"/>
      <c r="AD903" s="68"/>
      <c r="AE903" s="68"/>
      <c r="AF903" s="68"/>
    </row>
    <row r="904">
      <c r="A904" s="68"/>
      <c r="B904" s="68"/>
      <c r="C904" s="78"/>
      <c r="D904" s="78"/>
      <c r="E904" s="68"/>
      <c r="F904" s="68"/>
      <c r="G904" s="68"/>
      <c r="H904" s="68"/>
      <c r="I904" s="68"/>
      <c r="J904" s="68"/>
      <c r="K904" s="68"/>
      <c r="L904" s="68"/>
      <c r="M904" s="79"/>
      <c r="N904" s="68"/>
      <c r="O904" s="68"/>
      <c r="P904" s="68"/>
      <c r="Q904" s="68"/>
      <c r="R904" s="68"/>
      <c r="S904" s="68"/>
      <c r="T904" s="68"/>
      <c r="U904" s="68"/>
      <c r="V904" s="68"/>
      <c r="W904" s="68"/>
      <c r="X904" s="68"/>
      <c r="Y904" s="68"/>
      <c r="Z904" s="68"/>
      <c r="AA904" s="68"/>
      <c r="AB904" s="68"/>
      <c r="AC904" s="68"/>
      <c r="AD904" s="68"/>
      <c r="AE904" s="68"/>
      <c r="AF904" s="68"/>
    </row>
    <row r="905">
      <c r="A905" s="68"/>
      <c r="B905" s="68"/>
      <c r="C905" s="78"/>
      <c r="D905" s="78"/>
      <c r="E905" s="68"/>
      <c r="F905" s="68"/>
      <c r="G905" s="68"/>
      <c r="H905" s="68"/>
      <c r="I905" s="68"/>
      <c r="J905" s="68"/>
      <c r="K905" s="68"/>
      <c r="L905" s="68"/>
      <c r="M905" s="79"/>
      <c r="N905" s="68"/>
      <c r="O905" s="68"/>
      <c r="P905" s="68"/>
      <c r="Q905" s="68"/>
      <c r="R905" s="68"/>
      <c r="S905" s="68"/>
      <c r="T905" s="68"/>
      <c r="U905" s="68"/>
      <c r="V905" s="68"/>
      <c r="W905" s="68"/>
      <c r="X905" s="68"/>
      <c r="Y905" s="68"/>
      <c r="Z905" s="68"/>
      <c r="AA905" s="68"/>
      <c r="AB905" s="68"/>
      <c r="AC905" s="68"/>
      <c r="AD905" s="68"/>
      <c r="AE905" s="68"/>
      <c r="AF905" s="68"/>
    </row>
    <row r="906">
      <c r="A906" s="68"/>
      <c r="B906" s="68"/>
      <c r="C906" s="78"/>
      <c r="D906" s="78"/>
      <c r="E906" s="68"/>
      <c r="F906" s="68"/>
      <c r="G906" s="68"/>
      <c r="H906" s="68"/>
      <c r="I906" s="68"/>
      <c r="J906" s="68"/>
      <c r="K906" s="68"/>
      <c r="L906" s="68"/>
      <c r="M906" s="79"/>
      <c r="N906" s="68"/>
      <c r="O906" s="68"/>
      <c r="P906" s="68"/>
      <c r="Q906" s="68"/>
      <c r="R906" s="68"/>
      <c r="S906" s="68"/>
      <c r="T906" s="68"/>
      <c r="U906" s="68"/>
      <c r="V906" s="68"/>
      <c r="W906" s="68"/>
      <c r="X906" s="68"/>
      <c r="Y906" s="68"/>
      <c r="Z906" s="68"/>
      <c r="AA906" s="68"/>
      <c r="AB906" s="68"/>
      <c r="AC906" s="68"/>
      <c r="AD906" s="68"/>
      <c r="AE906" s="68"/>
      <c r="AF906" s="68"/>
    </row>
    <row r="907">
      <c r="A907" s="68"/>
      <c r="B907" s="68"/>
      <c r="C907" s="78"/>
      <c r="D907" s="78"/>
      <c r="E907" s="68"/>
      <c r="F907" s="68"/>
      <c r="G907" s="68"/>
      <c r="H907" s="68"/>
      <c r="I907" s="68"/>
      <c r="J907" s="68"/>
      <c r="K907" s="68"/>
      <c r="L907" s="68"/>
      <c r="M907" s="79"/>
      <c r="N907" s="68"/>
      <c r="O907" s="68"/>
      <c r="P907" s="68"/>
      <c r="Q907" s="68"/>
      <c r="R907" s="68"/>
      <c r="S907" s="68"/>
      <c r="T907" s="68"/>
      <c r="U907" s="68"/>
      <c r="V907" s="68"/>
      <c r="W907" s="68"/>
      <c r="X907" s="68"/>
      <c r="Y907" s="68"/>
      <c r="Z907" s="68"/>
      <c r="AA907" s="68"/>
      <c r="AB907" s="68"/>
      <c r="AC907" s="68"/>
      <c r="AD907" s="68"/>
      <c r="AE907" s="68"/>
      <c r="AF907" s="68"/>
    </row>
    <row r="908">
      <c r="A908" s="68"/>
      <c r="B908" s="68"/>
      <c r="C908" s="78"/>
      <c r="D908" s="78"/>
      <c r="E908" s="68"/>
      <c r="F908" s="68"/>
      <c r="G908" s="68"/>
      <c r="H908" s="68"/>
      <c r="I908" s="68"/>
      <c r="J908" s="68"/>
      <c r="K908" s="68"/>
      <c r="L908" s="68"/>
      <c r="M908" s="79"/>
      <c r="N908" s="68"/>
      <c r="O908" s="68"/>
      <c r="P908" s="68"/>
      <c r="Q908" s="68"/>
      <c r="R908" s="68"/>
      <c r="S908" s="68"/>
      <c r="T908" s="68"/>
      <c r="U908" s="68"/>
      <c r="V908" s="68"/>
      <c r="W908" s="68"/>
      <c r="X908" s="68"/>
      <c r="Y908" s="68"/>
      <c r="Z908" s="68"/>
      <c r="AA908" s="68"/>
      <c r="AB908" s="68"/>
      <c r="AC908" s="68"/>
      <c r="AD908" s="68"/>
      <c r="AE908" s="68"/>
      <c r="AF908" s="68"/>
    </row>
    <row r="909">
      <c r="A909" s="68"/>
      <c r="B909" s="68"/>
      <c r="C909" s="78"/>
      <c r="D909" s="78"/>
      <c r="E909" s="68"/>
      <c r="F909" s="68"/>
      <c r="G909" s="68"/>
      <c r="H909" s="68"/>
      <c r="I909" s="68"/>
      <c r="J909" s="68"/>
      <c r="K909" s="68"/>
      <c r="L909" s="68"/>
      <c r="M909" s="79"/>
      <c r="N909" s="68"/>
      <c r="O909" s="68"/>
      <c r="P909" s="68"/>
      <c r="Q909" s="68"/>
      <c r="R909" s="68"/>
      <c r="S909" s="68"/>
      <c r="T909" s="68"/>
      <c r="U909" s="68"/>
      <c r="V909" s="68"/>
      <c r="W909" s="68"/>
      <c r="X909" s="68"/>
      <c r="Y909" s="68"/>
      <c r="Z909" s="68"/>
      <c r="AA909" s="68"/>
      <c r="AB909" s="68"/>
      <c r="AC909" s="68"/>
      <c r="AD909" s="68"/>
      <c r="AE909" s="68"/>
      <c r="AF909" s="68"/>
    </row>
    <row r="910">
      <c r="A910" s="68"/>
      <c r="B910" s="68"/>
      <c r="C910" s="78"/>
      <c r="D910" s="78"/>
      <c r="E910" s="68"/>
      <c r="F910" s="68"/>
      <c r="G910" s="68"/>
      <c r="H910" s="68"/>
      <c r="I910" s="68"/>
      <c r="J910" s="68"/>
      <c r="K910" s="68"/>
      <c r="L910" s="68"/>
      <c r="M910" s="79"/>
      <c r="N910" s="68"/>
      <c r="O910" s="68"/>
      <c r="P910" s="68"/>
      <c r="Q910" s="68"/>
      <c r="R910" s="68"/>
      <c r="S910" s="68"/>
      <c r="T910" s="68"/>
      <c r="U910" s="68"/>
      <c r="V910" s="68"/>
      <c r="W910" s="68"/>
      <c r="X910" s="68"/>
      <c r="Y910" s="68"/>
      <c r="Z910" s="68"/>
      <c r="AA910" s="68"/>
      <c r="AB910" s="68"/>
      <c r="AC910" s="68"/>
      <c r="AD910" s="68"/>
      <c r="AE910" s="68"/>
      <c r="AF910" s="68"/>
    </row>
    <row r="911">
      <c r="A911" s="68"/>
      <c r="B911" s="68"/>
      <c r="C911" s="78"/>
      <c r="D911" s="78"/>
      <c r="E911" s="68"/>
      <c r="F911" s="68"/>
      <c r="G911" s="68"/>
      <c r="H911" s="68"/>
      <c r="I911" s="68"/>
      <c r="J911" s="68"/>
      <c r="K911" s="68"/>
      <c r="L911" s="68"/>
      <c r="M911" s="79"/>
      <c r="N911" s="68"/>
      <c r="O911" s="68"/>
      <c r="P911" s="68"/>
      <c r="Q911" s="68"/>
      <c r="R911" s="68"/>
      <c r="S911" s="68"/>
      <c r="T911" s="68"/>
      <c r="U911" s="68"/>
      <c r="V911" s="68"/>
      <c r="W911" s="68"/>
      <c r="X911" s="68"/>
      <c r="Y911" s="68"/>
      <c r="Z911" s="68"/>
      <c r="AA911" s="68"/>
      <c r="AB911" s="68"/>
      <c r="AC911" s="68"/>
      <c r="AD911" s="68"/>
      <c r="AE911" s="68"/>
      <c r="AF911" s="68"/>
    </row>
    <row r="912">
      <c r="A912" s="68"/>
      <c r="B912" s="68"/>
      <c r="C912" s="78"/>
      <c r="D912" s="78"/>
      <c r="E912" s="68"/>
      <c r="F912" s="68"/>
      <c r="G912" s="68"/>
      <c r="H912" s="68"/>
      <c r="I912" s="68"/>
      <c r="J912" s="68"/>
      <c r="K912" s="68"/>
      <c r="L912" s="68"/>
      <c r="M912" s="79"/>
      <c r="N912" s="68"/>
      <c r="O912" s="68"/>
      <c r="P912" s="68"/>
      <c r="Q912" s="68"/>
      <c r="R912" s="68"/>
      <c r="S912" s="68"/>
      <c r="T912" s="68"/>
      <c r="U912" s="68"/>
      <c r="V912" s="68"/>
      <c r="W912" s="68"/>
      <c r="X912" s="68"/>
      <c r="Y912" s="68"/>
      <c r="Z912" s="68"/>
      <c r="AA912" s="68"/>
      <c r="AB912" s="68"/>
      <c r="AC912" s="68"/>
      <c r="AD912" s="68"/>
      <c r="AE912" s="68"/>
      <c r="AF912" s="68"/>
    </row>
    <row r="913">
      <c r="A913" s="68"/>
      <c r="B913" s="68"/>
      <c r="C913" s="78"/>
      <c r="D913" s="78"/>
      <c r="E913" s="68"/>
      <c r="F913" s="68"/>
      <c r="G913" s="68"/>
      <c r="H913" s="68"/>
      <c r="I913" s="68"/>
      <c r="J913" s="68"/>
      <c r="K913" s="68"/>
      <c r="L913" s="68"/>
      <c r="M913" s="79"/>
      <c r="N913" s="68"/>
      <c r="O913" s="68"/>
      <c r="P913" s="68"/>
      <c r="Q913" s="68"/>
      <c r="R913" s="68"/>
      <c r="S913" s="68"/>
      <c r="T913" s="68"/>
      <c r="U913" s="68"/>
      <c r="V913" s="68"/>
      <c r="W913" s="68"/>
      <c r="X913" s="68"/>
      <c r="Y913" s="68"/>
      <c r="Z913" s="68"/>
      <c r="AA913" s="68"/>
      <c r="AB913" s="68"/>
      <c r="AC913" s="68"/>
      <c r="AD913" s="68"/>
      <c r="AE913" s="68"/>
      <c r="AF913" s="68"/>
    </row>
    <row r="914">
      <c r="A914" s="68"/>
      <c r="B914" s="68"/>
      <c r="C914" s="78"/>
      <c r="D914" s="78"/>
      <c r="E914" s="68"/>
      <c r="F914" s="68"/>
      <c r="G914" s="68"/>
      <c r="H914" s="68"/>
      <c r="I914" s="68"/>
      <c r="J914" s="68"/>
      <c r="K914" s="68"/>
      <c r="L914" s="68"/>
      <c r="M914" s="79"/>
      <c r="N914" s="68"/>
      <c r="O914" s="68"/>
      <c r="P914" s="68"/>
      <c r="Q914" s="68"/>
      <c r="R914" s="68"/>
      <c r="S914" s="68"/>
      <c r="T914" s="68"/>
      <c r="U914" s="68"/>
      <c r="V914" s="68"/>
      <c r="W914" s="68"/>
      <c r="X914" s="68"/>
      <c r="Y914" s="68"/>
      <c r="Z914" s="68"/>
      <c r="AA914" s="68"/>
      <c r="AB914" s="68"/>
      <c r="AC914" s="68"/>
      <c r="AD914" s="68"/>
      <c r="AE914" s="68"/>
      <c r="AF914" s="68"/>
    </row>
    <row r="915">
      <c r="A915" s="68"/>
      <c r="B915" s="68"/>
      <c r="C915" s="78"/>
      <c r="D915" s="78"/>
      <c r="E915" s="68"/>
      <c r="F915" s="68"/>
      <c r="G915" s="68"/>
      <c r="H915" s="68"/>
      <c r="I915" s="68"/>
      <c r="J915" s="68"/>
      <c r="K915" s="68"/>
      <c r="L915" s="68"/>
      <c r="M915" s="79"/>
      <c r="N915" s="68"/>
      <c r="O915" s="68"/>
      <c r="P915" s="68"/>
      <c r="Q915" s="68"/>
      <c r="R915" s="68"/>
      <c r="S915" s="68"/>
      <c r="T915" s="68"/>
      <c r="U915" s="68"/>
      <c r="V915" s="68"/>
      <c r="W915" s="68"/>
      <c r="X915" s="68"/>
      <c r="Y915" s="68"/>
      <c r="Z915" s="68"/>
      <c r="AA915" s="68"/>
      <c r="AB915" s="68"/>
      <c r="AC915" s="68"/>
      <c r="AD915" s="68"/>
      <c r="AE915" s="68"/>
      <c r="AF915" s="68"/>
    </row>
    <row r="916">
      <c r="A916" s="68"/>
      <c r="B916" s="68"/>
      <c r="C916" s="78"/>
      <c r="D916" s="78"/>
      <c r="E916" s="68"/>
      <c r="F916" s="68"/>
      <c r="G916" s="68"/>
      <c r="H916" s="68"/>
      <c r="I916" s="68"/>
      <c r="J916" s="68"/>
      <c r="K916" s="68"/>
      <c r="L916" s="68"/>
      <c r="M916" s="79"/>
      <c r="N916" s="68"/>
      <c r="O916" s="68"/>
      <c r="P916" s="68"/>
      <c r="Q916" s="68"/>
      <c r="R916" s="68"/>
      <c r="S916" s="68"/>
      <c r="T916" s="68"/>
      <c r="U916" s="68"/>
      <c r="V916" s="68"/>
      <c r="W916" s="68"/>
      <c r="X916" s="68"/>
      <c r="Y916" s="68"/>
      <c r="Z916" s="68"/>
      <c r="AA916" s="68"/>
      <c r="AB916" s="68"/>
      <c r="AC916" s="68"/>
      <c r="AD916" s="68"/>
      <c r="AE916" s="68"/>
      <c r="AF916" s="68"/>
    </row>
    <row r="917">
      <c r="A917" s="68"/>
      <c r="B917" s="68"/>
      <c r="C917" s="78"/>
      <c r="D917" s="78"/>
      <c r="E917" s="68"/>
      <c r="F917" s="68"/>
      <c r="G917" s="68"/>
      <c r="H917" s="68"/>
      <c r="I917" s="68"/>
      <c r="J917" s="68"/>
      <c r="K917" s="68"/>
      <c r="L917" s="68"/>
      <c r="M917" s="79"/>
      <c r="N917" s="68"/>
      <c r="O917" s="68"/>
      <c r="P917" s="68"/>
      <c r="Q917" s="68"/>
      <c r="R917" s="68"/>
      <c r="S917" s="68"/>
      <c r="T917" s="68"/>
      <c r="U917" s="68"/>
      <c r="V917" s="68"/>
      <c r="W917" s="68"/>
      <c r="X917" s="68"/>
      <c r="Y917" s="68"/>
      <c r="Z917" s="68"/>
      <c r="AA917" s="68"/>
      <c r="AB917" s="68"/>
      <c r="AC917" s="68"/>
      <c r="AD917" s="68"/>
      <c r="AE917" s="68"/>
      <c r="AF917" s="68"/>
    </row>
    <row r="918">
      <c r="A918" s="68"/>
      <c r="B918" s="68"/>
      <c r="C918" s="78"/>
      <c r="D918" s="78"/>
      <c r="E918" s="68"/>
      <c r="F918" s="68"/>
      <c r="G918" s="68"/>
      <c r="H918" s="68"/>
      <c r="I918" s="68"/>
      <c r="J918" s="68"/>
      <c r="K918" s="68"/>
      <c r="L918" s="68"/>
      <c r="M918" s="79"/>
      <c r="N918" s="68"/>
      <c r="O918" s="68"/>
      <c r="P918" s="68"/>
      <c r="Q918" s="68"/>
      <c r="R918" s="68"/>
      <c r="S918" s="68"/>
      <c r="T918" s="68"/>
      <c r="U918" s="68"/>
      <c r="V918" s="68"/>
      <c r="W918" s="68"/>
      <c r="X918" s="68"/>
      <c r="Y918" s="68"/>
      <c r="Z918" s="68"/>
      <c r="AA918" s="68"/>
      <c r="AB918" s="68"/>
      <c r="AC918" s="68"/>
      <c r="AD918" s="68"/>
      <c r="AE918" s="68"/>
      <c r="AF918" s="68"/>
    </row>
    <row r="919">
      <c r="A919" s="68"/>
      <c r="B919" s="68"/>
      <c r="C919" s="78"/>
      <c r="D919" s="78"/>
      <c r="E919" s="68"/>
      <c r="F919" s="68"/>
      <c r="G919" s="68"/>
      <c r="H919" s="68"/>
      <c r="I919" s="68"/>
      <c r="J919" s="68"/>
      <c r="K919" s="68"/>
      <c r="L919" s="68"/>
      <c r="M919" s="79"/>
      <c r="N919" s="68"/>
      <c r="O919" s="68"/>
      <c r="P919" s="68"/>
      <c r="Q919" s="68"/>
      <c r="R919" s="68"/>
      <c r="S919" s="68"/>
      <c r="T919" s="68"/>
      <c r="U919" s="68"/>
      <c r="V919" s="68"/>
      <c r="W919" s="68"/>
      <c r="X919" s="68"/>
      <c r="Y919" s="68"/>
      <c r="Z919" s="68"/>
      <c r="AA919" s="68"/>
      <c r="AB919" s="68"/>
      <c r="AC919" s="68"/>
      <c r="AD919" s="68"/>
      <c r="AE919" s="68"/>
      <c r="AF919" s="68"/>
    </row>
    <row r="920">
      <c r="A920" s="68"/>
      <c r="B920" s="68"/>
      <c r="C920" s="78"/>
      <c r="D920" s="78"/>
      <c r="E920" s="68"/>
      <c r="F920" s="68"/>
      <c r="G920" s="68"/>
      <c r="H920" s="68"/>
      <c r="I920" s="68"/>
      <c r="J920" s="68"/>
      <c r="K920" s="68"/>
      <c r="L920" s="68"/>
      <c r="M920" s="79"/>
      <c r="N920" s="68"/>
      <c r="O920" s="68"/>
      <c r="P920" s="68"/>
      <c r="Q920" s="68"/>
      <c r="R920" s="68"/>
      <c r="S920" s="68"/>
      <c r="T920" s="68"/>
      <c r="U920" s="68"/>
      <c r="V920" s="68"/>
      <c r="W920" s="68"/>
      <c r="X920" s="68"/>
      <c r="Y920" s="68"/>
      <c r="Z920" s="68"/>
      <c r="AA920" s="68"/>
      <c r="AB920" s="68"/>
      <c r="AC920" s="68"/>
      <c r="AD920" s="68"/>
      <c r="AE920" s="68"/>
      <c r="AF920" s="68"/>
    </row>
    <row r="921">
      <c r="A921" s="68"/>
      <c r="B921" s="68"/>
      <c r="C921" s="78"/>
      <c r="D921" s="78"/>
      <c r="E921" s="68"/>
      <c r="F921" s="68"/>
      <c r="G921" s="68"/>
      <c r="H921" s="68"/>
      <c r="I921" s="68"/>
      <c r="J921" s="68"/>
      <c r="K921" s="68"/>
      <c r="L921" s="68"/>
      <c r="M921" s="79"/>
      <c r="N921" s="68"/>
      <c r="O921" s="68"/>
      <c r="P921" s="68"/>
      <c r="Q921" s="68"/>
      <c r="R921" s="68"/>
      <c r="S921" s="68"/>
      <c r="T921" s="68"/>
      <c r="U921" s="68"/>
      <c r="V921" s="68"/>
      <c r="W921" s="68"/>
      <c r="X921" s="68"/>
      <c r="Y921" s="68"/>
      <c r="Z921" s="68"/>
      <c r="AA921" s="68"/>
      <c r="AB921" s="68"/>
      <c r="AC921" s="68"/>
      <c r="AD921" s="68"/>
      <c r="AE921" s="68"/>
      <c r="AF921" s="68"/>
    </row>
    <row r="922">
      <c r="A922" s="68"/>
      <c r="B922" s="68"/>
      <c r="C922" s="78"/>
      <c r="D922" s="78"/>
      <c r="E922" s="68"/>
      <c r="F922" s="68"/>
      <c r="G922" s="68"/>
      <c r="H922" s="68"/>
      <c r="I922" s="68"/>
      <c r="J922" s="68"/>
      <c r="K922" s="68"/>
      <c r="L922" s="68"/>
      <c r="M922" s="79"/>
      <c r="N922" s="68"/>
      <c r="O922" s="68"/>
      <c r="P922" s="68"/>
      <c r="Q922" s="68"/>
      <c r="R922" s="68"/>
      <c r="S922" s="68"/>
      <c r="T922" s="68"/>
      <c r="U922" s="68"/>
      <c r="V922" s="68"/>
      <c r="W922" s="68"/>
      <c r="X922" s="68"/>
      <c r="Y922" s="68"/>
      <c r="Z922" s="68"/>
      <c r="AA922" s="68"/>
      <c r="AB922" s="68"/>
      <c r="AC922" s="68"/>
      <c r="AD922" s="68"/>
      <c r="AE922" s="68"/>
      <c r="AF922" s="68"/>
    </row>
    <row r="923">
      <c r="A923" s="68"/>
      <c r="B923" s="68"/>
      <c r="C923" s="78"/>
      <c r="D923" s="78"/>
      <c r="E923" s="68"/>
      <c r="F923" s="68"/>
      <c r="G923" s="68"/>
      <c r="H923" s="68"/>
      <c r="I923" s="68"/>
      <c r="J923" s="68"/>
      <c r="K923" s="68"/>
      <c r="L923" s="68"/>
      <c r="M923" s="79"/>
      <c r="N923" s="68"/>
      <c r="O923" s="68"/>
      <c r="P923" s="68"/>
      <c r="Q923" s="68"/>
      <c r="R923" s="68"/>
      <c r="S923" s="68"/>
      <c r="T923" s="68"/>
      <c r="U923" s="68"/>
      <c r="V923" s="68"/>
      <c r="W923" s="68"/>
      <c r="X923" s="68"/>
      <c r="Y923" s="68"/>
      <c r="Z923" s="68"/>
      <c r="AA923" s="68"/>
      <c r="AB923" s="68"/>
      <c r="AC923" s="68"/>
      <c r="AD923" s="68"/>
      <c r="AE923" s="68"/>
      <c r="AF923" s="68"/>
    </row>
    <row r="924">
      <c r="A924" s="68"/>
      <c r="B924" s="68"/>
      <c r="C924" s="78"/>
      <c r="D924" s="78"/>
      <c r="E924" s="68"/>
      <c r="F924" s="68"/>
      <c r="G924" s="68"/>
      <c r="H924" s="68"/>
      <c r="I924" s="68"/>
      <c r="J924" s="68"/>
      <c r="K924" s="68"/>
      <c r="L924" s="68"/>
      <c r="M924" s="79"/>
      <c r="N924" s="68"/>
      <c r="O924" s="68"/>
      <c r="P924" s="68"/>
      <c r="Q924" s="68"/>
      <c r="R924" s="68"/>
      <c r="S924" s="68"/>
      <c r="T924" s="68"/>
      <c r="U924" s="68"/>
      <c r="V924" s="68"/>
      <c r="W924" s="68"/>
      <c r="X924" s="68"/>
      <c r="Y924" s="68"/>
      <c r="Z924" s="68"/>
      <c r="AA924" s="68"/>
      <c r="AB924" s="68"/>
      <c r="AC924" s="68"/>
      <c r="AD924" s="68"/>
      <c r="AE924" s="68"/>
      <c r="AF924" s="68"/>
    </row>
    <row r="925">
      <c r="A925" s="68"/>
      <c r="B925" s="68"/>
      <c r="C925" s="78"/>
      <c r="D925" s="78"/>
      <c r="E925" s="68"/>
      <c r="F925" s="68"/>
      <c r="G925" s="68"/>
      <c r="H925" s="68"/>
      <c r="I925" s="68"/>
      <c r="J925" s="68"/>
      <c r="K925" s="68"/>
      <c r="L925" s="68"/>
      <c r="M925" s="79"/>
      <c r="N925" s="68"/>
      <c r="O925" s="68"/>
      <c r="P925" s="68"/>
      <c r="Q925" s="68"/>
      <c r="R925" s="68"/>
      <c r="S925" s="68"/>
      <c r="T925" s="68"/>
      <c r="U925" s="68"/>
      <c r="V925" s="68"/>
      <c r="W925" s="68"/>
      <c r="X925" s="68"/>
      <c r="Y925" s="68"/>
      <c r="Z925" s="68"/>
      <c r="AA925" s="68"/>
      <c r="AB925" s="68"/>
      <c r="AC925" s="68"/>
      <c r="AD925" s="68"/>
      <c r="AE925" s="68"/>
      <c r="AF925" s="68"/>
    </row>
    <row r="926">
      <c r="A926" s="68"/>
      <c r="B926" s="68"/>
      <c r="C926" s="78"/>
      <c r="D926" s="78"/>
      <c r="E926" s="68"/>
      <c r="F926" s="68"/>
      <c r="G926" s="68"/>
      <c r="H926" s="68"/>
      <c r="I926" s="68"/>
      <c r="J926" s="68"/>
      <c r="K926" s="68"/>
      <c r="L926" s="68"/>
      <c r="M926" s="79"/>
      <c r="N926" s="68"/>
      <c r="O926" s="68"/>
      <c r="P926" s="68"/>
      <c r="Q926" s="68"/>
      <c r="R926" s="68"/>
      <c r="S926" s="68"/>
      <c r="T926" s="68"/>
      <c r="U926" s="68"/>
      <c r="V926" s="68"/>
      <c r="W926" s="68"/>
      <c r="X926" s="68"/>
      <c r="Y926" s="68"/>
      <c r="Z926" s="68"/>
      <c r="AA926" s="68"/>
      <c r="AB926" s="68"/>
      <c r="AC926" s="68"/>
      <c r="AD926" s="68"/>
      <c r="AE926" s="68"/>
      <c r="AF926" s="68"/>
    </row>
    <row r="927">
      <c r="A927" s="68"/>
      <c r="B927" s="68"/>
      <c r="C927" s="78"/>
      <c r="D927" s="78"/>
      <c r="E927" s="68"/>
      <c r="F927" s="68"/>
      <c r="G927" s="68"/>
      <c r="H927" s="68"/>
      <c r="I927" s="68"/>
      <c r="J927" s="68"/>
      <c r="K927" s="68"/>
      <c r="L927" s="68"/>
      <c r="M927" s="79"/>
      <c r="N927" s="68"/>
      <c r="O927" s="68"/>
      <c r="P927" s="68"/>
      <c r="Q927" s="68"/>
      <c r="R927" s="68"/>
      <c r="S927" s="68"/>
      <c r="T927" s="68"/>
      <c r="U927" s="68"/>
      <c r="V927" s="68"/>
      <c r="W927" s="68"/>
      <c r="X927" s="68"/>
      <c r="Y927" s="68"/>
      <c r="Z927" s="68"/>
      <c r="AA927" s="68"/>
      <c r="AB927" s="68"/>
      <c r="AC927" s="68"/>
      <c r="AD927" s="68"/>
      <c r="AE927" s="68"/>
      <c r="AF927" s="68"/>
    </row>
    <row r="928">
      <c r="A928" s="68"/>
      <c r="B928" s="68"/>
      <c r="C928" s="78"/>
      <c r="D928" s="78"/>
      <c r="E928" s="68"/>
      <c r="F928" s="68"/>
      <c r="G928" s="68"/>
      <c r="H928" s="68"/>
      <c r="I928" s="68"/>
      <c r="J928" s="68"/>
      <c r="K928" s="68"/>
      <c r="L928" s="68"/>
      <c r="M928" s="79"/>
      <c r="N928" s="68"/>
      <c r="O928" s="68"/>
      <c r="P928" s="68"/>
      <c r="Q928" s="68"/>
      <c r="R928" s="68"/>
      <c r="S928" s="68"/>
      <c r="T928" s="68"/>
      <c r="U928" s="68"/>
      <c r="V928" s="68"/>
      <c r="W928" s="68"/>
      <c r="X928" s="68"/>
      <c r="Y928" s="68"/>
      <c r="Z928" s="68"/>
      <c r="AA928" s="68"/>
      <c r="AB928" s="68"/>
      <c r="AC928" s="68"/>
      <c r="AD928" s="68"/>
      <c r="AE928" s="68"/>
      <c r="AF928" s="68"/>
    </row>
    <row r="929">
      <c r="A929" s="68"/>
      <c r="B929" s="68"/>
      <c r="C929" s="78"/>
      <c r="D929" s="78"/>
      <c r="E929" s="68"/>
      <c r="F929" s="68"/>
      <c r="G929" s="68"/>
      <c r="H929" s="68"/>
      <c r="I929" s="68"/>
      <c r="J929" s="68"/>
      <c r="K929" s="68"/>
      <c r="L929" s="68"/>
      <c r="M929" s="79"/>
      <c r="N929" s="68"/>
      <c r="O929" s="68"/>
      <c r="P929" s="68"/>
      <c r="Q929" s="68"/>
      <c r="R929" s="68"/>
      <c r="S929" s="68"/>
      <c r="T929" s="68"/>
      <c r="U929" s="68"/>
      <c r="V929" s="68"/>
      <c r="W929" s="68"/>
      <c r="X929" s="68"/>
      <c r="Y929" s="68"/>
      <c r="Z929" s="68"/>
      <c r="AA929" s="68"/>
      <c r="AB929" s="68"/>
      <c r="AC929" s="68"/>
      <c r="AD929" s="68"/>
      <c r="AE929" s="68"/>
      <c r="AF929" s="68"/>
    </row>
    <row r="930">
      <c r="A930" s="68"/>
      <c r="B930" s="68"/>
      <c r="C930" s="78"/>
      <c r="D930" s="78"/>
      <c r="E930" s="68"/>
      <c r="F930" s="68"/>
      <c r="G930" s="68"/>
      <c r="H930" s="68"/>
      <c r="I930" s="68"/>
      <c r="J930" s="68"/>
      <c r="K930" s="68"/>
      <c r="L930" s="68"/>
      <c r="M930" s="79"/>
      <c r="N930" s="68"/>
      <c r="O930" s="68"/>
      <c r="P930" s="68"/>
      <c r="Q930" s="68"/>
      <c r="R930" s="68"/>
      <c r="S930" s="68"/>
      <c r="T930" s="68"/>
      <c r="U930" s="68"/>
      <c r="V930" s="68"/>
      <c r="W930" s="68"/>
      <c r="X930" s="68"/>
      <c r="Y930" s="68"/>
      <c r="Z930" s="68"/>
      <c r="AA930" s="68"/>
      <c r="AB930" s="68"/>
      <c r="AC930" s="68"/>
      <c r="AD930" s="68"/>
      <c r="AE930" s="68"/>
      <c r="AF930" s="68"/>
    </row>
    <row r="931">
      <c r="A931" s="68"/>
      <c r="B931" s="68"/>
      <c r="C931" s="78"/>
      <c r="D931" s="78"/>
      <c r="E931" s="68"/>
      <c r="F931" s="68"/>
      <c r="G931" s="68"/>
      <c r="H931" s="68"/>
      <c r="I931" s="68"/>
      <c r="J931" s="68"/>
      <c r="K931" s="68"/>
      <c r="L931" s="68"/>
      <c r="M931" s="79"/>
      <c r="N931" s="68"/>
      <c r="O931" s="68"/>
      <c r="P931" s="68"/>
      <c r="Q931" s="68"/>
      <c r="R931" s="68"/>
      <c r="S931" s="68"/>
      <c r="T931" s="68"/>
      <c r="U931" s="68"/>
      <c r="V931" s="68"/>
      <c r="W931" s="68"/>
      <c r="X931" s="68"/>
      <c r="Y931" s="68"/>
      <c r="Z931" s="68"/>
      <c r="AA931" s="68"/>
      <c r="AB931" s="68"/>
      <c r="AC931" s="68"/>
      <c r="AD931" s="68"/>
      <c r="AE931" s="68"/>
      <c r="AF931" s="68"/>
    </row>
    <row r="932">
      <c r="A932" s="68"/>
      <c r="B932" s="68"/>
      <c r="C932" s="78"/>
      <c r="D932" s="78"/>
      <c r="E932" s="68"/>
      <c r="F932" s="68"/>
      <c r="G932" s="68"/>
      <c r="H932" s="68"/>
      <c r="I932" s="68"/>
      <c r="J932" s="68"/>
      <c r="K932" s="68"/>
      <c r="L932" s="68"/>
      <c r="M932" s="79"/>
      <c r="N932" s="68"/>
      <c r="O932" s="68"/>
      <c r="P932" s="68"/>
      <c r="Q932" s="68"/>
      <c r="R932" s="68"/>
      <c r="S932" s="68"/>
      <c r="T932" s="68"/>
      <c r="U932" s="68"/>
      <c r="V932" s="68"/>
      <c r="W932" s="68"/>
      <c r="X932" s="68"/>
      <c r="Y932" s="68"/>
      <c r="Z932" s="68"/>
      <c r="AA932" s="68"/>
      <c r="AB932" s="68"/>
      <c r="AC932" s="68"/>
      <c r="AD932" s="68"/>
      <c r="AE932" s="68"/>
      <c r="AF932" s="68"/>
    </row>
    <row r="933">
      <c r="A933" s="68"/>
      <c r="B933" s="68"/>
      <c r="C933" s="78"/>
      <c r="D933" s="78"/>
      <c r="E933" s="68"/>
      <c r="F933" s="68"/>
      <c r="G933" s="68"/>
      <c r="H933" s="68"/>
      <c r="I933" s="68"/>
      <c r="J933" s="68"/>
      <c r="K933" s="68"/>
      <c r="L933" s="68"/>
      <c r="M933" s="79"/>
      <c r="N933" s="68"/>
      <c r="O933" s="68"/>
      <c r="P933" s="68"/>
      <c r="Q933" s="68"/>
      <c r="R933" s="68"/>
      <c r="S933" s="68"/>
      <c r="T933" s="68"/>
      <c r="U933" s="68"/>
      <c r="V933" s="68"/>
      <c r="W933" s="68"/>
      <c r="X933" s="68"/>
      <c r="Y933" s="68"/>
      <c r="Z933" s="68"/>
      <c r="AA933" s="68"/>
      <c r="AB933" s="68"/>
      <c r="AC933" s="68"/>
      <c r="AD933" s="68"/>
      <c r="AE933" s="68"/>
      <c r="AF933" s="68"/>
    </row>
    <row r="934">
      <c r="A934" s="68"/>
      <c r="B934" s="68"/>
      <c r="C934" s="78"/>
      <c r="D934" s="78"/>
      <c r="E934" s="68"/>
      <c r="F934" s="68"/>
      <c r="G934" s="68"/>
      <c r="H934" s="68"/>
      <c r="I934" s="68"/>
      <c r="J934" s="68"/>
      <c r="K934" s="68"/>
      <c r="L934" s="68"/>
      <c r="M934" s="79"/>
      <c r="N934" s="68"/>
      <c r="O934" s="68"/>
      <c r="P934" s="68"/>
      <c r="Q934" s="68"/>
      <c r="R934" s="68"/>
      <c r="S934" s="68"/>
      <c r="T934" s="68"/>
      <c r="U934" s="68"/>
      <c r="V934" s="68"/>
      <c r="W934" s="68"/>
      <c r="X934" s="68"/>
      <c r="Y934" s="68"/>
      <c r="Z934" s="68"/>
      <c r="AA934" s="68"/>
      <c r="AB934" s="68"/>
      <c r="AC934" s="68"/>
      <c r="AD934" s="68"/>
      <c r="AE934" s="68"/>
      <c r="AF934" s="68"/>
    </row>
    <row r="935">
      <c r="A935" s="68"/>
      <c r="B935" s="68"/>
      <c r="C935" s="78"/>
      <c r="D935" s="78"/>
      <c r="E935" s="68"/>
      <c r="F935" s="68"/>
      <c r="G935" s="68"/>
      <c r="H935" s="68"/>
      <c r="I935" s="68"/>
      <c r="J935" s="68"/>
      <c r="K935" s="68"/>
      <c r="L935" s="68"/>
      <c r="M935" s="79"/>
      <c r="N935" s="68"/>
      <c r="O935" s="68"/>
      <c r="P935" s="68"/>
      <c r="Q935" s="68"/>
      <c r="R935" s="68"/>
      <c r="S935" s="68"/>
      <c r="T935" s="68"/>
      <c r="U935" s="68"/>
      <c r="V935" s="68"/>
      <c r="W935" s="68"/>
      <c r="X935" s="68"/>
      <c r="Y935" s="68"/>
      <c r="Z935" s="68"/>
      <c r="AA935" s="68"/>
      <c r="AB935" s="68"/>
      <c r="AC935" s="68"/>
      <c r="AD935" s="68"/>
      <c r="AE935" s="68"/>
      <c r="AF935" s="68"/>
    </row>
    <row r="936">
      <c r="A936" s="68"/>
      <c r="B936" s="68"/>
      <c r="C936" s="78"/>
      <c r="D936" s="78"/>
      <c r="E936" s="68"/>
      <c r="F936" s="68"/>
      <c r="G936" s="68"/>
      <c r="H936" s="68"/>
      <c r="I936" s="68"/>
      <c r="J936" s="68"/>
      <c r="K936" s="68"/>
      <c r="L936" s="68"/>
      <c r="M936" s="79"/>
      <c r="N936" s="68"/>
      <c r="O936" s="68"/>
      <c r="P936" s="68"/>
      <c r="Q936" s="68"/>
      <c r="R936" s="68"/>
      <c r="S936" s="68"/>
      <c r="T936" s="68"/>
      <c r="U936" s="68"/>
      <c r="V936" s="68"/>
      <c r="W936" s="68"/>
      <c r="X936" s="68"/>
      <c r="Y936" s="68"/>
      <c r="Z936" s="68"/>
      <c r="AA936" s="68"/>
      <c r="AB936" s="68"/>
      <c r="AC936" s="68"/>
      <c r="AD936" s="68"/>
      <c r="AE936" s="68"/>
      <c r="AF936" s="68"/>
    </row>
    <row r="937">
      <c r="A937" s="68"/>
      <c r="B937" s="68"/>
      <c r="C937" s="78"/>
      <c r="D937" s="78"/>
      <c r="E937" s="68"/>
      <c r="F937" s="68"/>
      <c r="G937" s="68"/>
      <c r="H937" s="68"/>
      <c r="I937" s="68"/>
      <c r="J937" s="68"/>
      <c r="K937" s="68"/>
      <c r="L937" s="68"/>
      <c r="M937" s="79"/>
      <c r="N937" s="68"/>
      <c r="O937" s="68"/>
      <c r="P937" s="68"/>
      <c r="Q937" s="68"/>
      <c r="R937" s="68"/>
      <c r="S937" s="68"/>
      <c r="T937" s="68"/>
      <c r="U937" s="68"/>
      <c r="V937" s="68"/>
      <c r="W937" s="68"/>
      <c r="X937" s="68"/>
      <c r="Y937" s="68"/>
      <c r="Z937" s="68"/>
      <c r="AA937" s="68"/>
      <c r="AB937" s="68"/>
      <c r="AC937" s="68"/>
      <c r="AD937" s="68"/>
      <c r="AE937" s="68"/>
      <c r="AF937" s="68"/>
    </row>
    <row r="938">
      <c r="A938" s="68"/>
      <c r="B938" s="68"/>
      <c r="C938" s="78"/>
      <c r="D938" s="78"/>
      <c r="E938" s="68"/>
      <c r="F938" s="68"/>
      <c r="G938" s="68"/>
      <c r="H938" s="68"/>
      <c r="I938" s="68"/>
      <c r="J938" s="68"/>
      <c r="K938" s="68"/>
      <c r="L938" s="68"/>
      <c r="M938" s="79"/>
      <c r="N938" s="68"/>
      <c r="O938" s="68"/>
      <c r="P938" s="68"/>
      <c r="Q938" s="68"/>
      <c r="R938" s="68"/>
      <c r="S938" s="68"/>
      <c r="T938" s="68"/>
      <c r="U938" s="68"/>
      <c r="V938" s="68"/>
      <c r="W938" s="68"/>
      <c r="X938" s="68"/>
      <c r="Y938" s="68"/>
      <c r="Z938" s="68"/>
      <c r="AA938" s="68"/>
      <c r="AB938" s="68"/>
      <c r="AC938" s="68"/>
      <c r="AD938" s="68"/>
      <c r="AE938" s="68"/>
      <c r="AF938" s="68"/>
    </row>
    <row r="939">
      <c r="A939" s="68"/>
      <c r="B939" s="68"/>
      <c r="C939" s="78"/>
      <c r="D939" s="78"/>
      <c r="E939" s="68"/>
      <c r="F939" s="68"/>
      <c r="G939" s="68"/>
      <c r="H939" s="68"/>
      <c r="I939" s="68"/>
      <c r="J939" s="68"/>
      <c r="K939" s="68"/>
      <c r="L939" s="68"/>
      <c r="M939" s="79"/>
      <c r="N939" s="68"/>
      <c r="O939" s="68"/>
      <c r="P939" s="68"/>
      <c r="Q939" s="68"/>
      <c r="R939" s="68"/>
      <c r="S939" s="68"/>
      <c r="T939" s="68"/>
      <c r="U939" s="68"/>
      <c r="V939" s="68"/>
      <c r="W939" s="68"/>
      <c r="X939" s="68"/>
      <c r="Y939" s="68"/>
      <c r="Z939" s="68"/>
      <c r="AA939" s="68"/>
      <c r="AB939" s="68"/>
      <c r="AC939" s="68"/>
      <c r="AD939" s="68"/>
      <c r="AE939" s="68"/>
      <c r="AF939" s="68"/>
    </row>
    <row r="940">
      <c r="A940" s="68"/>
      <c r="B940" s="68"/>
      <c r="C940" s="78"/>
      <c r="D940" s="78"/>
      <c r="E940" s="68"/>
      <c r="F940" s="68"/>
      <c r="G940" s="68"/>
      <c r="H940" s="68"/>
      <c r="I940" s="68"/>
      <c r="J940" s="68"/>
      <c r="K940" s="68"/>
      <c r="L940" s="68"/>
      <c r="M940" s="79"/>
      <c r="N940" s="68"/>
      <c r="O940" s="68"/>
      <c r="P940" s="68"/>
      <c r="Q940" s="68"/>
      <c r="R940" s="68"/>
      <c r="S940" s="68"/>
      <c r="T940" s="68"/>
      <c r="U940" s="68"/>
      <c r="V940" s="68"/>
      <c r="W940" s="68"/>
      <c r="X940" s="68"/>
      <c r="Y940" s="68"/>
      <c r="Z940" s="68"/>
      <c r="AA940" s="68"/>
      <c r="AB940" s="68"/>
      <c r="AC940" s="68"/>
      <c r="AD940" s="68"/>
      <c r="AE940" s="68"/>
      <c r="AF940" s="68"/>
    </row>
    <row r="941">
      <c r="A941" s="68"/>
      <c r="B941" s="68"/>
      <c r="C941" s="78"/>
      <c r="D941" s="78"/>
      <c r="E941" s="68"/>
      <c r="F941" s="68"/>
      <c r="G941" s="68"/>
      <c r="H941" s="68"/>
      <c r="I941" s="68"/>
      <c r="J941" s="68"/>
      <c r="K941" s="68"/>
      <c r="L941" s="68"/>
      <c r="M941" s="79"/>
      <c r="N941" s="68"/>
      <c r="O941" s="68"/>
      <c r="P941" s="68"/>
      <c r="Q941" s="68"/>
      <c r="R941" s="68"/>
      <c r="S941" s="68"/>
      <c r="T941" s="68"/>
      <c r="U941" s="68"/>
      <c r="V941" s="68"/>
      <c r="W941" s="68"/>
      <c r="X941" s="68"/>
      <c r="Y941" s="68"/>
      <c r="Z941" s="68"/>
      <c r="AA941" s="68"/>
      <c r="AB941" s="68"/>
      <c r="AC941" s="68"/>
      <c r="AD941" s="68"/>
      <c r="AE941" s="68"/>
      <c r="AF941" s="68"/>
    </row>
    <row r="942">
      <c r="A942" s="68"/>
      <c r="B942" s="68"/>
      <c r="C942" s="78"/>
      <c r="D942" s="78"/>
      <c r="E942" s="68"/>
      <c r="F942" s="68"/>
      <c r="G942" s="68"/>
      <c r="H942" s="68"/>
      <c r="I942" s="68"/>
      <c r="J942" s="68"/>
      <c r="K942" s="68"/>
      <c r="L942" s="68"/>
      <c r="M942" s="79"/>
      <c r="N942" s="68"/>
      <c r="O942" s="68"/>
      <c r="P942" s="68"/>
      <c r="Q942" s="68"/>
      <c r="R942" s="68"/>
      <c r="S942" s="68"/>
      <c r="T942" s="68"/>
      <c r="U942" s="68"/>
      <c r="V942" s="68"/>
      <c r="W942" s="68"/>
      <c r="X942" s="68"/>
      <c r="Y942" s="68"/>
      <c r="Z942" s="68"/>
      <c r="AA942" s="68"/>
      <c r="AB942" s="68"/>
      <c r="AC942" s="68"/>
      <c r="AD942" s="68"/>
      <c r="AE942" s="68"/>
      <c r="AF942" s="68"/>
    </row>
    <row r="943">
      <c r="A943" s="68"/>
      <c r="B943" s="68"/>
      <c r="C943" s="78"/>
      <c r="D943" s="78"/>
      <c r="E943" s="68"/>
      <c r="F943" s="68"/>
      <c r="G943" s="68"/>
      <c r="H943" s="68"/>
      <c r="I943" s="68"/>
      <c r="J943" s="68"/>
      <c r="K943" s="68"/>
      <c r="L943" s="68"/>
      <c r="M943" s="79"/>
      <c r="N943" s="68"/>
      <c r="O943" s="68"/>
      <c r="P943" s="68"/>
      <c r="Q943" s="68"/>
      <c r="R943" s="68"/>
      <c r="S943" s="68"/>
      <c r="T943" s="68"/>
      <c r="U943" s="68"/>
      <c r="V943" s="68"/>
      <c r="W943" s="68"/>
      <c r="X943" s="68"/>
      <c r="Y943" s="68"/>
      <c r="Z943" s="68"/>
      <c r="AA943" s="68"/>
      <c r="AB943" s="68"/>
      <c r="AC943" s="68"/>
      <c r="AD943" s="68"/>
      <c r="AE943" s="68"/>
      <c r="AF943" s="68"/>
    </row>
    <row r="944">
      <c r="A944" s="68"/>
      <c r="B944" s="68"/>
      <c r="C944" s="78"/>
      <c r="D944" s="78"/>
      <c r="E944" s="68"/>
      <c r="F944" s="68"/>
      <c r="G944" s="68"/>
      <c r="H944" s="68"/>
      <c r="I944" s="68"/>
      <c r="J944" s="68"/>
      <c r="K944" s="68"/>
      <c r="L944" s="68"/>
      <c r="M944" s="79"/>
      <c r="N944" s="68"/>
      <c r="O944" s="68"/>
      <c r="P944" s="68"/>
      <c r="Q944" s="68"/>
      <c r="R944" s="68"/>
      <c r="S944" s="68"/>
      <c r="T944" s="68"/>
      <c r="U944" s="68"/>
      <c r="V944" s="68"/>
      <c r="W944" s="68"/>
      <c r="X944" s="68"/>
      <c r="Y944" s="68"/>
      <c r="Z944" s="68"/>
      <c r="AA944" s="68"/>
      <c r="AB944" s="68"/>
      <c r="AC944" s="68"/>
      <c r="AD944" s="68"/>
      <c r="AE944" s="68"/>
      <c r="AF944" s="68"/>
    </row>
    <row r="945">
      <c r="A945" s="68"/>
      <c r="B945" s="68"/>
      <c r="C945" s="78"/>
      <c r="D945" s="78"/>
      <c r="E945" s="68"/>
      <c r="F945" s="68"/>
      <c r="G945" s="68"/>
      <c r="H945" s="68"/>
      <c r="I945" s="68"/>
      <c r="J945" s="68"/>
      <c r="K945" s="68"/>
      <c r="L945" s="68"/>
      <c r="M945" s="79"/>
      <c r="N945" s="68"/>
      <c r="O945" s="68"/>
      <c r="P945" s="68"/>
      <c r="Q945" s="68"/>
      <c r="R945" s="68"/>
      <c r="S945" s="68"/>
      <c r="T945" s="68"/>
      <c r="U945" s="68"/>
      <c r="V945" s="68"/>
      <c r="W945" s="68"/>
      <c r="X945" s="68"/>
      <c r="Y945" s="68"/>
      <c r="Z945" s="68"/>
      <c r="AA945" s="68"/>
      <c r="AB945" s="68"/>
      <c r="AC945" s="68"/>
      <c r="AD945" s="68"/>
      <c r="AE945" s="68"/>
      <c r="AF945" s="68"/>
    </row>
    <row r="946">
      <c r="A946" s="68"/>
      <c r="B946" s="68"/>
      <c r="C946" s="78"/>
      <c r="D946" s="78"/>
      <c r="E946" s="68"/>
      <c r="F946" s="68"/>
      <c r="G946" s="68"/>
      <c r="H946" s="68"/>
      <c r="I946" s="68"/>
      <c r="J946" s="68"/>
      <c r="K946" s="68"/>
      <c r="L946" s="68"/>
      <c r="M946" s="79"/>
      <c r="N946" s="68"/>
      <c r="O946" s="68"/>
      <c r="P946" s="68"/>
      <c r="Q946" s="68"/>
      <c r="R946" s="68"/>
      <c r="S946" s="68"/>
      <c r="T946" s="68"/>
      <c r="U946" s="68"/>
      <c r="V946" s="68"/>
      <c r="W946" s="68"/>
      <c r="X946" s="68"/>
      <c r="Y946" s="68"/>
      <c r="Z946" s="68"/>
      <c r="AA946" s="68"/>
      <c r="AB946" s="68"/>
      <c r="AC946" s="68"/>
      <c r="AD946" s="68"/>
      <c r="AE946" s="68"/>
      <c r="AF946" s="68"/>
    </row>
    <row r="947">
      <c r="A947" s="68"/>
      <c r="B947" s="68"/>
      <c r="C947" s="78"/>
      <c r="D947" s="78"/>
      <c r="E947" s="68"/>
      <c r="F947" s="68"/>
      <c r="G947" s="68"/>
      <c r="H947" s="68"/>
      <c r="I947" s="68"/>
      <c r="J947" s="68"/>
      <c r="K947" s="68"/>
      <c r="L947" s="68"/>
      <c r="M947" s="79"/>
      <c r="N947" s="68"/>
      <c r="O947" s="68"/>
      <c r="P947" s="68"/>
      <c r="Q947" s="68"/>
      <c r="R947" s="68"/>
      <c r="S947" s="68"/>
      <c r="T947" s="68"/>
      <c r="U947" s="68"/>
      <c r="V947" s="68"/>
      <c r="W947" s="68"/>
      <c r="X947" s="68"/>
      <c r="Y947" s="68"/>
      <c r="Z947" s="68"/>
      <c r="AA947" s="68"/>
      <c r="AB947" s="68"/>
      <c r="AC947" s="68"/>
      <c r="AD947" s="68"/>
      <c r="AE947" s="68"/>
      <c r="AF947" s="68"/>
    </row>
    <row r="948">
      <c r="A948" s="68"/>
      <c r="B948" s="68"/>
      <c r="C948" s="78"/>
      <c r="D948" s="78"/>
      <c r="E948" s="68"/>
      <c r="F948" s="68"/>
      <c r="G948" s="68"/>
      <c r="H948" s="68"/>
      <c r="I948" s="68"/>
      <c r="J948" s="68"/>
      <c r="K948" s="68"/>
      <c r="L948" s="68"/>
      <c r="M948" s="79"/>
      <c r="N948" s="68"/>
      <c r="O948" s="68"/>
      <c r="P948" s="68"/>
      <c r="Q948" s="68"/>
      <c r="R948" s="68"/>
      <c r="S948" s="68"/>
      <c r="T948" s="68"/>
      <c r="U948" s="68"/>
      <c r="V948" s="68"/>
      <c r="W948" s="68"/>
      <c r="X948" s="68"/>
      <c r="Y948" s="68"/>
      <c r="Z948" s="68"/>
      <c r="AA948" s="68"/>
      <c r="AB948" s="68"/>
      <c r="AC948" s="68"/>
      <c r="AD948" s="68"/>
      <c r="AE948" s="68"/>
      <c r="AF948" s="68"/>
    </row>
    <row r="949">
      <c r="A949" s="68"/>
      <c r="B949" s="68"/>
      <c r="C949" s="78"/>
      <c r="D949" s="78"/>
      <c r="E949" s="68"/>
      <c r="F949" s="68"/>
      <c r="G949" s="68"/>
      <c r="H949" s="68"/>
      <c r="I949" s="68"/>
      <c r="J949" s="68"/>
      <c r="K949" s="68"/>
      <c r="L949" s="68"/>
      <c r="M949" s="79"/>
      <c r="N949" s="68"/>
      <c r="O949" s="68"/>
      <c r="P949" s="68"/>
      <c r="Q949" s="68"/>
      <c r="R949" s="68"/>
      <c r="S949" s="68"/>
      <c r="T949" s="68"/>
      <c r="U949" s="68"/>
      <c r="V949" s="68"/>
      <c r="W949" s="68"/>
      <c r="X949" s="68"/>
      <c r="Y949" s="68"/>
      <c r="Z949" s="68"/>
      <c r="AA949" s="68"/>
      <c r="AB949" s="68"/>
      <c r="AC949" s="68"/>
      <c r="AD949" s="68"/>
      <c r="AE949" s="68"/>
      <c r="AF949" s="68"/>
    </row>
    <row r="950">
      <c r="A950" s="68"/>
      <c r="B950" s="68"/>
      <c r="C950" s="78"/>
      <c r="D950" s="78"/>
      <c r="E950" s="68"/>
      <c r="F950" s="68"/>
      <c r="G950" s="68"/>
      <c r="H950" s="68"/>
      <c r="I950" s="68"/>
      <c r="J950" s="68"/>
      <c r="K950" s="68"/>
      <c r="L950" s="68"/>
      <c r="M950" s="79"/>
      <c r="N950" s="68"/>
      <c r="O950" s="68"/>
      <c r="P950" s="68"/>
      <c r="Q950" s="68"/>
      <c r="R950" s="68"/>
      <c r="S950" s="68"/>
      <c r="T950" s="68"/>
      <c r="U950" s="68"/>
      <c r="V950" s="68"/>
      <c r="W950" s="68"/>
      <c r="X950" s="68"/>
      <c r="Y950" s="68"/>
      <c r="Z950" s="68"/>
      <c r="AA950" s="68"/>
      <c r="AB950" s="68"/>
      <c r="AC950" s="68"/>
      <c r="AD950" s="68"/>
      <c r="AE950" s="68"/>
      <c r="AF950" s="68"/>
    </row>
    <row r="951">
      <c r="A951" s="68"/>
      <c r="B951" s="68"/>
      <c r="C951" s="78"/>
      <c r="D951" s="78"/>
      <c r="E951" s="68"/>
      <c r="F951" s="68"/>
      <c r="G951" s="68"/>
      <c r="H951" s="68"/>
      <c r="I951" s="68"/>
      <c r="J951" s="68"/>
      <c r="K951" s="68"/>
      <c r="L951" s="68"/>
      <c r="M951" s="79"/>
      <c r="N951" s="68"/>
      <c r="O951" s="68"/>
      <c r="P951" s="68"/>
      <c r="Q951" s="68"/>
      <c r="R951" s="68"/>
      <c r="S951" s="68"/>
      <c r="T951" s="68"/>
      <c r="U951" s="68"/>
      <c r="V951" s="68"/>
      <c r="W951" s="68"/>
      <c r="X951" s="68"/>
      <c r="Y951" s="68"/>
      <c r="Z951" s="68"/>
      <c r="AA951" s="68"/>
      <c r="AB951" s="68"/>
      <c r="AC951" s="68"/>
      <c r="AD951" s="68"/>
      <c r="AE951" s="68"/>
      <c r="AF951" s="68"/>
    </row>
    <row r="952">
      <c r="A952" s="68"/>
      <c r="B952" s="68"/>
      <c r="C952" s="78"/>
      <c r="D952" s="78"/>
      <c r="E952" s="68"/>
      <c r="F952" s="68"/>
      <c r="G952" s="68"/>
      <c r="H952" s="68"/>
      <c r="I952" s="68"/>
      <c r="J952" s="68"/>
      <c r="K952" s="68"/>
      <c r="L952" s="68"/>
      <c r="M952" s="79"/>
      <c r="N952" s="68"/>
      <c r="O952" s="68"/>
      <c r="P952" s="68"/>
      <c r="Q952" s="68"/>
      <c r="R952" s="68"/>
      <c r="S952" s="68"/>
      <c r="T952" s="68"/>
      <c r="U952" s="68"/>
      <c r="V952" s="68"/>
      <c r="W952" s="68"/>
      <c r="X952" s="68"/>
      <c r="Y952" s="68"/>
      <c r="Z952" s="68"/>
      <c r="AA952" s="68"/>
      <c r="AB952" s="68"/>
      <c r="AC952" s="68"/>
      <c r="AD952" s="68"/>
      <c r="AE952" s="68"/>
      <c r="AF952" s="68"/>
    </row>
    <row r="953">
      <c r="A953" s="68"/>
      <c r="B953" s="68"/>
      <c r="C953" s="78"/>
      <c r="D953" s="78"/>
      <c r="E953" s="68"/>
      <c r="F953" s="68"/>
      <c r="G953" s="68"/>
      <c r="H953" s="68"/>
      <c r="I953" s="68"/>
      <c r="J953" s="68"/>
      <c r="K953" s="68"/>
      <c r="L953" s="68"/>
      <c r="M953" s="79"/>
      <c r="N953" s="68"/>
      <c r="O953" s="68"/>
      <c r="P953" s="68"/>
      <c r="Q953" s="68"/>
      <c r="R953" s="68"/>
      <c r="S953" s="68"/>
      <c r="T953" s="68"/>
      <c r="U953" s="68"/>
      <c r="V953" s="68"/>
      <c r="W953" s="68"/>
      <c r="X953" s="68"/>
      <c r="Y953" s="68"/>
      <c r="Z953" s="68"/>
      <c r="AA953" s="68"/>
      <c r="AB953" s="68"/>
      <c r="AC953" s="68"/>
      <c r="AD953" s="68"/>
      <c r="AE953" s="68"/>
      <c r="AF953" s="68"/>
    </row>
    <row r="954">
      <c r="A954" s="68"/>
      <c r="B954" s="68"/>
      <c r="C954" s="78"/>
      <c r="D954" s="78"/>
      <c r="E954" s="68"/>
      <c r="F954" s="68"/>
      <c r="G954" s="68"/>
      <c r="H954" s="68"/>
      <c r="I954" s="68"/>
      <c r="J954" s="68"/>
      <c r="K954" s="68"/>
      <c r="L954" s="68"/>
      <c r="M954" s="79"/>
      <c r="N954" s="68"/>
      <c r="O954" s="68"/>
      <c r="P954" s="68"/>
      <c r="Q954" s="68"/>
      <c r="R954" s="68"/>
      <c r="S954" s="68"/>
      <c r="T954" s="68"/>
      <c r="U954" s="68"/>
      <c r="V954" s="68"/>
      <c r="W954" s="68"/>
      <c r="X954" s="68"/>
      <c r="Y954" s="68"/>
      <c r="Z954" s="68"/>
      <c r="AA954" s="68"/>
      <c r="AB954" s="68"/>
      <c r="AC954" s="68"/>
      <c r="AD954" s="68"/>
      <c r="AE954" s="68"/>
      <c r="AF954" s="68"/>
    </row>
    <row r="955">
      <c r="A955" s="68"/>
      <c r="B955" s="68"/>
      <c r="C955" s="78"/>
      <c r="D955" s="78"/>
      <c r="E955" s="68"/>
      <c r="F955" s="68"/>
      <c r="G955" s="68"/>
      <c r="H955" s="68"/>
      <c r="I955" s="68"/>
      <c r="J955" s="68"/>
      <c r="K955" s="68"/>
      <c r="L955" s="68"/>
      <c r="M955" s="79"/>
      <c r="N955" s="68"/>
      <c r="O955" s="68"/>
      <c r="P955" s="68"/>
      <c r="Q955" s="68"/>
      <c r="R955" s="68"/>
      <c r="S955" s="68"/>
      <c r="T955" s="68"/>
      <c r="U955" s="68"/>
      <c r="V955" s="68"/>
      <c r="W955" s="68"/>
      <c r="X955" s="68"/>
      <c r="Y955" s="68"/>
      <c r="Z955" s="68"/>
      <c r="AA955" s="68"/>
      <c r="AB955" s="68"/>
      <c r="AC955" s="68"/>
      <c r="AD955" s="68"/>
      <c r="AE955" s="68"/>
      <c r="AF955" s="68"/>
    </row>
    <row r="956">
      <c r="A956" s="68"/>
      <c r="B956" s="68"/>
      <c r="C956" s="78"/>
      <c r="D956" s="78"/>
      <c r="E956" s="68"/>
      <c r="F956" s="68"/>
      <c r="G956" s="68"/>
      <c r="H956" s="68"/>
      <c r="I956" s="68"/>
      <c r="J956" s="68"/>
      <c r="K956" s="68"/>
      <c r="L956" s="68"/>
      <c r="M956" s="79"/>
      <c r="N956" s="68"/>
      <c r="O956" s="68"/>
      <c r="P956" s="68"/>
      <c r="Q956" s="68"/>
      <c r="R956" s="68"/>
      <c r="S956" s="68"/>
      <c r="T956" s="68"/>
      <c r="U956" s="68"/>
      <c r="V956" s="68"/>
      <c r="W956" s="68"/>
      <c r="X956" s="68"/>
      <c r="Y956" s="68"/>
      <c r="Z956" s="68"/>
      <c r="AA956" s="68"/>
      <c r="AB956" s="68"/>
      <c r="AC956" s="68"/>
      <c r="AD956" s="68"/>
      <c r="AE956" s="68"/>
      <c r="AF956" s="68"/>
    </row>
    <row r="957">
      <c r="A957" s="68"/>
      <c r="B957" s="68"/>
      <c r="C957" s="78"/>
      <c r="D957" s="78"/>
      <c r="E957" s="68"/>
      <c r="F957" s="68"/>
      <c r="G957" s="68"/>
      <c r="H957" s="68"/>
      <c r="I957" s="68"/>
      <c r="J957" s="68"/>
      <c r="K957" s="68"/>
      <c r="L957" s="68"/>
      <c r="M957" s="79"/>
      <c r="N957" s="68"/>
      <c r="O957" s="68"/>
      <c r="P957" s="68"/>
      <c r="Q957" s="68"/>
      <c r="R957" s="68"/>
      <c r="S957" s="68"/>
      <c r="T957" s="68"/>
      <c r="U957" s="68"/>
      <c r="V957" s="68"/>
      <c r="W957" s="68"/>
      <c r="X957" s="68"/>
      <c r="Y957" s="68"/>
      <c r="Z957" s="68"/>
      <c r="AA957" s="68"/>
      <c r="AB957" s="68"/>
      <c r="AC957" s="68"/>
      <c r="AD957" s="68"/>
      <c r="AE957" s="68"/>
      <c r="AF957" s="68"/>
    </row>
    <row r="958">
      <c r="A958" s="68"/>
      <c r="B958" s="68"/>
      <c r="C958" s="78"/>
      <c r="D958" s="78"/>
      <c r="E958" s="68"/>
      <c r="F958" s="68"/>
      <c r="G958" s="68"/>
      <c r="H958" s="68"/>
      <c r="I958" s="68"/>
      <c r="J958" s="68"/>
      <c r="K958" s="68"/>
      <c r="L958" s="68"/>
      <c r="M958" s="79"/>
      <c r="N958" s="68"/>
      <c r="O958" s="68"/>
      <c r="P958" s="68"/>
      <c r="Q958" s="68"/>
      <c r="R958" s="68"/>
      <c r="S958" s="68"/>
      <c r="T958" s="68"/>
      <c r="U958" s="68"/>
      <c r="V958" s="68"/>
      <c r="W958" s="68"/>
      <c r="X958" s="68"/>
      <c r="Y958" s="68"/>
      <c r="Z958" s="68"/>
      <c r="AA958" s="68"/>
      <c r="AB958" s="68"/>
      <c r="AC958" s="68"/>
      <c r="AD958" s="68"/>
      <c r="AE958" s="68"/>
      <c r="AF958" s="68"/>
    </row>
    <row r="959">
      <c r="A959" s="68"/>
      <c r="B959" s="68"/>
      <c r="C959" s="78"/>
      <c r="D959" s="78"/>
      <c r="E959" s="68"/>
      <c r="F959" s="68"/>
      <c r="G959" s="68"/>
      <c r="H959" s="68"/>
      <c r="I959" s="68"/>
      <c r="J959" s="68"/>
      <c r="K959" s="68"/>
      <c r="L959" s="68"/>
      <c r="M959" s="79"/>
      <c r="N959" s="68"/>
      <c r="O959" s="68"/>
      <c r="P959" s="68"/>
      <c r="Q959" s="68"/>
      <c r="R959" s="68"/>
      <c r="S959" s="68"/>
      <c r="T959" s="68"/>
      <c r="U959" s="68"/>
      <c r="V959" s="68"/>
      <c r="W959" s="68"/>
      <c r="X959" s="68"/>
      <c r="Y959" s="68"/>
      <c r="Z959" s="68"/>
      <c r="AA959" s="68"/>
      <c r="AB959" s="68"/>
      <c r="AC959" s="68"/>
      <c r="AD959" s="68"/>
      <c r="AE959" s="68"/>
      <c r="AF959" s="68"/>
    </row>
    <row r="960">
      <c r="A960" s="68"/>
      <c r="B960" s="68"/>
      <c r="C960" s="78"/>
      <c r="D960" s="78"/>
      <c r="E960" s="68"/>
      <c r="F960" s="68"/>
      <c r="G960" s="68"/>
      <c r="H960" s="68"/>
      <c r="I960" s="68"/>
      <c r="J960" s="68"/>
      <c r="K960" s="68"/>
      <c r="L960" s="68"/>
      <c r="M960" s="79"/>
      <c r="N960" s="68"/>
      <c r="O960" s="68"/>
      <c r="P960" s="68"/>
      <c r="Q960" s="68"/>
      <c r="R960" s="68"/>
      <c r="S960" s="68"/>
      <c r="T960" s="68"/>
      <c r="U960" s="68"/>
      <c r="V960" s="68"/>
      <c r="W960" s="68"/>
      <c r="X960" s="68"/>
      <c r="Y960" s="68"/>
      <c r="Z960" s="68"/>
      <c r="AA960" s="68"/>
      <c r="AB960" s="68"/>
      <c r="AC960" s="68"/>
      <c r="AD960" s="68"/>
      <c r="AE960" s="68"/>
      <c r="AF960" s="68"/>
    </row>
    <row r="961">
      <c r="A961" s="68"/>
      <c r="B961" s="68"/>
      <c r="C961" s="78"/>
      <c r="D961" s="78"/>
      <c r="E961" s="68"/>
      <c r="F961" s="68"/>
      <c r="G961" s="68"/>
      <c r="H961" s="68"/>
      <c r="I961" s="68"/>
      <c r="J961" s="68"/>
      <c r="K961" s="68"/>
      <c r="L961" s="68"/>
      <c r="M961" s="79"/>
      <c r="N961" s="68"/>
      <c r="O961" s="68"/>
      <c r="P961" s="68"/>
      <c r="Q961" s="68"/>
      <c r="R961" s="68"/>
      <c r="S961" s="68"/>
      <c r="T961" s="68"/>
      <c r="U961" s="68"/>
      <c r="V961" s="68"/>
      <c r="W961" s="68"/>
      <c r="X961" s="68"/>
      <c r="Y961" s="68"/>
      <c r="Z961" s="68"/>
      <c r="AA961" s="68"/>
      <c r="AB961" s="68"/>
      <c r="AC961" s="68"/>
      <c r="AD961" s="68"/>
      <c r="AE961" s="68"/>
      <c r="AF961" s="68"/>
    </row>
    <row r="962">
      <c r="A962" s="68"/>
      <c r="B962" s="68"/>
      <c r="C962" s="78"/>
      <c r="D962" s="78"/>
      <c r="E962" s="68"/>
      <c r="F962" s="68"/>
      <c r="G962" s="68"/>
      <c r="H962" s="68"/>
      <c r="I962" s="68"/>
      <c r="J962" s="68"/>
      <c r="K962" s="68"/>
      <c r="L962" s="68"/>
      <c r="M962" s="79"/>
      <c r="N962" s="68"/>
      <c r="O962" s="68"/>
      <c r="P962" s="68"/>
      <c r="Q962" s="68"/>
      <c r="R962" s="68"/>
      <c r="S962" s="68"/>
      <c r="T962" s="68"/>
      <c r="U962" s="68"/>
      <c r="V962" s="68"/>
      <c r="W962" s="68"/>
      <c r="X962" s="68"/>
      <c r="Y962" s="68"/>
      <c r="Z962" s="68"/>
      <c r="AA962" s="68"/>
      <c r="AB962" s="68"/>
      <c r="AC962" s="68"/>
      <c r="AD962" s="68"/>
      <c r="AE962" s="68"/>
      <c r="AF962" s="68"/>
    </row>
    <row r="963">
      <c r="A963" s="68"/>
      <c r="B963" s="68"/>
      <c r="C963" s="78"/>
      <c r="D963" s="78"/>
      <c r="E963" s="68"/>
      <c r="F963" s="68"/>
      <c r="G963" s="68"/>
      <c r="H963" s="68"/>
      <c r="I963" s="68"/>
      <c r="J963" s="68"/>
      <c r="K963" s="68"/>
      <c r="L963" s="68"/>
      <c r="M963" s="79"/>
      <c r="N963" s="68"/>
      <c r="O963" s="68"/>
      <c r="P963" s="68"/>
      <c r="Q963" s="68"/>
      <c r="R963" s="68"/>
      <c r="S963" s="68"/>
      <c r="T963" s="68"/>
      <c r="U963" s="68"/>
      <c r="V963" s="68"/>
      <c r="W963" s="68"/>
      <c r="X963" s="68"/>
      <c r="Y963" s="68"/>
      <c r="Z963" s="68"/>
      <c r="AA963" s="68"/>
      <c r="AB963" s="68"/>
      <c r="AC963" s="68"/>
      <c r="AD963" s="68"/>
      <c r="AE963" s="68"/>
      <c r="AF963" s="68"/>
    </row>
    <row r="964">
      <c r="A964" s="68"/>
      <c r="B964" s="68"/>
      <c r="C964" s="78"/>
      <c r="D964" s="78"/>
      <c r="E964" s="68"/>
      <c r="F964" s="68"/>
      <c r="G964" s="68"/>
      <c r="H964" s="68"/>
      <c r="I964" s="68"/>
      <c r="J964" s="68"/>
      <c r="K964" s="68"/>
      <c r="L964" s="68"/>
      <c r="M964" s="79"/>
      <c r="N964" s="68"/>
      <c r="O964" s="68"/>
      <c r="P964" s="68"/>
      <c r="Q964" s="68"/>
      <c r="R964" s="68"/>
      <c r="S964" s="68"/>
      <c r="T964" s="68"/>
      <c r="U964" s="68"/>
      <c r="V964" s="68"/>
      <c r="W964" s="68"/>
      <c r="X964" s="68"/>
      <c r="Y964" s="68"/>
      <c r="Z964" s="68"/>
      <c r="AA964" s="68"/>
      <c r="AB964" s="68"/>
      <c r="AC964" s="68"/>
      <c r="AD964" s="68"/>
      <c r="AE964" s="68"/>
      <c r="AF964" s="68"/>
    </row>
    <row r="965">
      <c r="A965" s="68"/>
      <c r="B965" s="68"/>
      <c r="C965" s="78"/>
      <c r="D965" s="78"/>
      <c r="E965" s="68"/>
      <c r="F965" s="68"/>
      <c r="G965" s="68"/>
      <c r="H965" s="68"/>
      <c r="I965" s="68"/>
      <c r="J965" s="68"/>
      <c r="K965" s="68"/>
      <c r="L965" s="68"/>
      <c r="M965" s="79"/>
      <c r="N965" s="68"/>
      <c r="O965" s="68"/>
      <c r="P965" s="68"/>
      <c r="Q965" s="68"/>
      <c r="R965" s="68"/>
      <c r="S965" s="68"/>
      <c r="T965" s="68"/>
      <c r="U965" s="68"/>
      <c r="V965" s="68"/>
      <c r="W965" s="68"/>
      <c r="X965" s="68"/>
      <c r="Y965" s="68"/>
      <c r="Z965" s="68"/>
      <c r="AA965" s="68"/>
      <c r="AB965" s="68"/>
      <c r="AC965" s="68"/>
      <c r="AD965" s="68"/>
      <c r="AE965" s="68"/>
      <c r="AF965" s="68"/>
    </row>
    <row r="966">
      <c r="A966" s="68"/>
      <c r="B966" s="68"/>
      <c r="C966" s="78"/>
      <c r="D966" s="78"/>
      <c r="E966" s="68"/>
      <c r="F966" s="68"/>
      <c r="G966" s="68"/>
      <c r="H966" s="68"/>
      <c r="I966" s="68"/>
      <c r="J966" s="68"/>
      <c r="K966" s="68"/>
      <c r="L966" s="68"/>
      <c r="M966" s="79"/>
      <c r="N966" s="68"/>
      <c r="O966" s="68"/>
      <c r="P966" s="68"/>
      <c r="Q966" s="68"/>
      <c r="R966" s="68"/>
      <c r="S966" s="68"/>
      <c r="T966" s="68"/>
      <c r="U966" s="68"/>
      <c r="V966" s="68"/>
      <c r="W966" s="68"/>
      <c r="X966" s="68"/>
      <c r="Y966" s="68"/>
      <c r="Z966" s="68"/>
      <c r="AA966" s="68"/>
      <c r="AB966" s="68"/>
      <c r="AC966" s="68"/>
      <c r="AD966" s="68"/>
      <c r="AE966" s="68"/>
      <c r="AF966" s="68"/>
    </row>
    <row r="967">
      <c r="A967" s="68"/>
      <c r="B967" s="68"/>
      <c r="C967" s="78"/>
      <c r="D967" s="78"/>
      <c r="E967" s="68"/>
      <c r="F967" s="68"/>
      <c r="G967" s="68"/>
      <c r="H967" s="68"/>
      <c r="I967" s="68"/>
      <c r="J967" s="68"/>
      <c r="K967" s="68"/>
      <c r="L967" s="68"/>
      <c r="M967" s="79"/>
      <c r="N967" s="68"/>
      <c r="O967" s="68"/>
      <c r="P967" s="68"/>
      <c r="Q967" s="68"/>
      <c r="R967" s="68"/>
      <c r="S967" s="68"/>
      <c r="T967" s="68"/>
      <c r="U967" s="68"/>
      <c r="V967" s="68"/>
      <c r="W967" s="68"/>
      <c r="X967" s="68"/>
      <c r="Y967" s="68"/>
      <c r="Z967" s="68"/>
      <c r="AA967" s="68"/>
      <c r="AB967" s="68"/>
      <c r="AC967" s="68"/>
      <c r="AD967" s="68"/>
      <c r="AE967" s="68"/>
      <c r="AF967" s="68"/>
    </row>
    <row r="968">
      <c r="A968" s="68"/>
      <c r="B968" s="68"/>
      <c r="C968" s="78"/>
      <c r="D968" s="78"/>
      <c r="E968" s="68"/>
      <c r="F968" s="68"/>
      <c r="G968" s="68"/>
      <c r="H968" s="68"/>
      <c r="I968" s="68"/>
      <c r="J968" s="68"/>
      <c r="K968" s="68"/>
      <c r="L968" s="68"/>
      <c r="M968" s="79"/>
      <c r="N968" s="68"/>
      <c r="O968" s="68"/>
      <c r="P968" s="68"/>
      <c r="Q968" s="68"/>
      <c r="R968" s="68"/>
      <c r="S968" s="68"/>
      <c r="T968" s="68"/>
      <c r="U968" s="68"/>
      <c r="V968" s="68"/>
      <c r="W968" s="68"/>
      <c r="X968" s="68"/>
      <c r="Y968" s="68"/>
      <c r="Z968" s="68"/>
      <c r="AA968" s="68"/>
      <c r="AB968" s="68"/>
      <c r="AC968" s="68"/>
      <c r="AD968" s="68"/>
      <c r="AE968" s="68"/>
      <c r="AF968" s="68"/>
    </row>
    <row r="969">
      <c r="A969" s="68"/>
      <c r="B969" s="68"/>
      <c r="C969" s="78"/>
      <c r="D969" s="78"/>
      <c r="E969" s="68"/>
      <c r="F969" s="68"/>
      <c r="G969" s="68"/>
      <c r="H969" s="68"/>
      <c r="I969" s="68"/>
      <c r="J969" s="68"/>
      <c r="K969" s="68"/>
      <c r="L969" s="68"/>
      <c r="M969" s="79"/>
      <c r="N969" s="68"/>
      <c r="O969" s="68"/>
      <c r="P969" s="68"/>
      <c r="Q969" s="68"/>
      <c r="R969" s="68"/>
      <c r="S969" s="68"/>
      <c r="T969" s="68"/>
      <c r="U969" s="68"/>
      <c r="V969" s="68"/>
      <c r="W969" s="68"/>
      <c r="X969" s="68"/>
      <c r="Y969" s="68"/>
      <c r="Z969" s="68"/>
      <c r="AA969" s="68"/>
      <c r="AB969" s="68"/>
      <c r="AC969" s="68"/>
      <c r="AD969" s="68"/>
      <c r="AE969" s="68"/>
      <c r="AF969" s="68"/>
    </row>
    <row r="970">
      <c r="A970" s="68"/>
      <c r="B970" s="68"/>
      <c r="C970" s="78"/>
      <c r="D970" s="78"/>
      <c r="E970" s="68"/>
      <c r="F970" s="68"/>
      <c r="G970" s="68"/>
      <c r="H970" s="68"/>
      <c r="I970" s="68"/>
      <c r="J970" s="68"/>
      <c r="K970" s="68"/>
      <c r="L970" s="68"/>
      <c r="M970" s="79"/>
      <c r="N970" s="68"/>
      <c r="O970" s="68"/>
      <c r="P970" s="68"/>
      <c r="Q970" s="68"/>
      <c r="R970" s="68"/>
      <c r="S970" s="68"/>
      <c r="T970" s="68"/>
      <c r="U970" s="68"/>
      <c r="V970" s="68"/>
      <c r="W970" s="68"/>
      <c r="X970" s="68"/>
      <c r="Y970" s="68"/>
      <c r="Z970" s="68"/>
      <c r="AA970" s="68"/>
      <c r="AB970" s="68"/>
      <c r="AC970" s="68"/>
      <c r="AD970" s="68"/>
      <c r="AE970" s="68"/>
      <c r="AF970" s="68"/>
    </row>
    <row r="971">
      <c r="A971" s="68"/>
      <c r="B971" s="68"/>
      <c r="C971" s="78"/>
      <c r="D971" s="78"/>
      <c r="E971" s="68"/>
      <c r="F971" s="68"/>
      <c r="G971" s="68"/>
      <c r="H971" s="68"/>
      <c r="I971" s="68"/>
      <c r="J971" s="68"/>
      <c r="K971" s="68"/>
      <c r="L971" s="68"/>
      <c r="M971" s="79"/>
      <c r="N971" s="68"/>
      <c r="O971" s="68"/>
      <c r="P971" s="68"/>
      <c r="Q971" s="68"/>
      <c r="R971" s="68"/>
      <c r="S971" s="68"/>
      <c r="T971" s="68"/>
      <c r="U971" s="68"/>
      <c r="V971" s="68"/>
      <c r="W971" s="68"/>
      <c r="X971" s="68"/>
      <c r="Y971" s="68"/>
      <c r="Z971" s="68"/>
      <c r="AA971" s="68"/>
      <c r="AB971" s="68"/>
      <c r="AC971" s="68"/>
      <c r="AD971" s="68"/>
      <c r="AE971" s="68"/>
      <c r="AF971" s="68"/>
    </row>
    <row r="972">
      <c r="A972" s="68"/>
      <c r="B972" s="68"/>
      <c r="C972" s="78"/>
      <c r="D972" s="78"/>
      <c r="E972" s="68"/>
      <c r="F972" s="68"/>
      <c r="G972" s="68"/>
      <c r="H972" s="68"/>
      <c r="I972" s="68"/>
      <c r="J972" s="68"/>
      <c r="K972" s="68"/>
      <c r="L972" s="68"/>
      <c r="M972" s="79"/>
      <c r="N972" s="68"/>
      <c r="O972" s="68"/>
      <c r="P972" s="68"/>
      <c r="Q972" s="68"/>
      <c r="R972" s="68"/>
      <c r="S972" s="68"/>
      <c r="T972" s="68"/>
      <c r="U972" s="68"/>
      <c r="V972" s="68"/>
      <c r="W972" s="68"/>
      <c r="X972" s="68"/>
      <c r="Y972" s="68"/>
      <c r="Z972" s="68"/>
      <c r="AA972" s="68"/>
      <c r="AB972" s="68"/>
      <c r="AC972" s="68"/>
      <c r="AD972" s="68"/>
      <c r="AE972" s="68"/>
      <c r="AF972" s="68"/>
    </row>
    <row r="973">
      <c r="A973" s="68"/>
      <c r="B973" s="68"/>
      <c r="C973" s="78"/>
      <c r="D973" s="78"/>
      <c r="E973" s="68"/>
      <c r="F973" s="68"/>
      <c r="G973" s="68"/>
      <c r="H973" s="68"/>
      <c r="I973" s="68"/>
      <c r="J973" s="68"/>
      <c r="K973" s="68"/>
      <c r="L973" s="68"/>
      <c r="M973" s="79"/>
      <c r="N973" s="68"/>
      <c r="O973" s="68"/>
      <c r="P973" s="68"/>
      <c r="Q973" s="68"/>
      <c r="R973" s="68"/>
      <c r="S973" s="68"/>
      <c r="T973" s="68"/>
      <c r="U973" s="68"/>
      <c r="V973" s="68"/>
      <c r="W973" s="68"/>
      <c r="X973" s="68"/>
      <c r="Y973" s="68"/>
      <c r="Z973" s="68"/>
      <c r="AA973" s="68"/>
      <c r="AB973" s="68"/>
      <c r="AC973" s="68"/>
      <c r="AD973" s="68"/>
      <c r="AE973" s="68"/>
      <c r="AF973" s="68"/>
    </row>
    <row r="974">
      <c r="A974" s="68"/>
      <c r="B974" s="68"/>
      <c r="C974" s="78"/>
      <c r="D974" s="78"/>
      <c r="E974" s="68"/>
      <c r="F974" s="68"/>
      <c r="G974" s="68"/>
      <c r="H974" s="68"/>
      <c r="I974" s="68"/>
      <c r="J974" s="68"/>
      <c r="K974" s="68"/>
      <c r="L974" s="68"/>
      <c r="M974" s="79"/>
      <c r="N974" s="68"/>
      <c r="O974" s="68"/>
      <c r="P974" s="68"/>
      <c r="Q974" s="68"/>
      <c r="R974" s="68"/>
      <c r="S974" s="68"/>
      <c r="T974" s="68"/>
      <c r="U974" s="68"/>
      <c r="V974" s="68"/>
      <c r="W974" s="68"/>
      <c r="X974" s="68"/>
      <c r="Y974" s="68"/>
      <c r="Z974" s="68"/>
      <c r="AA974" s="68"/>
      <c r="AB974" s="68"/>
      <c r="AC974" s="68"/>
      <c r="AD974" s="68"/>
      <c r="AE974" s="68"/>
      <c r="AF974" s="68"/>
    </row>
    <row r="975">
      <c r="A975" s="68"/>
      <c r="B975" s="68"/>
      <c r="C975" s="78"/>
      <c r="D975" s="78"/>
      <c r="E975" s="68"/>
      <c r="F975" s="68"/>
      <c r="G975" s="68"/>
      <c r="H975" s="68"/>
      <c r="I975" s="68"/>
      <c r="J975" s="68"/>
      <c r="K975" s="68"/>
      <c r="L975" s="68"/>
      <c r="M975" s="79"/>
      <c r="N975" s="68"/>
      <c r="O975" s="68"/>
      <c r="P975" s="68"/>
      <c r="Q975" s="68"/>
      <c r="R975" s="68"/>
      <c r="S975" s="68"/>
      <c r="T975" s="68"/>
      <c r="U975" s="68"/>
      <c r="V975" s="68"/>
      <c r="W975" s="68"/>
      <c r="X975" s="68"/>
      <c r="Y975" s="68"/>
      <c r="Z975" s="68"/>
      <c r="AA975" s="68"/>
      <c r="AB975" s="68"/>
      <c r="AC975" s="68"/>
      <c r="AD975" s="68"/>
      <c r="AE975" s="68"/>
      <c r="AF975" s="68"/>
    </row>
    <row r="976">
      <c r="A976" s="68"/>
      <c r="B976" s="68"/>
      <c r="C976" s="78"/>
      <c r="D976" s="78"/>
      <c r="E976" s="68"/>
      <c r="F976" s="68"/>
      <c r="G976" s="68"/>
      <c r="H976" s="68"/>
      <c r="I976" s="68"/>
      <c r="J976" s="68"/>
      <c r="K976" s="68"/>
      <c r="L976" s="68"/>
      <c r="M976" s="79"/>
      <c r="N976" s="68"/>
      <c r="O976" s="68"/>
      <c r="P976" s="68"/>
      <c r="Q976" s="68"/>
      <c r="R976" s="68"/>
      <c r="S976" s="68"/>
      <c r="T976" s="68"/>
      <c r="U976" s="68"/>
      <c r="V976" s="68"/>
      <c r="W976" s="68"/>
      <c r="X976" s="68"/>
      <c r="Y976" s="68"/>
      <c r="Z976" s="68"/>
      <c r="AA976" s="68"/>
      <c r="AB976" s="68"/>
      <c r="AC976" s="68"/>
      <c r="AD976" s="68"/>
      <c r="AE976" s="68"/>
      <c r="AF976" s="68"/>
    </row>
    <row r="977">
      <c r="A977" s="68"/>
      <c r="B977" s="68"/>
      <c r="C977" s="78"/>
      <c r="D977" s="78"/>
      <c r="E977" s="68"/>
      <c r="F977" s="68"/>
      <c r="G977" s="68"/>
      <c r="H977" s="68"/>
      <c r="I977" s="68"/>
      <c r="J977" s="68"/>
      <c r="K977" s="68"/>
      <c r="L977" s="68"/>
      <c r="M977" s="79"/>
      <c r="N977" s="68"/>
      <c r="O977" s="68"/>
      <c r="P977" s="68"/>
      <c r="Q977" s="68"/>
      <c r="R977" s="68"/>
      <c r="S977" s="68"/>
      <c r="T977" s="68"/>
      <c r="U977" s="68"/>
      <c r="V977" s="68"/>
      <c r="W977" s="68"/>
      <c r="X977" s="68"/>
      <c r="Y977" s="68"/>
      <c r="Z977" s="68"/>
      <c r="AA977" s="68"/>
      <c r="AB977" s="68"/>
      <c r="AC977" s="68"/>
      <c r="AD977" s="68"/>
      <c r="AE977" s="68"/>
      <c r="AF977" s="68"/>
    </row>
    <row r="978">
      <c r="A978" s="68"/>
      <c r="B978" s="68"/>
      <c r="C978" s="78"/>
      <c r="D978" s="78"/>
      <c r="E978" s="68"/>
      <c r="F978" s="68"/>
      <c r="G978" s="68"/>
      <c r="H978" s="68"/>
      <c r="I978" s="68"/>
      <c r="J978" s="68"/>
      <c r="K978" s="68"/>
      <c r="L978" s="68"/>
      <c r="M978" s="79"/>
      <c r="N978" s="68"/>
      <c r="O978" s="68"/>
      <c r="P978" s="68"/>
      <c r="Q978" s="68"/>
      <c r="R978" s="68"/>
      <c r="S978" s="68"/>
      <c r="T978" s="68"/>
      <c r="U978" s="68"/>
      <c r="V978" s="68"/>
      <c r="W978" s="68"/>
      <c r="X978" s="68"/>
      <c r="Y978" s="68"/>
      <c r="Z978" s="68"/>
      <c r="AA978" s="68"/>
      <c r="AB978" s="68"/>
      <c r="AC978" s="68"/>
      <c r="AD978" s="68"/>
      <c r="AE978" s="68"/>
      <c r="AF978" s="68"/>
    </row>
    <row r="979">
      <c r="A979" s="68"/>
      <c r="B979" s="68"/>
      <c r="C979" s="78"/>
      <c r="D979" s="78"/>
      <c r="E979" s="68"/>
      <c r="F979" s="68"/>
      <c r="G979" s="68"/>
      <c r="H979" s="68"/>
      <c r="I979" s="68"/>
      <c r="J979" s="68"/>
      <c r="K979" s="68"/>
      <c r="L979" s="68"/>
      <c r="M979" s="79"/>
      <c r="N979" s="68"/>
      <c r="O979" s="68"/>
      <c r="P979" s="68"/>
      <c r="Q979" s="68"/>
      <c r="R979" s="68"/>
      <c r="S979" s="68"/>
      <c r="T979" s="68"/>
      <c r="U979" s="68"/>
      <c r="V979" s="68"/>
      <c r="W979" s="68"/>
      <c r="X979" s="68"/>
      <c r="Y979" s="68"/>
      <c r="Z979" s="68"/>
      <c r="AA979" s="68"/>
      <c r="AB979" s="68"/>
      <c r="AC979" s="68"/>
      <c r="AD979" s="68"/>
      <c r="AE979" s="68"/>
      <c r="AF979" s="68"/>
    </row>
    <row r="980">
      <c r="A980" s="68"/>
      <c r="B980" s="68"/>
      <c r="C980" s="78"/>
      <c r="D980" s="78"/>
      <c r="E980" s="68"/>
      <c r="F980" s="68"/>
      <c r="G980" s="68"/>
      <c r="H980" s="68"/>
      <c r="I980" s="68"/>
      <c r="J980" s="68"/>
      <c r="K980" s="68"/>
      <c r="L980" s="68"/>
      <c r="M980" s="79"/>
      <c r="N980" s="68"/>
      <c r="O980" s="68"/>
      <c r="P980" s="68"/>
      <c r="Q980" s="68"/>
      <c r="R980" s="68"/>
      <c r="S980" s="68"/>
      <c r="T980" s="68"/>
      <c r="U980" s="68"/>
      <c r="V980" s="68"/>
      <c r="W980" s="68"/>
      <c r="X980" s="68"/>
      <c r="Y980" s="68"/>
      <c r="Z980" s="68"/>
      <c r="AA980" s="68"/>
      <c r="AB980" s="68"/>
      <c r="AC980" s="68"/>
      <c r="AD980" s="68"/>
      <c r="AE980" s="68"/>
      <c r="AF980" s="68"/>
    </row>
    <row r="981">
      <c r="A981" s="68"/>
      <c r="B981" s="68"/>
      <c r="C981" s="78"/>
      <c r="D981" s="78"/>
      <c r="E981" s="68"/>
      <c r="F981" s="68"/>
      <c r="G981" s="68"/>
      <c r="H981" s="68"/>
      <c r="I981" s="68"/>
      <c r="J981" s="68"/>
      <c r="K981" s="68"/>
      <c r="L981" s="68"/>
      <c r="M981" s="79"/>
      <c r="N981" s="68"/>
      <c r="O981" s="68"/>
      <c r="P981" s="68"/>
      <c r="Q981" s="68"/>
      <c r="R981" s="68"/>
      <c r="S981" s="68"/>
      <c r="T981" s="68"/>
      <c r="U981" s="68"/>
      <c r="V981" s="68"/>
      <c r="W981" s="68"/>
      <c r="X981" s="68"/>
      <c r="Y981" s="68"/>
      <c r="Z981" s="68"/>
      <c r="AA981" s="68"/>
      <c r="AB981" s="68"/>
      <c r="AC981" s="68"/>
      <c r="AD981" s="68"/>
      <c r="AE981" s="68"/>
      <c r="AF981" s="68"/>
    </row>
    <row r="982">
      <c r="A982" s="68"/>
      <c r="B982" s="68"/>
      <c r="C982" s="78"/>
      <c r="D982" s="78"/>
      <c r="E982" s="68"/>
      <c r="F982" s="68"/>
      <c r="G982" s="68"/>
      <c r="H982" s="68"/>
      <c r="I982" s="68"/>
      <c r="J982" s="68"/>
      <c r="K982" s="68"/>
      <c r="L982" s="68"/>
      <c r="M982" s="79"/>
      <c r="N982" s="68"/>
      <c r="O982" s="68"/>
      <c r="P982" s="68"/>
      <c r="Q982" s="68"/>
      <c r="R982" s="68"/>
      <c r="S982" s="68"/>
      <c r="T982" s="68"/>
      <c r="U982" s="68"/>
      <c r="V982" s="68"/>
      <c r="W982" s="68"/>
      <c r="X982" s="68"/>
      <c r="Y982" s="68"/>
      <c r="Z982" s="68"/>
      <c r="AA982" s="68"/>
      <c r="AB982" s="68"/>
      <c r="AC982" s="68"/>
      <c r="AD982" s="68"/>
      <c r="AE982" s="68"/>
      <c r="AF982" s="68"/>
    </row>
    <row r="983">
      <c r="A983" s="68"/>
      <c r="B983" s="68"/>
      <c r="C983" s="78"/>
      <c r="D983" s="78"/>
      <c r="E983" s="68"/>
      <c r="F983" s="68"/>
      <c r="G983" s="68"/>
      <c r="H983" s="68"/>
      <c r="I983" s="68"/>
      <c r="J983" s="68"/>
      <c r="K983" s="68"/>
      <c r="L983" s="68"/>
      <c r="M983" s="79"/>
      <c r="N983" s="68"/>
      <c r="O983" s="68"/>
      <c r="P983" s="68"/>
      <c r="Q983" s="68"/>
      <c r="R983" s="68"/>
      <c r="S983" s="68"/>
      <c r="T983" s="68"/>
      <c r="U983" s="68"/>
      <c r="V983" s="68"/>
      <c r="W983" s="68"/>
      <c r="X983" s="68"/>
      <c r="Y983" s="68"/>
      <c r="Z983" s="68"/>
      <c r="AA983" s="68"/>
      <c r="AB983" s="68"/>
      <c r="AC983" s="68"/>
      <c r="AD983" s="68"/>
      <c r="AE983" s="68"/>
      <c r="AF983" s="68"/>
    </row>
    <row r="984">
      <c r="A984" s="68"/>
      <c r="B984" s="68"/>
      <c r="C984" s="78"/>
      <c r="D984" s="78"/>
      <c r="E984" s="68"/>
      <c r="F984" s="68"/>
      <c r="G984" s="68"/>
      <c r="H984" s="68"/>
      <c r="I984" s="68"/>
      <c r="J984" s="68"/>
      <c r="K984" s="68"/>
      <c r="L984" s="68"/>
      <c r="M984" s="79"/>
      <c r="N984" s="68"/>
      <c r="O984" s="68"/>
      <c r="P984" s="68"/>
      <c r="Q984" s="68"/>
      <c r="R984" s="68"/>
      <c r="S984" s="68"/>
      <c r="T984" s="68"/>
      <c r="U984" s="68"/>
      <c r="V984" s="68"/>
      <c r="W984" s="68"/>
      <c r="X984" s="68"/>
      <c r="Y984" s="68"/>
      <c r="Z984" s="68"/>
      <c r="AA984" s="68"/>
      <c r="AB984" s="68"/>
      <c r="AC984" s="68"/>
      <c r="AD984" s="68"/>
      <c r="AE984" s="68"/>
      <c r="AF984" s="68"/>
    </row>
    <row r="985">
      <c r="A985" s="68"/>
      <c r="B985" s="68"/>
      <c r="C985" s="78"/>
      <c r="D985" s="78"/>
      <c r="E985" s="68"/>
      <c r="F985" s="68"/>
      <c r="G985" s="68"/>
      <c r="H985" s="68"/>
      <c r="I985" s="68"/>
      <c r="J985" s="68"/>
      <c r="K985" s="68"/>
      <c r="L985" s="68"/>
      <c r="M985" s="79"/>
      <c r="N985" s="68"/>
      <c r="O985" s="68"/>
      <c r="P985" s="68"/>
      <c r="Q985" s="68"/>
      <c r="R985" s="68"/>
      <c r="S985" s="68"/>
      <c r="T985" s="68"/>
      <c r="U985" s="68"/>
      <c r="V985" s="68"/>
      <c r="W985" s="68"/>
      <c r="X985" s="68"/>
      <c r="Y985" s="68"/>
      <c r="Z985" s="68"/>
      <c r="AA985" s="68"/>
      <c r="AB985" s="68"/>
      <c r="AC985" s="68"/>
      <c r="AD985" s="68"/>
      <c r="AE985" s="68"/>
      <c r="AF985" s="68"/>
    </row>
    <row r="986">
      <c r="A986" s="68"/>
      <c r="B986" s="68"/>
      <c r="C986" s="78"/>
      <c r="D986" s="78"/>
      <c r="E986" s="68"/>
      <c r="F986" s="68"/>
      <c r="G986" s="68"/>
      <c r="H986" s="68"/>
      <c r="I986" s="68"/>
      <c r="J986" s="68"/>
      <c r="K986" s="68"/>
      <c r="L986" s="68"/>
      <c r="M986" s="79"/>
      <c r="N986" s="68"/>
      <c r="O986" s="68"/>
      <c r="P986" s="68"/>
      <c r="Q986" s="68"/>
      <c r="R986" s="68"/>
      <c r="S986" s="68"/>
      <c r="T986" s="68"/>
      <c r="U986" s="68"/>
      <c r="V986" s="68"/>
      <c r="W986" s="68"/>
      <c r="X986" s="68"/>
      <c r="Y986" s="68"/>
      <c r="Z986" s="68"/>
      <c r="AA986" s="68"/>
      <c r="AB986" s="68"/>
      <c r="AC986" s="68"/>
      <c r="AD986" s="68"/>
      <c r="AE986" s="68"/>
      <c r="AF986" s="68"/>
    </row>
    <row r="987">
      <c r="A987" s="68"/>
      <c r="B987" s="68"/>
      <c r="C987" s="78"/>
      <c r="D987" s="78"/>
      <c r="E987" s="68"/>
      <c r="F987" s="68"/>
      <c r="G987" s="68"/>
      <c r="H987" s="68"/>
      <c r="I987" s="68"/>
      <c r="J987" s="68"/>
      <c r="K987" s="68"/>
      <c r="L987" s="68"/>
      <c r="M987" s="79"/>
      <c r="N987" s="68"/>
      <c r="O987" s="68"/>
      <c r="P987" s="68"/>
      <c r="Q987" s="68"/>
      <c r="R987" s="68"/>
      <c r="S987" s="68"/>
      <c r="T987" s="68"/>
      <c r="U987" s="68"/>
      <c r="V987" s="68"/>
      <c r="W987" s="68"/>
      <c r="X987" s="68"/>
      <c r="Y987" s="68"/>
      <c r="Z987" s="68"/>
      <c r="AA987" s="68"/>
      <c r="AB987" s="68"/>
      <c r="AC987" s="68"/>
      <c r="AD987" s="68"/>
      <c r="AE987" s="68"/>
      <c r="AF987" s="68"/>
    </row>
    <row r="988">
      <c r="A988" s="68"/>
      <c r="B988" s="68"/>
      <c r="C988" s="78"/>
      <c r="D988" s="78"/>
      <c r="E988" s="68"/>
      <c r="F988" s="68"/>
      <c r="G988" s="68"/>
      <c r="H988" s="68"/>
      <c r="I988" s="68"/>
      <c r="J988" s="68"/>
      <c r="K988" s="68"/>
      <c r="L988" s="68"/>
      <c r="M988" s="79"/>
      <c r="N988" s="68"/>
      <c r="O988" s="68"/>
      <c r="P988" s="68"/>
      <c r="Q988" s="68"/>
      <c r="R988" s="68"/>
      <c r="S988" s="68"/>
      <c r="T988" s="68"/>
      <c r="U988" s="68"/>
      <c r="V988" s="68"/>
      <c r="W988" s="68"/>
      <c r="X988" s="68"/>
      <c r="Y988" s="68"/>
      <c r="Z988" s="68"/>
      <c r="AA988" s="68"/>
      <c r="AB988" s="68"/>
      <c r="AC988" s="68"/>
      <c r="AD988" s="68"/>
      <c r="AE988" s="68"/>
      <c r="AF988" s="68"/>
    </row>
    <row r="989">
      <c r="A989" s="68"/>
      <c r="B989" s="68"/>
      <c r="C989" s="78"/>
      <c r="D989" s="78"/>
      <c r="E989" s="68"/>
      <c r="F989" s="68"/>
      <c r="G989" s="68"/>
      <c r="H989" s="68"/>
      <c r="I989" s="68"/>
      <c r="J989" s="68"/>
      <c r="K989" s="68"/>
      <c r="L989" s="68"/>
      <c r="M989" s="79"/>
      <c r="N989" s="68"/>
      <c r="O989" s="68"/>
      <c r="P989" s="68"/>
      <c r="Q989" s="68"/>
      <c r="R989" s="68"/>
      <c r="S989" s="68"/>
      <c r="T989" s="68"/>
      <c r="U989" s="68"/>
      <c r="V989" s="68"/>
      <c r="W989" s="68"/>
      <c r="X989" s="68"/>
      <c r="Y989" s="68"/>
      <c r="Z989" s="68"/>
      <c r="AA989" s="68"/>
      <c r="AB989" s="68"/>
      <c r="AC989" s="68"/>
      <c r="AD989" s="68"/>
      <c r="AE989" s="68"/>
      <c r="AF989" s="68"/>
    </row>
    <row r="990">
      <c r="A990" s="68"/>
      <c r="B990" s="68"/>
      <c r="C990" s="78"/>
      <c r="D990" s="78"/>
      <c r="E990" s="68"/>
      <c r="F990" s="68"/>
      <c r="G990" s="68"/>
      <c r="H990" s="68"/>
      <c r="I990" s="68"/>
      <c r="J990" s="68"/>
      <c r="K990" s="68"/>
      <c r="L990" s="68"/>
      <c r="M990" s="79"/>
      <c r="N990" s="68"/>
      <c r="O990" s="68"/>
      <c r="P990" s="68"/>
      <c r="Q990" s="68"/>
      <c r="R990" s="68"/>
      <c r="S990" s="68"/>
      <c r="T990" s="68"/>
      <c r="U990" s="68"/>
      <c r="V990" s="68"/>
      <c r="W990" s="68"/>
      <c r="X990" s="68"/>
      <c r="Y990" s="68"/>
      <c r="Z990" s="68"/>
      <c r="AA990" s="68"/>
      <c r="AB990" s="68"/>
      <c r="AC990" s="68"/>
      <c r="AD990" s="68"/>
      <c r="AE990" s="68"/>
      <c r="AF990" s="68"/>
    </row>
    <row r="991">
      <c r="A991" s="68"/>
      <c r="B991" s="68"/>
      <c r="C991" s="78"/>
      <c r="D991" s="78"/>
      <c r="E991" s="68"/>
      <c r="F991" s="68"/>
      <c r="G991" s="68"/>
      <c r="H991" s="68"/>
      <c r="I991" s="68"/>
      <c r="J991" s="68"/>
      <c r="K991" s="68"/>
      <c r="L991" s="68"/>
      <c r="M991" s="79"/>
      <c r="N991" s="68"/>
      <c r="O991" s="68"/>
      <c r="P991" s="68"/>
      <c r="Q991" s="68"/>
      <c r="R991" s="68"/>
      <c r="S991" s="68"/>
      <c r="T991" s="68"/>
      <c r="U991" s="68"/>
      <c r="V991" s="68"/>
      <c r="W991" s="68"/>
      <c r="X991" s="68"/>
      <c r="Y991" s="68"/>
      <c r="Z991" s="68"/>
      <c r="AA991" s="68"/>
      <c r="AB991" s="68"/>
      <c r="AC991" s="68"/>
      <c r="AD991" s="68"/>
      <c r="AE991" s="68"/>
      <c r="AF991" s="68"/>
    </row>
    <row r="992">
      <c r="A992" s="68"/>
      <c r="B992" s="68"/>
      <c r="C992" s="78"/>
      <c r="D992" s="78"/>
      <c r="E992" s="68"/>
      <c r="F992" s="68"/>
      <c r="G992" s="68"/>
      <c r="H992" s="68"/>
      <c r="I992" s="68"/>
      <c r="J992" s="68"/>
      <c r="K992" s="68"/>
      <c r="L992" s="68"/>
      <c r="M992" s="79"/>
      <c r="N992" s="68"/>
      <c r="O992" s="68"/>
      <c r="P992" s="68"/>
      <c r="Q992" s="68"/>
      <c r="R992" s="68"/>
      <c r="S992" s="68"/>
      <c r="T992" s="68"/>
      <c r="U992" s="68"/>
      <c r="V992" s="68"/>
      <c r="W992" s="68"/>
      <c r="X992" s="68"/>
      <c r="Y992" s="68"/>
      <c r="Z992" s="68"/>
      <c r="AA992" s="68"/>
      <c r="AB992" s="68"/>
      <c r="AC992" s="68"/>
      <c r="AD992" s="68"/>
      <c r="AE992" s="68"/>
      <c r="AF992" s="68"/>
    </row>
    <row r="993">
      <c r="A993" s="68"/>
      <c r="B993" s="68"/>
      <c r="C993" s="78"/>
      <c r="D993" s="78"/>
      <c r="E993" s="68"/>
      <c r="F993" s="68"/>
      <c r="G993" s="68"/>
      <c r="H993" s="68"/>
      <c r="I993" s="68"/>
      <c r="J993" s="68"/>
      <c r="K993" s="68"/>
      <c r="L993" s="68"/>
      <c r="M993" s="79"/>
      <c r="N993" s="68"/>
      <c r="O993" s="68"/>
      <c r="P993" s="68"/>
      <c r="Q993" s="68"/>
      <c r="R993" s="68"/>
      <c r="S993" s="68"/>
      <c r="T993" s="68"/>
      <c r="U993" s="68"/>
      <c r="V993" s="68"/>
      <c r="W993" s="68"/>
      <c r="X993" s="68"/>
      <c r="Y993" s="68"/>
      <c r="Z993" s="68"/>
      <c r="AA993" s="68"/>
      <c r="AB993" s="68"/>
      <c r="AC993" s="68"/>
      <c r="AD993" s="68"/>
      <c r="AE993" s="68"/>
      <c r="AF993" s="68"/>
    </row>
    <row r="994">
      <c r="A994" s="68"/>
      <c r="B994" s="68"/>
      <c r="C994" s="78"/>
      <c r="D994" s="78"/>
      <c r="E994" s="68"/>
      <c r="F994" s="68"/>
      <c r="G994" s="68"/>
      <c r="H994" s="68"/>
      <c r="I994" s="68"/>
      <c r="J994" s="68"/>
      <c r="K994" s="68"/>
      <c r="L994" s="68"/>
      <c r="M994" s="79"/>
      <c r="N994" s="68"/>
      <c r="O994" s="68"/>
      <c r="P994" s="68"/>
      <c r="Q994" s="68"/>
      <c r="R994" s="68"/>
      <c r="S994" s="68"/>
      <c r="T994" s="68"/>
      <c r="U994" s="68"/>
      <c r="V994" s="68"/>
      <c r="W994" s="68"/>
      <c r="X994" s="68"/>
      <c r="Y994" s="68"/>
      <c r="Z994" s="68"/>
      <c r="AA994" s="68"/>
      <c r="AB994" s="68"/>
      <c r="AC994" s="68"/>
      <c r="AD994" s="68"/>
      <c r="AE994" s="68"/>
      <c r="AF994" s="68"/>
    </row>
    <row r="995">
      <c r="A995" s="68"/>
      <c r="B995" s="68"/>
      <c r="C995" s="78"/>
      <c r="D995" s="78"/>
      <c r="E995" s="68"/>
      <c r="F995" s="68"/>
      <c r="G995" s="68"/>
      <c r="H995" s="68"/>
      <c r="I995" s="68"/>
      <c r="J995" s="68"/>
      <c r="K995" s="68"/>
      <c r="L995" s="68"/>
      <c r="M995" s="79"/>
      <c r="N995" s="68"/>
      <c r="O995" s="68"/>
      <c r="P995" s="68"/>
      <c r="Q995" s="68"/>
      <c r="R995" s="68"/>
      <c r="S995" s="68"/>
      <c r="T995" s="68"/>
      <c r="U995" s="68"/>
      <c r="V995" s="68"/>
      <c r="W995" s="68"/>
      <c r="X995" s="68"/>
      <c r="Y995" s="68"/>
      <c r="Z995" s="68"/>
      <c r="AA995" s="68"/>
      <c r="AB995" s="68"/>
      <c r="AC995" s="68"/>
      <c r="AD995" s="68"/>
      <c r="AE995" s="68"/>
      <c r="AF995" s="68"/>
    </row>
    <row r="996">
      <c r="A996" s="68"/>
      <c r="B996" s="68"/>
      <c r="C996" s="78"/>
      <c r="D996" s="78"/>
      <c r="E996" s="68"/>
      <c r="F996" s="68"/>
      <c r="G996" s="68"/>
      <c r="H996" s="68"/>
      <c r="I996" s="68"/>
      <c r="J996" s="68"/>
      <c r="K996" s="68"/>
      <c r="L996" s="68"/>
      <c r="M996" s="79"/>
      <c r="N996" s="68"/>
      <c r="O996" s="68"/>
      <c r="P996" s="68"/>
      <c r="Q996" s="68"/>
      <c r="R996" s="68"/>
      <c r="S996" s="68"/>
      <c r="T996" s="68"/>
      <c r="U996" s="68"/>
      <c r="V996" s="68"/>
      <c r="W996" s="68"/>
      <c r="X996" s="68"/>
      <c r="Y996" s="68"/>
      <c r="Z996" s="68"/>
      <c r="AA996" s="68"/>
      <c r="AB996" s="68"/>
      <c r="AC996" s="68"/>
      <c r="AD996" s="68"/>
      <c r="AE996" s="68"/>
      <c r="AF996" s="68"/>
    </row>
    <row r="997">
      <c r="A997" s="68"/>
      <c r="B997" s="68"/>
      <c r="C997" s="78"/>
      <c r="D997" s="78"/>
      <c r="E997" s="68"/>
      <c r="F997" s="68"/>
      <c r="G997" s="68"/>
      <c r="H997" s="68"/>
      <c r="I997" s="68"/>
      <c r="J997" s="68"/>
      <c r="K997" s="68"/>
      <c r="L997" s="68"/>
      <c r="M997" s="79"/>
      <c r="N997" s="68"/>
      <c r="O997" s="68"/>
      <c r="P997" s="68"/>
      <c r="Q997" s="68"/>
      <c r="R997" s="68"/>
      <c r="S997" s="68"/>
      <c r="T997" s="68"/>
      <c r="U997" s="68"/>
      <c r="V997" s="68"/>
      <c r="W997" s="68"/>
      <c r="X997" s="68"/>
      <c r="Y997" s="68"/>
      <c r="Z997" s="68"/>
      <c r="AA997" s="68"/>
      <c r="AB997" s="68"/>
      <c r="AC997" s="68"/>
      <c r="AD997" s="68"/>
      <c r="AE997" s="68"/>
      <c r="AF997" s="68"/>
    </row>
    <row r="998">
      <c r="A998" s="68"/>
      <c r="B998" s="68"/>
      <c r="C998" s="78"/>
      <c r="D998" s="78"/>
      <c r="E998" s="68"/>
      <c r="F998" s="68"/>
      <c r="G998" s="68"/>
      <c r="H998" s="68"/>
      <c r="I998" s="68"/>
      <c r="J998" s="68"/>
      <c r="K998" s="68"/>
      <c r="L998" s="68"/>
      <c r="M998" s="79"/>
      <c r="N998" s="68"/>
      <c r="O998" s="68"/>
      <c r="P998" s="68"/>
      <c r="Q998" s="68"/>
      <c r="R998" s="68"/>
      <c r="S998" s="68"/>
      <c r="T998" s="68"/>
      <c r="U998" s="68"/>
      <c r="V998" s="68"/>
      <c r="W998" s="68"/>
      <c r="X998" s="68"/>
      <c r="Y998" s="68"/>
      <c r="Z998" s="68"/>
      <c r="AA998" s="68"/>
      <c r="AB998" s="68"/>
      <c r="AC998" s="68"/>
      <c r="AD998" s="68"/>
      <c r="AE998" s="68"/>
      <c r="AF998" s="68"/>
    </row>
    <row r="999">
      <c r="A999" s="68"/>
      <c r="B999" s="68"/>
      <c r="C999" s="78"/>
      <c r="D999" s="78"/>
      <c r="E999" s="68"/>
      <c r="F999" s="68"/>
      <c r="G999" s="68"/>
      <c r="H999" s="68"/>
      <c r="I999" s="68"/>
      <c r="J999" s="68"/>
      <c r="K999" s="68"/>
      <c r="L999" s="68"/>
      <c r="M999" s="79"/>
      <c r="N999" s="68"/>
      <c r="O999" s="68"/>
      <c r="P999" s="68"/>
      <c r="Q999" s="68"/>
      <c r="R999" s="68"/>
      <c r="S999" s="68"/>
      <c r="T999" s="68"/>
      <c r="U999" s="68"/>
      <c r="V999" s="68"/>
      <c r="W999" s="68"/>
      <c r="X999" s="68"/>
      <c r="Y999" s="68"/>
      <c r="Z999" s="68"/>
      <c r="AA999" s="68"/>
      <c r="AB999" s="68"/>
      <c r="AC999" s="68"/>
      <c r="AD999" s="68"/>
      <c r="AE999" s="68"/>
      <c r="AF999" s="68"/>
    </row>
  </sheetData>
  <conditionalFormatting sqref="C1:D999">
    <cfRule type="cellIs" dxfId="2" priority="1" operator="lessThan">
      <formula>100000</formula>
    </cfRule>
  </conditionalFormatting>
  <conditionalFormatting sqref="G1:G999">
    <cfRule type="cellIs" dxfId="3" priority="2" operator="equal">
      <formula>"FALSE"</formula>
    </cfRule>
  </conditionalFormatting>
  <conditionalFormatting sqref="E1:F999">
    <cfRule type="containsBlanks" dxfId="3" priority="3">
      <formula>LEN(TRIM(E1))=0</formula>
    </cfRule>
  </conditionalFormatting>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5.29"/>
    <col customWidth="1" min="2" max="2" width="6.43"/>
    <col customWidth="1" min="3" max="3" width="49.57"/>
    <col customWidth="1" min="4" max="32" width="14.71"/>
  </cols>
  <sheetData>
    <row r="1">
      <c r="A1" s="80" t="s">
        <v>4</v>
      </c>
      <c r="B1" s="81" t="s">
        <v>188</v>
      </c>
      <c r="C1" s="82" t="s">
        <v>10</v>
      </c>
      <c r="D1" s="83" t="s">
        <v>189</v>
      </c>
      <c r="E1" s="83" t="s">
        <v>190</v>
      </c>
      <c r="F1" s="83" t="s">
        <v>191</v>
      </c>
      <c r="G1" s="83" t="s">
        <v>192</v>
      </c>
      <c r="H1" s="83" t="s">
        <v>193</v>
      </c>
      <c r="I1" s="83" t="s">
        <v>194</v>
      </c>
      <c r="J1" s="83" t="s">
        <v>195</v>
      </c>
      <c r="K1" s="83" t="s">
        <v>196</v>
      </c>
      <c r="L1" s="83" t="s">
        <v>197</v>
      </c>
      <c r="M1" s="83" t="s">
        <v>198</v>
      </c>
      <c r="N1" s="83" t="s">
        <v>199</v>
      </c>
      <c r="O1" s="83" t="s">
        <v>200</v>
      </c>
      <c r="P1" s="83" t="s">
        <v>201</v>
      </c>
      <c r="Q1" s="83" t="s">
        <v>202</v>
      </c>
      <c r="R1" s="83" t="s">
        <v>203</v>
      </c>
      <c r="S1" s="83" t="s">
        <v>204</v>
      </c>
      <c r="T1" s="83" t="s">
        <v>205</v>
      </c>
      <c r="U1" s="84" t="s">
        <v>206</v>
      </c>
      <c r="V1" s="85" t="s">
        <v>207</v>
      </c>
      <c r="W1" s="83" t="s">
        <v>208</v>
      </c>
      <c r="X1" s="83" t="s">
        <v>209</v>
      </c>
      <c r="Y1" s="83" t="s">
        <v>210</v>
      </c>
      <c r="Z1" s="83" t="s">
        <v>211</v>
      </c>
      <c r="AA1" s="83" t="s">
        <v>212</v>
      </c>
      <c r="AB1" s="83" t="s">
        <v>213</v>
      </c>
      <c r="AC1" s="83" t="s">
        <v>214</v>
      </c>
      <c r="AD1" s="83" t="s">
        <v>215</v>
      </c>
      <c r="AE1" s="83" t="s">
        <v>216</v>
      </c>
      <c r="AF1" s="83" t="s">
        <v>217</v>
      </c>
    </row>
    <row r="2">
      <c r="A2" s="86">
        <v>1992.0</v>
      </c>
      <c r="B2" s="87">
        <v>12.0</v>
      </c>
      <c r="C2" s="88" t="s">
        <v>35</v>
      </c>
      <c r="D2" s="89">
        <v>250000.0</v>
      </c>
      <c r="E2" s="32"/>
      <c r="F2" s="32"/>
      <c r="G2" s="32"/>
      <c r="H2" s="32"/>
      <c r="I2" s="32"/>
      <c r="J2" s="32"/>
      <c r="K2" s="32"/>
      <c r="L2" s="32"/>
      <c r="M2" s="32"/>
      <c r="N2" s="32"/>
      <c r="O2" s="90">
        <f>IFERROR(__xludf.DUMMYFUNCTION("sum(FILTER($D:$M,$C:$C = $C2,$A:$A &lt;= $A2))"),250000.0)</f>
        <v>250000</v>
      </c>
      <c r="P2" s="91">
        <f>IFERROR(__xludf.DUMMYFUNCTION("IFERROR(sum(FILTER($D:$N,$C:$C = $C2,$A:$A &lt; $A2,$B:$B = 12)),0) + sum($D2:$N2)"),250000.0)</f>
        <v>250000</v>
      </c>
      <c r="Q2" s="92">
        <f t="shared" ref="Q2:Q2782" si="1">$O2-$P2</f>
        <v>0</v>
      </c>
      <c r="R2" s="91">
        <f t="array" ref="R2">IFERROR(INDEX('Fund YTD Target Values'!$1:$1000, MATCH($C2,'Fund YTD Target Values'!$A:$A,0), MATCH($A2,'Fund YTD Target Values'!$1:$1,0)),0)</f>
        <v>250000</v>
      </c>
      <c r="S2" s="91">
        <f>IFERROR(__xludf.DUMMYFUNCTION("IFERROR(sum(FILTER('Fund Investment Data'!$V:$V, 'Fund Investment Data'!$C:$C = $C2, 'Fund Investment Data'!$A:$A &lt; $A2)),0) + IFERROR(sum(FILTER('Fund Investment Data'!$V:$V, 'Fund Investment Data'!$C:$C = $C2, 'Fund Investment Data'!$A:$A = $A2, 'Fund I"&amp;"nvestment Data'!$B:$B &lt;= $B2)),0)"),250000.0)</f>
        <v>250000</v>
      </c>
      <c r="T2" s="32"/>
      <c r="U2" s="32"/>
      <c r="V2" s="32">
        <f>IFERROR(__xludf.DUMMYFUNCTION("$D2 - IFERROR(FILTER($D:$D,$C:$C = $C2, $A:$A = $A2, $B:$B = $B2 - 1),0)"),250000.0)</f>
        <v>250000</v>
      </c>
      <c r="W2" s="93">
        <f>IFERROR(__xludf.DUMMYFUNCTION("$E2 - IFERROR(FILTER($E:$E,$C:$C = $C2, $A:$A = $A2, $B:$B = $B2 - 1),0)"),0.0)</f>
        <v>0</v>
      </c>
      <c r="X2" s="93"/>
      <c r="Y2" s="93"/>
      <c r="Z2" s="93">
        <v>0.0</v>
      </c>
      <c r="AA2" s="93">
        <v>0.0</v>
      </c>
      <c r="AB2" s="93">
        <v>0.0</v>
      </c>
      <c r="AC2" s="93"/>
      <c r="AD2" s="93">
        <v>0.0</v>
      </c>
      <c r="AE2" s="32">
        <f t="shared" ref="AE2:AE2782" si="2">$AD2+($E2)</f>
        <v>0</v>
      </c>
      <c r="AF2" s="93">
        <v>0.0</v>
      </c>
    </row>
    <row r="3">
      <c r="A3" s="86">
        <v>1993.0</v>
      </c>
      <c r="B3" s="87">
        <v>12.0</v>
      </c>
      <c r="C3" s="88" t="s">
        <v>35</v>
      </c>
      <c r="D3" s="32"/>
      <c r="E3" s="93"/>
      <c r="F3" s="93"/>
      <c r="G3" s="93"/>
      <c r="H3" s="93"/>
      <c r="I3" s="32"/>
      <c r="J3" s="93"/>
      <c r="K3" s="32"/>
      <c r="L3" s="93"/>
      <c r="M3" s="93"/>
      <c r="N3" s="32"/>
      <c r="O3" s="90">
        <f>IFERROR(__xludf.DUMMYFUNCTION("sum(FILTER($D:$M,$C:$C = $C3,$A:$A &lt;= $A3))"),250000.0)</f>
        <v>250000</v>
      </c>
      <c r="P3" s="91">
        <f>IFERROR(__xludf.DUMMYFUNCTION("IFERROR(sum(FILTER($D:$N,$C:$C = $C3,$A:$A &lt; $A3,$B:$B = 12)),0) + sum($D3:$N3)"),250000.0)</f>
        <v>250000</v>
      </c>
      <c r="Q3" s="92">
        <f t="shared" si="1"/>
        <v>0</v>
      </c>
      <c r="R3" s="91">
        <f t="array" ref="R3">IFERROR(INDEX('Fund YTD Target Values'!$1:$1000, MATCH($C3,'Fund YTD Target Values'!$A:$A,0), MATCH($A3,'Fund YTD Target Values'!$1:$1,0)),0)</f>
        <v>257383.8953</v>
      </c>
      <c r="S3" s="91">
        <f>IFERROR(__xludf.DUMMYFUNCTION("IFERROR(sum(FILTER('Fund Investment Data'!$V:$V, 'Fund Investment Data'!$C:$C = $C3, 'Fund Investment Data'!$A:$A &lt; $A3)),0) + IFERROR(sum(FILTER('Fund Investment Data'!$V:$V, 'Fund Investment Data'!$C:$C = $C3, 'Fund Investment Data'!$A:$A = $A3, 'Fund I"&amp;"nvestment Data'!$B:$B &lt;= $B3)),0)"),250000.0)</f>
        <v>250000</v>
      </c>
      <c r="T3" s="32"/>
      <c r="U3" s="32"/>
      <c r="V3" s="32">
        <f>IFERROR(__xludf.DUMMYFUNCTION("$D3 - IFERROR(FILTER($D:$D,$C:$C = $C3, $A:$A = $A3, $B:$B = $B3 - 1),0)"),0.0)</f>
        <v>0</v>
      </c>
      <c r="W3" s="93">
        <f>IFERROR(__xludf.DUMMYFUNCTION("$E3 - IFERROR(FILTER($E:$E,$C:$C = $C3, $A:$A = $A3, $B:$B = $B3 - 1),0)"),0.0)</f>
        <v>0</v>
      </c>
      <c r="X3" s="93"/>
      <c r="Y3" s="93"/>
      <c r="Z3" s="93">
        <v>0.0</v>
      </c>
      <c r="AA3" s="93">
        <v>0.0</v>
      </c>
      <c r="AB3" s="93">
        <v>0.0</v>
      </c>
      <c r="AC3" s="93"/>
      <c r="AD3" s="93">
        <v>0.0</v>
      </c>
      <c r="AE3" s="32">
        <f t="shared" si="2"/>
        <v>0</v>
      </c>
      <c r="AF3" s="93">
        <v>0.0</v>
      </c>
    </row>
    <row r="4">
      <c r="A4" s="86">
        <v>1994.0</v>
      </c>
      <c r="B4" s="87">
        <v>12.0</v>
      </c>
      <c r="C4" s="88" t="s">
        <v>35</v>
      </c>
      <c r="D4" s="32"/>
      <c r="E4" s="93"/>
      <c r="F4" s="93"/>
      <c r="G4" s="93"/>
      <c r="H4" s="93"/>
      <c r="I4" s="32"/>
      <c r="J4" s="93"/>
      <c r="K4" s="32"/>
      <c r="L4" s="93"/>
      <c r="M4" s="93"/>
      <c r="N4" s="32"/>
      <c r="O4" s="90">
        <f>IFERROR(__xludf.DUMMYFUNCTION("sum(FILTER($D:$M,$C:$C = $C4,$A:$A &lt;= $A4))"),250000.0)</f>
        <v>250000</v>
      </c>
      <c r="P4" s="91">
        <f>IFERROR(__xludf.DUMMYFUNCTION("IFERROR(sum(FILTER($D:$N,$C:$C = $C4,$A:$A &lt; $A4,$B:$B = 12)),0) + sum($D4:$N4)"),250000.0)</f>
        <v>250000</v>
      </c>
      <c r="Q4" s="92">
        <f t="shared" si="1"/>
        <v>0</v>
      </c>
      <c r="R4" s="91">
        <f t="array" ref="R4">IFERROR(INDEX('Fund YTD Target Values'!$1:$1000, MATCH($C4,'Fund YTD Target Values'!$A:$A,0), MATCH($A4,'Fund YTD Target Values'!$1:$1,0)),0)</f>
        <v>264093.4447</v>
      </c>
      <c r="S4" s="91">
        <f>IFERROR(__xludf.DUMMYFUNCTION("IFERROR(sum(FILTER('Fund Investment Data'!$V:$V, 'Fund Investment Data'!$C:$C = $C4, 'Fund Investment Data'!$A:$A &lt; $A4)),0) + IFERROR(sum(FILTER('Fund Investment Data'!$V:$V, 'Fund Investment Data'!$C:$C = $C4, 'Fund Investment Data'!$A:$A = $A4, 'Fund I"&amp;"nvestment Data'!$B:$B &lt;= $B4)),0)"),250000.0)</f>
        <v>250000</v>
      </c>
      <c r="T4" s="32"/>
      <c r="U4" s="32"/>
      <c r="V4" s="32">
        <f>IFERROR(__xludf.DUMMYFUNCTION("$D4 - IFERROR(FILTER($D:$D,$C:$C = $C4, $A:$A = $A4, $B:$B = $B4 - 1),0)"),0.0)</f>
        <v>0</v>
      </c>
      <c r="W4" s="93">
        <f>IFERROR(__xludf.DUMMYFUNCTION("$E4 - IFERROR(FILTER($E:$E,$C:$C = $C4, $A:$A = $A4, $B:$B = $B4 - 1),0)"),0.0)</f>
        <v>0</v>
      </c>
      <c r="X4" s="93"/>
      <c r="Y4" s="93"/>
      <c r="Z4" s="93">
        <v>0.0</v>
      </c>
      <c r="AA4" s="93">
        <v>0.0</v>
      </c>
      <c r="AB4" s="93">
        <v>0.0</v>
      </c>
      <c r="AC4" s="93"/>
      <c r="AD4" s="93">
        <v>0.0</v>
      </c>
      <c r="AE4" s="32">
        <f t="shared" si="2"/>
        <v>0</v>
      </c>
      <c r="AF4" s="93">
        <v>0.0</v>
      </c>
    </row>
    <row r="5">
      <c r="A5" s="86">
        <v>1995.0</v>
      </c>
      <c r="B5" s="87">
        <v>12.0</v>
      </c>
      <c r="C5" s="88" t="s">
        <v>35</v>
      </c>
      <c r="D5" s="32"/>
      <c r="E5" s="93"/>
      <c r="F5" s="32">
        <v>15842.820000000007</v>
      </c>
      <c r="G5" s="93"/>
      <c r="H5" s="93"/>
      <c r="I5" s="32"/>
      <c r="J5" s="93"/>
      <c r="K5" s="32"/>
      <c r="L5" s="93"/>
      <c r="M5" s="93"/>
      <c r="N5" s="32"/>
      <c r="O5" s="32">
        <v>265842.82</v>
      </c>
      <c r="P5" s="91">
        <f>IFERROR(__xludf.DUMMYFUNCTION("IFERROR(sum(FILTER($D:$N,$C:$C = $C5,$A:$A &lt; $A5,$B:$B = 12)),0) + sum($D5:$N5)"),265842.82)</f>
        <v>265842.82</v>
      </c>
      <c r="Q5" s="92">
        <f t="shared" si="1"/>
        <v>0</v>
      </c>
      <c r="R5" s="91">
        <f t="array" ref="R5">IFERROR(INDEX('Fund YTD Target Values'!$1:$1000, MATCH($C5,'Fund YTD Target Values'!$A:$A,0), MATCH($A5,'Fund YTD Target Values'!$1:$1,0)),0)</f>
        <v>271505.0661</v>
      </c>
      <c r="S5" s="91">
        <f>IFERROR(__xludf.DUMMYFUNCTION("IFERROR(sum(FILTER('Fund Investment Data'!$V:$V, 'Fund Investment Data'!$C:$C = $C5, 'Fund Investment Data'!$A:$A &lt; $A5)),0) + IFERROR(sum(FILTER('Fund Investment Data'!$V:$V, 'Fund Investment Data'!$C:$C = $C5, 'Fund Investment Data'!$A:$A = $A5, 'Fund I"&amp;"nvestment Data'!$B:$B &lt;= $B5)),0)"),250000.0)</f>
        <v>250000</v>
      </c>
      <c r="T5" s="32"/>
      <c r="U5" s="32"/>
      <c r="V5" s="32">
        <f>IFERROR(__xludf.DUMMYFUNCTION("$D5 - IFERROR(FILTER($D:$D,$C:$C = $C5, $A:$A = $A5, $B:$B = $B5 - 1),0)"),0.0)</f>
        <v>0</v>
      </c>
      <c r="W5" s="93">
        <f>IFERROR(__xludf.DUMMYFUNCTION("$E5 - IFERROR(FILTER($E:$E,$C:$C = $C5, $A:$A = $A5, $B:$B = $B5 - 1),0)"),0.0)</f>
        <v>0</v>
      </c>
      <c r="X5" s="93"/>
      <c r="Y5" s="93"/>
      <c r="Z5" s="93">
        <v>0.0</v>
      </c>
      <c r="AA5" s="93">
        <v>0.0</v>
      </c>
      <c r="AB5" s="93">
        <v>0.0</v>
      </c>
      <c r="AC5" s="93"/>
      <c r="AD5" s="93">
        <v>0.0</v>
      </c>
      <c r="AE5" s="32">
        <f t="shared" si="2"/>
        <v>0</v>
      </c>
      <c r="AF5" s="93">
        <v>0.0</v>
      </c>
    </row>
    <row r="6">
      <c r="A6" s="86">
        <v>1996.0</v>
      </c>
      <c r="B6" s="87">
        <v>12.0</v>
      </c>
      <c r="C6" s="88" t="s">
        <v>27</v>
      </c>
      <c r="D6" s="93">
        <v>80299.0</v>
      </c>
      <c r="E6" s="93">
        <v>-3000.0</v>
      </c>
      <c r="F6" s="93"/>
      <c r="G6" s="93">
        <v>-129.0</v>
      </c>
      <c r="H6" s="93">
        <v>4732.0</v>
      </c>
      <c r="I6" s="32"/>
      <c r="J6" s="93">
        <v>-644.0</v>
      </c>
      <c r="K6" s="32"/>
      <c r="L6" s="93">
        <v>-507.0</v>
      </c>
      <c r="M6" s="93">
        <v>-14.0</v>
      </c>
      <c r="N6" s="32"/>
      <c r="O6" s="93">
        <v>80737.0</v>
      </c>
      <c r="P6" s="91">
        <f>IFERROR(__xludf.DUMMYFUNCTION("IFERROR(sum(FILTER($D:$N,$C:$C = $C6,$A:$A &lt; $A6,$B:$B = 12)),0) + sum($D6:$N6)"),80737.0)</f>
        <v>80737</v>
      </c>
      <c r="Q6" s="92">
        <f t="shared" si="1"/>
        <v>0</v>
      </c>
      <c r="R6" s="91">
        <f t="array" ref="R6">IFERROR(INDEX('Fund YTD Target Values'!$1:$1000, MATCH($C6,'Fund YTD Target Values'!$A:$A,0), MATCH($A6,'Fund YTD Target Values'!$1:$1,0)),0)</f>
        <v>80299</v>
      </c>
      <c r="S6" s="91">
        <f>IFERROR(__xludf.DUMMYFUNCTION("IFERROR(sum(FILTER('Fund Investment Data'!$V:$V, 'Fund Investment Data'!$C:$C = $C6, 'Fund Investment Data'!$A:$A &lt; $A6)),0) + IFERROR(sum(FILTER('Fund Investment Data'!$V:$V, 'Fund Investment Data'!$C:$C = $C6, 'Fund Investment Data'!$A:$A = $A6, 'Fund I"&amp;"nvestment Data'!$B:$B &lt;= $B6)),0)"),80299.0)</f>
        <v>80299</v>
      </c>
      <c r="T6" s="32"/>
      <c r="U6" s="32"/>
      <c r="V6" s="32">
        <f>IFERROR(__xludf.DUMMYFUNCTION("$D6 - IFERROR(FILTER($D:$D,$C:$C = $C6, $A:$A = $A6, $B:$B = $B6 - 1),0)"),80299.0)</f>
        <v>80299</v>
      </c>
      <c r="W6" s="93">
        <f>IFERROR(__xludf.DUMMYFUNCTION("$E6 - IFERROR(FILTER($E:$E,$C:$C = $C6, $A:$A = $A6, $B:$B = $B6 - 1),0)"),-3000.0)</f>
        <v>-3000</v>
      </c>
      <c r="X6" s="93"/>
      <c r="Y6" s="93"/>
      <c r="Z6" s="93">
        <v>0.0</v>
      </c>
      <c r="AA6" s="93">
        <v>0.0</v>
      </c>
      <c r="AB6" s="93">
        <v>0.0</v>
      </c>
      <c r="AC6" s="93"/>
      <c r="AD6" s="93">
        <v>0.0</v>
      </c>
      <c r="AE6" s="32">
        <f t="shared" si="2"/>
        <v>-3000</v>
      </c>
      <c r="AF6" s="93">
        <v>0.0</v>
      </c>
    </row>
    <row r="7">
      <c r="A7" s="86">
        <v>1996.0</v>
      </c>
      <c r="B7" s="87">
        <v>12.0</v>
      </c>
      <c r="C7" s="88" t="s">
        <v>36</v>
      </c>
      <c r="D7" s="93">
        <v>268867.24</v>
      </c>
      <c r="E7" s="93">
        <v>-13000.0</v>
      </c>
      <c r="F7" s="93"/>
      <c r="G7" s="93">
        <v>-428.53</v>
      </c>
      <c r="H7" s="93">
        <v>15811.29</v>
      </c>
      <c r="I7" s="32"/>
      <c r="J7" s="93">
        <v>-2158.0</v>
      </c>
      <c r="K7" s="32"/>
      <c r="L7" s="93">
        <v>-1691.0</v>
      </c>
      <c r="M7" s="93">
        <v>-55.0</v>
      </c>
      <c r="N7" s="32"/>
      <c r="O7" s="93">
        <v>267346.0</v>
      </c>
      <c r="P7" s="91">
        <f>IFERROR(__xludf.DUMMYFUNCTION("IFERROR(sum(FILTER($D:$N,$C:$C = $C7,$A:$A &lt; $A7,$B:$B = 12)),0) + sum($D7:$N7)"),267346.0)</f>
        <v>267346</v>
      </c>
      <c r="Q7" s="92">
        <f t="shared" si="1"/>
        <v>0</v>
      </c>
      <c r="R7" s="91">
        <f t="array" ref="R7">IFERROR(INDEX('Fund YTD Target Values'!$1:$1000, MATCH($C7,'Fund YTD Target Values'!$A:$A,0), MATCH($A7,'Fund YTD Target Values'!$1:$1,0)),0)</f>
        <v>268867.24</v>
      </c>
      <c r="S7" s="91">
        <f>IFERROR(__xludf.DUMMYFUNCTION("IFERROR(sum(FILTER('Fund Investment Data'!$V:$V, 'Fund Investment Data'!$C:$C = $C7, 'Fund Investment Data'!$A:$A &lt; $A7)),0) + IFERROR(sum(FILTER('Fund Investment Data'!$V:$V, 'Fund Investment Data'!$C:$C = $C7, 'Fund Investment Data'!$A:$A = $A7, 'Fund I"&amp;"nvestment Data'!$B:$B &lt;= $B7)),0)"),268867.24)</f>
        <v>268867.24</v>
      </c>
      <c r="T7" s="32"/>
      <c r="U7" s="32"/>
      <c r="V7" s="32">
        <f>IFERROR(__xludf.DUMMYFUNCTION("$D7 - IFERROR(FILTER($D:$D,$C:$C = $C7, $A:$A = $A7, $B:$B = $B7 - 1),0)"),268867.24)</f>
        <v>268867.24</v>
      </c>
      <c r="W7" s="93">
        <f>IFERROR(__xludf.DUMMYFUNCTION("$E7 - IFERROR(FILTER($E:$E,$C:$C = $C7, $A:$A = $A7, $B:$B = $B7 - 1),0)"),-13000.0)</f>
        <v>-13000</v>
      </c>
      <c r="X7" s="93"/>
      <c r="Y7" s="93"/>
      <c r="Z7" s="93">
        <v>0.0</v>
      </c>
      <c r="AA7" s="93">
        <v>0.0</v>
      </c>
      <c r="AB7" s="93">
        <v>0.0</v>
      </c>
      <c r="AC7" s="93"/>
      <c r="AD7" s="93">
        <v>0.0</v>
      </c>
      <c r="AE7" s="32">
        <f t="shared" si="2"/>
        <v>-13000</v>
      </c>
      <c r="AF7" s="93">
        <v>0.0</v>
      </c>
    </row>
    <row r="8">
      <c r="A8" s="86">
        <v>1996.0</v>
      </c>
      <c r="B8" s="87">
        <v>12.0</v>
      </c>
      <c r="C8" s="88" t="s">
        <v>30</v>
      </c>
      <c r="D8" s="93">
        <v>11540.75</v>
      </c>
      <c r="E8" s="93">
        <v>0.0</v>
      </c>
      <c r="F8" s="93"/>
      <c r="G8" s="93">
        <v>-19.0</v>
      </c>
      <c r="H8" s="93">
        <v>692.25</v>
      </c>
      <c r="I8" s="32"/>
      <c r="J8" s="93">
        <v>-86.0</v>
      </c>
      <c r="K8" s="32"/>
      <c r="L8" s="93">
        <v>-65.0</v>
      </c>
      <c r="M8" s="93">
        <v>-2.0</v>
      </c>
      <c r="N8" s="32"/>
      <c r="O8" s="93">
        <v>12061.0</v>
      </c>
      <c r="P8" s="91">
        <f>IFERROR(__xludf.DUMMYFUNCTION("IFERROR(sum(FILTER($D:$N,$C:$C = $C8,$A:$A &lt; $A8,$B:$B = 12)),0) + sum($D8:$N8)"),12061.0)</f>
        <v>12061</v>
      </c>
      <c r="Q8" s="92">
        <f t="shared" si="1"/>
        <v>0</v>
      </c>
      <c r="R8" s="91">
        <f t="array" ref="R8">IFERROR(INDEX('Fund YTD Target Values'!$1:$1000, MATCH($C8,'Fund YTD Target Values'!$A:$A,0), MATCH($A8,'Fund YTD Target Values'!$1:$1,0)),0)</f>
        <v>11540.75</v>
      </c>
      <c r="S8" s="91">
        <f>IFERROR(__xludf.DUMMYFUNCTION("IFERROR(sum(FILTER('Fund Investment Data'!$V:$V, 'Fund Investment Data'!$C:$C = $C8, 'Fund Investment Data'!$A:$A &lt; $A8)),0) + IFERROR(sum(FILTER('Fund Investment Data'!$V:$V, 'Fund Investment Data'!$C:$C = $C8, 'Fund Investment Data'!$A:$A = $A8, 'Fund I"&amp;"nvestment Data'!$B:$B &lt;= $B8)),0)"),11540.75)</f>
        <v>11540.75</v>
      </c>
      <c r="T8" s="32"/>
      <c r="U8" s="32"/>
      <c r="V8" s="32">
        <f>IFERROR(__xludf.DUMMYFUNCTION("$D8 - IFERROR(FILTER($D:$D,$C:$C = $C8, $A:$A = $A8, $B:$B = $B8 - 1),0)"),11540.75)</f>
        <v>11540.75</v>
      </c>
      <c r="W8" s="93">
        <f>IFERROR(__xludf.DUMMYFUNCTION("$E8 - IFERROR(FILTER($E:$E,$C:$C = $C8, $A:$A = $A8, $B:$B = $B8 - 1),0)"),0.0)</f>
        <v>0</v>
      </c>
      <c r="X8" s="93"/>
      <c r="Y8" s="93"/>
      <c r="Z8" s="93">
        <v>0.0</v>
      </c>
      <c r="AA8" s="93">
        <v>0.0</v>
      </c>
      <c r="AB8" s="93">
        <v>0.0</v>
      </c>
      <c r="AC8" s="93"/>
      <c r="AD8" s="93">
        <v>0.0</v>
      </c>
      <c r="AE8" s="32">
        <f t="shared" si="2"/>
        <v>0</v>
      </c>
      <c r="AF8" s="93">
        <v>0.0</v>
      </c>
    </row>
    <row r="9">
      <c r="A9" s="86">
        <v>1996.0</v>
      </c>
      <c r="B9" s="87">
        <v>12.0</v>
      </c>
      <c r="C9" s="88" t="s">
        <v>32</v>
      </c>
      <c r="D9" s="93">
        <v>48839.04</v>
      </c>
      <c r="E9" s="93">
        <v>-2000.0</v>
      </c>
      <c r="F9" s="93"/>
      <c r="G9" s="93">
        <v>-77.0</v>
      </c>
      <c r="H9" s="93">
        <v>2839.96</v>
      </c>
      <c r="I9" s="32"/>
      <c r="J9" s="93">
        <v>-362.0</v>
      </c>
      <c r="K9" s="32"/>
      <c r="L9" s="93">
        <v>-269.0</v>
      </c>
      <c r="M9" s="93">
        <v>-18.0</v>
      </c>
      <c r="N9" s="32"/>
      <c r="O9" s="93">
        <v>48953.0</v>
      </c>
      <c r="P9" s="91">
        <f>IFERROR(__xludf.DUMMYFUNCTION("IFERROR(sum(FILTER($D:$N,$C:$C = $C9,$A:$A &lt; $A9,$B:$B = 12)),0) + sum($D9:$N9)"),48953.0)</f>
        <v>48953</v>
      </c>
      <c r="Q9" s="92">
        <f t="shared" si="1"/>
        <v>0</v>
      </c>
      <c r="R9" s="91">
        <f t="array" ref="R9">IFERROR(INDEX('Fund YTD Target Values'!$1:$1000, MATCH($C9,'Fund YTD Target Values'!$A:$A,0), MATCH($A9,'Fund YTD Target Values'!$1:$1,0)),0)</f>
        <v>48839.04</v>
      </c>
      <c r="S9" s="91">
        <f>IFERROR(__xludf.DUMMYFUNCTION("IFERROR(sum(FILTER('Fund Investment Data'!$V:$V, 'Fund Investment Data'!$C:$C = $C9, 'Fund Investment Data'!$A:$A &lt; $A9)),0) + IFERROR(sum(FILTER('Fund Investment Data'!$V:$V, 'Fund Investment Data'!$C:$C = $C9, 'Fund Investment Data'!$A:$A = $A9, 'Fund I"&amp;"nvestment Data'!$B:$B &lt;= $B9)),0)"),48839.04)</f>
        <v>48839.04</v>
      </c>
      <c r="T9" s="32"/>
      <c r="U9" s="32"/>
      <c r="V9" s="32">
        <f>IFERROR(__xludf.DUMMYFUNCTION("$D9 - IFERROR(FILTER($D:$D,$C:$C = $C9, $A:$A = $A9, $B:$B = $B9 - 1),0)"),48839.04)</f>
        <v>48839.04</v>
      </c>
      <c r="W9" s="93">
        <f>IFERROR(__xludf.DUMMYFUNCTION("$E9 - IFERROR(FILTER($E:$E,$C:$C = $C9, $A:$A = $A9, $B:$B = $B9 - 1),0)"),-2000.0)</f>
        <v>-2000</v>
      </c>
      <c r="X9" s="93"/>
      <c r="Y9" s="93"/>
      <c r="Z9" s="93">
        <v>0.0</v>
      </c>
      <c r="AA9" s="93">
        <v>0.0</v>
      </c>
      <c r="AB9" s="93">
        <v>0.0</v>
      </c>
      <c r="AC9" s="93"/>
      <c r="AD9" s="93">
        <v>0.0</v>
      </c>
      <c r="AE9" s="32">
        <f t="shared" si="2"/>
        <v>-2000</v>
      </c>
      <c r="AF9" s="93">
        <v>0.0</v>
      </c>
    </row>
    <row r="10">
      <c r="A10" s="86">
        <v>1996.0</v>
      </c>
      <c r="B10" s="87">
        <v>12.0</v>
      </c>
      <c r="C10" s="88" t="s">
        <v>48</v>
      </c>
      <c r="D10" s="93">
        <v>1183929.39</v>
      </c>
      <c r="E10" s="93">
        <v>-61000.0</v>
      </c>
      <c r="F10" s="93"/>
      <c r="G10" s="93">
        <v>-1881.0</v>
      </c>
      <c r="H10" s="93">
        <v>69250.61</v>
      </c>
      <c r="I10" s="32"/>
      <c r="J10" s="93">
        <v>-9878.0</v>
      </c>
      <c r="K10" s="32"/>
      <c r="L10" s="93">
        <v>-8027.0</v>
      </c>
      <c r="M10" s="93">
        <v>-256.0</v>
      </c>
      <c r="N10" s="32"/>
      <c r="O10" s="93">
        <v>1172138.0</v>
      </c>
      <c r="P10" s="91">
        <f>IFERROR(__xludf.DUMMYFUNCTION("IFERROR(sum(FILTER($D:$N,$C:$C = $C10,$A:$A &lt; $A10,$B:$B = 12)),0) + sum($D10:$N10)"),1172138.0)</f>
        <v>1172138</v>
      </c>
      <c r="Q10" s="92">
        <f t="shared" si="1"/>
        <v>0</v>
      </c>
      <c r="R10" s="91">
        <f t="array" ref="R10">IFERROR(INDEX('Fund YTD Target Values'!$1:$1000, MATCH($C10,'Fund YTD Target Values'!$A:$A,0), MATCH($A10,'Fund YTD Target Values'!$1:$1,0)),0)</f>
        <v>1183929.39</v>
      </c>
      <c r="S10" s="91">
        <f>IFERROR(__xludf.DUMMYFUNCTION("IFERROR(sum(FILTER('Fund Investment Data'!$V:$V, 'Fund Investment Data'!$C:$C = $C10, 'Fund Investment Data'!$A:$A &lt; $A10)),0) + IFERROR(sum(FILTER('Fund Investment Data'!$V:$V, 'Fund Investment Data'!$C:$C = $C10, 'Fund Investment Data'!$A:$A = $A10, 'Fu"&amp;"nd Investment Data'!$B:$B &lt;= $B10)),0)"),1183929.39)</f>
        <v>1183929.39</v>
      </c>
      <c r="T10" s="93">
        <v>1140040.0</v>
      </c>
      <c r="U10" s="32">
        <f>S10-T10</f>
        <v>43889.39</v>
      </c>
      <c r="V10" s="32">
        <f>IFERROR(__xludf.DUMMYFUNCTION("$D10 - IFERROR(FILTER($D:$D,$C:$C = $C10, $A:$A = $A10, $B:$B = $B10 - 1),0)"),1183929.39)</f>
        <v>1183929.39</v>
      </c>
      <c r="W10" s="93">
        <f>IFERROR(__xludf.DUMMYFUNCTION("$E10 - IFERROR(FILTER($E:$E,$C:$C = $C10, $A:$A = $A10, $B:$B = $B10 - 1),0)"),-61000.0)</f>
        <v>-61000</v>
      </c>
      <c r="X10" s="93"/>
      <c r="Y10" s="93"/>
      <c r="Z10" s="93">
        <v>0.0</v>
      </c>
      <c r="AA10" s="93">
        <v>0.0</v>
      </c>
      <c r="AB10" s="93">
        <v>0.0</v>
      </c>
      <c r="AC10" s="93"/>
      <c r="AD10" s="93">
        <v>0.0</v>
      </c>
      <c r="AE10" s="32">
        <f t="shared" si="2"/>
        <v>-61000</v>
      </c>
      <c r="AF10" s="93">
        <v>0.0</v>
      </c>
    </row>
    <row r="11">
      <c r="A11" s="86">
        <v>1996.0</v>
      </c>
      <c r="B11" s="87">
        <v>12.0</v>
      </c>
      <c r="C11" s="88" t="s">
        <v>54</v>
      </c>
      <c r="D11" s="93">
        <v>38360.45</v>
      </c>
      <c r="E11" s="93">
        <v>-4000.0</v>
      </c>
      <c r="F11" s="93"/>
      <c r="G11" s="93">
        <v>-58.0</v>
      </c>
      <c r="H11" s="93">
        <v>2147.55</v>
      </c>
      <c r="I11" s="32"/>
      <c r="J11" s="93">
        <v>-297.0</v>
      </c>
      <c r="K11" s="32"/>
      <c r="L11" s="93">
        <v>-235.0</v>
      </c>
      <c r="M11" s="93">
        <v>-13.0</v>
      </c>
      <c r="N11" s="32"/>
      <c r="O11" s="93">
        <v>35905.0</v>
      </c>
      <c r="P11" s="91">
        <f>IFERROR(__xludf.DUMMYFUNCTION("IFERROR(sum(FILTER($D:$N,$C:$C = $C11,$A:$A &lt; $A11,$B:$B = 12)),0) + sum($D11:$N11)"),35905.0)</f>
        <v>35905</v>
      </c>
      <c r="Q11" s="92">
        <f t="shared" si="1"/>
        <v>0</v>
      </c>
      <c r="R11" s="91">
        <f t="array" ref="R11">IFERROR(INDEX('Fund YTD Target Values'!$1:$1000, MATCH($C11,'Fund YTD Target Values'!$A:$A,0), MATCH($A11,'Fund YTD Target Values'!$1:$1,0)),0)</f>
        <v>38360.45</v>
      </c>
      <c r="S11" s="91">
        <f>IFERROR(__xludf.DUMMYFUNCTION("IFERROR(sum(FILTER('Fund Investment Data'!$V:$V, 'Fund Investment Data'!$C:$C = $C11, 'Fund Investment Data'!$A:$A &lt; $A11)),0) + IFERROR(sum(FILTER('Fund Investment Data'!$V:$V, 'Fund Investment Data'!$C:$C = $C11, 'Fund Investment Data'!$A:$A = $A11, 'Fu"&amp;"nd Investment Data'!$B:$B &lt;= $B11)),0)"),38360.45)</f>
        <v>38360.45</v>
      </c>
      <c r="T11" s="32"/>
      <c r="U11" s="32"/>
      <c r="V11" s="32">
        <f>IFERROR(__xludf.DUMMYFUNCTION("$D11 - IFERROR(FILTER($D:$D,$C:$C = $C11, $A:$A = $A11, $B:$B = $B11 - 1),0)"),38360.45)</f>
        <v>38360.45</v>
      </c>
      <c r="W11" s="93">
        <f>IFERROR(__xludf.DUMMYFUNCTION("$E11 - IFERROR(FILTER($E:$E,$C:$C = $C11, $A:$A = $A11, $B:$B = $B11 - 1),0)"),-4000.0)</f>
        <v>-4000</v>
      </c>
      <c r="X11" s="93"/>
      <c r="Y11" s="93"/>
      <c r="Z11" s="93">
        <v>0.0</v>
      </c>
      <c r="AA11" s="93">
        <v>0.0</v>
      </c>
      <c r="AB11" s="93">
        <v>0.0</v>
      </c>
      <c r="AC11" s="93"/>
      <c r="AD11" s="93">
        <v>0.0</v>
      </c>
      <c r="AE11" s="32">
        <f t="shared" si="2"/>
        <v>-4000</v>
      </c>
      <c r="AF11" s="93">
        <v>0.0</v>
      </c>
    </row>
    <row r="12">
      <c r="A12" s="86">
        <v>1996.0</v>
      </c>
      <c r="B12" s="87">
        <v>12.0</v>
      </c>
      <c r="C12" s="88" t="s">
        <v>35</v>
      </c>
      <c r="D12" s="32"/>
      <c r="E12" s="93">
        <v>-13000.0</v>
      </c>
      <c r="F12" s="93"/>
      <c r="G12" s="93">
        <v>-423.0</v>
      </c>
      <c r="H12" s="93">
        <v>15619.18</v>
      </c>
      <c r="I12" s="32"/>
      <c r="J12" s="93">
        <v>-2132.0</v>
      </c>
      <c r="K12" s="32"/>
      <c r="L12" s="93">
        <v>-1669.0</v>
      </c>
      <c r="M12" s="93">
        <v>-56.0</v>
      </c>
      <c r="N12" s="32"/>
      <c r="O12" s="93">
        <v>264182.0</v>
      </c>
      <c r="P12" s="91">
        <f>IFERROR(__xludf.DUMMYFUNCTION("IFERROR(sum(FILTER($D:$N,$C:$C = $C12,$A:$A &lt; $A12,$B:$B = 12)),0) + sum($D12:$N12)"),264182.0)</f>
        <v>264182</v>
      </c>
      <c r="Q12" s="92">
        <f t="shared" si="1"/>
        <v>0</v>
      </c>
      <c r="R12" s="91">
        <f t="array" ref="R12">IFERROR(INDEX('Fund YTD Target Values'!$1:$1000, MATCH($C12,'Fund YTD Target Values'!$A:$A,0), MATCH($A12,'Fund YTD Target Values'!$1:$1,0)),0)</f>
        <v>279460.6459</v>
      </c>
      <c r="S12" s="91">
        <f>IFERROR(__xludf.DUMMYFUNCTION("IFERROR(sum(FILTER('Fund Investment Data'!$V:$V, 'Fund Investment Data'!$C:$C = $C12, 'Fund Investment Data'!$A:$A &lt; $A12)),0) + IFERROR(sum(FILTER('Fund Investment Data'!$V:$V, 'Fund Investment Data'!$C:$C = $C12, 'Fund Investment Data'!$A:$A = $A12, 'Fu"&amp;"nd Investment Data'!$B:$B &lt;= $B12)),0)"),250000.0)</f>
        <v>250000</v>
      </c>
      <c r="T12" s="32"/>
      <c r="U12" s="32"/>
      <c r="V12" s="32">
        <f>IFERROR(__xludf.DUMMYFUNCTION("$D12 - IFERROR(FILTER($D:$D,$C:$C = $C12, $A:$A = $A12, $B:$B = $B12 - 1),0)"),0.0)</f>
        <v>0</v>
      </c>
      <c r="W12" s="93">
        <f>IFERROR(__xludf.DUMMYFUNCTION("$E12 - IFERROR(FILTER($E:$E,$C:$C = $C12, $A:$A = $A12, $B:$B = $B12 - 1),0)"),-13000.0)</f>
        <v>-13000</v>
      </c>
      <c r="X12" s="93"/>
      <c r="Y12" s="93"/>
      <c r="Z12" s="93">
        <v>0.0</v>
      </c>
      <c r="AA12" s="93">
        <v>0.0</v>
      </c>
      <c r="AB12" s="93">
        <v>0.0</v>
      </c>
      <c r="AC12" s="93"/>
      <c r="AD12" s="93">
        <v>0.0</v>
      </c>
      <c r="AE12" s="32">
        <f t="shared" si="2"/>
        <v>-13000</v>
      </c>
      <c r="AF12" s="93">
        <v>0.0</v>
      </c>
    </row>
    <row r="13">
      <c r="A13" s="86">
        <v>1997.0</v>
      </c>
      <c r="B13" s="87">
        <v>12.0</v>
      </c>
      <c r="C13" s="88" t="s">
        <v>27</v>
      </c>
      <c r="D13" s="93"/>
      <c r="E13" s="93">
        <v>-2500.0</v>
      </c>
      <c r="F13" s="93"/>
      <c r="G13" s="32"/>
      <c r="H13" s="93">
        <v>3099.99</v>
      </c>
      <c r="I13" s="93">
        <v>51.45</v>
      </c>
      <c r="J13" s="93">
        <v>10959.0</v>
      </c>
      <c r="K13" s="93"/>
      <c r="L13" s="93">
        <v>-180.58</v>
      </c>
      <c r="M13" s="93">
        <v>-4.0</v>
      </c>
      <c r="N13" s="93">
        <v>1969.62</v>
      </c>
      <c r="O13" s="93">
        <v>94132.0</v>
      </c>
      <c r="P13" s="91">
        <f>IFERROR(__xludf.DUMMYFUNCTION("IFERROR(sum(FILTER($D:$N,$C:$C = $C13,$A:$A &lt; $A13,$B:$B = 12)),0) + sum($D13:$N13)"),94132.48)</f>
        <v>94132.48</v>
      </c>
      <c r="Q13" s="92">
        <f t="shared" si="1"/>
        <v>-0.48</v>
      </c>
      <c r="R13" s="91">
        <f t="array" ref="R13">IFERROR(INDEX('Fund YTD Target Values'!$1:$1000, MATCH($C13,'Fund YTD Target Values'!$A:$A,0), MATCH($A13,'Fund YTD Target Values'!$1:$1,0)),0)</f>
        <v>82178.80461</v>
      </c>
      <c r="S13" s="91">
        <f>IFERROR(__xludf.DUMMYFUNCTION("IFERROR(sum(FILTER('Fund Investment Data'!$V:$V, 'Fund Investment Data'!$C:$C = $C13, 'Fund Investment Data'!$A:$A &lt; $A13)),0) + IFERROR(sum(FILTER('Fund Investment Data'!$V:$V, 'Fund Investment Data'!$C:$C = $C13, 'Fund Investment Data'!$A:$A = $A13, 'Fu"&amp;"nd Investment Data'!$B:$B &lt;= $B13)),0)"),80299.0)</f>
        <v>80299</v>
      </c>
      <c r="T13" s="32"/>
      <c r="U13" s="32"/>
      <c r="V13" s="32">
        <f>IFERROR(__xludf.DUMMYFUNCTION("$D13 - IFERROR(FILTER($D:$D,$C:$C = $C13, $A:$A = $A13, $B:$B = $B13 - 1),0)"),0.0)</f>
        <v>0</v>
      </c>
      <c r="W13" s="93">
        <f>IFERROR(__xludf.DUMMYFUNCTION("$E13 - IFERROR(FILTER($E:$E,$C:$C = $C13, $A:$A = $A13, $B:$B = $B13 - 1),0)"),-2500.0)</f>
        <v>-2500</v>
      </c>
      <c r="X13" s="93"/>
      <c r="Y13" s="93"/>
      <c r="Z13" s="93">
        <v>0.0</v>
      </c>
      <c r="AA13" s="93">
        <v>0.0</v>
      </c>
      <c r="AB13" s="93">
        <v>0.0</v>
      </c>
      <c r="AC13" s="93"/>
      <c r="AD13" s="93">
        <v>0.0</v>
      </c>
      <c r="AE13" s="32">
        <f t="shared" si="2"/>
        <v>-2500</v>
      </c>
      <c r="AF13" s="93">
        <v>0.0</v>
      </c>
    </row>
    <row r="14">
      <c r="A14" s="86">
        <v>1997.0</v>
      </c>
      <c r="B14" s="87">
        <v>12.0</v>
      </c>
      <c r="C14" s="88" t="s">
        <v>36</v>
      </c>
      <c r="D14" s="32"/>
      <c r="E14" s="93">
        <v>-8300.0</v>
      </c>
      <c r="F14" s="93"/>
      <c r="G14" s="32"/>
      <c r="H14" s="93">
        <v>10338.65</v>
      </c>
      <c r="I14" s="93">
        <v>383.46</v>
      </c>
      <c r="J14" s="93">
        <v>36419.0</v>
      </c>
      <c r="K14" s="93"/>
      <c r="L14" s="93">
        <v>-604.06</v>
      </c>
      <c r="M14" s="93">
        <v>-13.0</v>
      </c>
      <c r="N14" s="93">
        <v>6535.09</v>
      </c>
      <c r="O14" s="93">
        <v>312105.0</v>
      </c>
      <c r="P14" s="91">
        <f>IFERROR(__xludf.DUMMYFUNCTION("IFERROR(sum(FILTER($D:$N,$C:$C = $C14,$A:$A &lt; $A14,$B:$B = 12)),0) + sum($D14:$N14)"),312105.14)</f>
        <v>312105.14</v>
      </c>
      <c r="Q14" s="92">
        <f t="shared" si="1"/>
        <v>-0.14</v>
      </c>
      <c r="R14" s="91">
        <f t="array" ref="R14">IFERROR(INDEX('Fund YTD Target Values'!$1:$1000, MATCH($C14,'Fund YTD Target Values'!$A:$A,0), MATCH($A14,'Fund YTD Target Values'!$1:$1,0)),0)</f>
        <v>275161.4389</v>
      </c>
      <c r="S14" s="91">
        <f>IFERROR(__xludf.DUMMYFUNCTION("IFERROR(sum(FILTER('Fund Investment Data'!$V:$V, 'Fund Investment Data'!$C:$C = $C14, 'Fund Investment Data'!$A:$A &lt; $A14)),0) + IFERROR(sum(FILTER('Fund Investment Data'!$V:$V, 'Fund Investment Data'!$C:$C = $C14, 'Fund Investment Data'!$A:$A = $A14, 'Fu"&amp;"nd Investment Data'!$B:$B &lt;= $B14)),0)"),268867.24)</f>
        <v>268867.24</v>
      </c>
      <c r="T14" s="32"/>
      <c r="U14" s="32"/>
      <c r="V14" s="32">
        <f>IFERROR(__xludf.DUMMYFUNCTION("$D14 - IFERROR(FILTER($D:$D,$C:$C = $C14, $A:$A = $A14, $B:$B = $B14 - 1),0)"),0.0)</f>
        <v>0</v>
      </c>
      <c r="W14" s="93">
        <f>IFERROR(__xludf.DUMMYFUNCTION("$E14 - IFERROR(FILTER($E:$E,$C:$C = $C14, $A:$A = $A14, $B:$B = $B14 - 1),0)"),-8300.0)</f>
        <v>-8300</v>
      </c>
      <c r="X14" s="93"/>
      <c r="Y14" s="93"/>
      <c r="Z14" s="93">
        <v>0.0</v>
      </c>
      <c r="AA14" s="93">
        <v>0.0</v>
      </c>
      <c r="AB14" s="93">
        <v>0.0</v>
      </c>
      <c r="AC14" s="93"/>
      <c r="AD14" s="93">
        <v>0.0</v>
      </c>
      <c r="AE14" s="32">
        <f t="shared" si="2"/>
        <v>-8300</v>
      </c>
      <c r="AF14" s="93">
        <v>0.0</v>
      </c>
    </row>
    <row r="15">
      <c r="A15" s="86">
        <v>1997.0</v>
      </c>
      <c r="B15" s="87">
        <v>12.0</v>
      </c>
      <c r="C15" s="88" t="s">
        <v>30</v>
      </c>
      <c r="D15" s="32"/>
      <c r="E15" s="32"/>
      <c r="F15" s="93"/>
      <c r="G15" s="32"/>
      <c r="H15" s="93">
        <v>473.7</v>
      </c>
      <c r="I15" s="93">
        <v>9.44</v>
      </c>
      <c r="J15" s="93">
        <v>1660.0</v>
      </c>
      <c r="K15" s="93"/>
      <c r="L15" s="93">
        <v>-27.45</v>
      </c>
      <c r="M15" s="93">
        <v>-2.0</v>
      </c>
      <c r="N15" s="93">
        <v>299.56</v>
      </c>
      <c r="O15" s="93">
        <v>14474.0</v>
      </c>
      <c r="P15" s="91">
        <f>IFERROR(__xludf.DUMMYFUNCTION("IFERROR(sum(FILTER($D:$N,$C:$C = $C15,$A:$A &lt; $A15,$B:$B = 12)),0) + sum($D15:$N15)"),14474.25)</f>
        <v>14474.25</v>
      </c>
      <c r="Q15" s="92">
        <f t="shared" si="1"/>
        <v>-0.25</v>
      </c>
      <c r="R15" s="91">
        <f t="array" ref="R15">IFERROR(INDEX('Fund YTD Target Values'!$1:$1000, MATCH($C15,'Fund YTD Target Values'!$A:$A,0), MATCH($A15,'Fund YTD Target Values'!$1:$1,0)),0)</f>
        <v>11810.91968</v>
      </c>
      <c r="S15" s="91">
        <f>IFERROR(__xludf.DUMMYFUNCTION("IFERROR(sum(FILTER('Fund Investment Data'!$V:$V, 'Fund Investment Data'!$C:$C = $C15, 'Fund Investment Data'!$A:$A &lt; $A15)),0) + IFERROR(sum(FILTER('Fund Investment Data'!$V:$V, 'Fund Investment Data'!$C:$C = $C15, 'Fund Investment Data'!$A:$A = $A15, 'Fu"&amp;"nd Investment Data'!$B:$B &lt;= $B15)),0)"),11540.75)</f>
        <v>11540.75</v>
      </c>
      <c r="T15" s="32"/>
      <c r="U15" s="32"/>
      <c r="V15" s="32">
        <f>IFERROR(__xludf.DUMMYFUNCTION("$D15 - IFERROR(FILTER($D:$D,$C:$C = $C15, $A:$A = $A15, $B:$B = $B15 - 1),0)"),0.0)</f>
        <v>0</v>
      </c>
      <c r="W15" s="93">
        <f>IFERROR(__xludf.DUMMYFUNCTION("$E15 - IFERROR(FILTER($E:$E,$C:$C = $C15, $A:$A = $A15, $B:$B = $B15 - 1),0)"),0.0)</f>
        <v>0</v>
      </c>
      <c r="X15" s="93"/>
      <c r="Y15" s="93"/>
      <c r="Z15" s="93">
        <v>0.0</v>
      </c>
      <c r="AA15" s="93">
        <v>0.0</v>
      </c>
      <c r="AB15" s="93">
        <v>0.0</v>
      </c>
      <c r="AC15" s="93"/>
      <c r="AD15" s="93">
        <v>0.0</v>
      </c>
      <c r="AE15" s="32">
        <f t="shared" si="2"/>
        <v>0</v>
      </c>
      <c r="AF15" s="93">
        <v>0.0</v>
      </c>
    </row>
    <row r="16">
      <c r="A16" s="86">
        <v>1997.0</v>
      </c>
      <c r="B16" s="87">
        <v>12.0</v>
      </c>
      <c r="C16" s="88" t="s">
        <v>32</v>
      </c>
      <c r="D16" s="93">
        <v>610.0</v>
      </c>
      <c r="E16" s="93">
        <v>-1500.0</v>
      </c>
      <c r="F16" s="93"/>
      <c r="G16" s="32"/>
      <c r="H16" s="93">
        <v>1934.67</v>
      </c>
      <c r="I16" s="93">
        <v>123.51</v>
      </c>
      <c r="J16" s="93">
        <v>6742.0</v>
      </c>
      <c r="K16" s="93"/>
      <c r="L16" s="93">
        <v>-112.87</v>
      </c>
      <c r="M16" s="93">
        <v>-8.0</v>
      </c>
      <c r="N16" s="93">
        <v>1209.24</v>
      </c>
      <c r="O16" s="93">
        <v>57952.0</v>
      </c>
      <c r="P16" s="91">
        <f>IFERROR(__xludf.DUMMYFUNCTION("IFERROR(sum(FILTER($D:$N,$C:$C = $C16,$A:$A &lt; $A16,$B:$B = 12)),0) + sum($D16:$N16)"),57951.55)</f>
        <v>57951.55</v>
      </c>
      <c r="Q16" s="92">
        <f t="shared" si="1"/>
        <v>0.45</v>
      </c>
      <c r="R16" s="91">
        <f t="array" ref="R16">IFERROR(INDEX('Fund YTD Target Values'!$1:$1000, MATCH($C16,'Fund YTD Target Values'!$A:$A,0), MATCH($A16,'Fund YTD Target Values'!$1:$1,0)),0)</f>
        <v>50592.36498</v>
      </c>
      <c r="S16" s="91">
        <f>IFERROR(__xludf.DUMMYFUNCTION("IFERROR(sum(FILTER('Fund Investment Data'!$V:$V, 'Fund Investment Data'!$C:$C = $C16, 'Fund Investment Data'!$A:$A &lt; $A16)),0) + IFERROR(sum(FILTER('Fund Investment Data'!$V:$V, 'Fund Investment Data'!$C:$C = $C16, 'Fund Investment Data'!$A:$A = $A16, 'Fu"&amp;"nd Investment Data'!$B:$B &lt;= $B16)),0)"),49449.04)</f>
        <v>49449.04</v>
      </c>
      <c r="T16" s="32"/>
      <c r="U16" s="32"/>
      <c r="V16" s="32">
        <f>IFERROR(__xludf.DUMMYFUNCTION("$D16 - IFERROR(FILTER($D:$D,$C:$C = $C16, $A:$A = $A16, $B:$B = $B16 - 1),0)"),610.0)</f>
        <v>610</v>
      </c>
      <c r="W16" s="93">
        <f>IFERROR(__xludf.DUMMYFUNCTION("$E16 - IFERROR(FILTER($E:$E,$C:$C = $C16, $A:$A = $A16, $B:$B = $B16 - 1),0)"),-1500.0)</f>
        <v>-1500</v>
      </c>
      <c r="X16" s="93"/>
      <c r="Y16" s="93"/>
      <c r="Z16" s="93">
        <v>0.0</v>
      </c>
      <c r="AA16" s="93">
        <v>0.0</v>
      </c>
      <c r="AB16" s="93">
        <v>0.0</v>
      </c>
      <c r="AC16" s="93"/>
      <c r="AD16" s="93">
        <v>0.0</v>
      </c>
      <c r="AE16" s="32">
        <f t="shared" si="2"/>
        <v>-1500</v>
      </c>
      <c r="AF16" s="93">
        <v>0.0</v>
      </c>
    </row>
    <row r="17">
      <c r="A17" s="86">
        <v>1997.0</v>
      </c>
      <c r="B17" s="87">
        <v>12.0</v>
      </c>
      <c r="C17" s="88" t="s">
        <v>48</v>
      </c>
      <c r="D17" s="32"/>
      <c r="E17" s="93">
        <v>-41000.0</v>
      </c>
      <c r="F17" s="93"/>
      <c r="G17" s="93">
        <v>-3000.0</v>
      </c>
      <c r="H17" s="93">
        <v>45430.52</v>
      </c>
      <c r="I17" s="93">
        <v>3080.33</v>
      </c>
      <c r="J17" s="93">
        <v>158539.0</v>
      </c>
      <c r="K17" s="93"/>
      <c r="L17" s="93">
        <v>-2662.49</v>
      </c>
      <c r="M17" s="93">
        <v>-102.0</v>
      </c>
      <c r="N17" s="93">
        <v>28391.42</v>
      </c>
      <c r="O17" s="93">
        <v>1360815.0</v>
      </c>
      <c r="P17" s="91">
        <f>IFERROR(__xludf.DUMMYFUNCTION("IFERROR(sum(FILTER($D:$N,$C:$C = $C17,$A:$A &lt; $A17,$B:$B = 12)),0) + sum($D17:$N17)"),1360814.78)</f>
        <v>1360814.78</v>
      </c>
      <c r="Q17" s="92">
        <f t="shared" si="1"/>
        <v>0.22</v>
      </c>
      <c r="R17" s="91">
        <f t="array" ref="R17">IFERROR(INDEX('Fund YTD Target Values'!$1:$1000, MATCH($C17,'Fund YTD Target Values'!$A:$A,0), MATCH($A17,'Fund YTD Target Values'!$1:$1,0)),0)</f>
        <v>1211645.251</v>
      </c>
      <c r="S17" s="91">
        <f>IFERROR(__xludf.DUMMYFUNCTION("IFERROR(sum(FILTER('Fund Investment Data'!$V:$V, 'Fund Investment Data'!$C:$C = $C17, 'Fund Investment Data'!$A:$A &lt; $A17)),0) + IFERROR(sum(FILTER('Fund Investment Data'!$V:$V, 'Fund Investment Data'!$C:$C = $C17, 'Fund Investment Data'!$A:$A = $A17, 'Fu"&amp;"nd Investment Data'!$B:$B &lt;= $B17)),0)"),1183929.39)</f>
        <v>1183929.39</v>
      </c>
      <c r="T17" s="93">
        <v>1140040.0</v>
      </c>
      <c r="U17" s="32">
        <f>S17-T17</f>
        <v>43889.39</v>
      </c>
      <c r="V17" s="32">
        <f>IFERROR(__xludf.DUMMYFUNCTION("$D17 - IFERROR(FILTER($D:$D,$C:$C = $C17, $A:$A = $A17, $B:$B = $B17 - 1),0)"),0.0)</f>
        <v>0</v>
      </c>
      <c r="W17" s="93">
        <f>IFERROR(__xludf.DUMMYFUNCTION("$E17 - IFERROR(FILTER($E:$E,$C:$C = $C17, $A:$A = $A17, $B:$B = $B17 - 1),0)"),-41000.0)</f>
        <v>-41000</v>
      </c>
      <c r="X17" s="93"/>
      <c r="Y17" s="93"/>
      <c r="Z17" s="93">
        <v>0.0</v>
      </c>
      <c r="AA17" s="93">
        <v>0.0</v>
      </c>
      <c r="AB17" s="93">
        <v>0.0</v>
      </c>
      <c r="AC17" s="93"/>
      <c r="AD17" s="93">
        <v>0.0</v>
      </c>
      <c r="AE17" s="32">
        <f t="shared" si="2"/>
        <v>-41000</v>
      </c>
      <c r="AF17" s="93">
        <v>0.0</v>
      </c>
    </row>
    <row r="18">
      <c r="A18" s="86">
        <v>1997.0</v>
      </c>
      <c r="B18" s="87">
        <v>12.0</v>
      </c>
      <c r="C18" s="88" t="s">
        <v>54</v>
      </c>
      <c r="D18" s="93">
        <v>8355.0</v>
      </c>
      <c r="E18" s="32"/>
      <c r="F18" s="93"/>
      <c r="G18" s="32"/>
      <c r="H18" s="93">
        <v>1551.34</v>
      </c>
      <c r="I18" s="93">
        <v>22.71</v>
      </c>
      <c r="J18" s="93">
        <v>5279.0</v>
      </c>
      <c r="K18" s="93"/>
      <c r="L18" s="93">
        <v>-72.29</v>
      </c>
      <c r="M18" s="93">
        <v>18.0</v>
      </c>
      <c r="N18" s="93">
        <v>1014.59</v>
      </c>
      <c r="O18" s="93">
        <v>52073.0</v>
      </c>
      <c r="P18" s="91">
        <f>IFERROR(__xludf.DUMMYFUNCTION("IFERROR(sum(FILTER($D:$N,$C:$C = $C18,$A:$A &lt; $A18,$B:$B = 12)),0) + sum($D18:$N18)"),52073.35)</f>
        <v>52073.35</v>
      </c>
      <c r="Q18" s="92">
        <f t="shared" si="1"/>
        <v>-0.35</v>
      </c>
      <c r="R18" s="91">
        <f t="array" ref="R18">IFERROR(INDEX('Fund YTD Target Values'!$1:$1000, MATCH($C18,'Fund YTD Target Values'!$A:$A,0), MATCH($A18,'Fund YTD Target Values'!$1:$1,0)),0)</f>
        <v>47613.47053</v>
      </c>
      <c r="S18" s="91">
        <f>IFERROR(__xludf.DUMMYFUNCTION("IFERROR(sum(FILTER('Fund Investment Data'!$V:$V, 'Fund Investment Data'!$C:$C = $C18, 'Fund Investment Data'!$A:$A &lt; $A18)),0) + IFERROR(sum(FILTER('Fund Investment Data'!$V:$V, 'Fund Investment Data'!$C:$C = $C18, 'Fund Investment Data'!$A:$A = $A18, 'Fu"&amp;"nd Investment Data'!$B:$B &lt;= $B18)),0)"),46715.45)</f>
        <v>46715.45</v>
      </c>
      <c r="T18" s="32"/>
      <c r="U18" s="32"/>
      <c r="V18" s="32">
        <f>IFERROR(__xludf.DUMMYFUNCTION("$D18 - IFERROR(FILTER($D:$D,$C:$C = $C18, $A:$A = $A18, $B:$B = $B18 - 1),0)"),8355.0)</f>
        <v>8355</v>
      </c>
      <c r="W18" s="93">
        <f>IFERROR(__xludf.DUMMYFUNCTION("$E18 - IFERROR(FILTER($E:$E,$C:$C = $C18, $A:$A = $A18, $B:$B = $B18 - 1),0)"),0.0)</f>
        <v>0</v>
      </c>
      <c r="X18" s="93"/>
      <c r="Y18" s="93"/>
      <c r="Z18" s="93">
        <v>0.0</v>
      </c>
      <c r="AA18" s="93">
        <v>0.0</v>
      </c>
      <c r="AB18" s="93">
        <v>0.0</v>
      </c>
      <c r="AC18" s="93"/>
      <c r="AD18" s="93">
        <v>0.0</v>
      </c>
      <c r="AE18" s="32">
        <f t="shared" si="2"/>
        <v>0</v>
      </c>
      <c r="AF18" s="93">
        <v>0.0</v>
      </c>
    </row>
    <row r="19">
      <c r="A19" s="86">
        <v>1997.0</v>
      </c>
      <c r="B19" s="87">
        <v>12.0</v>
      </c>
      <c r="C19" s="88" t="s">
        <v>35</v>
      </c>
      <c r="D19" s="32"/>
      <c r="E19" s="93">
        <v>-9000.0</v>
      </c>
      <c r="F19" s="93"/>
      <c r="G19" s="32"/>
      <c r="H19" s="93">
        <v>10217.43</v>
      </c>
      <c r="I19" s="93">
        <v>938.76</v>
      </c>
      <c r="J19" s="93">
        <v>35422.0</v>
      </c>
      <c r="K19" s="93"/>
      <c r="L19" s="93">
        <v>-597.4</v>
      </c>
      <c r="M19" s="93">
        <v>15.0</v>
      </c>
      <c r="N19" s="93">
        <v>6325.84</v>
      </c>
      <c r="O19" s="93">
        <v>307504.0</v>
      </c>
      <c r="P19" s="91">
        <f>IFERROR(__xludf.DUMMYFUNCTION("IFERROR(sum(FILTER($D:$N,$C:$C = $C19,$A:$A &lt; $A19,$B:$B = 12)),0) + sum($D19:$N19)"),307503.63)</f>
        <v>307503.63</v>
      </c>
      <c r="Q19" s="92">
        <f t="shared" si="1"/>
        <v>0.37</v>
      </c>
      <c r="R19" s="91">
        <f t="array" ref="R19">IFERROR(INDEX('Fund YTD Target Values'!$1:$1000, MATCH($C19,'Fund YTD Target Values'!$A:$A,0), MATCH($A19,'Fund YTD Target Values'!$1:$1,0)),0)</f>
        <v>286002.8371</v>
      </c>
      <c r="S19" s="91">
        <f>IFERROR(__xludf.DUMMYFUNCTION("IFERROR(sum(FILTER('Fund Investment Data'!$V:$V, 'Fund Investment Data'!$C:$C = $C19, 'Fund Investment Data'!$A:$A &lt; $A19)),0) + IFERROR(sum(FILTER('Fund Investment Data'!$V:$V, 'Fund Investment Data'!$C:$C = $C19, 'Fund Investment Data'!$A:$A = $A19, 'Fu"&amp;"nd Investment Data'!$B:$B &lt;= $B19)),0)"),250000.0)</f>
        <v>250000</v>
      </c>
      <c r="T19" s="32"/>
      <c r="U19" s="32"/>
      <c r="V19" s="32">
        <f>IFERROR(__xludf.DUMMYFUNCTION("$D19 - IFERROR(FILTER($D:$D,$C:$C = $C19, $A:$A = $A19, $B:$B = $B19 - 1),0)"),0.0)</f>
        <v>0</v>
      </c>
      <c r="W19" s="93">
        <f>IFERROR(__xludf.DUMMYFUNCTION("$E19 - IFERROR(FILTER($E:$E,$C:$C = $C19, $A:$A = $A19, $B:$B = $B19 - 1),0)"),-9000.0)</f>
        <v>-9000</v>
      </c>
      <c r="X19" s="93"/>
      <c r="Y19" s="93"/>
      <c r="Z19" s="93">
        <v>0.0</v>
      </c>
      <c r="AA19" s="93">
        <v>0.0</v>
      </c>
      <c r="AB19" s="93">
        <v>0.0</v>
      </c>
      <c r="AC19" s="93"/>
      <c r="AD19" s="93">
        <v>0.0</v>
      </c>
      <c r="AE19" s="32">
        <f t="shared" si="2"/>
        <v>-9000</v>
      </c>
      <c r="AF19" s="93">
        <v>0.0</v>
      </c>
    </row>
    <row r="20">
      <c r="A20" s="86">
        <v>1998.0</v>
      </c>
      <c r="B20" s="87">
        <v>12.0</v>
      </c>
      <c r="C20" s="88" t="s">
        <v>27</v>
      </c>
      <c r="D20" s="93">
        <v>22714.87</v>
      </c>
      <c r="E20" s="93">
        <v>-2000.0</v>
      </c>
      <c r="F20" s="93"/>
      <c r="G20" s="32"/>
      <c r="H20" s="93">
        <v>3039.91</v>
      </c>
      <c r="I20" s="93">
        <v>2081.03</v>
      </c>
      <c r="J20" s="93">
        <v>5451.28</v>
      </c>
      <c r="K20" s="93"/>
      <c r="L20" s="32"/>
      <c r="M20" s="93">
        <v>49.85</v>
      </c>
      <c r="N20" s="93">
        <v>3732.14</v>
      </c>
      <c r="O20" s="93">
        <v>129201.0</v>
      </c>
      <c r="P20" s="91">
        <f>IFERROR(__xludf.DUMMYFUNCTION("IFERROR(sum(FILTER($D:$N,$C:$C = $C20,$A:$A &lt; $A20,$B:$B = 12)),0) + sum($D20:$N20)"),129201.56)</f>
        <v>129201.56</v>
      </c>
      <c r="Q20" s="92">
        <f t="shared" si="1"/>
        <v>-0.56</v>
      </c>
      <c r="R20" s="91">
        <f t="array" ref="R20">IFERROR(INDEX('Fund YTD Target Values'!$1:$1000, MATCH($C20,'Fund YTD Target Values'!$A:$A,0), MATCH($A20,'Fund YTD Target Values'!$1:$1,0)),0)</f>
        <v>106169.2928</v>
      </c>
      <c r="S20" s="91">
        <f>IFERROR(__xludf.DUMMYFUNCTION("IFERROR(sum(FILTER('Fund Investment Data'!$V:$V, 'Fund Investment Data'!$C:$C = $C20, 'Fund Investment Data'!$A:$A &lt; $A20)),0) + IFERROR(sum(FILTER('Fund Investment Data'!$V:$V, 'Fund Investment Data'!$C:$C = $C20, 'Fund Investment Data'!$A:$A = $A20, 'Fu"&amp;"nd Investment Data'!$B:$B &lt;= $B20)),0)"),103013.87)</f>
        <v>103013.87</v>
      </c>
      <c r="T20" s="32"/>
      <c r="U20" s="32"/>
      <c r="V20" s="32">
        <f>IFERROR(__xludf.DUMMYFUNCTION("$D20 - IFERROR(FILTER($D:$D,$C:$C = $C20, $A:$A = $A20, $B:$B = $B20 - 1),0)"),22714.87)</f>
        <v>22714.87</v>
      </c>
      <c r="W20" s="93">
        <f>IFERROR(__xludf.DUMMYFUNCTION("$E20 - IFERROR(FILTER($E:$E,$C:$C = $C20, $A:$A = $A20, $B:$B = $B20 - 1),0)"),-2000.0)</f>
        <v>-2000</v>
      </c>
      <c r="X20" s="93"/>
      <c r="Y20" s="93"/>
      <c r="Z20" s="93">
        <v>0.0</v>
      </c>
      <c r="AA20" s="93">
        <v>0.0</v>
      </c>
      <c r="AB20" s="93">
        <v>0.0</v>
      </c>
      <c r="AC20" s="93"/>
      <c r="AD20" s="93">
        <v>0.0</v>
      </c>
      <c r="AE20" s="32">
        <f t="shared" si="2"/>
        <v>-2000</v>
      </c>
      <c r="AF20" s="93">
        <v>0.0</v>
      </c>
    </row>
    <row r="21">
      <c r="A21" s="86">
        <v>1998.0</v>
      </c>
      <c r="B21" s="87">
        <v>12.0</v>
      </c>
      <c r="C21" s="88" t="s">
        <v>36</v>
      </c>
      <c r="D21" s="32"/>
      <c r="E21" s="93">
        <v>-6000.0</v>
      </c>
      <c r="F21" s="93"/>
      <c r="G21" s="32"/>
      <c r="H21" s="93">
        <v>10046.9</v>
      </c>
      <c r="I21" s="93">
        <v>7369.87</v>
      </c>
      <c r="J21" s="93">
        <v>17393.07</v>
      </c>
      <c r="K21" s="93"/>
      <c r="L21" s="32"/>
      <c r="M21" s="93">
        <v>3.69</v>
      </c>
      <c r="N21" s="93">
        <v>12217.6</v>
      </c>
      <c r="O21" s="93">
        <v>353136.0</v>
      </c>
      <c r="P21" s="91">
        <f>IFERROR(__xludf.DUMMYFUNCTION("IFERROR(sum(FILTER($D:$N,$C:$C = $C21,$A:$A &lt; $A21,$B:$B = 12)),0) + sum($D21:$N21)"),353136.2700000001)</f>
        <v>353136.27</v>
      </c>
      <c r="Q21" s="92">
        <f t="shared" si="1"/>
        <v>-0.2700000001</v>
      </c>
      <c r="R21" s="91">
        <f t="array" ref="R21">IFERROR(INDEX('Fund YTD Target Values'!$1:$1000, MATCH($C21,'Fund YTD Target Values'!$A:$A,0), MATCH($A21,'Fund YTD Target Values'!$1:$1,0)),0)</f>
        <v>279432.6246</v>
      </c>
      <c r="S21" s="91">
        <f>IFERROR(__xludf.DUMMYFUNCTION("IFERROR(sum(FILTER('Fund Investment Data'!$V:$V, 'Fund Investment Data'!$C:$C = $C21, 'Fund Investment Data'!$A:$A &lt; $A21)),0) + IFERROR(sum(FILTER('Fund Investment Data'!$V:$V, 'Fund Investment Data'!$C:$C = $C21, 'Fund Investment Data'!$A:$A = $A21, 'Fu"&amp;"nd Investment Data'!$B:$B &lt;= $B21)),0)"),268867.24)</f>
        <v>268867.24</v>
      </c>
      <c r="T21" s="32"/>
      <c r="U21" s="32"/>
      <c r="V21" s="32">
        <f>IFERROR(__xludf.DUMMYFUNCTION("$D21 - IFERROR(FILTER($D:$D,$C:$C = $C21, $A:$A = $A21, $B:$B = $B21 - 1),0)"),0.0)</f>
        <v>0</v>
      </c>
      <c r="W21" s="93">
        <f>IFERROR(__xludf.DUMMYFUNCTION("$E21 - IFERROR(FILTER($E:$E,$C:$C = $C21, $A:$A = $A21, $B:$B = $B21 - 1),0)"),-6000.0)</f>
        <v>-6000</v>
      </c>
      <c r="X21" s="93"/>
      <c r="Y21" s="93"/>
      <c r="Z21" s="93">
        <v>0.0</v>
      </c>
      <c r="AA21" s="93">
        <v>0.0</v>
      </c>
      <c r="AB21" s="93">
        <v>0.0</v>
      </c>
      <c r="AC21" s="93"/>
      <c r="AD21" s="93">
        <v>0.0</v>
      </c>
      <c r="AE21" s="32">
        <f t="shared" si="2"/>
        <v>-6000</v>
      </c>
      <c r="AF21" s="93">
        <v>0.0</v>
      </c>
    </row>
    <row r="22">
      <c r="A22" s="86">
        <v>1998.0</v>
      </c>
      <c r="B22" s="87">
        <v>12.0</v>
      </c>
      <c r="C22" s="88" t="s">
        <v>29</v>
      </c>
      <c r="D22" s="93">
        <v>50000.0</v>
      </c>
      <c r="E22" s="32"/>
      <c r="F22" s="93"/>
      <c r="G22" s="32"/>
      <c r="H22" s="93">
        <v>1558.52</v>
      </c>
      <c r="I22" s="32"/>
      <c r="J22" s="93">
        <v>1592.74</v>
      </c>
      <c r="K22" s="93"/>
      <c r="L22" s="93">
        <v>-124.49</v>
      </c>
      <c r="M22" s="93">
        <v>2.5</v>
      </c>
      <c r="N22" s="93">
        <v>1890.78</v>
      </c>
      <c r="O22" s="93">
        <v>54920.0</v>
      </c>
      <c r="P22" s="91">
        <f>IFERROR(__xludf.DUMMYFUNCTION("IFERROR(sum(FILTER($D:$N,$C:$C = $C22,$A:$A &lt; $A22,$B:$B = 12)),0) + sum($D22:$N22)"),54920.049999999996)</f>
        <v>54920.05</v>
      </c>
      <c r="Q22" s="92">
        <f t="shared" si="1"/>
        <v>-0.05</v>
      </c>
      <c r="R22" s="91">
        <f t="array" ref="R22">IFERROR(INDEX('Fund YTD Target Values'!$1:$1000, MATCH($C22,'Fund YTD Target Values'!$A:$A,0), MATCH($A22,'Fund YTD Target Values'!$1:$1,0)),0)</f>
        <v>50000</v>
      </c>
      <c r="S22" s="91">
        <f>IFERROR(__xludf.DUMMYFUNCTION("IFERROR(sum(FILTER('Fund Investment Data'!$V:$V, 'Fund Investment Data'!$C:$C = $C22, 'Fund Investment Data'!$A:$A &lt; $A22)),0) + IFERROR(sum(FILTER('Fund Investment Data'!$V:$V, 'Fund Investment Data'!$C:$C = $C22, 'Fund Investment Data'!$A:$A = $A22, 'Fu"&amp;"nd Investment Data'!$B:$B &lt;= $B22)),0)"),50000.0)</f>
        <v>50000</v>
      </c>
      <c r="T22" s="93">
        <v>50000.0</v>
      </c>
      <c r="U22" s="32">
        <f>S22-T22</f>
        <v>0</v>
      </c>
      <c r="V22" s="32">
        <f>IFERROR(__xludf.DUMMYFUNCTION("$D22 - IFERROR(FILTER($D:$D,$C:$C = $C22, $A:$A = $A22, $B:$B = $B22 - 1),0)"),50000.0)</f>
        <v>50000</v>
      </c>
      <c r="W22" s="93">
        <f>IFERROR(__xludf.DUMMYFUNCTION("$E22 - IFERROR(FILTER($E:$E,$C:$C = $C22, $A:$A = $A22, $B:$B = $B22 - 1),0)"),0.0)</f>
        <v>0</v>
      </c>
      <c r="X22" s="93"/>
      <c r="Y22" s="93"/>
      <c r="Z22" s="93">
        <v>0.0</v>
      </c>
      <c r="AA22" s="93">
        <v>0.0</v>
      </c>
      <c r="AB22" s="93">
        <v>0.0</v>
      </c>
      <c r="AC22" s="93"/>
      <c r="AD22" s="93">
        <v>0.0</v>
      </c>
      <c r="AE22" s="32">
        <f t="shared" si="2"/>
        <v>0</v>
      </c>
      <c r="AF22" s="93">
        <v>0.0</v>
      </c>
    </row>
    <row r="23">
      <c r="A23" s="86">
        <v>1998.0</v>
      </c>
      <c r="B23" s="87">
        <v>12.0</v>
      </c>
      <c r="C23" s="88" t="s">
        <v>30</v>
      </c>
      <c r="D23" s="32"/>
      <c r="E23" s="32"/>
      <c r="F23" s="93"/>
      <c r="G23" s="32"/>
      <c r="H23" s="93">
        <v>474.86</v>
      </c>
      <c r="I23" s="93">
        <v>299.92</v>
      </c>
      <c r="J23" s="93">
        <v>851.58</v>
      </c>
      <c r="K23" s="93"/>
      <c r="L23" s="32"/>
      <c r="M23" s="93">
        <v>-1.77</v>
      </c>
      <c r="N23" s="93">
        <v>574.01</v>
      </c>
      <c r="O23" s="93">
        <v>16673.0</v>
      </c>
      <c r="P23" s="91">
        <f>IFERROR(__xludf.DUMMYFUNCTION("IFERROR(sum(FILTER($D:$N,$C:$C = $C23,$A:$A &lt; $A23,$B:$B = 12)),0) + sum($D23:$N23)"),16672.85)</f>
        <v>16672.85</v>
      </c>
      <c r="Q23" s="92">
        <f t="shared" si="1"/>
        <v>0.15</v>
      </c>
      <c r="R23" s="91">
        <f t="array" ref="R23">IFERROR(INDEX('Fund YTD Target Values'!$1:$1000, MATCH($C23,'Fund YTD Target Values'!$A:$A,0), MATCH($A23,'Fund YTD Target Values'!$1:$1,0)),0)</f>
        <v>11994.25435</v>
      </c>
      <c r="S23" s="91">
        <f>IFERROR(__xludf.DUMMYFUNCTION("IFERROR(sum(FILTER('Fund Investment Data'!$V:$V, 'Fund Investment Data'!$C:$C = $C23, 'Fund Investment Data'!$A:$A &lt; $A23)),0) + IFERROR(sum(FILTER('Fund Investment Data'!$V:$V, 'Fund Investment Data'!$C:$C = $C23, 'Fund Investment Data'!$A:$A = $A23, 'Fu"&amp;"nd Investment Data'!$B:$B &lt;= $B23)),0)"),11540.75)</f>
        <v>11540.75</v>
      </c>
      <c r="T23" s="32"/>
      <c r="U23" s="32"/>
      <c r="V23" s="32">
        <f>IFERROR(__xludf.DUMMYFUNCTION("$D23 - IFERROR(FILTER($D:$D,$C:$C = $C23, $A:$A = $A23, $B:$B = $B23 - 1),0)"),0.0)</f>
        <v>0</v>
      </c>
      <c r="W23" s="93">
        <f>IFERROR(__xludf.DUMMYFUNCTION("$E23 - IFERROR(FILTER($E:$E,$C:$C = $C23, $A:$A = $A23, $B:$B = $B23 - 1),0)"),0.0)</f>
        <v>0</v>
      </c>
      <c r="X23" s="93"/>
      <c r="Y23" s="93"/>
      <c r="Z23" s="93">
        <v>0.0</v>
      </c>
      <c r="AA23" s="93">
        <v>0.0</v>
      </c>
      <c r="AB23" s="93">
        <v>0.0</v>
      </c>
      <c r="AC23" s="93"/>
      <c r="AD23" s="93">
        <v>0.0</v>
      </c>
      <c r="AE23" s="32">
        <f t="shared" si="2"/>
        <v>0</v>
      </c>
      <c r="AF23" s="93">
        <v>0.0</v>
      </c>
    </row>
    <row r="24">
      <c r="A24" s="86">
        <v>1998.0</v>
      </c>
      <c r="B24" s="87">
        <v>12.0</v>
      </c>
      <c r="C24" s="88" t="s">
        <v>32</v>
      </c>
      <c r="D24" s="32"/>
      <c r="E24" s="93">
        <v>-2000.0</v>
      </c>
      <c r="F24" s="93"/>
      <c r="G24" s="32"/>
      <c r="H24" s="93">
        <v>1854.57</v>
      </c>
      <c r="I24" s="93">
        <v>1268.98</v>
      </c>
      <c r="J24" s="93">
        <v>3381.65</v>
      </c>
      <c r="K24" s="93"/>
      <c r="L24" s="32"/>
      <c r="M24" s="93">
        <v>0.75</v>
      </c>
      <c r="N24" s="93">
        <v>2297.53</v>
      </c>
      <c r="O24" s="93">
        <v>64755.0</v>
      </c>
      <c r="P24" s="91">
        <f>IFERROR(__xludf.DUMMYFUNCTION("IFERROR(sum(FILTER($D:$N,$C:$C = $C24,$A:$A &lt; $A24,$B:$B = 12)),0) + sum($D24:$N24)"),64755.03)</f>
        <v>64755.03</v>
      </c>
      <c r="Q24" s="92">
        <f t="shared" si="1"/>
        <v>-0.03</v>
      </c>
      <c r="R24" s="91">
        <f t="array" ref="R24">IFERROR(INDEX('Fund YTD Target Values'!$1:$1000, MATCH($C24,'Fund YTD Target Values'!$A:$A,0), MATCH($A24,'Fund YTD Target Values'!$1:$1,0)),0)</f>
        <v>51377.68355</v>
      </c>
      <c r="S24" s="91">
        <f>IFERROR(__xludf.DUMMYFUNCTION("IFERROR(sum(FILTER('Fund Investment Data'!$V:$V, 'Fund Investment Data'!$C:$C = $C24, 'Fund Investment Data'!$A:$A &lt; $A24)),0) + IFERROR(sum(FILTER('Fund Investment Data'!$V:$V, 'Fund Investment Data'!$C:$C = $C24, 'Fund Investment Data'!$A:$A = $A24, 'Fu"&amp;"nd Investment Data'!$B:$B &lt;= $B24)),0)"),49449.04)</f>
        <v>49449.04</v>
      </c>
      <c r="T24" s="32"/>
      <c r="U24" s="32"/>
      <c r="V24" s="32">
        <f>IFERROR(__xludf.DUMMYFUNCTION("$D24 - IFERROR(FILTER($D:$D,$C:$C = $C24, $A:$A = $A24, $B:$B = $B24 - 1),0)"),0.0)</f>
        <v>0</v>
      </c>
      <c r="W24" s="93">
        <f>IFERROR(__xludf.DUMMYFUNCTION("$E24 - IFERROR(FILTER($E:$E,$C:$C = $C24, $A:$A = $A24, $B:$B = $B24 - 1),0)"),-2000.0)</f>
        <v>-2000</v>
      </c>
      <c r="X24" s="93"/>
      <c r="Y24" s="93"/>
      <c r="Z24" s="93">
        <v>0.0</v>
      </c>
      <c r="AA24" s="93">
        <v>0.0</v>
      </c>
      <c r="AB24" s="93">
        <v>0.0</v>
      </c>
      <c r="AC24" s="93"/>
      <c r="AD24" s="93">
        <v>0.0</v>
      </c>
      <c r="AE24" s="32">
        <f t="shared" si="2"/>
        <v>-2000</v>
      </c>
      <c r="AF24" s="93">
        <v>0.0</v>
      </c>
    </row>
    <row r="25">
      <c r="A25" s="86">
        <v>1998.0</v>
      </c>
      <c r="B25" s="87">
        <v>12.0</v>
      </c>
      <c r="C25" s="88" t="s">
        <v>48</v>
      </c>
      <c r="D25" s="32"/>
      <c r="E25" s="93">
        <v>-57000.0</v>
      </c>
      <c r="F25" s="93"/>
      <c r="G25" s="93">
        <v>-2750.0</v>
      </c>
      <c r="H25" s="93">
        <v>42295.67</v>
      </c>
      <c r="I25" s="93">
        <v>35873.05</v>
      </c>
      <c r="J25" s="93">
        <v>69250.25</v>
      </c>
      <c r="K25" s="93"/>
      <c r="L25" s="32"/>
      <c r="M25" s="93">
        <v>18.35</v>
      </c>
      <c r="N25" s="93">
        <v>51678.41</v>
      </c>
      <c r="O25" s="93">
        <v>1500181.0</v>
      </c>
      <c r="P25" s="91">
        <f>IFERROR(__xludf.DUMMYFUNCTION("IFERROR(sum(FILTER($D:$N,$C:$C = $C25,$A:$A &lt; $A25,$B:$B = 12)),0) + sum($D25:$N25)"),1500180.51)</f>
        <v>1500180.51</v>
      </c>
      <c r="Q25" s="92">
        <f t="shared" si="1"/>
        <v>0.49</v>
      </c>
      <c r="R25" s="91">
        <f t="array" ref="R25">IFERROR(INDEX('Fund YTD Target Values'!$1:$1000, MATCH($C25,'Fund YTD Target Values'!$A:$A,0), MATCH($A25,'Fund YTD Target Values'!$1:$1,0)),0)</f>
        <v>1230452.98</v>
      </c>
      <c r="S25" s="91">
        <f>IFERROR(__xludf.DUMMYFUNCTION("IFERROR(sum(FILTER('Fund Investment Data'!$V:$V, 'Fund Investment Data'!$C:$C = $C25, 'Fund Investment Data'!$A:$A &lt; $A25)),0) + IFERROR(sum(FILTER('Fund Investment Data'!$V:$V, 'Fund Investment Data'!$C:$C = $C25, 'Fund Investment Data'!$A:$A = $A25, 'Fu"&amp;"nd Investment Data'!$B:$B &lt;= $B25)),0)"),1183929.39)</f>
        <v>1183929.39</v>
      </c>
      <c r="T25" s="93">
        <v>1140040.0</v>
      </c>
      <c r="U25" s="32">
        <f>S25-T25</f>
        <v>43889.39</v>
      </c>
      <c r="V25" s="32">
        <f>IFERROR(__xludf.DUMMYFUNCTION("$D25 - IFERROR(FILTER($D:$D,$C:$C = $C25, $A:$A = $A25, $B:$B = $B25 - 1),0)"),0.0)</f>
        <v>0</v>
      </c>
      <c r="W25" s="93">
        <f>IFERROR(__xludf.DUMMYFUNCTION("$E25 - IFERROR(FILTER($E:$E,$C:$C = $C25, $A:$A = $A25, $B:$B = $B25 - 1),0)"),-57000.0)</f>
        <v>-57000</v>
      </c>
      <c r="X25" s="93"/>
      <c r="Y25" s="93"/>
      <c r="Z25" s="93">
        <v>0.0</v>
      </c>
      <c r="AA25" s="93">
        <v>0.0</v>
      </c>
      <c r="AB25" s="93">
        <v>0.0</v>
      </c>
      <c r="AC25" s="93"/>
      <c r="AD25" s="93">
        <v>0.0</v>
      </c>
      <c r="AE25" s="32">
        <f t="shared" si="2"/>
        <v>-57000</v>
      </c>
      <c r="AF25" s="93">
        <v>0.0</v>
      </c>
    </row>
    <row r="26">
      <c r="A26" s="86">
        <v>1998.0</v>
      </c>
      <c r="B26" s="87">
        <v>12.0</v>
      </c>
      <c r="C26" s="88" t="s">
        <v>54</v>
      </c>
      <c r="D26" s="93">
        <v>336.0</v>
      </c>
      <c r="E26" s="93">
        <v>-5000.0</v>
      </c>
      <c r="F26" s="93">
        <v>1050.0</v>
      </c>
      <c r="G26" s="32"/>
      <c r="H26" s="93">
        <v>1740.79</v>
      </c>
      <c r="I26" s="93">
        <v>334.15</v>
      </c>
      <c r="J26" s="93">
        <v>3802.98</v>
      </c>
      <c r="K26" s="93"/>
      <c r="L26" s="32"/>
      <c r="M26" s="93">
        <v>-17.21</v>
      </c>
      <c r="N26" s="93">
        <v>2078.79</v>
      </c>
      <c r="O26" s="93">
        <v>56399.0</v>
      </c>
      <c r="P26" s="91">
        <f>IFERROR(__xludf.DUMMYFUNCTION("IFERROR(sum(FILTER($D:$N,$C:$C = $C26,$A:$A &lt; $A26,$B:$B = 12)),0) + sum($D26:$N26)"),56398.84999999999)</f>
        <v>56398.85</v>
      </c>
      <c r="Q26" s="92">
        <f t="shared" si="1"/>
        <v>0.15</v>
      </c>
      <c r="R26" s="91">
        <f t="array" ref="R26">IFERROR(INDEX('Fund YTD Target Values'!$1:$1000, MATCH($C26,'Fund YTD Target Values'!$A:$A,0), MATCH($A26,'Fund YTD Target Values'!$1:$1,0)),0)</f>
        <v>48688.5493</v>
      </c>
      <c r="S26" s="91">
        <f>IFERROR(__xludf.DUMMYFUNCTION("IFERROR(sum(FILTER('Fund Investment Data'!$V:$V, 'Fund Investment Data'!$C:$C = $C26, 'Fund Investment Data'!$A:$A &lt; $A26)),0) + IFERROR(sum(FILTER('Fund Investment Data'!$V:$V, 'Fund Investment Data'!$C:$C = $C26, 'Fund Investment Data'!$A:$A = $A26, 'Fu"&amp;"nd Investment Data'!$B:$B &lt;= $B26)),0)"),47051.45)</f>
        <v>47051.45</v>
      </c>
      <c r="T26" s="32"/>
      <c r="U26" s="32"/>
      <c r="V26" s="32">
        <f>IFERROR(__xludf.DUMMYFUNCTION("$D26 - IFERROR(FILTER($D:$D,$C:$C = $C26, $A:$A = $A26, $B:$B = $B26 - 1),0)"),336.0)</f>
        <v>336</v>
      </c>
      <c r="W26" s="93">
        <f>IFERROR(__xludf.DUMMYFUNCTION("$E26 - IFERROR(FILTER($E:$E,$C:$C = $C26, $A:$A = $A26, $B:$B = $B26 - 1),0)"),-5000.0)</f>
        <v>-5000</v>
      </c>
      <c r="X26" s="93"/>
      <c r="Y26" s="93"/>
      <c r="Z26" s="93">
        <v>0.0</v>
      </c>
      <c r="AA26" s="93">
        <v>0.0</v>
      </c>
      <c r="AB26" s="93">
        <v>0.0</v>
      </c>
      <c r="AC26" s="93"/>
      <c r="AD26" s="93">
        <v>0.0</v>
      </c>
      <c r="AE26" s="32">
        <f t="shared" si="2"/>
        <v>-5000</v>
      </c>
      <c r="AF26" s="93">
        <v>0.0</v>
      </c>
    </row>
    <row r="27">
      <c r="A27" s="86">
        <v>1998.0</v>
      </c>
      <c r="B27" s="87">
        <v>12.0</v>
      </c>
      <c r="C27" s="88" t="s">
        <v>35</v>
      </c>
      <c r="D27" s="32"/>
      <c r="E27" s="93">
        <v>-14500.0</v>
      </c>
      <c r="F27" s="93"/>
      <c r="G27" s="32"/>
      <c r="H27" s="93">
        <v>9904.94</v>
      </c>
      <c r="I27" s="93">
        <v>6628.77</v>
      </c>
      <c r="J27" s="93">
        <v>17859.32</v>
      </c>
      <c r="K27" s="93"/>
      <c r="L27" s="32"/>
      <c r="M27" s="93">
        <v>-24.86</v>
      </c>
      <c r="N27" s="93">
        <v>12033.33</v>
      </c>
      <c r="O27" s="93">
        <v>339406.0</v>
      </c>
      <c r="P27" s="91">
        <f>IFERROR(__xludf.DUMMYFUNCTION("IFERROR(sum(FILTER($D:$N,$C:$C = $C27,$A:$A &lt; $A27,$B:$B = 12)),0) + sum($D27:$N27)"),339405.13)</f>
        <v>339405.13</v>
      </c>
      <c r="Q27" s="92">
        <f t="shared" si="1"/>
        <v>0.87</v>
      </c>
      <c r="R27" s="91">
        <f t="array" ref="R27">IFERROR(INDEX('Fund YTD Target Values'!$1:$1000, MATCH($C27,'Fund YTD Target Values'!$A:$A,0), MATCH($A27,'Fund YTD Target Values'!$1:$1,0)),0)</f>
        <v>290442.3082</v>
      </c>
      <c r="S27" s="91">
        <f>IFERROR(__xludf.DUMMYFUNCTION("IFERROR(sum(FILTER('Fund Investment Data'!$V:$V, 'Fund Investment Data'!$C:$C = $C27, 'Fund Investment Data'!$A:$A &lt; $A27)),0) + IFERROR(sum(FILTER('Fund Investment Data'!$V:$V, 'Fund Investment Data'!$C:$C = $C27, 'Fund Investment Data'!$A:$A = $A27, 'Fu"&amp;"nd Investment Data'!$B:$B &lt;= $B27)),0)"),250000.0)</f>
        <v>250000</v>
      </c>
      <c r="T27" s="32"/>
      <c r="U27" s="32"/>
      <c r="V27" s="32">
        <f>IFERROR(__xludf.DUMMYFUNCTION("$D27 - IFERROR(FILTER($D:$D,$C:$C = $C27, $A:$A = $A27, $B:$B = $B27 - 1),0)"),0.0)</f>
        <v>0</v>
      </c>
      <c r="W27" s="93">
        <f>IFERROR(__xludf.DUMMYFUNCTION("$E27 - IFERROR(FILTER($E:$E,$C:$C = $C27, $A:$A = $A27, $B:$B = $B27 - 1),0)"),-14500.0)</f>
        <v>-14500</v>
      </c>
      <c r="X27" s="93"/>
      <c r="Y27" s="93"/>
      <c r="Z27" s="93">
        <v>0.0</v>
      </c>
      <c r="AA27" s="93">
        <v>0.0</v>
      </c>
      <c r="AB27" s="93">
        <v>0.0</v>
      </c>
      <c r="AC27" s="93"/>
      <c r="AD27" s="93">
        <v>0.0</v>
      </c>
      <c r="AE27" s="32">
        <f t="shared" si="2"/>
        <v>-14500</v>
      </c>
      <c r="AF27" s="93">
        <v>0.0</v>
      </c>
    </row>
    <row r="28">
      <c r="A28" s="86">
        <v>1999.0</v>
      </c>
      <c r="B28" s="87">
        <v>12.0</v>
      </c>
      <c r="C28" s="88" t="s">
        <v>27</v>
      </c>
      <c r="D28" s="93">
        <v>8100.0</v>
      </c>
      <c r="E28" s="32"/>
      <c r="F28" s="93">
        <v>123.0</v>
      </c>
      <c r="G28" s="93">
        <v>-378.93</v>
      </c>
      <c r="H28" s="93">
        <v>3839.77</v>
      </c>
      <c r="I28" s="93">
        <v>3542.68</v>
      </c>
      <c r="J28" s="93">
        <v>1244.0</v>
      </c>
      <c r="K28" s="93"/>
      <c r="L28" s="93">
        <v>-1734.67</v>
      </c>
      <c r="M28" s="93">
        <v>-22.76</v>
      </c>
      <c r="N28" s="93">
        <v>8446.48</v>
      </c>
      <c r="O28" s="93">
        <v>152361.0</v>
      </c>
      <c r="P28" s="91">
        <f>IFERROR(__xludf.DUMMYFUNCTION("IFERROR(sum(FILTER($D:$N,$C:$C = $C28,$A:$A &lt; $A28,$B:$B = 12)),0) + sum($D28:$N28)"),152361.13)</f>
        <v>152361.13</v>
      </c>
      <c r="Q28" s="92">
        <f t="shared" si="1"/>
        <v>-0.13</v>
      </c>
      <c r="R28" s="91">
        <f t="array" ref="R28">IFERROR(INDEX('Fund YTD Target Values'!$1:$1000, MATCH($C28,'Fund YTD Target Values'!$A:$A,0), MATCH($A28,'Fund YTD Target Values'!$1:$1,0)),0)</f>
        <v>116590.5422</v>
      </c>
      <c r="S28" s="91">
        <f>IFERROR(__xludf.DUMMYFUNCTION("IFERROR(sum(FILTER('Fund Investment Data'!$V:$V, 'Fund Investment Data'!$C:$C = $C28, 'Fund Investment Data'!$A:$A &lt; $A28)),0) + IFERROR(sum(FILTER('Fund Investment Data'!$V:$V, 'Fund Investment Data'!$C:$C = $C28, 'Fund Investment Data'!$A:$A = $A28, 'Fu"&amp;"nd Investment Data'!$B:$B &lt;= $B28)),0)"),111113.87)</f>
        <v>111113.87</v>
      </c>
      <c r="T28" s="32"/>
      <c r="U28" s="32"/>
      <c r="V28" s="32">
        <f>IFERROR(__xludf.DUMMYFUNCTION("$D28 - IFERROR(FILTER($D:$D,$C:$C = $C28, $A:$A = $A28, $B:$B = $B28 - 1),0)"),8100.0)</f>
        <v>8100</v>
      </c>
      <c r="W28" s="93">
        <f>IFERROR(__xludf.DUMMYFUNCTION("$E28 - IFERROR(FILTER($E:$E,$C:$C = $C28, $A:$A = $A28, $B:$B = $B28 - 1),0)"),0.0)</f>
        <v>0</v>
      </c>
      <c r="X28" s="93"/>
      <c r="Y28" s="93"/>
      <c r="Z28" s="93">
        <v>0.0</v>
      </c>
      <c r="AA28" s="93">
        <v>0.0</v>
      </c>
      <c r="AB28" s="93">
        <v>0.0</v>
      </c>
      <c r="AC28" s="93"/>
      <c r="AD28" s="93">
        <v>0.0</v>
      </c>
      <c r="AE28" s="32">
        <f t="shared" si="2"/>
        <v>0</v>
      </c>
      <c r="AF28" s="93">
        <v>0.0</v>
      </c>
    </row>
    <row r="29">
      <c r="A29" s="86">
        <v>1999.0</v>
      </c>
      <c r="B29" s="87">
        <v>12.0</v>
      </c>
      <c r="C29" s="88" t="s">
        <v>36</v>
      </c>
      <c r="D29" s="32"/>
      <c r="E29" s="93">
        <v>-10000.0</v>
      </c>
      <c r="F29" s="93">
        <v>307.08</v>
      </c>
      <c r="G29" s="93">
        <v>-974.66</v>
      </c>
      <c r="H29" s="93">
        <v>9540.2</v>
      </c>
      <c r="I29" s="93">
        <v>15208.51</v>
      </c>
      <c r="J29" s="93">
        <v>-7102.64</v>
      </c>
      <c r="K29" s="93"/>
      <c r="L29" s="93">
        <v>-1797.28</v>
      </c>
      <c r="M29" s="93">
        <v>18.68</v>
      </c>
      <c r="N29" s="93">
        <v>21905.1</v>
      </c>
      <c r="O29" s="93">
        <v>380241.0</v>
      </c>
      <c r="P29" s="91">
        <f>IFERROR(__xludf.DUMMYFUNCTION("IFERROR(sum(FILTER($D:$N,$C:$C = $C29,$A:$A &lt; $A29,$B:$B = 12)),0) + sum($D29:$N29)"),380241.26000000007)</f>
        <v>380241.26</v>
      </c>
      <c r="Q29" s="92">
        <f t="shared" si="1"/>
        <v>-0.2600000001</v>
      </c>
      <c r="R29" s="91">
        <f t="array" ref="R29">IFERROR(INDEX('Fund YTD Target Values'!$1:$1000, MATCH($C29,'Fund YTD Target Values'!$A:$A,0), MATCH($A29,'Fund YTD Target Values'!$1:$1,0)),0)</f>
        <v>285542.0448</v>
      </c>
      <c r="S29" s="91">
        <f>IFERROR(__xludf.DUMMYFUNCTION("IFERROR(sum(FILTER('Fund Investment Data'!$V:$V, 'Fund Investment Data'!$C:$C = $C29, 'Fund Investment Data'!$A:$A &lt; $A29)),0) + IFERROR(sum(FILTER('Fund Investment Data'!$V:$V, 'Fund Investment Data'!$C:$C = $C29, 'Fund Investment Data'!$A:$A = $A29, 'Fu"&amp;"nd Investment Data'!$B:$B &lt;= $B29)),0)"),268867.24)</f>
        <v>268867.24</v>
      </c>
      <c r="T29" s="32"/>
      <c r="U29" s="32"/>
      <c r="V29" s="32">
        <f>IFERROR(__xludf.DUMMYFUNCTION("$D29 - IFERROR(FILTER($D:$D,$C:$C = $C29, $A:$A = $A29, $B:$B = $B29 - 1),0)"),0.0)</f>
        <v>0</v>
      </c>
      <c r="W29" s="93">
        <f>IFERROR(__xludf.DUMMYFUNCTION("$E29 - IFERROR(FILTER($E:$E,$C:$C = $C29, $A:$A = $A29, $B:$B = $B29 - 1),0)"),-10000.0)</f>
        <v>-10000</v>
      </c>
      <c r="X29" s="93"/>
      <c r="Y29" s="93"/>
      <c r="Z29" s="93">
        <v>0.0</v>
      </c>
      <c r="AA29" s="93">
        <v>0.0</v>
      </c>
      <c r="AB29" s="93">
        <v>0.0</v>
      </c>
      <c r="AC29" s="93"/>
      <c r="AD29" s="93">
        <v>0.0</v>
      </c>
      <c r="AE29" s="32">
        <f t="shared" si="2"/>
        <v>-10000</v>
      </c>
      <c r="AF29" s="93">
        <v>0.0</v>
      </c>
    </row>
    <row r="30">
      <c r="A30" s="86">
        <v>1999.0</v>
      </c>
      <c r="B30" s="87">
        <v>12.0</v>
      </c>
      <c r="C30" s="88" t="s">
        <v>29</v>
      </c>
      <c r="D30" s="32"/>
      <c r="E30" s="93">
        <v>-2000.0</v>
      </c>
      <c r="F30" s="93">
        <v>47.06</v>
      </c>
      <c r="G30" s="93">
        <v>-146.44</v>
      </c>
      <c r="H30" s="93">
        <v>1444.56</v>
      </c>
      <c r="I30" s="93">
        <v>191.67</v>
      </c>
      <c r="J30" s="93">
        <v>1119.17</v>
      </c>
      <c r="K30" s="93"/>
      <c r="L30" s="93">
        <v>-538.1</v>
      </c>
      <c r="M30" s="93">
        <v>9.71</v>
      </c>
      <c r="N30" s="93">
        <v>3150.88</v>
      </c>
      <c r="O30" s="93">
        <v>58199.0</v>
      </c>
      <c r="P30" s="91">
        <f>IFERROR(__xludf.DUMMYFUNCTION("IFERROR(sum(FILTER($D:$N,$C:$C = $C30,$A:$A &lt; $A30,$B:$B = 12)),0) + sum($D30:$N30)"),58198.56)</f>
        <v>58198.56</v>
      </c>
      <c r="Q30" s="92">
        <f t="shared" si="1"/>
        <v>0.44</v>
      </c>
      <c r="R30" s="91">
        <f t="array" ref="R30">IFERROR(INDEX('Fund YTD Target Values'!$1:$1000, MATCH($C30,'Fund YTD Target Values'!$A:$A,0), MATCH($A30,'Fund YTD Target Values'!$1:$1,0)),0)</f>
        <v>51093.18305</v>
      </c>
      <c r="S30" s="91">
        <f>IFERROR(__xludf.DUMMYFUNCTION("IFERROR(sum(FILTER('Fund Investment Data'!$V:$V, 'Fund Investment Data'!$C:$C = $C30, 'Fund Investment Data'!$A:$A &lt; $A30)),0) + IFERROR(sum(FILTER('Fund Investment Data'!$V:$V, 'Fund Investment Data'!$C:$C = $C30, 'Fund Investment Data'!$A:$A = $A30, 'Fu"&amp;"nd Investment Data'!$B:$B &lt;= $B30)),0)"),50000.0)</f>
        <v>50000</v>
      </c>
      <c r="T30" s="93">
        <v>50000.0</v>
      </c>
      <c r="U30" s="32">
        <f>S30-T30</f>
        <v>0</v>
      </c>
      <c r="V30" s="32">
        <f>IFERROR(__xludf.DUMMYFUNCTION("$D30 - IFERROR(FILTER($D:$D,$C:$C = $C30, $A:$A = $A30, $B:$B = $B30 - 1),0)"),0.0)</f>
        <v>0</v>
      </c>
      <c r="W30" s="93">
        <f>IFERROR(__xludf.DUMMYFUNCTION("$E30 - IFERROR(FILTER($E:$E,$C:$C = $C30, $A:$A = $A30, $B:$B = $B30 - 1),0)"),-2000.0)</f>
        <v>-2000</v>
      </c>
      <c r="X30" s="93"/>
      <c r="Y30" s="93"/>
      <c r="Z30" s="93">
        <v>0.0</v>
      </c>
      <c r="AA30" s="93">
        <v>0.0</v>
      </c>
      <c r="AB30" s="93">
        <v>0.0</v>
      </c>
      <c r="AC30" s="93"/>
      <c r="AD30" s="93">
        <v>0.0</v>
      </c>
      <c r="AE30" s="32">
        <f t="shared" si="2"/>
        <v>-2000</v>
      </c>
      <c r="AF30" s="93">
        <v>0.0</v>
      </c>
    </row>
    <row r="31">
      <c r="A31" s="86">
        <v>1999.0</v>
      </c>
      <c r="B31" s="87">
        <v>12.0</v>
      </c>
      <c r="C31" s="88" t="s">
        <v>30</v>
      </c>
      <c r="D31" s="32"/>
      <c r="E31" s="93">
        <v>-750.0</v>
      </c>
      <c r="F31" s="93">
        <v>14.29</v>
      </c>
      <c r="G31" s="93">
        <v>-46.04</v>
      </c>
      <c r="H31" s="93">
        <v>451.24</v>
      </c>
      <c r="I31" s="93">
        <v>704.98</v>
      </c>
      <c r="J31" s="93">
        <v>-295.48</v>
      </c>
      <c r="K31" s="93"/>
      <c r="L31" s="93">
        <v>-89.29</v>
      </c>
      <c r="M31" s="93">
        <v>0.08</v>
      </c>
      <c r="N31" s="93">
        <v>1046.26</v>
      </c>
      <c r="O31" s="93">
        <v>17709.0</v>
      </c>
      <c r="P31" s="91">
        <f>IFERROR(__xludf.DUMMYFUNCTION("IFERROR(sum(FILTER($D:$N,$C:$C = $C31,$A:$A &lt; $A31,$B:$B = 12)),0) + sum($D31:$N31)"),17708.89)</f>
        <v>17708.89</v>
      </c>
      <c r="Q31" s="92">
        <f t="shared" si="1"/>
        <v>0.11</v>
      </c>
      <c r="R31" s="91">
        <f t="array" ref="R31">IFERROR(INDEX('Fund YTD Target Values'!$1:$1000, MATCH($C31,'Fund YTD Target Values'!$A:$A,0), MATCH($A31,'Fund YTD Target Values'!$1:$1,0)),0)</f>
        <v>12256.49266</v>
      </c>
      <c r="S31" s="91">
        <f>IFERROR(__xludf.DUMMYFUNCTION("IFERROR(sum(FILTER('Fund Investment Data'!$V:$V, 'Fund Investment Data'!$C:$C = $C31, 'Fund Investment Data'!$A:$A &lt; $A31)),0) + IFERROR(sum(FILTER('Fund Investment Data'!$V:$V, 'Fund Investment Data'!$C:$C = $C31, 'Fund Investment Data'!$A:$A = $A31, 'Fu"&amp;"nd Investment Data'!$B:$B &lt;= $B31)),0)"),11540.75)</f>
        <v>11540.75</v>
      </c>
      <c r="T31" s="32"/>
      <c r="U31" s="32"/>
      <c r="V31" s="32">
        <f>IFERROR(__xludf.DUMMYFUNCTION("$D31 - IFERROR(FILTER($D:$D,$C:$C = $C31, $A:$A = $A31, $B:$B = $B31 - 1),0)"),0.0)</f>
        <v>0</v>
      </c>
      <c r="W31" s="93">
        <f>IFERROR(__xludf.DUMMYFUNCTION("$E31 - IFERROR(FILTER($E:$E,$C:$C = $C31, $A:$A = $A31, $B:$B = $B31 - 1),0)"),-750.0)</f>
        <v>-750</v>
      </c>
      <c r="X31" s="93"/>
      <c r="Y31" s="93"/>
      <c r="Z31" s="93">
        <v>0.0</v>
      </c>
      <c r="AA31" s="93">
        <v>0.0</v>
      </c>
      <c r="AB31" s="93">
        <v>0.0</v>
      </c>
      <c r="AC31" s="93"/>
      <c r="AD31" s="93">
        <v>0.0</v>
      </c>
      <c r="AE31" s="32">
        <f t="shared" si="2"/>
        <v>-750</v>
      </c>
      <c r="AF31" s="93">
        <v>0.0</v>
      </c>
    </row>
    <row r="32">
      <c r="A32" s="86">
        <v>1999.0</v>
      </c>
      <c r="B32" s="87">
        <v>12.0</v>
      </c>
      <c r="C32" s="88" t="s">
        <v>47</v>
      </c>
      <c r="D32" s="93">
        <v>55000.0</v>
      </c>
      <c r="E32" s="32"/>
      <c r="F32" s="93"/>
      <c r="G32" s="93">
        <v>0.0</v>
      </c>
      <c r="H32" s="93">
        <v>0.0</v>
      </c>
      <c r="I32" s="32"/>
      <c r="J32" s="93">
        <v>182.0</v>
      </c>
      <c r="K32" s="32"/>
      <c r="L32" s="32"/>
      <c r="M32" s="32"/>
      <c r="N32" s="32"/>
      <c r="O32" s="93">
        <v>55182.0</v>
      </c>
      <c r="P32" s="91">
        <f>IFERROR(__xludf.DUMMYFUNCTION("IFERROR(sum(FILTER($D:$N,$C:$C = $C32,$A:$A &lt; $A32,$B:$B = 12)),0) + sum($D32:$N32)"),55182.0)</f>
        <v>55182</v>
      </c>
      <c r="Q32" s="92">
        <f t="shared" si="1"/>
        <v>0</v>
      </c>
      <c r="R32" s="91">
        <f t="array" ref="R32">IFERROR(INDEX('Fund YTD Target Values'!$1:$1000, MATCH($C32,'Fund YTD Target Values'!$A:$A,0), MATCH($A32,'Fund YTD Target Values'!$1:$1,0)),0)</f>
        <v>55000</v>
      </c>
      <c r="S32" s="91">
        <f>IFERROR(__xludf.DUMMYFUNCTION("IFERROR(sum(FILTER('Fund Investment Data'!$V:$V, 'Fund Investment Data'!$C:$C = $C32, 'Fund Investment Data'!$A:$A &lt; $A32)),0) + IFERROR(sum(FILTER('Fund Investment Data'!$V:$V, 'Fund Investment Data'!$C:$C = $C32, 'Fund Investment Data'!$A:$A = $A32, 'Fu"&amp;"nd Investment Data'!$B:$B &lt;= $B32)),0)"),55000.0)</f>
        <v>55000</v>
      </c>
      <c r="T32" s="32"/>
      <c r="U32" s="32"/>
      <c r="V32" s="32">
        <f>IFERROR(__xludf.DUMMYFUNCTION("$D32 - IFERROR(FILTER($D:$D,$C:$C = $C32, $A:$A = $A32, $B:$B = $B32 - 1),0)"),55000.0)</f>
        <v>55000</v>
      </c>
      <c r="W32" s="93">
        <f>IFERROR(__xludf.DUMMYFUNCTION("$E32 - IFERROR(FILTER($E:$E,$C:$C = $C32, $A:$A = $A32, $B:$B = $B32 - 1),0)"),0.0)</f>
        <v>0</v>
      </c>
      <c r="X32" s="93"/>
      <c r="Y32" s="93"/>
      <c r="Z32" s="93">
        <v>0.0</v>
      </c>
      <c r="AA32" s="93">
        <v>0.0</v>
      </c>
      <c r="AB32" s="93">
        <v>0.0</v>
      </c>
      <c r="AC32" s="93"/>
      <c r="AD32" s="93">
        <v>0.0</v>
      </c>
      <c r="AE32" s="32">
        <f t="shared" si="2"/>
        <v>0</v>
      </c>
      <c r="AF32" s="93">
        <v>0.0</v>
      </c>
    </row>
    <row r="33">
      <c r="A33" s="86">
        <v>1999.0</v>
      </c>
      <c r="B33" s="87">
        <v>12.0</v>
      </c>
      <c r="C33" s="88" t="s">
        <v>32</v>
      </c>
      <c r="D33" s="32"/>
      <c r="E33" s="93">
        <v>-2000.0</v>
      </c>
      <c r="F33" s="93">
        <v>56.15</v>
      </c>
      <c r="G33" s="93">
        <v>-178.68</v>
      </c>
      <c r="H33" s="93">
        <v>1748.36</v>
      </c>
      <c r="I33" s="93">
        <v>3000.06</v>
      </c>
      <c r="J33" s="93">
        <v>-1565.25</v>
      </c>
      <c r="K33" s="93"/>
      <c r="L33" s="93">
        <v>-300.61</v>
      </c>
      <c r="M33" s="93">
        <v>2.85</v>
      </c>
      <c r="N33" s="93">
        <v>4005.39</v>
      </c>
      <c r="O33" s="93">
        <v>69523.0</v>
      </c>
      <c r="P33" s="91">
        <f>IFERROR(__xludf.DUMMYFUNCTION("IFERROR(sum(FILTER($D:$N,$C:$C = $C33,$A:$A &lt; $A33,$B:$B = 12)),0) + sum($D33:$N33)"),69523.3)</f>
        <v>69523.3</v>
      </c>
      <c r="Q33" s="92">
        <f t="shared" si="1"/>
        <v>-0.3</v>
      </c>
      <c r="R33" s="91">
        <f t="array" ref="R33">IFERROR(INDEX('Fund YTD Target Values'!$1:$1000, MATCH($C33,'Fund YTD Target Values'!$A:$A,0), MATCH($A33,'Fund YTD Target Values'!$1:$1,0)),0)</f>
        <v>52500.9878</v>
      </c>
      <c r="S33" s="91">
        <f>IFERROR(__xludf.DUMMYFUNCTION("IFERROR(sum(FILTER('Fund Investment Data'!$V:$V, 'Fund Investment Data'!$C:$C = $C33, 'Fund Investment Data'!$A:$A &lt; $A33)),0) + IFERROR(sum(FILTER('Fund Investment Data'!$V:$V, 'Fund Investment Data'!$C:$C = $C33, 'Fund Investment Data'!$A:$A = $A33, 'Fu"&amp;"nd Investment Data'!$B:$B &lt;= $B33)),0)"),49449.04)</f>
        <v>49449.04</v>
      </c>
      <c r="T33" s="32"/>
      <c r="U33" s="32"/>
      <c r="V33" s="32">
        <f>IFERROR(__xludf.DUMMYFUNCTION("$D33 - IFERROR(FILTER($D:$D,$C:$C = $C33, $A:$A = $A33, $B:$B = $B33 - 1),0)"),0.0)</f>
        <v>0</v>
      </c>
      <c r="W33" s="93">
        <f>IFERROR(__xludf.DUMMYFUNCTION("$E33 - IFERROR(FILTER($E:$E,$C:$C = $C33, $A:$A = $A33, $B:$B = $B33 - 1),0)"),-2000.0)</f>
        <v>-2000</v>
      </c>
      <c r="X33" s="93"/>
      <c r="Y33" s="93"/>
      <c r="Z33" s="93">
        <v>0.0</v>
      </c>
      <c r="AA33" s="93">
        <v>0.0</v>
      </c>
      <c r="AB33" s="93">
        <v>0.0</v>
      </c>
      <c r="AC33" s="93"/>
      <c r="AD33" s="93">
        <v>0.0</v>
      </c>
      <c r="AE33" s="32">
        <f t="shared" si="2"/>
        <v>-2000</v>
      </c>
      <c r="AF33" s="93">
        <v>0.0</v>
      </c>
    </row>
    <row r="34">
      <c r="A34" s="86">
        <v>1999.0</v>
      </c>
      <c r="B34" s="87">
        <v>12.0</v>
      </c>
      <c r="C34" s="88" t="s">
        <v>48</v>
      </c>
      <c r="D34" s="32"/>
      <c r="E34" s="93">
        <v>-45000.0</v>
      </c>
      <c r="F34" s="93">
        <v>1301.96</v>
      </c>
      <c r="G34" s="93">
        <v>-2976.63</v>
      </c>
      <c r="H34" s="93">
        <v>39881.13</v>
      </c>
      <c r="I34" s="93">
        <v>67011.83</v>
      </c>
      <c r="J34" s="93">
        <v>-32215.44</v>
      </c>
      <c r="K34" s="93"/>
      <c r="L34" s="93">
        <v>-8129.12</v>
      </c>
      <c r="M34" s="93">
        <v>194.24</v>
      </c>
      <c r="N34" s="93">
        <v>91551.2</v>
      </c>
      <c r="O34" s="93">
        <v>1611800.0</v>
      </c>
      <c r="P34" s="91">
        <f>IFERROR(__xludf.DUMMYFUNCTION("IFERROR(sum(FILTER($D:$N,$C:$C = $C34,$A:$A &lt; $A34,$B:$B = 12)),0) + sum($D34:$N34)"),1611799.68)</f>
        <v>1611799.68</v>
      </c>
      <c r="Q34" s="92">
        <f t="shared" si="1"/>
        <v>0.3200000001</v>
      </c>
      <c r="R34" s="91">
        <f t="array" ref="R34">IFERROR(INDEX('Fund YTD Target Values'!$1:$1000, MATCH($C34,'Fund YTD Target Values'!$A:$A,0), MATCH($A34,'Fund YTD Target Values'!$1:$1,0)),0)</f>
        <v>1257355.187</v>
      </c>
      <c r="S34" s="91">
        <f>IFERROR(__xludf.DUMMYFUNCTION("IFERROR(sum(FILTER('Fund Investment Data'!$V:$V, 'Fund Investment Data'!$C:$C = $C34, 'Fund Investment Data'!$A:$A &lt; $A34)),0) + IFERROR(sum(FILTER('Fund Investment Data'!$V:$V, 'Fund Investment Data'!$C:$C = $C34, 'Fund Investment Data'!$A:$A = $A34, 'Fu"&amp;"nd Investment Data'!$B:$B &lt;= $B34)),0)"),1183929.39)</f>
        <v>1183929.39</v>
      </c>
      <c r="T34" s="93">
        <v>1140040.0</v>
      </c>
      <c r="U34" s="32">
        <f>S34-T34</f>
        <v>43889.39</v>
      </c>
      <c r="V34" s="32">
        <f>IFERROR(__xludf.DUMMYFUNCTION("$D34 - IFERROR(FILTER($D:$D,$C:$C = $C34, $A:$A = $A34, $B:$B = $B34 - 1),0)"),0.0)</f>
        <v>0</v>
      </c>
      <c r="W34" s="93">
        <f>IFERROR(__xludf.DUMMYFUNCTION("$E34 - IFERROR(FILTER($E:$E,$C:$C = $C34, $A:$A = $A34, $B:$B = $B34 - 1),0)"),-45000.0)</f>
        <v>-45000</v>
      </c>
      <c r="X34" s="93"/>
      <c r="Y34" s="93"/>
      <c r="Z34" s="93">
        <v>0.0</v>
      </c>
      <c r="AA34" s="93">
        <v>0.0</v>
      </c>
      <c r="AB34" s="93">
        <v>0.0</v>
      </c>
      <c r="AC34" s="93"/>
      <c r="AD34" s="93">
        <v>0.0</v>
      </c>
      <c r="AE34" s="32">
        <f t="shared" si="2"/>
        <v>-45000</v>
      </c>
      <c r="AF34" s="93">
        <v>0.0</v>
      </c>
    </row>
    <row r="35">
      <c r="A35" s="86">
        <v>1999.0</v>
      </c>
      <c r="B35" s="87">
        <v>12.0</v>
      </c>
      <c r="C35" s="88" t="s">
        <v>41</v>
      </c>
      <c r="D35" s="93">
        <v>35279.57</v>
      </c>
      <c r="E35" s="32"/>
      <c r="F35" s="93">
        <v>23.02</v>
      </c>
      <c r="G35" s="93">
        <v>-23.28</v>
      </c>
      <c r="H35" s="93">
        <v>286.99</v>
      </c>
      <c r="I35" s="32"/>
      <c r="J35" s="93">
        <v>1579.42</v>
      </c>
      <c r="K35" s="93"/>
      <c r="L35" s="93">
        <v>-295.52</v>
      </c>
      <c r="M35" s="93">
        <v>5.19</v>
      </c>
      <c r="N35" s="93">
        <v>1532.22</v>
      </c>
      <c r="O35" s="93">
        <v>38388.0</v>
      </c>
      <c r="P35" s="91">
        <f>IFERROR(__xludf.DUMMYFUNCTION("IFERROR(sum(FILTER($D:$N,$C:$C = $C35,$A:$A &lt; $A35,$B:$B = 12)),0) + sum($D35:$N35)"),38387.61)</f>
        <v>38387.61</v>
      </c>
      <c r="Q35" s="92">
        <f t="shared" si="1"/>
        <v>0.39</v>
      </c>
      <c r="R35" s="91">
        <f t="array" ref="R35">IFERROR(INDEX('Fund YTD Target Values'!$1:$1000, MATCH($C35,'Fund YTD Target Values'!$A:$A,0), MATCH($A35,'Fund YTD Target Values'!$1:$1,0)),0)</f>
        <v>35279.57</v>
      </c>
      <c r="S35" s="91">
        <f>IFERROR(__xludf.DUMMYFUNCTION("IFERROR(sum(FILTER('Fund Investment Data'!$V:$V, 'Fund Investment Data'!$C:$C = $C35, 'Fund Investment Data'!$A:$A &lt; $A35)),0) + IFERROR(sum(FILTER('Fund Investment Data'!$V:$V, 'Fund Investment Data'!$C:$C = $C35, 'Fund Investment Data'!$A:$A = $A35, 'Fu"&amp;"nd Investment Data'!$B:$B &lt;= $B35)),0)"),35279.57)</f>
        <v>35279.57</v>
      </c>
      <c r="T35" s="32"/>
      <c r="U35" s="32"/>
      <c r="V35" s="32">
        <f>IFERROR(__xludf.DUMMYFUNCTION("$D35 - IFERROR(FILTER($D:$D,$C:$C = $C35, $A:$A = $A35, $B:$B = $B35 - 1),0)"),35279.57)</f>
        <v>35279.57</v>
      </c>
      <c r="W35" s="93">
        <f>IFERROR(__xludf.DUMMYFUNCTION("$E35 - IFERROR(FILTER($E:$E,$C:$C = $C35, $A:$A = $A35, $B:$B = $B35 - 1),0)"),0.0)</f>
        <v>0</v>
      </c>
      <c r="X35" s="93"/>
      <c r="Y35" s="93"/>
      <c r="Z35" s="93">
        <v>0.0</v>
      </c>
      <c r="AA35" s="93">
        <v>0.0</v>
      </c>
      <c r="AB35" s="93">
        <v>0.0</v>
      </c>
      <c r="AC35" s="93"/>
      <c r="AD35" s="93">
        <v>0.0</v>
      </c>
      <c r="AE35" s="32">
        <f t="shared" si="2"/>
        <v>0</v>
      </c>
      <c r="AF35" s="93">
        <v>0.0</v>
      </c>
    </row>
    <row r="36">
      <c r="A36" s="86">
        <v>1999.0</v>
      </c>
      <c r="B36" s="87">
        <v>12.0</v>
      </c>
      <c r="C36" s="88" t="s">
        <v>54</v>
      </c>
      <c r="D36" s="93">
        <v>1775.0</v>
      </c>
      <c r="E36" s="93">
        <v>-2500.0</v>
      </c>
      <c r="F36" s="93">
        <v>49.74</v>
      </c>
      <c r="G36" s="93">
        <v>-157.14</v>
      </c>
      <c r="H36" s="93">
        <v>1544.19</v>
      </c>
      <c r="I36" s="93">
        <v>2889.18</v>
      </c>
      <c r="J36" s="93">
        <v>-1664.0</v>
      </c>
      <c r="K36" s="93"/>
      <c r="L36" s="93">
        <v>-160.25</v>
      </c>
      <c r="M36" s="93">
        <v>4.38</v>
      </c>
      <c r="N36" s="93">
        <v>3501.18</v>
      </c>
      <c r="O36" s="93">
        <v>61681.0</v>
      </c>
      <c r="P36" s="91">
        <f>IFERROR(__xludf.DUMMYFUNCTION("IFERROR(sum(FILTER($D:$N,$C:$C = $C36,$A:$A &lt; $A36,$B:$B = 12)),0) + sum($D36:$N36)"),61681.13)</f>
        <v>61681.13</v>
      </c>
      <c r="Q36" s="92">
        <f t="shared" si="1"/>
        <v>-0.13</v>
      </c>
      <c r="R36" s="91">
        <f t="array" ref="R36">IFERROR(INDEX('Fund YTD Target Values'!$1:$1000, MATCH($C36,'Fund YTD Target Values'!$A:$A,0), MATCH($A36,'Fund YTD Target Values'!$1:$1,0)),0)</f>
        <v>51528.05923</v>
      </c>
      <c r="S36" s="91">
        <f>IFERROR(__xludf.DUMMYFUNCTION("IFERROR(sum(FILTER('Fund Investment Data'!$V:$V, 'Fund Investment Data'!$C:$C = $C36, 'Fund Investment Data'!$A:$A &lt; $A36)),0) + IFERROR(sum(FILTER('Fund Investment Data'!$V:$V, 'Fund Investment Data'!$C:$C = $C36, 'Fund Investment Data'!$A:$A = $A36, 'Fu"&amp;"nd Investment Data'!$B:$B &lt;= $B36)),0)"),48826.45)</f>
        <v>48826.45</v>
      </c>
      <c r="T36" s="32"/>
      <c r="U36" s="32"/>
      <c r="V36" s="32">
        <f>IFERROR(__xludf.DUMMYFUNCTION("$D36 - IFERROR(FILTER($D:$D,$C:$C = $C36, $A:$A = $A36, $B:$B = $B36 - 1),0)"),1775.0)</f>
        <v>1775</v>
      </c>
      <c r="W36" s="93">
        <f>IFERROR(__xludf.DUMMYFUNCTION("$E36 - IFERROR(FILTER($E:$E,$C:$C = $C36, $A:$A = $A36, $B:$B = $B36 - 1),0)"),-2500.0)</f>
        <v>-2500</v>
      </c>
      <c r="X36" s="93"/>
      <c r="Y36" s="93"/>
      <c r="Z36" s="93">
        <v>0.0</v>
      </c>
      <c r="AA36" s="93">
        <v>0.0</v>
      </c>
      <c r="AB36" s="93">
        <v>0.0</v>
      </c>
      <c r="AC36" s="93"/>
      <c r="AD36" s="93">
        <v>0.0</v>
      </c>
      <c r="AE36" s="32">
        <f t="shared" si="2"/>
        <v>-2500</v>
      </c>
      <c r="AF36" s="93">
        <v>0.0</v>
      </c>
    </row>
    <row r="37">
      <c r="A37" s="86">
        <v>1999.0</v>
      </c>
      <c r="B37" s="87">
        <v>12.0</v>
      </c>
      <c r="C37" s="88" t="s">
        <v>35</v>
      </c>
      <c r="D37" s="93">
        <v>3375.0</v>
      </c>
      <c r="E37" s="93">
        <v>-10000.0</v>
      </c>
      <c r="F37" s="93">
        <v>297.06</v>
      </c>
      <c r="G37" s="93">
        <v>-912.67</v>
      </c>
      <c r="H37" s="93">
        <v>8902.75</v>
      </c>
      <c r="I37" s="93">
        <v>17084.75</v>
      </c>
      <c r="J37" s="93">
        <v>-9688.73</v>
      </c>
      <c r="K37" s="93"/>
      <c r="L37" s="93">
        <v>-1369.0</v>
      </c>
      <c r="M37" s="93">
        <v>81.49</v>
      </c>
      <c r="N37" s="93">
        <v>20389.25</v>
      </c>
      <c r="O37" s="93">
        <v>367566.0</v>
      </c>
      <c r="P37" s="91">
        <f>IFERROR(__xludf.DUMMYFUNCTION("IFERROR(sum(FILTER($D:$N,$C:$C = $C37,$A:$A &lt; $A37,$B:$B = 12)),0) + sum($D37:$N37)"),367565.0300000001)</f>
        <v>367565.03</v>
      </c>
      <c r="Q37" s="92">
        <f t="shared" si="1"/>
        <v>0.9699999999</v>
      </c>
      <c r="R37" s="91">
        <f t="array" ref="R37">IFERROR(INDEX('Fund YTD Target Values'!$1:$1000, MATCH($C37,'Fund YTD Target Values'!$A:$A,0), MATCH($A37,'Fund YTD Target Values'!$1:$1,0)),0)</f>
        <v>300167.4403</v>
      </c>
      <c r="S37" s="91">
        <f>IFERROR(__xludf.DUMMYFUNCTION("IFERROR(sum(FILTER('Fund Investment Data'!$V:$V, 'Fund Investment Data'!$C:$C = $C37, 'Fund Investment Data'!$A:$A &lt; $A37)),0) + IFERROR(sum(FILTER('Fund Investment Data'!$V:$V, 'Fund Investment Data'!$C:$C = $C37, 'Fund Investment Data'!$A:$A = $A37, 'Fu"&amp;"nd Investment Data'!$B:$B &lt;= $B37)),0)"),253375.0)</f>
        <v>253375</v>
      </c>
      <c r="T37" s="32"/>
      <c r="U37" s="32"/>
      <c r="V37" s="32">
        <f>IFERROR(__xludf.DUMMYFUNCTION("$D37 - IFERROR(FILTER($D:$D,$C:$C = $C37, $A:$A = $A37, $B:$B = $B37 - 1),0)"),3375.0)</f>
        <v>3375</v>
      </c>
      <c r="W37" s="93">
        <f>IFERROR(__xludf.DUMMYFUNCTION("$E37 - IFERROR(FILTER($E:$E,$C:$C = $C37, $A:$A = $A37, $B:$B = $B37 - 1),0)"),-10000.0)</f>
        <v>-10000</v>
      </c>
      <c r="X37" s="93"/>
      <c r="Y37" s="93"/>
      <c r="Z37" s="93">
        <v>0.0</v>
      </c>
      <c r="AA37" s="93">
        <v>0.0</v>
      </c>
      <c r="AB37" s="93">
        <v>0.0</v>
      </c>
      <c r="AC37" s="93"/>
      <c r="AD37" s="93">
        <v>0.0</v>
      </c>
      <c r="AE37" s="32">
        <f t="shared" si="2"/>
        <v>-10000</v>
      </c>
      <c r="AF37" s="93">
        <v>0.0</v>
      </c>
    </row>
    <row r="38">
      <c r="A38" s="86">
        <v>2000.0</v>
      </c>
      <c r="B38" s="87">
        <v>12.0</v>
      </c>
      <c r="C38" s="88" t="s">
        <v>27</v>
      </c>
      <c r="D38" s="93">
        <v>20617.0</v>
      </c>
      <c r="E38" s="93">
        <v>-7000.0</v>
      </c>
      <c r="F38" s="93"/>
      <c r="G38" s="93">
        <v>-508.31</v>
      </c>
      <c r="H38" s="93">
        <v>3825.35</v>
      </c>
      <c r="I38" s="32"/>
      <c r="J38" s="93">
        <v>-15806.44</v>
      </c>
      <c r="K38" s="93"/>
      <c r="L38" s="93">
        <v>-1250.88</v>
      </c>
      <c r="M38" s="93">
        <v>320.42</v>
      </c>
      <c r="N38" s="93">
        <v>14444.69</v>
      </c>
      <c r="O38" s="93">
        <v>167003.0</v>
      </c>
      <c r="P38" s="91">
        <f>IFERROR(__xludf.DUMMYFUNCTION("IFERROR(sum(FILTER($D:$N,$C:$C = $C38,$A:$A &lt; $A38,$B:$B = 12)),0) + sum($D38:$N38)"),167002.95999999996)</f>
        <v>167002.96</v>
      </c>
      <c r="Q38" s="92">
        <f t="shared" si="1"/>
        <v>0.04000000004</v>
      </c>
      <c r="R38" s="91">
        <f t="array" ref="R38">IFERROR(INDEX('Fund YTD Target Values'!$1:$1000, MATCH($C38,'Fund YTD Target Values'!$A:$A,0), MATCH($A38,'Fund YTD Target Values'!$1:$1,0)),0)</f>
        <v>141143.6844</v>
      </c>
      <c r="S38" s="91">
        <f>IFERROR(__xludf.DUMMYFUNCTION("IFERROR(sum(FILTER('Fund Investment Data'!$V:$V, 'Fund Investment Data'!$C:$C = $C38, 'Fund Investment Data'!$A:$A &lt; $A38)),0) + IFERROR(sum(FILTER('Fund Investment Data'!$V:$V, 'Fund Investment Data'!$C:$C = $C38, 'Fund Investment Data'!$A:$A = $A38, 'Fu"&amp;"nd Investment Data'!$B:$B &lt;= $B38)),0)"),131730.87)</f>
        <v>131730.87</v>
      </c>
      <c r="T38" s="32"/>
      <c r="U38" s="32"/>
      <c r="V38" s="32">
        <f>IFERROR(__xludf.DUMMYFUNCTION("$D38 - IFERROR(FILTER($D:$D,$C:$C = $C38, $A:$A = $A38, $B:$B = $B38 - 1),0)"),20617.0)</f>
        <v>20617</v>
      </c>
      <c r="W38" s="93">
        <f>IFERROR(__xludf.DUMMYFUNCTION("$E38 - IFERROR(FILTER($E:$E,$C:$C = $C38, $A:$A = $A38, $B:$B = $B38 - 1),0)"),-7000.0)</f>
        <v>-7000</v>
      </c>
      <c r="X38" s="93"/>
      <c r="Y38" s="93"/>
      <c r="Z38" s="93">
        <v>0.0</v>
      </c>
      <c r="AA38" s="93">
        <v>0.0</v>
      </c>
      <c r="AB38" s="93">
        <v>0.0</v>
      </c>
      <c r="AC38" s="93"/>
      <c r="AD38" s="93">
        <v>0.0</v>
      </c>
      <c r="AE38" s="32">
        <f t="shared" si="2"/>
        <v>-7000</v>
      </c>
      <c r="AF38" s="93">
        <v>0.0</v>
      </c>
    </row>
    <row r="39">
      <c r="A39" s="86">
        <v>2000.0</v>
      </c>
      <c r="B39" s="87">
        <v>12.0</v>
      </c>
      <c r="C39" s="88" t="s">
        <v>28</v>
      </c>
      <c r="D39" s="93">
        <v>174527.73</v>
      </c>
      <c r="E39" s="32"/>
      <c r="F39" s="93"/>
      <c r="G39" s="93">
        <v>-126.33</v>
      </c>
      <c r="H39" s="93">
        <v>1512.21</v>
      </c>
      <c r="I39" s="32"/>
      <c r="J39" s="93">
        <v>-23065.18</v>
      </c>
      <c r="K39" s="93"/>
      <c r="L39" s="93">
        <v>-172.93</v>
      </c>
      <c r="M39" s="93">
        <v>356.74</v>
      </c>
      <c r="N39" s="93">
        <v>14504.42</v>
      </c>
      <c r="O39" s="93">
        <v>167537.0</v>
      </c>
      <c r="P39" s="91">
        <f>IFERROR(__xludf.DUMMYFUNCTION("IFERROR(sum(FILTER($D:$N,$C:$C = $C39,$A:$A &lt; $A39,$B:$B = 12)),0) + sum($D39:$N39)"),167536.66000000003)</f>
        <v>167536.66</v>
      </c>
      <c r="Q39" s="92">
        <f t="shared" si="1"/>
        <v>0.34</v>
      </c>
      <c r="R39" s="91">
        <f t="array" ref="R39">IFERROR(INDEX('Fund YTD Target Values'!$1:$1000, MATCH($C39,'Fund YTD Target Values'!$A:$A,0), MATCH($A39,'Fund YTD Target Values'!$1:$1,0)),0)</f>
        <v>174527.73</v>
      </c>
      <c r="S39" s="91">
        <f>IFERROR(__xludf.DUMMYFUNCTION("IFERROR(sum(FILTER('Fund Investment Data'!$V:$V, 'Fund Investment Data'!$C:$C = $C39, 'Fund Investment Data'!$A:$A &lt; $A39)),0) + IFERROR(sum(FILTER('Fund Investment Data'!$V:$V, 'Fund Investment Data'!$C:$C = $C39, 'Fund Investment Data'!$A:$A = $A39, 'Fu"&amp;"nd Investment Data'!$B:$B &lt;= $B39)),0)"),174527.73)</f>
        <v>174527.73</v>
      </c>
      <c r="T39" s="93">
        <v>174528.0</v>
      </c>
      <c r="U39" s="32">
        <f>S39-T39</f>
        <v>-0.27</v>
      </c>
      <c r="V39" s="32">
        <f>IFERROR(__xludf.DUMMYFUNCTION("$D39 - IFERROR(FILTER($D:$D,$C:$C = $C39, $A:$A = $A39, $B:$B = $B39 - 1),0)"),174527.73)</f>
        <v>174527.73</v>
      </c>
      <c r="W39" s="93">
        <f>IFERROR(__xludf.DUMMYFUNCTION("$E39 - IFERROR(FILTER($E:$E,$C:$C = $C39, $A:$A = $A39, $B:$B = $B39 - 1),0)"),0.0)</f>
        <v>0</v>
      </c>
      <c r="X39" s="93"/>
      <c r="Y39" s="93"/>
      <c r="Z39" s="93">
        <v>0.0</v>
      </c>
      <c r="AA39" s="93">
        <v>0.0</v>
      </c>
      <c r="AB39" s="93">
        <v>0.0</v>
      </c>
      <c r="AC39" s="93"/>
      <c r="AD39" s="93">
        <v>0.0</v>
      </c>
      <c r="AE39" s="32">
        <f t="shared" si="2"/>
        <v>0</v>
      </c>
      <c r="AF39" s="93">
        <v>0.0</v>
      </c>
    </row>
    <row r="40">
      <c r="A40" s="86">
        <v>2000.0</v>
      </c>
      <c r="B40" s="87">
        <v>12.0</v>
      </c>
      <c r="C40" s="88" t="s">
        <v>36</v>
      </c>
      <c r="D40" s="93">
        <v>100.0</v>
      </c>
      <c r="E40" s="93">
        <v>-15000.0</v>
      </c>
      <c r="F40" s="93"/>
      <c r="G40" s="93">
        <v>-1146.0</v>
      </c>
      <c r="H40" s="93">
        <v>7252.0</v>
      </c>
      <c r="I40" s="93">
        <v>409.0</v>
      </c>
      <c r="J40" s="93">
        <v>-33639.0</v>
      </c>
      <c r="K40" s="93"/>
      <c r="L40" s="93">
        <v>-1889.0</v>
      </c>
      <c r="M40" s="93">
        <v>733.0</v>
      </c>
      <c r="N40" s="93">
        <v>31996.16</v>
      </c>
      <c r="O40" s="93">
        <v>369056.0</v>
      </c>
      <c r="P40" s="91">
        <f>IFERROR(__xludf.DUMMYFUNCTION("IFERROR(sum(FILTER($D:$N,$C:$C = $C40,$A:$A &lt; $A40,$B:$B = 12)),0) + sum($D40:$N40)"),369057.42000000004)</f>
        <v>369057.42</v>
      </c>
      <c r="Q40" s="92">
        <f t="shared" si="1"/>
        <v>-1.42</v>
      </c>
      <c r="R40" s="91">
        <f t="array" ref="R40">IFERROR(INDEX('Fund YTD Target Values'!$1:$1000, MATCH($C40,'Fund YTD Target Values'!$A:$A,0), MATCH($A40,'Fund YTD Target Values'!$1:$1,0)),0)</f>
        <v>295282.0555</v>
      </c>
      <c r="S40" s="91">
        <f>IFERROR(__xludf.DUMMYFUNCTION("IFERROR(sum(FILTER('Fund Investment Data'!$V:$V, 'Fund Investment Data'!$C:$C = $C40, 'Fund Investment Data'!$A:$A &lt; $A40)),0) + IFERROR(sum(FILTER('Fund Investment Data'!$V:$V, 'Fund Investment Data'!$C:$C = $C40, 'Fund Investment Data'!$A:$A = $A40, 'Fu"&amp;"nd Investment Data'!$B:$B &lt;= $B40)),0)"),268967.24)</f>
        <v>268967.24</v>
      </c>
      <c r="T40" s="32"/>
      <c r="U40" s="32"/>
      <c r="V40" s="32">
        <f>IFERROR(__xludf.DUMMYFUNCTION("$D40 - IFERROR(FILTER($D:$D,$C:$C = $C40, $A:$A = $A40, $B:$B = $B40 - 1),0)"),100.0)</f>
        <v>100</v>
      </c>
      <c r="W40" s="93">
        <f>IFERROR(__xludf.DUMMYFUNCTION("$E40 - IFERROR(FILTER($E:$E,$C:$C = $C40, $A:$A = $A40, $B:$B = $B40 - 1),0)"),-15000.0)</f>
        <v>-15000</v>
      </c>
      <c r="X40" s="93"/>
      <c r="Y40" s="93"/>
      <c r="Z40" s="93">
        <v>0.0</v>
      </c>
      <c r="AA40" s="93">
        <v>0.0</v>
      </c>
      <c r="AB40" s="93">
        <v>0.0</v>
      </c>
      <c r="AC40" s="93"/>
      <c r="AD40" s="93">
        <v>0.0</v>
      </c>
      <c r="AE40" s="32">
        <f t="shared" si="2"/>
        <v>-15000</v>
      </c>
      <c r="AF40" s="93">
        <v>0.0</v>
      </c>
    </row>
    <row r="41">
      <c r="A41" s="86">
        <v>2000.0</v>
      </c>
      <c r="B41" s="87">
        <v>12.0</v>
      </c>
      <c r="C41" s="88" t="s">
        <v>29</v>
      </c>
      <c r="D41" s="32"/>
      <c r="E41" s="93">
        <v>-1000.0</v>
      </c>
      <c r="F41" s="93"/>
      <c r="G41" s="93">
        <v>-179.73</v>
      </c>
      <c r="H41" s="93">
        <v>1276.49</v>
      </c>
      <c r="I41" s="93">
        <v>61.15</v>
      </c>
      <c r="J41" s="93">
        <v>-4450.97</v>
      </c>
      <c r="K41" s="93"/>
      <c r="L41" s="93">
        <v>-780.45</v>
      </c>
      <c r="M41" s="93">
        <v>120.16</v>
      </c>
      <c r="N41" s="93">
        <v>4617.04</v>
      </c>
      <c r="O41" s="93">
        <v>57863.0</v>
      </c>
      <c r="P41" s="91">
        <f>IFERROR(__xludf.DUMMYFUNCTION("IFERROR(sum(FILTER($D:$N,$C:$C = $C41,$A:$A &lt; $A41,$B:$B = 12)),0) + sum($D41:$N41)"),57862.249999999985)</f>
        <v>57862.25</v>
      </c>
      <c r="Q41" s="92">
        <f t="shared" si="1"/>
        <v>0.75</v>
      </c>
      <c r="R41" s="91">
        <f t="array" ref="R41">IFERROR(INDEX('Fund YTD Target Values'!$1:$1000, MATCH($C41,'Fund YTD Target Values'!$A:$A,0), MATCH($A41,'Fund YTD Target Values'!$1:$1,0)),0)</f>
        <v>52818.10881</v>
      </c>
      <c r="S41" s="91">
        <f>IFERROR(__xludf.DUMMYFUNCTION("IFERROR(sum(FILTER('Fund Investment Data'!$V:$V, 'Fund Investment Data'!$C:$C = $C41, 'Fund Investment Data'!$A:$A &lt; $A41)),0) + IFERROR(sum(FILTER('Fund Investment Data'!$V:$V, 'Fund Investment Data'!$C:$C = $C41, 'Fund Investment Data'!$A:$A = $A41, 'Fu"&amp;"nd Investment Data'!$B:$B &lt;= $B41)),0)"),50000.0)</f>
        <v>50000</v>
      </c>
      <c r="T41" s="93">
        <v>50000.0</v>
      </c>
      <c r="U41" s="32">
        <f>S41-T41</f>
        <v>0</v>
      </c>
      <c r="V41" s="32">
        <f>IFERROR(__xludf.DUMMYFUNCTION("$D41 - IFERROR(FILTER($D:$D,$C:$C = $C41, $A:$A = $A41, $B:$B = $B41 - 1),0)"),0.0)</f>
        <v>0</v>
      </c>
      <c r="W41" s="93">
        <f>IFERROR(__xludf.DUMMYFUNCTION("$E41 - IFERROR(FILTER($E:$E,$C:$C = $C41, $A:$A = $A41, $B:$B = $B41 - 1),0)"),-1000.0)</f>
        <v>-1000</v>
      </c>
      <c r="X41" s="93"/>
      <c r="Y41" s="93"/>
      <c r="Z41" s="93">
        <v>0.0</v>
      </c>
      <c r="AA41" s="93">
        <v>0.0</v>
      </c>
      <c r="AB41" s="93">
        <v>0.0</v>
      </c>
      <c r="AC41" s="93"/>
      <c r="AD41" s="93">
        <v>0.0</v>
      </c>
      <c r="AE41" s="32">
        <f t="shared" si="2"/>
        <v>-1000</v>
      </c>
      <c r="AF41" s="93">
        <v>0.0</v>
      </c>
    </row>
    <row r="42">
      <c r="A42" s="86">
        <v>2000.0</v>
      </c>
      <c r="B42" s="87">
        <v>12.0</v>
      </c>
      <c r="C42" s="88" t="s">
        <v>30</v>
      </c>
      <c r="D42" s="32"/>
      <c r="E42" s="32"/>
      <c r="F42" s="93"/>
      <c r="G42" s="93">
        <v>-54.84</v>
      </c>
      <c r="H42" s="93">
        <v>354.37</v>
      </c>
      <c r="I42" s="93">
        <v>19.32</v>
      </c>
      <c r="J42" s="93">
        <v>-1593.65</v>
      </c>
      <c r="K42" s="93"/>
      <c r="L42" s="93">
        <v>-90.58</v>
      </c>
      <c r="M42" s="93">
        <v>38.06</v>
      </c>
      <c r="N42" s="93">
        <v>1527.08</v>
      </c>
      <c r="O42" s="93">
        <v>17909.0</v>
      </c>
      <c r="P42" s="91">
        <f>IFERROR(__xludf.DUMMYFUNCTION("IFERROR(sum(FILTER($D:$N,$C:$C = $C42,$A:$A &lt; $A42,$B:$B = 12)),0) + sum($D42:$N42)"),17908.649999999998)</f>
        <v>17908.65</v>
      </c>
      <c r="Q42" s="92">
        <f t="shared" si="1"/>
        <v>0.35</v>
      </c>
      <c r="R42" s="91">
        <f t="array" ref="R42">IFERROR(INDEX('Fund YTD Target Values'!$1:$1000, MATCH($C42,'Fund YTD Target Values'!$A:$A,0), MATCH($A42,'Fund YTD Target Values'!$1:$1,0)),0)</f>
        <v>12670.27663</v>
      </c>
      <c r="S42" s="91">
        <f>IFERROR(__xludf.DUMMYFUNCTION("IFERROR(sum(FILTER('Fund Investment Data'!$V:$V, 'Fund Investment Data'!$C:$C = $C42, 'Fund Investment Data'!$A:$A &lt; $A42)),0) + IFERROR(sum(FILTER('Fund Investment Data'!$V:$V, 'Fund Investment Data'!$C:$C = $C42, 'Fund Investment Data'!$A:$A = $A42, 'Fu"&amp;"nd Investment Data'!$B:$B &lt;= $B42)),0)"),11540.75)</f>
        <v>11540.75</v>
      </c>
      <c r="T42" s="32"/>
      <c r="U42" s="32"/>
      <c r="V42" s="32">
        <f>IFERROR(__xludf.DUMMYFUNCTION("$D42 - IFERROR(FILTER($D:$D,$C:$C = $C42, $A:$A = $A42, $B:$B = $B42 - 1),0)"),0.0)</f>
        <v>0</v>
      </c>
      <c r="W42" s="93">
        <f>IFERROR(__xludf.DUMMYFUNCTION("$E42 - IFERROR(FILTER($E:$E,$C:$C = $C42, $A:$A = $A42, $B:$B = $B42 - 1),0)"),0.0)</f>
        <v>0</v>
      </c>
      <c r="X42" s="93"/>
      <c r="Y42" s="93"/>
      <c r="Z42" s="93">
        <v>0.0</v>
      </c>
      <c r="AA42" s="93">
        <v>0.0</v>
      </c>
      <c r="AB42" s="93">
        <v>0.0</v>
      </c>
      <c r="AC42" s="93"/>
      <c r="AD42" s="93">
        <v>0.0</v>
      </c>
      <c r="AE42" s="32">
        <f t="shared" si="2"/>
        <v>0</v>
      </c>
      <c r="AF42" s="93">
        <v>0.0</v>
      </c>
    </row>
    <row r="43">
      <c r="A43" s="86">
        <v>2000.0</v>
      </c>
      <c r="B43" s="87">
        <v>12.0</v>
      </c>
      <c r="C43" s="88" t="s">
        <v>47</v>
      </c>
      <c r="D43" s="93">
        <v>149960.64</v>
      </c>
      <c r="E43" s="32"/>
      <c r="F43" s="93"/>
      <c r="G43" s="93">
        <v>-354.89</v>
      </c>
      <c r="H43" s="93">
        <v>2838.14</v>
      </c>
      <c r="I43" s="32"/>
      <c r="J43" s="93">
        <v>-19085.52</v>
      </c>
      <c r="K43" s="93"/>
      <c r="L43" s="93">
        <v>-215.53</v>
      </c>
      <c r="M43" s="93">
        <v>543.2</v>
      </c>
      <c r="N43" s="93">
        <v>14730.63</v>
      </c>
      <c r="O43" s="93">
        <v>203599.0</v>
      </c>
      <c r="P43" s="91">
        <f>IFERROR(__xludf.DUMMYFUNCTION("IFERROR(sum(FILTER($D:$N,$C:$C = $C43,$A:$A &lt; $A43,$B:$B = 12)),0) + sum($D43:$N43)"),203598.67000000004)</f>
        <v>203598.67</v>
      </c>
      <c r="Q43" s="92">
        <f t="shared" si="1"/>
        <v>0.33</v>
      </c>
      <c r="R43" s="91">
        <f t="array" ref="R43">IFERROR(INDEX('Fund YTD Target Values'!$1:$1000, MATCH($C43,'Fund YTD Target Values'!$A:$A,0), MATCH($A43,'Fund YTD Target Values'!$1:$1,0)),0)</f>
        <v>206817.4614</v>
      </c>
      <c r="S43" s="91">
        <f>IFERROR(__xludf.DUMMYFUNCTION("IFERROR(sum(FILTER('Fund Investment Data'!$V:$V, 'Fund Investment Data'!$C:$C = $C43, 'Fund Investment Data'!$A:$A &lt; $A43)),0) + IFERROR(sum(FILTER('Fund Investment Data'!$V:$V, 'Fund Investment Data'!$C:$C = $C43, 'Fund Investment Data'!$A:$A = $A43, 'Fu"&amp;"nd Investment Data'!$B:$B &lt;= $B43)),0)"),204960.64)</f>
        <v>204960.64</v>
      </c>
      <c r="T43" s="32"/>
      <c r="U43" s="32"/>
      <c r="V43" s="32">
        <f>IFERROR(__xludf.DUMMYFUNCTION("$D43 - IFERROR(FILTER($D:$D,$C:$C = $C43, $A:$A = $A43, $B:$B = $B43 - 1),0)"),149960.64)</f>
        <v>149960.64</v>
      </c>
      <c r="W43" s="93">
        <f>IFERROR(__xludf.DUMMYFUNCTION("$E43 - IFERROR(FILTER($E:$E,$C:$C = $C43, $A:$A = $A43, $B:$B = $B43 - 1),0)"),0.0)</f>
        <v>0</v>
      </c>
      <c r="X43" s="93"/>
      <c r="Y43" s="93"/>
      <c r="Z43" s="93">
        <v>0.0</v>
      </c>
      <c r="AA43" s="93">
        <v>0.0</v>
      </c>
      <c r="AB43" s="93">
        <v>0.0</v>
      </c>
      <c r="AC43" s="93"/>
      <c r="AD43" s="93">
        <v>0.0</v>
      </c>
      <c r="AE43" s="32">
        <f t="shared" si="2"/>
        <v>0</v>
      </c>
      <c r="AF43" s="93">
        <v>0.0</v>
      </c>
    </row>
    <row r="44">
      <c r="A44" s="86">
        <v>2000.0</v>
      </c>
      <c r="B44" s="87">
        <v>12.0</v>
      </c>
      <c r="C44" s="88" t="s">
        <v>32</v>
      </c>
      <c r="D44" s="32"/>
      <c r="E44" s="93">
        <v>-1500.0</v>
      </c>
      <c r="F44" s="93"/>
      <c r="G44" s="93">
        <v>-215.09</v>
      </c>
      <c r="H44" s="93">
        <v>1426.39</v>
      </c>
      <c r="I44" s="93">
        <v>74.97</v>
      </c>
      <c r="J44" s="93">
        <v>-6166.41</v>
      </c>
      <c r="K44" s="93"/>
      <c r="L44" s="93">
        <v>-333.67</v>
      </c>
      <c r="M44" s="93">
        <v>142.64</v>
      </c>
      <c r="N44" s="93">
        <v>5850.2</v>
      </c>
      <c r="O44" s="93">
        <v>68802.0</v>
      </c>
      <c r="P44" s="91">
        <f>IFERROR(__xludf.DUMMYFUNCTION("IFERROR(sum(FILTER($D:$N,$C:$C = $C44,$A:$A &lt; $A44,$B:$B = 12)),0) + sum($D44:$N44)"),68802.33)</f>
        <v>68802.33</v>
      </c>
      <c r="Q44" s="92">
        <f t="shared" si="1"/>
        <v>-0.33</v>
      </c>
      <c r="R44" s="91">
        <f t="array" ref="R44">IFERROR(INDEX('Fund YTD Target Values'!$1:$1000, MATCH($C44,'Fund YTD Target Values'!$A:$A,0), MATCH($A44,'Fund YTD Target Values'!$1:$1,0)),0)</f>
        <v>54273.44161</v>
      </c>
      <c r="S44" s="91">
        <f>IFERROR(__xludf.DUMMYFUNCTION("IFERROR(sum(FILTER('Fund Investment Data'!$V:$V, 'Fund Investment Data'!$C:$C = $C44, 'Fund Investment Data'!$A:$A &lt; $A44)),0) + IFERROR(sum(FILTER('Fund Investment Data'!$V:$V, 'Fund Investment Data'!$C:$C = $C44, 'Fund Investment Data'!$A:$A = $A44, 'Fu"&amp;"nd Investment Data'!$B:$B &lt;= $B44)),0)"),49449.04)</f>
        <v>49449.04</v>
      </c>
      <c r="T44" s="32"/>
      <c r="U44" s="32"/>
      <c r="V44" s="32">
        <f>IFERROR(__xludf.DUMMYFUNCTION("$D44 - IFERROR(FILTER($D:$D,$C:$C = $C44, $A:$A = $A44, $B:$B = $B44 - 1),0)"),0.0)</f>
        <v>0</v>
      </c>
      <c r="W44" s="93">
        <f>IFERROR(__xludf.DUMMYFUNCTION("$E44 - IFERROR(FILTER($E:$E,$C:$C = $C44, $A:$A = $A44, $B:$B = $B44 - 1),0)"),-1500.0)</f>
        <v>-1500</v>
      </c>
      <c r="X44" s="93"/>
      <c r="Y44" s="93"/>
      <c r="Z44" s="93">
        <v>0.0</v>
      </c>
      <c r="AA44" s="93">
        <v>0.0</v>
      </c>
      <c r="AB44" s="93">
        <v>0.0</v>
      </c>
      <c r="AC44" s="93"/>
      <c r="AD44" s="93">
        <v>0.0</v>
      </c>
      <c r="AE44" s="32">
        <f t="shared" si="2"/>
        <v>-1500</v>
      </c>
      <c r="AF44" s="93">
        <v>0.0</v>
      </c>
    </row>
    <row r="45">
      <c r="A45" s="86">
        <v>2000.0</v>
      </c>
      <c r="B45" s="87">
        <v>12.0</v>
      </c>
      <c r="C45" s="88" t="s">
        <v>48</v>
      </c>
      <c r="D45" s="32"/>
      <c r="E45" s="93">
        <v>-45000.0</v>
      </c>
      <c r="F45" s="93"/>
      <c r="G45" s="93">
        <v>-3198.76</v>
      </c>
      <c r="H45" s="93">
        <v>32342.98</v>
      </c>
      <c r="I45" s="93">
        <v>1707.53</v>
      </c>
      <c r="J45" s="93">
        <v>-141814.36</v>
      </c>
      <c r="K45" s="93"/>
      <c r="L45" s="93">
        <v>-7329.73</v>
      </c>
      <c r="M45" s="93">
        <v>3183.69</v>
      </c>
      <c r="N45" s="93">
        <v>133977.49</v>
      </c>
      <c r="O45" s="93">
        <v>1585669.0</v>
      </c>
      <c r="P45" s="91">
        <f>IFERROR(__xludf.DUMMYFUNCTION("IFERROR(sum(FILTER($D:$N,$C:$C = $C45,$A:$A &lt; $A45,$B:$B = 12)),0) + sum($D45:$N45)"),1585668.52)</f>
        <v>1585668.52</v>
      </c>
      <c r="Q45" s="92">
        <f t="shared" si="1"/>
        <v>0.48</v>
      </c>
      <c r="R45" s="91">
        <f t="array" ref="R45">IFERROR(INDEX('Fund YTD Target Values'!$1:$1000, MATCH($C45,'Fund YTD Target Values'!$A:$A,0), MATCH($A45,'Fund YTD Target Values'!$1:$1,0)),0)</f>
        <v>1299803.988</v>
      </c>
      <c r="S45" s="91">
        <f>IFERROR(__xludf.DUMMYFUNCTION("IFERROR(sum(FILTER('Fund Investment Data'!$V:$V, 'Fund Investment Data'!$C:$C = $C45, 'Fund Investment Data'!$A:$A &lt; $A45)),0) + IFERROR(sum(FILTER('Fund Investment Data'!$V:$V, 'Fund Investment Data'!$C:$C = $C45, 'Fund Investment Data'!$A:$A = $A45, 'Fu"&amp;"nd Investment Data'!$B:$B &lt;= $B45)),0)"),1183929.39)</f>
        <v>1183929.39</v>
      </c>
      <c r="T45" s="93">
        <v>1140040.0</v>
      </c>
      <c r="U45" s="32">
        <f>S45-T45</f>
        <v>43889.39</v>
      </c>
      <c r="V45" s="32">
        <f>IFERROR(__xludf.DUMMYFUNCTION("$D45 - IFERROR(FILTER($D:$D,$C:$C = $C45, $A:$A = $A45, $B:$B = $B45 - 1),0)"),0.0)</f>
        <v>0</v>
      </c>
      <c r="W45" s="93">
        <f>IFERROR(__xludf.DUMMYFUNCTION("$E45 - IFERROR(FILTER($E:$E,$C:$C = $C45, $A:$A = $A45, $B:$B = $B45 - 1),0)"),-45000.0)</f>
        <v>-45000</v>
      </c>
      <c r="X45" s="93"/>
      <c r="Y45" s="93"/>
      <c r="Z45" s="93">
        <v>0.0</v>
      </c>
      <c r="AA45" s="93">
        <v>0.0</v>
      </c>
      <c r="AB45" s="93">
        <v>0.0</v>
      </c>
      <c r="AC45" s="93"/>
      <c r="AD45" s="93">
        <v>0.0</v>
      </c>
      <c r="AE45" s="32">
        <f t="shared" si="2"/>
        <v>-45000</v>
      </c>
      <c r="AF45" s="93">
        <v>0.0</v>
      </c>
    </row>
    <row r="46">
      <c r="A46" s="86">
        <v>2000.0</v>
      </c>
      <c r="B46" s="87">
        <v>12.0</v>
      </c>
      <c r="C46" s="88" t="s">
        <v>41</v>
      </c>
      <c r="D46" s="93">
        <v>62811.82</v>
      </c>
      <c r="E46" s="32"/>
      <c r="F46" s="93"/>
      <c r="G46" s="93">
        <v>-170.16</v>
      </c>
      <c r="H46" s="93">
        <v>1506.73</v>
      </c>
      <c r="I46" s="32"/>
      <c r="J46" s="93">
        <v>-5166.76</v>
      </c>
      <c r="K46" s="93"/>
      <c r="L46" s="93">
        <v>-198.42</v>
      </c>
      <c r="M46" s="93">
        <v>375.6</v>
      </c>
      <c r="N46" s="93">
        <v>4455.26</v>
      </c>
      <c r="O46" s="93">
        <v>102002.0</v>
      </c>
      <c r="P46" s="91">
        <f>IFERROR(__xludf.DUMMYFUNCTION("IFERROR(sum(FILTER($D:$N,$C:$C = $C46,$A:$A &lt; $A46,$B:$B = 12)),0) + sum($D46:$N46)"),102001.68)</f>
        <v>102001.68</v>
      </c>
      <c r="Q46" s="92">
        <f t="shared" si="1"/>
        <v>0.32</v>
      </c>
      <c r="R46" s="91">
        <f t="array" ref="R46">IFERROR(INDEX('Fund YTD Target Values'!$1:$1000, MATCH($C46,'Fund YTD Target Values'!$A:$A,0), MATCH($A46,'Fund YTD Target Values'!$1:$1,0)),0)</f>
        <v>99282.44203</v>
      </c>
      <c r="S46" s="91">
        <f>IFERROR(__xludf.DUMMYFUNCTION("IFERROR(sum(FILTER('Fund Investment Data'!$V:$V, 'Fund Investment Data'!$C:$C = $C46, 'Fund Investment Data'!$A:$A &lt; $A46)),0) + IFERROR(sum(FILTER('Fund Investment Data'!$V:$V, 'Fund Investment Data'!$C:$C = $C46, 'Fund Investment Data'!$A:$A = $A46, 'Fu"&amp;"nd Investment Data'!$B:$B &lt;= $B46)),0)"),98091.39)</f>
        <v>98091.39</v>
      </c>
      <c r="T46" s="32"/>
      <c r="U46" s="32"/>
      <c r="V46" s="32">
        <f>IFERROR(__xludf.DUMMYFUNCTION("$D46 - IFERROR(FILTER($D:$D,$C:$C = $C46, $A:$A = $A46, $B:$B = $B46 - 1),0)"),62811.82)</f>
        <v>62811.82</v>
      </c>
      <c r="W46" s="93">
        <f>IFERROR(__xludf.DUMMYFUNCTION("$E46 - IFERROR(FILTER($E:$E,$C:$C = $C46, $A:$A = $A46, $B:$B = $B46 - 1),0)"),0.0)</f>
        <v>0</v>
      </c>
      <c r="X46" s="93"/>
      <c r="Y46" s="93"/>
      <c r="Z46" s="93">
        <v>0.0</v>
      </c>
      <c r="AA46" s="93">
        <v>0.0</v>
      </c>
      <c r="AB46" s="93">
        <v>0.0</v>
      </c>
      <c r="AC46" s="93"/>
      <c r="AD46" s="93">
        <v>0.0</v>
      </c>
      <c r="AE46" s="32">
        <f t="shared" si="2"/>
        <v>0</v>
      </c>
      <c r="AF46" s="93">
        <v>0.0</v>
      </c>
    </row>
    <row r="47">
      <c r="A47" s="86">
        <v>2000.0</v>
      </c>
      <c r="B47" s="87">
        <v>12.0</v>
      </c>
      <c r="C47" s="88" t="s">
        <v>25</v>
      </c>
      <c r="D47" s="93">
        <v>20000.0</v>
      </c>
      <c r="E47" s="32"/>
      <c r="F47" s="93"/>
      <c r="G47" s="93">
        <v>0.0</v>
      </c>
      <c r="H47" s="93">
        <v>19.0</v>
      </c>
      <c r="I47" s="32"/>
      <c r="J47" s="93">
        <v>0.0</v>
      </c>
      <c r="K47" s="93"/>
      <c r="L47" s="93">
        <v>0.0</v>
      </c>
      <c r="M47" s="93">
        <v>98.0</v>
      </c>
      <c r="N47" s="93">
        <v>0.0</v>
      </c>
      <c r="O47" s="93">
        <v>20117.0</v>
      </c>
      <c r="P47" s="91">
        <f>IFERROR(__xludf.DUMMYFUNCTION("IFERROR(sum(FILTER($D:$N,$C:$C = $C47,$A:$A &lt; $A47,$B:$B = 12)),0) + sum($D47:$N47)"),20117.0)</f>
        <v>20117</v>
      </c>
      <c r="Q47" s="92">
        <f t="shared" si="1"/>
        <v>0</v>
      </c>
      <c r="R47" s="91">
        <f t="array" ref="R47">IFERROR(INDEX('Fund YTD Target Values'!$1:$1000, MATCH($C47,'Fund YTD Target Values'!$A:$A,0), MATCH($A47,'Fund YTD Target Values'!$1:$1,0)),0)</f>
        <v>20000</v>
      </c>
      <c r="S47" s="91">
        <f>IFERROR(__xludf.DUMMYFUNCTION("IFERROR(sum(FILTER('Fund Investment Data'!$V:$V, 'Fund Investment Data'!$C:$C = $C47, 'Fund Investment Data'!$A:$A &lt; $A47)),0) + IFERROR(sum(FILTER('Fund Investment Data'!$V:$V, 'Fund Investment Data'!$C:$C = $C47, 'Fund Investment Data'!$A:$A = $A47, 'Fu"&amp;"nd Investment Data'!$B:$B &lt;= $B47)),0)"),20000.0)</f>
        <v>20000</v>
      </c>
      <c r="T47" s="32"/>
      <c r="U47" s="32"/>
      <c r="V47" s="32">
        <f>IFERROR(__xludf.DUMMYFUNCTION("$D47 - IFERROR(FILTER($D:$D,$C:$C = $C47, $A:$A = $A47, $B:$B = $B47 - 1),0)"),20000.0)</f>
        <v>20000</v>
      </c>
      <c r="W47" s="93">
        <f>IFERROR(__xludf.DUMMYFUNCTION("$E47 - IFERROR(FILTER($E:$E,$C:$C = $C47, $A:$A = $A47, $B:$B = $B47 - 1),0)"),0.0)</f>
        <v>0</v>
      </c>
      <c r="X47" s="93"/>
      <c r="Y47" s="93"/>
      <c r="Z47" s="93">
        <v>0.0</v>
      </c>
      <c r="AA47" s="93">
        <v>0.0</v>
      </c>
      <c r="AB47" s="93">
        <v>0.0</v>
      </c>
      <c r="AC47" s="93"/>
      <c r="AD47" s="93">
        <v>0.0</v>
      </c>
      <c r="AE47" s="32">
        <f t="shared" si="2"/>
        <v>0</v>
      </c>
      <c r="AF47" s="93">
        <v>0.0</v>
      </c>
    </row>
    <row r="48">
      <c r="A48" s="86">
        <v>2000.0</v>
      </c>
      <c r="B48" s="87">
        <v>12.0</v>
      </c>
      <c r="C48" s="88" t="s">
        <v>33</v>
      </c>
      <c r="D48" s="93">
        <v>95409.84</v>
      </c>
      <c r="E48" s="32"/>
      <c r="F48" s="93"/>
      <c r="G48" s="93">
        <v>-146.06</v>
      </c>
      <c r="H48" s="93">
        <v>1438.52</v>
      </c>
      <c r="I48" s="93">
        <v>19.08</v>
      </c>
      <c r="J48" s="93">
        <v>-10254.9</v>
      </c>
      <c r="K48" s="93"/>
      <c r="L48" s="93">
        <v>-41.65</v>
      </c>
      <c r="M48" s="93">
        <v>213.83</v>
      </c>
      <c r="N48" s="93">
        <v>7825.56</v>
      </c>
      <c r="O48" s="93">
        <v>94464.0</v>
      </c>
      <c r="P48" s="91">
        <f>IFERROR(__xludf.DUMMYFUNCTION("IFERROR(sum(FILTER($D:$N,$C:$C = $C48,$A:$A &lt; $A48,$B:$B = 12)),0) + sum($D48:$N48)"),94464.22000000002)</f>
        <v>94464.22</v>
      </c>
      <c r="Q48" s="92">
        <f t="shared" si="1"/>
        <v>-0.22</v>
      </c>
      <c r="R48" s="91">
        <f t="array" ref="R48">IFERROR(INDEX('Fund YTD Target Values'!$1:$1000, MATCH($C48,'Fund YTD Target Values'!$A:$A,0), MATCH($A48,'Fund YTD Target Values'!$1:$1,0)),0)</f>
        <v>95409.84</v>
      </c>
      <c r="S48" s="91">
        <f>IFERROR(__xludf.DUMMYFUNCTION("IFERROR(sum(FILTER('Fund Investment Data'!$V:$V, 'Fund Investment Data'!$C:$C = $C48, 'Fund Investment Data'!$A:$A &lt; $A48)),0) + IFERROR(sum(FILTER('Fund Investment Data'!$V:$V, 'Fund Investment Data'!$C:$C = $C48, 'Fund Investment Data'!$A:$A = $A48, 'Fu"&amp;"nd Investment Data'!$B:$B &lt;= $B48)),0)"),95409.84)</f>
        <v>95409.84</v>
      </c>
      <c r="T48" s="32"/>
      <c r="U48" s="32"/>
      <c r="V48" s="32">
        <f>IFERROR(__xludf.DUMMYFUNCTION("$D48 - IFERROR(FILTER($D:$D,$C:$C = $C48, $A:$A = $A48, $B:$B = $B48 - 1),0)"),95409.84)</f>
        <v>95409.84</v>
      </c>
      <c r="W48" s="93">
        <f>IFERROR(__xludf.DUMMYFUNCTION("$E48 - IFERROR(FILTER($E:$E,$C:$C = $C48, $A:$A = $A48, $B:$B = $B48 - 1),0)"),0.0)</f>
        <v>0</v>
      </c>
      <c r="X48" s="93"/>
      <c r="Y48" s="93"/>
      <c r="Z48" s="93">
        <v>0.0</v>
      </c>
      <c r="AA48" s="93">
        <v>0.0</v>
      </c>
      <c r="AB48" s="93">
        <v>0.0</v>
      </c>
      <c r="AC48" s="93"/>
      <c r="AD48" s="93">
        <v>0.0</v>
      </c>
      <c r="AE48" s="32">
        <f t="shared" si="2"/>
        <v>0</v>
      </c>
      <c r="AF48" s="93">
        <v>0.0</v>
      </c>
    </row>
    <row r="49">
      <c r="A49" s="86">
        <v>2000.0</v>
      </c>
      <c r="B49" s="87">
        <v>12.0</v>
      </c>
      <c r="C49" s="88" t="s">
        <v>54</v>
      </c>
      <c r="D49" s="93">
        <v>2750.0</v>
      </c>
      <c r="E49" s="93">
        <v>-2500.0</v>
      </c>
      <c r="F49" s="93"/>
      <c r="G49" s="93">
        <v>-197.18</v>
      </c>
      <c r="H49" s="93">
        <v>1419.98</v>
      </c>
      <c r="I49" s="93">
        <v>67.13</v>
      </c>
      <c r="J49" s="93">
        <v>-5410.37</v>
      </c>
      <c r="K49" s="93"/>
      <c r="L49" s="93">
        <v>-335.56</v>
      </c>
      <c r="M49" s="93">
        <v>137.04</v>
      </c>
      <c r="N49" s="93">
        <v>5126.11</v>
      </c>
      <c r="O49" s="93">
        <v>62738.0</v>
      </c>
      <c r="P49" s="91">
        <f>IFERROR(__xludf.DUMMYFUNCTION("IFERROR(sum(FILTER($D:$N,$C:$C = $C49,$A:$A &lt; $A49,$B:$B = 12)),0) + sum($D49:$N49)"),62738.28)</f>
        <v>62738.28</v>
      </c>
      <c r="Q49" s="92">
        <f t="shared" si="1"/>
        <v>-0.28</v>
      </c>
      <c r="R49" s="91">
        <f t="array" ref="R49">IFERROR(INDEX('Fund YTD Target Values'!$1:$1000, MATCH($C49,'Fund YTD Target Values'!$A:$A,0), MATCH($A49,'Fund YTD Target Values'!$1:$1,0)),0)</f>
        <v>56017.66659</v>
      </c>
      <c r="S49" s="91">
        <f>IFERROR(__xludf.DUMMYFUNCTION("IFERROR(sum(FILTER('Fund Investment Data'!$V:$V, 'Fund Investment Data'!$C:$C = $C49, 'Fund Investment Data'!$A:$A &lt; $A49)),0) + IFERROR(sum(FILTER('Fund Investment Data'!$V:$V, 'Fund Investment Data'!$C:$C = $C49, 'Fund Investment Data'!$A:$A = $A49, 'Fu"&amp;"nd Investment Data'!$B:$B &lt;= $B49)),0)"),51576.45)</f>
        <v>51576.45</v>
      </c>
      <c r="T49" s="32"/>
      <c r="U49" s="32"/>
      <c r="V49" s="32">
        <f>IFERROR(__xludf.DUMMYFUNCTION("$D49 - IFERROR(FILTER($D:$D,$C:$C = $C49, $A:$A = $A49, $B:$B = $B49 - 1),0)"),2750.0)</f>
        <v>2750</v>
      </c>
      <c r="W49" s="93">
        <f>IFERROR(__xludf.DUMMYFUNCTION("$E49 - IFERROR(FILTER($E:$E,$C:$C = $C49, $A:$A = $A49, $B:$B = $B49 - 1),0)"),-2500.0)</f>
        <v>-2500</v>
      </c>
      <c r="X49" s="93"/>
      <c r="Y49" s="93"/>
      <c r="Z49" s="93">
        <v>0.0</v>
      </c>
      <c r="AA49" s="93">
        <v>0.0</v>
      </c>
      <c r="AB49" s="93">
        <v>0.0</v>
      </c>
      <c r="AC49" s="93"/>
      <c r="AD49" s="93">
        <v>0.0</v>
      </c>
      <c r="AE49" s="32">
        <f t="shared" si="2"/>
        <v>-2500</v>
      </c>
      <c r="AF49" s="93">
        <v>0.0</v>
      </c>
    </row>
    <row r="50">
      <c r="A50" s="86">
        <v>2000.0</v>
      </c>
      <c r="B50" s="87">
        <v>12.0</v>
      </c>
      <c r="C50" s="88" t="s">
        <v>35</v>
      </c>
      <c r="D50" s="32"/>
      <c r="E50" s="93">
        <v>-20000.0</v>
      </c>
      <c r="F50" s="93"/>
      <c r="G50" s="93">
        <v>-1136.48</v>
      </c>
      <c r="H50" s="93">
        <v>8049.96</v>
      </c>
      <c r="I50" s="93">
        <v>384.35</v>
      </c>
      <c r="J50" s="93">
        <v>-31980.04</v>
      </c>
      <c r="K50" s="93"/>
      <c r="L50" s="93">
        <v>-1564.82</v>
      </c>
      <c r="M50" s="93">
        <v>672.92</v>
      </c>
      <c r="N50" s="93">
        <v>29925.37</v>
      </c>
      <c r="O50" s="93">
        <v>351917.0</v>
      </c>
      <c r="P50" s="91">
        <f>IFERROR(__xludf.DUMMYFUNCTION("IFERROR(sum(FILTER($D:$N,$C:$C = $C50,$A:$A &lt; $A50,$B:$B = 12)),0) + sum($D50:$N50)"),351916.2900000001)</f>
        <v>351916.29</v>
      </c>
      <c r="Q50" s="92">
        <f t="shared" si="1"/>
        <v>0.7099999999</v>
      </c>
      <c r="R50" s="91">
        <f t="array" ref="R50">IFERROR(INDEX('Fund YTD Target Values'!$1:$1000, MATCH($C50,'Fund YTD Target Values'!$A:$A,0), MATCH($A50,'Fund YTD Target Values'!$1:$1,0)),0)</f>
        <v>310301.21</v>
      </c>
      <c r="S50" s="91">
        <f>IFERROR(__xludf.DUMMYFUNCTION("IFERROR(sum(FILTER('Fund Investment Data'!$V:$V, 'Fund Investment Data'!$C:$C = $C50, 'Fund Investment Data'!$A:$A &lt; $A50)),0) + IFERROR(sum(FILTER('Fund Investment Data'!$V:$V, 'Fund Investment Data'!$C:$C = $C50, 'Fund Investment Data'!$A:$A = $A50, 'Fu"&amp;"nd Investment Data'!$B:$B &lt;= $B50)),0)"),253375.0)</f>
        <v>253375</v>
      </c>
      <c r="T50" s="32"/>
      <c r="U50" s="32"/>
      <c r="V50" s="32">
        <f>IFERROR(__xludf.DUMMYFUNCTION("$D50 - IFERROR(FILTER($D:$D,$C:$C = $C50, $A:$A = $A50, $B:$B = $B50 - 1),0)"),0.0)</f>
        <v>0</v>
      </c>
      <c r="W50" s="93">
        <f>IFERROR(__xludf.DUMMYFUNCTION("$E50 - IFERROR(FILTER($E:$E,$C:$C = $C50, $A:$A = $A50, $B:$B = $B50 - 1),0)"),-20000.0)</f>
        <v>-20000</v>
      </c>
      <c r="X50" s="93"/>
      <c r="Y50" s="93"/>
      <c r="Z50" s="93">
        <v>0.0</v>
      </c>
      <c r="AA50" s="93">
        <v>0.0</v>
      </c>
      <c r="AB50" s="93">
        <v>0.0</v>
      </c>
      <c r="AC50" s="93"/>
      <c r="AD50" s="93">
        <v>0.0</v>
      </c>
      <c r="AE50" s="32">
        <f t="shared" si="2"/>
        <v>-20000</v>
      </c>
      <c r="AF50" s="93">
        <v>0.0</v>
      </c>
    </row>
    <row r="51">
      <c r="A51" s="86">
        <v>2001.0</v>
      </c>
      <c r="B51" s="87">
        <v>12.0</v>
      </c>
      <c r="C51" s="88" t="s">
        <v>27</v>
      </c>
      <c r="D51" s="93">
        <v>21805.53</v>
      </c>
      <c r="E51" s="93">
        <v>-2000.0</v>
      </c>
      <c r="F51" s="93"/>
      <c r="G51" s="93">
        <v>-514.19</v>
      </c>
      <c r="H51" s="93">
        <v>5035.49</v>
      </c>
      <c r="I51" s="93">
        <v>466.47</v>
      </c>
      <c r="J51" s="93">
        <v>-3729.63</v>
      </c>
      <c r="K51" s="93"/>
      <c r="L51" s="93">
        <v>-6029.98</v>
      </c>
      <c r="M51" s="93">
        <v>-347.25</v>
      </c>
      <c r="N51" s="93">
        <v>495.34</v>
      </c>
      <c r="O51" s="93">
        <v>182185.0</v>
      </c>
      <c r="P51" s="91">
        <f>IFERROR(__xludf.DUMMYFUNCTION("IFERROR(sum(FILTER($D:$N,$C:$C = $C51,$A:$A &lt; $A51,$B:$B = 12)),0) + sum($D51:$N51)"),182184.74)</f>
        <v>182184.74</v>
      </c>
      <c r="Q51" s="92">
        <f t="shared" si="1"/>
        <v>0.26</v>
      </c>
      <c r="R51" s="91">
        <f t="array" ref="R51">IFERROR(INDEX('Fund YTD Target Values'!$1:$1000, MATCH($C51,'Fund YTD Target Values'!$A:$A,0), MATCH($A51,'Fund YTD Target Values'!$1:$1,0)),0)</f>
        <v>166946.001</v>
      </c>
      <c r="S51" s="91">
        <f>IFERROR(__xludf.DUMMYFUNCTION("IFERROR(sum(FILTER('Fund Investment Data'!$V:$V, 'Fund Investment Data'!$C:$C = $C51, 'Fund Investment Data'!$A:$A &lt; $A51)),0) + IFERROR(sum(FILTER('Fund Investment Data'!$V:$V, 'Fund Investment Data'!$C:$C = $C51, 'Fund Investment Data'!$A:$A = $A51, 'Fu"&amp;"nd Investment Data'!$B:$B &lt;= $B51)),0)"),153536.4)</f>
        <v>153536.4</v>
      </c>
      <c r="T51" s="32"/>
      <c r="U51" s="32"/>
      <c r="V51" s="32">
        <f>IFERROR(__xludf.DUMMYFUNCTION("$D51 - IFERROR(FILTER($D:$D,$C:$C = $C51, $A:$A = $A51, $B:$B = $B51 - 1),0)"),21805.53)</f>
        <v>21805.53</v>
      </c>
      <c r="W51" s="93">
        <f>IFERROR(__xludf.DUMMYFUNCTION("$E51 - IFERROR(FILTER($E:$E,$C:$C = $C51, $A:$A = $A51, $B:$B = $B51 - 1),0)"),-2000.0)</f>
        <v>-2000</v>
      </c>
      <c r="X51" s="93"/>
      <c r="Y51" s="93"/>
      <c r="Z51" s="93">
        <v>0.0</v>
      </c>
      <c r="AA51" s="93">
        <v>0.0</v>
      </c>
      <c r="AB51" s="93">
        <v>0.0</v>
      </c>
      <c r="AC51" s="93"/>
      <c r="AD51" s="93">
        <v>0.0</v>
      </c>
      <c r="AE51" s="32">
        <f t="shared" si="2"/>
        <v>-2000</v>
      </c>
      <c r="AF51" s="93">
        <v>0.0</v>
      </c>
    </row>
    <row r="52">
      <c r="A52" s="86">
        <v>2001.0</v>
      </c>
      <c r="B52" s="87">
        <v>12.0</v>
      </c>
      <c r="C52" s="88" t="s">
        <v>28</v>
      </c>
      <c r="D52" s="93">
        <v>181319.5</v>
      </c>
      <c r="E52" s="32"/>
      <c r="F52" s="93"/>
      <c r="G52" s="93">
        <v>-607.22</v>
      </c>
      <c r="H52" s="93">
        <v>5091.74</v>
      </c>
      <c r="I52" s="93">
        <v>17.36</v>
      </c>
      <c r="J52" s="93">
        <v>1821.18</v>
      </c>
      <c r="K52" s="93"/>
      <c r="L52" s="93">
        <v>-12487.58</v>
      </c>
      <c r="M52" s="93">
        <v>-193.29</v>
      </c>
      <c r="N52" s="93">
        <v>590.98</v>
      </c>
      <c r="O52" s="93">
        <v>343090.0</v>
      </c>
      <c r="P52" s="91">
        <f>IFERROR(__xludf.DUMMYFUNCTION("IFERROR(sum(FILTER($D:$N,$C:$C = $C52,$A:$A &lt; $A52,$B:$B = 12)),0) + sum($D52:$N52)"),343089.33)</f>
        <v>343089.33</v>
      </c>
      <c r="Q52" s="92">
        <f t="shared" si="1"/>
        <v>0.67</v>
      </c>
      <c r="R52" s="91">
        <f t="array" ref="R52">IFERROR(INDEX('Fund YTD Target Values'!$1:$1000, MATCH($C52,'Fund YTD Target Values'!$A:$A,0), MATCH($A52,'Fund YTD Target Values'!$1:$1,0)),0)</f>
        <v>360789.3576</v>
      </c>
      <c r="S52" s="91">
        <f>IFERROR(__xludf.DUMMYFUNCTION("IFERROR(sum(FILTER('Fund Investment Data'!$V:$V, 'Fund Investment Data'!$C:$C = $C52, 'Fund Investment Data'!$A:$A &lt; $A52)),0) + IFERROR(sum(FILTER('Fund Investment Data'!$V:$V, 'Fund Investment Data'!$C:$C = $C52, 'Fund Investment Data'!$A:$A = $A52, 'Fu"&amp;"nd Investment Data'!$B:$B &lt;= $B52)),0)"),355847.23)</f>
        <v>355847.23</v>
      </c>
      <c r="T52" s="93">
        <v>355847.0</v>
      </c>
      <c r="U52" s="32">
        <f>S52-T52</f>
        <v>0.23</v>
      </c>
      <c r="V52" s="32">
        <f>IFERROR(__xludf.DUMMYFUNCTION("$D52 - IFERROR(FILTER($D:$D,$C:$C = $C52, $A:$A = $A52, $B:$B = $B52 - 1),0)"),181319.5)</f>
        <v>181319.5</v>
      </c>
      <c r="W52" s="93">
        <f>IFERROR(__xludf.DUMMYFUNCTION("$E52 - IFERROR(FILTER($E:$E,$C:$C = $C52, $A:$A = $A52, $B:$B = $B52 - 1),0)"),0.0)</f>
        <v>0</v>
      </c>
      <c r="X52" s="93"/>
      <c r="Y52" s="93"/>
      <c r="Z52" s="93">
        <v>0.0</v>
      </c>
      <c r="AA52" s="93">
        <v>0.0</v>
      </c>
      <c r="AB52" s="93">
        <v>0.0</v>
      </c>
      <c r="AC52" s="93"/>
      <c r="AD52" s="93">
        <v>0.0</v>
      </c>
      <c r="AE52" s="32">
        <f t="shared" si="2"/>
        <v>0</v>
      </c>
      <c r="AF52" s="93">
        <v>0.0</v>
      </c>
    </row>
    <row r="53">
      <c r="A53" s="86">
        <v>2001.0</v>
      </c>
      <c r="B53" s="87">
        <v>12.0</v>
      </c>
      <c r="C53" s="88" t="s">
        <v>36</v>
      </c>
      <c r="D53" s="93">
        <v>10100.0</v>
      </c>
      <c r="E53" s="93">
        <v>-5000.0</v>
      </c>
      <c r="F53" s="93"/>
      <c r="G53" s="93">
        <v>-1089.0</v>
      </c>
      <c r="H53" s="93">
        <v>9855.0</v>
      </c>
      <c r="I53" s="93">
        <v>4335.0</v>
      </c>
      <c r="J53" s="93">
        <v>-13205.0</v>
      </c>
      <c r="K53" s="93"/>
      <c r="L53" s="93">
        <v>-12589.0</v>
      </c>
      <c r="M53" s="93">
        <v>-744.0</v>
      </c>
      <c r="N53" s="93">
        <v>1019.23</v>
      </c>
      <c r="O53" s="93">
        <v>361739.0</v>
      </c>
      <c r="P53" s="91">
        <f>IFERROR(__xludf.DUMMYFUNCTION("IFERROR(sum(FILTER($D:$N,$C:$C = $C53,$A:$A &lt; $A53,$B:$B = 12)),0) + sum($D53:$N53)"),361739.65)</f>
        <v>361739.65</v>
      </c>
      <c r="Q53" s="92">
        <f t="shared" si="1"/>
        <v>-0.65</v>
      </c>
      <c r="R53" s="91">
        <f t="array" ref="R53">IFERROR(INDEX('Fund YTD Target Values'!$1:$1000, MATCH($C53,'Fund YTD Target Values'!$A:$A,0), MATCH($A53,'Fund YTD Target Values'!$1:$1,0)),0)</f>
        <v>313743.6012</v>
      </c>
      <c r="S53" s="91">
        <f>IFERROR(__xludf.DUMMYFUNCTION("IFERROR(sum(FILTER('Fund Investment Data'!$V:$V, 'Fund Investment Data'!$C:$C = $C53, 'Fund Investment Data'!$A:$A &lt; $A53)),0) + IFERROR(sum(FILTER('Fund Investment Data'!$V:$V, 'Fund Investment Data'!$C:$C = $C53, 'Fund Investment Data'!$A:$A = $A53, 'Fu"&amp;"nd Investment Data'!$B:$B &lt;= $B53)),0)"),279067.24)</f>
        <v>279067.24</v>
      </c>
      <c r="T53" s="32"/>
      <c r="U53" s="32"/>
      <c r="V53" s="32">
        <f>IFERROR(__xludf.DUMMYFUNCTION("$D53 - IFERROR(FILTER($D:$D,$C:$C = $C53, $A:$A = $A53, $B:$B = $B53 - 1),0)"),10100.0)</f>
        <v>10100</v>
      </c>
      <c r="W53" s="93">
        <f>IFERROR(__xludf.DUMMYFUNCTION("$E53 - IFERROR(FILTER($E:$E,$C:$C = $C53, $A:$A = $A53, $B:$B = $B53 - 1),0)"),-5000.0)</f>
        <v>-5000</v>
      </c>
      <c r="X53" s="93"/>
      <c r="Y53" s="93"/>
      <c r="Z53" s="93">
        <v>0.0</v>
      </c>
      <c r="AA53" s="93">
        <v>0.0</v>
      </c>
      <c r="AB53" s="93">
        <v>0.0</v>
      </c>
      <c r="AC53" s="93"/>
      <c r="AD53" s="93">
        <v>0.0</v>
      </c>
      <c r="AE53" s="32">
        <f t="shared" si="2"/>
        <v>-5000</v>
      </c>
      <c r="AF53" s="93">
        <v>0.0</v>
      </c>
    </row>
    <row r="54">
      <c r="A54" s="86">
        <v>2001.0</v>
      </c>
      <c r="B54" s="87">
        <v>12.0</v>
      </c>
      <c r="C54" s="88" t="s">
        <v>29</v>
      </c>
      <c r="D54" s="32"/>
      <c r="E54" s="93">
        <v>-1000.0</v>
      </c>
      <c r="F54" s="93"/>
      <c r="G54" s="93">
        <v>-168.16</v>
      </c>
      <c r="H54" s="93">
        <v>1667.29</v>
      </c>
      <c r="I54" s="93">
        <v>209.3</v>
      </c>
      <c r="J54" s="93">
        <v>-534.73</v>
      </c>
      <c r="K54" s="93"/>
      <c r="L54" s="93">
        <v>-2855.64</v>
      </c>
      <c r="M54" s="93">
        <v>-130.58</v>
      </c>
      <c r="N54" s="93">
        <v>162.17</v>
      </c>
      <c r="O54" s="93">
        <v>55213.0</v>
      </c>
      <c r="P54" s="91">
        <f>IFERROR(__xludf.DUMMYFUNCTION("IFERROR(sum(FILTER($D:$N,$C:$C = $C54,$A:$A &lt; $A54,$B:$B = 12)),0) + sum($D54:$N54)"),55211.89999999999)</f>
        <v>55211.9</v>
      </c>
      <c r="Q54" s="92">
        <f t="shared" si="1"/>
        <v>1.1</v>
      </c>
      <c r="R54" s="91">
        <f t="array" ref="R54">IFERROR(INDEX('Fund YTD Target Values'!$1:$1000, MATCH($C54,'Fund YTD Target Values'!$A:$A,0), MATCH($A54,'Fund YTD Target Values'!$1:$1,0)),0)</f>
        <v>54313.76704</v>
      </c>
      <c r="S54" s="91">
        <f>IFERROR(__xludf.DUMMYFUNCTION("IFERROR(sum(FILTER('Fund Investment Data'!$V:$V, 'Fund Investment Data'!$C:$C = $C54, 'Fund Investment Data'!$A:$A &lt; $A54)),0) + IFERROR(sum(FILTER('Fund Investment Data'!$V:$V, 'Fund Investment Data'!$C:$C = $C54, 'Fund Investment Data'!$A:$A = $A54, 'Fu"&amp;"nd Investment Data'!$B:$B &lt;= $B54)),0)"),50000.0)</f>
        <v>50000</v>
      </c>
      <c r="T54" s="93">
        <v>50000.0</v>
      </c>
      <c r="U54" s="32">
        <f>S54-T54</f>
        <v>0</v>
      </c>
      <c r="V54" s="32">
        <f>IFERROR(__xludf.DUMMYFUNCTION("$D54 - IFERROR(FILTER($D:$D,$C:$C = $C54, $A:$A = $A54, $B:$B = $B54 - 1),0)"),0.0)</f>
        <v>0</v>
      </c>
      <c r="W54" s="93">
        <f>IFERROR(__xludf.DUMMYFUNCTION("$E54 - IFERROR(FILTER($E:$E,$C:$C = $C54, $A:$A = $A54, $B:$B = $B54 - 1),0)"),-1000.0)</f>
        <v>-1000</v>
      </c>
      <c r="X54" s="93"/>
      <c r="Y54" s="93"/>
      <c r="Z54" s="93">
        <v>0.0</v>
      </c>
      <c r="AA54" s="93">
        <v>0.0</v>
      </c>
      <c r="AB54" s="93">
        <v>0.0</v>
      </c>
      <c r="AC54" s="93"/>
      <c r="AD54" s="93">
        <v>0.0</v>
      </c>
      <c r="AE54" s="32">
        <f t="shared" si="2"/>
        <v>-1000</v>
      </c>
      <c r="AF54" s="93">
        <v>0.0</v>
      </c>
    </row>
    <row r="55">
      <c r="A55" s="86">
        <v>2001.0</v>
      </c>
      <c r="B55" s="87">
        <v>12.0</v>
      </c>
      <c r="C55" s="88" t="s">
        <v>30</v>
      </c>
      <c r="D55" s="32"/>
      <c r="E55" s="93">
        <v>-3000.0</v>
      </c>
      <c r="F55" s="93"/>
      <c r="G55" s="93">
        <v>-54.35</v>
      </c>
      <c r="H55" s="93">
        <v>479.22</v>
      </c>
      <c r="I55" s="93">
        <v>211.96</v>
      </c>
      <c r="J55" s="93">
        <v>-562.85</v>
      </c>
      <c r="K55" s="93"/>
      <c r="L55" s="93">
        <v>-699.45</v>
      </c>
      <c r="M55" s="93">
        <v>-38.11</v>
      </c>
      <c r="N55" s="93">
        <v>49.67</v>
      </c>
      <c r="O55" s="93">
        <v>14295.0</v>
      </c>
      <c r="P55" s="91">
        <f>IFERROR(__xludf.DUMMYFUNCTION("IFERROR(sum(FILTER($D:$N,$C:$C = $C55,$A:$A &lt; $A55,$B:$B = 12)),0) + sum($D55:$N55)"),14294.739999999994)</f>
        <v>14294.74</v>
      </c>
      <c r="Q55" s="92">
        <f t="shared" si="1"/>
        <v>0.26</v>
      </c>
      <c r="R55" s="91">
        <f t="array" ref="R55">IFERROR(INDEX('Fund YTD Target Values'!$1:$1000, MATCH($C55,'Fund YTD Target Values'!$A:$A,0), MATCH($A55,'Fund YTD Target Values'!$1:$1,0)),0)</f>
        <v>13029.06273</v>
      </c>
      <c r="S55" s="91">
        <f>IFERROR(__xludf.DUMMYFUNCTION("IFERROR(sum(FILTER('Fund Investment Data'!$V:$V, 'Fund Investment Data'!$C:$C = $C55, 'Fund Investment Data'!$A:$A &lt; $A55)),0) + IFERROR(sum(FILTER('Fund Investment Data'!$V:$V, 'Fund Investment Data'!$C:$C = $C55, 'Fund Investment Data'!$A:$A = $A55, 'Fu"&amp;"nd Investment Data'!$B:$B &lt;= $B55)),0)"),11540.75)</f>
        <v>11540.75</v>
      </c>
      <c r="T55" s="32"/>
      <c r="U55" s="32"/>
      <c r="V55" s="32">
        <f>IFERROR(__xludf.DUMMYFUNCTION("$D55 - IFERROR(FILTER($D:$D,$C:$C = $C55, $A:$A = $A55, $B:$B = $B55 - 1),0)"),0.0)</f>
        <v>0</v>
      </c>
      <c r="W55" s="93">
        <f>IFERROR(__xludf.DUMMYFUNCTION("$E55 - IFERROR(FILTER($E:$E,$C:$C = $C55, $A:$A = $A55, $B:$B = $B55 - 1),0)"),-3000.0)</f>
        <v>-3000</v>
      </c>
      <c r="X55" s="93"/>
      <c r="Y55" s="93"/>
      <c r="Z55" s="93">
        <v>0.0</v>
      </c>
      <c r="AA55" s="93">
        <v>0.0</v>
      </c>
      <c r="AB55" s="93">
        <v>0.0</v>
      </c>
      <c r="AC55" s="93"/>
      <c r="AD55" s="93">
        <v>0.0</v>
      </c>
      <c r="AE55" s="32">
        <f t="shared" si="2"/>
        <v>-3000</v>
      </c>
      <c r="AF55" s="93">
        <v>0.0</v>
      </c>
    </row>
    <row r="56">
      <c r="A56" s="86">
        <v>2001.0</v>
      </c>
      <c r="B56" s="87">
        <v>12.0</v>
      </c>
      <c r="C56" s="88" t="s">
        <v>47</v>
      </c>
      <c r="D56" s="93">
        <v>276485.17</v>
      </c>
      <c r="E56" s="32"/>
      <c r="F56" s="93"/>
      <c r="G56" s="93">
        <v>-937.66</v>
      </c>
      <c r="H56" s="93">
        <v>9343.2</v>
      </c>
      <c r="I56" s="93">
        <v>62.51</v>
      </c>
      <c r="J56" s="93">
        <v>-3560.31</v>
      </c>
      <c r="K56" s="93"/>
      <c r="L56" s="93">
        <v>-16974.99</v>
      </c>
      <c r="M56" s="93">
        <v>-398.22</v>
      </c>
      <c r="N56" s="93">
        <v>967.8</v>
      </c>
      <c r="O56" s="93">
        <v>468587.0</v>
      </c>
      <c r="P56" s="91">
        <f>IFERROR(__xludf.DUMMYFUNCTION("IFERROR(sum(FILTER($D:$N,$C:$C = $C56,$A:$A &lt; $A56,$B:$B = 12)),0) + sum($D56:$N56)"),468586.1700000001)</f>
        <v>468586.17</v>
      </c>
      <c r="Q56" s="92">
        <f t="shared" si="1"/>
        <v>0.8299999999</v>
      </c>
      <c r="R56" s="91">
        <f t="array" ref="R56">IFERROR(INDEX('Fund YTD Target Values'!$1:$1000, MATCH($C56,'Fund YTD Target Values'!$A:$A,0), MATCH($A56,'Fund YTD Target Values'!$1:$1,0)),0)</f>
        <v>489159.1122</v>
      </c>
      <c r="S56" s="91">
        <f>IFERROR(__xludf.DUMMYFUNCTION("IFERROR(sum(FILTER('Fund Investment Data'!$V:$V, 'Fund Investment Data'!$C:$C = $C56, 'Fund Investment Data'!$A:$A &lt; $A56)),0) + IFERROR(sum(FILTER('Fund Investment Data'!$V:$V, 'Fund Investment Data'!$C:$C = $C56, 'Fund Investment Data'!$A:$A = $A56, 'Fu"&amp;"nd Investment Data'!$B:$B &lt;= $B56)),0)"),481445.81)</f>
        <v>481445.81</v>
      </c>
      <c r="T56" s="32"/>
      <c r="U56" s="32"/>
      <c r="V56" s="32">
        <f>IFERROR(__xludf.DUMMYFUNCTION("$D56 - IFERROR(FILTER($D:$D,$C:$C = $C56, $A:$A = $A56, $B:$B = $B56 - 1),0)"),276485.17)</f>
        <v>276485.17</v>
      </c>
      <c r="W56" s="93">
        <f>IFERROR(__xludf.DUMMYFUNCTION("$E56 - IFERROR(FILTER($E:$E,$C:$C = $C56, $A:$A = $A56, $B:$B = $B56 - 1),0)"),0.0)</f>
        <v>0</v>
      </c>
      <c r="X56" s="93"/>
      <c r="Y56" s="93"/>
      <c r="Z56" s="93">
        <v>0.0</v>
      </c>
      <c r="AA56" s="93">
        <v>0.0</v>
      </c>
      <c r="AB56" s="93">
        <v>0.0</v>
      </c>
      <c r="AC56" s="93"/>
      <c r="AD56" s="93">
        <v>0.0</v>
      </c>
      <c r="AE56" s="32">
        <f t="shared" si="2"/>
        <v>0</v>
      </c>
      <c r="AF56" s="93">
        <v>0.0</v>
      </c>
    </row>
    <row r="57">
      <c r="A57" s="86">
        <v>2001.0</v>
      </c>
      <c r="B57" s="87">
        <v>12.0</v>
      </c>
      <c r="C57" s="88" t="s">
        <v>32</v>
      </c>
      <c r="D57" s="32"/>
      <c r="E57" s="93">
        <v>-2100.0</v>
      </c>
      <c r="F57" s="93"/>
      <c r="G57" s="93">
        <v>-199.26</v>
      </c>
      <c r="H57" s="93">
        <v>1864.8</v>
      </c>
      <c r="I57" s="93">
        <v>823.49</v>
      </c>
      <c r="J57" s="93">
        <v>-2368.58</v>
      </c>
      <c r="K57" s="93"/>
      <c r="L57" s="93">
        <v>-2301.71</v>
      </c>
      <c r="M57" s="93">
        <v>-146.61</v>
      </c>
      <c r="N57" s="93">
        <v>185.11</v>
      </c>
      <c r="O57" s="93">
        <v>64559.0</v>
      </c>
      <c r="P57" s="91">
        <f>IFERROR(__xludf.DUMMYFUNCTION("IFERROR(sum(FILTER($D:$N,$C:$C = $C57,$A:$A &lt; $A57,$B:$B = 12)),0) + sum($D57:$N57)"),64559.57)</f>
        <v>64559.57</v>
      </c>
      <c r="Q57" s="92">
        <f t="shared" si="1"/>
        <v>-0.57</v>
      </c>
      <c r="R57" s="91">
        <f t="array" ref="R57">IFERROR(INDEX('Fund YTD Target Values'!$1:$1000, MATCH($C57,'Fund YTD Target Values'!$A:$A,0), MATCH($A57,'Fund YTD Target Values'!$1:$1,0)),0)</f>
        <v>55810.3107</v>
      </c>
      <c r="S57" s="91">
        <f>IFERROR(__xludf.DUMMYFUNCTION("IFERROR(sum(FILTER('Fund Investment Data'!$V:$V, 'Fund Investment Data'!$C:$C = $C57, 'Fund Investment Data'!$A:$A &lt; $A57)),0) + IFERROR(sum(FILTER('Fund Investment Data'!$V:$V, 'Fund Investment Data'!$C:$C = $C57, 'Fund Investment Data'!$A:$A = $A57, 'Fu"&amp;"nd Investment Data'!$B:$B &lt;= $B57)),0)"),49449.04)</f>
        <v>49449.04</v>
      </c>
      <c r="T57" s="32"/>
      <c r="U57" s="32"/>
      <c r="V57" s="32">
        <f>IFERROR(__xludf.DUMMYFUNCTION("$D57 - IFERROR(FILTER($D:$D,$C:$C = $C57, $A:$A = $A57, $B:$B = $B57 - 1),0)"),0.0)</f>
        <v>0</v>
      </c>
      <c r="W57" s="93">
        <f>IFERROR(__xludf.DUMMYFUNCTION("$E57 - IFERROR(FILTER($E:$E,$C:$C = $C57, $A:$A = $A57, $B:$B = $B57 - 1),0)"),-2100.0)</f>
        <v>-2100</v>
      </c>
      <c r="X57" s="93"/>
      <c r="Y57" s="93"/>
      <c r="Z57" s="93">
        <v>0.0</v>
      </c>
      <c r="AA57" s="93">
        <v>0.0</v>
      </c>
      <c r="AB57" s="93">
        <v>0.0</v>
      </c>
      <c r="AC57" s="93"/>
      <c r="AD57" s="93">
        <v>0.0</v>
      </c>
      <c r="AE57" s="32">
        <f t="shared" si="2"/>
        <v>-2100</v>
      </c>
      <c r="AF57" s="93">
        <v>0.0</v>
      </c>
    </row>
    <row r="58">
      <c r="A58" s="86">
        <v>2001.0</v>
      </c>
      <c r="B58" s="87">
        <v>12.0</v>
      </c>
      <c r="C58" s="88" t="s">
        <v>48</v>
      </c>
      <c r="D58" s="32"/>
      <c r="E58" s="93">
        <v>-15000.0</v>
      </c>
      <c r="F58" s="93"/>
      <c r="G58" s="93">
        <v>-3981.17</v>
      </c>
      <c r="H58" s="93">
        <v>43375.31</v>
      </c>
      <c r="I58" s="93">
        <v>18462.83</v>
      </c>
      <c r="J58" s="93">
        <v>-54163.35</v>
      </c>
      <c r="K58" s="93"/>
      <c r="L58" s="93">
        <v>-53374.27</v>
      </c>
      <c r="M58" s="93">
        <v>-3403.81</v>
      </c>
      <c r="N58" s="93">
        <v>4366.87</v>
      </c>
      <c r="O58" s="93">
        <v>1521951.0</v>
      </c>
      <c r="P58" s="91">
        <f>IFERROR(__xludf.DUMMYFUNCTION("IFERROR(sum(FILTER($D:$N,$C:$C = $C58,$A:$A &lt; $A58,$B:$B = 12)),0) + sum($D58:$N58)"),1521950.9299999997)</f>
        <v>1521950.93</v>
      </c>
      <c r="Q58" s="92">
        <f t="shared" si="1"/>
        <v>0.0700000003</v>
      </c>
      <c r="R58" s="91">
        <f t="array" ref="R58">IFERROR(INDEX('Fund YTD Target Values'!$1:$1000, MATCH($C58,'Fund YTD Target Values'!$A:$A,0), MATCH($A58,'Fund YTD Target Values'!$1:$1,0)),0)</f>
        <v>1336610.731</v>
      </c>
      <c r="S58" s="91">
        <f>IFERROR(__xludf.DUMMYFUNCTION("IFERROR(sum(FILTER('Fund Investment Data'!$V:$V, 'Fund Investment Data'!$C:$C = $C58, 'Fund Investment Data'!$A:$A &lt; $A58)),0) + IFERROR(sum(FILTER('Fund Investment Data'!$V:$V, 'Fund Investment Data'!$C:$C = $C58, 'Fund Investment Data'!$A:$A = $A58, 'Fu"&amp;"nd Investment Data'!$B:$B &lt;= $B58)),0)"),1183929.39)</f>
        <v>1183929.39</v>
      </c>
      <c r="T58" s="93">
        <v>1140040.0</v>
      </c>
      <c r="U58" s="32">
        <f>S58-T58</f>
        <v>43889.39</v>
      </c>
      <c r="V58" s="32">
        <f>IFERROR(__xludf.DUMMYFUNCTION("$D58 - IFERROR(FILTER($D:$D,$C:$C = $C58, $A:$A = $A58, $B:$B = $B58 - 1),0)"),0.0)</f>
        <v>0</v>
      </c>
      <c r="W58" s="93">
        <f>IFERROR(__xludf.DUMMYFUNCTION("$E58 - IFERROR(FILTER($E:$E,$C:$C = $C58, $A:$A = $A58, $B:$B = $B58 - 1),0)"),-15000.0)</f>
        <v>-15000</v>
      </c>
      <c r="X58" s="93"/>
      <c r="Y58" s="93"/>
      <c r="Z58" s="93">
        <v>0.0</v>
      </c>
      <c r="AA58" s="93">
        <v>0.0</v>
      </c>
      <c r="AB58" s="93">
        <v>0.0</v>
      </c>
      <c r="AC58" s="93"/>
      <c r="AD58" s="93">
        <v>0.0</v>
      </c>
      <c r="AE58" s="32">
        <f t="shared" si="2"/>
        <v>-15000</v>
      </c>
      <c r="AF58" s="93">
        <v>0.0</v>
      </c>
    </row>
    <row r="59">
      <c r="A59" s="86">
        <v>2001.0</v>
      </c>
      <c r="B59" s="87">
        <v>12.0</v>
      </c>
      <c r="C59" s="88" t="s">
        <v>49</v>
      </c>
      <c r="D59" s="93">
        <v>350000.0</v>
      </c>
      <c r="E59" s="32"/>
      <c r="F59" s="93"/>
      <c r="G59" s="93">
        <v>-337.68</v>
      </c>
      <c r="H59" s="93">
        <v>1969.37</v>
      </c>
      <c r="I59" s="32"/>
      <c r="J59" s="93">
        <v>15228.0</v>
      </c>
      <c r="K59" s="93"/>
      <c r="L59" s="93">
        <v>-3.62</v>
      </c>
      <c r="M59" s="93">
        <v>186.79</v>
      </c>
      <c r="N59" s="93">
        <v>404.57</v>
      </c>
      <c r="O59" s="93">
        <v>367447.0</v>
      </c>
      <c r="P59" s="91">
        <f>IFERROR(__xludf.DUMMYFUNCTION("IFERROR(sum(FILTER($D:$N,$C:$C = $C59,$A:$A &lt; $A59,$B:$B = 12)),0) + sum($D59:$N59)"),367447.43)</f>
        <v>367447.43</v>
      </c>
      <c r="Q59" s="92">
        <f t="shared" si="1"/>
        <v>-0.43</v>
      </c>
      <c r="R59" s="91">
        <f t="array" ref="R59">IFERROR(INDEX('Fund YTD Target Values'!$1:$1000, MATCH($C59,'Fund YTD Target Values'!$A:$A,0), MATCH($A59,'Fund YTD Target Values'!$1:$1,0)),0)</f>
        <v>350000</v>
      </c>
      <c r="S59" s="91">
        <f>IFERROR(__xludf.DUMMYFUNCTION("IFERROR(sum(FILTER('Fund Investment Data'!$V:$V, 'Fund Investment Data'!$C:$C = $C59, 'Fund Investment Data'!$A:$A &lt; $A59)),0) + IFERROR(sum(FILTER('Fund Investment Data'!$V:$V, 'Fund Investment Data'!$C:$C = $C59, 'Fund Investment Data'!$A:$A = $A59, 'Fu"&amp;"nd Investment Data'!$B:$B &lt;= $B59)),0)"),350000.0)</f>
        <v>350000</v>
      </c>
      <c r="T59" s="32"/>
      <c r="U59" s="32"/>
      <c r="V59" s="32">
        <f>IFERROR(__xludf.DUMMYFUNCTION("$D59 - IFERROR(FILTER($D:$D,$C:$C = $C59, $A:$A = $A59, $B:$B = $B59 - 1),0)"),350000.0)</f>
        <v>350000</v>
      </c>
      <c r="W59" s="93">
        <f>IFERROR(__xludf.DUMMYFUNCTION("$E59 - IFERROR(FILTER($E:$E,$C:$C = $C59, $A:$A = $A59, $B:$B = $B59 - 1),0)"),0.0)</f>
        <v>0</v>
      </c>
      <c r="X59" s="93"/>
      <c r="Y59" s="93"/>
      <c r="Z59" s="93">
        <v>0.0</v>
      </c>
      <c r="AA59" s="93">
        <v>0.0</v>
      </c>
      <c r="AB59" s="93">
        <v>0.0</v>
      </c>
      <c r="AC59" s="93"/>
      <c r="AD59" s="93">
        <v>0.0</v>
      </c>
      <c r="AE59" s="32">
        <f t="shared" si="2"/>
        <v>0</v>
      </c>
      <c r="AF59" s="93">
        <v>0.0</v>
      </c>
    </row>
    <row r="60">
      <c r="A60" s="86">
        <v>2001.0</v>
      </c>
      <c r="B60" s="87">
        <v>12.0</v>
      </c>
      <c r="C60" s="88" t="s">
        <v>41</v>
      </c>
      <c r="D60" s="93">
        <v>31785.82</v>
      </c>
      <c r="E60" s="93">
        <v>-4620.0</v>
      </c>
      <c r="F60" s="93"/>
      <c r="G60" s="93">
        <v>-312.62</v>
      </c>
      <c r="H60" s="93">
        <v>3354.1</v>
      </c>
      <c r="I60" s="93">
        <v>20.11</v>
      </c>
      <c r="J60" s="93">
        <v>-1791.13</v>
      </c>
      <c r="K60" s="93"/>
      <c r="L60" s="93">
        <v>-4742.25</v>
      </c>
      <c r="M60" s="93">
        <v>-363.42</v>
      </c>
      <c r="N60" s="93">
        <v>296.63</v>
      </c>
      <c r="O60" s="93">
        <v>125629.0</v>
      </c>
      <c r="P60" s="91">
        <f>IFERROR(__xludf.DUMMYFUNCTION("IFERROR(sum(FILTER($D:$N,$C:$C = $C60,$A:$A &lt; $A60,$B:$B = 12)),0) + sum($D60:$N60)"),125628.92)</f>
        <v>125628.92</v>
      </c>
      <c r="Q60" s="92">
        <f t="shared" si="1"/>
        <v>0.08</v>
      </c>
      <c r="R60" s="91">
        <f t="array" ref="R60">IFERROR(INDEX('Fund YTD Target Values'!$1:$1000, MATCH($C60,'Fund YTD Target Values'!$A:$A,0), MATCH($A60,'Fund YTD Target Values'!$1:$1,0)),0)</f>
        <v>133879.6577</v>
      </c>
      <c r="S60" s="91">
        <f>IFERROR(__xludf.DUMMYFUNCTION("IFERROR(sum(FILTER('Fund Investment Data'!$V:$V, 'Fund Investment Data'!$C:$C = $C60, 'Fund Investment Data'!$A:$A &lt; $A60)),0) + IFERROR(sum(FILTER('Fund Investment Data'!$V:$V, 'Fund Investment Data'!$C:$C = $C60, 'Fund Investment Data'!$A:$A = $A60, 'Fu"&amp;"nd Investment Data'!$B:$B &lt;= $B60)),0)"),129877.20999999999)</f>
        <v>129877.21</v>
      </c>
      <c r="T60" s="32"/>
      <c r="U60" s="32"/>
      <c r="V60" s="32">
        <f>IFERROR(__xludf.DUMMYFUNCTION("$D60 - IFERROR(FILTER($D:$D,$C:$C = $C60, $A:$A = $A60, $B:$B = $B60 - 1),0)"),31785.82)</f>
        <v>31785.82</v>
      </c>
      <c r="W60" s="93">
        <f>IFERROR(__xludf.DUMMYFUNCTION("$E60 - IFERROR(FILTER($E:$E,$C:$C = $C60, $A:$A = $A60, $B:$B = $B60 - 1),0)"),-4620.0)</f>
        <v>-4620</v>
      </c>
      <c r="X60" s="93"/>
      <c r="Y60" s="93"/>
      <c r="Z60" s="93">
        <v>0.0</v>
      </c>
      <c r="AA60" s="93">
        <v>0.0</v>
      </c>
      <c r="AB60" s="93">
        <v>0.0</v>
      </c>
      <c r="AC60" s="93"/>
      <c r="AD60" s="93">
        <v>0.0</v>
      </c>
      <c r="AE60" s="32">
        <f t="shared" si="2"/>
        <v>-4620</v>
      </c>
      <c r="AF60" s="93">
        <v>0.0</v>
      </c>
    </row>
    <row r="61">
      <c r="A61" s="86">
        <v>2001.0</v>
      </c>
      <c r="B61" s="87">
        <v>12.0</v>
      </c>
      <c r="C61" s="88" t="s">
        <v>25</v>
      </c>
      <c r="D61" s="93">
        <v>11000.0</v>
      </c>
      <c r="E61" s="32"/>
      <c r="F61" s="93"/>
      <c r="G61" s="93">
        <v>-60.0</v>
      </c>
      <c r="H61" s="93">
        <v>668.0</v>
      </c>
      <c r="I61" s="93">
        <v>19.0</v>
      </c>
      <c r="J61" s="93">
        <v>-705.0</v>
      </c>
      <c r="K61" s="93"/>
      <c r="L61" s="93">
        <v>-377.0</v>
      </c>
      <c r="M61" s="93">
        <v>-86.0</v>
      </c>
      <c r="N61" s="93">
        <v>55.85</v>
      </c>
      <c r="O61" s="93">
        <v>30632.0</v>
      </c>
      <c r="P61" s="91">
        <f>IFERROR(__xludf.DUMMYFUNCTION("IFERROR(sum(FILTER($D:$N,$C:$C = $C61,$A:$A &lt; $A61,$B:$B = 12)),0) + sum($D61:$N61)"),30631.85)</f>
        <v>30631.85</v>
      </c>
      <c r="Q61" s="92">
        <f t="shared" si="1"/>
        <v>0.15</v>
      </c>
      <c r="R61" s="91">
        <f t="array" ref="R61">IFERROR(INDEX('Fund YTD Target Values'!$1:$1000, MATCH($C61,'Fund YTD Target Values'!$A:$A,0), MATCH($A61,'Fund YTD Target Values'!$1:$1,0)),0)</f>
        <v>31566.34297</v>
      </c>
      <c r="S61" s="91">
        <f>IFERROR(__xludf.DUMMYFUNCTION("IFERROR(sum(FILTER('Fund Investment Data'!$V:$V, 'Fund Investment Data'!$C:$C = $C61, 'Fund Investment Data'!$A:$A &lt; $A61)),0) + IFERROR(sum(FILTER('Fund Investment Data'!$V:$V, 'Fund Investment Data'!$C:$C = $C61, 'Fund Investment Data'!$A:$A = $A61, 'Fu"&amp;"nd Investment Data'!$B:$B &lt;= $B61)),0)"),31000.0)</f>
        <v>31000</v>
      </c>
      <c r="T61" s="32"/>
      <c r="U61" s="32"/>
      <c r="V61" s="32">
        <f>IFERROR(__xludf.DUMMYFUNCTION("$D61 - IFERROR(FILTER($D:$D,$C:$C = $C61, $A:$A = $A61, $B:$B = $B61 - 1),0)"),11000.0)</f>
        <v>11000</v>
      </c>
      <c r="W61" s="93">
        <f>IFERROR(__xludf.DUMMYFUNCTION("$E61 - IFERROR(FILTER($E:$E,$C:$C = $C61, $A:$A = $A61, $B:$B = $B61 - 1),0)"),0.0)</f>
        <v>0</v>
      </c>
      <c r="X61" s="93"/>
      <c r="Y61" s="93"/>
      <c r="Z61" s="93">
        <v>0.0</v>
      </c>
      <c r="AA61" s="93">
        <v>0.0</v>
      </c>
      <c r="AB61" s="93">
        <v>0.0</v>
      </c>
      <c r="AC61" s="93"/>
      <c r="AD61" s="93">
        <v>0.0</v>
      </c>
      <c r="AE61" s="32">
        <f t="shared" si="2"/>
        <v>0</v>
      </c>
      <c r="AF61" s="93">
        <v>0.0</v>
      </c>
    </row>
    <row r="62">
      <c r="A62" s="86">
        <v>2001.0</v>
      </c>
      <c r="B62" s="87">
        <v>12.0</v>
      </c>
      <c r="C62" s="88" t="s">
        <v>33</v>
      </c>
      <c r="D62" s="93">
        <v>191720.71</v>
      </c>
      <c r="E62" s="32"/>
      <c r="F62" s="93"/>
      <c r="G62" s="93">
        <v>-690.21</v>
      </c>
      <c r="H62" s="93">
        <v>6597.08</v>
      </c>
      <c r="I62" s="93">
        <v>23.16</v>
      </c>
      <c r="J62" s="93">
        <v>-5625.04</v>
      </c>
      <c r="K62" s="93"/>
      <c r="L62" s="93">
        <v>-9367.31</v>
      </c>
      <c r="M62" s="93">
        <v>-190.56</v>
      </c>
      <c r="N62" s="93">
        <v>784.34</v>
      </c>
      <c r="O62" s="93">
        <v>277716.0</v>
      </c>
      <c r="P62" s="91">
        <f>IFERROR(__xludf.DUMMYFUNCTION("IFERROR(sum(FILTER($D:$N,$C:$C = $C62,$A:$A &lt; $A62,$B:$B = 12)),0) + sum($D62:$N62)"),277716.39)</f>
        <v>277716.39</v>
      </c>
      <c r="Q62" s="92">
        <f t="shared" si="1"/>
        <v>-0.39</v>
      </c>
      <c r="R62" s="91">
        <f t="array" ref="R62">IFERROR(INDEX('Fund YTD Target Values'!$1:$1000, MATCH($C62,'Fund YTD Target Values'!$A:$A,0), MATCH($A62,'Fund YTD Target Values'!$1:$1,0)),0)</f>
        <v>289832.2846</v>
      </c>
      <c r="S62" s="91">
        <f>IFERROR(__xludf.DUMMYFUNCTION("IFERROR(sum(FILTER('Fund Investment Data'!$V:$V, 'Fund Investment Data'!$C:$C = $C62, 'Fund Investment Data'!$A:$A &lt; $A62)),0) + IFERROR(sum(FILTER('Fund Investment Data'!$V:$V, 'Fund Investment Data'!$C:$C = $C62, 'Fund Investment Data'!$A:$A = $A62, 'Fu"&amp;"nd Investment Data'!$B:$B &lt;= $B62)),0)"),287130.55)</f>
        <v>287130.55</v>
      </c>
      <c r="T62" s="32"/>
      <c r="U62" s="32"/>
      <c r="V62" s="32">
        <f>IFERROR(__xludf.DUMMYFUNCTION("$D62 - IFERROR(FILTER($D:$D,$C:$C = $C62, $A:$A = $A62, $B:$B = $B62 - 1),0)"),191720.71)</f>
        <v>191720.71</v>
      </c>
      <c r="W62" s="93">
        <f>IFERROR(__xludf.DUMMYFUNCTION("$E62 - IFERROR(FILTER($E:$E,$C:$C = $C62, $A:$A = $A62, $B:$B = $B62 - 1),0)"),0.0)</f>
        <v>0</v>
      </c>
      <c r="X62" s="93"/>
      <c r="Y62" s="93"/>
      <c r="Z62" s="93">
        <v>0.0</v>
      </c>
      <c r="AA62" s="93">
        <v>0.0</v>
      </c>
      <c r="AB62" s="93">
        <v>0.0</v>
      </c>
      <c r="AC62" s="93"/>
      <c r="AD62" s="93">
        <v>0.0</v>
      </c>
      <c r="AE62" s="32">
        <f t="shared" si="2"/>
        <v>0</v>
      </c>
      <c r="AF62" s="93">
        <v>0.0</v>
      </c>
    </row>
    <row r="63">
      <c r="A63" s="86">
        <v>2001.0</v>
      </c>
      <c r="B63" s="87">
        <v>12.0</v>
      </c>
      <c r="C63" s="88" t="s">
        <v>54</v>
      </c>
      <c r="D63" s="93">
        <v>1300.0</v>
      </c>
      <c r="E63" s="93">
        <v>-2500.0</v>
      </c>
      <c r="F63" s="93"/>
      <c r="G63" s="93">
        <v>-184.84</v>
      </c>
      <c r="H63" s="93">
        <v>1804.29</v>
      </c>
      <c r="I63" s="93">
        <v>709.99</v>
      </c>
      <c r="J63" s="93">
        <v>-2035.84</v>
      </c>
      <c r="K63" s="93"/>
      <c r="L63" s="93">
        <v>-2039.13</v>
      </c>
      <c r="M63" s="93">
        <v>-143.98</v>
      </c>
      <c r="N63" s="93">
        <v>171.07</v>
      </c>
      <c r="O63" s="93">
        <v>59820.0</v>
      </c>
      <c r="P63" s="91">
        <f>IFERROR(__xludf.DUMMYFUNCTION("IFERROR(sum(FILTER($D:$N,$C:$C = $C63,$A:$A &lt; $A63,$B:$B = 12)),0) + sum($D63:$N63)"),59819.84)</f>
        <v>59819.84</v>
      </c>
      <c r="Q63" s="92">
        <f t="shared" si="1"/>
        <v>0.16</v>
      </c>
      <c r="R63" s="91">
        <f t="array" ref="R63">IFERROR(INDEX('Fund YTD Target Values'!$1:$1000, MATCH($C63,'Fund YTD Target Values'!$A:$A,0), MATCH($A63,'Fund YTD Target Values'!$1:$1,0)),0)</f>
        <v>58903.92716</v>
      </c>
      <c r="S63" s="91">
        <f>IFERROR(__xludf.DUMMYFUNCTION("IFERROR(sum(FILTER('Fund Investment Data'!$V:$V, 'Fund Investment Data'!$C:$C = $C63, 'Fund Investment Data'!$A:$A &lt; $A63)),0) + IFERROR(sum(FILTER('Fund Investment Data'!$V:$V, 'Fund Investment Data'!$C:$C = $C63, 'Fund Investment Data'!$A:$A = $A63, 'Fu"&amp;"nd Investment Data'!$B:$B &lt;= $B63)),0)"),52876.45)</f>
        <v>52876.45</v>
      </c>
      <c r="T63" s="32"/>
      <c r="U63" s="32"/>
      <c r="V63" s="32">
        <f>IFERROR(__xludf.DUMMYFUNCTION("$D63 - IFERROR(FILTER($D:$D,$C:$C = $C63, $A:$A = $A63, $B:$B = $B63 - 1),0)"),1300.0)</f>
        <v>1300</v>
      </c>
      <c r="W63" s="93">
        <f>IFERROR(__xludf.DUMMYFUNCTION("$E63 - IFERROR(FILTER($E:$E,$C:$C = $C63, $A:$A = $A63, $B:$B = $B63 - 1),0)"),-2500.0)</f>
        <v>-2500</v>
      </c>
      <c r="X63" s="93"/>
      <c r="Y63" s="93"/>
      <c r="Z63" s="93">
        <v>0.0</v>
      </c>
      <c r="AA63" s="93">
        <v>0.0</v>
      </c>
      <c r="AB63" s="93">
        <v>0.0</v>
      </c>
      <c r="AC63" s="93"/>
      <c r="AD63" s="93">
        <v>0.0</v>
      </c>
      <c r="AE63" s="32">
        <f t="shared" si="2"/>
        <v>-2500</v>
      </c>
      <c r="AF63" s="93">
        <v>0.0</v>
      </c>
    </row>
    <row r="64">
      <c r="A64" s="86">
        <v>2001.0</v>
      </c>
      <c r="B64" s="87">
        <v>12.0</v>
      </c>
      <c r="C64" s="88" t="s">
        <v>35</v>
      </c>
      <c r="D64" s="93">
        <v>150000.0</v>
      </c>
      <c r="E64" s="32"/>
      <c r="F64" s="93"/>
      <c r="G64" s="93">
        <v>-1021.64</v>
      </c>
      <c r="H64" s="93">
        <v>9548.89</v>
      </c>
      <c r="I64" s="93">
        <v>4107.36</v>
      </c>
      <c r="J64" s="93">
        <v>-11701.0</v>
      </c>
      <c r="K64" s="93"/>
      <c r="L64" s="93">
        <v>-12178.12</v>
      </c>
      <c r="M64" s="93">
        <v>-698.31</v>
      </c>
      <c r="N64" s="93">
        <v>965.03</v>
      </c>
      <c r="O64" s="93">
        <v>490939.0</v>
      </c>
      <c r="P64" s="91">
        <f>IFERROR(__xludf.DUMMYFUNCTION("IFERROR(sum(FILTER($D:$N,$C:$C = $C64,$A:$A &lt; $A64,$B:$B = 12)),0) + sum($D64:$N64)"),490938.5000000001)</f>
        <v>490938.5</v>
      </c>
      <c r="Q64" s="92">
        <f t="shared" si="1"/>
        <v>0.4999999999</v>
      </c>
      <c r="R64" s="91">
        <f t="array" ref="R64">IFERROR(INDEX('Fund YTD Target Values'!$1:$1000, MATCH($C64,'Fund YTD Target Values'!$A:$A,0), MATCH($A64,'Fund YTD Target Values'!$1:$1,0)),0)</f>
        <v>469088.0554</v>
      </c>
      <c r="S64" s="91">
        <f>IFERROR(__xludf.DUMMYFUNCTION("IFERROR(sum(FILTER('Fund Investment Data'!$V:$V, 'Fund Investment Data'!$C:$C = $C64, 'Fund Investment Data'!$A:$A &lt; $A64)),0) + IFERROR(sum(FILTER('Fund Investment Data'!$V:$V, 'Fund Investment Data'!$C:$C = $C64, 'Fund Investment Data'!$A:$A = $A64, 'Fu"&amp;"nd Investment Data'!$B:$B &lt;= $B64)),0)"),403375.0)</f>
        <v>403375</v>
      </c>
      <c r="T64" s="32"/>
      <c r="U64" s="32"/>
      <c r="V64" s="32">
        <f>IFERROR(__xludf.DUMMYFUNCTION("$D64 - IFERROR(FILTER($D:$D,$C:$C = $C64, $A:$A = $A64, $B:$B = $B64 - 1),0)"),150000.0)</f>
        <v>150000</v>
      </c>
      <c r="W64" s="93">
        <f>IFERROR(__xludf.DUMMYFUNCTION("$E64 - IFERROR(FILTER($E:$E,$C:$C = $C64, $A:$A = $A64, $B:$B = $B64 - 1),0)"),0.0)</f>
        <v>0</v>
      </c>
      <c r="X64" s="93"/>
      <c r="Y64" s="93"/>
      <c r="Z64" s="93">
        <v>0.0</v>
      </c>
      <c r="AA64" s="93">
        <v>0.0</v>
      </c>
      <c r="AB64" s="93">
        <v>0.0</v>
      </c>
      <c r="AC64" s="93"/>
      <c r="AD64" s="93">
        <v>0.0</v>
      </c>
      <c r="AE64" s="32">
        <f t="shared" si="2"/>
        <v>0</v>
      </c>
      <c r="AF64" s="93">
        <v>0.0</v>
      </c>
    </row>
    <row r="65">
      <c r="A65" s="86">
        <v>2002.0</v>
      </c>
      <c r="B65" s="87">
        <v>12.0</v>
      </c>
      <c r="C65" s="88" t="s">
        <v>27</v>
      </c>
      <c r="D65" s="93">
        <v>16477.55</v>
      </c>
      <c r="E65" s="32"/>
      <c r="F65" s="93"/>
      <c r="G65" s="93">
        <v>-588.79</v>
      </c>
      <c r="H65" s="93">
        <v>4688.27</v>
      </c>
      <c r="I65" s="93">
        <v>700.03</v>
      </c>
      <c r="J65" s="93">
        <v>-9595.15</v>
      </c>
      <c r="K65" s="93"/>
      <c r="L65" s="93">
        <v>-17733.49</v>
      </c>
      <c r="M65" s="93">
        <v>0.94</v>
      </c>
      <c r="N65" s="93">
        <v>2295.03</v>
      </c>
      <c r="O65" s="93">
        <v>178427.0</v>
      </c>
      <c r="P65" s="91">
        <f>IFERROR(__xludf.DUMMYFUNCTION("IFERROR(sum(FILTER($D:$N,$C:$C = $C65,$A:$A &lt; $A65,$B:$B = 12)),0) + sum($D65:$N65)"),178429.12999999995)</f>
        <v>178429.13</v>
      </c>
      <c r="Q65" s="92">
        <f t="shared" si="1"/>
        <v>-2.13</v>
      </c>
      <c r="R65" s="91">
        <f t="array" ref="R65">IFERROR(INDEX('Fund YTD Target Values'!$1:$1000, MATCH($C65,'Fund YTD Target Values'!$A:$A,0), MATCH($A65,'Fund YTD Target Values'!$1:$1,0)),0)</f>
        <v>186070.6341</v>
      </c>
      <c r="S65" s="91">
        <f>IFERROR(__xludf.DUMMYFUNCTION("IFERROR(sum(FILTER('Fund Investment Data'!$V:$V, 'Fund Investment Data'!$C:$C = $C65, 'Fund Investment Data'!$A:$A &lt; $A65)),0) + IFERROR(sum(FILTER('Fund Investment Data'!$V:$V, 'Fund Investment Data'!$C:$C = $C65, 'Fund Investment Data'!$A:$A = $A65, 'Fu"&amp;"nd Investment Data'!$B:$B &lt;= $B65)),0)"),170013.94999999998)</f>
        <v>170013.95</v>
      </c>
      <c r="T65" s="93">
        <v>166005.0</v>
      </c>
      <c r="U65" s="32">
        <f t="shared" ref="U65:U1015" si="3">S65-T65</f>
        <v>4008.95</v>
      </c>
      <c r="V65" s="32">
        <f>IFERROR(__xludf.DUMMYFUNCTION("$D65 - IFERROR(FILTER($D:$D,$C:$C = $C65, $A:$A = $A65, $B:$B = $B65 - 1),0)"),16477.55)</f>
        <v>16477.55</v>
      </c>
      <c r="W65" s="93">
        <f>IFERROR(__xludf.DUMMYFUNCTION("$E65 - IFERROR(FILTER($E:$E,$C:$C = $C65, $A:$A = $A65, $B:$B = $B65 - 1),0)"),0.0)</f>
        <v>0</v>
      </c>
      <c r="X65" s="93"/>
      <c r="Y65" s="93"/>
      <c r="Z65" s="93">
        <v>0.0</v>
      </c>
      <c r="AA65" s="93">
        <v>0.0</v>
      </c>
      <c r="AB65" s="93">
        <v>0.0</v>
      </c>
      <c r="AC65" s="93"/>
      <c r="AD65" s="93">
        <v>0.0</v>
      </c>
      <c r="AE65" s="32">
        <f t="shared" si="2"/>
        <v>0</v>
      </c>
      <c r="AF65" s="93">
        <v>0.0</v>
      </c>
    </row>
    <row r="66">
      <c r="A66" s="86">
        <v>2002.0</v>
      </c>
      <c r="B66" s="87">
        <v>12.0</v>
      </c>
      <c r="C66" s="88" t="s">
        <v>28</v>
      </c>
      <c r="D66" s="93">
        <v>300046.84</v>
      </c>
      <c r="E66" s="32"/>
      <c r="F66" s="93"/>
      <c r="G66" s="93">
        <v>-1448.37</v>
      </c>
      <c r="H66" s="93">
        <v>11360.12</v>
      </c>
      <c r="I66" s="93">
        <v>839.42</v>
      </c>
      <c r="J66" s="93">
        <v>-10278.9</v>
      </c>
      <c r="K66" s="93"/>
      <c r="L66" s="93">
        <v>-49182.38</v>
      </c>
      <c r="M66" s="93">
        <v>-141.21</v>
      </c>
      <c r="N66" s="93">
        <v>4576.66</v>
      </c>
      <c r="O66" s="93">
        <v>598862.0</v>
      </c>
      <c r="P66" s="91">
        <f>IFERROR(__xludf.DUMMYFUNCTION("IFERROR(sum(FILTER($D:$N,$C:$C = $C66,$A:$A &lt; $A66,$B:$B = 12)),0) + sum($D66:$N66)"),598861.51)</f>
        <v>598861.51</v>
      </c>
      <c r="Q66" s="92">
        <f t="shared" si="1"/>
        <v>0.49</v>
      </c>
      <c r="R66" s="91">
        <f t="array" ref="R66">IFERROR(INDEX('Fund YTD Target Values'!$1:$1000, MATCH($C66,'Fund YTD Target Values'!$A:$A,0), MATCH($A66,'Fund YTD Target Values'!$1:$1,0)),0)</f>
        <v>666556.8463</v>
      </c>
      <c r="S66" s="91">
        <f>IFERROR(__xludf.DUMMYFUNCTION("IFERROR(sum(FILTER('Fund Investment Data'!$V:$V, 'Fund Investment Data'!$C:$C = $C66, 'Fund Investment Data'!$A:$A &lt; $A66)),0) + IFERROR(sum(FILTER('Fund Investment Data'!$V:$V, 'Fund Investment Data'!$C:$C = $C66, 'Fund Investment Data'!$A:$A = $A66, 'Fu"&amp;"nd Investment Data'!$B:$B &lt;= $B66)),0)"),655894.0700000001)</f>
        <v>655894.07</v>
      </c>
      <c r="T66" s="93">
        <v>705924.0</v>
      </c>
      <c r="U66" s="32">
        <f t="shared" si="3"/>
        <v>-50029.93</v>
      </c>
      <c r="V66" s="32">
        <f>IFERROR(__xludf.DUMMYFUNCTION("$D66 - IFERROR(FILTER($D:$D,$C:$C = $C66, $A:$A = $A66, $B:$B = $B66 - 1),0)"),300046.84)</f>
        <v>300046.84</v>
      </c>
      <c r="W66" s="93">
        <f>IFERROR(__xludf.DUMMYFUNCTION("$E66 - IFERROR(FILTER($E:$E,$C:$C = $C66, $A:$A = $A66, $B:$B = $B66 - 1),0)"),0.0)</f>
        <v>0</v>
      </c>
      <c r="X66" s="93"/>
      <c r="Y66" s="93"/>
      <c r="Z66" s="93">
        <v>0.0</v>
      </c>
      <c r="AA66" s="93">
        <v>0.0</v>
      </c>
      <c r="AB66" s="93">
        <v>0.0</v>
      </c>
      <c r="AC66" s="93"/>
      <c r="AD66" s="93">
        <v>0.0</v>
      </c>
      <c r="AE66" s="32">
        <f t="shared" si="2"/>
        <v>0</v>
      </c>
      <c r="AF66" s="93">
        <v>0.0</v>
      </c>
    </row>
    <row r="67">
      <c r="A67" s="86">
        <v>2002.0</v>
      </c>
      <c r="B67" s="87">
        <v>12.0</v>
      </c>
      <c r="C67" s="88" t="s">
        <v>36</v>
      </c>
      <c r="D67" s="93">
        <v>10000.0</v>
      </c>
      <c r="E67" s="93">
        <v>-15000.0</v>
      </c>
      <c r="F67" s="93"/>
      <c r="G67" s="93">
        <v>-1123.0</v>
      </c>
      <c r="H67" s="93">
        <v>8105.0</v>
      </c>
      <c r="I67" s="93">
        <v>1120.0</v>
      </c>
      <c r="J67" s="93">
        <v>-16213.0</v>
      </c>
      <c r="K67" s="93"/>
      <c r="L67" s="93">
        <v>-40012.0</v>
      </c>
      <c r="M67" s="93">
        <v>-19.0</v>
      </c>
      <c r="N67" s="93">
        <v>4582.74</v>
      </c>
      <c r="O67" s="93">
        <v>313179.0</v>
      </c>
      <c r="P67" s="91">
        <f>IFERROR(__xludf.DUMMYFUNCTION("IFERROR(sum(FILTER($D:$N,$C:$C = $C67,$A:$A &lt; $A67,$B:$B = 12)),0) + sum($D67:$N67)"),313180.39)</f>
        <v>313180.39</v>
      </c>
      <c r="Q67" s="92">
        <f t="shared" si="1"/>
        <v>-1.39</v>
      </c>
      <c r="R67" s="91">
        <f t="array" ref="R67">IFERROR(INDEX('Fund YTD Target Values'!$1:$1000, MATCH($C67,'Fund YTD Target Values'!$A:$A,0), MATCH($A67,'Fund YTD Target Values'!$1:$1,0)),0)</f>
        <v>328718.296</v>
      </c>
      <c r="S67" s="91">
        <f>IFERROR(__xludf.DUMMYFUNCTION("IFERROR(sum(FILTER('Fund Investment Data'!$V:$V, 'Fund Investment Data'!$C:$C = $C67, 'Fund Investment Data'!$A:$A &lt; $A67)),0) + IFERROR(sum(FILTER('Fund Investment Data'!$V:$V, 'Fund Investment Data'!$C:$C = $C67, 'Fund Investment Data'!$A:$A = $A67, 'Fu"&amp;"nd Investment Data'!$B:$B &lt;= $B67)),0)"),289067.24)</f>
        <v>289067.24</v>
      </c>
      <c r="T67" s="93">
        <v>273204.0</v>
      </c>
      <c r="U67" s="32">
        <f t="shared" si="3"/>
        <v>15863.24</v>
      </c>
      <c r="V67" s="32">
        <f>IFERROR(__xludf.DUMMYFUNCTION("$D67 - IFERROR(FILTER($D:$D,$C:$C = $C67, $A:$A = $A67, $B:$B = $B67 - 1),0)"),10000.0)</f>
        <v>10000</v>
      </c>
      <c r="W67" s="93">
        <f>IFERROR(__xludf.DUMMYFUNCTION("$E67 - IFERROR(FILTER($E:$E,$C:$C = $C67, $A:$A = $A67, $B:$B = $B67 - 1),0)"),-15000.0)</f>
        <v>-15000</v>
      </c>
      <c r="X67" s="93"/>
      <c r="Y67" s="93"/>
      <c r="Z67" s="93">
        <v>0.0</v>
      </c>
      <c r="AA67" s="93">
        <v>0.0</v>
      </c>
      <c r="AB67" s="93">
        <v>0.0</v>
      </c>
      <c r="AC67" s="93"/>
      <c r="AD67" s="93">
        <v>0.0</v>
      </c>
      <c r="AE67" s="32">
        <f t="shared" si="2"/>
        <v>-15000</v>
      </c>
      <c r="AF67" s="93">
        <v>0.0</v>
      </c>
    </row>
    <row r="68">
      <c r="A68" s="86">
        <v>2002.0</v>
      </c>
      <c r="B68" s="87">
        <v>12.0</v>
      </c>
      <c r="C68" s="88" t="s">
        <v>29</v>
      </c>
      <c r="D68" s="32"/>
      <c r="E68" s="32"/>
      <c r="F68" s="93"/>
      <c r="G68" s="93">
        <v>-172.76</v>
      </c>
      <c r="H68" s="93">
        <v>1368.03</v>
      </c>
      <c r="I68" s="93">
        <v>225.69</v>
      </c>
      <c r="J68" s="93">
        <v>-931.93</v>
      </c>
      <c r="K68" s="93"/>
      <c r="L68" s="93">
        <v>-7262.16</v>
      </c>
      <c r="M68" s="93">
        <v>0.11</v>
      </c>
      <c r="N68" s="93">
        <v>711.96</v>
      </c>
      <c r="O68" s="93">
        <v>49152.0</v>
      </c>
      <c r="P68" s="91">
        <f>IFERROR(__xludf.DUMMYFUNCTION("IFERROR(sum(FILTER($D:$N,$C:$C = $C68,$A:$A &lt; $A68,$B:$B = 12)),0) + sum($D68:$N68)"),49150.83999999998)</f>
        <v>49150.84</v>
      </c>
      <c r="Q68" s="92">
        <f t="shared" si="1"/>
        <v>1.16</v>
      </c>
      <c r="R68" s="91">
        <f t="array" ref="R68">IFERROR(INDEX('Fund YTD Target Values'!$1:$1000, MATCH($C68,'Fund YTD Target Values'!$A:$A,0), MATCH($A68,'Fund YTD Target Values'!$1:$1,0)),0)</f>
        <v>55174.96201</v>
      </c>
      <c r="S68" s="91">
        <f>IFERROR(__xludf.DUMMYFUNCTION("IFERROR(sum(FILTER('Fund Investment Data'!$V:$V, 'Fund Investment Data'!$C:$C = $C68, 'Fund Investment Data'!$A:$A &lt; $A68)),0) + IFERROR(sum(FILTER('Fund Investment Data'!$V:$V, 'Fund Investment Data'!$C:$C = $C68, 'Fund Investment Data'!$A:$A = $A68, 'Fu"&amp;"nd Investment Data'!$B:$B &lt;= $B68)),0)"),50000.0)</f>
        <v>50000</v>
      </c>
      <c r="T68" s="93">
        <v>50000.0</v>
      </c>
      <c r="U68" s="32">
        <f t="shared" si="3"/>
        <v>0</v>
      </c>
      <c r="V68" s="32">
        <f>IFERROR(__xludf.DUMMYFUNCTION("$D68 - IFERROR(FILTER($D:$D,$C:$C = $C68, $A:$A = $A68, $B:$B = $B68 - 1),0)"),0.0)</f>
        <v>0</v>
      </c>
      <c r="W68" s="93">
        <f>IFERROR(__xludf.DUMMYFUNCTION("$E68 - IFERROR(FILTER($E:$E,$C:$C = $C68, $A:$A = $A68, $B:$B = $B68 - 1),0)"),0.0)</f>
        <v>0</v>
      </c>
      <c r="X68" s="93"/>
      <c r="Y68" s="93"/>
      <c r="Z68" s="93">
        <v>0.0</v>
      </c>
      <c r="AA68" s="93">
        <v>0.0</v>
      </c>
      <c r="AB68" s="93">
        <v>0.0</v>
      </c>
      <c r="AC68" s="93"/>
      <c r="AD68" s="93">
        <v>0.0</v>
      </c>
      <c r="AE68" s="32">
        <f t="shared" si="2"/>
        <v>0</v>
      </c>
      <c r="AF68" s="93">
        <v>0.0</v>
      </c>
    </row>
    <row r="69">
      <c r="A69" s="86">
        <v>2002.0</v>
      </c>
      <c r="B69" s="87">
        <v>12.0</v>
      </c>
      <c r="C69" s="88" t="s">
        <v>30</v>
      </c>
      <c r="D69" s="32"/>
      <c r="E69" s="32"/>
      <c r="F69" s="93"/>
      <c r="G69" s="93">
        <v>-44.6</v>
      </c>
      <c r="H69" s="93">
        <v>336.18</v>
      </c>
      <c r="I69" s="93">
        <v>54.31</v>
      </c>
      <c r="J69" s="93">
        <v>-821.0</v>
      </c>
      <c r="K69" s="93"/>
      <c r="L69" s="93">
        <v>-1344.69</v>
      </c>
      <c r="M69" s="93">
        <v>-0.26</v>
      </c>
      <c r="N69" s="93">
        <v>181.73</v>
      </c>
      <c r="O69" s="93">
        <v>12657.0</v>
      </c>
      <c r="P69" s="91">
        <f>IFERROR(__xludf.DUMMYFUNCTION("IFERROR(sum(FILTER($D:$N,$C:$C = $C69,$A:$A &lt; $A69,$B:$B = 12)),0) + sum($D69:$N69)"),12656.40999999999)</f>
        <v>12656.41</v>
      </c>
      <c r="Q69" s="92">
        <f t="shared" si="1"/>
        <v>0.59</v>
      </c>
      <c r="R69" s="91">
        <f t="array" ref="R69">IFERROR(INDEX('Fund YTD Target Values'!$1:$1000, MATCH($C69,'Fund YTD Target Values'!$A:$A,0), MATCH($A69,'Fund YTD Target Values'!$1:$1,0)),0)</f>
        <v>13235.65056</v>
      </c>
      <c r="S69" s="91">
        <f>IFERROR(__xludf.DUMMYFUNCTION("IFERROR(sum(FILTER('Fund Investment Data'!$V:$V, 'Fund Investment Data'!$C:$C = $C69, 'Fund Investment Data'!$A:$A &lt; $A69)),0) + IFERROR(sum(FILTER('Fund Investment Data'!$V:$V, 'Fund Investment Data'!$C:$C = $C69, 'Fund Investment Data'!$A:$A = $A69, 'Fu"&amp;"nd Investment Data'!$B:$B &lt;= $B69)),0)"),11540.75)</f>
        <v>11540.75</v>
      </c>
      <c r="T69" s="93">
        <v>10000.0</v>
      </c>
      <c r="U69" s="32">
        <f t="shared" si="3"/>
        <v>1540.75</v>
      </c>
      <c r="V69" s="32">
        <f>IFERROR(__xludf.DUMMYFUNCTION("$D69 - IFERROR(FILTER($D:$D,$C:$C = $C69, $A:$A = $A69, $B:$B = $B69 - 1),0)"),0.0)</f>
        <v>0</v>
      </c>
      <c r="W69" s="93">
        <f>IFERROR(__xludf.DUMMYFUNCTION("$E69 - IFERROR(FILTER($E:$E,$C:$C = $C69, $A:$A = $A69, $B:$B = $B69 - 1),0)"),0.0)</f>
        <v>0</v>
      </c>
      <c r="X69" s="93"/>
      <c r="Y69" s="93"/>
      <c r="Z69" s="93">
        <v>0.0</v>
      </c>
      <c r="AA69" s="93">
        <v>0.0</v>
      </c>
      <c r="AB69" s="93">
        <v>0.0</v>
      </c>
      <c r="AC69" s="93"/>
      <c r="AD69" s="93">
        <v>0.0</v>
      </c>
      <c r="AE69" s="32">
        <f t="shared" si="2"/>
        <v>0</v>
      </c>
      <c r="AF69" s="93">
        <v>0.0</v>
      </c>
    </row>
    <row r="70">
      <c r="A70" s="86">
        <v>2002.0</v>
      </c>
      <c r="B70" s="87">
        <v>12.0</v>
      </c>
      <c r="C70" s="88" t="s">
        <v>47</v>
      </c>
      <c r="D70" s="93">
        <v>304321.65</v>
      </c>
      <c r="E70" s="32"/>
      <c r="F70" s="93"/>
      <c r="G70" s="93">
        <v>-2019.51</v>
      </c>
      <c r="H70" s="93">
        <v>15055.62</v>
      </c>
      <c r="I70" s="93">
        <v>1398.97</v>
      </c>
      <c r="J70" s="93">
        <v>-17216.14</v>
      </c>
      <c r="K70" s="93"/>
      <c r="L70" s="93">
        <v>-71366.53</v>
      </c>
      <c r="M70" s="93">
        <v>-112.81</v>
      </c>
      <c r="N70" s="93">
        <v>7048.53</v>
      </c>
      <c r="O70" s="93">
        <v>705697.0</v>
      </c>
      <c r="P70" s="91">
        <f>IFERROR(__xludf.DUMMYFUNCTION("IFERROR(sum(FILTER($D:$N,$C:$C = $C70,$A:$A &lt; $A70,$B:$B = 12)),0) + sum($D70:$N70)"),705695.9500000001)</f>
        <v>705695.95</v>
      </c>
      <c r="Q70" s="92">
        <f t="shared" si="1"/>
        <v>1.05</v>
      </c>
      <c r="R70" s="91">
        <f t="array" ref="R70">IFERROR(INDEX('Fund YTD Target Values'!$1:$1000, MATCH($C70,'Fund YTD Target Values'!$A:$A,0), MATCH($A70,'Fund YTD Target Values'!$1:$1,0)),0)</f>
        <v>801236.8319</v>
      </c>
      <c r="S70" s="91">
        <f>IFERROR(__xludf.DUMMYFUNCTION("IFERROR(sum(FILTER('Fund Investment Data'!$V:$V, 'Fund Investment Data'!$C:$C = $C70, 'Fund Investment Data'!$A:$A &lt; $A70)),0) + IFERROR(sum(FILTER('Fund Investment Data'!$V:$V, 'Fund Investment Data'!$C:$C = $C70, 'Fund Investment Data'!$A:$A = $A70, 'Fu"&amp;"nd Investment Data'!$B:$B &lt;= $B70)),0)"),785767.46)</f>
        <v>785767.46</v>
      </c>
      <c r="T70" s="93">
        <v>793355.0</v>
      </c>
      <c r="U70" s="32">
        <f t="shared" si="3"/>
        <v>-7587.54</v>
      </c>
      <c r="V70" s="32">
        <f>IFERROR(__xludf.DUMMYFUNCTION("$D70 - IFERROR(FILTER($D:$D,$C:$C = $C70, $A:$A = $A70, $B:$B = $B70 - 1),0)"),304321.65)</f>
        <v>304321.65</v>
      </c>
      <c r="W70" s="93">
        <f>IFERROR(__xludf.DUMMYFUNCTION("$E70 - IFERROR(FILTER($E:$E,$C:$C = $C70, $A:$A = $A70, $B:$B = $B70 - 1),0)"),0.0)</f>
        <v>0</v>
      </c>
      <c r="X70" s="93"/>
      <c r="Y70" s="93"/>
      <c r="Z70" s="93">
        <v>0.0</v>
      </c>
      <c r="AA70" s="93">
        <v>0.0</v>
      </c>
      <c r="AB70" s="93">
        <v>0.0</v>
      </c>
      <c r="AC70" s="93"/>
      <c r="AD70" s="93">
        <v>0.0</v>
      </c>
      <c r="AE70" s="32">
        <f t="shared" si="2"/>
        <v>0</v>
      </c>
      <c r="AF70" s="93">
        <v>0.0</v>
      </c>
    </row>
    <row r="71">
      <c r="A71" s="86">
        <v>2002.0</v>
      </c>
      <c r="B71" s="87">
        <v>12.0</v>
      </c>
      <c r="C71" s="88" t="s">
        <v>31</v>
      </c>
      <c r="D71" s="93">
        <v>100000.0</v>
      </c>
      <c r="E71" s="32"/>
      <c r="F71" s="93"/>
      <c r="G71" s="93">
        <v>-93.0</v>
      </c>
      <c r="H71" s="93">
        <v>752.0</v>
      </c>
      <c r="I71" s="93">
        <v>571.0</v>
      </c>
      <c r="J71" s="93">
        <v>2665.0</v>
      </c>
      <c r="K71" s="32"/>
      <c r="L71" s="32"/>
      <c r="M71" s="93">
        <v>2.0</v>
      </c>
      <c r="N71" s="32"/>
      <c r="O71" s="93">
        <v>103897.0</v>
      </c>
      <c r="P71" s="91">
        <f>IFERROR(__xludf.DUMMYFUNCTION("IFERROR(sum(FILTER($D:$N,$C:$C = $C71,$A:$A &lt; $A71,$B:$B = 12)),0) + sum($D71:$N71)"),103897.0)</f>
        <v>103897</v>
      </c>
      <c r="Q71" s="92">
        <f t="shared" si="1"/>
        <v>0</v>
      </c>
      <c r="R71" s="91">
        <f t="array" ref="R71">IFERROR(INDEX('Fund YTD Target Values'!$1:$1000, MATCH($C71,'Fund YTD Target Values'!$A:$A,0), MATCH($A71,'Fund YTD Target Values'!$1:$1,0)),0)</f>
        <v>100000</v>
      </c>
      <c r="S71" s="91">
        <f>IFERROR(__xludf.DUMMYFUNCTION("IFERROR(sum(FILTER('Fund Investment Data'!$V:$V, 'Fund Investment Data'!$C:$C = $C71, 'Fund Investment Data'!$A:$A &lt; $A71)),0) + IFERROR(sum(FILTER('Fund Investment Data'!$V:$V, 'Fund Investment Data'!$C:$C = $C71, 'Fund Investment Data'!$A:$A = $A71, 'Fu"&amp;"nd Investment Data'!$B:$B &lt;= $B71)),0)"),100000.0)</f>
        <v>100000</v>
      </c>
      <c r="T71" s="93">
        <v>100000.0</v>
      </c>
      <c r="U71" s="32">
        <f t="shared" si="3"/>
        <v>0</v>
      </c>
      <c r="V71" s="32">
        <f>IFERROR(__xludf.DUMMYFUNCTION("$D71 - IFERROR(FILTER($D:$D,$C:$C = $C71, $A:$A = $A71, $B:$B = $B71 - 1),0)"),100000.0)</f>
        <v>100000</v>
      </c>
      <c r="W71" s="93">
        <f>IFERROR(__xludf.DUMMYFUNCTION("$E71 - IFERROR(FILTER($E:$E,$C:$C = $C71, $A:$A = $A71, $B:$B = $B71 - 1),0)"),0.0)</f>
        <v>0</v>
      </c>
      <c r="X71" s="93"/>
      <c r="Y71" s="93"/>
      <c r="Z71" s="93">
        <v>0.0</v>
      </c>
      <c r="AA71" s="93">
        <v>0.0</v>
      </c>
      <c r="AB71" s="93">
        <v>0.0</v>
      </c>
      <c r="AC71" s="93"/>
      <c r="AD71" s="93">
        <v>0.0</v>
      </c>
      <c r="AE71" s="32">
        <f t="shared" si="2"/>
        <v>0</v>
      </c>
      <c r="AF71" s="93">
        <v>0.0</v>
      </c>
    </row>
    <row r="72">
      <c r="A72" s="86">
        <v>2002.0</v>
      </c>
      <c r="B72" s="87">
        <v>12.0</v>
      </c>
      <c r="C72" s="88" t="s">
        <v>32</v>
      </c>
      <c r="D72" s="32"/>
      <c r="E72" s="93">
        <v>-2000.0</v>
      </c>
      <c r="F72" s="93"/>
      <c r="G72" s="93">
        <v>-198.87</v>
      </c>
      <c r="H72" s="93">
        <v>1485.17</v>
      </c>
      <c r="I72" s="93">
        <v>235.8</v>
      </c>
      <c r="J72" s="93">
        <v>-3551.96</v>
      </c>
      <c r="K72" s="93"/>
      <c r="L72" s="93">
        <v>-6447.93</v>
      </c>
      <c r="M72" s="93">
        <v>-0.73</v>
      </c>
      <c r="N72" s="93">
        <v>818.35</v>
      </c>
      <c r="O72" s="93">
        <v>54899.0</v>
      </c>
      <c r="P72" s="91">
        <f>IFERROR(__xludf.DUMMYFUNCTION("IFERROR(sum(FILTER($D:$N,$C:$C = $C72,$A:$A &lt; $A72,$B:$B = 12)),0) + sum($D72:$N72)"),54899.400000000016)</f>
        <v>54899.4</v>
      </c>
      <c r="Q72" s="92">
        <f t="shared" si="1"/>
        <v>-0.4</v>
      </c>
      <c r="R72" s="91">
        <f t="array" ref="R72">IFERROR(INDEX('Fund YTD Target Values'!$1:$1000, MATCH($C72,'Fund YTD Target Values'!$A:$A,0), MATCH($A72,'Fund YTD Target Values'!$1:$1,0)),0)</f>
        <v>56695.23476</v>
      </c>
      <c r="S72" s="91">
        <f>IFERROR(__xludf.DUMMYFUNCTION("IFERROR(sum(FILTER('Fund Investment Data'!$V:$V, 'Fund Investment Data'!$C:$C = $C72, 'Fund Investment Data'!$A:$A &lt; $A72)),0) + IFERROR(sum(FILTER('Fund Investment Data'!$V:$V, 'Fund Investment Data'!$C:$C = $C72, 'Fund Investment Data'!$A:$A = $A72, 'Fu"&amp;"nd Investment Data'!$B:$B &lt;= $B72)),0)"),49449.04)</f>
        <v>49449.04</v>
      </c>
      <c r="T72" s="93">
        <v>39268.0</v>
      </c>
      <c r="U72" s="32">
        <f t="shared" si="3"/>
        <v>10181.04</v>
      </c>
      <c r="V72" s="32">
        <f>IFERROR(__xludf.DUMMYFUNCTION("$D72 - IFERROR(FILTER($D:$D,$C:$C = $C72, $A:$A = $A72, $B:$B = $B72 - 1),0)"),0.0)</f>
        <v>0</v>
      </c>
      <c r="W72" s="93">
        <f>IFERROR(__xludf.DUMMYFUNCTION("$E72 - IFERROR(FILTER($E:$E,$C:$C = $C72, $A:$A = $A72, $B:$B = $B72 - 1),0)"),-2000.0)</f>
        <v>-2000</v>
      </c>
      <c r="X72" s="93"/>
      <c r="Y72" s="93"/>
      <c r="Z72" s="93">
        <v>0.0</v>
      </c>
      <c r="AA72" s="93">
        <v>0.0</v>
      </c>
      <c r="AB72" s="93">
        <v>0.0</v>
      </c>
      <c r="AC72" s="93"/>
      <c r="AD72" s="93">
        <v>0.0</v>
      </c>
      <c r="AE72" s="32">
        <f t="shared" si="2"/>
        <v>-2000</v>
      </c>
      <c r="AF72" s="93">
        <v>0.0</v>
      </c>
    </row>
    <row r="73">
      <c r="A73" s="86">
        <v>2002.0</v>
      </c>
      <c r="B73" s="87">
        <v>12.0</v>
      </c>
      <c r="C73" s="88" t="s">
        <v>48</v>
      </c>
      <c r="D73" s="32"/>
      <c r="E73" s="93">
        <v>-15000.0</v>
      </c>
      <c r="F73" s="93"/>
      <c r="G73" s="93">
        <v>-4230.48</v>
      </c>
      <c r="H73" s="93">
        <v>35795.49</v>
      </c>
      <c r="I73" s="93">
        <v>5924.52</v>
      </c>
      <c r="J73" s="93">
        <v>-86331.38</v>
      </c>
      <c r="K73" s="93"/>
      <c r="L73" s="93">
        <v>-148754.65</v>
      </c>
      <c r="M73" s="93">
        <v>-3.83</v>
      </c>
      <c r="N73" s="93">
        <v>19231.16</v>
      </c>
      <c r="O73" s="93">
        <v>1328582.0</v>
      </c>
      <c r="P73" s="91">
        <f>IFERROR(__xludf.DUMMYFUNCTION("IFERROR(sum(FILTER($D:$N,$C:$C = $C73,$A:$A &lt; $A73,$B:$B = 12)),0) + sum($D73:$N73)"),1328581.76)</f>
        <v>1328581.76</v>
      </c>
      <c r="Q73" s="92">
        <f t="shared" si="1"/>
        <v>0.24</v>
      </c>
      <c r="R73" s="91">
        <f t="array" ref="R73">IFERROR(INDEX('Fund YTD Target Values'!$1:$1000, MATCH($C73,'Fund YTD Target Values'!$A:$A,0), MATCH($A73,'Fund YTD Target Values'!$1:$1,0)),0)</f>
        <v>1357803.929</v>
      </c>
      <c r="S73" s="91">
        <f>IFERROR(__xludf.DUMMYFUNCTION("IFERROR(sum(FILTER('Fund Investment Data'!$V:$V, 'Fund Investment Data'!$C:$C = $C73, 'Fund Investment Data'!$A:$A &lt; $A73)),0) + IFERROR(sum(FILTER('Fund Investment Data'!$V:$V, 'Fund Investment Data'!$C:$C = $C73, 'Fund Investment Data'!$A:$A = $A73, 'Fu"&amp;"nd Investment Data'!$B:$B &lt;= $B73)),0)"),1183929.39)</f>
        <v>1183929.39</v>
      </c>
      <c r="T73" s="93">
        <v>1140040.0</v>
      </c>
      <c r="U73" s="32">
        <f t="shared" si="3"/>
        <v>43889.39</v>
      </c>
      <c r="V73" s="32">
        <f>IFERROR(__xludf.DUMMYFUNCTION("$D73 - IFERROR(FILTER($D:$D,$C:$C = $C73, $A:$A = $A73, $B:$B = $B73 - 1),0)"),0.0)</f>
        <v>0</v>
      </c>
      <c r="W73" s="93">
        <f>IFERROR(__xludf.DUMMYFUNCTION("$E73 - IFERROR(FILTER($E:$E,$C:$C = $C73, $A:$A = $A73, $B:$B = $B73 - 1),0)"),-15000.0)</f>
        <v>-15000</v>
      </c>
      <c r="X73" s="93"/>
      <c r="Y73" s="93"/>
      <c r="Z73" s="93">
        <v>0.0</v>
      </c>
      <c r="AA73" s="93">
        <v>0.0</v>
      </c>
      <c r="AB73" s="93">
        <v>0.0</v>
      </c>
      <c r="AC73" s="93"/>
      <c r="AD73" s="93">
        <v>0.0</v>
      </c>
      <c r="AE73" s="32">
        <f t="shared" si="2"/>
        <v>-15000</v>
      </c>
      <c r="AF73" s="93">
        <v>0.0</v>
      </c>
    </row>
    <row r="74">
      <c r="A74" s="86">
        <v>2002.0</v>
      </c>
      <c r="B74" s="87">
        <v>12.0</v>
      </c>
      <c r="C74" s="88" t="s">
        <v>49</v>
      </c>
      <c r="D74" s="32"/>
      <c r="E74" s="93">
        <v>-5000.0</v>
      </c>
      <c r="F74" s="93"/>
      <c r="G74" s="93">
        <v>-1134.79</v>
      </c>
      <c r="H74" s="93">
        <v>8237.18</v>
      </c>
      <c r="I74" s="93">
        <v>128.74</v>
      </c>
      <c r="J74" s="93">
        <v>-29041.29</v>
      </c>
      <c r="K74" s="93"/>
      <c r="L74" s="93">
        <v>-27258.79</v>
      </c>
      <c r="M74" s="93">
        <v>-182.02</v>
      </c>
      <c r="N74" s="93">
        <v>4623.83</v>
      </c>
      <c r="O74" s="93">
        <v>317820.0</v>
      </c>
      <c r="P74" s="91">
        <f>IFERROR(__xludf.DUMMYFUNCTION("IFERROR(sum(FILTER($D:$N,$C:$C = $C74,$A:$A &lt; $A74,$B:$B = 12)),0) + sum($D74:$N74)"),317820.29)</f>
        <v>317820.29</v>
      </c>
      <c r="Q74" s="92">
        <f t="shared" si="1"/>
        <v>-0.29</v>
      </c>
      <c r="R74" s="91">
        <f t="array" ref="R74">IFERROR(INDEX('Fund YTD Target Values'!$1:$1000, MATCH($C74,'Fund YTD Target Values'!$A:$A,0), MATCH($A74,'Fund YTD Target Values'!$1:$1,0)),0)</f>
        <v>355549.5735</v>
      </c>
      <c r="S74" s="91">
        <f>IFERROR(__xludf.DUMMYFUNCTION("IFERROR(sum(FILTER('Fund Investment Data'!$V:$V, 'Fund Investment Data'!$C:$C = $C74, 'Fund Investment Data'!$A:$A &lt; $A74)),0) + IFERROR(sum(FILTER('Fund Investment Data'!$V:$V, 'Fund Investment Data'!$C:$C = $C74, 'Fund Investment Data'!$A:$A = $A74, 'Fu"&amp;"nd Investment Data'!$B:$B &lt;= $B74)),0)"),350000.0)</f>
        <v>350000</v>
      </c>
      <c r="T74" s="93">
        <v>350000.0</v>
      </c>
      <c r="U74" s="32">
        <f t="shared" si="3"/>
        <v>0</v>
      </c>
      <c r="V74" s="32">
        <f>IFERROR(__xludf.DUMMYFUNCTION("$D74 - IFERROR(FILTER($D:$D,$C:$C = $C74, $A:$A = $A74, $B:$B = $B74 - 1),0)"),0.0)</f>
        <v>0</v>
      </c>
      <c r="W74" s="93">
        <f>IFERROR(__xludf.DUMMYFUNCTION("$E74 - IFERROR(FILTER($E:$E,$C:$C = $C74, $A:$A = $A74, $B:$B = $B74 - 1),0)"),-5000.0)</f>
        <v>-5000</v>
      </c>
      <c r="X74" s="93"/>
      <c r="Y74" s="93"/>
      <c r="Z74" s="93">
        <v>0.0</v>
      </c>
      <c r="AA74" s="93">
        <v>0.0</v>
      </c>
      <c r="AB74" s="93">
        <v>0.0</v>
      </c>
      <c r="AC74" s="93"/>
      <c r="AD74" s="93">
        <v>0.0</v>
      </c>
      <c r="AE74" s="32">
        <f t="shared" si="2"/>
        <v>-5000</v>
      </c>
      <c r="AF74" s="93">
        <v>0.0</v>
      </c>
    </row>
    <row r="75">
      <c r="A75" s="86">
        <v>2002.0</v>
      </c>
      <c r="B75" s="87">
        <v>12.0</v>
      </c>
      <c r="C75" s="88" t="s">
        <v>41</v>
      </c>
      <c r="D75" s="93">
        <v>44837.72</v>
      </c>
      <c r="E75" s="93">
        <v>-3900.0</v>
      </c>
      <c r="F75" s="93"/>
      <c r="G75" s="93">
        <v>-411.33</v>
      </c>
      <c r="H75" s="93">
        <v>3144.93</v>
      </c>
      <c r="I75" s="93">
        <v>394.63</v>
      </c>
      <c r="J75" s="93">
        <v>-3862.27</v>
      </c>
      <c r="K75" s="93"/>
      <c r="L75" s="93">
        <v>-15730.94</v>
      </c>
      <c r="M75" s="93">
        <v>-5.77</v>
      </c>
      <c r="N75" s="93">
        <v>1741.84</v>
      </c>
      <c r="O75" s="93">
        <v>151838.0</v>
      </c>
      <c r="P75" s="91">
        <f>IFERROR(__xludf.DUMMYFUNCTION("IFERROR(sum(FILTER($D:$N,$C:$C = $C75,$A:$A &lt; $A75,$B:$B = 12)),0) + sum($D75:$N75)"),151837.72999999998)</f>
        <v>151837.73</v>
      </c>
      <c r="Q75" s="92">
        <f t="shared" si="1"/>
        <v>0.27</v>
      </c>
      <c r="R75" s="91">
        <f t="array" ref="R75">IFERROR(INDEX('Fund YTD Target Values'!$1:$1000, MATCH($C75,'Fund YTD Target Values'!$A:$A,0), MATCH($A75,'Fund YTD Target Values'!$1:$1,0)),0)</f>
        <v>180840.1634</v>
      </c>
      <c r="S75" s="91">
        <f>IFERROR(__xludf.DUMMYFUNCTION("IFERROR(sum(FILTER('Fund Investment Data'!$V:$V, 'Fund Investment Data'!$C:$C = $C75, 'Fund Investment Data'!$A:$A &lt; $A75)),0) + IFERROR(sum(FILTER('Fund Investment Data'!$V:$V, 'Fund Investment Data'!$C:$C = $C75, 'Fund Investment Data'!$A:$A = $A75, 'Fu"&amp;"nd Investment Data'!$B:$B &lt;= $B75)),0)"),174714.93)</f>
        <v>174714.93</v>
      </c>
      <c r="T75" s="93">
        <v>175230.0</v>
      </c>
      <c r="U75" s="32">
        <f t="shared" si="3"/>
        <v>-515.07</v>
      </c>
      <c r="V75" s="32">
        <f>IFERROR(__xludf.DUMMYFUNCTION("$D75 - IFERROR(FILTER($D:$D,$C:$C = $C75, $A:$A = $A75, $B:$B = $B75 - 1),0)"),44837.72)</f>
        <v>44837.72</v>
      </c>
      <c r="W75" s="93">
        <f>IFERROR(__xludf.DUMMYFUNCTION("$E75 - IFERROR(FILTER($E:$E,$C:$C = $C75, $A:$A = $A75, $B:$B = $B75 - 1),0)"),-3900.0)</f>
        <v>-3900</v>
      </c>
      <c r="X75" s="93"/>
      <c r="Y75" s="93"/>
      <c r="Z75" s="93">
        <v>0.0</v>
      </c>
      <c r="AA75" s="93">
        <v>0.0</v>
      </c>
      <c r="AB75" s="93">
        <v>0.0</v>
      </c>
      <c r="AC75" s="93"/>
      <c r="AD75" s="93">
        <v>0.0</v>
      </c>
      <c r="AE75" s="32">
        <f t="shared" si="2"/>
        <v>-3900</v>
      </c>
      <c r="AF75" s="93">
        <v>0.0</v>
      </c>
    </row>
    <row r="76">
      <c r="A76" s="86">
        <v>2002.0</v>
      </c>
      <c r="B76" s="87">
        <v>12.0</v>
      </c>
      <c r="C76" s="88" t="s">
        <v>25</v>
      </c>
      <c r="D76" s="93">
        <v>10000.0</v>
      </c>
      <c r="E76" s="32"/>
      <c r="F76" s="93"/>
      <c r="G76" s="93">
        <v>-96.0</v>
      </c>
      <c r="H76" s="93">
        <v>734.0</v>
      </c>
      <c r="I76" s="93">
        <v>79.0</v>
      </c>
      <c r="J76" s="93">
        <v>-1404.0</v>
      </c>
      <c r="K76" s="93"/>
      <c r="L76" s="93">
        <v>-3162.0</v>
      </c>
      <c r="M76" s="93">
        <v>-10.0</v>
      </c>
      <c r="N76" s="93">
        <v>381.48</v>
      </c>
      <c r="O76" s="93">
        <v>37155.0</v>
      </c>
      <c r="P76" s="91">
        <f>IFERROR(__xludf.DUMMYFUNCTION("IFERROR(sum(FILTER($D:$N,$C:$C = $C76,$A:$A &lt; $A76,$B:$B = 12)),0) + sum($D76:$N76)"),37154.33)</f>
        <v>37154.33</v>
      </c>
      <c r="Q76" s="92">
        <f t="shared" si="1"/>
        <v>0.67</v>
      </c>
      <c r="R76" s="91">
        <f t="array" ref="R76">IFERROR(INDEX('Fund YTD Target Values'!$1:$1000, MATCH($C76,'Fund YTD Target Values'!$A:$A,0), MATCH($A76,'Fund YTD Target Values'!$1:$1,0)),0)</f>
        <v>42066.85651</v>
      </c>
      <c r="S76" s="91">
        <f>IFERROR(__xludf.DUMMYFUNCTION("IFERROR(sum(FILTER('Fund Investment Data'!$V:$V, 'Fund Investment Data'!$C:$C = $C76, 'Fund Investment Data'!$A:$A &lt; $A76)),0) + IFERROR(sum(FILTER('Fund Investment Data'!$V:$V, 'Fund Investment Data'!$C:$C = $C76, 'Fund Investment Data'!$A:$A = $A76, 'Fu"&amp;"nd Investment Data'!$B:$B &lt;= $B76)),0)"),41000.0)</f>
        <v>41000</v>
      </c>
      <c r="T76" s="93">
        <v>41000.0</v>
      </c>
      <c r="U76" s="32">
        <f t="shared" si="3"/>
        <v>0</v>
      </c>
      <c r="V76" s="32">
        <f>IFERROR(__xludf.DUMMYFUNCTION("$D76 - IFERROR(FILTER($D:$D,$C:$C = $C76, $A:$A = $A76, $B:$B = $B76 - 1),0)"),10000.0)</f>
        <v>10000</v>
      </c>
      <c r="W76" s="93">
        <f>IFERROR(__xludf.DUMMYFUNCTION("$E76 - IFERROR(FILTER($E:$E,$C:$C = $C76, $A:$A = $A76, $B:$B = $B76 - 1),0)"),0.0)</f>
        <v>0</v>
      </c>
      <c r="X76" s="93"/>
      <c r="Y76" s="93"/>
      <c r="Z76" s="93">
        <v>0.0</v>
      </c>
      <c r="AA76" s="93">
        <v>0.0</v>
      </c>
      <c r="AB76" s="93">
        <v>0.0</v>
      </c>
      <c r="AC76" s="93"/>
      <c r="AD76" s="93">
        <v>0.0</v>
      </c>
      <c r="AE76" s="32">
        <f t="shared" si="2"/>
        <v>0</v>
      </c>
      <c r="AF76" s="93">
        <v>0.0</v>
      </c>
    </row>
    <row r="77">
      <c r="A77" s="86">
        <v>2002.0</v>
      </c>
      <c r="B77" s="87">
        <v>12.0</v>
      </c>
      <c r="C77" s="88" t="s">
        <v>33</v>
      </c>
      <c r="D77" s="93">
        <v>120067.76</v>
      </c>
      <c r="E77" s="32"/>
      <c r="F77" s="93"/>
      <c r="G77" s="93">
        <v>-1208.57</v>
      </c>
      <c r="H77" s="93">
        <v>8977.66</v>
      </c>
      <c r="I77" s="93">
        <v>1218.42</v>
      </c>
      <c r="J77" s="93">
        <v>-14443.66</v>
      </c>
      <c r="K77" s="93"/>
      <c r="L77" s="93">
        <v>-45481.87</v>
      </c>
      <c r="M77" s="93">
        <v>-10.04</v>
      </c>
      <c r="N77" s="93">
        <v>5393.06</v>
      </c>
      <c r="O77" s="93">
        <v>352229.0</v>
      </c>
      <c r="P77" s="91">
        <f>IFERROR(__xludf.DUMMYFUNCTION("IFERROR(sum(FILTER($D:$N,$C:$C = $C77,$A:$A &lt; $A77,$B:$B = 12)),0) + sum($D77:$N77)"),352229.15)</f>
        <v>352229.15</v>
      </c>
      <c r="Q77" s="92">
        <f t="shared" si="1"/>
        <v>-0.15</v>
      </c>
      <c r="R77" s="91">
        <f t="array" ref="R77">IFERROR(INDEX('Fund YTD Target Values'!$1:$1000, MATCH($C77,'Fund YTD Target Values'!$A:$A,0), MATCH($A77,'Fund YTD Target Values'!$1:$1,0)),0)</f>
        <v>414495.6033</v>
      </c>
      <c r="S77" s="91">
        <f>IFERROR(__xludf.DUMMYFUNCTION("IFERROR(sum(FILTER('Fund Investment Data'!$V:$V, 'Fund Investment Data'!$C:$C = $C77, 'Fund Investment Data'!$A:$A &lt; $A77)),0) + IFERROR(sum(FILTER('Fund Investment Data'!$V:$V, 'Fund Investment Data'!$C:$C = $C77, 'Fund Investment Data'!$A:$A = $A77, 'Fu"&amp;"nd Investment Data'!$B:$B &lt;= $B77)),0)"),407198.31)</f>
        <v>407198.31</v>
      </c>
      <c r="T77" s="93">
        <v>407359.0</v>
      </c>
      <c r="U77" s="32">
        <f t="shared" si="3"/>
        <v>-160.69</v>
      </c>
      <c r="V77" s="32">
        <f>IFERROR(__xludf.DUMMYFUNCTION("$D77 - IFERROR(FILTER($D:$D,$C:$C = $C77, $A:$A = $A77, $B:$B = $B77 - 1),0)"),120067.76)</f>
        <v>120067.76</v>
      </c>
      <c r="W77" s="93">
        <f>IFERROR(__xludf.DUMMYFUNCTION("$E77 - IFERROR(FILTER($E:$E,$C:$C = $C77, $A:$A = $A77, $B:$B = $B77 - 1),0)"),0.0)</f>
        <v>0</v>
      </c>
      <c r="X77" s="93"/>
      <c r="Y77" s="93"/>
      <c r="Z77" s="93">
        <v>0.0</v>
      </c>
      <c r="AA77" s="93">
        <v>0.0</v>
      </c>
      <c r="AB77" s="93">
        <v>0.0</v>
      </c>
      <c r="AC77" s="93"/>
      <c r="AD77" s="93">
        <v>0.0</v>
      </c>
      <c r="AE77" s="32">
        <f t="shared" si="2"/>
        <v>0</v>
      </c>
      <c r="AF77" s="93">
        <v>0.0</v>
      </c>
    </row>
    <row r="78">
      <c r="A78" s="86">
        <v>2002.0</v>
      </c>
      <c r="B78" s="87">
        <v>12.0</v>
      </c>
      <c r="C78" s="88" t="s">
        <v>54</v>
      </c>
      <c r="D78" s="93">
        <v>2250.0</v>
      </c>
      <c r="E78" s="93">
        <v>-2500.0</v>
      </c>
      <c r="F78" s="93"/>
      <c r="G78" s="93">
        <v>-185.93</v>
      </c>
      <c r="H78" s="93">
        <v>1347.57</v>
      </c>
      <c r="I78" s="93">
        <v>185.18</v>
      </c>
      <c r="J78" s="93">
        <v>-2948.32</v>
      </c>
      <c r="K78" s="93"/>
      <c r="L78" s="93">
        <v>-6275.86</v>
      </c>
      <c r="M78" s="93">
        <v>1.47</v>
      </c>
      <c r="N78" s="93">
        <v>736.52</v>
      </c>
      <c r="O78" s="93">
        <v>52431.0</v>
      </c>
      <c r="P78" s="91">
        <f>IFERROR(__xludf.DUMMYFUNCTION("IFERROR(sum(FILTER($D:$N,$C:$C = $C78,$A:$A &lt; $A78,$B:$B = 12)),0) + sum($D78:$N78)"),52430.47)</f>
        <v>52430.47</v>
      </c>
      <c r="Q78" s="92">
        <f t="shared" si="1"/>
        <v>0.53</v>
      </c>
      <c r="R78" s="91">
        <f t="array" ref="R78">IFERROR(INDEX('Fund YTD Target Values'!$1:$1000, MATCH($C78,'Fund YTD Target Values'!$A:$A,0), MATCH($A78,'Fund YTD Target Values'!$1:$1,0)),0)</f>
        <v>62087.90336</v>
      </c>
      <c r="S78" s="91">
        <f>IFERROR(__xludf.DUMMYFUNCTION("IFERROR(sum(FILTER('Fund Investment Data'!$V:$V, 'Fund Investment Data'!$C:$C = $C78, 'Fund Investment Data'!$A:$A &lt; $A78)),0) + IFERROR(sum(FILTER('Fund Investment Data'!$V:$V, 'Fund Investment Data'!$C:$C = $C78, 'Fund Investment Data'!$A:$A = $A78, 'Fu"&amp;"nd Investment Data'!$B:$B &lt;= $B78)),0)"),55126.45)</f>
        <v>55126.45</v>
      </c>
      <c r="T78" s="93">
        <v>51260.0</v>
      </c>
      <c r="U78" s="32">
        <f t="shared" si="3"/>
        <v>3866.45</v>
      </c>
      <c r="V78" s="32">
        <f>IFERROR(__xludf.DUMMYFUNCTION("$D78 - IFERROR(FILTER($D:$D,$C:$C = $C78, $A:$A = $A78, $B:$B = $B78 - 1),0)"),2250.0)</f>
        <v>2250</v>
      </c>
      <c r="W78" s="93">
        <f>IFERROR(__xludf.DUMMYFUNCTION("$E78 - IFERROR(FILTER($E:$E,$C:$C = $C78, $A:$A = $A78, $B:$B = $B78 - 1),0)"),-2500.0)</f>
        <v>-2500</v>
      </c>
      <c r="X78" s="93"/>
      <c r="Y78" s="93"/>
      <c r="Z78" s="93">
        <v>0.0</v>
      </c>
      <c r="AA78" s="93">
        <v>0.0</v>
      </c>
      <c r="AB78" s="93">
        <v>0.0</v>
      </c>
      <c r="AC78" s="93"/>
      <c r="AD78" s="93">
        <v>0.0</v>
      </c>
      <c r="AE78" s="32">
        <f t="shared" si="2"/>
        <v>-2500</v>
      </c>
      <c r="AF78" s="93">
        <v>0.0</v>
      </c>
    </row>
    <row r="79">
      <c r="A79" s="86">
        <v>2002.0</v>
      </c>
      <c r="B79" s="87">
        <v>12.0</v>
      </c>
      <c r="C79" s="88" t="s">
        <v>35</v>
      </c>
      <c r="D79" s="93">
        <v>102000.0</v>
      </c>
      <c r="E79" s="32"/>
      <c r="F79" s="93"/>
      <c r="G79" s="93">
        <v>-1539.5</v>
      </c>
      <c r="H79" s="93">
        <v>11697.92</v>
      </c>
      <c r="I79" s="93">
        <v>1356.86</v>
      </c>
      <c r="J79" s="93">
        <v>-28080.49</v>
      </c>
      <c r="K79" s="93"/>
      <c r="L79" s="93">
        <v>-46422.4</v>
      </c>
      <c r="M79" s="93">
        <v>-46.98</v>
      </c>
      <c r="N79" s="93">
        <v>6295.05</v>
      </c>
      <c r="O79" s="93">
        <v>536199.0</v>
      </c>
      <c r="P79" s="91">
        <f>IFERROR(__xludf.DUMMYFUNCTION("IFERROR(sum(FILTER($D:$N,$C:$C = $C79,$A:$A &lt; $A79,$B:$B = 12)),0) + sum($D79:$N79)"),536198.9600000001)</f>
        <v>536198.96</v>
      </c>
      <c r="Q79" s="92">
        <f t="shared" si="1"/>
        <v>0.03999999992</v>
      </c>
      <c r="R79" s="91">
        <f t="array" ref="R79">IFERROR(INDEX('Fund YTD Target Values'!$1:$1000, MATCH($C79,'Fund YTD Target Values'!$A:$A,0), MATCH($A79,'Fund YTD Target Values'!$1:$1,0)),0)</f>
        <v>578525.8801</v>
      </c>
      <c r="S79" s="91">
        <f>IFERROR(__xludf.DUMMYFUNCTION("IFERROR(sum(FILTER('Fund Investment Data'!$V:$V, 'Fund Investment Data'!$C:$C = $C79, 'Fund Investment Data'!$A:$A &lt; $A79)),0) + IFERROR(sum(FILTER('Fund Investment Data'!$V:$V, 'Fund Investment Data'!$C:$C = $C79, 'Fund Investment Data'!$A:$A = $A79, 'Fu"&amp;"nd Investment Data'!$B:$B &lt;= $B79)),0)"),505375.0)</f>
        <v>505375</v>
      </c>
      <c r="T79" s="93">
        <v>505375.0</v>
      </c>
      <c r="U79" s="32">
        <f t="shared" si="3"/>
        <v>0</v>
      </c>
      <c r="V79" s="32">
        <f>IFERROR(__xludf.DUMMYFUNCTION("$D79 - IFERROR(FILTER($D:$D,$C:$C = $C79, $A:$A = $A79, $B:$B = $B79 - 1),0)"),102000.0)</f>
        <v>102000</v>
      </c>
      <c r="W79" s="93">
        <f>IFERROR(__xludf.DUMMYFUNCTION("$E79 - IFERROR(FILTER($E:$E,$C:$C = $C79, $A:$A = $A79, $B:$B = $B79 - 1),0)"),0.0)</f>
        <v>0</v>
      </c>
      <c r="X79" s="93"/>
      <c r="Y79" s="93"/>
      <c r="Z79" s="93">
        <v>0.0</v>
      </c>
      <c r="AA79" s="93">
        <v>0.0</v>
      </c>
      <c r="AB79" s="93">
        <v>0.0</v>
      </c>
      <c r="AC79" s="93"/>
      <c r="AD79" s="93">
        <v>0.0</v>
      </c>
      <c r="AE79" s="32">
        <f t="shared" si="2"/>
        <v>0</v>
      </c>
      <c r="AF79" s="93">
        <v>0.0</v>
      </c>
    </row>
    <row r="80">
      <c r="A80" s="86">
        <v>2003.0</v>
      </c>
      <c r="B80" s="87">
        <v>12.0</v>
      </c>
      <c r="C80" s="88" t="s">
        <v>27</v>
      </c>
      <c r="D80" s="93">
        <v>3000.0</v>
      </c>
      <c r="E80" s="93">
        <v>-6500.0</v>
      </c>
      <c r="F80" s="93"/>
      <c r="G80" s="93">
        <v>-790.93</v>
      </c>
      <c r="H80" s="93">
        <v>5282.41</v>
      </c>
      <c r="I80" s="93">
        <v>22131.42</v>
      </c>
      <c r="J80" s="93">
        <v>24249.88</v>
      </c>
      <c r="K80" s="93"/>
      <c r="L80" s="93">
        <v>-841.4</v>
      </c>
      <c r="M80" s="93">
        <v>9.42</v>
      </c>
      <c r="N80" s="93">
        <v>2249.13</v>
      </c>
      <c r="O80" s="93">
        <v>227217.0</v>
      </c>
      <c r="P80" s="91">
        <f>IFERROR(__xludf.DUMMYFUNCTION("IFERROR(sum(FILTER($D:$N,$C:$C = $C80,$A:$A &lt; $A80,$B:$B = 12)),0) + sum($D80:$N80)"),227219.05999999994)</f>
        <v>227219.06</v>
      </c>
      <c r="Q80" s="92">
        <f t="shared" si="1"/>
        <v>-2.06</v>
      </c>
      <c r="R80" s="91">
        <f t="array" ref="R80">IFERROR(INDEX('Fund YTD Target Values'!$1:$1000, MATCH($C80,'Fund YTD Target Values'!$A:$A,0), MATCH($A80,'Fund YTD Target Values'!$1:$1,0)),0)</f>
        <v>193298.6593</v>
      </c>
      <c r="S80" s="91">
        <f>IFERROR(__xludf.DUMMYFUNCTION("IFERROR(sum(FILTER('Fund Investment Data'!$V:$V, 'Fund Investment Data'!$C:$C = $C80, 'Fund Investment Data'!$A:$A &lt; $A80)),0) + IFERROR(sum(FILTER('Fund Investment Data'!$V:$V, 'Fund Investment Data'!$C:$C = $C80, 'Fund Investment Data'!$A:$A = $A80, 'Fu"&amp;"nd Investment Data'!$B:$B &lt;= $B80)),0)"),173013.94999999998)</f>
        <v>173013.95</v>
      </c>
      <c r="T80" s="93">
        <v>169020.0</v>
      </c>
      <c r="U80" s="32">
        <f t="shared" si="3"/>
        <v>3993.95</v>
      </c>
      <c r="V80" s="32">
        <f>IFERROR(__xludf.DUMMYFUNCTION("$D80 - IFERROR(FILTER($D:$D,$C:$C = $C80, $A:$A = $A80, $B:$B = $B80 - 1),0)"),3000.0)</f>
        <v>3000</v>
      </c>
      <c r="W80" s="93">
        <f>IFERROR(__xludf.DUMMYFUNCTION("$E80 - IFERROR(FILTER($E:$E,$C:$C = $C80, $A:$A = $A80, $B:$B = $B80 - 1),0)"),-6500.0)</f>
        <v>-6500</v>
      </c>
      <c r="X80" s="93"/>
      <c r="Y80" s="93"/>
      <c r="Z80" s="93">
        <v>0.0</v>
      </c>
      <c r="AA80" s="93">
        <v>0.0</v>
      </c>
      <c r="AB80" s="93">
        <v>0.0</v>
      </c>
      <c r="AC80" s="93"/>
      <c r="AD80" s="93">
        <v>0.0</v>
      </c>
      <c r="AE80" s="32">
        <f t="shared" si="2"/>
        <v>-6500</v>
      </c>
      <c r="AF80" s="93">
        <v>0.0</v>
      </c>
    </row>
    <row r="81">
      <c r="A81" s="86">
        <v>2003.0</v>
      </c>
      <c r="B81" s="87">
        <v>12.0</v>
      </c>
      <c r="C81" s="88" t="s">
        <v>28</v>
      </c>
      <c r="D81" s="93">
        <v>296089.0</v>
      </c>
      <c r="E81" s="32"/>
      <c r="F81" s="93"/>
      <c r="G81" s="93">
        <v>-2777.73</v>
      </c>
      <c r="H81" s="93">
        <v>20216.16</v>
      </c>
      <c r="I81" s="32"/>
      <c r="J81" s="93">
        <v>163616.0</v>
      </c>
      <c r="K81" s="93"/>
      <c r="L81" s="93">
        <v>-4831.87</v>
      </c>
      <c r="M81" s="93">
        <v>-13.58</v>
      </c>
      <c r="N81" s="93">
        <v>9075.04</v>
      </c>
      <c r="O81" s="93">
        <v>1080235.0</v>
      </c>
      <c r="P81" s="91">
        <f>IFERROR(__xludf.DUMMYFUNCTION("IFERROR(sum(FILTER($D:$N,$C:$C = $C81,$A:$A &lt; $A81,$B:$B = 12)),0) + sum($D81:$N81)"),1080234.53)</f>
        <v>1080234.53</v>
      </c>
      <c r="Q81" s="92">
        <f t="shared" si="1"/>
        <v>0.47</v>
      </c>
      <c r="R81" s="91">
        <f t="array" ref="R81">IFERROR(INDEX('Fund YTD Target Values'!$1:$1000, MATCH($C81,'Fund YTD Target Values'!$A:$A,0), MATCH($A81,'Fund YTD Target Values'!$1:$1,0)),0)</f>
        <v>977791.8105</v>
      </c>
      <c r="S81" s="91">
        <f>IFERROR(__xludf.DUMMYFUNCTION("IFERROR(sum(FILTER('Fund Investment Data'!$V:$V, 'Fund Investment Data'!$C:$C = $C81, 'Fund Investment Data'!$A:$A &lt; $A81)),0) + IFERROR(sum(FILTER('Fund Investment Data'!$V:$V, 'Fund Investment Data'!$C:$C = $C81, 'Fund Investment Data'!$A:$A = $A81, 'Fu"&amp;"nd Investment Data'!$B:$B &lt;= $B81)),0)"),951983.0700000001)</f>
        <v>951983.07</v>
      </c>
      <c r="T81" s="93">
        <v>1002236.0</v>
      </c>
      <c r="U81" s="32">
        <f t="shared" si="3"/>
        <v>-50252.93</v>
      </c>
      <c r="V81" s="32">
        <f>IFERROR(__xludf.DUMMYFUNCTION("$D81 - IFERROR(FILTER($D:$D,$C:$C = $C81, $A:$A = $A81, $B:$B = $B81 - 1),0)"),296089.0)</f>
        <v>296089</v>
      </c>
      <c r="W81" s="93">
        <f>IFERROR(__xludf.DUMMYFUNCTION("$E81 - IFERROR(FILTER($E:$E,$C:$C = $C81, $A:$A = $A81, $B:$B = $B81 - 1),0)"),0.0)</f>
        <v>0</v>
      </c>
      <c r="X81" s="93"/>
      <c r="Y81" s="93"/>
      <c r="Z81" s="93">
        <v>0.0</v>
      </c>
      <c r="AA81" s="93">
        <v>0.0</v>
      </c>
      <c r="AB81" s="93">
        <v>0.0</v>
      </c>
      <c r="AC81" s="93"/>
      <c r="AD81" s="93">
        <v>0.0</v>
      </c>
      <c r="AE81" s="32">
        <f t="shared" si="2"/>
        <v>0</v>
      </c>
      <c r="AF81" s="93">
        <v>0.0</v>
      </c>
    </row>
    <row r="82">
      <c r="A82" s="86">
        <v>2003.0</v>
      </c>
      <c r="B82" s="87">
        <v>12.0</v>
      </c>
      <c r="C82" s="88" t="s">
        <v>36</v>
      </c>
      <c r="D82" s="93">
        <v>10000.0</v>
      </c>
      <c r="E82" s="93">
        <v>-43000.0</v>
      </c>
      <c r="F82" s="93"/>
      <c r="G82" s="93">
        <v>-1306.83</v>
      </c>
      <c r="H82" s="93">
        <v>8487.11</v>
      </c>
      <c r="I82" s="93">
        <v>40980.56</v>
      </c>
      <c r="J82" s="93">
        <v>36961.0</v>
      </c>
      <c r="K82" s="93"/>
      <c r="L82" s="93">
        <v>-1963.52</v>
      </c>
      <c r="M82" s="93">
        <v>13.93</v>
      </c>
      <c r="N82" s="93">
        <v>3465.09</v>
      </c>
      <c r="O82" s="93">
        <v>366817.0</v>
      </c>
      <c r="P82" s="91">
        <f>IFERROR(__xludf.DUMMYFUNCTION("IFERROR(sum(FILTER($D:$N,$C:$C = $C82,$A:$A &lt; $A82,$B:$B = 12)),0) + sum($D82:$N82)"),366817.73)</f>
        <v>366817.73</v>
      </c>
      <c r="Q82" s="92">
        <f t="shared" si="1"/>
        <v>-0.73</v>
      </c>
      <c r="R82" s="91">
        <f t="array" ref="R82">IFERROR(INDEX('Fund YTD Target Values'!$1:$1000, MATCH($C82,'Fund YTD Target Values'!$A:$A,0), MATCH($A82,'Fund YTD Target Values'!$1:$1,0)),0)</f>
        <v>346187.6597</v>
      </c>
      <c r="S82" s="91">
        <f>IFERROR(__xludf.DUMMYFUNCTION("IFERROR(sum(FILTER('Fund Investment Data'!$V:$V, 'Fund Investment Data'!$C:$C = $C82, 'Fund Investment Data'!$A:$A &lt; $A82)),0) + IFERROR(sum(FILTER('Fund Investment Data'!$V:$V, 'Fund Investment Data'!$C:$C = $C82, 'Fund Investment Data'!$A:$A = $A82, 'Fu"&amp;"nd Investment Data'!$B:$B &lt;= $B82)),0)"),299067.24)</f>
        <v>299067.24</v>
      </c>
      <c r="T82" s="93">
        <v>283204.0</v>
      </c>
      <c r="U82" s="32">
        <f t="shared" si="3"/>
        <v>15863.24</v>
      </c>
      <c r="V82" s="32">
        <f>IFERROR(__xludf.DUMMYFUNCTION("$D82 - IFERROR(FILTER($D:$D,$C:$C = $C82, $A:$A = $A82, $B:$B = $B82 - 1),0)"),10000.0)</f>
        <v>10000</v>
      </c>
      <c r="W82" s="93">
        <f>IFERROR(__xludf.DUMMYFUNCTION("$E82 - IFERROR(FILTER($E:$E,$C:$C = $C82, $A:$A = $A82, $B:$B = $B82 - 1),0)"),-43000.0)</f>
        <v>-43000</v>
      </c>
      <c r="X82" s="93"/>
      <c r="Y82" s="93"/>
      <c r="Z82" s="93">
        <v>0.0</v>
      </c>
      <c r="AA82" s="93">
        <v>0.0</v>
      </c>
      <c r="AB82" s="93">
        <v>0.0</v>
      </c>
      <c r="AC82" s="93"/>
      <c r="AD82" s="93">
        <v>0.0</v>
      </c>
      <c r="AE82" s="32">
        <f t="shared" si="2"/>
        <v>-43000</v>
      </c>
      <c r="AF82" s="93">
        <v>0.0</v>
      </c>
    </row>
    <row r="83">
      <c r="A83" s="86">
        <v>2003.0</v>
      </c>
      <c r="B83" s="87">
        <v>12.0</v>
      </c>
      <c r="C83" s="88" t="s">
        <v>29</v>
      </c>
      <c r="D83" s="32"/>
      <c r="E83" s="93">
        <v>-1000.0</v>
      </c>
      <c r="F83" s="93"/>
      <c r="G83" s="93">
        <v>-211.29</v>
      </c>
      <c r="H83" s="93">
        <v>1557.63</v>
      </c>
      <c r="I83" s="93">
        <v>4291.88</v>
      </c>
      <c r="J83" s="93">
        <v>6912.0</v>
      </c>
      <c r="K83" s="93"/>
      <c r="L83" s="93">
        <v>-271.8</v>
      </c>
      <c r="M83" s="93">
        <v>2.37</v>
      </c>
      <c r="N83" s="93">
        <v>622.4</v>
      </c>
      <c r="O83" s="93">
        <v>61055.0</v>
      </c>
      <c r="P83" s="91">
        <f>IFERROR(__xludf.DUMMYFUNCTION("IFERROR(sum(FILTER($D:$N,$C:$C = $C83,$A:$A &lt; $A83,$B:$B = 12)),0) + sum($D83:$N83)"),61054.02999999998)</f>
        <v>61054.03</v>
      </c>
      <c r="Q83" s="92">
        <f t="shared" si="1"/>
        <v>0.97</v>
      </c>
      <c r="R83" s="91">
        <f t="array" ref="R83">IFERROR(INDEX('Fund YTD Target Values'!$1:$1000, MATCH($C83,'Fund YTD Target Values'!$A:$A,0), MATCH($A83,'Fund YTD Target Values'!$1:$1,0)),0)</f>
        <v>56428.68553</v>
      </c>
      <c r="S83" s="91">
        <f>IFERROR(__xludf.DUMMYFUNCTION("IFERROR(sum(FILTER('Fund Investment Data'!$V:$V, 'Fund Investment Data'!$C:$C = $C83, 'Fund Investment Data'!$A:$A &lt; $A83)),0) + IFERROR(sum(FILTER('Fund Investment Data'!$V:$V, 'Fund Investment Data'!$C:$C = $C83, 'Fund Investment Data'!$A:$A = $A83, 'Fu"&amp;"nd Investment Data'!$B:$B &lt;= $B83)),0)"),50000.0)</f>
        <v>50000</v>
      </c>
      <c r="T83" s="93">
        <v>50000.0</v>
      </c>
      <c r="U83" s="32">
        <f t="shared" si="3"/>
        <v>0</v>
      </c>
      <c r="V83" s="32">
        <f>IFERROR(__xludf.DUMMYFUNCTION("$D83 - IFERROR(FILTER($D:$D,$C:$C = $C83, $A:$A = $A83, $B:$B = $B83 - 1),0)"),0.0)</f>
        <v>0</v>
      </c>
      <c r="W83" s="93">
        <f>IFERROR(__xludf.DUMMYFUNCTION("$E83 - IFERROR(FILTER($E:$E,$C:$C = $C83, $A:$A = $A83, $B:$B = $B83 - 1),0)"),-1000.0)</f>
        <v>-1000</v>
      </c>
      <c r="X83" s="93"/>
      <c r="Y83" s="93"/>
      <c r="Z83" s="93">
        <v>0.0</v>
      </c>
      <c r="AA83" s="93">
        <v>0.0</v>
      </c>
      <c r="AB83" s="93">
        <v>0.0</v>
      </c>
      <c r="AC83" s="93"/>
      <c r="AD83" s="93">
        <v>0.0</v>
      </c>
      <c r="AE83" s="32">
        <f t="shared" si="2"/>
        <v>-1000</v>
      </c>
      <c r="AF83" s="93">
        <v>0.0</v>
      </c>
    </row>
    <row r="84">
      <c r="A84" s="86">
        <v>2003.0</v>
      </c>
      <c r="B84" s="87">
        <v>12.0</v>
      </c>
      <c r="C84" s="88" t="s">
        <v>30</v>
      </c>
      <c r="D84" s="32"/>
      <c r="E84" s="32"/>
      <c r="F84" s="93"/>
      <c r="G84" s="93">
        <v>-54.49</v>
      </c>
      <c r="H84" s="93">
        <v>381.42</v>
      </c>
      <c r="I84" s="32"/>
      <c r="J84" s="93">
        <v>2985.0</v>
      </c>
      <c r="K84" s="93"/>
      <c r="L84" s="93">
        <v>-92.63</v>
      </c>
      <c r="M84" s="93">
        <v>0.04</v>
      </c>
      <c r="N84" s="93">
        <v>166.1</v>
      </c>
      <c r="O84" s="93">
        <v>16043.0</v>
      </c>
      <c r="P84" s="91">
        <f>IFERROR(__xludf.DUMMYFUNCTION("IFERROR(sum(FILTER($D:$N,$C:$C = $C84,$A:$A &lt; $A84,$B:$B = 12)),0) + sum($D84:$N84)"),16041.849999999988)</f>
        <v>16041.85</v>
      </c>
      <c r="Q84" s="92">
        <f t="shared" si="1"/>
        <v>1.15</v>
      </c>
      <c r="R84" s="91">
        <f t="array" ref="R84">IFERROR(INDEX('Fund YTD Target Values'!$1:$1000, MATCH($C84,'Fund YTD Target Values'!$A:$A,0), MATCH($A84,'Fund YTD Target Values'!$1:$1,0)),0)</f>
        <v>13536.40014</v>
      </c>
      <c r="S84" s="91">
        <f>IFERROR(__xludf.DUMMYFUNCTION("IFERROR(sum(FILTER('Fund Investment Data'!$V:$V, 'Fund Investment Data'!$C:$C = $C84, 'Fund Investment Data'!$A:$A &lt; $A84)),0) + IFERROR(sum(FILTER('Fund Investment Data'!$V:$V, 'Fund Investment Data'!$C:$C = $C84, 'Fund Investment Data'!$A:$A = $A84, 'Fu"&amp;"nd Investment Data'!$B:$B &lt;= $B84)),0)"),11540.75)</f>
        <v>11540.75</v>
      </c>
      <c r="T84" s="93">
        <v>10000.0</v>
      </c>
      <c r="U84" s="32">
        <f t="shared" si="3"/>
        <v>1540.75</v>
      </c>
      <c r="V84" s="32">
        <f>IFERROR(__xludf.DUMMYFUNCTION("$D84 - IFERROR(FILTER($D:$D,$C:$C = $C84, $A:$A = $A84, $B:$B = $B84 - 1),0)"),0.0)</f>
        <v>0</v>
      </c>
      <c r="W84" s="93">
        <f>IFERROR(__xludf.DUMMYFUNCTION("$E84 - IFERROR(FILTER($E:$E,$C:$C = $C84, $A:$A = $A84, $B:$B = $B84 - 1),0)"),0.0)</f>
        <v>0</v>
      </c>
      <c r="X84" s="93"/>
      <c r="Y84" s="93"/>
      <c r="Z84" s="93">
        <v>0.0</v>
      </c>
      <c r="AA84" s="93">
        <v>0.0</v>
      </c>
      <c r="AB84" s="93">
        <v>0.0</v>
      </c>
      <c r="AC84" s="93"/>
      <c r="AD84" s="93">
        <v>0.0</v>
      </c>
      <c r="AE84" s="32">
        <f t="shared" si="2"/>
        <v>0</v>
      </c>
      <c r="AF84" s="93">
        <v>0.0</v>
      </c>
    </row>
    <row r="85">
      <c r="A85" s="86">
        <v>2003.0</v>
      </c>
      <c r="B85" s="87">
        <v>12.0</v>
      </c>
      <c r="C85" s="88" t="s">
        <v>47</v>
      </c>
      <c r="D85" s="93">
        <v>230000.0</v>
      </c>
      <c r="E85" s="93">
        <v>-30000.0</v>
      </c>
      <c r="F85" s="93"/>
      <c r="G85" s="93">
        <v>-3237.88</v>
      </c>
      <c r="H85" s="93">
        <v>22274.26</v>
      </c>
      <c r="I85" s="93">
        <v>96290.43</v>
      </c>
      <c r="J85" s="93">
        <v>101952.0</v>
      </c>
      <c r="K85" s="93"/>
      <c r="L85" s="93">
        <v>-4468.15</v>
      </c>
      <c r="M85" s="93">
        <v>34.47</v>
      </c>
      <c r="N85" s="93">
        <v>9029.03</v>
      </c>
      <c r="O85" s="93">
        <v>1127571.0</v>
      </c>
      <c r="P85" s="91">
        <f>IFERROR(__xludf.DUMMYFUNCTION("IFERROR(sum(FILTER($D:$N,$C:$C = $C85,$A:$A &lt; $A85,$B:$B = 12)),0) + sum($D85:$N85)"),1127570.1099999999)</f>
        <v>1127570.11</v>
      </c>
      <c r="Q85" s="92">
        <f t="shared" si="1"/>
        <v>0.8900000001</v>
      </c>
      <c r="R85" s="91">
        <f t="array" ref="R85">IFERROR(INDEX('Fund YTD Target Values'!$1:$1000, MATCH($C85,'Fund YTD Target Values'!$A:$A,0), MATCH($A85,'Fund YTD Target Values'!$1:$1,0)),0)</f>
        <v>1049443.088</v>
      </c>
      <c r="S85" s="91">
        <f>IFERROR(__xludf.DUMMYFUNCTION("IFERROR(sum(FILTER('Fund Investment Data'!$V:$V, 'Fund Investment Data'!$C:$C = $C85, 'Fund Investment Data'!$A:$A &lt; $A85)),0) + IFERROR(sum(FILTER('Fund Investment Data'!$V:$V, 'Fund Investment Data'!$C:$C = $C85, 'Fund Investment Data'!$A:$A = $A85, 'Fu"&amp;"nd Investment Data'!$B:$B &lt;= $B85)),0)"),1015767.46)</f>
        <v>1015767.46</v>
      </c>
      <c r="T85" s="93">
        <v>1018355.0</v>
      </c>
      <c r="U85" s="32">
        <f t="shared" si="3"/>
        <v>-2587.54</v>
      </c>
      <c r="V85" s="32">
        <f>IFERROR(__xludf.DUMMYFUNCTION("$D85 - IFERROR(FILTER($D:$D,$C:$C = $C85, $A:$A = $A85, $B:$B = $B85 - 1),0)"),230000.0)</f>
        <v>230000</v>
      </c>
      <c r="W85" s="93">
        <f>IFERROR(__xludf.DUMMYFUNCTION("$E85 - IFERROR(FILTER($E:$E,$C:$C = $C85, $A:$A = $A85, $B:$B = $B85 - 1),0)"),-30000.0)</f>
        <v>-30000</v>
      </c>
      <c r="X85" s="93"/>
      <c r="Y85" s="93"/>
      <c r="Z85" s="93">
        <v>0.0</v>
      </c>
      <c r="AA85" s="93">
        <v>0.0</v>
      </c>
      <c r="AB85" s="93">
        <v>0.0</v>
      </c>
      <c r="AC85" s="93"/>
      <c r="AD85" s="93">
        <v>0.0</v>
      </c>
      <c r="AE85" s="32">
        <f t="shared" si="2"/>
        <v>-30000</v>
      </c>
      <c r="AF85" s="93">
        <v>0.0</v>
      </c>
    </row>
    <row r="86">
      <c r="A86" s="86">
        <v>2003.0</v>
      </c>
      <c r="B86" s="87">
        <v>12.0</v>
      </c>
      <c r="C86" s="88" t="s">
        <v>31</v>
      </c>
      <c r="D86" s="32"/>
      <c r="E86" s="93">
        <v>-5000.0</v>
      </c>
      <c r="F86" s="93"/>
      <c r="G86" s="93">
        <v>-507.59</v>
      </c>
      <c r="H86" s="93">
        <v>2988.66</v>
      </c>
      <c r="I86" s="93">
        <v>20721.45</v>
      </c>
      <c r="J86" s="93">
        <v>4638.0</v>
      </c>
      <c r="K86" s="93"/>
      <c r="L86" s="32"/>
      <c r="M86" s="93">
        <v>8.99</v>
      </c>
      <c r="N86" s="93">
        <v>1082.45</v>
      </c>
      <c r="O86" s="93">
        <v>127829.0</v>
      </c>
      <c r="P86" s="91">
        <f>IFERROR(__xludf.DUMMYFUNCTION("IFERROR(sum(FILTER($D:$N,$C:$C = $C86,$A:$A &lt; $A86,$B:$B = 12)),0) + sum($D86:$N86)"),127828.96)</f>
        <v>127828.96</v>
      </c>
      <c r="Q86" s="92">
        <f t="shared" si="1"/>
        <v>0.03999999999</v>
      </c>
      <c r="R86" s="91">
        <f t="array" ref="R86">IFERROR(INDEX('Fund YTD Target Values'!$1:$1000, MATCH($C86,'Fund YTD Target Values'!$A:$A,0), MATCH($A86,'Fund YTD Target Values'!$1:$1,0)),0)</f>
        <v>102272.2689</v>
      </c>
      <c r="S86" s="91">
        <f>IFERROR(__xludf.DUMMYFUNCTION("IFERROR(sum(FILTER('Fund Investment Data'!$V:$V, 'Fund Investment Data'!$C:$C = $C86, 'Fund Investment Data'!$A:$A &lt; $A86)),0) + IFERROR(sum(FILTER('Fund Investment Data'!$V:$V, 'Fund Investment Data'!$C:$C = $C86, 'Fund Investment Data'!$A:$A = $A86, 'Fu"&amp;"nd Investment Data'!$B:$B &lt;= $B86)),0)"),100000.0)</f>
        <v>100000</v>
      </c>
      <c r="T86" s="93">
        <v>100000.0</v>
      </c>
      <c r="U86" s="32">
        <f t="shared" si="3"/>
        <v>0</v>
      </c>
      <c r="V86" s="32">
        <f>IFERROR(__xludf.DUMMYFUNCTION("$D86 - IFERROR(FILTER($D:$D,$C:$C = $C86, $A:$A = $A86, $B:$B = $B86 - 1),0)"),0.0)</f>
        <v>0</v>
      </c>
      <c r="W86" s="93">
        <f>IFERROR(__xludf.DUMMYFUNCTION("$E86 - IFERROR(FILTER($E:$E,$C:$C = $C86, $A:$A = $A86, $B:$B = $B86 - 1),0)"),-5000.0)</f>
        <v>-5000</v>
      </c>
      <c r="X86" s="93"/>
      <c r="Y86" s="93"/>
      <c r="Z86" s="93">
        <v>0.0</v>
      </c>
      <c r="AA86" s="93">
        <v>0.0</v>
      </c>
      <c r="AB86" s="93">
        <v>0.0</v>
      </c>
      <c r="AC86" s="93"/>
      <c r="AD86" s="93">
        <v>0.0</v>
      </c>
      <c r="AE86" s="32">
        <f t="shared" si="2"/>
        <v>-5000</v>
      </c>
      <c r="AF86" s="93">
        <v>0.0</v>
      </c>
    </row>
    <row r="87">
      <c r="A87" s="86">
        <v>2003.0</v>
      </c>
      <c r="B87" s="87">
        <v>12.0</v>
      </c>
      <c r="C87" s="88" t="s">
        <v>32</v>
      </c>
      <c r="D87" s="32"/>
      <c r="E87" s="93">
        <v>-2100.0</v>
      </c>
      <c r="F87" s="93"/>
      <c r="G87" s="93">
        <v>-234.44</v>
      </c>
      <c r="H87" s="93">
        <v>1673.7</v>
      </c>
      <c r="I87" s="93">
        <v>5640.16</v>
      </c>
      <c r="J87" s="93">
        <v>7548.0</v>
      </c>
      <c r="K87" s="93"/>
      <c r="L87" s="93">
        <v>-328.1</v>
      </c>
      <c r="M87" s="93">
        <v>2.47</v>
      </c>
      <c r="N87" s="93">
        <v>679.68</v>
      </c>
      <c r="O87" s="93">
        <v>67780.0</v>
      </c>
      <c r="P87" s="91">
        <f>IFERROR(__xludf.DUMMYFUNCTION("IFERROR(sum(FILTER($D:$N,$C:$C = $C87,$A:$A &lt; $A87,$B:$B = 12)),0) + sum($D87:$N87)"),67780.87000000001)</f>
        <v>67780.87</v>
      </c>
      <c r="Q87" s="92">
        <f t="shared" si="1"/>
        <v>-0.87</v>
      </c>
      <c r="R87" s="91">
        <f t="array" ref="R87">IFERROR(INDEX('Fund YTD Target Values'!$1:$1000, MATCH($C87,'Fund YTD Target Values'!$A:$A,0), MATCH($A87,'Fund YTD Target Values'!$1:$1,0)),0)</f>
        <v>57983.50296</v>
      </c>
      <c r="S87" s="91">
        <f>IFERROR(__xludf.DUMMYFUNCTION("IFERROR(sum(FILTER('Fund Investment Data'!$V:$V, 'Fund Investment Data'!$C:$C = $C87, 'Fund Investment Data'!$A:$A &lt; $A87)),0) + IFERROR(sum(FILTER('Fund Investment Data'!$V:$V, 'Fund Investment Data'!$C:$C = $C87, 'Fund Investment Data'!$A:$A = $A87, 'Fu"&amp;"nd Investment Data'!$B:$B &lt;= $B87)),0)"),49449.04)</f>
        <v>49449.04</v>
      </c>
      <c r="T87" s="93">
        <v>39268.0</v>
      </c>
      <c r="U87" s="32">
        <f t="shared" si="3"/>
        <v>10181.04</v>
      </c>
      <c r="V87" s="32">
        <f>IFERROR(__xludf.DUMMYFUNCTION("$D87 - IFERROR(FILTER($D:$D,$C:$C = $C87, $A:$A = $A87, $B:$B = $B87 - 1),0)"),0.0)</f>
        <v>0</v>
      </c>
      <c r="W87" s="93">
        <f>IFERROR(__xludf.DUMMYFUNCTION("$E87 - IFERROR(FILTER($E:$E,$C:$C = $C87, $A:$A = $A87, $B:$B = $B87 - 1),0)"),-2100.0)</f>
        <v>-2100</v>
      </c>
      <c r="X87" s="93"/>
      <c r="Y87" s="93"/>
      <c r="Z87" s="93">
        <v>0.0</v>
      </c>
      <c r="AA87" s="93">
        <v>0.0</v>
      </c>
      <c r="AB87" s="93">
        <v>0.0</v>
      </c>
      <c r="AC87" s="93"/>
      <c r="AD87" s="93">
        <v>0.0</v>
      </c>
      <c r="AE87" s="32">
        <f t="shared" si="2"/>
        <v>-2100</v>
      </c>
      <c r="AF87" s="93">
        <v>0.0</v>
      </c>
    </row>
    <row r="88">
      <c r="A88" s="86">
        <v>2003.0</v>
      </c>
      <c r="B88" s="87">
        <v>12.0</v>
      </c>
      <c r="C88" s="88" t="s">
        <v>48</v>
      </c>
      <c r="D88" s="32"/>
      <c r="E88" s="93">
        <v>-200000.0</v>
      </c>
      <c r="F88" s="93"/>
      <c r="G88" s="93">
        <v>-4624.63</v>
      </c>
      <c r="H88" s="93">
        <v>39475.6</v>
      </c>
      <c r="I88" s="93">
        <v>130974.8</v>
      </c>
      <c r="J88" s="93">
        <v>178410.0</v>
      </c>
      <c r="K88" s="93"/>
      <c r="L88" s="93">
        <v>-8386.48</v>
      </c>
      <c r="M88" s="93">
        <v>33.02</v>
      </c>
      <c r="N88" s="93">
        <v>14288.18</v>
      </c>
      <c r="O88" s="93">
        <v>1478753.0</v>
      </c>
      <c r="P88" s="91">
        <f>IFERROR(__xludf.DUMMYFUNCTION("IFERROR(sum(FILTER($D:$N,$C:$C = $C88,$A:$A &lt; $A88,$B:$B = 12)),0) + sum($D88:$N88)"),1478752.25)</f>
        <v>1478752.25</v>
      </c>
      <c r="Q88" s="92">
        <f t="shared" si="1"/>
        <v>0.75</v>
      </c>
      <c r="R88" s="91">
        <f t="array" ref="R88">IFERROR(INDEX('Fund YTD Target Values'!$1:$1000, MATCH($C88,'Fund YTD Target Values'!$A:$A,0), MATCH($A88,'Fund YTD Target Values'!$1:$1,0)),0)</f>
        <v>1388656.886</v>
      </c>
      <c r="S88" s="91">
        <f>IFERROR(__xludf.DUMMYFUNCTION("IFERROR(sum(FILTER('Fund Investment Data'!$V:$V, 'Fund Investment Data'!$C:$C = $C88, 'Fund Investment Data'!$A:$A &lt; $A88)),0) + IFERROR(sum(FILTER('Fund Investment Data'!$V:$V, 'Fund Investment Data'!$C:$C = $C88, 'Fund Investment Data'!$A:$A = $A88, 'Fu"&amp;"nd Investment Data'!$B:$B &lt;= $B88)),0)"),1183929.39)</f>
        <v>1183929.39</v>
      </c>
      <c r="T88" s="93">
        <v>1140040.0</v>
      </c>
      <c r="U88" s="32">
        <f t="shared" si="3"/>
        <v>43889.39</v>
      </c>
      <c r="V88" s="32">
        <f>IFERROR(__xludf.DUMMYFUNCTION("$D88 - IFERROR(FILTER($D:$D,$C:$C = $C88, $A:$A = $A88, $B:$B = $B88 - 1),0)"),0.0)</f>
        <v>0</v>
      </c>
      <c r="W88" s="93">
        <f>IFERROR(__xludf.DUMMYFUNCTION("$E88 - IFERROR(FILTER($E:$E,$C:$C = $C88, $A:$A = $A88, $B:$B = $B88 - 1),0)"),-200000.0)</f>
        <v>-200000</v>
      </c>
      <c r="X88" s="93"/>
      <c r="Y88" s="93"/>
      <c r="Z88" s="93">
        <v>0.0</v>
      </c>
      <c r="AA88" s="93">
        <v>0.0</v>
      </c>
      <c r="AB88" s="93">
        <v>0.0</v>
      </c>
      <c r="AC88" s="93"/>
      <c r="AD88" s="93">
        <v>0.0</v>
      </c>
      <c r="AE88" s="32">
        <f t="shared" si="2"/>
        <v>-200000</v>
      </c>
      <c r="AF88" s="93">
        <v>0.0</v>
      </c>
    </row>
    <row r="89">
      <c r="A89" s="86">
        <v>2003.0</v>
      </c>
      <c r="B89" s="87">
        <v>12.0</v>
      </c>
      <c r="C89" s="88" t="s">
        <v>49</v>
      </c>
      <c r="D89" s="93">
        <v>150000.0</v>
      </c>
      <c r="E89" s="93">
        <v>-10000.0</v>
      </c>
      <c r="F89" s="93"/>
      <c r="G89" s="93">
        <v>-2043.64</v>
      </c>
      <c r="H89" s="93">
        <v>12718.49</v>
      </c>
      <c r="I89" s="93">
        <v>74349.09</v>
      </c>
      <c r="J89" s="93">
        <v>46429.0</v>
      </c>
      <c r="K89" s="93"/>
      <c r="L89" s="93">
        <v>-967.96</v>
      </c>
      <c r="M89" s="93">
        <v>40.09</v>
      </c>
      <c r="N89" s="93">
        <v>4501.59</v>
      </c>
      <c r="O89" s="93">
        <v>592847.0</v>
      </c>
      <c r="P89" s="91">
        <f>IFERROR(__xludf.DUMMYFUNCTION("IFERROR(sum(FILTER($D:$N,$C:$C = $C89,$A:$A &lt; $A89,$B:$B = 12)),0) + sum($D89:$N89)"),592846.95)</f>
        <v>592846.95</v>
      </c>
      <c r="Q89" s="92">
        <f t="shared" si="1"/>
        <v>0.05000000005</v>
      </c>
      <c r="R89" s="91">
        <f t="array" ref="R89">IFERROR(INDEX('Fund YTD Target Values'!$1:$1000, MATCH($C89,'Fund YTD Target Values'!$A:$A,0), MATCH($A89,'Fund YTD Target Values'!$1:$1,0)),0)</f>
        <v>513628.616</v>
      </c>
      <c r="S89" s="91">
        <f>IFERROR(__xludf.DUMMYFUNCTION("IFERROR(sum(FILTER('Fund Investment Data'!$V:$V, 'Fund Investment Data'!$C:$C = $C89, 'Fund Investment Data'!$A:$A &lt; $A89)),0) + IFERROR(sum(FILTER('Fund Investment Data'!$V:$V, 'Fund Investment Data'!$C:$C = $C89, 'Fund Investment Data'!$A:$A = $A89, 'Fu"&amp;"nd Investment Data'!$B:$B &lt;= $B89)),0)"),500000.0)</f>
        <v>500000</v>
      </c>
      <c r="T89" s="93">
        <v>500000.0</v>
      </c>
      <c r="U89" s="32">
        <f t="shared" si="3"/>
        <v>0</v>
      </c>
      <c r="V89" s="32">
        <f>IFERROR(__xludf.DUMMYFUNCTION("$D89 - IFERROR(FILTER($D:$D,$C:$C = $C89, $A:$A = $A89, $B:$B = $B89 - 1),0)"),150000.0)</f>
        <v>150000</v>
      </c>
      <c r="W89" s="93">
        <f>IFERROR(__xludf.DUMMYFUNCTION("$E89 - IFERROR(FILTER($E:$E,$C:$C = $C89, $A:$A = $A89, $B:$B = $B89 - 1),0)"),-10000.0)</f>
        <v>-10000</v>
      </c>
      <c r="X89" s="93"/>
      <c r="Y89" s="93"/>
      <c r="Z89" s="93">
        <v>0.0</v>
      </c>
      <c r="AA89" s="93">
        <v>0.0</v>
      </c>
      <c r="AB89" s="93">
        <v>0.0</v>
      </c>
      <c r="AC89" s="93"/>
      <c r="AD89" s="93">
        <v>0.0</v>
      </c>
      <c r="AE89" s="32">
        <f t="shared" si="2"/>
        <v>-10000</v>
      </c>
      <c r="AF89" s="93">
        <v>0.0</v>
      </c>
    </row>
    <row r="90">
      <c r="A90" s="86">
        <v>2003.0</v>
      </c>
      <c r="B90" s="87">
        <v>12.0</v>
      </c>
      <c r="C90" s="88" t="s">
        <v>41</v>
      </c>
      <c r="D90" s="93">
        <v>20000.0</v>
      </c>
      <c r="E90" s="93">
        <v>-5175.0</v>
      </c>
      <c r="F90" s="93"/>
      <c r="G90" s="93">
        <v>-706.7</v>
      </c>
      <c r="H90" s="93">
        <v>4400.96</v>
      </c>
      <c r="I90" s="32"/>
      <c r="J90" s="93">
        <v>40667.0</v>
      </c>
      <c r="K90" s="93"/>
      <c r="L90" s="93">
        <v>-1858.15</v>
      </c>
      <c r="M90" s="93">
        <v>1.68</v>
      </c>
      <c r="N90" s="93">
        <v>1747.92</v>
      </c>
      <c r="O90" s="93">
        <v>210916.0</v>
      </c>
      <c r="P90" s="91">
        <f>IFERROR(__xludf.DUMMYFUNCTION("IFERROR(sum(FILTER($D:$N,$C:$C = $C90,$A:$A &lt; $A90,$B:$B = 12)),0) + sum($D90:$N90)"),210915.44000000003)</f>
        <v>210915.44</v>
      </c>
      <c r="Q90" s="92">
        <f t="shared" si="1"/>
        <v>0.56</v>
      </c>
      <c r="R90" s="91">
        <f t="array" ref="R90">IFERROR(INDEX('Fund YTD Target Values'!$1:$1000, MATCH($C90,'Fund YTD Target Values'!$A:$A,0), MATCH($A90,'Fund YTD Target Values'!$1:$1,0)),0)</f>
        <v>204949.3382</v>
      </c>
      <c r="S90" s="91">
        <f>IFERROR(__xludf.DUMMYFUNCTION("IFERROR(sum(FILTER('Fund Investment Data'!$V:$V, 'Fund Investment Data'!$C:$C = $C90, 'Fund Investment Data'!$A:$A &lt; $A90)),0) + IFERROR(sum(FILTER('Fund Investment Data'!$V:$V, 'Fund Investment Data'!$C:$C = $C90, 'Fund Investment Data'!$A:$A = $A90, 'Fu"&amp;"nd Investment Data'!$B:$B &lt;= $B90)),0)"),194714.93)</f>
        <v>194714.93</v>
      </c>
      <c r="T90" s="93">
        <v>205202.0</v>
      </c>
      <c r="U90" s="32">
        <f t="shared" si="3"/>
        <v>-10487.07</v>
      </c>
      <c r="V90" s="32">
        <f>IFERROR(__xludf.DUMMYFUNCTION("$D90 - IFERROR(FILTER($D:$D,$C:$C = $C90, $A:$A = $A90, $B:$B = $B90 - 1),0)"),20000.0)</f>
        <v>20000</v>
      </c>
      <c r="W90" s="93">
        <f>IFERROR(__xludf.DUMMYFUNCTION("$E90 - IFERROR(FILTER($E:$E,$C:$C = $C90, $A:$A = $A90, $B:$B = $B90 - 1),0)"),-5175.0)</f>
        <v>-5175</v>
      </c>
      <c r="X90" s="93"/>
      <c r="Y90" s="93"/>
      <c r="Z90" s="93">
        <v>0.0</v>
      </c>
      <c r="AA90" s="93">
        <v>0.0</v>
      </c>
      <c r="AB90" s="93">
        <v>0.0</v>
      </c>
      <c r="AC90" s="93"/>
      <c r="AD90" s="93">
        <v>0.0</v>
      </c>
      <c r="AE90" s="32">
        <f t="shared" si="2"/>
        <v>-5175</v>
      </c>
      <c r="AF90" s="93">
        <v>0.0</v>
      </c>
    </row>
    <row r="91">
      <c r="A91" s="86">
        <v>2003.0</v>
      </c>
      <c r="B91" s="87">
        <v>12.0</v>
      </c>
      <c r="C91" s="88" t="s">
        <v>25</v>
      </c>
      <c r="D91" s="93">
        <v>10000.0</v>
      </c>
      <c r="E91" s="93">
        <v>-1000.0</v>
      </c>
      <c r="F91" s="93"/>
      <c r="G91" s="93">
        <v>-172.12</v>
      </c>
      <c r="H91" s="93">
        <v>1058.89</v>
      </c>
      <c r="I91" s="93">
        <v>4799.33</v>
      </c>
      <c r="J91" s="93">
        <v>4772.0</v>
      </c>
      <c r="K91" s="93"/>
      <c r="L91" s="93">
        <v>-61.87</v>
      </c>
      <c r="M91" s="93">
        <v>6.11</v>
      </c>
      <c r="N91" s="93">
        <v>403.27</v>
      </c>
      <c r="O91" s="93">
        <v>56960.0</v>
      </c>
      <c r="P91" s="91">
        <f>IFERROR(__xludf.DUMMYFUNCTION("IFERROR(sum(FILTER($D:$N,$C:$C = $C91,$A:$A &lt; $A91,$B:$B = 12)),0) + sum($D91:$N91)"),56959.94)</f>
        <v>56959.94</v>
      </c>
      <c r="Q91" s="92">
        <f t="shared" si="1"/>
        <v>0.06</v>
      </c>
      <c r="R91" s="91">
        <f t="array" ref="R91">IFERROR(INDEX('Fund YTD Target Values'!$1:$1000, MATCH($C91,'Fund YTD Target Values'!$A:$A,0), MATCH($A91,'Fund YTD Target Values'!$1:$1,0)),0)</f>
        <v>53022.72862</v>
      </c>
      <c r="S91" s="91">
        <f>IFERROR(__xludf.DUMMYFUNCTION("IFERROR(sum(FILTER('Fund Investment Data'!$V:$V, 'Fund Investment Data'!$C:$C = $C91, 'Fund Investment Data'!$A:$A &lt; $A91)),0) + IFERROR(sum(FILTER('Fund Investment Data'!$V:$V, 'Fund Investment Data'!$C:$C = $C91, 'Fund Investment Data'!$A:$A = $A91, 'Fu"&amp;"nd Investment Data'!$B:$B &lt;= $B91)),0)"),51000.0)</f>
        <v>51000</v>
      </c>
      <c r="T91" s="93">
        <v>51000.0</v>
      </c>
      <c r="U91" s="32">
        <f t="shared" si="3"/>
        <v>0</v>
      </c>
      <c r="V91" s="32">
        <f>IFERROR(__xludf.DUMMYFUNCTION("$D91 - IFERROR(FILTER($D:$D,$C:$C = $C91, $A:$A = $A91, $B:$B = $B91 - 1),0)"),10000.0)</f>
        <v>10000</v>
      </c>
      <c r="W91" s="93">
        <f>IFERROR(__xludf.DUMMYFUNCTION("$E91 - IFERROR(FILTER($E:$E,$C:$C = $C91, $A:$A = $A91, $B:$B = $B91 - 1),0)"),-1000.0)</f>
        <v>-1000</v>
      </c>
      <c r="X91" s="93"/>
      <c r="Y91" s="93"/>
      <c r="Z91" s="93">
        <v>0.0</v>
      </c>
      <c r="AA91" s="93">
        <v>0.0</v>
      </c>
      <c r="AB91" s="93">
        <v>0.0</v>
      </c>
      <c r="AC91" s="93"/>
      <c r="AD91" s="93">
        <v>0.0</v>
      </c>
      <c r="AE91" s="32">
        <f t="shared" si="2"/>
        <v>-1000</v>
      </c>
      <c r="AF91" s="93">
        <v>0.0</v>
      </c>
    </row>
    <row r="92">
      <c r="A92" s="86">
        <v>2003.0</v>
      </c>
      <c r="B92" s="87">
        <v>12.0</v>
      </c>
      <c r="C92" s="88" t="s">
        <v>43</v>
      </c>
      <c r="D92" s="93">
        <v>25000.0</v>
      </c>
      <c r="E92" s="93">
        <v>-3000.0</v>
      </c>
      <c r="F92" s="93"/>
      <c r="G92" s="93">
        <v>-123.08</v>
      </c>
      <c r="H92" s="93">
        <v>567.87</v>
      </c>
      <c r="I92" s="93">
        <v>5615.3</v>
      </c>
      <c r="J92" s="93">
        <v>1536.0</v>
      </c>
      <c r="K92" s="93"/>
      <c r="L92" s="32"/>
      <c r="M92" s="93">
        <v>2.61</v>
      </c>
      <c r="N92" s="93">
        <v>135.06</v>
      </c>
      <c r="O92" s="93">
        <v>29734.0</v>
      </c>
      <c r="P92" s="91">
        <f>IFERROR(__xludf.DUMMYFUNCTION("IFERROR(sum(FILTER($D:$N,$C:$C = $C92,$A:$A &lt; $A92,$B:$B = 12)),0) + sum($D92:$N92)"),29733.76)</f>
        <v>29733.76</v>
      </c>
      <c r="Q92" s="92">
        <f t="shared" si="1"/>
        <v>0.24</v>
      </c>
      <c r="R92" s="91">
        <f t="array" ref="R92">IFERROR(INDEX('Fund YTD Target Values'!$1:$1000, MATCH($C92,'Fund YTD Target Values'!$A:$A,0), MATCH($A92,'Fund YTD Target Values'!$1:$1,0)),0)</f>
        <v>25000</v>
      </c>
      <c r="S92" s="91">
        <f>IFERROR(__xludf.DUMMYFUNCTION("IFERROR(sum(FILTER('Fund Investment Data'!$V:$V, 'Fund Investment Data'!$C:$C = $C92, 'Fund Investment Data'!$A:$A &lt; $A92)),0) + IFERROR(sum(FILTER('Fund Investment Data'!$V:$V, 'Fund Investment Data'!$C:$C = $C92, 'Fund Investment Data'!$A:$A = $A92, 'Fu"&amp;"nd Investment Data'!$B:$B &lt;= $B92)),0)"),25000.0)</f>
        <v>25000</v>
      </c>
      <c r="T92" s="93">
        <v>25000.0</v>
      </c>
      <c r="U92" s="32">
        <f t="shared" si="3"/>
        <v>0</v>
      </c>
      <c r="V92" s="32">
        <f>IFERROR(__xludf.DUMMYFUNCTION("$D92 - IFERROR(FILTER($D:$D,$C:$C = $C92, $A:$A = $A92, $B:$B = $B92 - 1),0)"),25000.0)</f>
        <v>25000</v>
      </c>
      <c r="W92" s="93">
        <f>IFERROR(__xludf.DUMMYFUNCTION("$E92 - IFERROR(FILTER($E:$E,$C:$C = $C92, $A:$A = $A92, $B:$B = $B92 - 1),0)"),-3000.0)</f>
        <v>-3000</v>
      </c>
      <c r="X92" s="93"/>
      <c r="Y92" s="93"/>
      <c r="Z92" s="93">
        <v>0.0</v>
      </c>
      <c r="AA92" s="93">
        <v>0.0</v>
      </c>
      <c r="AB92" s="93">
        <v>0.0</v>
      </c>
      <c r="AC92" s="93"/>
      <c r="AD92" s="93">
        <v>0.0</v>
      </c>
      <c r="AE92" s="32">
        <f t="shared" si="2"/>
        <v>-3000</v>
      </c>
      <c r="AF92" s="93">
        <v>0.0</v>
      </c>
    </row>
    <row r="93">
      <c r="A93" s="86">
        <v>2003.0</v>
      </c>
      <c r="B93" s="87">
        <v>12.0</v>
      </c>
      <c r="C93" s="88" t="s">
        <v>33</v>
      </c>
      <c r="D93" s="93">
        <v>120026.7</v>
      </c>
      <c r="E93" s="93">
        <v>-10000.0</v>
      </c>
      <c r="F93" s="93"/>
      <c r="G93" s="93">
        <v>-1983.18</v>
      </c>
      <c r="H93" s="93">
        <v>12425.69</v>
      </c>
      <c r="I93" s="93">
        <v>49892.54</v>
      </c>
      <c r="J93" s="93">
        <v>61759.26</v>
      </c>
      <c r="K93" s="93"/>
      <c r="L93" s="93">
        <v>-1689.68</v>
      </c>
      <c r="M93" s="93">
        <v>41.34</v>
      </c>
      <c r="N93" s="93">
        <v>4981.15</v>
      </c>
      <c r="O93" s="93">
        <v>587683.0</v>
      </c>
      <c r="P93" s="91">
        <f>IFERROR(__xludf.DUMMYFUNCTION("IFERROR(sum(FILTER($D:$N,$C:$C = $C93,$A:$A &lt; $A93,$B:$B = 12)),0) + sum($D93:$N93)"),587682.97)</f>
        <v>587682.97</v>
      </c>
      <c r="Q93" s="92">
        <f t="shared" si="1"/>
        <v>0.03000000003</v>
      </c>
      <c r="R93" s="91">
        <f t="array" ref="R93">IFERROR(INDEX('Fund YTD Target Values'!$1:$1000, MATCH($C93,'Fund YTD Target Values'!$A:$A,0), MATCH($A93,'Fund YTD Target Values'!$1:$1,0)),0)</f>
        <v>543940.7581</v>
      </c>
      <c r="S93" s="91">
        <f>IFERROR(__xludf.DUMMYFUNCTION("IFERROR(sum(FILTER('Fund Investment Data'!$V:$V, 'Fund Investment Data'!$C:$C = $C93, 'Fund Investment Data'!$A:$A &lt; $A93)),0) + IFERROR(sum(FILTER('Fund Investment Data'!$V:$V, 'Fund Investment Data'!$C:$C = $C93, 'Fund Investment Data'!$A:$A = $A93, 'Fu"&amp;"nd Investment Data'!$B:$B &lt;= $B93)),0)"),527225.01)</f>
        <v>527225.01</v>
      </c>
      <c r="T93" s="93">
        <v>527386.0</v>
      </c>
      <c r="U93" s="32">
        <f t="shared" si="3"/>
        <v>-160.99</v>
      </c>
      <c r="V93" s="32">
        <f>IFERROR(__xludf.DUMMYFUNCTION("$D93 - IFERROR(FILTER($D:$D,$C:$C = $C93, $A:$A = $A93, $B:$B = $B93 - 1),0)"),120026.7)</f>
        <v>120026.7</v>
      </c>
      <c r="W93" s="93">
        <f>IFERROR(__xludf.DUMMYFUNCTION("$E93 - IFERROR(FILTER($E:$E,$C:$C = $C93, $A:$A = $A93, $B:$B = $B93 - 1),0)"),-10000.0)</f>
        <v>-10000</v>
      </c>
      <c r="X93" s="93"/>
      <c r="Y93" s="93"/>
      <c r="Z93" s="93">
        <v>0.0</v>
      </c>
      <c r="AA93" s="93">
        <v>0.0</v>
      </c>
      <c r="AB93" s="93">
        <v>0.0</v>
      </c>
      <c r="AC93" s="93"/>
      <c r="AD93" s="93">
        <v>0.0</v>
      </c>
      <c r="AE93" s="32">
        <f t="shared" si="2"/>
        <v>-10000</v>
      </c>
      <c r="AF93" s="93">
        <v>0.0</v>
      </c>
    </row>
    <row r="94">
      <c r="A94" s="86">
        <v>2003.0</v>
      </c>
      <c r="B94" s="87">
        <v>12.0</v>
      </c>
      <c r="C94" s="88" t="s">
        <v>54</v>
      </c>
      <c r="D94" s="93">
        <v>5200.0</v>
      </c>
      <c r="E94" s="32"/>
      <c r="F94" s="93"/>
      <c r="G94" s="93">
        <v>-232.05</v>
      </c>
      <c r="H94" s="93">
        <v>1448.69</v>
      </c>
      <c r="I94" s="93">
        <v>6361.26</v>
      </c>
      <c r="J94" s="93">
        <v>6513.0</v>
      </c>
      <c r="K94" s="93"/>
      <c r="L94" s="93">
        <v>-320.1</v>
      </c>
      <c r="M94" s="93">
        <v>6.93</v>
      </c>
      <c r="N94" s="93">
        <v>630.43</v>
      </c>
      <c r="O94" s="93">
        <v>72039.0</v>
      </c>
      <c r="P94" s="91">
        <f>IFERROR(__xludf.DUMMYFUNCTION("IFERROR(sum(FILTER($D:$N,$C:$C = $C94,$A:$A &lt; $A94,$B:$B = 12)),0) + sum($D94:$N94)"),72038.63)</f>
        <v>72038.63</v>
      </c>
      <c r="Q94" s="92">
        <f t="shared" si="1"/>
        <v>0.37</v>
      </c>
      <c r="R94" s="91">
        <f t="array" ref="R94">IFERROR(INDEX('Fund YTD Target Values'!$1:$1000, MATCH($C94,'Fund YTD Target Values'!$A:$A,0), MATCH($A94,'Fund YTD Target Values'!$1:$1,0)),0)</f>
        <v>68698.7075</v>
      </c>
      <c r="S94" s="91">
        <f>IFERROR(__xludf.DUMMYFUNCTION("IFERROR(sum(FILTER('Fund Investment Data'!$V:$V, 'Fund Investment Data'!$C:$C = $C94, 'Fund Investment Data'!$A:$A &lt; $A94)),0) + IFERROR(sum(FILTER('Fund Investment Data'!$V:$V, 'Fund Investment Data'!$C:$C = $C94, 'Fund Investment Data'!$A:$A = $A94, 'Fu"&amp;"nd Investment Data'!$B:$B &lt;= $B94)),0)"),60326.45)</f>
        <v>60326.45</v>
      </c>
      <c r="T94" s="93">
        <v>56410.0</v>
      </c>
      <c r="U94" s="32">
        <f t="shared" si="3"/>
        <v>3916.45</v>
      </c>
      <c r="V94" s="32">
        <f>IFERROR(__xludf.DUMMYFUNCTION("$D94 - IFERROR(FILTER($D:$D,$C:$C = $C94, $A:$A = $A94, $B:$B = $B94 - 1),0)"),5200.0)</f>
        <v>5200</v>
      </c>
      <c r="W94" s="93">
        <f>IFERROR(__xludf.DUMMYFUNCTION("$E94 - IFERROR(FILTER($E:$E,$C:$C = $C94, $A:$A = $A94, $B:$B = $B94 - 1),0)"),0.0)</f>
        <v>0</v>
      </c>
      <c r="X94" s="93"/>
      <c r="Y94" s="93"/>
      <c r="Z94" s="93">
        <v>0.0</v>
      </c>
      <c r="AA94" s="93">
        <v>0.0</v>
      </c>
      <c r="AB94" s="93">
        <v>0.0</v>
      </c>
      <c r="AC94" s="93"/>
      <c r="AD94" s="93">
        <v>0.0</v>
      </c>
      <c r="AE94" s="32">
        <f t="shared" si="2"/>
        <v>0</v>
      </c>
      <c r="AF94" s="93">
        <v>0.0</v>
      </c>
    </row>
    <row r="95">
      <c r="A95" s="86">
        <v>2003.0</v>
      </c>
      <c r="B95" s="87">
        <v>12.0</v>
      </c>
      <c r="C95" s="88" t="s">
        <v>35</v>
      </c>
      <c r="D95" s="93">
        <v>132000.0</v>
      </c>
      <c r="E95" s="93">
        <v>-46000.0</v>
      </c>
      <c r="F95" s="93"/>
      <c r="G95" s="93">
        <v>-2268.83</v>
      </c>
      <c r="H95" s="93">
        <v>16714.82</v>
      </c>
      <c r="I95" s="93">
        <v>60096.78</v>
      </c>
      <c r="J95" s="93">
        <v>68392.0</v>
      </c>
      <c r="K95" s="93"/>
      <c r="L95" s="93">
        <v>-3103.13</v>
      </c>
      <c r="M95" s="93">
        <v>34.41</v>
      </c>
      <c r="N95" s="93">
        <v>5867.14</v>
      </c>
      <c r="O95" s="93">
        <v>767933.0</v>
      </c>
      <c r="P95" s="91">
        <f>IFERROR(__xludf.DUMMYFUNCTION("IFERROR(sum(FILTER($D:$N,$C:$C = $C95,$A:$A &lt; $A95,$B:$B = 12)),0) + sum($D95:$N95)"),767932.1500000001)</f>
        <v>767932.15</v>
      </c>
      <c r="Q95" s="92">
        <f t="shared" si="1"/>
        <v>0.8499999999</v>
      </c>
      <c r="R95" s="91">
        <f t="array" ref="R95">IFERROR(INDEX('Fund YTD Target Values'!$1:$1000, MATCH($C95,'Fund YTD Target Values'!$A:$A,0), MATCH($A95,'Fund YTD Target Values'!$1:$1,0)),0)</f>
        <v>723671.5439</v>
      </c>
      <c r="S95" s="91">
        <f>IFERROR(__xludf.DUMMYFUNCTION("IFERROR(sum(FILTER('Fund Investment Data'!$V:$V, 'Fund Investment Data'!$C:$C = $C95, 'Fund Investment Data'!$A:$A &lt; $A95)),0) + IFERROR(sum(FILTER('Fund Investment Data'!$V:$V, 'Fund Investment Data'!$C:$C = $C95, 'Fund Investment Data'!$A:$A = $A95, 'Fu"&amp;"nd Investment Data'!$B:$B &lt;= $B95)),0)"),637375.0)</f>
        <v>637375</v>
      </c>
      <c r="T95" s="93">
        <v>637375.0</v>
      </c>
      <c r="U95" s="32">
        <f t="shared" si="3"/>
        <v>0</v>
      </c>
      <c r="V95" s="32">
        <f>IFERROR(__xludf.DUMMYFUNCTION("$D95 - IFERROR(FILTER($D:$D,$C:$C = $C95, $A:$A = $A95, $B:$B = $B95 - 1),0)"),132000.0)</f>
        <v>132000</v>
      </c>
      <c r="W95" s="93">
        <f>IFERROR(__xludf.DUMMYFUNCTION("$E95 - IFERROR(FILTER($E:$E,$C:$C = $C95, $A:$A = $A95, $B:$B = $B95 - 1),0)"),-46000.0)</f>
        <v>-46000</v>
      </c>
      <c r="X95" s="93"/>
      <c r="Y95" s="93"/>
      <c r="Z95" s="93">
        <v>0.0</v>
      </c>
      <c r="AA95" s="93">
        <v>0.0</v>
      </c>
      <c r="AB95" s="93">
        <v>0.0</v>
      </c>
      <c r="AC95" s="93"/>
      <c r="AD95" s="93">
        <v>0.0</v>
      </c>
      <c r="AE95" s="32">
        <f t="shared" si="2"/>
        <v>-46000</v>
      </c>
      <c r="AF95" s="93">
        <v>0.0</v>
      </c>
    </row>
    <row r="96">
      <c r="A96" s="86">
        <v>2004.0</v>
      </c>
      <c r="B96" s="87">
        <v>12.0</v>
      </c>
      <c r="C96" s="88" t="s">
        <v>26</v>
      </c>
      <c r="D96" s="93">
        <v>30000.0</v>
      </c>
      <c r="E96" s="32"/>
      <c r="F96" s="93"/>
      <c r="G96" s="93">
        <v>-11.95</v>
      </c>
      <c r="H96" s="93">
        <v>242.67</v>
      </c>
      <c r="I96" s="32"/>
      <c r="J96" s="93">
        <v>767.23</v>
      </c>
      <c r="K96" s="93"/>
      <c r="L96" s="32"/>
      <c r="M96" s="93">
        <v>0.91</v>
      </c>
      <c r="N96" s="93">
        <v>336.52</v>
      </c>
      <c r="O96" s="93">
        <v>31335.0</v>
      </c>
      <c r="P96" s="91">
        <f>IFERROR(__xludf.DUMMYFUNCTION("IFERROR(sum(FILTER($D:$N,$C:$C = $C96,$A:$A &lt; $A96,$B:$B = 12)),0) + sum($D96:$N96)"),31335.379999999997)</f>
        <v>31335.38</v>
      </c>
      <c r="Q96" s="92">
        <f t="shared" si="1"/>
        <v>-0.38</v>
      </c>
      <c r="R96" s="91">
        <f t="array" ref="R96">IFERROR(INDEX('Fund YTD Target Values'!$1:$1000, MATCH($C96,'Fund YTD Target Values'!$A:$A,0), MATCH($A96,'Fund YTD Target Values'!$1:$1,0)),0)</f>
        <v>30000</v>
      </c>
      <c r="S96" s="91">
        <f>IFERROR(__xludf.DUMMYFUNCTION("IFERROR(sum(FILTER('Fund Investment Data'!$V:$V, 'Fund Investment Data'!$C:$C = $C96, 'Fund Investment Data'!$A:$A &lt; $A96)),0) + IFERROR(sum(FILTER('Fund Investment Data'!$V:$V, 'Fund Investment Data'!$C:$C = $C96, 'Fund Investment Data'!$A:$A = $A96, 'Fu"&amp;"nd Investment Data'!$B:$B &lt;= $B96)),0)"),30000.0)</f>
        <v>30000</v>
      </c>
      <c r="T96" s="93">
        <v>30000.0</v>
      </c>
      <c r="U96" s="32">
        <f t="shared" si="3"/>
        <v>0</v>
      </c>
      <c r="V96" s="32">
        <f>IFERROR(__xludf.DUMMYFUNCTION("$D96 - IFERROR(FILTER($D:$D,$C:$C = $C96, $A:$A = $A96, $B:$B = $B96 - 1),0)"),30000.0)</f>
        <v>30000</v>
      </c>
      <c r="W96" s="93">
        <f>IFERROR(__xludf.DUMMYFUNCTION("$E96 - IFERROR(FILTER($E:$E,$C:$C = $C96, $A:$A = $A96, $B:$B = $B96 - 1),0)"),0.0)</f>
        <v>0</v>
      </c>
      <c r="X96" s="93"/>
      <c r="Y96" s="93"/>
      <c r="Z96" s="93">
        <v>0.0</v>
      </c>
      <c r="AA96" s="93">
        <v>0.0</v>
      </c>
      <c r="AB96" s="93">
        <v>0.0</v>
      </c>
      <c r="AC96" s="93"/>
      <c r="AD96" s="93">
        <v>0.0</v>
      </c>
      <c r="AE96" s="32">
        <f t="shared" si="2"/>
        <v>0</v>
      </c>
      <c r="AF96" s="93">
        <v>0.0</v>
      </c>
    </row>
    <row r="97">
      <c r="A97" s="86">
        <v>2004.0</v>
      </c>
      <c r="B97" s="87">
        <v>12.0</v>
      </c>
      <c r="C97" s="88" t="s">
        <v>27</v>
      </c>
      <c r="D97" s="93">
        <v>9114.66</v>
      </c>
      <c r="E97" s="93">
        <v>-46500.0</v>
      </c>
      <c r="F97" s="93"/>
      <c r="G97" s="93">
        <v>-1047.36</v>
      </c>
      <c r="H97" s="93">
        <v>7245.26</v>
      </c>
      <c r="I97" s="93">
        <v>9062.91</v>
      </c>
      <c r="J97" s="93">
        <v>6825.6</v>
      </c>
      <c r="K97" s="93"/>
      <c r="L97" s="93">
        <v>-3252.68</v>
      </c>
      <c r="M97" s="93">
        <v>-11.73</v>
      </c>
      <c r="N97" s="93">
        <v>2582.0</v>
      </c>
      <c r="O97" s="93">
        <v>211236.0</v>
      </c>
      <c r="P97" s="91">
        <f>IFERROR(__xludf.DUMMYFUNCTION("IFERROR(sum(FILTER($D:$N,$C:$C = $C97,$A:$A &lt; $A97,$B:$B = 12)),0) + sum($D97:$N97)"),211237.72)</f>
        <v>211237.72</v>
      </c>
      <c r="Q97" s="92">
        <f t="shared" si="1"/>
        <v>-1.72</v>
      </c>
      <c r="R97" s="91">
        <f t="array" ref="R97">IFERROR(INDEX('Fund YTD Target Values'!$1:$1000, MATCH($C97,'Fund YTD Target Values'!$A:$A,0), MATCH($A97,'Fund YTD Target Values'!$1:$1,0)),0)</f>
        <v>207585.7246</v>
      </c>
      <c r="S97" s="91">
        <f>IFERROR(__xludf.DUMMYFUNCTION("IFERROR(sum(FILTER('Fund Investment Data'!$V:$V, 'Fund Investment Data'!$C:$C = $C97, 'Fund Investment Data'!$A:$A &lt; $A97)),0) + IFERROR(sum(FILTER('Fund Investment Data'!$V:$V, 'Fund Investment Data'!$C:$C = $C97, 'Fund Investment Data'!$A:$A = $A97, 'Fu"&amp;"nd Investment Data'!$B:$B &lt;= $B97)),0)"),182128.61)</f>
        <v>182128.61</v>
      </c>
      <c r="T97" s="93">
        <v>178135.0</v>
      </c>
      <c r="U97" s="32">
        <f t="shared" si="3"/>
        <v>3993.61</v>
      </c>
      <c r="V97" s="32">
        <f>IFERROR(__xludf.DUMMYFUNCTION("$D97 - IFERROR(FILTER($D:$D,$C:$C = $C97, $A:$A = $A97, $B:$B = $B97 - 1),0)"),9114.66)</f>
        <v>9114.66</v>
      </c>
      <c r="W97" s="93">
        <f>IFERROR(__xludf.DUMMYFUNCTION("$E97 - IFERROR(FILTER($E:$E,$C:$C = $C97, $A:$A = $A97, $B:$B = $B97 - 1),0)"),-46500.0)</f>
        <v>-46500</v>
      </c>
      <c r="X97" s="93"/>
      <c r="Y97" s="93"/>
      <c r="Z97" s="93">
        <v>0.0</v>
      </c>
      <c r="AA97" s="93">
        <v>0.0</v>
      </c>
      <c r="AB97" s="93">
        <v>0.0</v>
      </c>
      <c r="AC97" s="93"/>
      <c r="AD97" s="93">
        <v>0.0</v>
      </c>
      <c r="AE97" s="32">
        <f t="shared" si="2"/>
        <v>-46500</v>
      </c>
      <c r="AF97" s="93">
        <v>0.0</v>
      </c>
    </row>
    <row r="98">
      <c r="A98" s="86">
        <v>2004.0</v>
      </c>
      <c r="B98" s="87">
        <v>12.0</v>
      </c>
      <c r="C98" s="88" t="s">
        <v>28</v>
      </c>
      <c r="D98" s="93">
        <v>509358.07</v>
      </c>
      <c r="E98" s="93">
        <v>-15000.0</v>
      </c>
      <c r="F98" s="93"/>
      <c r="G98" s="93">
        <v>-5420.19</v>
      </c>
      <c r="H98" s="93">
        <v>37219.24</v>
      </c>
      <c r="I98" s="93">
        <v>48758.07</v>
      </c>
      <c r="J98" s="93">
        <v>46454.65</v>
      </c>
      <c r="K98" s="93"/>
      <c r="L98" s="93">
        <v>-10089.0</v>
      </c>
      <c r="M98" s="93">
        <v>66.35</v>
      </c>
      <c r="N98" s="93">
        <v>18264.84</v>
      </c>
      <c r="O98" s="93">
        <v>1709847.0</v>
      </c>
      <c r="P98" s="91">
        <f>IFERROR(__xludf.DUMMYFUNCTION("IFERROR(sum(FILTER($D:$N,$C:$C = $C98,$A:$A &lt; $A98,$B:$B = 12)),0) + sum($D98:$N98)"),1709846.56)</f>
        <v>1709846.56</v>
      </c>
      <c r="Q98" s="92">
        <f t="shared" si="1"/>
        <v>0.4399999999</v>
      </c>
      <c r="R98" s="91">
        <f t="array" ref="R98">IFERROR(INDEX('Fund YTD Target Values'!$1:$1000, MATCH($C98,'Fund YTD Target Values'!$A:$A,0), MATCH($A98,'Fund YTD Target Values'!$1:$1,0)),0)</f>
        <v>1513314.239</v>
      </c>
      <c r="S98" s="91">
        <f>IFERROR(__xludf.DUMMYFUNCTION("IFERROR(sum(FILTER('Fund Investment Data'!$V:$V, 'Fund Investment Data'!$C:$C = $C98, 'Fund Investment Data'!$A:$A &lt; $A98)),0) + IFERROR(sum(FILTER('Fund Investment Data'!$V:$V, 'Fund Investment Data'!$C:$C = $C98, 'Fund Investment Data'!$A:$A = $A98, 'Fu"&amp;"nd Investment Data'!$B:$B &lt;= $B98)),0)"),1461341.1400000001)</f>
        <v>1461341.14</v>
      </c>
      <c r="T98" s="93">
        <v>1511930.0</v>
      </c>
      <c r="U98" s="32">
        <f t="shared" si="3"/>
        <v>-50588.86</v>
      </c>
      <c r="V98" s="32">
        <f>IFERROR(__xludf.DUMMYFUNCTION("$D98 - IFERROR(FILTER($D:$D,$C:$C = $C98, $A:$A = $A98, $B:$B = $B98 - 1),0)"),509358.07)</f>
        <v>509358.07</v>
      </c>
      <c r="W98" s="93">
        <f>IFERROR(__xludf.DUMMYFUNCTION("$E98 - IFERROR(FILTER($E:$E,$C:$C = $C98, $A:$A = $A98, $B:$B = $B98 - 1),0)"),-15000.0)</f>
        <v>-15000</v>
      </c>
      <c r="X98" s="93"/>
      <c r="Y98" s="93"/>
      <c r="Z98" s="93">
        <v>0.0</v>
      </c>
      <c r="AA98" s="93">
        <v>0.0</v>
      </c>
      <c r="AB98" s="93">
        <v>0.0</v>
      </c>
      <c r="AC98" s="93"/>
      <c r="AD98" s="93">
        <v>0.0</v>
      </c>
      <c r="AE98" s="32">
        <f t="shared" si="2"/>
        <v>-15000</v>
      </c>
      <c r="AF98" s="93">
        <v>0.0</v>
      </c>
    </row>
    <row r="99">
      <c r="A99" s="86">
        <v>2004.0</v>
      </c>
      <c r="B99" s="87">
        <v>12.0</v>
      </c>
      <c r="C99" s="88" t="s">
        <v>36</v>
      </c>
      <c r="D99" s="93">
        <v>20000.0</v>
      </c>
      <c r="E99" s="93">
        <v>-48500.0</v>
      </c>
      <c r="F99" s="93"/>
      <c r="G99" s="93">
        <v>-1610.0</v>
      </c>
      <c r="H99" s="93">
        <v>10338.0</v>
      </c>
      <c r="I99" s="93">
        <v>8648.0</v>
      </c>
      <c r="J99" s="93">
        <v>17269.0</v>
      </c>
      <c r="K99" s="93"/>
      <c r="L99" s="93">
        <v>-5237.0</v>
      </c>
      <c r="M99" s="93">
        <v>-8.0</v>
      </c>
      <c r="N99" s="93">
        <v>4214.0</v>
      </c>
      <c r="O99" s="93">
        <v>371931.0</v>
      </c>
      <c r="P99" s="91">
        <f>IFERROR(__xludf.DUMMYFUNCTION("IFERROR(sum(FILTER($D:$N,$C:$C = $C99,$A:$A &lt; $A99,$B:$B = 12)),0) + sum($D99:$N99)"),371931.73)</f>
        <v>371931.73</v>
      </c>
      <c r="Q99" s="92">
        <f t="shared" si="1"/>
        <v>-0.73</v>
      </c>
      <c r="R99" s="91">
        <f t="array" ref="R99">IFERROR(INDEX('Fund YTD Target Values'!$1:$1000, MATCH($C99,'Fund YTD Target Values'!$A:$A,0), MATCH($A99,'Fund YTD Target Values'!$1:$1,0)),0)</f>
        <v>375451.1635</v>
      </c>
      <c r="S99" s="91">
        <f>IFERROR(__xludf.DUMMYFUNCTION("IFERROR(sum(FILTER('Fund Investment Data'!$V:$V, 'Fund Investment Data'!$C:$C = $C99, 'Fund Investment Data'!$A:$A &lt; $A99)),0) + IFERROR(sum(FILTER('Fund Investment Data'!$V:$V, 'Fund Investment Data'!$C:$C = $C99, 'Fund Investment Data'!$A:$A = $A99, 'Fu"&amp;"nd Investment Data'!$B:$B &lt;= $B99)),0)"),319067.24)</f>
        <v>319067.24</v>
      </c>
      <c r="T99" s="93">
        <v>303204.0</v>
      </c>
      <c r="U99" s="32">
        <f t="shared" si="3"/>
        <v>15863.24</v>
      </c>
      <c r="V99" s="32">
        <f>IFERROR(__xludf.DUMMYFUNCTION("$D99 - IFERROR(FILTER($D:$D,$C:$C = $C99, $A:$A = $A99, $B:$B = $B99 - 1),0)"),20000.0)</f>
        <v>20000</v>
      </c>
      <c r="W99" s="93">
        <f>IFERROR(__xludf.DUMMYFUNCTION("$E99 - IFERROR(FILTER($E:$E,$C:$C = $C99, $A:$A = $A99, $B:$B = $B99 - 1),0)"),-48500.0)</f>
        <v>-48500</v>
      </c>
      <c r="X99" s="93"/>
      <c r="Y99" s="93"/>
      <c r="Z99" s="93">
        <v>0.0</v>
      </c>
      <c r="AA99" s="93">
        <v>0.0</v>
      </c>
      <c r="AB99" s="93">
        <v>0.0</v>
      </c>
      <c r="AC99" s="93"/>
      <c r="AD99" s="93">
        <v>0.0</v>
      </c>
      <c r="AE99" s="32">
        <f t="shared" si="2"/>
        <v>-48500</v>
      </c>
      <c r="AF99" s="93">
        <v>0.0</v>
      </c>
    </row>
    <row r="100">
      <c r="A100" s="86">
        <v>2004.0</v>
      </c>
      <c r="B100" s="87">
        <v>12.0</v>
      </c>
      <c r="C100" s="88" t="s">
        <v>29</v>
      </c>
      <c r="D100" s="32"/>
      <c r="E100" s="93">
        <v>-1000.0</v>
      </c>
      <c r="F100" s="93"/>
      <c r="G100" s="93">
        <v>-278.0</v>
      </c>
      <c r="H100" s="93">
        <v>1914.0</v>
      </c>
      <c r="I100" s="93">
        <v>1252.0</v>
      </c>
      <c r="J100" s="93">
        <v>3245.0</v>
      </c>
      <c r="K100" s="93"/>
      <c r="L100" s="93">
        <v>-667.0</v>
      </c>
      <c r="M100" s="93">
        <v>-1.0</v>
      </c>
      <c r="N100" s="93">
        <v>706.0</v>
      </c>
      <c r="O100" s="93">
        <v>66225.0</v>
      </c>
      <c r="P100" s="91">
        <f>IFERROR(__xludf.DUMMYFUNCTION("IFERROR(sum(FILTER($D:$N,$C:$C = $C100,$A:$A &lt; $A100,$B:$B = 12)),0) + sum($D100:$N100)"),66225.02999999997)</f>
        <v>66225.03</v>
      </c>
      <c r="Q100" s="92">
        <f t="shared" si="1"/>
        <v>-0.02999999997</v>
      </c>
      <c r="R100" s="91">
        <f t="array" ref="R100">IFERROR(INDEX('Fund YTD Target Values'!$1:$1000, MATCH($C100,'Fund YTD Target Values'!$A:$A,0), MATCH($A100,'Fund YTD Target Values'!$1:$1,0)),0)</f>
        <v>57938.63925</v>
      </c>
      <c r="S100" s="91">
        <f>IFERROR(__xludf.DUMMYFUNCTION("IFERROR(sum(FILTER('Fund Investment Data'!$V:$V, 'Fund Investment Data'!$C:$C = $C100, 'Fund Investment Data'!$A:$A &lt; $A100)),0) + IFERROR(sum(FILTER('Fund Investment Data'!$V:$V, 'Fund Investment Data'!$C:$C = $C100, 'Fund Investment Data'!$A:$A = $A100,"&amp;" 'Fund Investment Data'!$B:$B &lt;= $B100)),0)"),50000.0)</f>
        <v>50000</v>
      </c>
      <c r="T100" s="93">
        <v>50000.0</v>
      </c>
      <c r="U100" s="32">
        <f t="shared" si="3"/>
        <v>0</v>
      </c>
      <c r="V100" s="32">
        <f>IFERROR(__xludf.DUMMYFUNCTION("$D100 - IFERROR(FILTER($D:$D,$C:$C = $C100, $A:$A = $A100, $B:$B = $B100 - 1),0)"),0.0)</f>
        <v>0</v>
      </c>
      <c r="W100" s="93">
        <f>IFERROR(__xludf.DUMMYFUNCTION("$E100 - IFERROR(FILTER($E:$E,$C:$C = $C100, $A:$A = $A100, $B:$B = $B100 - 1),0)"),-1000.0)</f>
        <v>-1000</v>
      </c>
      <c r="X100" s="93"/>
      <c r="Y100" s="93"/>
      <c r="Z100" s="93">
        <v>0.0</v>
      </c>
      <c r="AA100" s="93">
        <v>0.0</v>
      </c>
      <c r="AB100" s="93">
        <v>0.0</v>
      </c>
      <c r="AC100" s="93"/>
      <c r="AD100" s="93">
        <v>0.0</v>
      </c>
      <c r="AE100" s="32">
        <f t="shared" si="2"/>
        <v>-1000</v>
      </c>
      <c r="AF100" s="93">
        <v>0.0</v>
      </c>
    </row>
    <row r="101">
      <c r="A101" s="86">
        <v>2004.0</v>
      </c>
      <c r="B101" s="87">
        <v>12.0</v>
      </c>
      <c r="C101" s="88" t="s">
        <v>38</v>
      </c>
      <c r="D101" s="93">
        <v>104901.77</v>
      </c>
      <c r="E101" s="32"/>
      <c r="F101" s="93"/>
      <c r="G101" s="93">
        <v>-90.79</v>
      </c>
      <c r="H101" s="93">
        <v>893.79</v>
      </c>
      <c r="I101" s="93">
        <v>36.79</v>
      </c>
      <c r="J101" s="93">
        <v>5382.81</v>
      </c>
      <c r="K101" s="93"/>
      <c r="L101" s="32"/>
      <c r="M101" s="93">
        <v>5.56</v>
      </c>
      <c r="N101" s="93">
        <v>1041.66</v>
      </c>
      <c r="O101" s="93">
        <v>112172.0</v>
      </c>
      <c r="P101" s="91">
        <f>IFERROR(__xludf.DUMMYFUNCTION("IFERROR(sum(FILTER($D:$N,$C:$C = $C101,$A:$A &lt; $A101,$B:$B = 12)),0) + sum($D101:$N101)"),112171.59)</f>
        <v>112171.59</v>
      </c>
      <c r="Q101" s="92">
        <f t="shared" si="1"/>
        <v>0.41</v>
      </c>
      <c r="R101" s="91">
        <f t="array" ref="R101">IFERROR(INDEX('Fund YTD Target Values'!$1:$1000, MATCH($C101,'Fund YTD Target Values'!$A:$A,0), MATCH($A101,'Fund YTD Target Values'!$1:$1,0)),0)</f>
        <v>104901.77</v>
      </c>
      <c r="S101" s="91">
        <f>IFERROR(__xludf.DUMMYFUNCTION("IFERROR(sum(FILTER('Fund Investment Data'!$V:$V, 'Fund Investment Data'!$C:$C = $C101, 'Fund Investment Data'!$A:$A &lt; $A101)),0) + IFERROR(sum(FILTER('Fund Investment Data'!$V:$V, 'Fund Investment Data'!$C:$C = $C101, 'Fund Investment Data'!$A:$A = $A101,"&amp;" 'Fund Investment Data'!$B:$B &lt;= $B101)),0)"),104901.77)</f>
        <v>104901.77</v>
      </c>
      <c r="T101" s="93">
        <v>119922.0</v>
      </c>
      <c r="U101" s="32">
        <f t="shared" si="3"/>
        <v>-15020.23</v>
      </c>
      <c r="V101" s="32">
        <f>IFERROR(__xludf.DUMMYFUNCTION("$D101 - IFERROR(FILTER($D:$D,$C:$C = $C101, $A:$A = $A101, $B:$B = $B101 - 1),0)"),104901.77)</f>
        <v>104901.77</v>
      </c>
      <c r="W101" s="93">
        <f>IFERROR(__xludf.DUMMYFUNCTION("$E101 - IFERROR(FILTER($E:$E,$C:$C = $C101, $A:$A = $A101, $B:$B = $B101 - 1),0)"),0.0)</f>
        <v>0</v>
      </c>
      <c r="X101" s="93"/>
      <c r="Y101" s="93"/>
      <c r="Z101" s="93">
        <v>0.0</v>
      </c>
      <c r="AA101" s="93">
        <v>0.0</v>
      </c>
      <c r="AB101" s="93">
        <v>0.0</v>
      </c>
      <c r="AC101" s="93"/>
      <c r="AD101" s="93">
        <v>0.0</v>
      </c>
      <c r="AE101" s="32">
        <f t="shared" si="2"/>
        <v>0</v>
      </c>
      <c r="AF101" s="93">
        <v>0.0</v>
      </c>
    </row>
    <row r="102">
      <c r="A102" s="86">
        <v>2004.0</v>
      </c>
      <c r="B102" s="87">
        <v>12.0</v>
      </c>
      <c r="C102" s="88" t="s">
        <v>30</v>
      </c>
      <c r="D102" s="32"/>
      <c r="E102" s="32"/>
      <c r="F102" s="93"/>
      <c r="G102" s="93">
        <v>-74.0</v>
      </c>
      <c r="H102" s="93">
        <v>466.0</v>
      </c>
      <c r="I102" s="93">
        <v>909.0</v>
      </c>
      <c r="J102" s="93">
        <v>137.0</v>
      </c>
      <c r="K102" s="93"/>
      <c r="L102" s="93">
        <v>-104.0</v>
      </c>
      <c r="M102" s="93">
        <v>1.0</v>
      </c>
      <c r="N102" s="93">
        <v>188.0</v>
      </c>
      <c r="O102" s="93">
        <v>17566.0</v>
      </c>
      <c r="P102" s="91">
        <f>IFERROR(__xludf.DUMMYFUNCTION("IFERROR(sum(FILTER($D:$N,$C:$C = $C102,$A:$A &lt; $A102,$B:$B = 12)),0) + sum($D102:$N102)"),17564.84999999999)</f>
        <v>17564.85</v>
      </c>
      <c r="Q102" s="92">
        <f t="shared" si="1"/>
        <v>1.15</v>
      </c>
      <c r="R102" s="91">
        <f t="array" ref="R102">IFERROR(INDEX('Fund YTD Target Values'!$1:$1000, MATCH($C102,'Fund YTD Target Values'!$A:$A,0), MATCH($A102,'Fund YTD Target Values'!$1:$1,0)),0)</f>
        <v>13898.61552</v>
      </c>
      <c r="S102" s="91">
        <f>IFERROR(__xludf.DUMMYFUNCTION("IFERROR(sum(FILTER('Fund Investment Data'!$V:$V, 'Fund Investment Data'!$C:$C = $C102, 'Fund Investment Data'!$A:$A &lt; $A102)),0) + IFERROR(sum(FILTER('Fund Investment Data'!$V:$V, 'Fund Investment Data'!$C:$C = $C102, 'Fund Investment Data'!$A:$A = $A102,"&amp;" 'Fund Investment Data'!$B:$B &lt;= $B102)),0)"),11540.75)</f>
        <v>11540.75</v>
      </c>
      <c r="T102" s="93">
        <v>10000.0</v>
      </c>
      <c r="U102" s="32">
        <f t="shared" si="3"/>
        <v>1540.75</v>
      </c>
      <c r="V102" s="32">
        <f>IFERROR(__xludf.DUMMYFUNCTION("$D102 - IFERROR(FILTER($D:$D,$C:$C = $C102, $A:$A = $A102, $B:$B = $B102 - 1),0)"),0.0)</f>
        <v>0</v>
      </c>
      <c r="W102" s="93">
        <f>IFERROR(__xludf.DUMMYFUNCTION("$E102 - IFERROR(FILTER($E:$E,$C:$C = $C102, $A:$A = $A102, $B:$B = $B102 - 1),0)"),0.0)</f>
        <v>0</v>
      </c>
      <c r="X102" s="93"/>
      <c r="Y102" s="93"/>
      <c r="Z102" s="93">
        <v>0.0</v>
      </c>
      <c r="AA102" s="93">
        <v>0.0</v>
      </c>
      <c r="AB102" s="93">
        <v>0.0</v>
      </c>
      <c r="AC102" s="93"/>
      <c r="AD102" s="93">
        <v>0.0</v>
      </c>
      <c r="AE102" s="32">
        <f t="shared" si="2"/>
        <v>0</v>
      </c>
      <c r="AF102" s="93">
        <v>0.0</v>
      </c>
    </row>
    <row r="103">
      <c r="A103" s="86">
        <v>2004.0</v>
      </c>
      <c r="B103" s="87">
        <v>12.0</v>
      </c>
      <c r="C103" s="88" t="s">
        <v>47</v>
      </c>
      <c r="D103" s="93">
        <v>240000.0</v>
      </c>
      <c r="E103" s="93">
        <v>-105000.0</v>
      </c>
      <c r="F103" s="93"/>
      <c r="G103" s="93">
        <v>-5646.0</v>
      </c>
      <c r="H103" s="93">
        <v>39623.0</v>
      </c>
      <c r="I103" s="93">
        <v>24408.0</v>
      </c>
      <c r="J103" s="93">
        <v>70036.0</v>
      </c>
      <c r="K103" s="93"/>
      <c r="L103" s="93">
        <v>-14719.0</v>
      </c>
      <c r="M103" s="93">
        <v>-37.0</v>
      </c>
      <c r="N103" s="93">
        <v>15530.0</v>
      </c>
      <c r="O103" s="93">
        <v>1391766.0</v>
      </c>
      <c r="P103" s="91">
        <f>IFERROR(__xludf.DUMMYFUNCTION("IFERROR(sum(FILTER($D:$N,$C:$C = $C103,$A:$A &lt; $A103,$B:$B = 12)),0) + sum($D103:$N103)"),1391765.11)</f>
        <v>1391765.11</v>
      </c>
      <c r="Q103" s="92">
        <f t="shared" si="1"/>
        <v>0.8899999999</v>
      </c>
      <c r="R103" s="91">
        <f t="array" ref="R103">IFERROR(INDEX('Fund YTD Target Values'!$1:$1000, MATCH($C103,'Fund YTD Target Values'!$A:$A,0), MATCH($A103,'Fund YTD Target Values'!$1:$1,0)),0)</f>
        <v>1317524.736</v>
      </c>
      <c r="S103" s="91">
        <f>IFERROR(__xludf.DUMMYFUNCTION("IFERROR(sum(FILTER('Fund Investment Data'!$V:$V, 'Fund Investment Data'!$C:$C = $C103, 'Fund Investment Data'!$A:$A &lt; $A103)),0) + IFERROR(sum(FILTER('Fund Investment Data'!$V:$V, 'Fund Investment Data'!$C:$C = $C103, 'Fund Investment Data'!$A:$A = $A103,"&amp;" 'Fund Investment Data'!$B:$B &lt;= $B103)),0)"),1255767.46)</f>
        <v>1255767.46</v>
      </c>
      <c r="T103" s="93">
        <v>1258355.0</v>
      </c>
      <c r="U103" s="32">
        <f t="shared" si="3"/>
        <v>-2587.54</v>
      </c>
      <c r="V103" s="32">
        <f>IFERROR(__xludf.DUMMYFUNCTION("$D103 - IFERROR(FILTER($D:$D,$C:$C = $C103, $A:$A = $A103, $B:$B = $B103 - 1),0)"),240000.0)</f>
        <v>240000</v>
      </c>
      <c r="W103" s="93">
        <f>IFERROR(__xludf.DUMMYFUNCTION("$E103 - IFERROR(FILTER($E:$E,$C:$C = $C103, $A:$A = $A103, $B:$B = $B103 - 1),0)"),-105000.0)</f>
        <v>-105000</v>
      </c>
      <c r="X103" s="93"/>
      <c r="Y103" s="93"/>
      <c r="Z103" s="93">
        <v>0.0</v>
      </c>
      <c r="AA103" s="93">
        <v>0.0</v>
      </c>
      <c r="AB103" s="93">
        <v>0.0</v>
      </c>
      <c r="AC103" s="93"/>
      <c r="AD103" s="93">
        <v>0.0</v>
      </c>
      <c r="AE103" s="32">
        <f t="shared" si="2"/>
        <v>-105000</v>
      </c>
      <c r="AF103" s="93">
        <v>0.0</v>
      </c>
    </row>
    <row r="104">
      <c r="A104" s="86">
        <v>2004.0</v>
      </c>
      <c r="B104" s="87">
        <v>12.0</v>
      </c>
      <c r="C104" s="88" t="s">
        <v>31</v>
      </c>
      <c r="D104" s="93">
        <v>800.0</v>
      </c>
      <c r="E104" s="93">
        <v>-4500.0</v>
      </c>
      <c r="F104" s="93"/>
      <c r="G104" s="93">
        <v>-576.0</v>
      </c>
      <c r="H104" s="93">
        <v>4012.0</v>
      </c>
      <c r="I104" s="93">
        <v>2528.0</v>
      </c>
      <c r="J104" s="93">
        <v>6754.0</v>
      </c>
      <c r="K104" s="93"/>
      <c r="L104" s="93">
        <v>-1298.0</v>
      </c>
      <c r="M104" s="93">
        <v>-7.0</v>
      </c>
      <c r="N104" s="93">
        <v>1414.0</v>
      </c>
      <c r="O104" s="93">
        <v>136956.0</v>
      </c>
      <c r="P104" s="91">
        <f>IFERROR(__xludf.DUMMYFUNCTION("IFERROR(sum(FILTER($D:$N,$C:$C = $C104,$A:$A &lt; $A104,$B:$B = 12)),0) + sum($D104:$N104)"),136955.96000000002)</f>
        <v>136955.96</v>
      </c>
      <c r="Q104" s="92">
        <f t="shared" si="1"/>
        <v>0.03999999998</v>
      </c>
      <c r="R104" s="91">
        <f t="array" ref="R104">IFERROR(INDEX('Fund YTD Target Values'!$1:$1000, MATCH($C104,'Fund YTD Target Values'!$A:$A,0), MATCH($A104,'Fund YTD Target Values'!$1:$1,0)),0)</f>
        <v>105808.9337</v>
      </c>
      <c r="S104" s="91">
        <f>IFERROR(__xludf.DUMMYFUNCTION("IFERROR(sum(FILTER('Fund Investment Data'!$V:$V, 'Fund Investment Data'!$C:$C = $C104, 'Fund Investment Data'!$A:$A &lt; $A104)),0) + IFERROR(sum(FILTER('Fund Investment Data'!$V:$V, 'Fund Investment Data'!$C:$C = $C104, 'Fund Investment Data'!$A:$A = $A104,"&amp;" 'Fund Investment Data'!$B:$B &lt;= $B104)),0)"),100800.0)</f>
        <v>100800</v>
      </c>
      <c r="T104" s="93">
        <v>100800.0</v>
      </c>
      <c r="U104" s="32">
        <f t="shared" si="3"/>
        <v>0</v>
      </c>
      <c r="V104" s="32">
        <f>IFERROR(__xludf.DUMMYFUNCTION("$D104 - IFERROR(FILTER($D:$D,$C:$C = $C104, $A:$A = $A104, $B:$B = $B104 - 1),0)"),800.0)</f>
        <v>800</v>
      </c>
      <c r="W104" s="93">
        <f>IFERROR(__xludf.DUMMYFUNCTION("$E104 - IFERROR(FILTER($E:$E,$C:$C = $C104, $A:$A = $A104, $B:$B = $B104 - 1),0)"),-4500.0)</f>
        <v>-4500</v>
      </c>
      <c r="X104" s="93"/>
      <c r="Y104" s="93"/>
      <c r="Z104" s="93">
        <v>0.0</v>
      </c>
      <c r="AA104" s="93">
        <v>0.0</v>
      </c>
      <c r="AB104" s="93">
        <v>0.0</v>
      </c>
      <c r="AC104" s="93"/>
      <c r="AD104" s="93">
        <v>0.0</v>
      </c>
      <c r="AE104" s="32">
        <f t="shared" si="2"/>
        <v>-4500</v>
      </c>
      <c r="AF104" s="93">
        <v>0.0</v>
      </c>
    </row>
    <row r="105">
      <c r="A105" s="86">
        <v>2004.0</v>
      </c>
      <c r="B105" s="87">
        <v>12.0</v>
      </c>
      <c r="C105" s="88" t="s">
        <v>50</v>
      </c>
      <c r="D105" s="93">
        <v>19055.26</v>
      </c>
      <c r="E105" s="32"/>
      <c r="F105" s="93"/>
      <c r="G105" s="93">
        <v>-68.46</v>
      </c>
      <c r="H105" s="93">
        <v>390.67</v>
      </c>
      <c r="I105" s="93">
        <v>35.92</v>
      </c>
      <c r="J105" s="93">
        <v>1411.96</v>
      </c>
      <c r="K105" s="93"/>
      <c r="L105" s="93">
        <v>-331.09</v>
      </c>
      <c r="M105" s="93">
        <v>1.19</v>
      </c>
      <c r="N105" s="93">
        <v>212.28</v>
      </c>
      <c r="O105" s="93">
        <v>20708.0</v>
      </c>
      <c r="P105" s="91">
        <f>IFERROR(__xludf.DUMMYFUNCTION("IFERROR(sum(FILTER($D:$N,$C:$C = $C105,$A:$A &lt; $A105,$B:$B = 12)),0) + sum($D105:$N105)"),20707.729999999992)</f>
        <v>20707.73</v>
      </c>
      <c r="Q105" s="92">
        <f t="shared" si="1"/>
        <v>0.27</v>
      </c>
      <c r="R105" s="91">
        <f t="array" ref="R105">IFERROR(INDEX('Fund YTD Target Values'!$1:$1000, MATCH($C105,'Fund YTD Target Values'!$A:$A,0), MATCH($A105,'Fund YTD Target Values'!$1:$1,0)),0)</f>
        <v>19055.26</v>
      </c>
      <c r="S105" s="91">
        <f>IFERROR(__xludf.DUMMYFUNCTION("IFERROR(sum(FILTER('Fund Investment Data'!$V:$V, 'Fund Investment Data'!$C:$C = $C105, 'Fund Investment Data'!$A:$A &lt; $A105)),0) + IFERROR(sum(FILTER('Fund Investment Data'!$V:$V, 'Fund Investment Data'!$C:$C = $C105, 'Fund Investment Data'!$A:$A = $A105,"&amp;" 'Fund Investment Data'!$B:$B &lt;= $B105)),0)"),19055.26)</f>
        <v>19055.26</v>
      </c>
      <c r="T105" s="93">
        <v>19076.0</v>
      </c>
      <c r="U105" s="32">
        <f t="shared" si="3"/>
        <v>-20.74</v>
      </c>
      <c r="V105" s="32">
        <f>IFERROR(__xludf.DUMMYFUNCTION("$D105 - IFERROR(FILTER($D:$D,$C:$C = $C105, $A:$A = $A105, $B:$B = $B105 - 1),0)"),19055.26)</f>
        <v>19055.26</v>
      </c>
      <c r="W105" s="93">
        <f>IFERROR(__xludf.DUMMYFUNCTION("$E105 - IFERROR(FILTER($E:$E,$C:$C = $C105, $A:$A = $A105, $B:$B = $B105 - 1),0)"),0.0)</f>
        <v>0</v>
      </c>
      <c r="X105" s="93"/>
      <c r="Y105" s="93"/>
      <c r="Z105" s="93">
        <v>0.0</v>
      </c>
      <c r="AA105" s="93">
        <v>0.0</v>
      </c>
      <c r="AB105" s="93">
        <v>0.0</v>
      </c>
      <c r="AC105" s="93"/>
      <c r="AD105" s="93">
        <v>0.0</v>
      </c>
      <c r="AE105" s="32">
        <f t="shared" si="2"/>
        <v>0</v>
      </c>
      <c r="AF105" s="93">
        <v>0.0</v>
      </c>
    </row>
    <row r="106">
      <c r="A106" s="86">
        <v>2004.0</v>
      </c>
      <c r="B106" s="87">
        <v>12.0</v>
      </c>
      <c r="C106" s="88" t="s">
        <v>32</v>
      </c>
      <c r="D106" s="32"/>
      <c r="E106" s="93">
        <v>-4480.0</v>
      </c>
      <c r="F106" s="93"/>
      <c r="G106" s="93">
        <v>-312.0</v>
      </c>
      <c r="H106" s="93">
        <v>1949.0</v>
      </c>
      <c r="I106" s="93">
        <v>1620.0</v>
      </c>
      <c r="J106" s="93">
        <v>3429.0</v>
      </c>
      <c r="K106" s="93"/>
      <c r="L106" s="93">
        <v>-855.0</v>
      </c>
      <c r="M106" s="93">
        <v>-2.0</v>
      </c>
      <c r="N106" s="93">
        <v>708.0</v>
      </c>
      <c r="O106" s="93">
        <v>69838.0</v>
      </c>
      <c r="P106" s="91">
        <f>IFERROR(__xludf.DUMMYFUNCTION("IFERROR(sum(FILTER($D:$N,$C:$C = $C106,$A:$A &lt; $A106,$B:$B = 12)),0) + sum($D106:$N106)"),69837.87)</f>
        <v>69837.87</v>
      </c>
      <c r="Q106" s="92">
        <f t="shared" si="1"/>
        <v>0.13</v>
      </c>
      <c r="R106" s="91">
        <f t="array" ref="R106">IFERROR(INDEX('Fund YTD Target Values'!$1:$1000, MATCH($C106,'Fund YTD Target Values'!$A:$A,0), MATCH($A106,'Fund YTD Target Values'!$1:$1,0)),0)</f>
        <v>59535.06145</v>
      </c>
      <c r="S106" s="91">
        <f>IFERROR(__xludf.DUMMYFUNCTION("IFERROR(sum(FILTER('Fund Investment Data'!$V:$V, 'Fund Investment Data'!$C:$C = $C106, 'Fund Investment Data'!$A:$A &lt; $A106)),0) + IFERROR(sum(FILTER('Fund Investment Data'!$V:$V, 'Fund Investment Data'!$C:$C = $C106, 'Fund Investment Data'!$A:$A = $A106,"&amp;" 'Fund Investment Data'!$B:$B &lt;= $B106)),0)"),49449.04)</f>
        <v>49449.04</v>
      </c>
      <c r="T106" s="93">
        <v>39268.0</v>
      </c>
      <c r="U106" s="32">
        <f t="shared" si="3"/>
        <v>10181.04</v>
      </c>
      <c r="V106" s="32">
        <f>IFERROR(__xludf.DUMMYFUNCTION("$D106 - IFERROR(FILTER($D:$D,$C:$C = $C106, $A:$A = $A106, $B:$B = $B106 - 1),0)"),0.0)</f>
        <v>0</v>
      </c>
      <c r="W106" s="93">
        <f>IFERROR(__xludf.DUMMYFUNCTION("$E106 - IFERROR(FILTER($E:$E,$C:$C = $C106, $A:$A = $A106, $B:$B = $B106 - 1),0)"),-4480.0)</f>
        <v>-4480</v>
      </c>
      <c r="X106" s="93"/>
      <c r="Y106" s="93"/>
      <c r="Z106" s="93">
        <v>0.0</v>
      </c>
      <c r="AA106" s="93">
        <v>0.0</v>
      </c>
      <c r="AB106" s="93">
        <v>0.0</v>
      </c>
      <c r="AC106" s="93"/>
      <c r="AD106" s="93">
        <v>0.0</v>
      </c>
      <c r="AE106" s="32">
        <f t="shared" si="2"/>
        <v>-4480</v>
      </c>
      <c r="AF106" s="93">
        <v>0.0</v>
      </c>
    </row>
    <row r="107">
      <c r="A107" s="86">
        <v>2004.0</v>
      </c>
      <c r="B107" s="87">
        <v>12.0</v>
      </c>
      <c r="C107" s="88" t="s">
        <v>48</v>
      </c>
      <c r="D107" s="32"/>
      <c r="E107" s="93">
        <v>-253000.0</v>
      </c>
      <c r="F107" s="93"/>
      <c r="G107" s="93">
        <v>-6103.8</v>
      </c>
      <c r="H107" s="93">
        <v>45066.25</v>
      </c>
      <c r="I107" s="93">
        <v>47275.3</v>
      </c>
      <c r="J107" s="93">
        <v>52931.42</v>
      </c>
      <c r="K107" s="93"/>
      <c r="L107" s="93">
        <v>-20125.11</v>
      </c>
      <c r="M107" s="93">
        <v>-37.98</v>
      </c>
      <c r="N107" s="93">
        <v>15998.32</v>
      </c>
      <c r="O107" s="93">
        <v>1360757.0</v>
      </c>
      <c r="P107" s="91">
        <f>IFERROR(__xludf.DUMMYFUNCTION("IFERROR(sum(FILTER($D:$N,$C:$C = $C107,$A:$A &lt; $A107,$B:$B = 12)),0) + sum($D107:$N107)"),1360756.6500000001)</f>
        <v>1360756.65</v>
      </c>
      <c r="Q107" s="92">
        <f t="shared" si="1"/>
        <v>0.3499999999</v>
      </c>
      <c r="R107" s="91">
        <f t="array" ref="R107">IFERROR(INDEX('Fund YTD Target Values'!$1:$1000, MATCH($C107,'Fund YTD Target Values'!$A:$A,0), MATCH($A107,'Fund YTD Target Values'!$1:$1,0)),0)</f>
        <v>1425815.427</v>
      </c>
      <c r="S107" s="91">
        <f>IFERROR(__xludf.DUMMYFUNCTION("IFERROR(sum(FILTER('Fund Investment Data'!$V:$V, 'Fund Investment Data'!$C:$C = $C107, 'Fund Investment Data'!$A:$A &lt; $A107)),0) + IFERROR(sum(FILTER('Fund Investment Data'!$V:$V, 'Fund Investment Data'!$C:$C = $C107, 'Fund Investment Data'!$A:$A = $A107,"&amp;" 'Fund Investment Data'!$B:$B &lt;= $B107)),0)"),1183929.39)</f>
        <v>1183929.39</v>
      </c>
      <c r="T107" s="93">
        <v>1140040.0</v>
      </c>
      <c r="U107" s="32">
        <f t="shared" si="3"/>
        <v>43889.39</v>
      </c>
      <c r="V107" s="32">
        <f>IFERROR(__xludf.DUMMYFUNCTION("$D107 - IFERROR(FILTER($D:$D,$C:$C = $C107, $A:$A = $A107, $B:$B = $B107 - 1),0)"),0.0)</f>
        <v>0</v>
      </c>
      <c r="W107" s="93">
        <f>IFERROR(__xludf.DUMMYFUNCTION("$E107 - IFERROR(FILTER($E:$E,$C:$C = $C107, $A:$A = $A107, $B:$B = $B107 - 1),0)"),-253000.0)</f>
        <v>-253000</v>
      </c>
      <c r="X107" s="93"/>
      <c r="Y107" s="93"/>
      <c r="Z107" s="93">
        <v>0.0</v>
      </c>
      <c r="AA107" s="93">
        <v>0.0</v>
      </c>
      <c r="AB107" s="93">
        <v>0.0</v>
      </c>
      <c r="AC107" s="93"/>
      <c r="AD107" s="93">
        <v>0.0</v>
      </c>
      <c r="AE107" s="32">
        <f t="shared" si="2"/>
        <v>-253000</v>
      </c>
      <c r="AF107" s="93">
        <v>0.0</v>
      </c>
    </row>
    <row r="108">
      <c r="A108" s="86">
        <v>2004.0</v>
      </c>
      <c r="B108" s="87">
        <v>12.0</v>
      </c>
      <c r="C108" s="88" t="s">
        <v>49</v>
      </c>
      <c r="D108" s="32"/>
      <c r="E108" s="93">
        <v>-55000.0</v>
      </c>
      <c r="F108" s="93"/>
      <c r="G108" s="93">
        <v>-2709.0</v>
      </c>
      <c r="H108" s="93">
        <v>18647.0</v>
      </c>
      <c r="I108" s="93">
        <v>17632.0</v>
      </c>
      <c r="J108" s="93">
        <v>26209.0</v>
      </c>
      <c r="K108" s="93"/>
      <c r="L108" s="93">
        <v>-7372.0</v>
      </c>
      <c r="M108" s="93">
        <v>-29.0</v>
      </c>
      <c r="N108" s="93">
        <v>6733.0</v>
      </c>
      <c r="O108" s="93">
        <v>596958.0</v>
      </c>
      <c r="P108" s="91">
        <f>IFERROR(__xludf.DUMMYFUNCTION("IFERROR(sum(FILTER($D:$N,$C:$C = $C108,$A:$A &lt; $A108,$B:$B = 12)),0) + sum($D108:$N108)"),596957.95)</f>
        <v>596957.95</v>
      </c>
      <c r="Q108" s="92">
        <f t="shared" si="1"/>
        <v>0.05000000005</v>
      </c>
      <c r="R108" s="91">
        <f t="array" ref="R108">IFERROR(INDEX('Fund YTD Target Values'!$1:$1000, MATCH($C108,'Fund YTD Target Values'!$A:$A,0), MATCH($A108,'Fund YTD Target Values'!$1:$1,0)),0)</f>
        <v>527372.6086</v>
      </c>
      <c r="S108" s="91">
        <f>IFERROR(__xludf.DUMMYFUNCTION("IFERROR(sum(FILTER('Fund Investment Data'!$V:$V, 'Fund Investment Data'!$C:$C = $C108, 'Fund Investment Data'!$A:$A &lt; $A108)),0) + IFERROR(sum(FILTER('Fund Investment Data'!$V:$V, 'Fund Investment Data'!$C:$C = $C108, 'Fund Investment Data'!$A:$A = $A108,"&amp;" 'Fund Investment Data'!$B:$B &lt;= $B108)),0)"),500000.0)</f>
        <v>500000</v>
      </c>
      <c r="T108" s="93">
        <v>500000.0</v>
      </c>
      <c r="U108" s="32">
        <f t="shared" si="3"/>
        <v>0</v>
      </c>
      <c r="V108" s="32">
        <f>IFERROR(__xludf.DUMMYFUNCTION("$D108 - IFERROR(FILTER($D:$D,$C:$C = $C108, $A:$A = $A108, $B:$B = $B108 - 1),0)"),0.0)</f>
        <v>0</v>
      </c>
      <c r="W108" s="93">
        <f>IFERROR(__xludf.DUMMYFUNCTION("$E108 - IFERROR(FILTER($E:$E,$C:$C = $C108, $A:$A = $A108, $B:$B = $B108 - 1),0)"),-55000.0)</f>
        <v>-55000</v>
      </c>
      <c r="X108" s="93"/>
      <c r="Y108" s="93"/>
      <c r="Z108" s="93">
        <v>0.0</v>
      </c>
      <c r="AA108" s="93">
        <v>0.0</v>
      </c>
      <c r="AB108" s="93">
        <v>0.0</v>
      </c>
      <c r="AC108" s="93"/>
      <c r="AD108" s="93">
        <v>0.0</v>
      </c>
      <c r="AE108" s="32">
        <f t="shared" si="2"/>
        <v>-55000</v>
      </c>
      <c r="AF108" s="93">
        <v>0.0</v>
      </c>
    </row>
    <row r="109">
      <c r="A109" s="86">
        <v>2004.0</v>
      </c>
      <c r="B109" s="87">
        <v>12.0</v>
      </c>
      <c r="C109" s="88" t="s">
        <v>41</v>
      </c>
      <c r="D109" s="93">
        <v>49841.93</v>
      </c>
      <c r="E109" s="93">
        <v>-7500.0</v>
      </c>
      <c r="F109" s="93"/>
      <c r="G109" s="93">
        <v>-1056.0</v>
      </c>
      <c r="H109" s="93">
        <v>7129.0</v>
      </c>
      <c r="I109" s="93">
        <v>14106.0</v>
      </c>
      <c r="J109" s="93">
        <v>1077.0</v>
      </c>
      <c r="K109" s="93"/>
      <c r="L109" s="93">
        <v>-1560.0</v>
      </c>
      <c r="M109" s="93">
        <v>2.0</v>
      </c>
      <c r="N109" s="93">
        <v>2629.0</v>
      </c>
      <c r="O109" s="93">
        <v>275585.0</v>
      </c>
      <c r="P109" s="91">
        <f>IFERROR(__xludf.DUMMYFUNCTION("IFERROR(sum(FILTER($D:$N,$C:$C = $C109,$A:$A &lt; $A109,$B:$B = 12)),0) + sum($D109:$N109)"),275584.37000000005)</f>
        <v>275584.37</v>
      </c>
      <c r="Q109" s="92">
        <f t="shared" si="1"/>
        <v>0.6299999999</v>
      </c>
      <c r="R109" s="91">
        <f t="array" ref="R109">IFERROR(INDEX('Fund YTD Target Values'!$1:$1000, MATCH($C109,'Fund YTD Target Values'!$A:$A,0), MATCH($A109,'Fund YTD Target Values'!$1:$1,0)),0)</f>
        <v>260275.4296</v>
      </c>
      <c r="S109" s="91">
        <f>IFERROR(__xludf.DUMMYFUNCTION("IFERROR(sum(FILTER('Fund Investment Data'!$V:$V, 'Fund Investment Data'!$C:$C = $C109, 'Fund Investment Data'!$A:$A &lt; $A109)),0) + IFERROR(sum(FILTER('Fund Investment Data'!$V:$V, 'Fund Investment Data'!$C:$C = $C109, 'Fund Investment Data'!$A:$A = $A109,"&amp;" 'Fund Investment Data'!$B:$B &lt;= $B109)),0)"),244556.86)</f>
        <v>244556.86</v>
      </c>
      <c r="T109" s="93">
        <v>245092.0</v>
      </c>
      <c r="U109" s="32">
        <f t="shared" si="3"/>
        <v>-535.14</v>
      </c>
      <c r="V109" s="32">
        <f>IFERROR(__xludf.DUMMYFUNCTION("$D109 - IFERROR(FILTER($D:$D,$C:$C = $C109, $A:$A = $A109, $B:$B = $B109 - 1),0)"),49841.93)</f>
        <v>49841.93</v>
      </c>
      <c r="W109" s="93">
        <f>IFERROR(__xludf.DUMMYFUNCTION("$E109 - IFERROR(FILTER($E:$E,$C:$C = $C109, $A:$A = $A109, $B:$B = $B109 - 1),0)"),-7500.0)</f>
        <v>-7500</v>
      </c>
      <c r="X109" s="93"/>
      <c r="Y109" s="93"/>
      <c r="Z109" s="93">
        <v>0.0</v>
      </c>
      <c r="AA109" s="93">
        <v>0.0</v>
      </c>
      <c r="AB109" s="93">
        <v>0.0</v>
      </c>
      <c r="AC109" s="93"/>
      <c r="AD109" s="93">
        <v>0.0</v>
      </c>
      <c r="AE109" s="32">
        <f t="shared" si="2"/>
        <v>-7500</v>
      </c>
      <c r="AF109" s="93">
        <v>0.0</v>
      </c>
    </row>
    <row r="110">
      <c r="A110" s="86">
        <v>2004.0</v>
      </c>
      <c r="B110" s="87">
        <v>12.0</v>
      </c>
      <c r="C110" s="88" t="s">
        <v>25</v>
      </c>
      <c r="D110" s="93">
        <v>10000.0</v>
      </c>
      <c r="E110" s="93">
        <v>-2000.0</v>
      </c>
      <c r="F110" s="93"/>
      <c r="G110" s="93">
        <v>-258.0</v>
      </c>
      <c r="H110" s="93">
        <v>1727.0</v>
      </c>
      <c r="I110" s="93">
        <v>807.0</v>
      </c>
      <c r="J110" s="93">
        <v>3253.0</v>
      </c>
      <c r="K110" s="93"/>
      <c r="L110" s="93">
        <v>-584.0</v>
      </c>
      <c r="M110" s="93">
        <v>-5.0</v>
      </c>
      <c r="N110" s="93">
        <v>699.0</v>
      </c>
      <c r="O110" s="93">
        <v>70600.0</v>
      </c>
      <c r="P110" s="91">
        <f>IFERROR(__xludf.DUMMYFUNCTION("IFERROR(sum(FILTER($D:$N,$C:$C = $C110,$A:$A &lt; $A110,$B:$B = 12)),0) + sum($D110:$N110)"),70598.94)</f>
        <v>70598.94</v>
      </c>
      <c r="Q110" s="92">
        <f t="shared" si="1"/>
        <v>1.06</v>
      </c>
      <c r="R110" s="91">
        <f t="array" ref="R110">IFERROR(INDEX('Fund YTD Target Values'!$1:$1000, MATCH($C110,'Fund YTD Target Values'!$A:$A,0), MATCH($A110,'Fund YTD Target Values'!$1:$1,0)),0)</f>
        <v>64441.54363</v>
      </c>
      <c r="S110" s="91">
        <f>IFERROR(__xludf.DUMMYFUNCTION("IFERROR(sum(FILTER('Fund Investment Data'!$V:$V, 'Fund Investment Data'!$C:$C = $C110, 'Fund Investment Data'!$A:$A &lt; $A110)),0) + IFERROR(sum(FILTER('Fund Investment Data'!$V:$V, 'Fund Investment Data'!$C:$C = $C110, 'Fund Investment Data'!$A:$A = $A110,"&amp;" 'Fund Investment Data'!$B:$B &lt;= $B110)),0)"),61000.0)</f>
        <v>61000</v>
      </c>
      <c r="T110" s="93">
        <v>61000.0</v>
      </c>
      <c r="U110" s="32">
        <f t="shared" si="3"/>
        <v>0</v>
      </c>
      <c r="V110" s="32">
        <f>IFERROR(__xludf.DUMMYFUNCTION("$D110 - IFERROR(FILTER($D:$D,$C:$C = $C110, $A:$A = $A110, $B:$B = $B110 - 1),0)"),10000.0)</f>
        <v>10000</v>
      </c>
      <c r="W110" s="93">
        <f>IFERROR(__xludf.DUMMYFUNCTION("$E110 - IFERROR(FILTER($E:$E,$C:$C = $C110, $A:$A = $A110, $B:$B = $B110 - 1),0)"),-2000.0)</f>
        <v>-2000</v>
      </c>
      <c r="X110" s="93"/>
      <c r="Y110" s="93"/>
      <c r="Z110" s="93">
        <v>0.0</v>
      </c>
      <c r="AA110" s="93">
        <v>0.0</v>
      </c>
      <c r="AB110" s="93">
        <v>0.0</v>
      </c>
      <c r="AC110" s="93"/>
      <c r="AD110" s="93">
        <v>0.0</v>
      </c>
      <c r="AE110" s="32">
        <f t="shared" si="2"/>
        <v>-2000</v>
      </c>
      <c r="AF110" s="93">
        <v>0.0</v>
      </c>
    </row>
    <row r="111">
      <c r="A111" s="86">
        <v>2004.0</v>
      </c>
      <c r="B111" s="87">
        <v>12.0</v>
      </c>
      <c r="C111" s="88" t="s">
        <v>43</v>
      </c>
      <c r="D111" s="93">
        <v>25000.0</v>
      </c>
      <c r="E111" s="93">
        <v>-1000.0</v>
      </c>
      <c r="F111" s="93"/>
      <c r="G111" s="93">
        <v>-242.29</v>
      </c>
      <c r="H111" s="93">
        <v>1388.99</v>
      </c>
      <c r="I111" s="93">
        <v>574.35</v>
      </c>
      <c r="J111" s="93">
        <v>3513.42</v>
      </c>
      <c r="K111" s="93"/>
      <c r="L111" s="93">
        <v>-774.19</v>
      </c>
      <c r="M111" s="93">
        <v>-0.97</v>
      </c>
      <c r="N111" s="93">
        <v>590.1</v>
      </c>
      <c r="O111" s="93">
        <v>58783.0</v>
      </c>
      <c r="P111" s="91">
        <f>IFERROR(__xludf.DUMMYFUNCTION("IFERROR(sum(FILTER($D:$N,$C:$C = $C111,$A:$A &lt; $A111,$B:$B = 12)),0) + sum($D111:$N111)"),58783.17)</f>
        <v>58783.17</v>
      </c>
      <c r="Q111" s="92">
        <f t="shared" si="1"/>
        <v>-0.17</v>
      </c>
      <c r="R111" s="91">
        <f t="array" ref="R111">IFERROR(INDEX('Fund YTD Target Values'!$1:$1000, MATCH($C111,'Fund YTD Target Values'!$A:$A,0), MATCH($A111,'Fund YTD Target Values'!$1:$1,0)),0)</f>
        <v>50668.96549</v>
      </c>
      <c r="S111" s="91">
        <f>IFERROR(__xludf.DUMMYFUNCTION("IFERROR(sum(FILTER('Fund Investment Data'!$V:$V, 'Fund Investment Data'!$C:$C = $C111, 'Fund Investment Data'!$A:$A &lt; $A111)),0) + IFERROR(sum(FILTER('Fund Investment Data'!$V:$V, 'Fund Investment Data'!$C:$C = $C111, 'Fund Investment Data'!$A:$A = $A111,"&amp;" 'Fund Investment Data'!$B:$B &lt;= $B111)),0)"),50000.0)</f>
        <v>50000</v>
      </c>
      <c r="T111" s="93">
        <v>50000.0</v>
      </c>
      <c r="U111" s="32">
        <f t="shared" si="3"/>
        <v>0</v>
      </c>
      <c r="V111" s="32">
        <f>IFERROR(__xludf.DUMMYFUNCTION("$D111 - IFERROR(FILTER($D:$D,$C:$C = $C111, $A:$A = $A111, $B:$B = $B111 - 1),0)"),25000.0)</f>
        <v>25000</v>
      </c>
      <c r="W111" s="93">
        <f>IFERROR(__xludf.DUMMYFUNCTION("$E111 - IFERROR(FILTER($E:$E,$C:$C = $C111, $A:$A = $A111, $B:$B = $B111 - 1),0)"),-1000.0)</f>
        <v>-1000</v>
      </c>
      <c r="X111" s="93"/>
      <c r="Y111" s="93"/>
      <c r="Z111" s="93">
        <v>0.0</v>
      </c>
      <c r="AA111" s="93">
        <v>0.0</v>
      </c>
      <c r="AB111" s="93">
        <v>0.0</v>
      </c>
      <c r="AC111" s="93"/>
      <c r="AD111" s="93">
        <v>0.0</v>
      </c>
      <c r="AE111" s="32">
        <f t="shared" si="2"/>
        <v>-1000</v>
      </c>
      <c r="AF111" s="93">
        <v>0.0</v>
      </c>
    </row>
    <row r="112">
      <c r="A112" s="86">
        <v>2004.0</v>
      </c>
      <c r="B112" s="87">
        <v>12.0</v>
      </c>
      <c r="C112" s="88" t="s">
        <v>33</v>
      </c>
      <c r="D112" s="93">
        <v>184063.45</v>
      </c>
      <c r="E112" s="93">
        <v>-13500.0</v>
      </c>
      <c r="F112" s="93"/>
      <c r="G112" s="93">
        <v>-3098.18</v>
      </c>
      <c r="H112" s="93">
        <v>21183.97</v>
      </c>
      <c r="I112" s="93">
        <v>9904.33</v>
      </c>
      <c r="J112" s="93">
        <v>41390.34</v>
      </c>
      <c r="K112" s="93"/>
      <c r="L112" s="93">
        <v>-7900.87</v>
      </c>
      <c r="M112" s="93">
        <v>-2.02</v>
      </c>
      <c r="N112" s="93">
        <v>8477.31</v>
      </c>
      <c r="O112" s="93">
        <v>828201.0</v>
      </c>
      <c r="P112" s="91">
        <f>IFERROR(__xludf.DUMMYFUNCTION("IFERROR(sum(FILTER($D:$N,$C:$C = $C112,$A:$A &lt; $A112,$B:$B = 12)),0) + sum($D112:$N112)"),828201.3)</f>
        <v>828201.3</v>
      </c>
      <c r="Q112" s="92">
        <f t="shared" si="1"/>
        <v>-0.3</v>
      </c>
      <c r="R112" s="91">
        <f t="array" ref="R112">IFERROR(INDEX('Fund YTD Target Values'!$1:$1000, MATCH($C112,'Fund YTD Target Values'!$A:$A,0), MATCH($A112,'Fund YTD Target Values'!$1:$1,0)),0)</f>
        <v>742559.3119</v>
      </c>
      <c r="S112" s="91">
        <f>IFERROR(__xludf.DUMMYFUNCTION("IFERROR(sum(FILTER('Fund Investment Data'!$V:$V, 'Fund Investment Data'!$C:$C = $C112, 'Fund Investment Data'!$A:$A &lt; $A112)),0) + IFERROR(sum(FILTER('Fund Investment Data'!$V:$V, 'Fund Investment Data'!$C:$C = $C112, 'Fund Investment Data'!$A:$A = $A112,"&amp;" 'Fund Investment Data'!$B:$B &lt;= $B112)),0)"),711288.46)</f>
        <v>711288.46</v>
      </c>
      <c r="T112" s="93">
        <v>711449.0</v>
      </c>
      <c r="U112" s="32">
        <f t="shared" si="3"/>
        <v>-160.54</v>
      </c>
      <c r="V112" s="32">
        <f>IFERROR(__xludf.DUMMYFUNCTION("$D112 - IFERROR(FILTER($D:$D,$C:$C = $C112, $A:$A = $A112, $B:$B = $B112 - 1),0)"),184063.45)</f>
        <v>184063.45</v>
      </c>
      <c r="W112" s="93">
        <f>IFERROR(__xludf.DUMMYFUNCTION("$E112 - IFERROR(FILTER($E:$E,$C:$C = $C112, $A:$A = $A112, $B:$B = $B112 - 1),0)"),-13500.0)</f>
        <v>-13500</v>
      </c>
      <c r="X112" s="93"/>
      <c r="Y112" s="93"/>
      <c r="Z112" s="93">
        <v>0.0</v>
      </c>
      <c r="AA112" s="93">
        <v>0.0</v>
      </c>
      <c r="AB112" s="93">
        <v>0.0</v>
      </c>
      <c r="AC112" s="93"/>
      <c r="AD112" s="93">
        <v>0.0</v>
      </c>
      <c r="AE112" s="32">
        <f t="shared" si="2"/>
        <v>-13500</v>
      </c>
      <c r="AF112" s="93">
        <v>0.0</v>
      </c>
    </row>
    <row r="113">
      <c r="A113" s="86">
        <v>2004.0</v>
      </c>
      <c r="B113" s="87">
        <v>12.0</v>
      </c>
      <c r="C113" s="88" t="s">
        <v>54</v>
      </c>
      <c r="D113" s="93">
        <v>1950.0</v>
      </c>
      <c r="E113" s="93">
        <v>-3000.0</v>
      </c>
      <c r="F113" s="93"/>
      <c r="G113" s="93">
        <v>-334.0</v>
      </c>
      <c r="H113" s="93">
        <v>2218.0</v>
      </c>
      <c r="I113" s="93">
        <v>1318.0</v>
      </c>
      <c r="J113" s="93">
        <v>3839.0</v>
      </c>
      <c r="K113" s="93"/>
      <c r="L113" s="93">
        <v>-861.0</v>
      </c>
      <c r="M113" s="93">
        <v>-6.0</v>
      </c>
      <c r="N113" s="93">
        <v>825.0</v>
      </c>
      <c r="O113" s="93">
        <v>77987.0</v>
      </c>
      <c r="P113" s="91">
        <f>IFERROR(__xludf.DUMMYFUNCTION("IFERROR(sum(FILTER($D:$N,$C:$C = $C113,$A:$A &lt; $A113,$B:$B = 12)),0) + sum($D113:$N113)"),77987.62999999998)</f>
        <v>77987.63</v>
      </c>
      <c r="Q113" s="92">
        <f t="shared" si="1"/>
        <v>-0.63</v>
      </c>
      <c r="R113" s="91">
        <f t="array" ref="R113">IFERROR(INDEX('Fund YTD Target Values'!$1:$1000, MATCH($C113,'Fund YTD Target Values'!$A:$A,0), MATCH($A113,'Fund YTD Target Values'!$1:$1,0)),0)</f>
        <v>72486.99007</v>
      </c>
      <c r="S113" s="91">
        <f>IFERROR(__xludf.DUMMYFUNCTION("IFERROR(sum(FILTER('Fund Investment Data'!$V:$V, 'Fund Investment Data'!$C:$C = $C113, 'Fund Investment Data'!$A:$A &lt; $A113)),0) + IFERROR(sum(FILTER('Fund Investment Data'!$V:$V, 'Fund Investment Data'!$C:$C = $C113, 'Fund Investment Data'!$A:$A = $A113,"&amp;" 'Fund Investment Data'!$B:$B &lt;= $B113)),0)"),62276.45)</f>
        <v>62276.45</v>
      </c>
      <c r="T113" s="93">
        <v>58360.0</v>
      </c>
      <c r="U113" s="32">
        <f t="shared" si="3"/>
        <v>3916.45</v>
      </c>
      <c r="V113" s="32">
        <f>IFERROR(__xludf.DUMMYFUNCTION("$D113 - IFERROR(FILTER($D:$D,$C:$C = $C113, $A:$A = $A113, $B:$B = $B113 - 1),0)"),1950.0)</f>
        <v>1950</v>
      </c>
      <c r="W113" s="93">
        <f>IFERROR(__xludf.DUMMYFUNCTION("$E113 - IFERROR(FILTER($E:$E,$C:$C = $C113, $A:$A = $A113, $B:$B = $B113 - 1),0)"),-3000.0)</f>
        <v>-3000</v>
      </c>
      <c r="X113" s="93"/>
      <c r="Y113" s="93"/>
      <c r="Z113" s="93">
        <v>0.0</v>
      </c>
      <c r="AA113" s="93">
        <v>0.0</v>
      </c>
      <c r="AB113" s="93">
        <v>0.0</v>
      </c>
      <c r="AC113" s="93"/>
      <c r="AD113" s="93">
        <v>0.0</v>
      </c>
      <c r="AE113" s="32">
        <f t="shared" si="2"/>
        <v>-3000</v>
      </c>
      <c r="AF113" s="93">
        <v>0.0</v>
      </c>
    </row>
    <row r="114">
      <c r="A114" s="86">
        <v>2004.0</v>
      </c>
      <c r="B114" s="87">
        <v>12.0</v>
      </c>
      <c r="C114" s="88" t="s">
        <v>35</v>
      </c>
      <c r="D114" s="93">
        <v>417000.0</v>
      </c>
      <c r="E114" s="93">
        <v>-15000.0</v>
      </c>
      <c r="F114" s="93"/>
      <c r="G114" s="93">
        <v>-3779.54</v>
      </c>
      <c r="H114" s="93">
        <v>28789.91</v>
      </c>
      <c r="I114" s="93">
        <v>10357.95</v>
      </c>
      <c r="J114" s="93">
        <v>56731.54</v>
      </c>
      <c r="K114" s="93"/>
      <c r="L114" s="93">
        <v>-9935.65</v>
      </c>
      <c r="M114" s="93">
        <v>-26.28</v>
      </c>
      <c r="N114" s="93">
        <v>13540.29</v>
      </c>
      <c r="O114" s="93">
        <v>1265611.0</v>
      </c>
      <c r="P114" s="91">
        <f>IFERROR(__xludf.DUMMYFUNCTION("IFERROR(sum(FILTER($D:$N,$C:$C = $C114,$A:$A &lt; $A114,$B:$B = 12)),0) + sum($D114:$N114)"),1265610.37)</f>
        <v>1265610.37</v>
      </c>
      <c r="Q114" s="92">
        <f t="shared" si="1"/>
        <v>0.6299999999</v>
      </c>
      <c r="R114" s="91">
        <f t="array" ref="R114">IFERROR(INDEX('Fund YTD Target Values'!$1:$1000, MATCH($C114,'Fund YTD Target Values'!$A:$A,0), MATCH($A114,'Fund YTD Target Values'!$1:$1,0)),0)</f>
        <v>1160035.995</v>
      </c>
      <c r="S114" s="91">
        <f>IFERROR(__xludf.DUMMYFUNCTION("IFERROR(sum(FILTER('Fund Investment Data'!$V:$V, 'Fund Investment Data'!$C:$C = $C114, 'Fund Investment Data'!$A:$A &lt; $A114)),0) + IFERROR(sum(FILTER('Fund Investment Data'!$V:$V, 'Fund Investment Data'!$C:$C = $C114, 'Fund Investment Data'!$A:$A = $A114,"&amp;" 'Fund Investment Data'!$B:$B &lt;= $B114)),0)"),1054375.0)</f>
        <v>1054375</v>
      </c>
      <c r="T114" s="93">
        <v>1039375.0</v>
      </c>
      <c r="U114" s="32">
        <f t="shared" si="3"/>
        <v>15000</v>
      </c>
      <c r="V114" s="32">
        <f>IFERROR(__xludf.DUMMYFUNCTION("$D114 - IFERROR(FILTER($D:$D,$C:$C = $C114, $A:$A = $A114, $B:$B = $B114 - 1),0)"),417000.0)</f>
        <v>417000</v>
      </c>
      <c r="W114" s="93">
        <f>IFERROR(__xludf.DUMMYFUNCTION("$E114 - IFERROR(FILTER($E:$E,$C:$C = $C114, $A:$A = $A114, $B:$B = $B114 - 1),0)"),-15000.0)</f>
        <v>-15000</v>
      </c>
      <c r="X114" s="93"/>
      <c r="Y114" s="93"/>
      <c r="Z114" s="93">
        <v>0.0</v>
      </c>
      <c r="AA114" s="93">
        <v>0.0</v>
      </c>
      <c r="AB114" s="93">
        <v>0.0</v>
      </c>
      <c r="AC114" s="93"/>
      <c r="AD114" s="93">
        <v>0.0</v>
      </c>
      <c r="AE114" s="32">
        <f t="shared" si="2"/>
        <v>-15000</v>
      </c>
      <c r="AF114" s="93">
        <v>0.0</v>
      </c>
    </row>
    <row r="115">
      <c r="A115" s="86">
        <v>2005.0</v>
      </c>
      <c r="B115" s="87">
        <v>12.0</v>
      </c>
      <c r="C115" s="88" t="s">
        <v>26</v>
      </c>
      <c r="D115" s="93">
        <v>130000.0</v>
      </c>
      <c r="E115" s="93">
        <v>-500.0</v>
      </c>
      <c r="F115" s="93"/>
      <c r="G115" s="93">
        <v>-654.19</v>
      </c>
      <c r="H115" s="93">
        <v>2946.26</v>
      </c>
      <c r="I115" s="93">
        <v>15630.96</v>
      </c>
      <c r="J115" s="93">
        <v>-7814.7</v>
      </c>
      <c r="K115" s="32"/>
      <c r="L115" s="93">
        <v>-421.21</v>
      </c>
      <c r="M115" s="93">
        <v>484.17</v>
      </c>
      <c r="N115" s="32"/>
      <c r="O115" s="93">
        <v>171007.0</v>
      </c>
      <c r="P115" s="91">
        <f>IFERROR(__xludf.DUMMYFUNCTION("IFERROR(sum(FILTER($D:$N,$C:$C = $C115,$A:$A &lt; $A115,$B:$B = 12)),0) + sum($D115:$N115)"),171006.67)</f>
        <v>171006.67</v>
      </c>
      <c r="Q115" s="92">
        <f t="shared" si="1"/>
        <v>0.33</v>
      </c>
      <c r="R115" s="91">
        <f t="array" ref="R115">IFERROR(INDEX('Fund YTD Target Values'!$1:$1000, MATCH($C115,'Fund YTD Target Values'!$A:$A,0), MATCH($A115,'Fund YTD Target Values'!$1:$1,0)),0)</f>
        <v>161017.1011</v>
      </c>
      <c r="S115" s="91">
        <f>IFERROR(__xludf.DUMMYFUNCTION("IFERROR(sum(FILTER('Fund Investment Data'!$V:$V, 'Fund Investment Data'!$C:$C = $C115, 'Fund Investment Data'!$A:$A &lt; $A115)),0) + IFERROR(sum(FILTER('Fund Investment Data'!$V:$V, 'Fund Investment Data'!$C:$C = $C115, 'Fund Investment Data'!$A:$A = $A115,"&amp;" 'Fund Investment Data'!$B:$B &lt;= $B115)),0)"),160000.0)</f>
        <v>160000</v>
      </c>
      <c r="T115" s="93">
        <v>160000.0</v>
      </c>
      <c r="U115" s="32">
        <f t="shared" si="3"/>
        <v>0</v>
      </c>
      <c r="V115" s="32">
        <f>IFERROR(__xludf.DUMMYFUNCTION("$D115 - IFERROR(FILTER($D:$D,$C:$C = $C115, $A:$A = $A115, $B:$B = $B115 - 1),0)"),130000.0)</f>
        <v>130000</v>
      </c>
      <c r="W115" s="93">
        <f>IFERROR(__xludf.DUMMYFUNCTION("$E115 - IFERROR(FILTER($E:$E,$C:$C = $C115, $A:$A = $A115, $B:$B = $B115 - 1),0)"),-500.0)</f>
        <v>-500</v>
      </c>
      <c r="X115" s="93"/>
      <c r="Y115" s="93"/>
      <c r="Z115" s="93">
        <v>0.0</v>
      </c>
      <c r="AA115" s="93">
        <v>0.0</v>
      </c>
      <c r="AB115" s="93">
        <v>0.0</v>
      </c>
      <c r="AC115" s="93"/>
      <c r="AD115" s="93">
        <v>0.0</v>
      </c>
      <c r="AE115" s="32">
        <f t="shared" si="2"/>
        <v>-500</v>
      </c>
      <c r="AF115" s="93">
        <v>0.0</v>
      </c>
    </row>
    <row r="116">
      <c r="A116" s="86">
        <v>2005.0</v>
      </c>
      <c r="B116" s="87">
        <v>12.0</v>
      </c>
      <c r="C116" s="88" t="s">
        <v>27</v>
      </c>
      <c r="D116" s="93">
        <v>11101.0</v>
      </c>
      <c r="E116" s="32"/>
      <c r="F116" s="93"/>
      <c r="G116" s="93">
        <v>-1182.84</v>
      </c>
      <c r="H116" s="93">
        <v>4516.33</v>
      </c>
      <c r="I116" s="93">
        <v>29080.69</v>
      </c>
      <c r="J116" s="93">
        <v>-19869.24</v>
      </c>
      <c r="K116" s="32"/>
      <c r="L116" s="93">
        <v>-88.46</v>
      </c>
      <c r="M116" s="93">
        <v>652.41</v>
      </c>
      <c r="N116" s="32"/>
      <c r="O116" s="93">
        <v>235446.0</v>
      </c>
      <c r="P116" s="91">
        <f>IFERROR(__xludf.DUMMYFUNCTION("IFERROR(sum(FILTER($D:$N,$C:$C = $C116,$A:$A &lt; $A116,$B:$B = 12)),0) + sum($D116:$N116)"),235447.61000000004)</f>
        <v>235447.61</v>
      </c>
      <c r="Q116" s="92">
        <f t="shared" si="1"/>
        <v>-1.61</v>
      </c>
      <c r="R116" s="91">
        <f t="array" ref="R116">IFERROR(INDEX('Fund YTD Target Values'!$1:$1000, MATCH($C116,'Fund YTD Target Values'!$A:$A,0), MATCH($A116,'Fund YTD Target Values'!$1:$1,0)),0)</f>
        <v>225724.5806</v>
      </c>
      <c r="S116" s="91">
        <f>IFERROR(__xludf.DUMMYFUNCTION("IFERROR(sum(FILTER('Fund Investment Data'!$V:$V, 'Fund Investment Data'!$C:$C = $C116, 'Fund Investment Data'!$A:$A &lt; $A116)),0) + IFERROR(sum(FILTER('Fund Investment Data'!$V:$V, 'Fund Investment Data'!$C:$C = $C116, 'Fund Investment Data'!$A:$A = $A116,"&amp;" 'Fund Investment Data'!$B:$B &lt;= $B116)),0)"),193229.61)</f>
        <v>193229.61</v>
      </c>
      <c r="T116" s="93">
        <v>189256.0</v>
      </c>
      <c r="U116" s="32">
        <f t="shared" si="3"/>
        <v>3973.61</v>
      </c>
      <c r="V116" s="32">
        <f>IFERROR(__xludf.DUMMYFUNCTION("$D116 - IFERROR(FILTER($D:$D,$C:$C = $C116, $A:$A = $A116, $B:$B = $B116 - 1),0)"),11101.0)</f>
        <v>11101</v>
      </c>
      <c r="W116" s="93">
        <f>IFERROR(__xludf.DUMMYFUNCTION("$E116 - IFERROR(FILTER($E:$E,$C:$C = $C116, $A:$A = $A116, $B:$B = $B116 - 1),0)"),0.0)</f>
        <v>0</v>
      </c>
      <c r="X116" s="93"/>
      <c r="Y116" s="93"/>
      <c r="Z116" s="93">
        <v>0.0</v>
      </c>
      <c r="AA116" s="93">
        <v>0.0</v>
      </c>
      <c r="AB116" s="93">
        <v>0.0</v>
      </c>
      <c r="AC116" s="93"/>
      <c r="AD116" s="93">
        <v>0.0</v>
      </c>
      <c r="AE116" s="32">
        <f t="shared" si="2"/>
        <v>0</v>
      </c>
      <c r="AF116" s="93">
        <v>0.0</v>
      </c>
    </row>
    <row r="117">
      <c r="A117" s="86">
        <v>2005.0</v>
      </c>
      <c r="B117" s="87">
        <v>12.0</v>
      </c>
      <c r="C117" s="88" t="s">
        <v>28</v>
      </c>
      <c r="D117" s="93"/>
      <c r="E117" s="93">
        <v>-6500.0</v>
      </c>
      <c r="F117" s="93"/>
      <c r="G117" s="93">
        <v>-8959.54</v>
      </c>
      <c r="H117" s="93">
        <v>35602.04</v>
      </c>
      <c r="I117" s="93">
        <v>255775.37</v>
      </c>
      <c r="J117" s="93">
        <v>-180098.36</v>
      </c>
      <c r="K117" s="32"/>
      <c r="L117" s="93">
        <v>-4096.91</v>
      </c>
      <c r="M117" s="93">
        <v>5047.99</v>
      </c>
      <c r="N117" s="32"/>
      <c r="O117" s="93">
        <v>1806618.0</v>
      </c>
      <c r="P117" s="91">
        <f>IFERROR(__xludf.DUMMYFUNCTION("IFERROR(sum(FILTER($D:$N,$C:$C = $C117,$A:$A &lt; $A117,$B:$B = 12)),0) + sum($D117:$N117)"),1806617.1500000004)</f>
        <v>1806617.15</v>
      </c>
      <c r="Q117" s="92">
        <f t="shared" si="1"/>
        <v>0.8499999996</v>
      </c>
      <c r="R117" s="91">
        <f t="array" ref="R117">IFERROR(INDEX('Fund YTD Target Values'!$1:$1000, MATCH($C117,'Fund YTD Target Values'!$A:$A,0), MATCH($A117,'Fund YTD Target Values'!$1:$1,0)),0)</f>
        <v>1564620.694</v>
      </c>
      <c r="S117" s="91">
        <f>IFERROR(__xludf.DUMMYFUNCTION("IFERROR(sum(FILTER('Fund Investment Data'!$V:$V, 'Fund Investment Data'!$C:$C = $C117, 'Fund Investment Data'!$A:$A &lt; $A117)),0) + IFERROR(sum(FILTER('Fund Investment Data'!$V:$V, 'Fund Investment Data'!$C:$C = $C117, 'Fund Investment Data'!$A:$A = $A117,"&amp;" 'Fund Investment Data'!$B:$B &lt;= $B117)),0)"),1461341.1400000001)</f>
        <v>1461341.14</v>
      </c>
      <c r="T117" s="93">
        <v>1511931.0</v>
      </c>
      <c r="U117" s="32">
        <f t="shared" si="3"/>
        <v>-50589.86</v>
      </c>
      <c r="V117" s="32">
        <f>IFERROR(__xludf.DUMMYFUNCTION("$D117 - IFERROR(FILTER($D:$D,$C:$C = $C117, $A:$A = $A117, $B:$B = $B117 - 1),0)"),0.0)</f>
        <v>0</v>
      </c>
      <c r="W117" s="93">
        <f>IFERROR(__xludf.DUMMYFUNCTION("$E117 - IFERROR(FILTER($E:$E,$C:$C = $C117, $A:$A = $A117, $B:$B = $B117 - 1),0)"),-6500.0)</f>
        <v>-6500</v>
      </c>
      <c r="X117" s="93"/>
      <c r="Y117" s="93"/>
      <c r="Z117" s="93">
        <v>0.0</v>
      </c>
      <c r="AA117" s="93">
        <v>0.0</v>
      </c>
      <c r="AB117" s="93">
        <v>0.0</v>
      </c>
      <c r="AC117" s="93"/>
      <c r="AD117" s="93">
        <v>0.0</v>
      </c>
      <c r="AE117" s="32">
        <f t="shared" si="2"/>
        <v>-6500</v>
      </c>
      <c r="AF117" s="93">
        <v>0.0</v>
      </c>
    </row>
    <row r="118">
      <c r="A118" s="86">
        <v>2005.0</v>
      </c>
      <c r="B118" s="87">
        <v>12.0</v>
      </c>
      <c r="C118" s="88" t="s">
        <v>36</v>
      </c>
      <c r="D118" s="93">
        <v>30000.0</v>
      </c>
      <c r="E118" s="93">
        <v>-5500.0</v>
      </c>
      <c r="F118" s="93"/>
      <c r="G118" s="93">
        <v>-2085.47</v>
      </c>
      <c r="H118" s="93">
        <v>7953.02</v>
      </c>
      <c r="I118" s="93">
        <v>55042.62</v>
      </c>
      <c r="J118" s="93">
        <v>-38409.18</v>
      </c>
      <c r="K118" s="32"/>
      <c r="L118" s="32"/>
      <c r="M118" s="93">
        <v>1182.59</v>
      </c>
      <c r="N118" s="32"/>
      <c r="O118" s="93">
        <v>420115.0</v>
      </c>
      <c r="P118" s="91">
        <f>IFERROR(__xludf.DUMMYFUNCTION("IFERROR(sum(FILTER($D:$N,$C:$C = $C118,$A:$A &lt; $A118,$B:$B = 12)),0) + sum($D118:$N118)"),420115.31)</f>
        <v>420115.31</v>
      </c>
      <c r="Q118" s="92">
        <f t="shared" si="1"/>
        <v>-0.31</v>
      </c>
      <c r="R118" s="91">
        <f t="array" ref="R118">IFERROR(INDEX('Fund YTD Target Values'!$1:$1000, MATCH($C118,'Fund YTD Target Values'!$A:$A,0), MATCH($A118,'Fund YTD Target Values'!$1:$1,0)),0)</f>
        <v>418180.2238</v>
      </c>
      <c r="S118" s="91">
        <f>IFERROR(__xludf.DUMMYFUNCTION("IFERROR(sum(FILTER('Fund Investment Data'!$V:$V, 'Fund Investment Data'!$C:$C = $C118, 'Fund Investment Data'!$A:$A &lt; $A118)),0) + IFERROR(sum(FILTER('Fund Investment Data'!$V:$V, 'Fund Investment Data'!$C:$C = $C118, 'Fund Investment Data'!$A:$A = $A118,"&amp;" 'Fund Investment Data'!$B:$B &lt;= $B118)),0)"),349067.24)</f>
        <v>349067.24</v>
      </c>
      <c r="T118" s="93">
        <v>333204.0</v>
      </c>
      <c r="U118" s="32">
        <f t="shared" si="3"/>
        <v>15863.24</v>
      </c>
      <c r="V118" s="32">
        <f>IFERROR(__xludf.DUMMYFUNCTION("$D118 - IFERROR(FILTER($D:$D,$C:$C = $C118, $A:$A = $A118, $B:$B = $B118 - 1),0)"),30000.0)</f>
        <v>30000</v>
      </c>
      <c r="W118" s="93">
        <f>IFERROR(__xludf.DUMMYFUNCTION("$E118 - IFERROR(FILTER($E:$E,$C:$C = $C118, $A:$A = $A118, $B:$B = $B118 - 1),0)"),-5500.0)</f>
        <v>-5500</v>
      </c>
      <c r="X118" s="93"/>
      <c r="Y118" s="93"/>
      <c r="Z118" s="93">
        <v>0.0</v>
      </c>
      <c r="AA118" s="93">
        <v>0.0</v>
      </c>
      <c r="AB118" s="93">
        <v>0.0</v>
      </c>
      <c r="AC118" s="93"/>
      <c r="AD118" s="93">
        <v>0.0</v>
      </c>
      <c r="AE118" s="32">
        <f t="shared" si="2"/>
        <v>-5500</v>
      </c>
      <c r="AF118" s="93">
        <v>0.0</v>
      </c>
    </row>
    <row r="119">
      <c r="A119" s="86">
        <v>2005.0</v>
      </c>
      <c r="B119" s="87">
        <v>12.0</v>
      </c>
      <c r="C119" s="88" t="s">
        <v>29</v>
      </c>
      <c r="D119" s="32"/>
      <c r="E119" s="32"/>
      <c r="F119" s="93"/>
      <c r="G119" s="93">
        <v>-361.72</v>
      </c>
      <c r="H119" s="93">
        <v>1394.37</v>
      </c>
      <c r="I119" s="93">
        <v>9715.72</v>
      </c>
      <c r="J119" s="93">
        <v>-6989.32</v>
      </c>
      <c r="K119" s="32"/>
      <c r="L119" s="32"/>
      <c r="M119" s="93">
        <v>196.28</v>
      </c>
      <c r="N119" s="32"/>
      <c r="O119" s="93">
        <v>70181.0</v>
      </c>
      <c r="P119" s="91">
        <f>IFERROR(__xludf.DUMMYFUNCTION("IFERROR(sum(FILTER($D:$N,$C:$C = $C119,$A:$A &lt; $A119,$B:$B = 12)),0) + sum($D119:$N119)"),70180.35999999997)</f>
        <v>70180.36</v>
      </c>
      <c r="Q119" s="92">
        <f t="shared" si="1"/>
        <v>0.64</v>
      </c>
      <c r="R119" s="91">
        <f t="array" ref="R119">IFERROR(INDEX('Fund YTD Target Values'!$1:$1000, MATCH($C119,'Fund YTD Target Values'!$A:$A,0), MATCH($A119,'Fund YTD Target Values'!$1:$1,0)),0)</f>
        <v>59902.95446</v>
      </c>
      <c r="S119" s="91">
        <f>IFERROR(__xludf.DUMMYFUNCTION("IFERROR(sum(FILTER('Fund Investment Data'!$V:$V, 'Fund Investment Data'!$C:$C = $C119, 'Fund Investment Data'!$A:$A &lt; $A119)),0) + IFERROR(sum(FILTER('Fund Investment Data'!$V:$V, 'Fund Investment Data'!$C:$C = $C119, 'Fund Investment Data'!$A:$A = $A119,"&amp;" 'Fund Investment Data'!$B:$B &lt;= $B119)),0)"),50000.0)</f>
        <v>50000</v>
      </c>
      <c r="T119" s="93">
        <v>50000.0</v>
      </c>
      <c r="U119" s="32">
        <f t="shared" si="3"/>
        <v>0</v>
      </c>
      <c r="V119" s="32">
        <f>IFERROR(__xludf.DUMMYFUNCTION("$D119 - IFERROR(FILTER($D:$D,$C:$C = $C119, $A:$A = $A119, $B:$B = $B119 - 1),0)"),0.0)</f>
        <v>0</v>
      </c>
      <c r="W119" s="93">
        <f>IFERROR(__xludf.DUMMYFUNCTION("$E119 - IFERROR(FILTER($E:$E,$C:$C = $C119, $A:$A = $A119, $B:$B = $B119 - 1),0)"),0.0)</f>
        <v>0</v>
      </c>
      <c r="X119" s="93"/>
      <c r="Y119" s="93"/>
      <c r="Z119" s="93">
        <v>0.0</v>
      </c>
      <c r="AA119" s="93">
        <v>0.0</v>
      </c>
      <c r="AB119" s="93">
        <v>0.0</v>
      </c>
      <c r="AC119" s="93"/>
      <c r="AD119" s="93">
        <v>0.0</v>
      </c>
      <c r="AE119" s="32">
        <f t="shared" si="2"/>
        <v>0</v>
      </c>
      <c r="AF119" s="93">
        <v>0.0</v>
      </c>
    </row>
    <row r="120">
      <c r="A120" s="86">
        <v>2005.0</v>
      </c>
      <c r="B120" s="87">
        <v>12.0</v>
      </c>
      <c r="C120" s="88" t="s">
        <v>38</v>
      </c>
      <c r="D120" s="93">
        <f>106000 + 13000</f>
        <v>119000</v>
      </c>
      <c r="E120" s="93"/>
      <c r="F120" s="93"/>
      <c r="G120" s="93">
        <v>-798.6</v>
      </c>
      <c r="H120" s="93">
        <v>3105.14</v>
      </c>
      <c r="I120" s="93">
        <v>13540.22</v>
      </c>
      <c r="J120" s="93">
        <v>-5040.36</v>
      </c>
      <c r="K120" s="32"/>
      <c r="L120" s="93">
        <v>-1421.73</v>
      </c>
      <c r="M120" s="93">
        <v>606.85</v>
      </c>
      <c r="N120" s="32"/>
      <c r="O120" s="93">
        <v>241163.0</v>
      </c>
      <c r="P120" s="91">
        <f>IFERROR(__xludf.DUMMYFUNCTION("IFERROR(sum(FILTER($D:$N,$C:$C = $C120,$A:$A &lt; $A120,$B:$B = 12)),0) + sum($D120:$N120)"),241163.11)</f>
        <v>241163.11</v>
      </c>
      <c r="Q120" s="92">
        <f t="shared" si="1"/>
        <v>-0.11</v>
      </c>
      <c r="R120" s="91">
        <f t="array" ref="R120">IFERROR(INDEX('Fund YTD Target Values'!$1:$1000, MATCH($C120,'Fund YTD Target Values'!$A:$A,0), MATCH($A120,'Fund YTD Target Values'!$1:$1,0)),0)</f>
        <v>227458.2937</v>
      </c>
      <c r="S120" s="91">
        <f>IFERROR(__xludf.DUMMYFUNCTION("IFERROR(sum(FILTER('Fund Investment Data'!$V:$V, 'Fund Investment Data'!$C:$C = $C120, 'Fund Investment Data'!$A:$A &lt; $A120)),0) + IFERROR(sum(FILTER('Fund Investment Data'!$V:$V, 'Fund Investment Data'!$C:$C = $C120, 'Fund Investment Data'!$A:$A = $A120,"&amp;" 'Fund Investment Data'!$B:$B &lt;= $B120)),0)"),223901.77000000002)</f>
        <v>223901.77</v>
      </c>
      <c r="T120" s="93">
        <v>233871.0</v>
      </c>
      <c r="U120" s="32">
        <f t="shared" si="3"/>
        <v>-9969.23</v>
      </c>
      <c r="V120" s="32">
        <f>IFERROR(__xludf.DUMMYFUNCTION("$D120 - IFERROR(FILTER($D:$D,$C:$C = $C120, $A:$A = $A120, $B:$B = $B120 - 1),0)"),119000.0)</f>
        <v>119000</v>
      </c>
      <c r="W120" s="93">
        <f>IFERROR(__xludf.DUMMYFUNCTION("$E120 - IFERROR(FILTER($E:$E,$C:$C = $C120, $A:$A = $A120, $B:$B = $B120 - 1),0)"),0.0)</f>
        <v>0</v>
      </c>
      <c r="X120" s="93"/>
      <c r="Y120" s="93"/>
      <c r="Z120" s="93">
        <v>0.0</v>
      </c>
      <c r="AA120" s="93">
        <v>0.0</v>
      </c>
      <c r="AB120" s="93">
        <v>0.0</v>
      </c>
      <c r="AC120" s="93"/>
      <c r="AD120" s="93">
        <v>0.0</v>
      </c>
      <c r="AE120" s="32">
        <f t="shared" si="2"/>
        <v>0</v>
      </c>
      <c r="AF120" s="93">
        <v>0.0</v>
      </c>
    </row>
    <row r="121">
      <c r="A121" s="86">
        <v>2005.0</v>
      </c>
      <c r="B121" s="87">
        <v>12.0</v>
      </c>
      <c r="C121" s="88" t="s">
        <v>30</v>
      </c>
      <c r="D121" s="32"/>
      <c r="E121" s="32"/>
      <c r="F121" s="93"/>
      <c r="G121" s="93">
        <v>-96.07</v>
      </c>
      <c r="H121" s="93">
        <v>373.6</v>
      </c>
      <c r="I121" s="93">
        <v>3129.02</v>
      </c>
      <c r="J121" s="93">
        <v>-2392.37</v>
      </c>
      <c r="K121" s="32"/>
      <c r="L121" s="32"/>
      <c r="M121" s="93">
        <v>51.56</v>
      </c>
      <c r="N121" s="32"/>
      <c r="O121" s="93">
        <v>18632.0</v>
      </c>
      <c r="P121" s="91">
        <f>IFERROR(__xludf.DUMMYFUNCTION("IFERROR(sum(FILTER($D:$N,$C:$C = $C121,$A:$A &lt; $A121,$B:$B = 12)),0) + sum($D121:$N121)"),18630.589999999993)</f>
        <v>18630.59</v>
      </c>
      <c r="Q121" s="92">
        <f t="shared" si="1"/>
        <v>1.41</v>
      </c>
      <c r="R121" s="91">
        <f t="array" ref="R121">IFERROR(INDEX('Fund YTD Target Values'!$1:$1000, MATCH($C121,'Fund YTD Target Values'!$A:$A,0), MATCH($A121,'Fund YTD Target Values'!$1:$1,0)),0)</f>
        <v>14369.82544</v>
      </c>
      <c r="S121" s="91">
        <f>IFERROR(__xludf.DUMMYFUNCTION("IFERROR(sum(FILTER('Fund Investment Data'!$V:$V, 'Fund Investment Data'!$C:$C = $C121, 'Fund Investment Data'!$A:$A &lt; $A121)),0) + IFERROR(sum(FILTER('Fund Investment Data'!$V:$V, 'Fund Investment Data'!$C:$C = $C121, 'Fund Investment Data'!$A:$A = $A121,"&amp;" 'Fund Investment Data'!$B:$B &lt;= $B121)),0)"),11540.75)</f>
        <v>11540.75</v>
      </c>
      <c r="T121" s="93">
        <v>10000.0</v>
      </c>
      <c r="U121" s="32">
        <f t="shared" si="3"/>
        <v>1540.75</v>
      </c>
      <c r="V121" s="32">
        <f>IFERROR(__xludf.DUMMYFUNCTION("$D121 - IFERROR(FILTER($D:$D,$C:$C = $C121, $A:$A = $A121, $B:$B = $B121 - 1),0)"),0.0)</f>
        <v>0</v>
      </c>
      <c r="W121" s="93">
        <f>IFERROR(__xludf.DUMMYFUNCTION("$E121 - IFERROR(FILTER($E:$E,$C:$C = $C121, $A:$A = $A121, $B:$B = $B121 - 1),0)"),0.0)</f>
        <v>0</v>
      </c>
      <c r="X121" s="93"/>
      <c r="Y121" s="93"/>
      <c r="Z121" s="93">
        <v>0.0</v>
      </c>
      <c r="AA121" s="93">
        <v>0.0</v>
      </c>
      <c r="AB121" s="93">
        <v>0.0</v>
      </c>
      <c r="AC121" s="93"/>
      <c r="AD121" s="93">
        <v>0.0</v>
      </c>
      <c r="AE121" s="32">
        <f t="shared" si="2"/>
        <v>0</v>
      </c>
      <c r="AF121" s="93">
        <v>0.0</v>
      </c>
    </row>
    <row r="122">
      <c r="A122" s="86">
        <v>2005.0</v>
      </c>
      <c r="B122" s="87">
        <v>12.0</v>
      </c>
      <c r="C122" s="88" t="s">
        <v>47</v>
      </c>
      <c r="D122" s="93">
        <v>36000.0</v>
      </c>
      <c r="E122" s="93">
        <v>-129500.0</v>
      </c>
      <c r="F122" s="93"/>
      <c r="G122" s="93">
        <v>-7087.85</v>
      </c>
      <c r="H122" s="93">
        <v>27259.7</v>
      </c>
      <c r="I122" s="93">
        <v>179857.24</v>
      </c>
      <c r="J122" s="93">
        <v>-126075.15</v>
      </c>
      <c r="K122" s="32"/>
      <c r="L122" s="32"/>
      <c r="M122" s="93">
        <v>3872.13</v>
      </c>
      <c r="N122" s="32"/>
      <c r="O122" s="93">
        <v>1376091.0</v>
      </c>
      <c r="P122" s="91">
        <f>IFERROR(__xludf.DUMMYFUNCTION("IFERROR(sum(FILTER($D:$N,$C:$C = $C122,$A:$A &lt; $A122,$B:$B = 12)),0) + sum($D122:$N122)"),1376091.1800000002)</f>
        <v>1376091.18</v>
      </c>
      <c r="Q122" s="92">
        <f t="shared" si="1"/>
        <v>-0.1800000002</v>
      </c>
      <c r="R122" s="91">
        <f t="array" ref="R122">IFERROR(INDEX('Fund YTD Target Values'!$1:$1000, MATCH($C122,'Fund YTD Target Values'!$A:$A,0), MATCH($A122,'Fund YTD Target Values'!$1:$1,0)),0)</f>
        <v>1398193.266</v>
      </c>
      <c r="S122" s="91">
        <f>IFERROR(__xludf.DUMMYFUNCTION("IFERROR(sum(FILTER('Fund Investment Data'!$V:$V, 'Fund Investment Data'!$C:$C = $C122, 'Fund Investment Data'!$A:$A &lt; $A122)),0) + IFERROR(sum(FILTER('Fund Investment Data'!$V:$V, 'Fund Investment Data'!$C:$C = $C122, 'Fund Investment Data'!$A:$A = $A122,"&amp;" 'Fund Investment Data'!$B:$B &lt;= $B122)),0)"),1291767.46)</f>
        <v>1291767.46</v>
      </c>
      <c r="T122" s="93">
        <v>1194355.0</v>
      </c>
      <c r="U122" s="32">
        <f t="shared" si="3"/>
        <v>97412.46</v>
      </c>
      <c r="V122" s="32">
        <f>IFERROR(__xludf.DUMMYFUNCTION("$D122 - IFERROR(FILTER($D:$D,$C:$C = $C122, $A:$A = $A122, $B:$B = $B122 - 1),0)"),36000.0)</f>
        <v>36000</v>
      </c>
      <c r="W122" s="93">
        <f>IFERROR(__xludf.DUMMYFUNCTION("$E122 - IFERROR(FILTER($E:$E,$C:$C = $C122, $A:$A = $A122, $B:$B = $B122 - 1),0)"),-129500.0)</f>
        <v>-129500</v>
      </c>
      <c r="X122" s="93"/>
      <c r="Y122" s="93"/>
      <c r="Z122" s="93">
        <v>0.0</v>
      </c>
      <c r="AA122" s="93">
        <v>0.0</v>
      </c>
      <c r="AB122" s="93">
        <v>0.0</v>
      </c>
      <c r="AC122" s="93"/>
      <c r="AD122" s="93">
        <v>0.0</v>
      </c>
      <c r="AE122" s="32">
        <f t="shared" si="2"/>
        <v>-129500</v>
      </c>
      <c r="AF122" s="93">
        <v>0.0</v>
      </c>
    </row>
    <row r="123">
      <c r="A123" s="86">
        <v>2005.0</v>
      </c>
      <c r="B123" s="87">
        <v>12.0</v>
      </c>
      <c r="C123" s="88" t="s">
        <v>31</v>
      </c>
      <c r="D123" s="93">
        <v>500.0</v>
      </c>
      <c r="E123" s="93">
        <v>-500.0</v>
      </c>
      <c r="F123" s="93"/>
      <c r="G123" s="93">
        <v>-747.03</v>
      </c>
      <c r="H123" s="93">
        <v>2836.72</v>
      </c>
      <c r="I123" s="93">
        <v>19866.18</v>
      </c>
      <c r="J123" s="93">
        <v>-14132.97</v>
      </c>
      <c r="K123" s="32"/>
      <c r="L123" s="32"/>
      <c r="M123" s="93">
        <v>406.73</v>
      </c>
      <c r="N123" s="32"/>
      <c r="O123" s="93">
        <v>145185.0</v>
      </c>
      <c r="P123" s="91">
        <f>IFERROR(__xludf.DUMMYFUNCTION("IFERROR(sum(FILTER($D:$N,$C:$C = $C123,$A:$A &lt; $A123,$B:$B = 12)),0) + sum($D123:$N123)"),145185.59000000003)</f>
        <v>145185.59</v>
      </c>
      <c r="Q123" s="92">
        <f t="shared" si="1"/>
        <v>-0.59</v>
      </c>
      <c r="R123" s="91">
        <f t="array" ref="R123">IFERROR(INDEX('Fund YTD Target Values'!$1:$1000, MATCH($C123,'Fund YTD Target Values'!$A:$A,0), MATCH($A123,'Fund YTD Target Values'!$1:$1,0)),0)</f>
        <v>109896.2132</v>
      </c>
      <c r="S123" s="91">
        <f>IFERROR(__xludf.DUMMYFUNCTION("IFERROR(sum(FILTER('Fund Investment Data'!$V:$V, 'Fund Investment Data'!$C:$C = $C123, 'Fund Investment Data'!$A:$A &lt; $A123)),0) + IFERROR(sum(FILTER('Fund Investment Data'!$V:$V, 'Fund Investment Data'!$C:$C = $C123, 'Fund Investment Data'!$A:$A = $A123,"&amp;" 'Fund Investment Data'!$B:$B &lt;= $B123)),0)"),101300.0)</f>
        <v>101300</v>
      </c>
      <c r="T123" s="93">
        <v>101300.0</v>
      </c>
      <c r="U123" s="32">
        <f t="shared" si="3"/>
        <v>0</v>
      </c>
      <c r="V123" s="32">
        <f>IFERROR(__xludf.DUMMYFUNCTION("$D123 - IFERROR(FILTER($D:$D,$C:$C = $C123, $A:$A = $A123, $B:$B = $B123 - 1),0)"),500.0)</f>
        <v>500</v>
      </c>
      <c r="W123" s="93">
        <f>IFERROR(__xludf.DUMMYFUNCTION("$E123 - IFERROR(FILTER($E:$E,$C:$C = $C123, $A:$A = $A123, $B:$B = $B123 - 1),0)"),-500.0)</f>
        <v>-500</v>
      </c>
      <c r="X123" s="93"/>
      <c r="Y123" s="93"/>
      <c r="Z123" s="93">
        <v>0.0</v>
      </c>
      <c r="AA123" s="93">
        <v>0.0</v>
      </c>
      <c r="AB123" s="93">
        <v>0.0</v>
      </c>
      <c r="AC123" s="93"/>
      <c r="AD123" s="93">
        <v>0.0</v>
      </c>
      <c r="AE123" s="32">
        <f t="shared" si="2"/>
        <v>-500</v>
      </c>
      <c r="AF123" s="93">
        <v>0.0</v>
      </c>
    </row>
    <row r="124">
      <c r="A124" s="86">
        <v>2005.0</v>
      </c>
      <c r="B124" s="87">
        <v>12.0</v>
      </c>
      <c r="C124" s="88" t="s">
        <v>50</v>
      </c>
      <c r="D124" s="93">
        <v>22129.0</v>
      </c>
      <c r="E124" s="32"/>
      <c r="F124" s="93"/>
      <c r="G124" s="93">
        <v>-210.71</v>
      </c>
      <c r="H124" s="93">
        <v>767.67</v>
      </c>
      <c r="I124" s="93">
        <v>2982.21</v>
      </c>
      <c r="J124" s="93">
        <v>-1435.6</v>
      </c>
      <c r="K124" s="32"/>
      <c r="L124" s="93">
        <v>-5.24</v>
      </c>
      <c r="M124" s="93">
        <v>126.68</v>
      </c>
      <c r="N124" s="32"/>
      <c r="O124" s="93">
        <v>45062.0</v>
      </c>
      <c r="P124" s="91">
        <f>IFERROR(__xludf.DUMMYFUNCTION("IFERROR(sum(FILTER($D:$N,$C:$C = $C124,$A:$A &lt; $A124,$B:$B = 12)),0) + sum($D124:$N124)"),45061.73999999999)</f>
        <v>45061.74</v>
      </c>
      <c r="Q124" s="92">
        <f t="shared" si="1"/>
        <v>0.26</v>
      </c>
      <c r="R124" s="91">
        <f t="array" ref="R124">IFERROR(INDEX('Fund YTD Target Values'!$1:$1000, MATCH($C124,'Fund YTD Target Values'!$A:$A,0), MATCH($A124,'Fund YTD Target Values'!$1:$1,0)),0)</f>
        <v>41830.29756</v>
      </c>
      <c r="S124" s="91">
        <f>IFERROR(__xludf.DUMMYFUNCTION("IFERROR(sum(FILTER('Fund Investment Data'!$V:$V, 'Fund Investment Data'!$C:$C = $C124, 'Fund Investment Data'!$A:$A &lt; $A124)),0) + IFERROR(sum(FILTER('Fund Investment Data'!$V:$V, 'Fund Investment Data'!$C:$C = $C124, 'Fund Investment Data'!$A:$A = $A124,"&amp;" 'Fund Investment Data'!$B:$B &lt;= $B124)),0)"),41184.259999999995)</f>
        <v>41184.26</v>
      </c>
      <c r="T124" s="93">
        <v>41226.0</v>
      </c>
      <c r="U124" s="32">
        <f t="shared" si="3"/>
        <v>-41.74</v>
      </c>
      <c r="V124" s="32">
        <f>IFERROR(__xludf.DUMMYFUNCTION("$D124 - IFERROR(FILTER($D:$D,$C:$C = $C124, $A:$A = $A124, $B:$B = $B124 - 1),0)"),22129.0)</f>
        <v>22129</v>
      </c>
      <c r="W124" s="93">
        <f>IFERROR(__xludf.DUMMYFUNCTION("$E124 - IFERROR(FILTER($E:$E,$C:$C = $C124, $A:$A = $A124, $B:$B = $B124 - 1),0)"),0.0)</f>
        <v>0</v>
      </c>
      <c r="X124" s="93"/>
      <c r="Y124" s="93"/>
      <c r="Z124" s="93">
        <v>0.0</v>
      </c>
      <c r="AA124" s="93">
        <v>0.0</v>
      </c>
      <c r="AB124" s="93">
        <v>0.0</v>
      </c>
      <c r="AC124" s="93"/>
      <c r="AD124" s="93">
        <v>0.0</v>
      </c>
      <c r="AE124" s="32">
        <f t="shared" si="2"/>
        <v>0</v>
      </c>
      <c r="AF124" s="93">
        <v>0.0</v>
      </c>
    </row>
    <row r="125">
      <c r="A125" s="86">
        <v>2005.0</v>
      </c>
      <c r="B125" s="87">
        <v>12.0</v>
      </c>
      <c r="C125" s="88" t="s">
        <v>32</v>
      </c>
      <c r="D125" s="32"/>
      <c r="E125" s="93">
        <v>-4515.0</v>
      </c>
      <c r="F125" s="93"/>
      <c r="G125" s="93">
        <v>-377.2</v>
      </c>
      <c r="H125" s="93">
        <v>1428.23</v>
      </c>
      <c r="I125" s="93">
        <v>10336.74</v>
      </c>
      <c r="J125" s="93">
        <v>-7573.49</v>
      </c>
      <c r="K125" s="32"/>
      <c r="L125" s="32"/>
      <c r="M125" s="93">
        <v>195.33</v>
      </c>
      <c r="N125" s="32"/>
      <c r="O125" s="93">
        <v>69333.0</v>
      </c>
      <c r="P125" s="91">
        <f>IFERROR(__xludf.DUMMYFUNCTION("IFERROR(sum(FILTER($D:$N,$C:$C = $C125,$A:$A &lt; $A125,$B:$B = 12)),0) + sum($D125:$N125)"),69332.48)</f>
        <v>69332.48</v>
      </c>
      <c r="Q125" s="92">
        <f t="shared" si="1"/>
        <v>0.52</v>
      </c>
      <c r="R125" s="91">
        <f t="array" ref="R125">IFERROR(INDEX('Fund YTD Target Values'!$1:$1000, MATCH($C125,'Fund YTD Target Values'!$A:$A,0), MATCH($A125,'Fund YTD Target Values'!$1:$1,0)),0)</f>
        <v>61553.50076</v>
      </c>
      <c r="S125" s="91">
        <f>IFERROR(__xludf.DUMMYFUNCTION("IFERROR(sum(FILTER('Fund Investment Data'!$V:$V, 'Fund Investment Data'!$C:$C = $C125, 'Fund Investment Data'!$A:$A &lt; $A125)),0) + IFERROR(sum(FILTER('Fund Investment Data'!$V:$V, 'Fund Investment Data'!$C:$C = $C125, 'Fund Investment Data'!$A:$A = $A125,"&amp;" 'Fund Investment Data'!$B:$B &lt;= $B125)),0)"),49449.04)</f>
        <v>49449.04</v>
      </c>
      <c r="T125" s="93">
        <v>39268.0</v>
      </c>
      <c r="U125" s="32">
        <f t="shared" si="3"/>
        <v>10181.04</v>
      </c>
      <c r="V125" s="32">
        <f>IFERROR(__xludf.DUMMYFUNCTION("$D125 - IFERROR(FILTER($D:$D,$C:$C = $C125, $A:$A = $A125, $B:$B = $B125 - 1),0)"),0.0)</f>
        <v>0</v>
      </c>
      <c r="W125" s="93">
        <f>IFERROR(__xludf.DUMMYFUNCTION("$E125 - IFERROR(FILTER($E:$E,$C:$C = $C125, $A:$A = $A125, $B:$B = $B125 - 1),0)"),-4515.0)</f>
        <v>-4515</v>
      </c>
      <c r="X125" s="93"/>
      <c r="Y125" s="93"/>
      <c r="Z125" s="93">
        <v>0.0</v>
      </c>
      <c r="AA125" s="93">
        <v>0.0</v>
      </c>
      <c r="AB125" s="93">
        <v>0.0</v>
      </c>
      <c r="AC125" s="93"/>
      <c r="AD125" s="93">
        <v>0.0</v>
      </c>
      <c r="AE125" s="32">
        <f t="shared" si="2"/>
        <v>-4515</v>
      </c>
      <c r="AF125" s="93">
        <v>0.0</v>
      </c>
    </row>
    <row r="126">
      <c r="A126" s="86">
        <v>2005.0</v>
      </c>
      <c r="B126" s="87">
        <v>12.0</v>
      </c>
      <c r="C126" s="88" t="s">
        <v>48</v>
      </c>
      <c r="D126" s="32"/>
      <c r="E126" s="93">
        <v>-35000.0</v>
      </c>
      <c r="F126" s="93"/>
      <c r="G126" s="93">
        <v>-7272.18</v>
      </c>
      <c r="H126" s="93">
        <v>28130.71</v>
      </c>
      <c r="I126" s="93">
        <v>204332.68</v>
      </c>
      <c r="J126" s="93">
        <v>-147556.31</v>
      </c>
      <c r="K126" s="32"/>
      <c r="L126" s="32"/>
      <c r="M126" s="93">
        <v>3959.53</v>
      </c>
      <c r="N126" s="32"/>
      <c r="O126" s="93">
        <v>1407352.0</v>
      </c>
      <c r="P126" s="91">
        <f>IFERROR(__xludf.DUMMYFUNCTION("IFERROR(sum(FILTER($D:$N,$C:$C = $C126,$A:$A &lt; $A126,$B:$B = 12)),0) + sum($D126:$N126)"),1407351.08)</f>
        <v>1407351.08</v>
      </c>
      <c r="Q126" s="92">
        <f t="shared" si="1"/>
        <v>0.9199999999</v>
      </c>
      <c r="R126" s="91">
        <f t="array" ref="R126">IFERROR(INDEX('Fund YTD Target Values'!$1:$1000, MATCH($C126,'Fund YTD Target Values'!$A:$A,0), MATCH($A126,'Fund YTD Target Values'!$1:$1,0)),0)</f>
        <v>1474155.377</v>
      </c>
      <c r="S126" s="91">
        <f>IFERROR(__xludf.DUMMYFUNCTION("IFERROR(sum(FILTER('Fund Investment Data'!$V:$V, 'Fund Investment Data'!$C:$C = $C126, 'Fund Investment Data'!$A:$A &lt; $A126)),0) + IFERROR(sum(FILTER('Fund Investment Data'!$V:$V, 'Fund Investment Data'!$C:$C = $C126, 'Fund Investment Data'!$A:$A = $A126,"&amp;" 'Fund Investment Data'!$B:$B &lt;= $B126)),0)"),1183929.39)</f>
        <v>1183929.39</v>
      </c>
      <c r="T126" s="93">
        <v>1140040.0</v>
      </c>
      <c r="U126" s="32">
        <f t="shared" si="3"/>
        <v>43889.39</v>
      </c>
      <c r="V126" s="32">
        <f>IFERROR(__xludf.DUMMYFUNCTION("$D126 - IFERROR(FILTER($D:$D,$C:$C = $C126, $A:$A = $A126, $B:$B = $B126 - 1),0)"),0.0)</f>
        <v>0</v>
      </c>
      <c r="W126" s="93">
        <f>IFERROR(__xludf.DUMMYFUNCTION("$E126 - IFERROR(FILTER($E:$E,$C:$C = $C126, $A:$A = $A126, $B:$B = $B126 - 1),0)"),-35000.0)</f>
        <v>-35000</v>
      </c>
      <c r="X126" s="93"/>
      <c r="Y126" s="93"/>
      <c r="Z126" s="93">
        <v>0.0</v>
      </c>
      <c r="AA126" s="93">
        <v>0.0</v>
      </c>
      <c r="AB126" s="93">
        <v>0.0</v>
      </c>
      <c r="AC126" s="93"/>
      <c r="AD126" s="93">
        <v>0.0</v>
      </c>
      <c r="AE126" s="32">
        <f t="shared" si="2"/>
        <v>-35000</v>
      </c>
      <c r="AF126" s="93">
        <v>0.0</v>
      </c>
    </row>
    <row r="127">
      <c r="A127" s="86">
        <v>2005.0</v>
      </c>
      <c r="B127" s="87">
        <v>12.0</v>
      </c>
      <c r="C127" s="88" t="s">
        <v>49</v>
      </c>
      <c r="D127" s="32"/>
      <c r="E127" s="93">
        <v>-6000.0</v>
      </c>
      <c r="F127" s="93"/>
      <c r="G127" s="93">
        <v>-3248.36</v>
      </c>
      <c r="H127" s="93">
        <v>12438.58</v>
      </c>
      <c r="I127" s="93">
        <v>84151.15</v>
      </c>
      <c r="J127" s="93">
        <v>-59155.43</v>
      </c>
      <c r="K127" s="32"/>
      <c r="L127" s="32"/>
      <c r="M127" s="93">
        <v>1762.33</v>
      </c>
      <c r="N127" s="32"/>
      <c r="O127" s="93">
        <v>626906.0</v>
      </c>
      <c r="P127" s="91">
        <f>IFERROR(__xludf.DUMMYFUNCTION("IFERROR(sum(FILTER($D:$N,$C:$C = $C127,$A:$A &lt; $A127,$B:$B = 12)),0) + sum($D127:$N127)"),626906.22)</f>
        <v>626906.22</v>
      </c>
      <c r="Q127" s="92">
        <f t="shared" si="1"/>
        <v>-0.22</v>
      </c>
      <c r="R127" s="91">
        <f t="array" ref="R127">IFERROR(INDEX('Fund YTD Target Values'!$1:$1000, MATCH($C127,'Fund YTD Target Values'!$A:$A,0), MATCH($A127,'Fund YTD Target Values'!$1:$1,0)),0)</f>
        <v>545252.3181</v>
      </c>
      <c r="S127" s="91">
        <f>IFERROR(__xludf.DUMMYFUNCTION("IFERROR(sum(FILTER('Fund Investment Data'!$V:$V, 'Fund Investment Data'!$C:$C = $C127, 'Fund Investment Data'!$A:$A &lt; $A127)),0) + IFERROR(sum(FILTER('Fund Investment Data'!$V:$V, 'Fund Investment Data'!$C:$C = $C127, 'Fund Investment Data'!$A:$A = $A127,"&amp;" 'Fund Investment Data'!$B:$B &lt;= $B127)),0)"),500000.0)</f>
        <v>500000</v>
      </c>
      <c r="T127" s="93">
        <v>500000.0</v>
      </c>
      <c r="U127" s="32">
        <f t="shared" si="3"/>
        <v>0</v>
      </c>
      <c r="V127" s="32">
        <f>IFERROR(__xludf.DUMMYFUNCTION("$D127 - IFERROR(FILTER($D:$D,$C:$C = $C127, $A:$A = $A127, $B:$B = $B127 - 1),0)"),0.0)</f>
        <v>0</v>
      </c>
      <c r="W127" s="93">
        <f>IFERROR(__xludf.DUMMYFUNCTION("$E127 - IFERROR(FILTER($E:$E,$C:$C = $C127, $A:$A = $A127, $B:$B = $B127 - 1),0)"),-6000.0)</f>
        <v>-6000</v>
      </c>
      <c r="X127" s="93"/>
      <c r="Y127" s="93"/>
      <c r="Z127" s="93">
        <v>0.0</v>
      </c>
      <c r="AA127" s="93">
        <v>0.0</v>
      </c>
      <c r="AB127" s="93">
        <v>0.0</v>
      </c>
      <c r="AC127" s="93"/>
      <c r="AD127" s="93">
        <v>0.0</v>
      </c>
      <c r="AE127" s="32">
        <f t="shared" si="2"/>
        <v>-6000</v>
      </c>
      <c r="AF127" s="93">
        <v>0.0</v>
      </c>
    </row>
    <row r="128">
      <c r="A128" s="86">
        <v>2005.0</v>
      </c>
      <c r="B128" s="87">
        <v>12.0</v>
      </c>
      <c r="C128" s="88" t="s">
        <v>41</v>
      </c>
      <c r="D128" s="93">
        <v>159013.0</v>
      </c>
      <c r="E128" s="93">
        <v>-9076.0</v>
      </c>
      <c r="F128" s="93"/>
      <c r="G128" s="93">
        <v>-1751.95</v>
      </c>
      <c r="H128" s="93">
        <v>7094.07</v>
      </c>
      <c r="I128" s="93">
        <v>46719.74</v>
      </c>
      <c r="J128" s="93">
        <v>-32733.05</v>
      </c>
      <c r="K128" s="32"/>
      <c r="L128" s="32"/>
      <c r="M128" s="93">
        <v>1223.97</v>
      </c>
      <c r="N128" s="32"/>
      <c r="O128" s="93">
        <v>446074.0</v>
      </c>
      <c r="P128" s="91">
        <f>IFERROR(__xludf.DUMMYFUNCTION("IFERROR(sum(FILTER($D:$N,$C:$C = $C128,$A:$A &lt; $A128,$B:$B = 12)),0) + sum($D128:$N128)"),446074.15)</f>
        <v>446074.15</v>
      </c>
      <c r="Q128" s="92">
        <f t="shared" si="1"/>
        <v>-0.15</v>
      </c>
      <c r="R128" s="91">
        <f t="array" ref="R128">IFERROR(INDEX('Fund YTD Target Values'!$1:$1000, MATCH($C128,'Fund YTD Target Values'!$A:$A,0), MATCH($A128,'Fund YTD Target Values'!$1:$1,0)),0)</f>
        <v>428112.6442</v>
      </c>
      <c r="S128" s="91">
        <f>IFERROR(__xludf.DUMMYFUNCTION("IFERROR(sum(FILTER('Fund Investment Data'!$V:$V, 'Fund Investment Data'!$C:$C = $C128, 'Fund Investment Data'!$A:$A &lt; $A128)),0) + IFERROR(sum(FILTER('Fund Investment Data'!$V:$V, 'Fund Investment Data'!$C:$C = $C128, 'Fund Investment Data'!$A:$A = $A128,"&amp;" 'Fund Investment Data'!$B:$B &lt;= $B128)),0)"),403569.86)</f>
        <v>403569.86</v>
      </c>
      <c r="T128" s="93">
        <v>404105.0</v>
      </c>
      <c r="U128" s="32">
        <f t="shared" si="3"/>
        <v>-535.14</v>
      </c>
      <c r="V128" s="32">
        <f>IFERROR(__xludf.DUMMYFUNCTION("$D128 - IFERROR(FILTER($D:$D,$C:$C = $C128, $A:$A = $A128, $B:$B = $B128 - 1),0)"),159013.0)</f>
        <v>159013</v>
      </c>
      <c r="W128" s="93">
        <f>IFERROR(__xludf.DUMMYFUNCTION("$E128 - IFERROR(FILTER($E:$E,$C:$C = $C128, $A:$A = $A128, $B:$B = $B128 - 1),0)"),-9076.0)</f>
        <v>-9076</v>
      </c>
      <c r="X128" s="93"/>
      <c r="Y128" s="93"/>
      <c r="Z128" s="93">
        <v>0.0</v>
      </c>
      <c r="AA128" s="93">
        <v>0.0</v>
      </c>
      <c r="AB128" s="93">
        <v>0.0</v>
      </c>
      <c r="AC128" s="93"/>
      <c r="AD128" s="93">
        <v>0.0</v>
      </c>
      <c r="AE128" s="32">
        <f t="shared" si="2"/>
        <v>-9076</v>
      </c>
      <c r="AF128" s="93">
        <v>0.0</v>
      </c>
    </row>
    <row r="129">
      <c r="A129" s="86">
        <v>2005.0</v>
      </c>
      <c r="B129" s="87">
        <v>12.0</v>
      </c>
      <c r="C129" s="88" t="s">
        <v>25</v>
      </c>
      <c r="D129" s="93">
        <v>10000.0</v>
      </c>
      <c r="E129" s="93">
        <v>-250.0</v>
      </c>
      <c r="F129" s="93"/>
      <c r="G129" s="93">
        <v>-385.09</v>
      </c>
      <c r="H129" s="93">
        <v>1473.3</v>
      </c>
      <c r="I129" s="93">
        <v>8894.63</v>
      </c>
      <c r="J129" s="93">
        <v>-5955.12</v>
      </c>
      <c r="K129" s="32"/>
      <c r="L129" s="32"/>
      <c r="M129" s="93">
        <v>234.68</v>
      </c>
      <c r="N129" s="32"/>
      <c r="O129" s="93">
        <v>84612.0</v>
      </c>
      <c r="P129" s="91">
        <f>IFERROR(__xludf.DUMMYFUNCTION("IFERROR(sum(FILTER($D:$N,$C:$C = $C129,$A:$A &lt; $A129,$B:$B = 12)),0) + sum($D129:$N129)"),84611.34)</f>
        <v>84611.34</v>
      </c>
      <c r="Q129" s="92">
        <f t="shared" si="1"/>
        <v>0.66</v>
      </c>
      <c r="R129" s="91">
        <f t="array" ref="R129">IFERROR(INDEX('Fund YTD Target Values'!$1:$1000, MATCH($C129,'Fund YTD Target Values'!$A:$A,0), MATCH($A129,'Fund YTD Target Values'!$1:$1,0)),0)</f>
        <v>76626.32923</v>
      </c>
      <c r="S129" s="91">
        <f>IFERROR(__xludf.DUMMYFUNCTION("IFERROR(sum(FILTER('Fund Investment Data'!$V:$V, 'Fund Investment Data'!$C:$C = $C129, 'Fund Investment Data'!$A:$A &lt; $A129)),0) + IFERROR(sum(FILTER('Fund Investment Data'!$V:$V, 'Fund Investment Data'!$C:$C = $C129, 'Fund Investment Data'!$A:$A = $A129,"&amp;" 'Fund Investment Data'!$B:$B &lt;= $B129)),0)"),71000.0)</f>
        <v>71000</v>
      </c>
      <c r="T129" s="93">
        <v>71000.0</v>
      </c>
      <c r="U129" s="32">
        <f t="shared" si="3"/>
        <v>0</v>
      </c>
      <c r="V129" s="32">
        <f>IFERROR(__xludf.DUMMYFUNCTION("$D129 - IFERROR(FILTER($D:$D,$C:$C = $C129, $A:$A = $A129, $B:$B = $B129 - 1),0)"),10000.0)</f>
        <v>10000</v>
      </c>
      <c r="W129" s="93">
        <f>IFERROR(__xludf.DUMMYFUNCTION("$E129 - IFERROR(FILTER($E:$E,$C:$C = $C129, $A:$A = $A129, $B:$B = $B129 - 1),0)"),-250.0)</f>
        <v>-250</v>
      </c>
      <c r="X129" s="93"/>
      <c r="Y129" s="93"/>
      <c r="Z129" s="93">
        <v>0.0</v>
      </c>
      <c r="AA129" s="93">
        <v>0.0</v>
      </c>
      <c r="AB129" s="93">
        <v>0.0</v>
      </c>
      <c r="AC129" s="93"/>
      <c r="AD129" s="93">
        <v>0.0</v>
      </c>
      <c r="AE129" s="32">
        <f t="shared" si="2"/>
        <v>-250</v>
      </c>
      <c r="AF129" s="93">
        <v>0.0</v>
      </c>
    </row>
    <row r="130">
      <c r="A130" s="86">
        <v>2005.0</v>
      </c>
      <c r="B130" s="87">
        <v>12.0</v>
      </c>
      <c r="C130" s="88" t="s">
        <v>43</v>
      </c>
      <c r="D130" s="93">
        <v>25000.0</v>
      </c>
      <c r="E130" s="32"/>
      <c r="F130" s="93"/>
      <c r="G130" s="93">
        <v>-449.76</v>
      </c>
      <c r="H130" s="93">
        <v>1710.23</v>
      </c>
      <c r="I130" s="93">
        <v>9130.08</v>
      </c>
      <c r="J130" s="93">
        <v>-5096.47</v>
      </c>
      <c r="K130" s="32"/>
      <c r="L130" s="93">
        <v>-67.79</v>
      </c>
      <c r="M130" s="93">
        <v>251.48</v>
      </c>
      <c r="N130" s="32"/>
      <c r="O130" s="93">
        <v>89261.0</v>
      </c>
      <c r="P130" s="91">
        <f>IFERROR(__xludf.DUMMYFUNCTION("IFERROR(sum(FILTER($D:$N,$C:$C = $C130,$A:$A &lt; $A130,$B:$B = 12)),0) + sum($D130:$N130)"),89260.93999999999)</f>
        <v>89260.94</v>
      </c>
      <c r="Q130" s="92">
        <f t="shared" si="1"/>
        <v>0.06000000001</v>
      </c>
      <c r="R130" s="91">
        <f t="array" ref="R130">IFERROR(INDEX('Fund YTD Target Values'!$1:$1000, MATCH($C130,'Fund YTD Target Values'!$A:$A,0), MATCH($A130,'Fund YTD Target Values'!$1:$1,0)),0)</f>
        <v>77386.81425</v>
      </c>
      <c r="S130" s="91">
        <f>IFERROR(__xludf.DUMMYFUNCTION("IFERROR(sum(FILTER('Fund Investment Data'!$V:$V, 'Fund Investment Data'!$C:$C = $C130, 'Fund Investment Data'!$A:$A &lt; $A130)),0) + IFERROR(sum(FILTER('Fund Investment Data'!$V:$V, 'Fund Investment Data'!$C:$C = $C130, 'Fund Investment Data'!$A:$A = $A130,"&amp;" 'Fund Investment Data'!$B:$B &lt;= $B130)),0)"),75000.0)</f>
        <v>75000</v>
      </c>
      <c r="T130" s="93">
        <v>75000.0</v>
      </c>
      <c r="U130" s="32">
        <f t="shared" si="3"/>
        <v>0</v>
      </c>
      <c r="V130" s="32">
        <f>IFERROR(__xludf.DUMMYFUNCTION("$D130 - IFERROR(FILTER($D:$D,$C:$C = $C130, $A:$A = $A130, $B:$B = $B130 - 1),0)"),25000.0)</f>
        <v>25000</v>
      </c>
      <c r="W130" s="93">
        <f>IFERROR(__xludf.DUMMYFUNCTION("$E130 - IFERROR(FILTER($E:$E,$C:$C = $C130, $A:$A = $A130, $B:$B = $B130 - 1),0)"),0.0)</f>
        <v>0</v>
      </c>
      <c r="X130" s="93"/>
      <c r="Y130" s="93"/>
      <c r="Z130" s="93">
        <v>0.0</v>
      </c>
      <c r="AA130" s="93">
        <v>0.0</v>
      </c>
      <c r="AB130" s="93">
        <v>0.0</v>
      </c>
      <c r="AC130" s="93"/>
      <c r="AD130" s="93">
        <v>0.0</v>
      </c>
      <c r="AE130" s="32">
        <f t="shared" si="2"/>
        <v>0</v>
      </c>
      <c r="AF130" s="93">
        <v>0.0</v>
      </c>
    </row>
    <row r="131">
      <c r="A131" s="86">
        <v>2005.0</v>
      </c>
      <c r="B131" s="87">
        <v>12.0</v>
      </c>
      <c r="C131" s="88" t="s">
        <v>33</v>
      </c>
      <c r="D131" s="93">
        <v>138883.18</v>
      </c>
      <c r="E131" s="93">
        <v>-18500.0</v>
      </c>
      <c r="F131" s="93"/>
      <c r="G131" s="93">
        <v>-5148.74</v>
      </c>
      <c r="H131" s="93">
        <v>19594.2</v>
      </c>
      <c r="I131" s="93">
        <v>116949.06</v>
      </c>
      <c r="J131" s="93">
        <v>-73358.12</v>
      </c>
      <c r="K131" s="32"/>
      <c r="L131" s="32"/>
      <c r="M131" s="93">
        <v>2809.95</v>
      </c>
      <c r="N131" s="32"/>
      <c r="O131" s="93">
        <v>1009431.0</v>
      </c>
      <c r="P131" s="91">
        <f>IFERROR(__xludf.DUMMYFUNCTION("IFERROR(sum(FILTER($D:$N,$C:$C = $C131,$A:$A &lt; $A131,$B:$B = 12)),0) + sum($D131:$N131)"),1009430.8299999998)</f>
        <v>1009430.83</v>
      </c>
      <c r="Q131" s="92">
        <f t="shared" si="1"/>
        <v>0.1700000002</v>
      </c>
      <c r="R131" s="91">
        <f t="array" ref="R131">IFERROR(INDEX('Fund YTD Target Values'!$1:$1000, MATCH($C131,'Fund YTD Target Values'!$A:$A,0), MATCH($A131,'Fund YTD Target Values'!$1:$1,0)),0)</f>
        <v>906617.7561</v>
      </c>
      <c r="S131" s="91">
        <f>IFERROR(__xludf.DUMMYFUNCTION("IFERROR(sum(FILTER('Fund Investment Data'!$V:$V, 'Fund Investment Data'!$C:$C = $C131, 'Fund Investment Data'!$A:$A &lt; $A131)),0) + IFERROR(sum(FILTER('Fund Investment Data'!$V:$V, 'Fund Investment Data'!$C:$C = $C131, 'Fund Investment Data'!$A:$A = $A131,"&amp;" 'Fund Investment Data'!$B:$B &lt;= $B131)),0)"),850171.6399999999)</f>
        <v>850171.64</v>
      </c>
      <c r="T131" s="93">
        <v>850332.0</v>
      </c>
      <c r="U131" s="32">
        <f t="shared" si="3"/>
        <v>-160.36</v>
      </c>
      <c r="V131" s="32">
        <f>IFERROR(__xludf.DUMMYFUNCTION("$D131 - IFERROR(FILTER($D:$D,$C:$C = $C131, $A:$A = $A131, $B:$B = $B131 - 1),0)"),138883.18)</f>
        <v>138883.18</v>
      </c>
      <c r="W131" s="93">
        <f>IFERROR(__xludf.DUMMYFUNCTION("$E131 - IFERROR(FILTER($E:$E,$C:$C = $C131, $A:$A = $A131, $B:$B = $B131 - 1),0)"),-18500.0)</f>
        <v>-18500</v>
      </c>
      <c r="X131" s="93"/>
      <c r="Y131" s="93"/>
      <c r="Z131" s="93">
        <v>0.0</v>
      </c>
      <c r="AA131" s="93">
        <v>0.0</v>
      </c>
      <c r="AB131" s="93">
        <v>0.0</v>
      </c>
      <c r="AC131" s="93"/>
      <c r="AD131" s="93">
        <v>0.0</v>
      </c>
      <c r="AE131" s="32">
        <f t="shared" si="2"/>
        <v>-18500</v>
      </c>
      <c r="AF131" s="93">
        <v>0.0</v>
      </c>
    </row>
    <row r="132">
      <c r="A132" s="86">
        <v>2005.0</v>
      </c>
      <c r="B132" s="87">
        <v>12.0</v>
      </c>
      <c r="C132" s="88" t="s">
        <v>54</v>
      </c>
      <c r="D132" s="93">
        <v>2809.0</v>
      </c>
      <c r="E132" s="93">
        <v>-1250.0</v>
      </c>
      <c r="F132" s="93"/>
      <c r="G132" s="93">
        <v>-427.56</v>
      </c>
      <c r="H132" s="93">
        <v>1653.68</v>
      </c>
      <c r="I132" s="93">
        <v>10733.55</v>
      </c>
      <c r="J132" s="93">
        <v>-7510.8</v>
      </c>
      <c r="K132" s="32"/>
      <c r="L132" s="32"/>
      <c r="M132" s="93">
        <v>236.69</v>
      </c>
      <c r="N132" s="32"/>
      <c r="O132" s="93">
        <v>84232.0</v>
      </c>
      <c r="P132" s="91">
        <f>IFERROR(__xludf.DUMMYFUNCTION("IFERROR(sum(FILTER($D:$N,$C:$C = $C132,$A:$A &lt; $A132,$B:$B = 12)),0) + sum($D132:$N132)"),84232.18999999997)</f>
        <v>84232.19</v>
      </c>
      <c r="Q132" s="92">
        <f t="shared" si="1"/>
        <v>-0.19</v>
      </c>
      <c r="R132" s="91">
        <f t="array" ref="R132">IFERROR(INDEX('Fund YTD Target Values'!$1:$1000, MATCH($C132,'Fund YTD Target Values'!$A:$A,0), MATCH($A132,'Fund YTD Target Values'!$1:$1,0)),0)</f>
        <v>77753.54343</v>
      </c>
      <c r="S132" s="91">
        <f>IFERROR(__xludf.DUMMYFUNCTION("IFERROR(sum(FILTER('Fund Investment Data'!$V:$V, 'Fund Investment Data'!$C:$C = $C132, 'Fund Investment Data'!$A:$A &lt; $A132)),0) + IFERROR(sum(FILTER('Fund Investment Data'!$V:$V, 'Fund Investment Data'!$C:$C = $C132, 'Fund Investment Data'!$A:$A = $A132,"&amp;" 'Fund Investment Data'!$B:$B &lt;= $B132)),0)"),65085.45)</f>
        <v>65085.45</v>
      </c>
      <c r="T132" s="93">
        <v>61169.0</v>
      </c>
      <c r="U132" s="32">
        <f t="shared" si="3"/>
        <v>3916.45</v>
      </c>
      <c r="V132" s="32">
        <f>IFERROR(__xludf.DUMMYFUNCTION("$D132 - IFERROR(FILTER($D:$D,$C:$C = $C132, $A:$A = $A132, $B:$B = $B132 - 1),0)"),2809.0)</f>
        <v>2809</v>
      </c>
      <c r="W132" s="93">
        <f>IFERROR(__xludf.DUMMYFUNCTION("$E132 - IFERROR(FILTER($E:$E,$C:$C = $C132, $A:$A = $A132, $B:$B = $B132 - 1),0)"),-1250.0)</f>
        <v>-1250</v>
      </c>
      <c r="X132" s="93"/>
      <c r="Y132" s="93"/>
      <c r="Z132" s="93">
        <v>0.0</v>
      </c>
      <c r="AA132" s="93">
        <v>0.0</v>
      </c>
      <c r="AB132" s="93">
        <v>0.0</v>
      </c>
      <c r="AC132" s="93"/>
      <c r="AD132" s="93">
        <v>0.0</v>
      </c>
      <c r="AE132" s="32">
        <f t="shared" si="2"/>
        <v>-1250</v>
      </c>
      <c r="AF132" s="93">
        <v>0.0</v>
      </c>
    </row>
    <row r="133">
      <c r="A133" s="86">
        <v>2005.0</v>
      </c>
      <c r="B133" s="87">
        <v>12.0</v>
      </c>
      <c r="C133" s="88" t="s">
        <v>44</v>
      </c>
      <c r="D133" s="93">
        <v>250000.0</v>
      </c>
      <c r="E133" s="32"/>
      <c r="F133" s="93"/>
      <c r="G133" s="93">
        <v>-1149.11</v>
      </c>
      <c r="H133" s="93">
        <v>4684.58</v>
      </c>
      <c r="I133" s="93">
        <v>15363.11</v>
      </c>
      <c r="J133" s="93">
        <v>-139.98</v>
      </c>
      <c r="K133" s="32"/>
      <c r="L133" s="93">
        <v>-3757.0</v>
      </c>
      <c r="M133" s="93">
        <v>753.68</v>
      </c>
      <c r="N133" s="32"/>
      <c r="O133" s="93">
        <v>265755.0</v>
      </c>
      <c r="P133" s="91">
        <f>IFERROR(__xludf.DUMMYFUNCTION("IFERROR(sum(FILTER($D:$N,$C:$C = $C133,$A:$A &lt; $A133,$B:$B = 12)),0) + sum($D133:$N133)"),265755.28)</f>
        <v>265755.28</v>
      </c>
      <c r="Q133" s="92">
        <f t="shared" si="1"/>
        <v>-0.28</v>
      </c>
      <c r="R133" s="91">
        <f t="array" ref="R133">IFERROR(INDEX('Fund YTD Target Values'!$1:$1000, MATCH($C133,'Fund YTD Target Values'!$A:$A,0), MATCH($A133,'Fund YTD Target Values'!$1:$1,0)),0)</f>
        <v>250000</v>
      </c>
      <c r="S133" s="91">
        <f>IFERROR(__xludf.DUMMYFUNCTION("IFERROR(sum(FILTER('Fund Investment Data'!$V:$V, 'Fund Investment Data'!$C:$C = $C133, 'Fund Investment Data'!$A:$A &lt; $A133)),0) + IFERROR(sum(FILTER('Fund Investment Data'!$V:$V, 'Fund Investment Data'!$C:$C = $C133, 'Fund Investment Data'!$A:$A = $A133,"&amp;" 'Fund Investment Data'!$B:$B &lt;= $B133)),0)"),250000.0)</f>
        <v>250000</v>
      </c>
      <c r="T133" s="93">
        <v>250000.0</v>
      </c>
      <c r="U133" s="32">
        <f t="shared" si="3"/>
        <v>0</v>
      </c>
      <c r="V133" s="32">
        <f>IFERROR(__xludf.DUMMYFUNCTION("$D133 - IFERROR(FILTER($D:$D,$C:$C = $C133, $A:$A = $A133, $B:$B = $B133 - 1),0)"),250000.0)</f>
        <v>250000</v>
      </c>
      <c r="W133" s="93">
        <f>IFERROR(__xludf.DUMMYFUNCTION("$E133 - IFERROR(FILTER($E:$E,$C:$C = $C133, $A:$A = $A133, $B:$B = $B133 - 1),0)"),0.0)</f>
        <v>0</v>
      </c>
      <c r="X133" s="93"/>
      <c r="Y133" s="93"/>
      <c r="Z133" s="93">
        <v>0.0</v>
      </c>
      <c r="AA133" s="93">
        <v>0.0</v>
      </c>
      <c r="AB133" s="93">
        <v>0.0</v>
      </c>
      <c r="AC133" s="93"/>
      <c r="AD133" s="93">
        <v>0.0</v>
      </c>
      <c r="AE133" s="32">
        <f t="shared" si="2"/>
        <v>0</v>
      </c>
      <c r="AF133" s="93">
        <v>0.0</v>
      </c>
    </row>
    <row r="134">
      <c r="A134" s="86">
        <v>2005.0</v>
      </c>
      <c r="B134" s="87">
        <v>12.0</v>
      </c>
      <c r="C134" s="88" t="s">
        <v>45</v>
      </c>
      <c r="D134" s="93">
        <v>20000.0</v>
      </c>
      <c r="E134" s="32"/>
      <c r="F134" s="93"/>
      <c r="G134" s="32"/>
      <c r="H134" s="32"/>
      <c r="I134" s="32"/>
      <c r="J134" s="32"/>
      <c r="K134" s="32"/>
      <c r="L134" s="32"/>
      <c r="M134" s="93">
        <v>4.2</v>
      </c>
      <c r="N134" s="32"/>
      <c r="O134" s="93">
        <v>20004.0</v>
      </c>
      <c r="P134" s="91">
        <f>IFERROR(__xludf.DUMMYFUNCTION("IFERROR(sum(FILTER($D:$N,$C:$C = $C134,$A:$A &lt; $A134,$B:$B = 12)),0) + sum($D134:$N134)"),20004.2)</f>
        <v>20004.2</v>
      </c>
      <c r="Q134" s="92">
        <f t="shared" si="1"/>
        <v>-0.2</v>
      </c>
      <c r="R134" s="91">
        <f t="array" ref="R134">IFERROR(INDEX('Fund YTD Target Values'!$1:$1000, MATCH($C134,'Fund YTD Target Values'!$A:$A,0), MATCH($A134,'Fund YTD Target Values'!$1:$1,0)),0)</f>
        <v>20000</v>
      </c>
      <c r="S134" s="91">
        <f>IFERROR(__xludf.DUMMYFUNCTION("IFERROR(sum(FILTER('Fund Investment Data'!$V:$V, 'Fund Investment Data'!$C:$C = $C134, 'Fund Investment Data'!$A:$A &lt; $A134)),0) + IFERROR(sum(FILTER('Fund Investment Data'!$V:$V, 'Fund Investment Data'!$C:$C = $C134, 'Fund Investment Data'!$A:$A = $A134,"&amp;" 'Fund Investment Data'!$B:$B &lt;= $B134)),0)"),20000.0)</f>
        <v>20000</v>
      </c>
      <c r="T134" s="93">
        <v>20000.0</v>
      </c>
      <c r="U134" s="32">
        <f t="shared" si="3"/>
        <v>0</v>
      </c>
      <c r="V134" s="32">
        <f>IFERROR(__xludf.DUMMYFUNCTION("$D134 - IFERROR(FILTER($D:$D,$C:$C = $C134, $A:$A = $A134, $B:$B = $B134 - 1),0)"),20000.0)</f>
        <v>20000</v>
      </c>
      <c r="W134" s="93">
        <f>IFERROR(__xludf.DUMMYFUNCTION("$E134 - IFERROR(FILTER($E:$E,$C:$C = $C134, $A:$A = $A134, $B:$B = $B134 - 1),0)"),0.0)</f>
        <v>0</v>
      </c>
      <c r="X134" s="93"/>
      <c r="Y134" s="93"/>
      <c r="Z134" s="93">
        <v>0.0</v>
      </c>
      <c r="AA134" s="93">
        <v>0.0</v>
      </c>
      <c r="AB134" s="93">
        <v>0.0</v>
      </c>
      <c r="AC134" s="93"/>
      <c r="AD134" s="93">
        <v>0.0</v>
      </c>
      <c r="AE134" s="32">
        <f t="shared" si="2"/>
        <v>0</v>
      </c>
      <c r="AF134" s="93">
        <v>0.0</v>
      </c>
    </row>
    <row r="135">
      <c r="A135" s="86">
        <v>2005.0</v>
      </c>
      <c r="B135" s="87">
        <v>12.0</v>
      </c>
      <c r="C135" s="88" t="s">
        <v>35</v>
      </c>
      <c r="D135" s="93">
        <v>4500.0</v>
      </c>
      <c r="E135" s="93">
        <v>-49500.0</v>
      </c>
      <c r="F135" s="93"/>
      <c r="G135" s="93">
        <v>-6737.13</v>
      </c>
      <c r="H135" s="93">
        <v>25927.02</v>
      </c>
      <c r="I135" s="93">
        <v>150225.8</v>
      </c>
      <c r="J135" s="93">
        <v>-98568.81</v>
      </c>
      <c r="K135" s="32"/>
      <c r="L135" s="93">
        <v>-383.76</v>
      </c>
      <c r="M135" s="93">
        <v>3633.46</v>
      </c>
      <c r="N135" s="32"/>
      <c r="O135" s="93">
        <v>1294708.0</v>
      </c>
      <c r="P135" s="91">
        <f>IFERROR(__xludf.DUMMYFUNCTION("IFERROR(sum(FILTER($D:$N,$C:$C = $C135,$A:$A &lt; $A135,$B:$B = 12)),0) + sum($D135:$N135)"),1294706.9500000004)</f>
        <v>1294706.95</v>
      </c>
      <c r="Q135" s="92">
        <f t="shared" si="1"/>
        <v>1.05</v>
      </c>
      <c r="R135" s="91">
        <f t="array" ref="R135">IFERROR(INDEX('Fund YTD Target Values'!$1:$1000, MATCH($C135,'Fund YTD Target Values'!$A:$A,0), MATCH($A135,'Fund YTD Target Values'!$1:$1,0)),0)</f>
        <v>1203865.127</v>
      </c>
      <c r="S135" s="91">
        <f>IFERROR(__xludf.DUMMYFUNCTION("IFERROR(sum(FILTER('Fund Investment Data'!$V:$V, 'Fund Investment Data'!$C:$C = $C135, 'Fund Investment Data'!$A:$A &lt; $A135)),0) + IFERROR(sum(FILTER('Fund Investment Data'!$V:$V, 'Fund Investment Data'!$C:$C = $C135, 'Fund Investment Data'!$A:$A = $A135,"&amp;" 'Fund Investment Data'!$B:$B &lt;= $B135)),0)"),1058875.0)</f>
        <v>1058875</v>
      </c>
      <c r="T135" s="93">
        <v>1043875.0</v>
      </c>
      <c r="U135" s="32">
        <f t="shared" si="3"/>
        <v>15000</v>
      </c>
      <c r="V135" s="32">
        <f>IFERROR(__xludf.DUMMYFUNCTION("$D135 - IFERROR(FILTER($D:$D,$C:$C = $C135, $A:$A = $A135, $B:$B = $B135 - 1),0)"),4500.0)</f>
        <v>4500</v>
      </c>
      <c r="W135" s="93">
        <f>IFERROR(__xludf.DUMMYFUNCTION("$E135 - IFERROR(FILTER($E:$E,$C:$C = $C135, $A:$A = $A135, $B:$B = $B135 - 1),0)"),-49500.0)</f>
        <v>-49500</v>
      </c>
      <c r="X135" s="93"/>
      <c r="Y135" s="93"/>
      <c r="Z135" s="93">
        <v>0.0</v>
      </c>
      <c r="AA135" s="93">
        <v>0.0</v>
      </c>
      <c r="AB135" s="93">
        <v>0.0</v>
      </c>
      <c r="AC135" s="93"/>
      <c r="AD135" s="93">
        <v>0.0</v>
      </c>
      <c r="AE135" s="32">
        <f t="shared" si="2"/>
        <v>-49500</v>
      </c>
      <c r="AF135" s="93">
        <v>0.0</v>
      </c>
    </row>
    <row r="136">
      <c r="A136" s="86">
        <v>2006.0</v>
      </c>
      <c r="B136" s="87">
        <v>12.0</v>
      </c>
      <c r="C136" s="88" t="s">
        <v>26</v>
      </c>
      <c r="D136" s="93">
        <v>30000.0</v>
      </c>
      <c r="E136" s="32"/>
      <c r="F136" s="93"/>
      <c r="G136" s="93">
        <v>-1100.21</v>
      </c>
      <c r="H136" s="93">
        <v>3001.21</v>
      </c>
      <c r="I136" s="32"/>
      <c r="J136" s="93">
        <v>15680.69</v>
      </c>
      <c r="K136" s="32"/>
      <c r="L136" s="32"/>
      <c r="M136" s="93">
        <v>-481.55</v>
      </c>
      <c r="N136" s="32"/>
      <c r="O136" s="93">
        <v>218107.0</v>
      </c>
      <c r="P136" s="91">
        <f>IFERROR(__xludf.DUMMYFUNCTION("IFERROR(sum(FILTER($D:$N,$C:$C = $C136,$A:$A &lt; $A136,$B:$B = 12)),0) + sum($D136:$N136)"),218106.81)</f>
        <v>218106.81</v>
      </c>
      <c r="Q136" s="92">
        <f t="shared" si="1"/>
        <v>0.19</v>
      </c>
      <c r="R136" s="91">
        <f t="array" ref="R136">IFERROR(INDEX('Fund YTD Target Values'!$1:$1000, MATCH($C136,'Fund YTD Target Values'!$A:$A,0), MATCH($A136,'Fund YTD Target Values'!$1:$1,0)),0)</f>
        <v>196226.3587</v>
      </c>
      <c r="S136" s="91">
        <f>IFERROR(__xludf.DUMMYFUNCTION("IFERROR(sum(FILTER('Fund Investment Data'!$V:$V, 'Fund Investment Data'!$C:$C = $C136, 'Fund Investment Data'!$A:$A &lt; $A136)),0) + IFERROR(sum(FILTER('Fund Investment Data'!$V:$V, 'Fund Investment Data'!$C:$C = $C136, 'Fund Investment Data'!$A:$A = $A136,"&amp;" 'Fund Investment Data'!$B:$B &lt;= $B136)),0)"),190000.0)</f>
        <v>190000</v>
      </c>
      <c r="T136" s="93">
        <v>189999.0</v>
      </c>
      <c r="U136" s="32">
        <f t="shared" si="3"/>
        <v>1</v>
      </c>
      <c r="V136" s="32">
        <f>IFERROR(__xludf.DUMMYFUNCTION("$D136 - IFERROR(FILTER($D:$D,$C:$C = $C136, $A:$A = $A136, $B:$B = $B136 - 1),0)"),30000.0)</f>
        <v>30000</v>
      </c>
      <c r="W136" s="93">
        <f>IFERROR(__xludf.DUMMYFUNCTION("$E136 - IFERROR(FILTER($E:$E,$C:$C = $C136, $A:$A = $A136, $B:$B = $B136 - 1),0)"),0.0)</f>
        <v>0</v>
      </c>
      <c r="X136" s="93"/>
      <c r="Y136" s="93"/>
      <c r="Z136" s="93">
        <v>0.0</v>
      </c>
      <c r="AA136" s="93">
        <v>0.0</v>
      </c>
      <c r="AB136" s="93">
        <v>0.0</v>
      </c>
      <c r="AC136" s="93"/>
      <c r="AD136" s="93">
        <v>0.0</v>
      </c>
      <c r="AE136" s="32">
        <f t="shared" si="2"/>
        <v>0</v>
      </c>
      <c r="AF136" s="93">
        <v>0.0</v>
      </c>
    </row>
    <row r="137">
      <c r="A137" s="86">
        <v>2006.0</v>
      </c>
      <c r="B137" s="87">
        <v>12.0</v>
      </c>
      <c r="C137" s="88" t="s">
        <v>27</v>
      </c>
      <c r="D137" s="93">
        <f>6193.09+68700</f>
        <v>74893.09</v>
      </c>
      <c r="E137" s="93">
        <v>-15000.0</v>
      </c>
      <c r="F137" s="93"/>
      <c r="G137" s="93">
        <v>-1421.29</v>
      </c>
      <c r="H137" s="93">
        <v>3926.87</v>
      </c>
      <c r="I137" s="93">
        <v>450.23</v>
      </c>
      <c r="J137" s="93">
        <v>25814.19</v>
      </c>
      <c r="K137" s="32"/>
      <c r="L137" s="32"/>
      <c r="M137" s="93">
        <v>-641.87</v>
      </c>
      <c r="N137" s="32"/>
      <c r="O137" s="93">
        <v>323467.0</v>
      </c>
      <c r="P137" s="91">
        <f>IFERROR(__xludf.DUMMYFUNCTION("IFERROR(sum(FILTER($D:$N,$C:$C = $C137,$A:$A &lt; $A137,$B:$B = 12)),0) + sum($D137:$N137)"),323468.8300000001)</f>
        <v>323468.83</v>
      </c>
      <c r="Q137" s="92">
        <f t="shared" si="1"/>
        <v>-1.83</v>
      </c>
      <c r="R137" s="91">
        <f t="array" ref="R137">IFERROR(INDEX('Fund YTD Target Values'!$1:$1000, MATCH($C137,'Fund YTD Target Values'!$A:$A,0), MATCH($A137,'Fund YTD Target Values'!$1:$1,0)),0)</f>
        <v>307920.3575</v>
      </c>
      <c r="S137" s="91">
        <f>IFERROR(__xludf.DUMMYFUNCTION("IFERROR(sum(FILTER('Fund Investment Data'!$V:$V, 'Fund Investment Data'!$C:$C = $C137, 'Fund Investment Data'!$A:$A &lt; $A137)),0) + IFERROR(sum(FILTER('Fund Investment Data'!$V:$V, 'Fund Investment Data'!$C:$C = $C137, 'Fund Investment Data'!$A:$A = $A137,"&amp;" 'Fund Investment Data'!$B:$B &lt;= $B137)),0)"),268122.69999999995)</f>
        <v>268122.7</v>
      </c>
      <c r="T137" s="93">
        <v>264157.0</v>
      </c>
      <c r="U137" s="32">
        <f t="shared" si="3"/>
        <v>3965.7</v>
      </c>
      <c r="V137" s="32">
        <f>IFERROR(__xludf.DUMMYFUNCTION("$D137 - IFERROR(FILTER($D:$D,$C:$C = $C137, $A:$A = $A137, $B:$B = $B137 - 1),0)"),74893.09)</f>
        <v>74893.09</v>
      </c>
      <c r="W137" s="93">
        <f>IFERROR(__xludf.DUMMYFUNCTION("$E137 - IFERROR(FILTER($E:$E,$C:$C = $C137, $A:$A = $A137, $B:$B = $B137 - 1),0)"),-15000.0)</f>
        <v>-15000</v>
      </c>
      <c r="X137" s="93"/>
      <c r="Y137" s="93"/>
      <c r="Z137" s="93">
        <v>0.0</v>
      </c>
      <c r="AA137" s="93">
        <v>0.0</v>
      </c>
      <c r="AB137" s="93">
        <v>0.0</v>
      </c>
      <c r="AC137" s="93"/>
      <c r="AD137" s="93">
        <v>0.0</v>
      </c>
      <c r="AE137" s="32">
        <f t="shared" si="2"/>
        <v>-15000</v>
      </c>
      <c r="AF137" s="93">
        <v>0.0</v>
      </c>
    </row>
    <row r="138">
      <c r="A138" s="86">
        <v>2006.0</v>
      </c>
      <c r="B138" s="87">
        <v>12.0</v>
      </c>
      <c r="C138" s="88" t="s">
        <v>28</v>
      </c>
      <c r="D138" s="93">
        <v>744697.59</v>
      </c>
      <c r="E138" s="93">
        <v>-95000.0</v>
      </c>
      <c r="F138" s="93"/>
      <c r="G138" s="93">
        <v>-14014.03</v>
      </c>
      <c r="H138" s="93">
        <v>37353.92</v>
      </c>
      <c r="I138" s="32"/>
      <c r="J138" s="93">
        <v>185486.64</v>
      </c>
      <c r="K138" s="32"/>
      <c r="L138" s="93">
        <v>-1263.47</v>
      </c>
      <c r="M138" s="93">
        <v>-4466.37</v>
      </c>
      <c r="N138" s="32"/>
      <c r="O138" s="93">
        <v>2659412.0</v>
      </c>
      <c r="P138" s="91">
        <f>IFERROR(__xludf.DUMMYFUNCTION("IFERROR(sum(FILTER($D:$N,$C:$C = $C138,$A:$A &lt; $A138,$B:$B = 12)),0) + sum($D138:$N138)"),2659411.4300000006)</f>
        <v>2659411.43</v>
      </c>
      <c r="Q138" s="92">
        <f t="shared" si="1"/>
        <v>0.5699999994</v>
      </c>
      <c r="R138" s="91">
        <f t="array" ref="R138">IFERROR(INDEX('Fund YTD Target Values'!$1:$1000, MATCH($C138,'Fund YTD Target Values'!$A:$A,0), MATCH($A138,'Fund YTD Target Values'!$1:$1,0)),0)</f>
        <v>2359937.207</v>
      </c>
      <c r="S138" s="91">
        <f>IFERROR(__xludf.DUMMYFUNCTION("IFERROR(sum(FILTER('Fund Investment Data'!$V:$V, 'Fund Investment Data'!$C:$C = $C138, 'Fund Investment Data'!$A:$A &lt; $A138)),0) + IFERROR(sum(FILTER('Fund Investment Data'!$V:$V, 'Fund Investment Data'!$C:$C = $C138, 'Fund Investment Data'!$A:$A = $A138,"&amp;" 'Fund Investment Data'!$B:$B &lt;= $B138)),0)"),2206038.73)</f>
        <v>2206038.73</v>
      </c>
      <c r="T138" s="93">
        <v>2509906.0</v>
      </c>
      <c r="U138" s="32">
        <f t="shared" si="3"/>
        <v>-303867.27</v>
      </c>
      <c r="V138" s="32">
        <f>IFERROR(__xludf.DUMMYFUNCTION("$D138 - IFERROR(FILTER($D:$D,$C:$C = $C138, $A:$A = $A138, $B:$B = $B138 - 1),0)"),744697.59)</f>
        <v>744697.59</v>
      </c>
      <c r="W138" s="93">
        <f>IFERROR(__xludf.DUMMYFUNCTION("$E138 - IFERROR(FILTER($E:$E,$C:$C = $C138, $A:$A = $A138, $B:$B = $B138 - 1),0)"),-95000.0)</f>
        <v>-95000</v>
      </c>
      <c r="X138" s="93"/>
      <c r="Y138" s="93"/>
      <c r="Z138" s="93">
        <v>0.0</v>
      </c>
      <c r="AA138" s="93">
        <v>0.0</v>
      </c>
      <c r="AB138" s="93">
        <v>0.0</v>
      </c>
      <c r="AC138" s="93"/>
      <c r="AD138" s="93">
        <v>0.0</v>
      </c>
      <c r="AE138" s="32">
        <f t="shared" si="2"/>
        <v>-95000</v>
      </c>
      <c r="AF138" s="93">
        <v>0.0</v>
      </c>
    </row>
    <row r="139">
      <c r="A139" s="86">
        <v>2006.0</v>
      </c>
      <c r="B139" s="87">
        <v>12.0</v>
      </c>
      <c r="C139" s="88" t="s">
        <v>46</v>
      </c>
      <c r="D139" s="93">
        <v>366400.0</v>
      </c>
      <c r="E139" s="32"/>
      <c r="F139" s="93"/>
      <c r="G139" s="93">
        <v>0.0</v>
      </c>
      <c r="H139" s="93">
        <v>284.93</v>
      </c>
      <c r="I139" s="32"/>
      <c r="J139" s="93">
        <v>32583.95</v>
      </c>
      <c r="K139" s="32"/>
      <c r="L139" s="32"/>
      <c r="M139" s="93">
        <v>0.42</v>
      </c>
      <c r="N139" s="32"/>
      <c r="O139" s="93">
        <v>399269.0</v>
      </c>
      <c r="P139" s="91">
        <f>IFERROR(__xludf.DUMMYFUNCTION("IFERROR(sum(FILTER($D:$N,$C:$C = $C139,$A:$A &lt; $A139,$B:$B = 12)),0) + sum($D139:$N139)"),399269.3)</f>
        <v>399269.3</v>
      </c>
      <c r="Q139" s="92">
        <f t="shared" si="1"/>
        <v>-0.3</v>
      </c>
      <c r="R139" s="91">
        <f t="array" ref="R139">IFERROR(INDEX('Fund YTD Target Values'!$1:$1000, MATCH($C139,'Fund YTD Target Values'!$A:$A,0), MATCH($A139,'Fund YTD Target Values'!$1:$1,0)),0)</f>
        <v>366400</v>
      </c>
      <c r="S139" s="91">
        <f>IFERROR(__xludf.DUMMYFUNCTION("IFERROR(sum(FILTER('Fund Investment Data'!$V:$V, 'Fund Investment Data'!$C:$C = $C139, 'Fund Investment Data'!$A:$A &lt; $A139)),0) + IFERROR(sum(FILTER('Fund Investment Data'!$V:$V, 'Fund Investment Data'!$C:$C = $C139, 'Fund Investment Data'!$A:$A = $A139,"&amp;" 'Fund Investment Data'!$B:$B &lt;= $B139)),0)"),366400.0)</f>
        <v>366400</v>
      </c>
      <c r="T139" s="93">
        <v>366400.0</v>
      </c>
      <c r="U139" s="32">
        <f t="shared" si="3"/>
        <v>0</v>
      </c>
      <c r="V139" s="32">
        <f>IFERROR(__xludf.DUMMYFUNCTION("$D139 - IFERROR(FILTER($D:$D,$C:$C = $C139, $A:$A = $A139, $B:$B = $B139 - 1),0)"),366400.0)</f>
        <v>366400</v>
      </c>
      <c r="W139" s="93">
        <f>IFERROR(__xludf.DUMMYFUNCTION("$E139 - IFERROR(FILTER($E:$E,$C:$C = $C139, $A:$A = $A139, $B:$B = $B139 - 1),0)"),0.0)</f>
        <v>0</v>
      </c>
      <c r="X139" s="93"/>
      <c r="Y139" s="93"/>
      <c r="Z139" s="93">
        <v>0.0</v>
      </c>
      <c r="AA139" s="93">
        <v>0.0</v>
      </c>
      <c r="AB139" s="93">
        <v>0.0</v>
      </c>
      <c r="AC139" s="93"/>
      <c r="AD139" s="93">
        <v>0.0</v>
      </c>
      <c r="AE139" s="32">
        <f t="shared" si="2"/>
        <v>0</v>
      </c>
      <c r="AF139" s="93">
        <v>0.0</v>
      </c>
    </row>
    <row r="140">
      <c r="A140" s="86">
        <v>2006.0</v>
      </c>
      <c r="B140" s="87">
        <v>12.0</v>
      </c>
      <c r="C140" s="88" t="s">
        <v>36</v>
      </c>
      <c r="D140" s="93">
        <v>42000.0</v>
      </c>
      <c r="E140" s="93">
        <v>-20000.0</v>
      </c>
      <c r="F140" s="93"/>
      <c r="G140" s="93">
        <v>-2637.23</v>
      </c>
      <c r="H140" s="93">
        <v>7009.26</v>
      </c>
      <c r="I140" s="93">
        <v>648.33</v>
      </c>
      <c r="J140" s="93">
        <v>37158.18</v>
      </c>
      <c r="K140" s="32"/>
      <c r="L140" s="32"/>
      <c r="M140" s="93">
        <v>-1183.87</v>
      </c>
      <c r="N140" s="32"/>
      <c r="O140" s="93">
        <v>483110.0</v>
      </c>
      <c r="P140" s="91">
        <f>IFERROR(__xludf.DUMMYFUNCTION("IFERROR(sum(FILTER($D:$N,$C:$C = $C140,$A:$A &lt; $A140,$B:$B = 12)),0) + sum($D140:$N140)"),483109.98000000004)</f>
        <v>483109.98</v>
      </c>
      <c r="Q140" s="92">
        <f t="shared" si="1"/>
        <v>0.01999999996</v>
      </c>
      <c r="R140" s="91">
        <f t="array" ref="R140">IFERROR(INDEX('Fund YTD Target Values'!$1:$1000, MATCH($C140,'Fund YTD Target Values'!$A:$A,0), MATCH($A140,'Fund YTD Target Values'!$1:$1,0)),0)</f>
        <v>473709.2744</v>
      </c>
      <c r="S140" s="91">
        <f>IFERROR(__xludf.DUMMYFUNCTION("IFERROR(sum(FILTER('Fund Investment Data'!$V:$V, 'Fund Investment Data'!$C:$C = $C140, 'Fund Investment Data'!$A:$A &lt; $A140)),0) + IFERROR(sum(FILTER('Fund Investment Data'!$V:$V, 'Fund Investment Data'!$C:$C = $C140, 'Fund Investment Data'!$A:$A = $A140,"&amp;" 'Fund Investment Data'!$B:$B &lt;= $B140)),0)"),391067.24)</f>
        <v>391067.24</v>
      </c>
      <c r="T140" s="93">
        <v>375959.0</v>
      </c>
      <c r="U140" s="32">
        <f t="shared" si="3"/>
        <v>15108.24</v>
      </c>
      <c r="V140" s="32">
        <f>IFERROR(__xludf.DUMMYFUNCTION("$D140 - IFERROR(FILTER($D:$D,$C:$C = $C140, $A:$A = $A140, $B:$B = $B140 - 1),0)"),42000.0)</f>
        <v>42000</v>
      </c>
      <c r="W140" s="93">
        <f>IFERROR(__xludf.DUMMYFUNCTION("$E140 - IFERROR(FILTER($E:$E,$C:$C = $C140, $A:$A = $A140, $B:$B = $B140 - 1),0)"),-20000.0)</f>
        <v>-20000</v>
      </c>
      <c r="X140" s="93"/>
      <c r="Y140" s="93"/>
      <c r="Z140" s="93">
        <v>0.0</v>
      </c>
      <c r="AA140" s="93">
        <v>0.0</v>
      </c>
      <c r="AB140" s="93">
        <v>0.0</v>
      </c>
      <c r="AC140" s="93"/>
      <c r="AD140" s="93">
        <v>0.0</v>
      </c>
      <c r="AE140" s="32">
        <f t="shared" si="2"/>
        <v>-20000</v>
      </c>
      <c r="AF140" s="93">
        <v>0.0</v>
      </c>
    </row>
    <row r="141">
      <c r="A141" s="86">
        <v>2006.0</v>
      </c>
      <c r="B141" s="87">
        <v>12.0</v>
      </c>
      <c r="C141" s="88" t="s">
        <v>29</v>
      </c>
      <c r="D141" s="32"/>
      <c r="E141" s="93">
        <v>-5000.0</v>
      </c>
      <c r="F141" s="93"/>
      <c r="G141" s="93">
        <v>-421.57</v>
      </c>
      <c r="H141" s="93">
        <v>1137.99</v>
      </c>
      <c r="I141" s="93">
        <v>225.12</v>
      </c>
      <c r="J141" s="93">
        <v>5826.54</v>
      </c>
      <c r="K141" s="32"/>
      <c r="L141" s="32"/>
      <c r="M141" s="93">
        <v>-195.64</v>
      </c>
      <c r="N141" s="32"/>
      <c r="O141" s="93">
        <v>71753.0</v>
      </c>
      <c r="P141" s="91">
        <f>IFERROR(__xludf.DUMMYFUNCTION("IFERROR(sum(FILTER($D:$N,$C:$C = $C141,$A:$A &lt; $A141,$B:$B = 12)),0) + sum($D141:$N141)"),71752.79999999996)</f>
        <v>71752.8</v>
      </c>
      <c r="Q141" s="92">
        <f t="shared" si="1"/>
        <v>0.2</v>
      </c>
      <c r="R141" s="91">
        <f t="array" ref="R141">IFERROR(INDEX('Fund YTD Target Values'!$1:$1000, MATCH($C141,'Fund YTD Target Values'!$A:$A,0), MATCH($A141,'Fund YTD Target Values'!$1:$1,0)),0)</f>
        <v>61840.94687</v>
      </c>
      <c r="S141" s="91">
        <f>IFERROR(__xludf.DUMMYFUNCTION("IFERROR(sum(FILTER('Fund Investment Data'!$V:$V, 'Fund Investment Data'!$C:$C = $C141, 'Fund Investment Data'!$A:$A &lt; $A141)),0) + IFERROR(sum(FILTER('Fund Investment Data'!$V:$V, 'Fund Investment Data'!$C:$C = $C141, 'Fund Investment Data'!$A:$A = $A141,"&amp;" 'Fund Investment Data'!$B:$B &lt;= $B141)),0)"),50000.0)</f>
        <v>50000</v>
      </c>
      <c r="T141" s="93">
        <v>50000.0</v>
      </c>
      <c r="U141" s="32">
        <f t="shared" si="3"/>
        <v>0</v>
      </c>
      <c r="V141" s="32">
        <f>IFERROR(__xludf.DUMMYFUNCTION("$D141 - IFERROR(FILTER($D:$D,$C:$C = $C141, $A:$A = $A141, $B:$B = $B141 - 1),0)"),0.0)</f>
        <v>0</v>
      </c>
      <c r="W141" s="93">
        <f>IFERROR(__xludf.DUMMYFUNCTION("$E141 - IFERROR(FILTER($E:$E,$C:$C = $C141, $A:$A = $A141, $B:$B = $B141 - 1),0)"),-5000.0)</f>
        <v>-5000</v>
      </c>
      <c r="X141" s="93"/>
      <c r="Y141" s="93"/>
      <c r="Z141" s="93">
        <v>0.0</v>
      </c>
      <c r="AA141" s="93">
        <v>0.0</v>
      </c>
      <c r="AB141" s="93">
        <v>0.0</v>
      </c>
      <c r="AC141" s="93"/>
      <c r="AD141" s="93">
        <v>0.0</v>
      </c>
      <c r="AE141" s="32">
        <f t="shared" si="2"/>
        <v>-5000</v>
      </c>
      <c r="AF141" s="93">
        <v>0.0</v>
      </c>
    </row>
    <row r="142">
      <c r="A142" s="86">
        <v>2006.0</v>
      </c>
      <c r="B142" s="87">
        <v>12.0</v>
      </c>
      <c r="C142" s="88" t="s">
        <v>38</v>
      </c>
      <c r="D142" s="93">
        <f>186746.45+68700</f>
        <v>255446.45</v>
      </c>
      <c r="E142" s="93">
        <v>-6974.0</v>
      </c>
      <c r="F142" s="93"/>
      <c r="G142" s="93">
        <v>-1777.76</v>
      </c>
      <c r="H142" s="93">
        <v>4977.73</v>
      </c>
      <c r="I142" s="93">
        <v>40.03</v>
      </c>
      <c r="J142" s="93">
        <v>31544.95</v>
      </c>
      <c r="K142" s="32"/>
      <c r="L142" s="32"/>
      <c r="M142" s="93">
        <v>-527.17</v>
      </c>
      <c r="N142" s="32"/>
      <c r="O142" s="93">
        <v>523893.0</v>
      </c>
      <c r="P142" s="91">
        <f>IFERROR(__xludf.DUMMYFUNCTION("IFERROR(sum(FILTER($D:$N,$C:$C = $C142,$A:$A &lt; $A142,$B:$B = 12)),0) + sum($D142:$N142)"),523893.3400000001)</f>
        <v>523893.34</v>
      </c>
      <c r="Q142" s="92">
        <f t="shared" si="1"/>
        <v>-0.3400000001</v>
      </c>
      <c r="R142" s="91">
        <f t="array" ref="R142">IFERROR(INDEX('Fund YTD Target Values'!$1:$1000, MATCH($C142,'Fund YTD Target Values'!$A:$A,0), MATCH($A142,'Fund YTD Target Values'!$1:$1,0)),0)</f>
        <v>490263.5201</v>
      </c>
      <c r="S142" s="91">
        <f>IFERROR(__xludf.DUMMYFUNCTION("IFERROR(sum(FILTER('Fund Investment Data'!$V:$V, 'Fund Investment Data'!$C:$C = $C142, 'Fund Investment Data'!$A:$A &lt; $A142)),0) + IFERROR(sum(FILTER('Fund Investment Data'!$V:$V, 'Fund Investment Data'!$C:$C = $C142, 'Fund Investment Data'!$A:$A = $A142,"&amp;" 'Fund Investment Data'!$B:$B &lt;= $B142)),0)"),479348.22000000003)</f>
        <v>479348.22</v>
      </c>
      <c r="T142" s="93">
        <v>486394.0</v>
      </c>
      <c r="U142" s="32">
        <f t="shared" si="3"/>
        <v>-7045.78</v>
      </c>
      <c r="V142" s="32">
        <f>IFERROR(__xludf.DUMMYFUNCTION("$D142 - IFERROR(FILTER($D:$D,$C:$C = $C142, $A:$A = $A142, $B:$B = $B142 - 1),0)"),255446.45)</f>
        <v>255446.45</v>
      </c>
      <c r="W142" s="93">
        <f>IFERROR(__xludf.DUMMYFUNCTION("$E142 - IFERROR(FILTER($E:$E,$C:$C = $C142, $A:$A = $A142, $B:$B = $B142 - 1),0)"),-6974.0)</f>
        <v>-6974</v>
      </c>
      <c r="X142" s="93"/>
      <c r="Y142" s="93"/>
      <c r="Z142" s="93">
        <v>0.0</v>
      </c>
      <c r="AA142" s="93">
        <v>0.0</v>
      </c>
      <c r="AB142" s="93">
        <v>0.0</v>
      </c>
      <c r="AC142" s="93"/>
      <c r="AD142" s="93">
        <v>0.0</v>
      </c>
      <c r="AE142" s="32">
        <f t="shared" si="2"/>
        <v>-6974</v>
      </c>
      <c r="AF142" s="93">
        <v>0.0</v>
      </c>
    </row>
    <row r="143">
      <c r="A143" s="86">
        <v>2006.0</v>
      </c>
      <c r="B143" s="87">
        <v>12.0</v>
      </c>
      <c r="C143" s="88" t="s">
        <v>30</v>
      </c>
      <c r="D143" s="32"/>
      <c r="E143" s="32"/>
      <c r="F143" s="93"/>
      <c r="G143" s="93">
        <v>-116.56</v>
      </c>
      <c r="H143" s="93">
        <v>314.63</v>
      </c>
      <c r="I143" s="32"/>
      <c r="J143" s="93">
        <v>1651.05</v>
      </c>
      <c r="K143" s="32"/>
      <c r="L143" s="32"/>
      <c r="M143" s="93">
        <v>-51.49</v>
      </c>
      <c r="N143" s="32"/>
      <c r="O143" s="93">
        <v>20430.0</v>
      </c>
      <c r="P143" s="91">
        <f>IFERROR(__xludf.DUMMYFUNCTION("IFERROR(sum(FILTER($D:$N,$C:$C = $C143,$A:$A &lt; $A143,$B:$B = 12)),0) + sum($D143:$N143)"),20428.219999999994)</f>
        <v>20428.22</v>
      </c>
      <c r="Q143" s="92">
        <f t="shared" si="1"/>
        <v>1.78</v>
      </c>
      <c r="R143" s="91">
        <f t="array" ref="R143">IFERROR(INDEX('Fund YTD Target Values'!$1:$1000, MATCH($C143,'Fund YTD Target Values'!$A:$A,0), MATCH($A143,'Fund YTD Target Values'!$1:$1,0)),0)</f>
        <v>14834.72092</v>
      </c>
      <c r="S143" s="91">
        <f>IFERROR(__xludf.DUMMYFUNCTION("IFERROR(sum(FILTER('Fund Investment Data'!$V:$V, 'Fund Investment Data'!$C:$C = $C143, 'Fund Investment Data'!$A:$A &lt; $A143)),0) + IFERROR(sum(FILTER('Fund Investment Data'!$V:$V, 'Fund Investment Data'!$C:$C = $C143, 'Fund Investment Data'!$A:$A = $A143,"&amp;" 'Fund Investment Data'!$B:$B &lt;= $B143)),0)"),11540.75)</f>
        <v>11540.75</v>
      </c>
      <c r="T143" s="93">
        <v>10000.0</v>
      </c>
      <c r="U143" s="32">
        <f t="shared" si="3"/>
        <v>1540.75</v>
      </c>
      <c r="V143" s="32">
        <f>IFERROR(__xludf.DUMMYFUNCTION("$D143 - IFERROR(FILTER($D:$D,$C:$C = $C143, $A:$A = $A143, $B:$B = $B143 - 1),0)"),0.0)</f>
        <v>0</v>
      </c>
      <c r="W143" s="93">
        <f>IFERROR(__xludf.DUMMYFUNCTION("$E143 - IFERROR(FILTER($E:$E,$C:$C = $C143, $A:$A = $A143, $B:$B = $B143 - 1),0)"),0.0)</f>
        <v>0</v>
      </c>
      <c r="X143" s="93"/>
      <c r="Y143" s="93"/>
      <c r="Z143" s="93">
        <v>0.0</v>
      </c>
      <c r="AA143" s="93">
        <v>0.0</v>
      </c>
      <c r="AB143" s="93">
        <v>0.0</v>
      </c>
      <c r="AC143" s="93"/>
      <c r="AD143" s="93">
        <v>0.0</v>
      </c>
      <c r="AE143" s="32">
        <f t="shared" si="2"/>
        <v>0</v>
      </c>
      <c r="AF143" s="93">
        <v>0.0</v>
      </c>
    </row>
    <row r="144">
      <c r="A144" s="86">
        <v>2006.0</v>
      </c>
      <c r="B144" s="87">
        <v>12.0</v>
      </c>
      <c r="C144" s="88" t="s">
        <v>47</v>
      </c>
      <c r="D144" s="93">
        <v>76100.0</v>
      </c>
      <c r="E144" s="93">
        <v>-100000.0</v>
      </c>
      <c r="F144" s="93"/>
      <c r="G144" s="93">
        <v>-8430.79</v>
      </c>
      <c r="H144" s="93">
        <v>22618.36</v>
      </c>
      <c r="I144" s="93">
        <v>597.03</v>
      </c>
      <c r="J144" s="93">
        <v>119663.5</v>
      </c>
      <c r="K144" s="32"/>
      <c r="L144" s="32"/>
      <c r="M144" s="93">
        <v>-3803.54</v>
      </c>
      <c r="N144" s="32"/>
      <c r="O144" s="93">
        <v>1482836.0</v>
      </c>
      <c r="P144" s="91">
        <f>IFERROR(__xludf.DUMMYFUNCTION("IFERROR(sum(FILTER($D:$N,$C:$C = $C144,$A:$A &lt; $A144,$B:$B = 12)),0) + sum($D144:$N144)"),1482835.74)</f>
        <v>1482835.74</v>
      </c>
      <c r="Q144" s="92">
        <f t="shared" si="1"/>
        <v>0.26</v>
      </c>
      <c r="R144" s="91">
        <f t="array" ref="R144">IFERROR(INDEX('Fund YTD Target Values'!$1:$1000, MATCH($C144,'Fund YTD Target Values'!$A:$A,0), MATCH($A144,'Fund YTD Target Values'!$1:$1,0)),0)</f>
        <v>1519527.896</v>
      </c>
      <c r="S144" s="91">
        <f>IFERROR(__xludf.DUMMYFUNCTION("IFERROR(sum(FILTER('Fund Investment Data'!$V:$V, 'Fund Investment Data'!$C:$C = $C144, 'Fund Investment Data'!$A:$A &lt; $A144)),0) + IFERROR(sum(FILTER('Fund Investment Data'!$V:$V, 'Fund Investment Data'!$C:$C = $C144, 'Fund Investment Data'!$A:$A = $A144,"&amp;" 'Fund Investment Data'!$B:$B &lt;= $B144)),0)"),1367867.46)</f>
        <v>1367867.46</v>
      </c>
      <c r="T144" s="93">
        <v>1270455.0</v>
      </c>
      <c r="U144" s="32">
        <f t="shared" si="3"/>
        <v>97412.46</v>
      </c>
      <c r="V144" s="32">
        <f>IFERROR(__xludf.DUMMYFUNCTION("$D144 - IFERROR(FILTER($D:$D,$C:$C = $C144, $A:$A = $A144, $B:$B = $B144 - 1),0)"),76100.0)</f>
        <v>76100</v>
      </c>
      <c r="W144" s="93">
        <f>IFERROR(__xludf.DUMMYFUNCTION("$E144 - IFERROR(FILTER($E:$E,$C:$C = $C144, $A:$A = $A144, $B:$B = $B144 - 1),0)"),-100000.0)</f>
        <v>-100000</v>
      </c>
      <c r="X144" s="93"/>
      <c r="Y144" s="93"/>
      <c r="Z144" s="93">
        <v>0.0</v>
      </c>
      <c r="AA144" s="93">
        <v>0.0</v>
      </c>
      <c r="AB144" s="93">
        <v>0.0</v>
      </c>
      <c r="AC144" s="93"/>
      <c r="AD144" s="93">
        <v>0.0</v>
      </c>
      <c r="AE144" s="32">
        <f t="shared" si="2"/>
        <v>-100000</v>
      </c>
      <c r="AF144" s="93">
        <v>0.0</v>
      </c>
    </row>
    <row r="145">
      <c r="A145" s="86">
        <v>2006.0</v>
      </c>
      <c r="B145" s="87">
        <v>12.0</v>
      </c>
      <c r="C145" s="88" t="s">
        <v>31</v>
      </c>
      <c r="D145" s="93">
        <v>46300.0</v>
      </c>
      <c r="E145" s="93">
        <v>-10000.0</v>
      </c>
      <c r="F145" s="93"/>
      <c r="G145" s="93">
        <v>-873.32</v>
      </c>
      <c r="H145" s="93">
        <v>2392.03</v>
      </c>
      <c r="I145" s="93">
        <v>450.23</v>
      </c>
      <c r="J145" s="93">
        <v>16153.3</v>
      </c>
      <c r="K145" s="32"/>
      <c r="L145" s="32"/>
      <c r="M145" s="93">
        <v>-403.15</v>
      </c>
      <c r="N145" s="32"/>
      <c r="O145" s="93">
        <v>199204.0</v>
      </c>
      <c r="P145" s="91">
        <f>IFERROR(__xludf.DUMMYFUNCTION("IFERROR(sum(FILTER($D:$N,$C:$C = $C145,$A:$A &lt; $A145,$B:$B = 12)),0) + sum($D145:$N145)"),199204.68000000002)</f>
        <v>199204.68</v>
      </c>
      <c r="Q145" s="92">
        <f t="shared" si="1"/>
        <v>-0.68</v>
      </c>
      <c r="R145" s="91">
        <f t="array" ref="R145">IFERROR(INDEX('Fund YTD Target Values'!$1:$1000, MATCH($C145,'Fund YTD Target Values'!$A:$A,0), MATCH($A145,'Fund YTD Target Values'!$1:$1,0)),0)</f>
        <v>159751.5976</v>
      </c>
      <c r="S145" s="91">
        <f>IFERROR(__xludf.DUMMYFUNCTION("IFERROR(sum(FILTER('Fund Investment Data'!$V:$V, 'Fund Investment Data'!$C:$C = $C145, 'Fund Investment Data'!$A:$A &lt; $A145)),0) + IFERROR(sum(FILTER('Fund Investment Data'!$V:$V, 'Fund Investment Data'!$C:$C = $C145, 'Fund Investment Data'!$A:$A = $A145,"&amp;" 'Fund Investment Data'!$B:$B &lt;= $B145)),0)"),147600.0)</f>
        <v>147600</v>
      </c>
      <c r="T145" s="93">
        <v>147600.0</v>
      </c>
      <c r="U145" s="32">
        <f t="shared" si="3"/>
        <v>0</v>
      </c>
      <c r="V145" s="32">
        <f>IFERROR(__xludf.DUMMYFUNCTION("$D145 - IFERROR(FILTER($D:$D,$C:$C = $C145, $A:$A = $A145, $B:$B = $B145 - 1),0)"),46300.0)</f>
        <v>46300</v>
      </c>
      <c r="W145" s="93">
        <f>IFERROR(__xludf.DUMMYFUNCTION("$E145 - IFERROR(FILTER($E:$E,$C:$C = $C145, $A:$A = $A145, $B:$B = $B145 - 1),0)"),-10000.0)</f>
        <v>-10000</v>
      </c>
      <c r="X145" s="93"/>
      <c r="Y145" s="93"/>
      <c r="Z145" s="93">
        <v>0.0</v>
      </c>
      <c r="AA145" s="93">
        <v>0.0</v>
      </c>
      <c r="AB145" s="93">
        <v>0.0</v>
      </c>
      <c r="AC145" s="93"/>
      <c r="AD145" s="93">
        <v>0.0</v>
      </c>
      <c r="AE145" s="32">
        <f t="shared" si="2"/>
        <v>-10000</v>
      </c>
      <c r="AF145" s="93">
        <v>0.0</v>
      </c>
    </row>
    <row r="146">
      <c r="A146" s="86">
        <v>2006.0</v>
      </c>
      <c r="B146" s="87">
        <v>12.0</v>
      </c>
      <c r="C146" s="88" t="s">
        <v>50</v>
      </c>
      <c r="D146" s="93">
        <v>34005.3</v>
      </c>
      <c r="E146" s="32"/>
      <c r="F146" s="93"/>
      <c r="G146" s="93">
        <v>-329.31</v>
      </c>
      <c r="H146" s="93">
        <v>929.58</v>
      </c>
      <c r="I146" s="32"/>
      <c r="J146" s="93">
        <v>4991.66</v>
      </c>
      <c r="K146" s="32"/>
      <c r="L146" s="32"/>
      <c r="M146" s="93">
        <v>-86.49</v>
      </c>
      <c r="N146" s="32"/>
      <c r="O146" s="93">
        <v>84573.0</v>
      </c>
      <c r="P146" s="91">
        <f>IFERROR(__xludf.DUMMYFUNCTION("IFERROR(sum(FILTER($D:$N,$C:$C = $C146,$A:$A &lt; $A146,$B:$B = 12)),0) + sum($D146:$N146)"),84572.48000000001)</f>
        <v>84572.48</v>
      </c>
      <c r="Q146" s="92">
        <f t="shared" si="1"/>
        <v>0.52</v>
      </c>
      <c r="R146" s="91">
        <f t="array" ref="R146">IFERROR(INDEX('Fund YTD Target Values'!$1:$1000, MATCH($C146,'Fund YTD Target Values'!$A:$A,0), MATCH($A146,'Fund YTD Target Values'!$1:$1,0)),0)</f>
        <v>77188.89974</v>
      </c>
      <c r="S146" s="91">
        <f>IFERROR(__xludf.DUMMYFUNCTION("IFERROR(sum(FILTER('Fund Investment Data'!$V:$V, 'Fund Investment Data'!$C:$C = $C146, 'Fund Investment Data'!$A:$A &lt; $A146)),0) + IFERROR(sum(FILTER('Fund Investment Data'!$V:$V, 'Fund Investment Data'!$C:$C = $C146, 'Fund Investment Data'!$A:$A = $A146,"&amp;" 'Fund Investment Data'!$B:$B &lt;= $B146)),0)"),75189.56)</f>
        <v>75189.56</v>
      </c>
      <c r="T146" s="93">
        <v>75241.0</v>
      </c>
      <c r="U146" s="32">
        <f t="shared" si="3"/>
        <v>-51.44</v>
      </c>
      <c r="V146" s="32">
        <f>IFERROR(__xludf.DUMMYFUNCTION("$D146 - IFERROR(FILTER($D:$D,$C:$C = $C146, $A:$A = $A146, $B:$B = $B146 - 1),0)"),34005.3)</f>
        <v>34005.3</v>
      </c>
      <c r="W146" s="93">
        <f>IFERROR(__xludf.DUMMYFUNCTION("$E146 - IFERROR(FILTER($E:$E,$C:$C = $C146, $A:$A = $A146, $B:$B = $B146 - 1),0)"),0.0)</f>
        <v>0</v>
      </c>
      <c r="X146" s="93"/>
      <c r="Y146" s="93"/>
      <c r="Z146" s="93">
        <v>0.0</v>
      </c>
      <c r="AA146" s="93">
        <v>0.0</v>
      </c>
      <c r="AB146" s="93">
        <v>0.0</v>
      </c>
      <c r="AC146" s="93"/>
      <c r="AD146" s="93">
        <v>0.0</v>
      </c>
      <c r="AE146" s="32">
        <f t="shared" si="2"/>
        <v>0</v>
      </c>
      <c r="AF146" s="93">
        <v>0.0</v>
      </c>
    </row>
    <row r="147">
      <c r="A147" s="86">
        <v>2006.0</v>
      </c>
      <c r="B147" s="87">
        <v>12.0</v>
      </c>
      <c r="C147" s="88" t="s">
        <v>32</v>
      </c>
      <c r="D147" s="32"/>
      <c r="E147" s="93">
        <v>-4271.0</v>
      </c>
      <c r="F147" s="93"/>
      <c r="G147" s="93">
        <v>-431.62</v>
      </c>
      <c r="H147" s="93">
        <v>1156.18</v>
      </c>
      <c r="I147" s="93">
        <v>235.07</v>
      </c>
      <c r="J147" s="93">
        <v>5877.39</v>
      </c>
      <c r="K147" s="32"/>
      <c r="L147" s="32"/>
      <c r="M147" s="93">
        <v>-195.89</v>
      </c>
      <c r="N147" s="32"/>
      <c r="O147" s="93">
        <v>71703.0</v>
      </c>
      <c r="P147" s="91">
        <f>IFERROR(__xludf.DUMMYFUNCTION("IFERROR(sum(FILTER($D:$N,$C:$C = $C147,$A:$A &lt; $A147,$B:$B = 12)),0) + sum($D147:$N147)"),71702.61)</f>
        <v>71702.61</v>
      </c>
      <c r="Q147" s="92">
        <f t="shared" si="1"/>
        <v>0.39</v>
      </c>
      <c r="R147" s="91">
        <f t="array" ref="R147">IFERROR(INDEX('Fund YTD Target Values'!$1:$1000, MATCH($C147,'Fund YTD Target Values'!$A:$A,0), MATCH($A147,'Fund YTD Target Values'!$1:$1,0)),0)</f>
        <v>63544.89197</v>
      </c>
      <c r="S147" s="91">
        <f>IFERROR(__xludf.DUMMYFUNCTION("IFERROR(sum(FILTER('Fund Investment Data'!$V:$V, 'Fund Investment Data'!$C:$C = $C147, 'Fund Investment Data'!$A:$A &lt; $A147)),0) + IFERROR(sum(FILTER('Fund Investment Data'!$V:$V, 'Fund Investment Data'!$C:$C = $C147, 'Fund Investment Data'!$A:$A = $A147,"&amp;" 'Fund Investment Data'!$B:$B &lt;= $B147)),0)"),49449.04)</f>
        <v>49449.04</v>
      </c>
      <c r="T147" s="93">
        <v>39268.0</v>
      </c>
      <c r="U147" s="32">
        <f t="shared" si="3"/>
        <v>10181.04</v>
      </c>
      <c r="V147" s="32">
        <f>IFERROR(__xludf.DUMMYFUNCTION("$D147 - IFERROR(FILTER($D:$D,$C:$C = $C147, $A:$A = $A147, $B:$B = $B147 - 1),0)"),0.0)</f>
        <v>0</v>
      </c>
      <c r="W147" s="93">
        <f>IFERROR(__xludf.DUMMYFUNCTION("$E147 - IFERROR(FILTER($E:$E,$C:$C = $C147, $A:$A = $A147, $B:$B = $B147 - 1),0)"),-4271.0)</f>
        <v>-4271</v>
      </c>
      <c r="X147" s="93"/>
      <c r="Y147" s="93"/>
      <c r="Z147" s="93">
        <v>0.0</v>
      </c>
      <c r="AA147" s="93">
        <v>0.0</v>
      </c>
      <c r="AB147" s="93">
        <v>0.0</v>
      </c>
      <c r="AC147" s="93"/>
      <c r="AD147" s="93">
        <v>0.0</v>
      </c>
      <c r="AE147" s="32">
        <f t="shared" si="2"/>
        <v>-4271</v>
      </c>
      <c r="AF147" s="93">
        <v>0.0</v>
      </c>
    </row>
    <row r="148">
      <c r="A148" s="86">
        <v>2006.0</v>
      </c>
      <c r="B148" s="87">
        <v>12.0</v>
      </c>
      <c r="C148" s="88" t="s">
        <v>40</v>
      </c>
      <c r="D148" s="93">
        <f>102493.74+22900</f>
        <v>125393.74</v>
      </c>
      <c r="E148" s="32"/>
      <c r="F148" s="93"/>
      <c r="G148" s="93">
        <v>0.0</v>
      </c>
      <c r="H148" s="93">
        <v>17.81</v>
      </c>
      <c r="I148" s="32"/>
      <c r="J148" s="93">
        <v>993.25</v>
      </c>
      <c r="K148" s="32"/>
      <c r="L148" s="32"/>
      <c r="M148" s="93">
        <v>72.96</v>
      </c>
      <c r="N148" s="32"/>
      <c r="O148" s="93">
        <v>126478.0</v>
      </c>
      <c r="P148" s="91">
        <f>IFERROR(__xludf.DUMMYFUNCTION("IFERROR(sum(FILTER($D:$N,$C:$C = $C148,$A:$A &lt; $A148,$B:$B = 12)),0) + sum($D148:$N148)"),126477.76000000001)</f>
        <v>126477.76</v>
      </c>
      <c r="Q148" s="92">
        <f t="shared" si="1"/>
        <v>0.24</v>
      </c>
      <c r="R148" s="91">
        <f t="array" ref="R148">IFERROR(INDEX('Fund YTD Target Values'!$1:$1000, MATCH($C148,'Fund YTD Target Values'!$A:$A,0), MATCH($A148,'Fund YTD Target Values'!$1:$1,0)),0)</f>
        <v>125393.74</v>
      </c>
      <c r="S148" s="91">
        <f>IFERROR(__xludf.DUMMYFUNCTION("IFERROR(sum(FILTER('Fund Investment Data'!$V:$V, 'Fund Investment Data'!$C:$C = $C148, 'Fund Investment Data'!$A:$A &lt; $A148)),0) + IFERROR(sum(FILTER('Fund Investment Data'!$V:$V, 'Fund Investment Data'!$C:$C = $C148, 'Fund Investment Data'!$A:$A = $A148,"&amp;" 'Fund Investment Data'!$B:$B &lt;= $B148)),0)"),125393.74)</f>
        <v>125393.74</v>
      </c>
      <c r="T148" s="93">
        <v>125413.0</v>
      </c>
      <c r="U148" s="32">
        <f t="shared" si="3"/>
        <v>-19.26</v>
      </c>
      <c r="V148" s="32">
        <f>IFERROR(__xludf.DUMMYFUNCTION("$D148 - IFERROR(FILTER($D:$D,$C:$C = $C148, $A:$A = $A148, $B:$B = $B148 - 1),0)"),125393.74)</f>
        <v>125393.74</v>
      </c>
      <c r="W148" s="93">
        <f>IFERROR(__xludf.DUMMYFUNCTION("$E148 - IFERROR(FILTER($E:$E,$C:$C = $C148, $A:$A = $A148, $B:$B = $B148 - 1),0)"),0.0)</f>
        <v>0</v>
      </c>
      <c r="X148" s="93"/>
      <c r="Y148" s="93"/>
      <c r="Z148" s="93">
        <v>0.0</v>
      </c>
      <c r="AA148" s="93">
        <v>0.0</v>
      </c>
      <c r="AB148" s="93">
        <v>0.0</v>
      </c>
      <c r="AC148" s="93"/>
      <c r="AD148" s="93">
        <v>0.0</v>
      </c>
      <c r="AE148" s="32">
        <f t="shared" si="2"/>
        <v>0</v>
      </c>
      <c r="AF148" s="93">
        <v>0.0</v>
      </c>
    </row>
    <row r="149">
      <c r="A149" s="86">
        <v>2006.0</v>
      </c>
      <c r="B149" s="87">
        <v>12.0</v>
      </c>
      <c r="C149" s="88" t="s">
        <v>48</v>
      </c>
      <c r="D149" s="32"/>
      <c r="E149" s="93">
        <v>-115000.0</v>
      </c>
      <c r="F149" s="93"/>
      <c r="G149" s="93">
        <v>-8443.01</v>
      </c>
      <c r="H149" s="93">
        <v>22484.91</v>
      </c>
      <c r="I149" s="93">
        <v>3103.6</v>
      </c>
      <c r="J149" s="93">
        <v>116770.75</v>
      </c>
      <c r="K149" s="32"/>
      <c r="L149" s="32"/>
      <c r="M149" s="93">
        <v>-3985.23</v>
      </c>
      <c r="N149" s="32"/>
      <c r="O149" s="93">
        <v>1422283.0</v>
      </c>
      <c r="P149" s="91">
        <f>IFERROR(__xludf.DUMMYFUNCTION("IFERROR(sum(FILTER($D:$N,$C:$C = $C149,$A:$A &lt; $A149,$B:$B = 12)),0) + sum($D149:$N149)"),1422282.1)</f>
        <v>1422282.1</v>
      </c>
      <c r="Q149" s="92">
        <f t="shared" si="1"/>
        <v>0.8999999999</v>
      </c>
      <c r="R149" s="91">
        <f t="array" ref="R149">IFERROR(INDEX('Fund YTD Target Values'!$1:$1000, MATCH($C149,'Fund YTD Target Values'!$A:$A,0), MATCH($A149,'Fund YTD Target Values'!$1:$1,0)),0)</f>
        <v>1521847.548</v>
      </c>
      <c r="S149" s="91">
        <f>IFERROR(__xludf.DUMMYFUNCTION("IFERROR(sum(FILTER('Fund Investment Data'!$V:$V, 'Fund Investment Data'!$C:$C = $C149, 'Fund Investment Data'!$A:$A &lt; $A149)),0) + IFERROR(sum(FILTER('Fund Investment Data'!$V:$V, 'Fund Investment Data'!$C:$C = $C149, 'Fund Investment Data'!$A:$A = $A149,"&amp;" 'Fund Investment Data'!$B:$B &lt;= $B149)),0)"),1183929.39)</f>
        <v>1183929.39</v>
      </c>
      <c r="T149" s="93">
        <v>1140040.0</v>
      </c>
      <c r="U149" s="32">
        <f t="shared" si="3"/>
        <v>43889.39</v>
      </c>
      <c r="V149" s="32">
        <f>IFERROR(__xludf.DUMMYFUNCTION("$D149 - IFERROR(FILTER($D:$D,$C:$C = $C149, $A:$A = $A149, $B:$B = $B149 - 1),0)"),0.0)</f>
        <v>0</v>
      </c>
      <c r="W149" s="93">
        <f>IFERROR(__xludf.DUMMYFUNCTION("$E149 - IFERROR(FILTER($E:$E,$C:$C = $C149, $A:$A = $A149, $B:$B = $B149 - 1),0)"),-115000.0)</f>
        <v>-115000</v>
      </c>
      <c r="X149" s="93"/>
      <c r="Y149" s="93"/>
      <c r="Z149" s="93">
        <v>0.0</v>
      </c>
      <c r="AA149" s="93">
        <v>0.0</v>
      </c>
      <c r="AB149" s="93">
        <v>0.0</v>
      </c>
      <c r="AC149" s="93"/>
      <c r="AD149" s="93">
        <v>0.0</v>
      </c>
      <c r="AE149" s="32">
        <f t="shared" si="2"/>
        <v>-115000</v>
      </c>
      <c r="AF149" s="93">
        <v>0.0</v>
      </c>
    </row>
    <row r="150">
      <c r="A150" s="86">
        <v>2006.0</v>
      </c>
      <c r="B150" s="87">
        <v>12.0</v>
      </c>
      <c r="C150" s="88" t="s">
        <v>49</v>
      </c>
      <c r="D150" s="32"/>
      <c r="E150" s="93">
        <v>-75000.0</v>
      </c>
      <c r="F150" s="93"/>
      <c r="G150" s="93">
        <v>-3729.06</v>
      </c>
      <c r="H150" s="93">
        <v>10021.44</v>
      </c>
      <c r="I150" s="93">
        <v>1570.46</v>
      </c>
      <c r="J150" s="93">
        <v>49671.68</v>
      </c>
      <c r="K150" s="32"/>
      <c r="L150" s="32"/>
      <c r="M150" s="93">
        <v>-1763.64</v>
      </c>
      <c r="N150" s="32"/>
      <c r="O150" s="93">
        <v>607677.0</v>
      </c>
      <c r="P150" s="91">
        <f>IFERROR(__xludf.DUMMYFUNCTION("IFERROR(sum(FILTER($D:$N,$C:$C = $C150,$A:$A &lt; $A150,$B:$B = 12)),0) + sum($D150:$N150)"),607677.0999999999)</f>
        <v>607677.1</v>
      </c>
      <c r="Q150" s="92">
        <f t="shared" si="1"/>
        <v>-0.09999999986</v>
      </c>
      <c r="R150" s="91">
        <f t="array" ref="R150">IFERROR(INDEX('Fund YTD Target Values'!$1:$1000, MATCH($C150,'Fund YTD Target Values'!$A:$A,0), MATCH($A150,'Fund YTD Target Values'!$1:$1,0)),0)</f>
        <v>562892.4306</v>
      </c>
      <c r="S150" s="91">
        <f>IFERROR(__xludf.DUMMYFUNCTION("IFERROR(sum(FILTER('Fund Investment Data'!$V:$V, 'Fund Investment Data'!$C:$C = $C150, 'Fund Investment Data'!$A:$A &lt; $A150)),0) + IFERROR(sum(FILTER('Fund Investment Data'!$V:$V, 'Fund Investment Data'!$C:$C = $C150, 'Fund Investment Data'!$A:$A = $A150,"&amp;" 'Fund Investment Data'!$B:$B &lt;= $B150)),0)"),500000.0)</f>
        <v>500000</v>
      </c>
      <c r="T150" s="93">
        <v>500000.0</v>
      </c>
      <c r="U150" s="32">
        <f t="shared" si="3"/>
        <v>0</v>
      </c>
      <c r="V150" s="32">
        <f>IFERROR(__xludf.DUMMYFUNCTION("$D150 - IFERROR(FILTER($D:$D,$C:$C = $C150, $A:$A = $A150, $B:$B = $B150 - 1),0)"),0.0)</f>
        <v>0</v>
      </c>
      <c r="W150" s="93">
        <f>IFERROR(__xludf.DUMMYFUNCTION("$E150 - IFERROR(FILTER($E:$E,$C:$C = $C150, $A:$A = $A150, $B:$B = $B150 - 1),0)"),-75000.0)</f>
        <v>-75000</v>
      </c>
      <c r="X150" s="93"/>
      <c r="Y150" s="93"/>
      <c r="Z150" s="93">
        <v>0.0</v>
      </c>
      <c r="AA150" s="93">
        <v>0.0</v>
      </c>
      <c r="AB150" s="93">
        <v>0.0</v>
      </c>
      <c r="AC150" s="93"/>
      <c r="AD150" s="93">
        <v>0.0</v>
      </c>
      <c r="AE150" s="32">
        <f t="shared" si="2"/>
        <v>-75000</v>
      </c>
      <c r="AF150" s="93">
        <v>0.0</v>
      </c>
    </row>
    <row r="151">
      <c r="A151" s="86">
        <v>2006.0</v>
      </c>
      <c r="B151" s="87">
        <v>12.0</v>
      </c>
      <c r="C151" s="88" t="s">
        <v>41</v>
      </c>
      <c r="D151" s="93">
        <v>20186.0</v>
      </c>
      <c r="E151" s="93">
        <v>-10525.0</v>
      </c>
      <c r="F151" s="93"/>
      <c r="G151" s="93">
        <v>-2780.1</v>
      </c>
      <c r="H151" s="93">
        <v>7462.53</v>
      </c>
      <c r="I151" s="93">
        <v>125.64</v>
      </c>
      <c r="J151" s="93">
        <v>39151.91</v>
      </c>
      <c r="K151" s="32"/>
      <c r="L151" s="32"/>
      <c r="M151" s="93">
        <v>-1189.54</v>
      </c>
      <c r="N151" s="32"/>
      <c r="O151" s="93">
        <v>498505.0</v>
      </c>
      <c r="P151" s="91">
        <f>IFERROR(__xludf.DUMMYFUNCTION("IFERROR(sum(FILTER($D:$N,$C:$C = $C151,$A:$A &lt; $A151,$B:$B = 12)),0) + sum($D151:$N151)"),498505.58999999997)</f>
        <v>498505.59</v>
      </c>
      <c r="Q151" s="92">
        <f t="shared" si="1"/>
        <v>-0.59</v>
      </c>
      <c r="R151" s="91">
        <f t="array" ref="R151">IFERROR(INDEX('Fund YTD Target Values'!$1:$1000, MATCH($C151,'Fund YTD Target Values'!$A:$A,0), MATCH($A151,'Fund YTD Target Values'!$1:$1,0)),0)</f>
        <v>462149.0304</v>
      </c>
      <c r="S151" s="91">
        <f>IFERROR(__xludf.DUMMYFUNCTION("IFERROR(sum(FILTER('Fund Investment Data'!$V:$V, 'Fund Investment Data'!$C:$C = $C151, 'Fund Investment Data'!$A:$A &lt; $A151)),0) + IFERROR(sum(FILTER('Fund Investment Data'!$V:$V, 'Fund Investment Data'!$C:$C = $C151, 'Fund Investment Data'!$A:$A = $A151,"&amp;" 'Fund Investment Data'!$B:$B &lt;= $B151)),0)"),423755.86)</f>
        <v>423755.86</v>
      </c>
      <c r="T151" s="93">
        <v>424291.0</v>
      </c>
      <c r="U151" s="32">
        <f t="shared" si="3"/>
        <v>-535.14</v>
      </c>
      <c r="V151" s="32">
        <f>IFERROR(__xludf.DUMMYFUNCTION("$D151 - IFERROR(FILTER($D:$D,$C:$C = $C151, $A:$A = $A151, $B:$B = $B151 - 1),0)"),20186.0)</f>
        <v>20186</v>
      </c>
      <c r="W151" s="93">
        <f>IFERROR(__xludf.DUMMYFUNCTION("$E151 - IFERROR(FILTER($E:$E,$C:$C = $C151, $A:$A = $A151, $B:$B = $B151 - 1),0)"),-10525.0)</f>
        <v>-10525</v>
      </c>
      <c r="X151" s="93"/>
      <c r="Y151" s="93"/>
      <c r="Z151" s="93">
        <v>0.0</v>
      </c>
      <c r="AA151" s="93">
        <v>0.0</v>
      </c>
      <c r="AB151" s="93">
        <v>0.0</v>
      </c>
      <c r="AC151" s="93"/>
      <c r="AD151" s="93">
        <v>0.0</v>
      </c>
      <c r="AE151" s="32">
        <f t="shared" si="2"/>
        <v>-10525</v>
      </c>
      <c r="AF151" s="93">
        <v>0.0</v>
      </c>
    </row>
    <row r="152">
      <c r="A152" s="86">
        <v>2006.0</v>
      </c>
      <c r="B152" s="87">
        <v>12.0</v>
      </c>
      <c r="C152" s="88" t="s">
        <v>25</v>
      </c>
      <c r="D152" s="32"/>
      <c r="E152" s="93">
        <v>-9355.0</v>
      </c>
      <c r="F152" s="93"/>
      <c r="G152" s="93">
        <v>-513.65</v>
      </c>
      <c r="H152" s="93">
        <v>1384.55</v>
      </c>
      <c r="I152" s="93">
        <v>371.86</v>
      </c>
      <c r="J152" s="93">
        <v>6799.52</v>
      </c>
      <c r="K152" s="32"/>
      <c r="L152" s="32"/>
      <c r="M152" s="93">
        <v>-237.11</v>
      </c>
      <c r="N152" s="32"/>
      <c r="O152" s="93">
        <v>83062.0</v>
      </c>
      <c r="P152" s="91">
        <f>IFERROR(__xludf.DUMMYFUNCTION("IFERROR(sum(FILTER($D:$N,$C:$C = $C152,$A:$A &lt; $A152,$B:$B = 12)),0) + sum($D152:$N152)"),83061.51000000001)</f>
        <v>83061.51</v>
      </c>
      <c r="Q152" s="92">
        <f t="shared" si="1"/>
        <v>0.49</v>
      </c>
      <c r="R152" s="91">
        <f t="array" ref="R152">IFERROR(INDEX('Fund YTD Target Values'!$1:$1000, MATCH($C152,'Fund YTD Target Values'!$A:$A,0), MATCH($A152,'Fund YTD Target Values'!$1:$1,0)),0)</f>
        <v>79105.35962</v>
      </c>
      <c r="S152" s="91">
        <f>IFERROR(__xludf.DUMMYFUNCTION("IFERROR(sum(FILTER('Fund Investment Data'!$V:$V, 'Fund Investment Data'!$C:$C = $C152, 'Fund Investment Data'!$A:$A &lt; $A152)),0) + IFERROR(sum(FILTER('Fund Investment Data'!$V:$V, 'Fund Investment Data'!$C:$C = $C152, 'Fund Investment Data'!$A:$A = $A152,"&amp;" 'Fund Investment Data'!$B:$B &lt;= $B152)),0)"),71000.0)</f>
        <v>71000</v>
      </c>
      <c r="T152" s="93">
        <v>71000.0</v>
      </c>
      <c r="U152" s="32">
        <f t="shared" si="3"/>
        <v>0</v>
      </c>
      <c r="V152" s="32">
        <f>IFERROR(__xludf.DUMMYFUNCTION("$D152 - IFERROR(FILTER($D:$D,$C:$C = $C152, $A:$A = $A152, $B:$B = $B152 - 1),0)"),0.0)</f>
        <v>0</v>
      </c>
      <c r="W152" s="93">
        <f>IFERROR(__xludf.DUMMYFUNCTION("$E152 - IFERROR(FILTER($E:$E,$C:$C = $C152, $A:$A = $A152, $B:$B = $B152 - 1),0)"),-9355.0)</f>
        <v>-9355</v>
      </c>
      <c r="X152" s="93"/>
      <c r="Y152" s="93"/>
      <c r="Z152" s="93">
        <v>0.0</v>
      </c>
      <c r="AA152" s="93">
        <v>0.0</v>
      </c>
      <c r="AB152" s="93">
        <v>0.0</v>
      </c>
      <c r="AC152" s="93"/>
      <c r="AD152" s="93">
        <v>0.0</v>
      </c>
      <c r="AE152" s="32">
        <f t="shared" si="2"/>
        <v>-9355</v>
      </c>
      <c r="AF152" s="93">
        <v>0.0</v>
      </c>
    </row>
    <row r="153">
      <c r="A153" s="86">
        <v>2006.0</v>
      </c>
      <c r="B153" s="87">
        <v>12.0</v>
      </c>
      <c r="C153" s="88" t="s">
        <v>42</v>
      </c>
      <c r="D153" s="93">
        <v>176475.0</v>
      </c>
      <c r="E153" s="32"/>
      <c r="F153" s="93"/>
      <c r="G153" s="93">
        <v>-907.52</v>
      </c>
      <c r="H153" s="93">
        <v>2587.61</v>
      </c>
      <c r="I153" s="32"/>
      <c r="J153" s="93">
        <v>12916.88</v>
      </c>
      <c r="K153" s="32"/>
      <c r="L153" s="32"/>
      <c r="M153" s="93">
        <v>13.03</v>
      </c>
      <c r="N153" s="32"/>
      <c r="O153" s="93">
        <v>191085.0</v>
      </c>
      <c r="P153" s="91">
        <f>IFERROR(__xludf.DUMMYFUNCTION("IFERROR(sum(FILTER($D:$N,$C:$C = $C153,$A:$A &lt; $A153,$B:$B = 12)),0) + sum($D153:$N153)"),191085.0)</f>
        <v>191085</v>
      </c>
      <c r="Q153" s="92">
        <f t="shared" si="1"/>
        <v>0</v>
      </c>
      <c r="R153" s="91">
        <f t="array" ref="R153">IFERROR(INDEX('Fund YTD Target Values'!$1:$1000, MATCH($C153,'Fund YTD Target Values'!$A:$A,0), MATCH($A153,'Fund YTD Target Values'!$1:$1,0)),0)</f>
        <v>176475</v>
      </c>
      <c r="S153" s="91">
        <f>IFERROR(__xludf.DUMMYFUNCTION("IFERROR(sum(FILTER('Fund Investment Data'!$V:$V, 'Fund Investment Data'!$C:$C = $C153, 'Fund Investment Data'!$A:$A &lt; $A153)),0) + IFERROR(sum(FILTER('Fund Investment Data'!$V:$V, 'Fund Investment Data'!$C:$C = $C153, 'Fund Investment Data'!$A:$A = $A153,"&amp;" 'Fund Investment Data'!$B:$B &lt;= $B153)),0)"),176475.0)</f>
        <v>176475</v>
      </c>
      <c r="T153" s="93">
        <v>176475.0</v>
      </c>
      <c r="U153" s="32">
        <f t="shared" si="3"/>
        <v>0</v>
      </c>
      <c r="V153" s="32">
        <f>IFERROR(__xludf.DUMMYFUNCTION("$D153 - IFERROR(FILTER($D:$D,$C:$C = $C153, $A:$A = $A153, $B:$B = $B153 - 1),0)"),176475.0)</f>
        <v>176475</v>
      </c>
      <c r="W153" s="93">
        <f>IFERROR(__xludf.DUMMYFUNCTION("$E153 - IFERROR(FILTER($E:$E,$C:$C = $C153, $A:$A = $A153, $B:$B = $B153 - 1),0)"),0.0)</f>
        <v>0</v>
      </c>
      <c r="X153" s="93"/>
      <c r="Y153" s="93"/>
      <c r="Z153" s="93">
        <v>0.0</v>
      </c>
      <c r="AA153" s="93">
        <v>0.0</v>
      </c>
      <c r="AB153" s="93">
        <v>0.0</v>
      </c>
      <c r="AC153" s="93"/>
      <c r="AD153" s="93">
        <v>0.0</v>
      </c>
      <c r="AE153" s="32">
        <f t="shared" si="2"/>
        <v>0</v>
      </c>
      <c r="AF153" s="93">
        <v>0.0</v>
      </c>
    </row>
    <row r="154">
      <c r="A154" s="86">
        <v>2006.0</v>
      </c>
      <c r="B154" s="87">
        <v>12.0</v>
      </c>
      <c r="C154" s="88" t="s">
        <v>43</v>
      </c>
      <c r="D154" s="93">
        <v>25000.0</v>
      </c>
      <c r="E154" s="93">
        <v>-6200.0</v>
      </c>
      <c r="F154" s="93"/>
      <c r="G154" s="93">
        <v>-668.13</v>
      </c>
      <c r="H154" s="93">
        <v>1884.26</v>
      </c>
      <c r="I154" s="93">
        <v>90.21</v>
      </c>
      <c r="J154" s="93">
        <v>8633.47</v>
      </c>
      <c r="K154" s="32"/>
      <c r="L154" s="32"/>
      <c r="M154" s="93">
        <v>-251.93</v>
      </c>
      <c r="N154" s="32"/>
      <c r="O154" s="93">
        <v>117749.0</v>
      </c>
      <c r="P154" s="91">
        <f>IFERROR(__xludf.DUMMYFUNCTION("IFERROR(sum(FILTER($D:$N,$C:$C = $C154,$A:$A &lt; $A154,$B:$B = 12)),0) + sum($D154:$N154)"),117748.81999999998)</f>
        <v>117748.82</v>
      </c>
      <c r="Q154" s="92">
        <f t="shared" si="1"/>
        <v>0.18</v>
      </c>
      <c r="R154" s="91">
        <f t="array" ref="R154">IFERROR(INDEX('Fund YTD Target Values'!$1:$1000, MATCH($C154,'Fund YTD Target Values'!$A:$A,0), MATCH($A154,'Fund YTD Target Values'!$1:$1,0)),0)</f>
        <v>104890.448</v>
      </c>
      <c r="S154" s="91">
        <f>IFERROR(__xludf.DUMMYFUNCTION("IFERROR(sum(FILTER('Fund Investment Data'!$V:$V, 'Fund Investment Data'!$C:$C = $C154, 'Fund Investment Data'!$A:$A &lt; $A154)),0) + IFERROR(sum(FILTER('Fund Investment Data'!$V:$V, 'Fund Investment Data'!$C:$C = $C154, 'Fund Investment Data'!$A:$A = $A154,"&amp;" 'Fund Investment Data'!$B:$B &lt;= $B154)),0)"),100000.0)</f>
        <v>100000</v>
      </c>
      <c r="T154" s="93">
        <v>100000.0</v>
      </c>
      <c r="U154" s="32">
        <f t="shared" si="3"/>
        <v>0</v>
      </c>
      <c r="V154" s="32">
        <f>IFERROR(__xludf.DUMMYFUNCTION("$D154 - IFERROR(FILTER($D:$D,$C:$C = $C154, $A:$A = $A154, $B:$B = $B154 - 1),0)"),25000.0)</f>
        <v>25000</v>
      </c>
      <c r="W154" s="93">
        <f>IFERROR(__xludf.DUMMYFUNCTION("$E154 - IFERROR(FILTER($E:$E,$C:$C = $C154, $A:$A = $A154, $B:$B = $B154 - 1),0)"),-6200.0)</f>
        <v>-6200</v>
      </c>
      <c r="X154" s="93"/>
      <c r="Y154" s="93"/>
      <c r="Z154" s="93">
        <v>0.0</v>
      </c>
      <c r="AA154" s="93">
        <v>0.0</v>
      </c>
      <c r="AB154" s="93">
        <v>0.0</v>
      </c>
      <c r="AC154" s="93"/>
      <c r="AD154" s="93">
        <v>0.0</v>
      </c>
      <c r="AE154" s="32">
        <f t="shared" si="2"/>
        <v>-6200</v>
      </c>
      <c r="AF154" s="93">
        <v>0.0</v>
      </c>
    </row>
    <row r="155">
      <c r="A155" s="86">
        <v>2006.0</v>
      </c>
      <c r="B155" s="87">
        <v>12.0</v>
      </c>
      <c r="C155" s="88" t="s">
        <v>33</v>
      </c>
      <c r="D155" s="93">
        <v>-524300.0</v>
      </c>
      <c r="E155" s="93">
        <v>-40000.0</v>
      </c>
      <c r="F155" s="93"/>
      <c r="G155" s="93">
        <v>-6462.98</v>
      </c>
      <c r="H155" s="93">
        <v>16754.46</v>
      </c>
      <c r="I155" s="93">
        <v>651.51</v>
      </c>
      <c r="J155" s="93">
        <v>37602.51</v>
      </c>
      <c r="K155" s="32"/>
      <c r="L155" s="32"/>
      <c r="M155" s="93">
        <v>-2859.18</v>
      </c>
      <c r="N155" s="32"/>
      <c r="O155" s="93">
        <v>490817.0</v>
      </c>
      <c r="P155" s="91">
        <f>IFERROR(__xludf.DUMMYFUNCTION("IFERROR(sum(FILTER($D:$N,$C:$C = $C155,$A:$A &lt; $A155,$B:$B = 12)),0) + sum($D155:$N155)"),490817.14999999973)</f>
        <v>490817.15</v>
      </c>
      <c r="Q155" s="92">
        <f t="shared" si="1"/>
        <v>-0.1499999997</v>
      </c>
      <c r="R155" s="91">
        <f t="array" ref="R155">IFERROR(INDEX('Fund YTD Target Values'!$1:$1000, MATCH($C155,'Fund YTD Target Values'!$A:$A,0), MATCH($A155,'Fund YTD Target Values'!$1:$1,0)),0)</f>
        <v>411648.8358</v>
      </c>
      <c r="S155" s="91">
        <f>IFERROR(__xludf.DUMMYFUNCTION("IFERROR(sum(FILTER('Fund Investment Data'!$V:$V, 'Fund Investment Data'!$C:$C = $C155, 'Fund Investment Data'!$A:$A &lt; $A155)),0) + IFERROR(sum(FILTER('Fund Investment Data'!$V:$V, 'Fund Investment Data'!$C:$C = $C155, 'Fund Investment Data'!$A:$A = $A155,"&amp;" 'Fund Investment Data'!$B:$B &lt;= $B155)),0)"),325871.6399999999)</f>
        <v>325871.64</v>
      </c>
      <c r="T155" s="93">
        <v>326032.0</v>
      </c>
      <c r="U155" s="32">
        <f t="shared" si="3"/>
        <v>-160.36</v>
      </c>
      <c r="V155" s="32">
        <f>IFERROR(__xludf.DUMMYFUNCTION("$D155 - IFERROR(FILTER($D:$D,$C:$C = $C155, $A:$A = $A155, $B:$B = $B155 - 1),0)"),-524300.0)</f>
        <v>-524300</v>
      </c>
      <c r="W155" s="93">
        <f>IFERROR(__xludf.DUMMYFUNCTION("$E155 - IFERROR(FILTER($E:$E,$C:$C = $C155, $A:$A = $A155, $B:$B = $B155 - 1),0)"),-40000.0)</f>
        <v>-40000</v>
      </c>
      <c r="X155" s="93"/>
      <c r="Y155" s="93"/>
      <c r="Z155" s="93">
        <v>0.0</v>
      </c>
      <c r="AA155" s="93">
        <v>0.0</v>
      </c>
      <c r="AB155" s="93">
        <v>0.0</v>
      </c>
      <c r="AC155" s="93"/>
      <c r="AD155" s="93">
        <v>0.0</v>
      </c>
      <c r="AE155" s="32">
        <f t="shared" si="2"/>
        <v>-40000</v>
      </c>
      <c r="AF155" s="93">
        <v>0.0</v>
      </c>
    </row>
    <row r="156">
      <c r="A156" s="86">
        <v>2006.0</v>
      </c>
      <c r="B156" s="87">
        <v>12.0</v>
      </c>
      <c r="C156" s="88" t="s">
        <v>54</v>
      </c>
      <c r="D156" s="93">
        <v>23933.0</v>
      </c>
      <c r="E156" s="93">
        <v>-2500.0</v>
      </c>
      <c r="F156" s="93"/>
      <c r="G156" s="93">
        <v>-520.66</v>
      </c>
      <c r="H156" s="93">
        <v>1427.57</v>
      </c>
      <c r="I156" s="93">
        <v>13.88</v>
      </c>
      <c r="J156" s="93">
        <v>9395.22</v>
      </c>
      <c r="K156" s="32"/>
      <c r="L156" s="32"/>
      <c r="M156" s="93">
        <v>-233.98</v>
      </c>
      <c r="N156" s="32"/>
      <c r="O156" s="93">
        <v>115747.0</v>
      </c>
      <c r="P156" s="91">
        <f>IFERROR(__xludf.DUMMYFUNCTION("IFERROR(sum(FILTER($D:$N,$C:$C = $C156,$A:$A &lt; $A156,$B:$B = 12)),0) + sum($D156:$N156)"),115747.21999999997)</f>
        <v>115747.22</v>
      </c>
      <c r="Q156" s="92">
        <f t="shared" si="1"/>
        <v>-0.22</v>
      </c>
      <c r="R156" s="91">
        <f t="array" ref="R156">IFERROR(INDEX('Fund YTD Target Values'!$1:$1000, MATCH($C156,'Fund YTD Target Values'!$A:$A,0), MATCH($A156,'Fund YTD Target Values'!$1:$1,0)),0)</f>
        <v>104202.0417</v>
      </c>
      <c r="S156" s="91">
        <f>IFERROR(__xludf.DUMMYFUNCTION("IFERROR(sum(FILTER('Fund Investment Data'!$V:$V, 'Fund Investment Data'!$C:$C = $C156, 'Fund Investment Data'!$A:$A &lt; $A156)),0) + IFERROR(sum(FILTER('Fund Investment Data'!$V:$V, 'Fund Investment Data'!$C:$C = $C156, 'Fund Investment Data'!$A:$A = $A156,"&amp;" 'Fund Investment Data'!$B:$B &lt;= $B156)),0)"),89018.45)</f>
        <v>89018.45</v>
      </c>
      <c r="T156" s="93">
        <v>85102.0</v>
      </c>
      <c r="U156" s="32">
        <f t="shared" si="3"/>
        <v>3916.45</v>
      </c>
      <c r="V156" s="32">
        <f>IFERROR(__xludf.DUMMYFUNCTION("$D156 - IFERROR(FILTER($D:$D,$C:$C = $C156, $A:$A = $A156, $B:$B = $B156 - 1),0)"),23933.0)</f>
        <v>23933</v>
      </c>
      <c r="W156" s="93">
        <f>IFERROR(__xludf.DUMMYFUNCTION("$E156 - IFERROR(FILTER($E:$E,$C:$C = $C156, $A:$A = $A156, $B:$B = $B156 - 1),0)"),-2500.0)</f>
        <v>-2500</v>
      </c>
      <c r="X156" s="93"/>
      <c r="Y156" s="93"/>
      <c r="Z156" s="93">
        <v>0.0</v>
      </c>
      <c r="AA156" s="93">
        <v>0.0</v>
      </c>
      <c r="AB156" s="93">
        <v>0.0</v>
      </c>
      <c r="AC156" s="93"/>
      <c r="AD156" s="93">
        <v>0.0</v>
      </c>
      <c r="AE156" s="32">
        <f t="shared" si="2"/>
        <v>-2500</v>
      </c>
      <c r="AF156" s="93">
        <v>0.0</v>
      </c>
    </row>
    <row r="157">
      <c r="A157" s="86">
        <v>2006.0</v>
      </c>
      <c r="B157" s="87">
        <v>12.0</v>
      </c>
      <c r="C157" s="88" t="s">
        <v>44</v>
      </c>
      <c r="D157" s="32"/>
      <c r="E157" s="32"/>
      <c r="F157" s="93"/>
      <c r="G157" s="93">
        <v>-1662.77</v>
      </c>
      <c r="H157" s="93">
        <v>4462.82</v>
      </c>
      <c r="I157" s="32"/>
      <c r="J157" s="93">
        <v>23627.25</v>
      </c>
      <c r="K157" s="32"/>
      <c r="L157" s="32"/>
      <c r="M157" s="93">
        <v>-737.89</v>
      </c>
      <c r="N157" s="32"/>
      <c r="O157" s="93">
        <v>291444.0</v>
      </c>
      <c r="P157" s="91">
        <f>IFERROR(__xludf.DUMMYFUNCTION("IFERROR(sum(FILTER($D:$N,$C:$C = $C157,$A:$A &lt; $A157,$B:$B = 12)),0) + sum($D157:$N157)"),291444.69)</f>
        <v>291444.69</v>
      </c>
      <c r="Q157" s="92">
        <f t="shared" si="1"/>
        <v>-0.69</v>
      </c>
      <c r="R157" s="91">
        <f t="array" ref="R157">IFERROR(INDEX('Fund YTD Target Values'!$1:$1000, MATCH($C157,'Fund YTD Target Values'!$A:$A,0), MATCH($A157,'Fund YTD Target Values'!$1:$1,0)),0)</f>
        <v>258088.0502</v>
      </c>
      <c r="S157" s="91">
        <f>IFERROR(__xludf.DUMMYFUNCTION("IFERROR(sum(FILTER('Fund Investment Data'!$V:$V, 'Fund Investment Data'!$C:$C = $C157, 'Fund Investment Data'!$A:$A &lt; $A157)),0) + IFERROR(sum(FILTER('Fund Investment Data'!$V:$V, 'Fund Investment Data'!$C:$C = $C157, 'Fund Investment Data'!$A:$A = $A157,"&amp;" 'Fund Investment Data'!$B:$B &lt;= $B157)),0)"),250000.0)</f>
        <v>250000</v>
      </c>
      <c r="T157" s="93">
        <v>250000.0</v>
      </c>
      <c r="U157" s="32">
        <f t="shared" si="3"/>
        <v>0</v>
      </c>
      <c r="V157" s="32">
        <f>IFERROR(__xludf.DUMMYFUNCTION("$D157 - IFERROR(FILTER($D:$D,$C:$C = $C157, $A:$A = $A157, $B:$B = $B157 - 1),0)"),0.0)</f>
        <v>0</v>
      </c>
      <c r="W157" s="93">
        <f>IFERROR(__xludf.DUMMYFUNCTION("$E157 - IFERROR(FILTER($E:$E,$C:$C = $C157, $A:$A = $A157, $B:$B = $B157 - 1),0)"),0.0)</f>
        <v>0</v>
      </c>
      <c r="X157" s="93"/>
      <c r="Y157" s="93"/>
      <c r="Z157" s="93">
        <v>0.0</v>
      </c>
      <c r="AA157" s="93">
        <v>0.0</v>
      </c>
      <c r="AB157" s="93">
        <v>0.0</v>
      </c>
      <c r="AC157" s="93"/>
      <c r="AD157" s="93">
        <v>0.0</v>
      </c>
      <c r="AE157" s="32">
        <f t="shared" si="2"/>
        <v>0</v>
      </c>
      <c r="AF157" s="93">
        <v>0.0</v>
      </c>
    </row>
    <row r="158">
      <c r="A158" s="86">
        <v>2006.0</v>
      </c>
      <c r="B158" s="87">
        <v>12.0</v>
      </c>
      <c r="C158" s="88" t="s">
        <v>45</v>
      </c>
      <c r="D158" s="93">
        <v>20000.0</v>
      </c>
      <c r="E158" s="32"/>
      <c r="F158" s="93"/>
      <c r="G158" s="93">
        <v>-125.42</v>
      </c>
      <c r="H158" s="93">
        <v>355.75</v>
      </c>
      <c r="I158" s="32"/>
      <c r="J158" s="93">
        <v>1790.15</v>
      </c>
      <c r="K158" s="32"/>
      <c r="L158" s="32"/>
      <c r="M158" s="93">
        <v>80.01</v>
      </c>
      <c r="N158" s="32"/>
      <c r="O158" s="93">
        <v>42104.0</v>
      </c>
      <c r="P158" s="91">
        <f>IFERROR(__xludf.DUMMYFUNCTION("IFERROR(sum(FILTER($D:$N,$C:$C = $C158,$A:$A &lt; $A158,$B:$B = 12)),0) + sum($D158:$N158)"),42104.69)</f>
        <v>42104.69</v>
      </c>
      <c r="Q158" s="92">
        <f t="shared" si="1"/>
        <v>-0.69</v>
      </c>
      <c r="R158" s="91">
        <f t="array" ref="R158">IFERROR(INDEX('Fund YTD Target Values'!$1:$1000, MATCH($C158,'Fund YTD Target Values'!$A:$A,0), MATCH($A158,'Fund YTD Target Values'!$1:$1,0)),0)</f>
        <v>40647.04402</v>
      </c>
      <c r="S158" s="91">
        <f>IFERROR(__xludf.DUMMYFUNCTION("IFERROR(sum(FILTER('Fund Investment Data'!$V:$V, 'Fund Investment Data'!$C:$C = $C158, 'Fund Investment Data'!$A:$A &lt; $A158)),0) + IFERROR(sum(FILTER('Fund Investment Data'!$V:$V, 'Fund Investment Data'!$C:$C = $C158, 'Fund Investment Data'!$A:$A = $A158,"&amp;" 'Fund Investment Data'!$B:$B &lt;= $B158)),0)"),40000.0)</f>
        <v>40000</v>
      </c>
      <c r="T158" s="93">
        <v>40000.0</v>
      </c>
      <c r="U158" s="32">
        <f t="shared" si="3"/>
        <v>0</v>
      </c>
      <c r="V158" s="32">
        <f>IFERROR(__xludf.DUMMYFUNCTION("$D158 - IFERROR(FILTER($D:$D,$C:$C = $C158, $A:$A = $A158, $B:$B = $B158 - 1),0)"),20000.0)</f>
        <v>20000</v>
      </c>
      <c r="W158" s="93">
        <f>IFERROR(__xludf.DUMMYFUNCTION("$E158 - IFERROR(FILTER($E:$E,$C:$C = $C158, $A:$A = $A158, $B:$B = $B158 - 1),0)"),0.0)</f>
        <v>0</v>
      </c>
      <c r="X158" s="93"/>
      <c r="Y158" s="93"/>
      <c r="Z158" s="93">
        <v>0.0</v>
      </c>
      <c r="AA158" s="93">
        <v>0.0</v>
      </c>
      <c r="AB158" s="93">
        <v>0.0</v>
      </c>
      <c r="AC158" s="93"/>
      <c r="AD158" s="93">
        <v>0.0</v>
      </c>
      <c r="AE158" s="32">
        <f t="shared" si="2"/>
        <v>0</v>
      </c>
      <c r="AF158" s="93">
        <v>0.0</v>
      </c>
    </row>
    <row r="159">
      <c r="A159" s="86">
        <v>2006.0</v>
      </c>
      <c r="B159" s="87">
        <v>12.0</v>
      </c>
      <c r="C159" s="88" t="s">
        <v>35</v>
      </c>
      <c r="D159" s="93">
        <v>3750.0</v>
      </c>
      <c r="E159" s="93">
        <v>-55000.0</v>
      </c>
      <c r="F159" s="93"/>
      <c r="G159" s="93">
        <v>-7935.41</v>
      </c>
      <c r="H159" s="93">
        <v>21128.46</v>
      </c>
      <c r="I159" s="93">
        <v>266.09</v>
      </c>
      <c r="J159" s="93">
        <v>111338.56</v>
      </c>
      <c r="K159" s="32"/>
      <c r="L159" s="32"/>
      <c r="M159" s="93">
        <v>-3640.81</v>
      </c>
      <c r="N159" s="32"/>
      <c r="O159" s="93">
        <v>1364615.0</v>
      </c>
      <c r="P159" s="91">
        <f>IFERROR(__xludf.DUMMYFUNCTION("IFERROR(sum(FILTER($D:$N,$C:$C = $C159,$A:$A &lt; $A159,$B:$B = 12)),0) + sum($D159:$N159)"),1364613.8400000003)</f>
        <v>1364613.84</v>
      </c>
      <c r="Q159" s="92">
        <f t="shared" si="1"/>
        <v>1.16</v>
      </c>
      <c r="R159" s="91">
        <f t="array" ref="R159">IFERROR(INDEX('Fund YTD Target Values'!$1:$1000, MATCH($C159,'Fund YTD Target Values'!$A:$A,0), MATCH($A159,'Fund YTD Target Values'!$1:$1,0)),0)</f>
        <v>1246562.813</v>
      </c>
      <c r="S159" s="91">
        <f>IFERROR(__xludf.DUMMYFUNCTION("IFERROR(sum(FILTER('Fund Investment Data'!$V:$V, 'Fund Investment Data'!$C:$C = $C159, 'Fund Investment Data'!$A:$A &lt; $A159)),0) + IFERROR(sum(FILTER('Fund Investment Data'!$V:$V, 'Fund Investment Data'!$C:$C = $C159, 'Fund Investment Data'!$A:$A = $A159,"&amp;" 'Fund Investment Data'!$B:$B &lt;= $B159)),0)"),1062625.0)</f>
        <v>1062625</v>
      </c>
      <c r="T159" s="93">
        <v>1047625.0</v>
      </c>
      <c r="U159" s="32">
        <f t="shared" si="3"/>
        <v>15000</v>
      </c>
      <c r="V159" s="32">
        <f>IFERROR(__xludf.DUMMYFUNCTION("$D159 - IFERROR(FILTER($D:$D,$C:$C = $C159, $A:$A = $A159, $B:$B = $B159 - 1),0)"),3750.0)</f>
        <v>3750</v>
      </c>
      <c r="W159" s="93">
        <f>IFERROR(__xludf.DUMMYFUNCTION("$E159 - IFERROR(FILTER($E:$E,$C:$C = $C159, $A:$A = $A159, $B:$B = $B159 - 1),0)"),-55000.0)</f>
        <v>-55000</v>
      </c>
      <c r="X159" s="93"/>
      <c r="Y159" s="93"/>
      <c r="Z159" s="93">
        <v>0.0</v>
      </c>
      <c r="AA159" s="93">
        <v>0.0</v>
      </c>
      <c r="AB159" s="93">
        <v>0.0</v>
      </c>
      <c r="AC159" s="93"/>
      <c r="AD159" s="93">
        <v>0.0</v>
      </c>
      <c r="AE159" s="32">
        <f t="shared" si="2"/>
        <v>-55000</v>
      </c>
      <c r="AF159" s="93">
        <v>0.0</v>
      </c>
    </row>
    <row r="160">
      <c r="A160" s="86">
        <v>2007.0</v>
      </c>
      <c r="B160" s="87">
        <v>12.0</v>
      </c>
      <c r="C160" s="88" t="s">
        <v>26</v>
      </c>
      <c r="D160" s="93">
        <v>30000.0</v>
      </c>
      <c r="E160" s="93">
        <v>-35000.0</v>
      </c>
      <c r="F160" s="93"/>
      <c r="G160" s="93">
        <v>-1360.94</v>
      </c>
      <c r="H160" s="93">
        <v>3574.91</v>
      </c>
      <c r="I160" s="93">
        <v>4902.09</v>
      </c>
      <c r="J160" s="93">
        <v>13988.51</v>
      </c>
      <c r="K160" s="32"/>
      <c r="L160" s="32"/>
      <c r="M160" s="93">
        <v>-4.0</v>
      </c>
      <c r="N160" s="32"/>
      <c r="O160" s="93">
        <v>234208.0</v>
      </c>
      <c r="P160" s="91">
        <f>IFERROR(__xludf.DUMMYFUNCTION("IFERROR(sum(FILTER($D:$N,$C:$C = $C160,$A:$A &lt; $A160,$B:$B = 12)),0) + sum($D160:$N160)"),234207.38000000003)</f>
        <v>234207.38</v>
      </c>
      <c r="Q160" s="92">
        <f t="shared" si="1"/>
        <v>0.62</v>
      </c>
      <c r="R160" s="91">
        <f t="array" ref="R160">IFERROR(INDEX('Fund YTD Target Values'!$1:$1000, MATCH($C160,'Fund YTD Target Values'!$A:$A,0), MATCH($A160,'Fund YTD Target Values'!$1:$1,0)),0)</f>
        <v>231823.4266</v>
      </c>
      <c r="S160" s="91">
        <f>IFERROR(__xludf.DUMMYFUNCTION("IFERROR(sum(FILTER('Fund Investment Data'!$V:$V, 'Fund Investment Data'!$C:$C = $C160, 'Fund Investment Data'!$A:$A &lt; $A160)),0) + IFERROR(sum(FILTER('Fund Investment Data'!$V:$V, 'Fund Investment Data'!$C:$C = $C160, 'Fund Investment Data'!$A:$A = $A160,"&amp;" 'Fund Investment Data'!$B:$B &lt;= $B160)),0)"),220000.0)</f>
        <v>220000</v>
      </c>
      <c r="T160" s="93">
        <v>219999.0</v>
      </c>
      <c r="U160" s="32">
        <f t="shared" si="3"/>
        <v>1</v>
      </c>
      <c r="V160" s="32">
        <f>IFERROR(__xludf.DUMMYFUNCTION("$D160 - IFERROR(FILTER($D:$D,$C:$C = $C160, $A:$A = $A160, $B:$B = $B160 - 1),0)"),30000.0)</f>
        <v>30000</v>
      </c>
      <c r="W160" s="93">
        <f>IFERROR(__xludf.DUMMYFUNCTION("$E160 - IFERROR(FILTER($E:$E,$C:$C = $C160, $A:$A = $A160, $B:$B = $B160 - 1),0)"),-35000.0)</f>
        <v>-35000</v>
      </c>
      <c r="X160" s="93"/>
      <c r="Y160" s="93"/>
      <c r="Z160" s="93">
        <v>0.0</v>
      </c>
      <c r="AA160" s="93">
        <v>0.0</v>
      </c>
      <c r="AB160" s="93">
        <v>0.0</v>
      </c>
      <c r="AC160" s="93"/>
      <c r="AD160" s="93">
        <v>0.0</v>
      </c>
      <c r="AE160" s="32">
        <f t="shared" si="2"/>
        <v>-35000</v>
      </c>
      <c r="AF160" s="93">
        <v>0.0</v>
      </c>
    </row>
    <row r="161">
      <c r="A161" s="86">
        <v>2007.0</v>
      </c>
      <c r="B161" s="87">
        <v>12.0</v>
      </c>
      <c r="C161" s="88" t="s">
        <v>27</v>
      </c>
      <c r="D161" s="93">
        <v>4842.0</v>
      </c>
      <c r="E161" s="93">
        <v>-40000.0</v>
      </c>
      <c r="F161" s="93"/>
      <c r="G161" s="93">
        <v>-1994.1</v>
      </c>
      <c r="H161" s="93">
        <v>5294.49</v>
      </c>
      <c r="I161" s="93">
        <v>3993.09</v>
      </c>
      <c r="J161" s="93">
        <v>23904.12</v>
      </c>
      <c r="K161" s="32"/>
      <c r="L161" s="32"/>
      <c r="M161" s="93">
        <v>-17.0</v>
      </c>
      <c r="N161" s="32"/>
      <c r="O161" s="93">
        <v>319389.0</v>
      </c>
      <c r="P161" s="91">
        <f>IFERROR(__xludf.DUMMYFUNCTION("IFERROR(sum(FILTER($D:$N,$C:$C = $C161,$A:$A &lt; $A161,$B:$B = 12)),0) + sum($D161:$N161)"),319491.43000000005)</f>
        <v>319491.43</v>
      </c>
      <c r="Q161" s="92">
        <f t="shared" si="1"/>
        <v>-102.43</v>
      </c>
      <c r="R161" s="91">
        <f t="array" ref="R161">IFERROR(INDEX('Fund YTD Target Values'!$1:$1000, MATCH($C161,'Fund YTD Target Values'!$A:$A,0), MATCH($A161,'Fund YTD Target Values'!$1:$1,0)),0)</f>
        <v>321545.3322</v>
      </c>
      <c r="S161" s="91">
        <f>IFERROR(__xludf.DUMMYFUNCTION("IFERROR(sum(FILTER('Fund Investment Data'!$V:$V, 'Fund Investment Data'!$C:$C = $C161, 'Fund Investment Data'!$A:$A &lt; $A161)),0) + IFERROR(sum(FILTER('Fund Investment Data'!$V:$V, 'Fund Investment Data'!$C:$C = $C161, 'Fund Investment Data'!$A:$A = $A161,"&amp;" 'Fund Investment Data'!$B:$B &lt;= $B161)),0)"),272964.69999999995)</f>
        <v>272964.7</v>
      </c>
      <c r="T161" s="93">
        <v>268999.0</v>
      </c>
      <c r="U161" s="32">
        <f t="shared" si="3"/>
        <v>3965.7</v>
      </c>
      <c r="V161" s="32">
        <f>IFERROR(__xludf.DUMMYFUNCTION("$D161 - IFERROR(FILTER($D:$D,$C:$C = $C161, $A:$A = $A161, $B:$B = $B161 - 1),0)"),4842.0)</f>
        <v>4842</v>
      </c>
      <c r="W161" s="93">
        <f>IFERROR(__xludf.DUMMYFUNCTION("$E161 - IFERROR(FILTER($E:$E,$C:$C = $C161, $A:$A = $A161, $B:$B = $B161 - 1),0)"),-40000.0)</f>
        <v>-40000</v>
      </c>
      <c r="X161" s="93"/>
      <c r="Y161" s="93"/>
      <c r="Z161" s="93">
        <v>0.0</v>
      </c>
      <c r="AA161" s="93">
        <v>0.0</v>
      </c>
      <c r="AB161" s="93">
        <v>0.0</v>
      </c>
      <c r="AC161" s="93"/>
      <c r="AD161" s="93">
        <v>0.0</v>
      </c>
      <c r="AE161" s="32">
        <f t="shared" si="2"/>
        <v>-40000</v>
      </c>
      <c r="AF161" s="93">
        <v>0.0</v>
      </c>
    </row>
    <row r="162">
      <c r="A162" s="86">
        <v>2007.0</v>
      </c>
      <c r="B162" s="87">
        <v>12.0</v>
      </c>
      <c r="C162" s="88" t="s">
        <v>28</v>
      </c>
      <c r="D162" s="93">
        <v>451052.52</v>
      </c>
      <c r="E162" s="93">
        <v>-85000.0</v>
      </c>
      <c r="F162" s="32"/>
      <c r="G162" s="93">
        <v>-18281.67</v>
      </c>
      <c r="H162" s="93">
        <v>48288.35</v>
      </c>
      <c r="I162" s="93">
        <v>6117.59</v>
      </c>
      <c r="J162" s="93">
        <v>246991.26</v>
      </c>
      <c r="K162" s="32"/>
      <c r="L162" s="32"/>
      <c r="M162" s="93">
        <v>-657.0</v>
      </c>
      <c r="N162" s="32"/>
      <c r="O162" s="93">
        <v>3307923.0</v>
      </c>
      <c r="P162" s="91">
        <f>IFERROR(__xludf.DUMMYFUNCTION("IFERROR(sum(FILTER($D:$N,$C:$C = $C162,$A:$A &lt; $A162,$B:$B = 12)),0) + sum($D162:$N162)"),3307922.4800000004)</f>
        <v>3307922.48</v>
      </c>
      <c r="Q162" s="92">
        <f t="shared" si="1"/>
        <v>0.5199999996</v>
      </c>
      <c r="R162" s="91">
        <f t="array" ref="R162">IFERROR(INDEX('Fund YTD Target Values'!$1:$1000, MATCH($C162,'Fund YTD Target Values'!$A:$A,0), MATCH($A162,'Fund YTD Target Values'!$1:$1,0)),0)</f>
        <v>2878303.46</v>
      </c>
      <c r="S162" s="91">
        <f>IFERROR(__xludf.DUMMYFUNCTION("IFERROR(sum(FILTER('Fund Investment Data'!$V:$V, 'Fund Investment Data'!$C:$C = $C162, 'Fund Investment Data'!$A:$A &lt; $A162)),0) + IFERROR(sum(FILTER('Fund Investment Data'!$V:$V, 'Fund Investment Data'!$C:$C = $C162, 'Fund Investment Data'!$A:$A = $A162,"&amp;" 'Fund Investment Data'!$B:$B &lt;= $B162)),0)"),2657091.25)</f>
        <v>2657091.25</v>
      </c>
      <c r="T162" s="93">
        <v>2709999.0</v>
      </c>
      <c r="U162" s="32">
        <f t="shared" si="3"/>
        <v>-52907.75</v>
      </c>
      <c r="V162" s="32">
        <f>IFERROR(__xludf.DUMMYFUNCTION("$D162 - IFERROR(FILTER($D:$D,$C:$C = $C162, $A:$A = $A162, $B:$B = $B162 - 1),0)"),451052.52)</f>
        <v>451052.52</v>
      </c>
      <c r="W162" s="93">
        <f>IFERROR(__xludf.DUMMYFUNCTION("$E162 - IFERROR(FILTER($E:$E,$C:$C = $C162, $A:$A = $A162, $B:$B = $B162 - 1),0)"),-85000.0)</f>
        <v>-85000</v>
      </c>
      <c r="X162" s="93"/>
      <c r="Y162" s="93"/>
      <c r="Z162" s="93">
        <v>0.0</v>
      </c>
      <c r="AA162" s="93">
        <v>0.0</v>
      </c>
      <c r="AB162" s="93">
        <v>0.0</v>
      </c>
      <c r="AC162" s="93"/>
      <c r="AD162" s="93">
        <v>0.0</v>
      </c>
      <c r="AE162" s="32">
        <f t="shared" si="2"/>
        <v>-85000</v>
      </c>
      <c r="AF162" s="93">
        <v>0.0</v>
      </c>
    </row>
    <row r="163">
      <c r="A163" s="86">
        <v>2007.0</v>
      </c>
      <c r="B163" s="87">
        <v>12.0</v>
      </c>
      <c r="C163" s="88" t="s">
        <v>46</v>
      </c>
      <c r="D163" s="32"/>
      <c r="E163" s="32"/>
      <c r="F163" s="93"/>
      <c r="G163" s="93">
        <v>-2469.9</v>
      </c>
      <c r="H163" s="93">
        <v>6644.64</v>
      </c>
      <c r="I163" s="32"/>
      <c r="J163" s="93">
        <v>35247.68</v>
      </c>
      <c r="K163" s="32"/>
      <c r="L163" s="32"/>
      <c r="M163" s="93">
        <v>0.0</v>
      </c>
      <c r="N163" s="32"/>
      <c r="O163" s="93">
        <v>438691.0</v>
      </c>
      <c r="P163" s="91">
        <f>IFERROR(__xludf.DUMMYFUNCTION("IFERROR(sum(FILTER($D:$N,$C:$C = $C163,$A:$A &lt; $A163,$B:$B = 12)),0) + sum($D163:$N163)"),438691.72)</f>
        <v>438691.72</v>
      </c>
      <c r="Q163" s="92">
        <f t="shared" si="1"/>
        <v>-0.72</v>
      </c>
      <c r="R163" s="91">
        <f t="array" ref="R163">IFERROR(INDEX('Fund YTD Target Values'!$1:$1000, MATCH($C163,'Fund YTD Target Values'!$A:$A,0), MATCH($A163,'Fund YTD Target Values'!$1:$1,0)),0)</f>
        <v>376851.0204</v>
      </c>
      <c r="S163" s="91">
        <f>IFERROR(__xludf.DUMMYFUNCTION("IFERROR(sum(FILTER('Fund Investment Data'!$V:$V, 'Fund Investment Data'!$C:$C = $C163, 'Fund Investment Data'!$A:$A &lt; $A163)),0) + IFERROR(sum(FILTER('Fund Investment Data'!$V:$V, 'Fund Investment Data'!$C:$C = $C163, 'Fund Investment Data'!$A:$A = $A163,"&amp;" 'Fund Investment Data'!$B:$B &lt;= $B163)),0)"),366400.0)</f>
        <v>366400</v>
      </c>
      <c r="T163" s="93">
        <v>366400.0</v>
      </c>
      <c r="U163" s="32">
        <f t="shared" si="3"/>
        <v>0</v>
      </c>
      <c r="V163" s="32">
        <f>IFERROR(__xludf.DUMMYFUNCTION("$D163 - IFERROR(FILTER($D:$D,$C:$C = $C163, $A:$A = $A163, $B:$B = $B163 - 1),0)"),0.0)</f>
        <v>0</v>
      </c>
      <c r="W163" s="93">
        <f>IFERROR(__xludf.DUMMYFUNCTION("$E163 - IFERROR(FILTER($E:$E,$C:$C = $C163, $A:$A = $A163, $B:$B = $B163 - 1),0)"),0.0)</f>
        <v>0</v>
      </c>
      <c r="X163" s="93"/>
      <c r="Y163" s="93"/>
      <c r="Z163" s="93">
        <v>0.0</v>
      </c>
      <c r="AA163" s="93">
        <v>0.0</v>
      </c>
      <c r="AB163" s="93">
        <v>0.0</v>
      </c>
      <c r="AC163" s="93"/>
      <c r="AD163" s="93">
        <v>0.0</v>
      </c>
      <c r="AE163" s="32">
        <f t="shared" si="2"/>
        <v>0</v>
      </c>
      <c r="AF163" s="93">
        <v>0.0</v>
      </c>
    </row>
    <row r="164">
      <c r="A164" s="86">
        <v>2007.0</v>
      </c>
      <c r="B164" s="87">
        <v>12.0</v>
      </c>
      <c r="C164" s="88" t="s">
        <v>36</v>
      </c>
      <c r="D164" s="93">
        <v>20000.0</v>
      </c>
      <c r="E164" s="93">
        <v>-25000.0</v>
      </c>
      <c r="F164" s="93"/>
      <c r="G164" s="93">
        <v>-2996.3</v>
      </c>
      <c r="H164" s="93">
        <v>7938.48</v>
      </c>
      <c r="I164" s="93">
        <v>1185.68</v>
      </c>
      <c r="J164" s="93">
        <v>39513.06</v>
      </c>
      <c r="K164" s="32"/>
      <c r="L164" s="32"/>
      <c r="M164" s="93">
        <v>-11.0</v>
      </c>
      <c r="N164" s="32"/>
      <c r="O164" s="93">
        <v>523740.0</v>
      </c>
      <c r="P164" s="91">
        <f>IFERROR(__xludf.DUMMYFUNCTION("IFERROR(sum(FILTER($D:$N,$C:$C = $C164,$A:$A &lt; $A164,$B:$B = 12)),0) + sum($D164:$N164)"),523739.9000000001)</f>
        <v>523739.9</v>
      </c>
      <c r="Q164" s="92">
        <f t="shared" si="1"/>
        <v>0.09999999992</v>
      </c>
      <c r="R164" s="91">
        <f t="array" ref="R164">IFERROR(INDEX('Fund YTD Target Values'!$1:$1000, MATCH($C164,'Fund YTD Target Values'!$A:$A,0), MATCH($A164,'Fund YTD Target Values'!$1:$1,0)),0)</f>
        <v>507221.1338</v>
      </c>
      <c r="S164" s="91">
        <f>IFERROR(__xludf.DUMMYFUNCTION("IFERROR(sum(FILTER('Fund Investment Data'!$V:$V, 'Fund Investment Data'!$C:$C = $C164, 'Fund Investment Data'!$A:$A &lt; $A164)),0) + IFERROR(sum(FILTER('Fund Investment Data'!$V:$V, 'Fund Investment Data'!$C:$C = $C164, 'Fund Investment Data'!$A:$A = $A164,"&amp;" 'Fund Investment Data'!$B:$B &lt;= $B164)),0)"),411067.24)</f>
        <v>411067.24</v>
      </c>
      <c r="T164" s="93">
        <v>395959.0</v>
      </c>
      <c r="U164" s="32">
        <f t="shared" si="3"/>
        <v>15108.24</v>
      </c>
      <c r="V164" s="32">
        <f>IFERROR(__xludf.DUMMYFUNCTION("$D164 - IFERROR(FILTER($D:$D,$C:$C = $C164, $A:$A = $A164, $B:$B = $B164 - 1),0)"),20000.0)</f>
        <v>20000</v>
      </c>
      <c r="W164" s="93">
        <f>IFERROR(__xludf.DUMMYFUNCTION("$E164 - IFERROR(FILTER($E:$E,$C:$C = $C164, $A:$A = $A164, $B:$B = $B164 - 1),0)"),-25000.0)</f>
        <v>-25000</v>
      </c>
      <c r="X164" s="93"/>
      <c r="Y164" s="93"/>
      <c r="Z164" s="93">
        <v>0.0</v>
      </c>
      <c r="AA164" s="93">
        <v>0.0</v>
      </c>
      <c r="AB164" s="93">
        <v>0.0</v>
      </c>
      <c r="AC164" s="93"/>
      <c r="AD164" s="93">
        <v>0.0</v>
      </c>
      <c r="AE164" s="32">
        <f t="shared" si="2"/>
        <v>-25000</v>
      </c>
      <c r="AF164" s="93">
        <v>0.0</v>
      </c>
    </row>
    <row r="165">
      <c r="A165" s="86">
        <v>2007.0</v>
      </c>
      <c r="B165" s="87">
        <v>12.0</v>
      </c>
      <c r="C165" s="88" t="s">
        <v>29</v>
      </c>
      <c r="D165" s="32"/>
      <c r="E165" s="93">
        <v>-5000.0</v>
      </c>
      <c r="F165" s="93"/>
      <c r="G165" s="93">
        <v>-441.82</v>
      </c>
      <c r="H165" s="93">
        <v>1174.36</v>
      </c>
      <c r="I165" s="93">
        <v>698.78</v>
      </c>
      <c r="J165" s="93">
        <v>5466.79</v>
      </c>
      <c r="K165" s="32"/>
      <c r="L165" s="32"/>
      <c r="M165" s="93">
        <v>-3.0</v>
      </c>
      <c r="N165" s="32"/>
      <c r="O165" s="93">
        <v>73648.0</v>
      </c>
      <c r="P165" s="91">
        <f>IFERROR(__xludf.DUMMYFUNCTION("IFERROR(sum(FILTER($D:$N,$C:$C = $C165,$A:$A &lt; $A165,$B:$B = 12)),0) + sum($D165:$N165)"),73647.90999999995)</f>
        <v>73647.91</v>
      </c>
      <c r="Q165" s="92">
        <f t="shared" si="1"/>
        <v>0.09000000005</v>
      </c>
      <c r="R165" s="91">
        <f t="array" ref="R165">IFERROR(INDEX('Fund YTD Target Values'!$1:$1000, MATCH($C165,'Fund YTD Target Values'!$A:$A,0), MATCH($A165,'Fund YTD Target Values'!$1:$1,0)),0)</f>
        <v>63604.8688</v>
      </c>
      <c r="S165" s="91">
        <f>IFERROR(__xludf.DUMMYFUNCTION("IFERROR(sum(FILTER('Fund Investment Data'!$V:$V, 'Fund Investment Data'!$C:$C = $C165, 'Fund Investment Data'!$A:$A &lt; $A165)),0) + IFERROR(sum(FILTER('Fund Investment Data'!$V:$V, 'Fund Investment Data'!$C:$C = $C165, 'Fund Investment Data'!$A:$A = $A165,"&amp;" 'Fund Investment Data'!$B:$B &lt;= $B165)),0)"),50000.0)</f>
        <v>50000</v>
      </c>
      <c r="T165" s="93">
        <v>50000.0</v>
      </c>
      <c r="U165" s="32">
        <f t="shared" si="3"/>
        <v>0</v>
      </c>
      <c r="V165" s="32">
        <f>IFERROR(__xludf.DUMMYFUNCTION("$D165 - IFERROR(FILTER($D:$D,$C:$C = $C165, $A:$A = $A165, $B:$B = $B165 - 1),0)"),0.0)</f>
        <v>0</v>
      </c>
      <c r="W165" s="93">
        <f>IFERROR(__xludf.DUMMYFUNCTION("$E165 - IFERROR(FILTER($E:$E,$C:$C = $C165, $A:$A = $A165, $B:$B = $B165 - 1),0)"),-5000.0)</f>
        <v>-5000</v>
      </c>
      <c r="X165" s="93"/>
      <c r="Y165" s="93"/>
      <c r="Z165" s="93">
        <v>0.0</v>
      </c>
      <c r="AA165" s="93">
        <v>0.0</v>
      </c>
      <c r="AB165" s="93">
        <v>0.0</v>
      </c>
      <c r="AC165" s="93"/>
      <c r="AD165" s="93">
        <v>0.0</v>
      </c>
      <c r="AE165" s="32">
        <f t="shared" si="2"/>
        <v>-5000</v>
      </c>
      <c r="AF165" s="93">
        <v>0.0</v>
      </c>
    </row>
    <row r="166">
      <c r="A166" s="86">
        <v>2007.0</v>
      </c>
      <c r="B166" s="87">
        <v>12.0</v>
      </c>
      <c r="C166" s="88" t="s">
        <v>38</v>
      </c>
      <c r="D166" s="93">
        <v>45843.42</v>
      </c>
      <c r="E166" s="93">
        <v>-7000.0</v>
      </c>
      <c r="F166" s="93"/>
      <c r="G166" s="93">
        <v>-3409.58</v>
      </c>
      <c r="H166" s="93">
        <v>9253.83</v>
      </c>
      <c r="I166" s="32"/>
      <c r="J166" s="93">
        <v>45738.63</v>
      </c>
      <c r="K166" s="32"/>
      <c r="L166" s="32"/>
      <c r="M166" s="93">
        <v>-85.0</v>
      </c>
      <c r="N166" s="32"/>
      <c r="O166" s="93">
        <v>614234.0</v>
      </c>
      <c r="P166" s="91">
        <f>IFERROR(__xludf.DUMMYFUNCTION("IFERROR(sum(FILTER($D:$N,$C:$C = $C166,$A:$A &lt; $A166,$B:$B = 12)),0) + sum($D166:$N166)"),614234.64)</f>
        <v>614234.64</v>
      </c>
      <c r="Q166" s="92">
        <f t="shared" si="1"/>
        <v>-0.64</v>
      </c>
      <c r="R166" s="91">
        <f t="array" ref="R166">IFERROR(INDEX('Fund YTD Target Values'!$1:$1000, MATCH($C166,'Fund YTD Target Values'!$A:$A,0), MATCH($A166,'Fund YTD Target Values'!$1:$1,0)),0)</f>
        <v>550090.9849</v>
      </c>
      <c r="S166" s="91">
        <f>IFERROR(__xludf.DUMMYFUNCTION("IFERROR(sum(FILTER('Fund Investment Data'!$V:$V, 'Fund Investment Data'!$C:$C = $C166, 'Fund Investment Data'!$A:$A &lt; $A166)),0) + IFERROR(sum(FILTER('Fund Investment Data'!$V:$V, 'Fund Investment Data'!$C:$C = $C166, 'Fund Investment Data'!$A:$A = $A166,"&amp;" 'Fund Investment Data'!$B:$B &lt;= $B166)),0)"),525191.64)</f>
        <v>525191.64</v>
      </c>
      <c r="T166" s="93">
        <v>532246.0</v>
      </c>
      <c r="U166" s="32">
        <f t="shared" si="3"/>
        <v>-7054.36</v>
      </c>
      <c r="V166" s="32">
        <f>IFERROR(__xludf.DUMMYFUNCTION("$D166 - IFERROR(FILTER($D:$D,$C:$C = $C166, $A:$A = $A166, $B:$B = $B166 - 1),0)"),45843.42)</f>
        <v>45843.42</v>
      </c>
      <c r="W166" s="93">
        <f>IFERROR(__xludf.DUMMYFUNCTION("$E166 - IFERROR(FILTER($E:$E,$C:$C = $C166, $A:$A = $A166, $B:$B = $B166 - 1),0)"),-7000.0)</f>
        <v>-7000</v>
      </c>
      <c r="X166" s="93"/>
      <c r="Y166" s="93"/>
      <c r="Z166" s="93">
        <v>0.0</v>
      </c>
      <c r="AA166" s="93">
        <v>0.0</v>
      </c>
      <c r="AB166" s="93">
        <v>0.0</v>
      </c>
      <c r="AC166" s="93"/>
      <c r="AD166" s="93">
        <v>0.0</v>
      </c>
      <c r="AE166" s="32">
        <f t="shared" si="2"/>
        <v>-7000</v>
      </c>
      <c r="AF166" s="93">
        <v>0.0</v>
      </c>
    </row>
    <row r="167">
      <c r="A167" s="86">
        <v>2007.0</v>
      </c>
      <c r="B167" s="87">
        <v>12.0</v>
      </c>
      <c r="C167" s="88" t="s">
        <v>30</v>
      </c>
      <c r="D167" s="32"/>
      <c r="E167" s="32"/>
      <c r="F167" s="93"/>
      <c r="G167" s="93">
        <v>-130.86</v>
      </c>
      <c r="H167" s="93">
        <v>350.24</v>
      </c>
      <c r="I167" s="32"/>
      <c r="J167" s="93">
        <v>1775.45</v>
      </c>
      <c r="K167" s="32"/>
      <c r="L167" s="32"/>
      <c r="M167" s="93">
        <v>-2.0</v>
      </c>
      <c r="N167" s="32"/>
      <c r="O167" s="93">
        <v>22423.0</v>
      </c>
      <c r="P167" s="91">
        <f>IFERROR(__xludf.DUMMYFUNCTION("IFERROR(sum(FILTER($D:$N,$C:$C = $C167,$A:$A &lt; $A167,$B:$B = 12)),0) + sum($D167:$N167)"),22421.04999999999)</f>
        <v>22421.05</v>
      </c>
      <c r="Q167" s="92">
        <f t="shared" si="1"/>
        <v>1.95</v>
      </c>
      <c r="R167" s="91">
        <f t="array" ref="R167">IFERROR(INDEX('Fund YTD Target Values'!$1:$1000, MATCH($C167,'Fund YTD Target Values'!$A:$A,0), MATCH($A167,'Fund YTD Target Values'!$1:$1,0)),0)</f>
        <v>15257.85948</v>
      </c>
      <c r="S167" s="91">
        <f>IFERROR(__xludf.DUMMYFUNCTION("IFERROR(sum(FILTER('Fund Investment Data'!$V:$V, 'Fund Investment Data'!$C:$C = $C167, 'Fund Investment Data'!$A:$A &lt; $A167)),0) + IFERROR(sum(FILTER('Fund Investment Data'!$V:$V, 'Fund Investment Data'!$C:$C = $C167, 'Fund Investment Data'!$A:$A = $A167,"&amp;" 'Fund Investment Data'!$B:$B &lt;= $B167)),0)"),11540.75)</f>
        <v>11540.75</v>
      </c>
      <c r="T167" s="93">
        <v>10000.0</v>
      </c>
      <c r="U167" s="32">
        <f t="shared" si="3"/>
        <v>1540.75</v>
      </c>
      <c r="V167" s="32">
        <f>IFERROR(__xludf.DUMMYFUNCTION("$D167 - IFERROR(FILTER($D:$D,$C:$C = $C167, $A:$A = $A167, $B:$B = $B167 - 1),0)"),0.0)</f>
        <v>0</v>
      </c>
      <c r="W167" s="93">
        <f>IFERROR(__xludf.DUMMYFUNCTION("$E167 - IFERROR(FILTER($E:$E,$C:$C = $C167, $A:$A = $A167, $B:$B = $B167 - 1),0)"),0.0)</f>
        <v>0</v>
      </c>
      <c r="X167" s="93"/>
      <c r="Y167" s="93"/>
      <c r="Z167" s="93">
        <v>0.0</v>
      </c>
      <c r="AA167" s="93">
        <v>0.0</v>
      </c>
      <c r="AB167" s="93">
        <v>0.0</v>
      </c>
      <c r="AC167" s="93"/>
      <c r="AD167" s="93">
        <v>0.0</v>
      </c>
      <c r="AE167" s="32">
        <f t="shared" si="2"/>
        <v>0</v>
      </c>
      <c r="AF167" s="93">
        <v>0.0</v>
      </c>
    </row>
    <row r="168">
      <c r="A168" s="86">
        <v>2007.0</v>
      </c>
      <c r="B168" s="87">
        <v>12.0</v>
      </c>
      <c r="C168" s="88" t="s">
        <v>47</v>
      </c>
      <c r="D168" s="93">
        <v>78500.0</v>
      </c>
      <c r="E168" s="93">
        <v>-120000.0</v>
      </c>
      <c r="F168" s="93"/>
      <c r="G168" s="93">
        <v>-9251.26</v>
      </c>
      <c r="H168" s="93">
        <v>24467.48</v>
      </c>
      <c r="I168" s="93">
        <v>11527.81</v>
      </c>
      <c r="J168" s="93">
        <v>117754.93</v>
      </c>
      <c r="K168" s="32"/>
      <c r="L168" s="32"/>
      <c r="M168" s="93">
        <v>-99.0</v>
      </c>
      <c r="N168" s="32"/>
      <c r="O168" s="93">
        <v>1585736.0</v>
      </c>
      <c r="P168" s="91">
        <f>IFERROR(__xludf.DUMMYFUNCTION("IFERROR(sum(FILTER($D:$N,$C:$C = $C168,$A:$A &lt; $A168,$B:$B = 12)),0) + sum($D168:$N168)"),1585735.7)</f>
        <v>1585735.7</v>
      </c>
      <c r="Q168" s="92">
        <f t="shared" si="1"/>
        <v>0.3</v>
      </c>
      <c r="R168" s="91">
        <f t="array" ref="R168">IFERROR(INDEX('Fund YTD Target Values'!$1:$1000, MATCH($C168,'Fund YTD Target Values'!$A:$A,0), MATCH($A168,'Fund YTD Target Values'!$1:$1,0)),0)</f>
        <v>1641370.191</v>
      </c>
      <c r="S168" s="91">
        <f>IFERROR(__xludf.DUMMYFUNCTION("IFERROR(sum(FILTER('Fund Investment Data'!$V:$V, 'Fund Investment Data'!$C:$C = $C168, 'Fund Investment Data'!$A:$A &lt; $A168)),0) + IFERROR(sum(FILTER('Fund Investment Data'!$V:$V, 'Fund Investment Data'!$C:$C = $C168, 'Fund Investment Data'!$A:$A = $A168,"&amp;" 'Fund Investment Data'!$B:$B &lt;= $B168)),0)"),1446367.46)</f>
        <v>1446367.46</v>
      </c>
      <c r="T168" s="93">
        <v>1348955.0</v>
      </c>
      <c r="U168" s="32">
        <f t="shared" si="3"/>
        <v>97412.46</v>
      </c>
      <c r="V168" s="32">
        <f>IFERROR(__xludf.DUMMYFUNCTION("$D168 - IFERROR(FILTER($D:$D,$C:$C = $C168, $A:$A = $A168, $B:$B = $B168 - 1),0)"),78500.0)</f>
        <v>78500</v>
      </c>
      <c r="W168" s="93">
        <f>IFERROR(__xludf.DUMMYFUNCTION("$E168 - IFERROR(FILTER($E:$E,$C:$C = $C168, $A:$A = $A168, $B:$B = $B168 - 1),0)"),-120000.0)</f>
        <v>-120000</v>
      </c>
      <c r="X168" s="93"/>
      <c r="Y168" s="93"/>
      <c r="Z168" s="93">
        <v>0.0</v>
      </c>
      <c r="AA168" s="93">
        <v>0.0</v>
      </c>
      <c r="AB168" s="93">
        <v>0.0</v>
      </c>
      <c r="AC168" s="93"/>
      <c r="AD168" s="93">
        <v>0.0</v>
      </c>
      <c r="AE168" s="32">
        <f t="shared" si="2"/>
        <v>-120000</v>
      </c>
      <c r="AF168" s="93">
        <v>0.0</v>
      </c>
    </row>
    <row r="169">
      <c r="A169" s="86">
        <v>2007.0</v>
      </c>
      <c r="B169" s="87">
        <v>12.0</v>
      </c>
      <c r="C169" s="88" t="s">
        <v>31</v>
      </c>
      <c r="D169" s="93">
        <v>500.0</v>
      </c>
      <c r="E169" s="93">
        <v>-20000.0</v>
      </c>
      <c r="F169" s="93"/>
      <c r="G169" s="93">
        <v>-1204.78</v>
      </c>
      <c r="H169" s="93">
        <v>3201.61</v>
      </c>
      <c r="I169" s="93">
        <v>2821.71</v>
      </c>
      <c r="J169" s="93">
        <v>14211.32</v>
      </c>
      <c r="K169" s="32"/>
      <c r="L169" s="32"/>
      <c r="M169" s="93">
        <v>-8.0</v>
      </c>
      <c r="N169" s="32"/>
      <c r="O169" s="93">
        <v>198726.0</v>
      </c>
      <c r="P169" s="91">
        <f>IFERROR(__xludf.DUMMYFUNCTION("IFERROR(sum(FILTER($D:$N,$C:$C = $C169,$A:$A &lt; $A169,$B:$B = 12)),0) + sum($D169:$N169)"),198726.54000000004)</f>
        <v>198726.54</v>
      </c>
      <c r="Q169" s="92">
        <f t="shared" si="1"/>
        <v>-0.54</v>
      </c>
      <c r="R169" s="91">
        <f t="array" ref="R169">IFERROR(INDEX('Fund YTD Target Values'!$1:$1000, MATCH($C169,'Fund YTD Target Values'!$A:$A,0), MATCH($A169,'Fund YTD Target Values'!$1:$1,0)),0)</f>
        <v>164808.2766</v>
      </c>
      <c r="S169" s="91">
        <f>IFERROR(__xludf.DUMMYFUNCTION("IFERROR(sum(FILTER('Fund Investment Data'!$V:$V, 'Fund Investment Data'!$C:$C = $C169, 'Fund Investment Data'!$A:$A &lt; $A169)),0) + IFERROR(sum(FILTER('Fund Investment Data'!$V:$V, 'Fund Investment Data'!$C:$C = $C169, 'Fund Investment Data'!$A:$A = $A169,"&amp;" 'Fund Investment Data'!$B:$B &lt;= $B169)),0)"),148100.0)</f>
        <v>148100</v>
      </c>
      <c r="T169" s="93">
        <v>148100.0</v>
      </c>
      <c r="U169" s="32">
        <f t="shared" si="3"/>
        <v>0</v>
      </c>
      <c r="V169" s="32">
        <f>IFERROR(__xludf.DUMMYFUNCTION("$D169 - IFERROR(FILTER($D:$D,$C:$C = $C169, $A:$A = $A169, $B:$B = $B169 - 1),0)"),500.0)</f>
        <v>500</v>
      </c>
      <c r="W169" s="93">
        <f>IFERROR(__xludf.DUMMYFUNCTION("$E169 - IFERROR(FILTER($E:$E,$C:$C = $C169, $A:$A = $A169, $B:$B = $B169 - 1),0)"),-20000.0)</f>
        <v>-20000</v>
      </c>
      <c r="X169" s="93"/>
      <c r="Y169" s="93"/>
      <c r="Z169" s="93">
        <v>0.0</v>
      </c>
      <c r="AA169" s="93">
        <v>0.0</v>
      </c>
      <c r="AB169" s="93">
        <v>0.0</v>
      </c>
      <c r="AC169" s="93"/>
      <c r="AD169" s="93">
        <v>0.0</v>
      </c>
      <c r="AE169" s="32">
        <f t="shared" si="2"/>
        <v>-20000</v>
      </c>
      <c r="AF169" s="93">
        <v>0.0</v>
      </c>
    </row>
    <row r="170">
      <c r="A170" s="86">
        <v>2007.0</v>
      </c>
      <c r="B170" s="87">
        <v>12.0</v>
      </c>
      <c r="C170" s="88" t="s">
        <v>50</v>
      </c>
      <c r="D170" s="93">
        <v>20000.0</v>
      </c>
      <c r="E170" s="32"/>
      <c r="F170" s="93"/>
      <c r="G170" s="93">
        <v>-599.39</v>
      </c>
      <c r="H170" s="93">
        <v>2167.73</v>
      </c>
      <c r="I170" s="32"/>
      <c r="J170" s="93">
        <v>6588.64</v>
      </c>
      <c r="K170" s="32"/>
      <c r="L170" s="32"/>
      <c r="M170" s="93">
        <v>-42.0</v>
      </c>
      <c r="N170" s="32"/>
      <c r="O170" s="93">
        <v>112688.0</v>
      </c>
      <c r="P170" s="91">
        <f>IFERROR(__xludf.DUMMYFUNCTION("IFERROR(sum(FILTER($D:$N,$C:$C = $C170,$A:$A &lt; $A170,$B:$B = 12)),0) + sum($D170:$N170)"),112687.46)</f>
        <v>112687.46</v>
      </c>
      <c r="Q170" s="92">
        <f t="shared" si="1"/>
        <v>0.54</v>
      </c>
      <c r="R170" s="91">
        <f t="array" ref="R170">IFERROR(INDEX('Fund YTD Target Values'!$1:$1000, MATCH($C170,'Fund YTD Target Values'!$A:$A,0), MATCH($A170,'Fund YTD Target Values'!$1:$1,0)),0)</f>
        <v>99390.59942</v>
      </c>
      <c r="S170" s="91">
        <f>IFERROR(__xludf.DUMMYFUNCTION("IFERROR(sum(FILTER('Fund Investment Data'!$V:$V, 'Fund Investment Data'!$C:$C = $C170, 'Fund Investment Data'!$A:$A &lt; $A170)),0) + IFERROR(sum(FILTER('Fund Investment Data'!$V:$V, 'Fund Investment Data'!$C:$C = $C170, 'Fund Investment Data'!$A:$A = $A170,"&amp;" 'Fund Investment Data'!$B:$B &lt;= $B170)),0)"),95189.56)</f>
        <v>95189.56</v>
      </c>
      <c r="T170" s="93">
        <v>95241.0</v>
      </c>
      <c r="U170" s="32">
        <f t="shared" si="3"/>
        <v>-51.44</v>
      </c>
      <c r="V170" s="32">
        <f>IFERROR(__xludf.DUMMYFUNCTION("$D170 - IFERROR(FILTER($D:$D,$C:$C = $C170, $A:$A = $A170, $B:$B = $B170 - 1),0)"),20000.0)</f>
        <v>20000</v>
      </c>
      <c r="W170" s="93">
        <f>IFERROR(__xludf.DUMMYFUNCTION("$E170 - IFERROR(FILTER($E:$E,$C:$C = $C170, $A:$A = $A170, $B:$B = $B170 - 1),0)"),0.0)</f>
        <v>0</v>
      </c>
      <c r="X170" s="93"/>
      <c r="Y170" s="93"/>
      <c r="Z170" s="93">
        <v>0.0</v>
      </c>
      <c r="AA170" s="93">
        <v>0.0</v>
      </c>
      <c r="AB170" s="93">
        <v>0.0</v>
      </c>
      <c r="AC170" s="93"/>
      <c r="AD170" s="93">
        <v>0.0</v>
      </c>
      <c r="AE170" s="32">
        <f t="shared" si="2"/>
        <v>0</v>
      </c>
      <c r="AF170" s="93">
        <v>0.0</v>
      </c>
    </row>
    <row r="171">
      <c r="A171" s="86">
        <v>2007.0</v>
      </c>
      <c r="B171" s="87">
        <v>12.0</v>
      </c>
      <c r="C171" s="88" t="s">
        <v>32</v>
      </c>
      <c r="D171" s="32"/>
      <c r="E171" s="93">
        <v>-4685.0</v>
      </c>
      <c r="F171" s="93"/>
      <c r="G171" s="93">
        <v>-457.33</v>
      </c>
      <c r="H171" s="93">
        <v>1185.31</v>
      </c>
      <c r="I171" s="93">
        <v>844.94</v>
      </c>
      <c r="J171" s="93">
        <v>5641.67</v>
      </c>
      <c r="K171" s="32"/>
      <c r="L171" s="32"/>
      <c r="M171" s="93">
        <v>-1.0</v>
      </c>
      <c r="N171" s="32"/>
      <c r="O171" s="93">
        <v>74232.0</v>
      </c>
      <c r="P171" s="91">
        <f>IFERROR(__xludf.DUMMYFUNCTION("IFERROR(sum(FILTER($D:$N,$C:$C = $C171,$A:$A &lt; $A171,$B:$B = 12)),0) + sum($D171:$N171)"),74231.2)</f>
        <v>74231.2</v>
      </c>
      <c r="Q171" s="92">
        <f t="shared" si="1"/>
        <v>0.8</v>
      </c>
      <c r="R171" s="91">
        <f t="array" ref="R171">IFERROR(INDEX('Fund YTD Target Values'!$1:$1000, MATCH($C171,'Fund YTD Target Values'!$A:$A,0), MATCH($A171,'Fund YTD Target Values'!$1:$1,0)),0)</f>
        <v>65357.41643</v>
      </c>
      <c r="S171" s="91">
        <f>IFERROR(__xludf.DUMMYFUNCTION("IFERROR(sum(FILTER('Fund Investment Data'!$V:$V, 'Fund Investment Data'!$C:$C = $C171, 'Fund Investment Data'!$A:$A &lt; $A171)),0) + IFERROR(sum(FILTER('Fund Investment Data'!$V:$V, 'Fund Investment Data'!$C:$C = $C171, 'Fund Investment Data'!$A:$A = $A171,"&amp;" 'Fund Investment Data'!$B:$B &lt;= $B171)),0)"),49449.04)</f>
        <v>49449.04</v>
      </c>
      <c r="T171" s="93">
        <v>39268.0</v>
      </c>
      <c r="U171" s="32">
        <f t="shared" si="3"/>
        <v>10181.04</v>
      </c>
      <c r="V171" s="32">
        <f>IFERROR(__xludf.DUMMYFUNCTION("$D171 - IFERROR(FILTER($D:$D,$C:$C = $C171, $A:$A = $A171, $B:$B = $B171 - 1),0)"),0.0)</f>
        <v>0</v>
      </c>
      <c r="W171" s="93">
        <f>IFERROR(__xludf.DUMMYFUNCTION("$E171 - IFERROR(FILTER($E:$E,$C:$C = $C171, $A:$A = $A171, $B:$B = $B171 - 1),0)"),-4685.0)</f>
        <v>-4685</v>
      </c>
      <c r="X171" s="93"/>
      <c r="Y171" s="93"/>
      <c r="Z171" s="93">
        <v>0.0</v>
      </c>
      <c r="AA171" s="93">
        <v>0.0</v>
      </c>
      <c r="AB171" s="93">
        <v>0.0</v>
      </c>
      <c r="AC171" s="93"/>
      <c r="AD171" s="93">
        <v>0.0</v>
      </c>
      <c r="AE171" s="32">
        <f t="shared" si="2"/>
        <v>-4685</v>
      </c>
      <c r="AF171" s="93">
        <v>0.0</v>
      </c>
    </row>
    <row r="172">
      <c r="A172" s="86">
        <v>2007.0</v>
      </c>
      <c r="B172" s="87">
        <v>12.0</v>
      </c>
      <c r="C172" s="88" t="s">
        <v>40</v>
      </c>
      <c r="D172" s="93">
        <v>2850.0</v>
      </c>
      <c r="E172" s="32"/>
      <c r="F172" s="93"/>
      <c r="G172" s="93">
        <v>-788.92</v>
      </c>
      <c r="H172" s="93">
        <v>2305.8</v>
      </c>
      <c r="I172" s="32"/>
      <c r="J172" s="93">
        <v>10945.18</v>
      </c>
      <c r="K172" s="32"/>
      <c r="L172" s="32"/>
      <c r="M172" s="93">
        <v>-73.0</v>
      </c>
      <c r="N172" s="32"/>
      <c r="O172" s="93">
        <v>141717.0</v>
      </c>
      <c r="P172" s="91">
        <f>IFERROR(__xludf.DUMMYFUNCTION("IFERROR(sum(FILTER($D:$N,$C:$C = $C172,$A:$A &lt; $A172,$B:$B = 12)),0) + sum($D172:$N172)"),141716.82)</f>
        <v>141716.82</v>
      </c>
      <c r="Q172" s="92">
        <f t="shared" si="1"/>
        <v>0.18</v>
      </c>
      <c r="R172" s="91">
        <f t="array" ref="R172">IFERROR(INDEX('Fund YTD Target Values'!$1:$1000, MATCH($C172,'Fund YTD Target Values'!$A:$A,0), MATCH($A172,'Fund YTD Target Values'!$1:$1,0)),0)</f>
        <v>131820.4117</v>
      </c>
      <c r="S172" s="91">
        <f>IFERROR(__xludf.DUMMYFUNCTION("IFERROR(sum(FILTER('Fund Investment Data'!$V:$V, 'Fund Investment Data'!$C:$C = $C172, 'Fund Investment Data'!$A:$A &lt; $A172)),0) + IFERROR(sum(FILTER('Fund Investment Data'!$V:$V, 'Fund Investment Data'!$C:$C = $C172, 'Fund Investment Data'!$A:$A = $A172,"&amp;" 'Fund Investment Data'!$B:$B &lt;= $B172)),0)"),128243.74)</f>
        <v>128243.74</v>
      </c>
      <c r="T172" s="93">
        <v>128263.0</v>
      </c>
      <c r="U172" s="32">
        <f t="shared" si="3"/>
        <v>-19.26</v>
      </c>
      <c r="V172" s="32">
        <f>IFERROR(__xludf.DUMMYFUNCTION("$D172 - IFERROR(FILTER($D:$D,$C:$C = $C172, $A:$A = $A172, $B:$B = $B172 - 1),0)"),2850.0)</f>
        <v>2850</v>
      </c>
      <c r="W172" s="93">
        <f>IFERROR(__xludf.DUMMYFUNCTION("$E172 - IFERROR(FILTER($E:$E,$C:$C = $C172, $A:$A = $A172, $B:$B = $B172 - 1),0)"),0.0)</f>
        <v>0</v>
      </c>
      <c r="X172" s="93"/>
      <c r="Y172" s="93"/>
      <c r="Z172" s="93">
        <v>0.0</v>
      </c>
      <c r="AA172" s="93">
        <v>0.0</v>
      </c>
      <c r="AB172" s="93">
        <v>0.0</v>
      </c>
      <c r="AC172" s="93"/>
      <c r="AD172" s="93">
        <v>0.0</v>
      </c>
      <c r="AE172" s="32">
        <f t="shared" si="2"/>
        <v>0</v>
      </c>
      <c r="AF172" s="93">
        <v>0.0</v>
      </c>
    </row>
    <row r="173">
      <c r="A173" s="86">
        <v>2007.0</v>
      </c>
      <c r="B173" s="87">
        <v>12.0</v>
      </c>
      <c r="C173" s="88" t="s">
        <v>48</v>
      </c>
      <c r="D173" s="32"/>
      <c r="E173" s="93">
        <v>-150000.0</v>
      </c>
      <c r="F173" s="93"/>
      <c r="G173" s="93">
        <v>-8702.54</v>
      </c>
      <c r="H173" s="93">
        <v>22541.42</v>
      </c>
      <c r="I173" s="93">
        <v>21898.43</v>
      </c>
      <c r="J173" s="93">
        <v>103465.01</v>
      </c>
      <c r="K173" s="32"/>
      <c r="L173" s="32"/>
      <c r="M173" s="93">
        <v>-6.0</v>
      </c>
      <c r="N173" s="32"/>
      <c r="O173" s="93">
        <v>1411479.0</v>
      </c>
      <c r="P173" s="91">
        <f>IFERROR(__xludf.DUMMYFUNCTION("IFERROR(sum(FILTER($D:$N,$C:$C = $C173,$A:$A &lt; $A173,$B:$B = 12)),0) + sum($D173:$N173)"),1411478.4200000002)</f>
        <v>1411478.42</v>
      </c>
      <c r="Q173" s="92">
        <f t="shared" si="1"/>
        <v>0.5799999998</v>
      </c>
      <c r="R173" s="91">
        <f t="array" ref="R173">IFERROR(INDEX('Fund YTD Target Values'!$1:$1000, MATCH($C173,'Fund YTD Target Values'!$A:$A,0), MATCH($A173,'Fund YTD Target Values'!$1:$1,0)),0)</f>
        <v>1565256.008</v>
      </c>
      <c r="S173" s="91">
        <f>IFERROR(__xludf.DUMMYFUNCTION("IFERROR(sum(FILTER('Fund Investment Data'!$V:$V, 'Fund Investment Data'!$C:$C = $C173, 'Fund Investment Data'!$A:$A &lt; $A173)),0) + IFERROR(sum(FILTER('Fund Investment Data'!$V:$V, 'Fund Investment Data'!$C:$C = $C173, 'Fund Investment Data'!$A:$A = $A173,"&amp;" 'Fund Investment Data'!$B:$B &lt;= $B173)),0)"),1183929.39)</f>
        <v>1183929.39</v>
      </c>
      <c r="T173" s="93">
        <v>1140040.0</v>
      </c>
      <c r="U173" s="32">
        <f t="shared" si="3"/>
        <v>43889.39</v>
      </c>
      <c r="V173" s="32">
        <f>IFERROR(__xludf.DUMMYFUNCTION("$D173 - IFERROR(FILTER($D:$D,$C:$C = $C173, $A:$A = $A173, $B:$B = $B173 - 1),0)"),0.0)</f>
        <v>0</v>
      </c>
      <c r="W173" s="93">
        <f>IFERROR(__xludf.DUMMYFUNCTION("$E173 - IFERROR(FILTER($E:$E,$C:$C = $C173, $A:$A = $A173, $B:$B = $B173 - 1),0)"),-150000.0)</f>
        <v>-150000</v>
      </c>
      <c r="X173" s="93"/>
      <c r="Y173" s="93"/>
      <c r="Z173" s="93">
        <v>0.0</v>
      </c>
      <c r="AA173" s="93">
        <v>0.0</v>
      </c>
      <c r="AB173" s="93">
        <v>0.0</v>
      </c>
      <c r="AC173" s="93"/>
      <c r="AD173" s="93">
        <v>0.0</v>
      </c>
      <c r="AE173" s="32">
        <f t="shared" si="2"/>
        <v>-150000</v>
      </c>
      <c r="AF173" s="93">
        <v>0.0</v>
      </c>
    </row>
    <row r="174">
      <c r="A174" s="86">
        <v>2007.0</v>
      </c>
      <c r="B174" s="87">
        <v>12.0</v>
      </c>
      <c r="C174" s="88" t="s">
        <v>49</v>
      </c>
      <c r="D174" s="32"/>
      <c r="E174" s="93">
        <v>-65000.0</v>
      </c>
      <c r="F174" s="93"/>
      <c r="G174" s="93">
        <v>-3710.87</v>
      </c>
      <c r="H174" s="93">
        <v>9662.04</v>
      </c>
      <c r="I174" s="93">
        <v>7160.14</v>
      </c>
      <c r="J174" s="93">
        <v>43222.48</v>
      </c>
      <c r="K174" s="32"/>
      <c r="L174" s="32"/>
      <c r="M174" s="93">
        <v>-14.0</v>
      </c>
      <c r="N174" s="32"/>
      <c r="O174" s="93">
        <v>598997.0</v>
      </c>
      <c r="P174" s="91">
        <f>IFERROR(__xludf.DUMMYFUNCTION("IFERROR(sum(FILTER($D:$N,$C:$C = $C174,$A:$A &lt; $A174,$B:$B = 12)),0) + sum($D174:$N174)"),598996.8899999998)</f>
        <v>598996.89</v>
      </c>
      <c r="Q174" s="92">
        <f t="shared" si="1"/>
        <v>0.1100000002</v>
      </c>
      <c r="R174" s="91">
        <f t="array" ref="R174">IFERROR(INDEX('Fund YTD Target Values'!$1:$1000, MATCH($C174,'Fund YTD Target Values'!$A:$A,0), MATCH($A174,'Fund YTD Target Values'!$1:$1,0)),0)</f>
        <v>578948.1081</v>
      </c>
      <c r="S174" s="91">
        <f>IFERROR(__xludf.DUMMYFUNCTION("IFERROR(sum(FILTER('Fund Investment Data'!$V:$V, 'Fund Investment Data'!$C:$C = $C174, 'Fund Investment Data'!$A:$A &lt; $A174)),0) + IFERROR(sum(FILTER('Fund Investment Data'!$V:$V, 'Fund Investment Data'!$C:$C = $C174, 'Fund Investment Data'!$A:$A = $A174,"&amp;" 'Fund Investment Data'!$B:$B &lt;= $B174)),0)"),500000.0)</f>
        <v>500000</v>
      </c>
      <c r="T174" s="93">
        <v>500000.0</v>
      </c>
      <c r="U174" s="32">
        <f t="shared" si="3"/>
        <v>0</v>
      </c>
      <c r="V174" s="32">
        <f>IFERROR(__xludf.DUMMYFUNCTION("$D174 - IFERROR(FILTER($D:$D,$C:$C = $C174, $A:$A = $A174, $B:$B = $B174 - 1),0)"),0.0)</f>
        <v>0</v>
      </c>
      <c r="W174" s="93">
        <f>IFERROR(__xludf.DUMMYFUNCTION("$E174 - IFERROR(FILTER($E:$E,$C:$C = $C174, $A:$A = $A174, $B:$B = $B174 - 1),0)"),-65000.0)</f>
        <v>-65000</v>
      </c>
      <c r="X174" s="93"/>
      <c r="Y174" s="93"/>
      <c r="Z174" s="93">
        <v>0.0</v>
      </c>
      <c r="AA174" s="93">
        <v>0.0</v>
      </c>
      <c r="AB174" s="93">
        <v>0.0</v>
      </c>
      <c r="AC174" s="93"/>
      <c r="AD174" s="93">
        <v>0.0</v>
      </c>
      <c r="AE174" s="32">
        <f t="shared" si="2"/>
        <v>-65000</v>
      </c>
      <c r="AF174" s="93">
        <v>0.0</v>
      </c>
    </row>
    <row r="175">
      <c r="A175" s="86">
        <v>2007.0</v>
      </c>
      <c r="B175" s="87">
        <v>12.0</v>
      </c>
      <c r="C175" s="88" t="s">
        <v>41</v>
      </c>
      <c r="D175" s="93">
        <v>10000.0</v>
      </c>
      <c r="E175" s="93">
        <v>-16500.0</v>
      </c>
      <c r="F175" s="93"/>
      <c r="G175" s="93">
        <v>-3139.06</v>
      </c>
      <c r="H175" s="93">
        <v>8526.47</v>
      </c>
      <c r="I175" s="32"/>
      <c r="J175" s="93">
        <v>42119.0</v>
      </c>
      <c r="K175" s="32"/>
      <c r="L175" s="32"/>
      <c r="M175" s="93">
        <v>-49.0</v>
      </c>
      <c r="N175" s="32"/>
      <c r="O175" s="93">
        <v>539462.0</v>
      </c>
      <c r="P175" s="91">
        <f>IFERROR(__xludf.DUMMYFUNCTION("IFERROR(sum(FILTER($D:$N,$C:$C = $C175,$A:$A &lt; $A175,$B:$B = 12)),0) + sum($D175:$N175)"),539463.0)</f>
        <v>539463</v>
      </c>
      <c r="Q175" s="92">
        <f t="shared" si="1"/>
        <v>-1</v>
      </c>
      <c r="R175" s="91">
        <f t="array" ref="R175">IFERROR(INDEX('Fund YTD Target Values'!$1:$1000, MATCH($C175,'Fund YTD Target Values'!$A:$A,0), MATCH($A175,'Fund YTD Target Values'!$1:$1,0)),0)</f>
        <v>485331.1508</v>
      </c>
      <c r="S175" s="91">
        <f>IFERROR(__xludf.DUMMYFUNCTION("IFERROR(sum(FILTER('Fund Investment Data'!$V:$V, 'Fund Investment Data'!$C:$C = $C175, 'Fund Investment Data'!$A:$A &lt; $A175)),0) + IFERROR(sum(FILTER('Fund Investment Data'!$V:$V, 'Fund Investment Data'!$C:$C = $C175, 'Fund Investment Data'!$A:$A = $A175,"&amp;" 'Fund Investment Data'!$B:$B &lt;= $B175)),0)"),433755.86)</f>
        <v>433755.86</v>
      </c>
      <c r="T175" s="93">
        <v>434291.0</v>
      </c>
      <c r="U175" s="32">
        <f t="shared" si="3"/>
        <v>-535.14</v>
      </c>
      <c r="V175" s="32">
        <f>IFERROR(__xludf.DUMMYFUNCTION("$D175 - IFERROR(FILTER($D:$D,$C:$C = $C175, $A:$A = $A175, $B:$B = $B175 - 1),0)"),10000.0)</f>
        <v>10000</v>
      </c>
      <c r="W175" s="93">
        <f>IFERROR(__xludf.DUMMYFUNCTION("$E175 - IFERROR(FILTER($E:$E,$C:$C = $C175, $A:$A = $A175, $B:$B = $B175 - 1),0)"),-16500.0)</f>
        <v>-16500</v>
      </c>
      <c r="X175" s="93"/>
      <c r="Y175" s="93"/>
      <c r="Z175" s="93">
        <v>0.0</v>
      </c>
      <c r="AA175" s="93">
        <v>0.0</v>
      </c>
      <c r="AB175" s="93">
        <v>0.0</v>
      </c>
      <c r="AC175" s="93"/>
      <c r="AD175" s="93">
        <v>0.0</v>
      </c>
      <c r="AE175" s="32">
        <f t="shared" si="2"/>
        <v>-16500</v>
      </c>
      <c r="AF175" s="93">
        <v>0.0</v>
      </c>
    </row>
    <row r="176">
      <c r="A176" s="86">
        <v>2007.0</v>
      </c>
      <c r="B176" s="87">
        <v>12.0</v>
      </c>
      <c r="C176" s="88" t="s">
        <v>25</v>
      </c>
      <c r="D176" s="32"/>
      <c r="E176" s="93">
        <v>-5000.0</v>
      </c>
      <c r="F176" s="93"/>
      <c r="G176" s="93">
        <v>-517.25</v>
      </c>
      <c r="H176" s="93">
        <v>1356.04</v>
      </c>
      <c r="I176" s="93">
        <v>763.79</v>
      </c>
      <c r="J176" s="93">
        <v>6522.87</v>
      </c>
      <c r="K176" s="32"/>
      <c r="L176" s="32"/>
      <c r="M176" s="93">
        <v>-1.0</v>
      </c>
      <c r="N176" s="32"/>
      <c r="O176" s="93">
        <v>86186.0</v>
      </c>
      <c r="P176" s="91">
        <f>IFERROR(__xludf.DUMMYFUNCTION("IFERROR(sum(FILTER($D:$N,$C:$C = $C176,$A:$A &lt; $A176,$B:$B = 12)),0) + sum($D176:$N176)"),86185.96000000002)</f>
        <v>86185.96</v>
      </c>
      <c r="Q176" s="92">
        <f t="shared" si="1"/>
        <v>0.03999999998</v>
      </c>
      <c r="R176" s="91">
        <f t="array" ref="R176">IFERROR(INDEX('Fund YTD Target Values'!$1:$1000, MATCH($C176,'Fund YTD Target Values'!$A:$A,0), MATCH($A176,'Fund YTD Target Values'!$1:$1,0)),0)</f>
        <v>81361.72349</v>
      </c>
      <c r="S176" s="91">
        <f>IFERROR(__xludf.DUMMYFUNCTION("IFERROR(sum(FILTER('Fund Investment Data'!$V:$V, 'Fund Investment Data'!$C:$C = $C176, 'Fund Investment Data'!$A:$A &lt; $A176)),0) + IFERROR(sum(FILTER('Fund Investment Data'!$V:$V, 'Fund Investment Data'!$C:$C = $C176, 'Fund Investment Data'!$A:$A = $A176,"&amp;" 'Fund Investment Data'!$B:$B &lt;= $B176)),0)"),71000.0)</f>
        <v>71000</v>
      </c>
      <c r="T176" s="93">
        <v>71000.0</v>
      </c>
      <c r="U176" s="32">
        <f t="shared" si="3"/>
        <v>0</v>
      </c>
      <c r="V176" s="32">
        <f>IFERROR(__xludf.DUMMYFUNCTION("$D176 - IFERROR(FILTER($D:$D,$C:$C = $C176, $A:$A = $A176, $B:$B = $B176 - 1),0)"),0.0)</f>
        <v>0</v>
      </c>
      <c r="W176" s="93">
        <f>IFERROR(__xludf.DUMMYFUNCTION("$E176 - IFERROR(FILTER($E:$E,$C:$C = $C176, $A:$A = $A176, $B:$B = $B176 - 1),0)"),-5000.0)</f>
        <v>-5000</v>
      </c>
      <c r="X176" s="93"/>
      <c r="Y176" s="93"/>
      <c r="Z176" s="93">
        <v>0.0</v>
      </c>
      <c r="AA176" s="93">
        <v>0.0</v>
      </c>
      <c r="AB176" s="93">
        <v>0.0</v>
      </c>
      <c r="AC176" s="93"/>
      <c r="AD176" s="93">
        <v>0.0</v>
      </c>
      <c r="AE176" s="32">
        <f t="shared" si="2"/>
        <v>-5000</v>
      </c>
      <c r="AF176" s="93">
        <v>0.0</v>
      </c>
    </row>
    <row r="177">
      <c r="A177" s="86">
        <v>2007.0</v>
      </c>
      <c r="B177" s="87">
        <v>12.0</v>
      </c>
      <c r="C177" s="88" t="s">
        <v>42</v>
      </c>
      <c r="D177" s="93">
        <v>7994.0</v>
      </c>
      <c r="E177" s="93">
        <v>-7000.0</v>
      </c>
      <c r="F177" s="93"/>
      <c r="G177" s="93">
        <v>-1247.02</v>
      </c>
      <c r="H177" s="93">
        <v>3474.06</v>
      </c>
      <c r="I177" s="32"/>
      <c r="J177" s="93">
        <v>16601.25</v>
      </c>
      <c r="K177" s="32"/>
      <c r="L177" s="32"/>
      <c r="M177" s="93">
        <v>-14.0</v>
      </c>
      <c r="N177" s="32"/>
      <c r="O177" s="93">
        <v>210893.0</v>
      </c>
      <c r="P177" s="91">
        <f>IFERROR(__xludf.DUMMYFUNCTION("IFERROR(sum(FILTER($D:$N,$C:$C = $C177,$A:$A &lt; $A177,$B:$B = 12)),0) + sum($D177:$N177)"),210893.29)</f>
        <v>210893.29</v>
      </c>
      <c r="Q177" s="92">
        <f t="shared" si="1"/>
        <v>-0.29</v>
      </c>
      <c r="R177" s="91">
        <f t="array" ref="R177">IFERROR(INDEX('Fund YTD Target Values'!$1:$1000, MATCH($C177,'Fund YTD Target Values'!$A:$A,0), MATCH($A177,'Fund YTD Target Values'!$1:$1,0)),0)</f>
        <v>189502.6895</v>
      </c>
      <c r="S177" s="91">
        <f>IFERROR(__xludf.DUMMYFUNCTION("IFERROR(sum(FILTER('Fund Investment Data'!$V:$V, 'Fund Investment Data'!$C:$C = $C177, 'Fund Investment Data'!$A:$A &lt; $A177)),0) + IFERROR(sum(FILTER('Fund Investment Data'!$V:$V, 'Fund Investment Data'!$C:$C = $C177, 'Fund Investment Data'!$A:$A = $A177,"&amp;" 'Fund Investment Data'!$B:$B &lt;= $B177)),0)"),184469.0)</f>
        <v>184469</v>
      </c>
      <c r="T177" s="93">
        <v>184469.0</v>
      </c>
      <c r="U177" s="32">
        <f t="shared" si="3"/>
        <v>0</v>
      </c>
      <c r="V177" s="32">
        <f>IFERROR(__xludf.DUMMYFUNCTION("$D177 - IFERROR(FILTER($D:$D,$C:$C = $C177, $A:$A = $A177, $B:$B = $B177 - 1),0)"),7994.0)</f>
        <v>7994</v>
      </c>
      <c r="W177" s="93">
        <f>IFERROR(__xludf.DUMMYFUNCTION("$E177 - IFERROR(FILTER($E:$E,$C:$C = $C177, $A:$A = $A177, $B:$B = $B177 - 1),0)"),-7000.0)</f>
        <v>-7000</v>
      </c>
      <c r="X177" s="93"/>
      <c r="Y177" s="93"/>
      <c r="Z177" s="93">
        <v>0.0</v>
      </c>
      <c r="AA177" s="93">
        <v>0.0</v>
      </c>
      <c r="AB177" s="93">
        <v>0.0</v>
      </c>
      <c r="AC177" s="93"/>
      <c r="AD177" s="93">
        <v>0.0</v>
      </c>
      <c r="AE177" s="32">
        <f t="shared" si="2"/>
        <v>-7000</v>
      </c>
      <c r="AF177" s="93">
        <v>0.0</v>
      </c>
    </row>
    <row r="178">
      <c r="A178" s="86">
        <v>2007.0</v>
      </c>
      <c r="B178" s="87">
        <v>12.0</v>
      </c>
      <c r="C178" s="88" t="s">
        <v>43</v>
      </c>
      <c r="D178" s="32"/>
      <c r="E178" s="93">
        <v>-2000.0</v>
      </c>
      <c r="F178" s="93"/>
      <c r="G178" s="93">
        <v>-752.76</v>
      </c>
      <c r="H178" s="93">
        <v>1956.83</v>
      </c>
      <c r="I178" s="93">
        <v>186.76</v>
      </c>
      <c r="J178" s="93">
        <v>10210.28</v>
      </c>
      <c r="K178" s="32"/>
      <c r="L178" s="32"/>
      <c r="M178" s="93">
        <v>-2.0</v>
      </c>
      <c r="N178" s="32"/>
      <c r="O178" s="93">
        <v>127348.0</v>
      </c>
      <c r="P178" s="91">
        <f>IFERROR(__xludf.DUMMYFUNCTION("IFERROR(sum(FILTER($D:$N,$C:$C = $C178,$A:$A &lt; $A178,$B:$B = 12)),0) + sum($D178:$N178)"),127347.93)</f>
        <v>127347.93</v>
      </c>
      <c r="Q178" s="92">
        <f t="shared" si="1"/>
        <v>0.07000000001</v>
      </c>
      <c r="R178" s="91">
        <f t="array" ref="R178">IFERROR(INDEX('Fund YTD Target Values'!$1:$1000, MATCH($C178,'Fund YTD Target Values'!$A:$A,0), MATCH($A178,'Fund YTD Target Values'!$1:$1,0)),0)</f>
        <v>107882.2935</v>
      </c>
      <c r="S178" s="91">
        <f>IFERROR(__xludf.DUMMYFUNCTION("IFERROR(sum(FILTER('Fund Investment Data'!$V:$V, 'Fund Investment Data'!$C:$C = $C178, 'Fund Investment Data'!$A:$A &lt; $A178)),0) + IFERROR(sum(FILTER('Fund Investment Data'!$V:$V, 'Fund Investment Data'!$C:$C = $C178, 'Fund Investment Data'!$A:$A = $A178,"&amp;" 'Fund Investment Data'!$B:$B &lt;= $B178)),0)"),100000.0)</f>
        <v>100000</v>
      </c>
      <c r="T178" s="93">
        <v>100000.0</v>
      </c>
      <c r="U178" s="32">
        <f t="shared" si="3"/>
        <v>0</v>
      </c>
      <c r="V178" s="32">
        <f>IFERROR(__xludf.DUMMYFUNCTION("$D178 - IFERROR(FILTER($D:$D,$C:$C = $C178, $A:$A = $A178, $B:$B = $B178 - 1),0)"),0.0)</f>
        <v>0</v>
      </c>
      <c r="W178" s="93">
        <f>IFERROR(__xludf.DUMMYFUNCTION("$E178 - IFERROR(FILTER($E:$E,$C:$C = $C178, $A:$A = $A178, $B:$B = $B178 - 1),0)"),-2000.0)</f>
        <v>-2000</v>
      </c>
      <c r="X178" s="93"/>
      <c r="Y178" s="93"/>
      <c r="Z178" s="93">
        <v>0.0</v>
      </c>
      <c r="AA178" s="93">
        <v>0.0</v>
      </c>
      <c r="AB178" s="93">
        <v>0.0</v>
      </c>
      <c r="AC178" s="93"/>
      <c r="AD178" s="93">
        <v>0.0</v>
      </c>
      <c r="AE178" s="32">
        <f t="shared" si="2"/>
        <v>-2000</v>
      </c>
      <c r="AF178" s="93">
        <v>0.0</v>
      </c>
    </row>
    <row r="179">
      <c r="A179" s="86">
        <v>2007.0</v>
      </c>
      <c r="B179" s="87">
        <v>12.0</v>
      </c>
      <c r="C179" s="88" t="s">
        <v>33</v>
      </c>
      <c r="D179" s="32"/>
      <c r="E179" s="93">
        <v>-55000.0</v>
      </c>
      <c r="F179" s="93"/>
      <c r="G179" s="93">
        <v>-3026.74</v>
      </c>
      <c r="H179" s="93">
        <v>7858.11</v>
      </c>
      <c r="I179" s="93">
        <v>6001.04</v>
      </c>
      <c r="J179" s="93">
        <v>37511.33</v>
      </c>
      <c r="K179" s="32"/>
      <c r="L179" s="32"/>
      <c r="M179" s="93">
        <v>-3.0</v>
      </c>
      <c r="N179" s="32"/>
      <c r="O179" s="93">
        <v>484158.0</v>
      </c>
      <c r="P179" s="91">
        <f>IFERROR(__xludf.DUMMYFUNCTION("IFERROR(sum(FILTER($D:$N,$C:$C = $C179,$A:$A &lt; $A179,$B:$B = 12)),0) + sum($D179:$N179)"),484157.8899999998)</f>
        <v>484157.89</v>
      </c>
      <c r="Q179" s="92">
        <f t="shared" si="1"/>
        <v>0.1100000002</v>
      </c>
      <c r="R179" s="91">
        <f t="array" ref="R179">IFERROR(INDEX('Fund YTD Target Values'!$1:$1000, MATCH($C179,'Fund YTD Target Values'!$A:$A,0), MATCH($A179,'Fund YTD Target Values'!$1:$1,0)),0)</f>
        <v>423390.5125</v>
      </c>
      <c r="S179" s="91">
        <f>IFERROR(__xludf.DUMMYFUNCTION("IFERROR(sum(FILTER('Fund Investment Data'!$V:$V, 'Fund Investment Data'!$C:$C = $C179, 'Fund Investment Data'!$A:$A &lt; $A179)),0) + IFERROR(sum(FILTER('Fund Investment Data'!$V:$V, 'Fund Investment Data'!$C:$C = $C179, 'Fund Investment Data'!$A:$A = $A179,"&amp;" 'Fund Investment Data'!$B:$B &lt;= $B179)),0)"),325871.6399999999)</f>
        <v>325871.64</v>
      </c>
      <c r="T179" s="93">
        <v>326032.0</v>
      </c>
      <c r="U179" s="32">
        <f t="shared" si="3"/>
        <v>-160.36</v>
      </c>
      <c r="V179" s="32">
        <f>IFERROR(__xludf.DUMMYFUNCTION("$D179 - IFERROR(FILTER($D:$D,$C:$C = $C179, $A:$A = $A179, $B:$B = $B179 - 1),0)"),0.0)</f>
        <v>0</v>
      </c>
      <c r="W179" s="93">
        <f>IFERROR(__xludf.DUMMYFUNCTION("$E179 - IFERROR(FILTER($E:$E,$C:$C = $C179, $A:$A = $A179, $B:$B = $B179 - 1),0)"),-55000.0)</f>
        <v>-55000</v>
      </c>
      <c r="X179" s="93"/>
      <c r="Y179" s="93"/>
      <c r="Z179" s="93">
        <v>0.0</v>
      </c>
      <c r="AA179" s="93">
        <v>0.0</v>
      </c>
      <c r="AB179" s="93">
        <v>0.0</v>
      </c>
      <c r="AC179" s="93"/>
      <c r="AD179" s="93">
        <v>0.0</v>
      </c>
      <c r="AE179" s="32">
        <f t="shared" si="2"/>
        <v>-55000</v>
      </c>
      <c r="AF179" s="93">
        <v>0.0</v>
      </c>
    </row>
    <row r="180">
      <c r="A180" s="86">
        <v>2007.0</v>
      </c>
      <c r="B180" s="87">
        <v>12.0</v>
      </c>
      <c r="C180" s="88" t="s">
        <v>54</v>
      </c>
      <c r="D180" s="93">
        <v>1042.62</v>
      </c>
      <c r="E180" s="32"/>
      <c r="F180" s="93"/>
      <c r="G180" s="93">
        <v>-744.18</v>
      </c>
      <c r="H180" s="93">
        <v>1980.62</v>
      </c>
      <c r="I180" s="32"/>
      <c r="J180" s="93">
        <v>10115.55</v>
      </c>
      <c r="K180" s="32"/>
      <c r="L180" s="32"/>
      <c r="M180" s="93">
        <v>-5.0</v>
      </c>
      <c r="N180" s="32"/>
      <c r="O180" s="93">
        <v>128137.0</v>
      </c>
      <c r="P180" s="91">
        <f>IFERROR(__xludf.DUMMYFUNCTION("IFERROR(sum(FILTER($D:$N,$C:$C = $C180,$A:$A &lt; $A180,$B:$B = 12)),0) + sum($D180:$N180)"),128136.82999999999)</f>
        <v>128136.83</v>
      </c>
      <c r="Q180" s="92">
        <f t="shared" si="1"/>
        <v>0.17</v>
      </c>
      <c r="R180" s="91">
        <f t="array" ref="R180">IFERROR(INDEX('Fund YTD Target Values'!$1:$1000, MATCH($C180,'Fund YTD Target Values'!$A:$A,0), MATCH($A180,'Fund YTD Target Values'!$1:$1,0)),0)</f>
        <v>108216.8714</v>
      </c>
      <c r="S180" s="91">
        <f>IFERROR(__xludf.DUMMYFUNCTION("IFERROR(sum(FILTER('Fund Investment Data'!$V:$V, 'Fund Investment Data'!$C:$C = $C180, 'Fund Investment Data'!$A:$A &lt; $A180)),0) + IFERROR(sum(FILTER('Fund Investment Data'!$V:$V, 'Fund Investment Data'!$C:$C = $C180, 'Fund Investment Data'!$A:$A = $A180,"&amp;" 'Fund Investment Data'!$B:$B &lt;= $B180)),0)"),90061.06999999999)</f>
        <v>90061.07</v>
      </c>
      <c r="T180" s="93">
        <v>86245.0</v>
      </c>
      <c r="U180" s="32">
        <f t="shared" si="3"/>
        <v>3816.07</v>
      </c>
      <c r="V180" s="32">
        <f>IFERROR(__xludf.DUMMYFUNCTION("$D180 - IFERROR(FILTER($D:$D,$C:$C = $C180, $A:$A = $A180, $B:$B = $B180 - 1),0)"),1042.62)</f>
        <v>1042.62</v>
      </c>
      <c r="W180" s="93">
        <f>IFERROR(__xludf.DUMMYFUNCTION("$E180 - IFERROR(FILTER($E:$E,$C:$C = $C180, $A:$A = $A180, $B:$B = $B180 - 1),0)"),0.0)</f>
        <v>0</v>
      </c>
      <c r="X180" s="93"/>
      <c r="Y180" s="93"/>
      <c r="Z180" s="93">
        <v>0.0</v>
      </c>
      <c r="AA180" s="93">
        <v>0.0</v>
      </c>
      <c r="AB180" s="93">
        <v>0.0</v>
      </c>
      <c r="AC180" s="93"/>
      <c r="AD180" s="93">
        <v>0.0</v>
      </c>
      <c r="AE180" s="32">
        <f t="shared" si="2"/>
        <v>0</v>
      </c>
      <c r="AF180" s="93">
        <v>0.0</v>
      </c>
    </row>
    <row r="181">
      <c r="A181" s="86">
        <v>2007.0</v>
      </c>
      <c r="B181" s="87">
        <v>12.0</v>
      </c>
      <c r="C181" s="88" t="s">
        <v>44</v>
      </c>
      <c r="D181" s="32"/>
      <c r="E181" s="93">
        <v>-15000.0</v>
      </c>
      <c r="F181" s="93"/>
      <c r="G181" s="93">
        <v>-1813.51</v>
      </c>
      <c r="H181" s="93">
        <v>4830.5</v>
      </c>
      <c r="I181" s="93">
        <v>2116.28</v>
      </c>
      <c r="J181" s="93">
        <v>23022.19</v>
      </c>
      <c r="K181" s="32"/>
      <c r="L181" s="32"/>
      <c r="M181" s="93">
        <v>-15.0</v>
      </c>
      <c r="N181" s="32"/>
      <c r="O181" s="93">
        <v>304584.0</v>
      </c>
      <c r="P181" s="91">
        <f>IFERROR(__xludf.DUMMYFUNCTION("IFERROR(sum(FILTER($D:$N,$C:$C = $C181,$A:$A &lt; $A181,$B:$B = 12)),0) + sum($D181:$N181)"),304585.15)</f>
        <v>304585.15</v>
      </c>
      <c r="Q181" s="92">
        <f t="shared" si="1"/>
        <v>-1.15</v>
      </c>
      <c r="R181" s="91">
        <f t="array" ref="R181">IFERROR(INDEX('Fund YTD Target Values'!$1:$1000, MATCH($C181,'Fund YTD Target Values'!$A:$A,0), MATCH($A181,'Fund YTD Target Values'!$1:$1,0)),0)</f>
        <v>265449.6317</v>
      </c>
      <c r="S181" s="91">
        <f>IFERROR(__xludf.DUMMYFUNCTION("IFERROR(sum(FILTER('Fund Investment Data'!$V:$V, 'Fund Investment Data'!$C:$C = $C181, 'Fund Investment Data'!$A:$A &lt; $A181)),0) + IFERROR(sum(FILTER('Fund Investment Data'!$V:$V, 'Fund Investment Data'!$C:$C = $C181, 'Fund Investment Data'!$A:$A = $A181,"&amp;" 'Fund Investment Data'!$B:$B &lt;= $B181)),0)"),250000.0)</f>
        <v>250000</v>
      </c>
      <c r="T181" s="93">
        <v>250000.0</v>
      </c>
      <c r="U181" s="32">
        <f t="shared" si="3"/>
        <v>0</v>
      </c>
      <c r="V181" s="32">
        <f>IFERROR(__xludf.DUMMYFUNCTION("$D181 - IFERROR(FILTER($D:$D,$C:$C = $C181, $A:$A = $A181, $B:$B = $B181 - 1),0)"),0.0)</f>
        <v>0</v>
      </c>
      <c r="W181" s="93">
        <f>IFERROR(__xludf.DUMMYFUNCTION("$E181 - IFERROR(FILTER($E:$E,$C:$C = $C181, $A:$A = $A181, $B:$B = $B181 - 1),0)"),-15000.0)</f>
        <v>-15000</v>
      </c>
      <c r="X181" s="93"/>
      <c r="Y181" s="93"/>
      <c r="Z181" s="93">
        <v>0.0</v>
      </c>
      <c r="AA181" s="93">
        <v>0.0</v>
      </c>
      <c r="AB181" s="93">
        <v>0.0</v>
      </c>
      <c r="AC181" s="93"/>
      <c r="AD181" s="93">
        <v>0.0</v>
      </c>
      <c r="AE181" s="32">
        <f t="shared" si="2"/>
        <v>-15000</v>
      </c>
      <c r="AF181" s="93">
        <v>0.0</v>
      </c>
    </row>
    <row r="182">
      <c r="A182" s="86">
        <v>2007.0</v>
      </c>
      <c r="B182" s="87">
        <v>12.0</v>
      </c>
      <c r="C182" s="88" t="s">
        <v>45</v>
      </c>
      <c r="D182" s="93">
        <v>20000.0</v>
      </c>
      <c r="E182" s="32"/>
      <c r="F182" s="93"/>
      <c r="G182" s="93">
        <v>-263.49</v>
      </c>
      <c r="H182" s="93">
        <v>1365.35</v>
      </c>
      <c r="I182" s="32"/>
      <c r="J182" s="93">
        <v>1925.02</v>
      </c>
      <c r="K182" s="32"/>
      <c r="L182" s="32"/>
      <c r="M182" s="93">
        <v>-84.0</v>
      </c>
      <c r="N182" s="32"/>
      <c r="O182" s="93">
        <v>65047.0</v>
      </c>
      <c r="P182" s="91">
        <f>IFERROR(__xludf.DUMMYFUNCTION("IFERROR(sum(FILTER($D:$N,$C:$C = $C182,$A:$A &lt; $A182,$B:$B = 12)),0) + sum($D182:$N182)"),65047.57)</f>
        <v>65047.57</v>
      </c>
      <c r="Q182" s="92">
        <f t="shared" si="1"/>
        <v>-0.57</v>
      </c>
      <c r="R182" s="91">
        <f t="array" ref="R182">IFERROR(INDEX('Fund YTD Target Values'!$1:$1000, MATCH($C182,'Fund YTD Target Values'!$A:$A,0), MATCH($A182,'Fund YTD Target Values'!$1:$1,0)),0)</f>
        <v>61806.44108</v>
      </c>
      <c r="S182" s="91">
        <f>IFERROR(__xludf.DUMMYFUNCTION("IFERROR(sum(FILTER('Fund Investment Data'!$V:$V, 'Fund Investment Data'!$C:$C = $C182, 'Fund Investment Data'!$A:$A &lt; $A182)),0) + IFERROR(sum(FILTER('Fund Investment Data'!$V:$V, 'Fund Investment Data'!$C:$C = $C182, 'Fund Investment Data'!$A:$A = $A182,"&amp;" 'Fund Investment Data'!$B:$B &lt;= $B182)),0)"),60000.0)</f>
        <v>60000</v>
      </c>
      <c r="T182" s="93">
        <v>60000.0</v>
      </c>
      <c r="U182" s="32">
        <f t="shared" si="3"/>
        <v>0</v>
      </c>
      <c r="V182" s="32">
        <f>IFERROR(__xludf.DUMMYFUNCTION("$D182 - IFERROR(FILTER($D:$D,$C:$C = $C182, $A:$A = $A182, $B:$B = $B182 - 1),0)"),20000.0)</f>
        <v>20000</v>
      </c>
      <c r="W182" s="93">
        <f>IFERROR(__xludf.DUMMYFUNCTION("$E182 - IFERROR(FILTER($E:$E,$C:$C = $C182, $A:$A = $A182, $B:$B = $B182 - 1),0)"),0.0)</f>
        <v>0</v>
      </c>
      <c r="X182" s="93"/>
      <c r="Y182" s="93"/>
      <c r="Z182" s="93">
        <v>0.0</v>
      </c>
      <c r="AA182" s="93">
        <v>0.0</v>
      </c>
      <c r="AB182" s="93">
        <v>0.0</v>
      </c>
      <c r="AC182" s="93"/>
      <c r="AD182" s="93">
        <v>0.0</v>
      </c>
      <c r="AE182" s="32">
        <f t="shared" si="2"/>
        <v>0</v>
      </c>
      <c r="AF182" s="93">
        <v>0.0</v>
      </c>
    </row>
    <row r="183">
      <c r="A183" s="86">
        <v>2007.0</v>
      </c>
      <c r="B183" s="87">
        <v>12.0</v>
      </c>
      <c r="C183" s="88" t="s">
        <v>35</v>
      </c>
      <c r="D183" s="93">
        <v>3500.0</v>
      </c>
      <c r="E183" s="93">
        <v>-55000.0</v>
      </c>
      <c r="F183" s="93"/>
      <c r="G183" s="93">
        <v>-8578.95</v>
      </c>
      <c r="H183" s="93">
        <v>22204.39</v>
      </c>
      <c r="I183" s="93">
        <v>4993.65</v>
      </c>
      <c r="J183" s="93">
        <v>113778.93</v>
      </c>
      <c r="K183" s="32"/>
      <c r="L183" s="32"/>
      <c r="M183" s="93">
        <v>-25.0</v>
      </c>
      <c r="N183" s="32"/>
      <c r="O183" s="93">
        <v>1445488.0</v>
      </c>
      <c r="P183" s="91">
        <f>IFERROR(__xludf.DUMMYFUNCTION("IFERROR(sum(FILTER($D:$N,$C:$C = $C183,$A:$A &lt; $A183,$B:$B = 12)),0) + sum($D183:$N183)"),1445486.8600000006)</f>
        <v>1445486.86</v>
      </c>
      <c r="Q183" s="92">
        <f t="shared" si="1"/>
        <v>1.139999999</v>
      </c>
      <c r="R183" s="91">
        <f t="array" ref="R183">IFERROR(INDEX('Fund YTD Target Values'!$1:$1000, MATCH($C183,'Fund YTD Target Values'!$A:$A,0), MATCH($A183,'Fund YTD Target Values'!$1:$1,0)),0)</f>
        <v>1285619.181</v>
      </c>
      <c r="S183" s="91">
        <f>IFERROR(__xludf.DUMMYFUNCTION("IFERROR(sum(FILTER('Fund Investment Data'!$V:$V, 'Fund Investment Data'!$C:$C = $C183, 'Fund Investment Data'!$A:$A &lt; $A183)),0) + IFERROR(sum(FILTER('Fund Investment Data'!$V:$V, 'Fund Investment Data'!$C:$C = $C183, 'Fund Investment Data'!$A:$A = $A183,"&amp;" 'Fund Investment Data'!$B:$B &lt;= $B183)),0)"),1066125.0)</f>
        <v>1066125</v>
      </c>
      <c r="T183" s="93">
        <v>1051125.0</v>
      </c>
      <c r="U183" s="32">
        <f t="shared" si="3"/>
        <v>15000</v>
      </c>
      <c r="V183" s="32">
        <f>IFERROR(__xludf.DUMMYFUNCTION("$D183 - IFERROR(FILTER($D:$D,$C:$C = $C183, $A:$A = $A183, $B:$B = $B183 - 1),0)"),3500.0)</f>
        <v>3500</v>
      </c>
      <c r="W183" s="93">
        <f>IFERROR(__xludf.DUMMYFUNCTION("$E183 - IFERROR(FILTER($E:$E,$C:$C = $C183, $A:$A = $A183, $B:$B = $B183 - 1),0)"),-55000.0)</f>
        <v>-55000</v>
      </c>
      <c r="X183" s="93"/>
      <c r="Y183" s="93"/>
      <c r="Z183" s="93">
        <v>0.0</v>
      </c>
      <c r="AA183" s="93">
        <v>0.0</v>
      </c>
      <c r="AB183" s="93">
        <v>0.0</v>
      </c>
      <c r="AC183" s="93"/>
      <c r="AD183" s="93">
        <v>0.0</v>
      </c>
      <c r="AE183" s="32">
        <f t="shared" si="2"/>
        <v>-55000</v>
      </c>
      <c r="AF183" s="93">
        <v>0.0</v>
      </c>
    </row>
    <row r="184">
      <c r="A184" s="86">
        <v>2008.0</v>
      </c>
      <c r="B184" s="87">
        <v>12.0</v>
      </c>
      <c r="C184" s="88" t="s">
        <v>26</v>
      </c>
      <c r="D184" s="93">
        <v>30000.0</v>
      </c>
      <c r="E184" s="93">
        <v>-15000.0</v>
      </c>
      <c r="F184" s="93"/>
      <c r="G184" s="93">
        <v>-1292.95</v>
      </c>
      <c r="H184" s="93">
        <v>5815.63</v>
      </c>
      <c r="I184" s="93">
        <v>474.15</v>
      </c>
      <c r="J184" s="93">
        <v>-58871.59</v>
      </c>
      <c r="K184" s="32"/>
      <c r="L184" s="32"/>
      <c r="M184" s="32"/>
      <c r="N184" s="32"/>
      <c r="O184" s="93">
        <v>195333.0</v>
      </c>
      <c r="P184" s="91">
        <f>IFERROR(__xludf.DUMMYFUNCTION("IFERROR(sum(FILTER($D:$N,$C:$C = $C184,$A:$A &lt; $A184,$B:$B = 12)),0) + sum($D184:$N184)"),195332.62000000005)</f>
        <v>195332.62</v>
      </c>
      <c r="Q184" s="92">
        <f t="shared" si="1"/>
        <v>0.3799999999</v>
      </c>
      <c r="R184" s="91">
        <f t="array" ref="R184">IFERROR(INDEX('Fund YTD Target Values'!$1:$1000, MATCH($C184,'Fund YTD Target Values'!$A:$A,0), MATCH($A184,'Fund YTD Target Values'!$1:$1,0)),0)</f>
        <v>270738.5046</v>
      </c>
      <c r="S184" s="91">
        <f>IFERROR(__xludf.DUMMYFUNCTION("IFERROR(sum(FILTER('Fund Investment Data'!$V:$V, 'Fund Investment Data'!$C:$C = $C184, 'Fund Investment Data'!$A:$A &lt; $A184)),0) + IFERROR(sum(FILTER('Fund Investment Data'!$V:$V, 'Fund Investment Data'!$C:$C = $C184, 'Fund Investment Data'!$A:$A = $A184,"&amp;" 'Fund Investment Data'!$B:$B &lt;= $B184)),0)"),250000.0)</f>
        <v>250000</v>
      </c>
      <c r="T184" s="93">
        <v>250000.0</v>
      </c>
      <c r="U184" s="32">
        <f t="shared" si="3"/>
        <v>0</v>
      </c>
      <c r="V184" s="32">
        <f>IFERROR(__xludf.DUMMYFUNCTION("$D184 - IFERROR(FILTER($D:$D,$C:$C = $C184, $A:$A = $A184, $B:$B = $B184 - 1),0)"),30000.0)</f>
        <v>30000</v>
      </c>
      <c r="W184" s="93">
        <f>IFERROR(__xludf.DUMMYFUNCTION("$E184 - IFERROR(FILTER($E:$E,$C:$C = $C184, $A:$A = $A184, $B:$B = $B184 - 1),0)"),-15000.0)</f>
        <v>-15000</v>
      </c>
      <c r="X184" s="93"/>
      <c r="Y184" s="93"/>
      <c r="Z184" s="93">
        <v>0.0</v>
      </c>
      <c r="AA184" s="93">
        <v>0.0</v>
      </c>
      <c r="AB184" s="93">
        <v>0.0</v>
      </c>
      <c r="AC184" s="93"/>
      <c r="AD184" s="93">
        <v>0.0</v>
      </c>
      <c r="AE184" s="32">
        <f t="shared" si="2"/>
        <v>-15000</v>
      </c>
      <c r="AF184" s="93">
        <v>0.0</v>
      </c>
    </row>
    <row r="185">
      <c r="A185" s="86">
        <v>2008.0</v>
      </c>
      <c r="B185" s="87">
        <v>12.0</v>
      </c>
      <c r="C185" s="88" t="s">
        <v>27</v>
      </c>
      <c r="D185" s="93">
        <v>999.0</v>
      </c>
      <c r="E185" s="93">
        <v>-5000.0</v>
      </c>
      <c r="F185" s="93"/>
      <c r="G185" s="93">
        <v>-1740.06</v>
      </c>
      <c r="H185" s="93">
        <v>7725.7</v>
      </c>
      <c r="I185" s="32"/>
      <c r="J185" s="93">
        <v>-80103.41</v>
      </c>
      <c r="K185" s="32"/>
      <c r="L185" s="32"/>
      <c r="M185" s="32"/>
      <c r="N185" s="32"/>
      <c r="O185" s="93">
        <v>241371.0</v>
      </c>
      <c r="P185" s="91">
        <f>IFERROR(__xludf.DUMMYFUNCTION("IFERROR(sum(FILTER($D:$N,$C:$C = $C185,$A:$A &lt; $A185,$B:$B = 12)),0) + sum($D185:$N185)"),241372.6600000001)</f>
        <v>241372.66</v>
      </c>
      <c r="Q185" s="92">
        <f t="shared" si="1"/>
        <v>-1.66</v>
      </c>
      <c r="R185" s="91">
        <f t="array" ref="R185">IFERROR(INDEX('Fund YTD Target Values'!$1:$1000, MATCH($C185,'Fund YTD Target Values'!$A:$A,0), MATCH($A185,'Fund YTD Target Values'!$1:$1,0)),0)</f>
        <v>334909.7853</v>
      </c>
      <c r="S185" s="91">
        <f>IFERROR(__xludf.DUMMYFUNCTION("IFERROR(sum(FILTER('Fund Investment Data'!$V:$V, 'Fund Investment Data'!$C:$C = $C185, 'Fund Investment Data'!$A:$A &lt; $A185)),0) + IFERROR(sum(FILTER('Fund Investment Data'!$V:$V, 'Fund Investment Data'!$C:$C = $C185, 'Fund Investment Data'!$A:$A = $A185,"&amp;" 'Fund Investment Data'!$B:$B &lt;= $B185)),0)"),273963.69999999995)</f>
        <v>273963.7</v>
      </c>
      <c r="T185" s="93">
        <v>269998.0</v>
      </c>
      <c r="U185" s="32">
        <f t="shared" si="3"/>
        <v>3965.7</v>
      </c>
      <c r="V185" s="32">
        <f>IFERROR(__xludf.DUMMYFUNCTION("$D185 - IFERROR(FILTER($D:$D,$C:$C = $C185, $A:$A = $A185, $B:$B = $B185 - 1),0)"),999.0)</f>
        <v>999</v>
      </c>
      <c r="W185" s="93">
        <f>IFERROR(__xludf.DUMMYFUNCTION("$E185 - IFERROR(FILTER($E:$E,$C:$C = $C185, $A:$A = $A185, $B:$B = $B185 - 1),0)"),-5000.0)</f>
        <v>-5000</v>
      </c>
      <c r="X185" s="93"/>
      <c r="Y185" s="93"/>
      <c r="Z185" s="93">
        <v>0.0</v>
      </c>
      <c r="AA185" s="93">
        <v>0.0</v>
      </c>
      <c r="AB185" s="93">
        <v>0.0</v>
      </c>
      <c r="AC185" s="93"/>
      <c r="AD185" s="93">
        <v>0.0</v>
      </c>
      <c r="AE185" s="32">
        <f t="shared" si="2"/>
        <v>-5000</v>
      </c>
      <c r="AF185" s="93">
        <v>0.0</v>
      </c>
    </row>
    <row r="186">
      <c r="A186" s="86">
        <v>2008.0</v>
      </c>
      <c r="B186" s="87">
        <v>12.0</v>
      </c>
      <c r="C186" s="88" t="s">
        <v>28</v>
      </c>
      <c r="D186" s="93">
        <v>303000.0</v>
      </c>
      <c r="E186" s="93">
        <v>-35000.0</v>
      </c>
      <c r="F186" s="93"/>
      <c r="G186" s="93">
        <v>-18380.36</v>
      </c>
      <c r="H186" s="93">
        <v>81405.52</v>
      </c>
      <c r="I186" s="32"/>
      <c r="J186" s="93">
        <v>-823176.67</v>
      </c>
      <c r="K186" s="32"/>
      <c r="L186" s="32"/>
      <c r="M186" s="32"/>
      <c r="N186" s="32"/>
      <c r="O186" s="93">
        <v>2815771.0</v>
      </c>
      <c r="P186" s="91">
        <f>IFERROR(__xludf.DUMMYFUNCTION("IFERROR(sum(FILTER($D:$N,$C:$C = $C186,$A:$A &lt; $A186,$B:$B = 12)),0) + sum($D186:$N186)"),2815770.9700000007)</f>
        <v>2815770.97</v>
      </c>
      <c r="Q186" s="92">
        <f t="shared" si="1"/>
        <v>0.02999999933</v>
      </c>
      <c r="R186" s="91">
        <f t="array" ref="R186">IFERROR(INDEX('Fund YTD Target Values'!$1:$1000, MATCH($C186,'Fund YTD Target Values'!$A:$A,0), MATCH($A186,'Fund YTD Target Values'!$1:$1,0)),0)</f>
        <v>3291992.445</v>
      </c>
      <c r="S186" s="91">
        <f>IFERROR(__xludf.DUMMYFUNCTION("IFERROR(sum(FILTER('Fund Investment Data'!$V:$V, 'Fund Investment Data'!$C:$C = $C186, 'Fund Investment Data'!$A:$A &lt; $A186)),0) + IFERROR(sum(FILTER('Fund Investment Data'!$V:$V, 'Fund Investment Data'!$C:$C = $C186, 'Fund Investment Data'!$A:$A = $A186,"&amp;" 'Fund Investment Data'!$B:$B &lt;= $B186)),0)"),2960091.25)</f>
        <v>2960091.25</v>
      </c>
      <c r="T186" s="93">
        <v>3009816.0</v>
      </c>
      <c r="U186" s="32">
        <f t="shared" si="3"/>
        <v>-49724.75</v>
      </c>
      <c r="V186" s="32">
        <f>IFERROR(__xludf.DUMMYFUNCTION("$D186 - IFERROR(FILTER($D:$D,$C:$C = $C186, $A:$A = $A186, $B:$B = $B186 - 1),0)"),303000.0)</f>
        <v>303000</v>
      </c>
      <c r="W186" s="93">
        <f>IFERROR(__xludf.DUMMYFUNCTION("$E186 - IFERROR(FILTER($E:$E,$C:$C = $C186, $A:$A = $A186, $B:$B = $B186 - 1),0)"),-35000.0)</f>
        <v>-35000</v>
      </c>
      <c r="X186" s="93"/>
      <c r="Y186" s="93"/>
      <c r="Z186" s="93">
        <v>0.0</v>
      </c>
      <c r="AA186" s="93">
        <v>0.0</v>
      </c>
      <c r="AB186" s="93">
        <v>0.0</v>
      </c>
      <c r="AC186" s="93"/>
      <c r="AD186" s="93">
        <v>0.0</v>
      </c>
      <c r="AE186" s="32">
        <f t="shared" si="2"/>
        <v>-35000</v>
      </c>
      <c r="AF186" s="93">
        <v>0.0</v>
      </c>
    </row>
    <row r="187">
      <c r="A187" s="86">
        <v>2008.0</v>
      </c>
      <c r="B187" s="87">
        <v>12.0</v>
      </c>
      <c r="C187" s="88" t="s">
        <v>46</v>
      </c>
      <c r="D187" s="32"/>
      <c r="E187" s="32"/>
      <c r="F187" s="93"/>
      <c r="G187" s="93">
        <v>-2405.49</v>
      </c>
      <c r="H187" s="93">
        <v>10676.06</v>
      </c>
      <c r="I187" s="32"/>
      <c r="J187" s="93">
        <v>-110463.81</v>
      </c>
      <c r="K187" s="32"/>
      <c r="L187" s="32"/>
      <c r="M187" s="32"/>
      <c r="N187" s="32"/>
      <c r="O187" s="93">
        <v>336498.0</v>
      </c>
      <c r="P187" s="91">
        <f>IFERROR(__xludf.DUMMYFUNCTION("IFERROR(sum(FILTER($D:$N,$C:$C = $C187,$A:$A &lt; $A187,$B:$B = 12)),0) + sum($D187:$N187)"),336498.48)</f>
        <v>336498.48</v>
      </c>
      <c r="Q187" s="92">
        <f t="shared" si="1"/>
        <v>-0.48</v>
      </c>
      <c r="R187" s="91">
        <f t="array" ref="R187">IFERROR(INDEX('Fund YTD Target Values'!$1:$1000, MATCH($C187,'Fund YTD Target Values'!$A:$A,0), MATCH($A187,'Fund YTD Target Values'!$1:$1,0)),0)</f>
        <v>391343.3272</v>
      </c>
      <c r="S187" s="91">
        <f>IFERROR(__xludf.DUMMYFUNCTION("IFERROR(sum(FILTER('Fund Investment Data'!$V:$V, 'Fund Investment Data'!$C:$C = $C187, 'Fund Investment Data'!$A:$A &lt; $A187)),0) + IFERROR(sum(FILTER('Fund Investment Data'!$V:$V, 'Fund Investment Data'!$C:$C = $C187, 'Fund Investment Data'!$A:$A = $A187,"&amp;" 'Fund Investment Data'!$B:$B &lt;= $B187)),0)"),366400.0)</f>
        <v>366400</v>
      </c>
      <c r="T187" s="93">
        <v>366400.0</v>
      </c>
      <c r="U187" s="32">
        <f t="shared" si="3"/>
        <v>0</v>
      </c>
      <c r="V187" s="32">
        <f>IFERROR(__xludf.DUMMYFUNCTION("$D187 - IFERROR(FILTER($D:$D,$C:$C = $C187, $A:$A = $A187, $B:$B = $B187 - 1),0)"),0.0)</f>
        <v>0</v>
      </c>
      <c r="W187" s="93">
        <f>IFERROR(__xludf.DUMMYFUNCTION("$E187 - IFERROR(FILTER($E:$E,$C:$C = $C187, $A:$A = $A187, $B:$B = $B187 - 1),0)"),0.0)</f>
        <v>0</v>
      </c>
      <c r="X187" s="93"/>
      <c r="Y187" s="93"/>
      <c r="Z187" s="93">
        <v>0.0</v>
      </c>
      <c r="AA187" s="93">
        <v>0.0</v>
      </c>
      <c r="AB187" s="93">
        <v>0.0</v>
      </c>
      <c r="AC187" s="93"/>
      <c r="AD187" s="93">
        <v>0.0</v>
      </c>
      <c r="AE187" s="32">
        <f t="shared" si="2"/>
        <v>0</v>
      </c>
      <c r="AF187" s="93">
        <v>0.0</v>
      </c>
    </row>
    <row r="188">
      <c r="A188" s="86">
        <v>2008.0</v>
      </c>
      <c r="B188" s="87">
        <v>12.0</v>
      </c>
      <c r="C188" s="88" t="s">
        <v>36</v>
      </c>
      <c r="D188" s="93">
        <v>18000.0</v>
      </c>
      <c r="E188" s="93">
        <v>-35000.0</v>
      </c>
      <c r="F188" s="93"/>
      <c r="G188" s="93">
        <v>-2752.85</v>
      </c>
      <c r="H188" s="93">
        <v>12319.3</v>
      </c>
      <c r="I188" s="93">
        <v>299.95</v>
      </c>
      <c r="J188" s="93">
        <v>-126697.61</v>
      </c>
      <c r="K188" s="32"/>
      <c r="L188" s="32"/>
      <c r="M188" s="32"/>
      <c r="N188" s="32"/>
      <c r="O188" s="93">
        <v>389909.0</v>
      </c>
      <c r="P188" s="91">
        <f>IFERROR(__xludf.DUMMYFUNCTION("IFERROR(sum(FILTER($D:$N,$C:$C = $C188,$A:$A &lt; $A188,$B:$B = 12)),0) + sum($D188:$N188)"),389908.69000000006)</f>
        <v>389908.69</v>
      </c>
      <c r="Q188" s="92">
        <f t="shared" si="1"/>
        <v>0.3099999999</v>
      </c>
      <c r="R188" s="91">
        <f t="array" ref="R188">IFERROR(INDEX('Fund YTD Target Values'!$1:$1000, MATCH($C188,'Fund YTD Target Values'!$A:$A,0), MATCH($A188,'Fund YTD Target Values'!$1:$1,0)),0)</f>
        <v>544726.9966</v>
      </c>
      <c r="S188" s="91">
        <f>IFERROR(__xludf.DUMMYFUNCTION("IFERROR(sum(FILTER('Fund Investment Data'!$V:$V, 'Fund Investment Data'!$C:$C = $C188, 'Fund Investment Data'!$A:$A &lt; $A188)),0) + IFERROR(sum(FILTER('Fund Investment Data'!$V:$V, 'Fund Investment Data'!$C:$C = $C188, 'Fund Investment Data'!$A:$A = $A188,"&amp;" 'Fund Investment Data'!$B:$B &lt;= $B188)),0)"),429067.24)</f>
        <v>429067.24</v>
      </c>
      <c r="T188" s="93">
        <v>413959.0</v>
      </c>
      <c r="U188" s="32">
        <f t="shared" si="3"/>
        <v>15108.24</v>
      </c>
      <c r="V188" s="32">
        <f>IFERROR(__xludf.DUMMYFUNCTION("$D188 - IFERROR(FILTER($D:$D,$C:$C = $C188, $A:$A = $A188, $B:$B = $B188 - 1),0)"),18000.0)</f>
        <v>18000</v>
      </c>
      <c r="W188" s="93">
        <f>IFERROR(__xludf.DUMMYFUNCTION("$E188 - IFERROR(FILTER($E:$E,$C:$C = $C188, $A:$A = $A188, $B:$B = $B188 - 1),0)"),-35000.0)</f>
        <v>-35000</v>
      </c>
      <c r="X188" s="93"/>
      <c r="Y188" s="93"/>
      <c r="Z188" s="93">
        <v>0.0</v>
      </c>
      <c r="AA188" s="93">
        <v>0.0</v>
      </c>
      <c r="AB188" s="93">
        <v>0.0</v>
      </c>
      <c r="AC188" s="93"/>
      <c r="AD188" s="93">
        <v>0.0</v>
      </c>
      <c r="AE188" s="32">
        <f t="shared" si="2"/>
        <v>-35000</v>
      </c>
      <c r="AF188" s="93">
        <v>0.0</v>
      </c>
    </row>
    <row r="189">
      <c r="A189" s="86">
        <v>2008.0</v>
      </c>
      <c r="B189" s="87">
        <v>12.0</v>
      </c>
      <c r="C189" s="88" t="s">
        <v>29</v>
      </c>
      <c r="D189" s="32"/>
      <c r="E189" s="93">
        <v>-5000.0</v>
      </c>
      <c r="F189" s="93"/>
      <c r="G189" s="93">
        <v>-388.19</v>
      </c>
      <c r="H189" s="93">
        <v>1731.0</v>
      </c>
      <c r="I189" s="93">
        <v>409.24</v>
      </c>
      <c r="J189" s="93">
        <v>-17837.52</v>
      </c>
      <c r="K189" s="32"/>
      <c r="L189" s="32"/>
      <c r="M189" s="32"/>
      <c r="N189" s="32"/>
      <c r="O189" s="93">
        <v>52563.0</v>
      </c>
      <c r="P189" s="91">
        <f>IFERROR(__xludf.DUMMYFUNCTION("IFERROR(sum(FILTER($D:$N,$C:$C = $C189,$A:$A &lt; $A189,$B:$B = 12)),0) + sum($D189:$N189)"),52562.43999999993)</f>
        <v>52562.44</v>
      </c>
      <c r="Q189" s="92">
        <f t="shared" si="1"/>
        <v>0.5600000001</v>
      </c>
      <c r="R189" s="91">
        <f t="array" ref="R189">IFERROR(INDEX('Fund YTD Target Values'!$1:$1000, MATCH($C189,'Fund YTD Target Values'!$A:$A,0), MATCH($A189,'Fund YTD Target Values'!$1:$1,0)),0)</f>
        <v>66050.87856</v>
      </c>
      <c r="S189" s="91">
        <f>IFERROR(__xludf.DUMMYFUNCTION("IFERROR(sum(FILTER('Fund Investment Data'!$V:$V, 'Fund Investment Data'!$C:$C = $C189, 'Fund Investment Data'!$A:$A &lt; $A189)),0) + IFERROR(sum(FILTER('Fund Investment Data'!$V:$V, 'Fund Investment Data'!$C:$C = $C189, 'Fund Investment Data'!$A:$A = $A189,"&amp;" 'Fund Investment Data'!$B:$B &lt;= $B189)),0)"),50000.0)</f>
        <v>50000</v>
      </c>
      <c r="T189" s="93">
        <v>50000.0</v>
      </c>
      <c r="U189" s="32">
        <f t="shared" si="3"/>
        <v>0</v>
      </c>
      <c r="V189" s="32">
        <f>IFERROR(__xludf.DUMMYFUNCTION("$D189 - IFERROR(FILTER($D:$D,$C:$C = $C189, $A:$A = $A189, $B:$B = $B189 - 1),0)"),0.0)</f>
        <v>0</v>
      </c>
      <c r="W189" s="93">
        <f>IFERROR(__xludf.DUMMYFUNCTION("$E189 - IFERROR(FILTER($E:$E,$C:$C = $C189, $A:$A = $A189, $B:$B = $B189 - 1),0)"),-5000.0)</f>
        <v>-5000</v>
      </c>
      <c r="X189" s="93"/>
      <c r="Y189" s="93"/>
      <c r="Z189" s="93">
        <v>0.0</v>
      </c>
      <c r="AA189" s="93">
        <v>0.0</v>
      </c>
      <c r="AB189" s="93">
        <v>0.0</v>
      </c>
      <c r="AC189" s="93"/>
      <c r="AD189" s="93">
        <v>0.0</v>
      </c>
      <c r="AE189" s="32">
        <f t="shared" si="2"/>
        <v>-5000</v>
      </c>
      <c r="AF189" s="93">
        <v>0.0</v>
      </c>
    </row>
    <row r="190">
      <c r="A190" s="86">
        <v>2008.0</v>
      </c>
      <c r="B190" s="87">
        <v>12.0</v>
      </c>
      <c r="C190" s="88" t="s">
        <v>38</v>
      </c>
      <c r="D190" s="93">
        <v>10000.0</v>
      </c>
      <c r="E190" s="93">
        <v>-4356.0</v>
      </c>
      <c r="F190" s="93"/>
      <c r="G190" s="93">
        <v>-3407.92</v>
      </c>
      <c r="H190" s="93">
        <v>15173.08</v>
      </c>
      <c r="I190" s="32"/>
      <c r="J190" s="93">
        <v>-154974.51</v>
      </c>
      <c r="K190" s="32"/>
      <c r="L190" s="32"/>
      <c r="M190" s="32"/>
      <c r="N190" s="32"/>
      <c r="O190" s="93">
        <v>476669.0</v>
      </c>
      <c r="P190" s="91">
        <f>IFERROR(__xludf.DUMMYFUNCTION("IFERROR(sum(FILTER($D:$N,$C:$C = $C190,$A:$A &lt; $A190,$B:$B = 12)),0) + sum($D190:$N190)"),476669.29000000004)</f>
        <v>476669.29</v>
      </c>
      <c r="Q190" s="92">
        <f t="shared" si="1"/>
        <v>-0.29</v>
      </c>
      <c r="R190" s="91">
        <f t="array" ref="R190">IFERROR(INDEX('Fund YTD Target Values'!$1:$1000, MATCH($C190,'Fund YTD Target Values'!$A:$A,0), MATCH($A190,'Fund YTD Target Values'!$1:$1,0)),0)</f>
        <v>581245.4648</v>
      </c>
      <c r="S190" s="91">
        <f>IFERROR(__xludf.DUMMYFUNCTION("IFERROR(sum(FILTER('Fund Investment Data'!$V:$V, 'Fund Investment Data'!$C:$C = $C190, 'Fund Investment Data'!$A:$A &lt; $A190)),0) + IFERROR(sum(FILTER('Fund Investment Data'!$V:$V, 'Fund Investment Data'!$C:$C = $C190, 'Fund Investment Data'!$A:$A = $A190,"&amp;" 'Fund Investment Data'!$B:$B &lt;= $B190)),0)"),535191.64)</f>
        <v>535191.64</v>
      </c>
      <c r="T190" s="93">
        <v>537246.0</v>
      </c>
      <c r="U190" s="32">
        <f t="shared" si="3"/>
        <v>-2054.36</v>
      </c>
      <c r="V190" s="32">
        <f>IFERROR(__xludf.DUMMYFUNCTION("$D190 - IFERROR(FILTER($D:$D,$C:$C = $C190, $A:$A = $A190, $B:$B = $B190 - 1),0)"),10000.0)</f>
        <v>10000</v>
      </c>
      <c r="W190" s="93">
        <f>IFERROR(__xludf.DUMMYFUNCTION("$E190 - IFERROR(FILTER($E:$E,$C:$C = $C190, $A:$A = $A190, $B:$B = $B190 - 1),0)"),-4356.0)</f>
        <v>-4356</v>
      </c>
      <c r="X190" s="93"/>
      <c r="Y190" s="93"/>
      <c r="Z190" s="93">
        <v>0.0</v>
      </c>
      <c r="AA190" s="93">
        <v>0.0</v>
      </c>
      <c r="AB190" s="93">
        <v>0.0</v>
      </c>
      <c r="AC190" s="93"/>
      <c r="AD190" s="93">
        <v>0.0</v>
      </c>
      <c r="AE190" s="32">
        <f t="shared" si="2"/>
        <v>-4356</v>
      </c>
      <c r="AF190" s="93">
        <v>0.0</v>
      </c>
    </row>
    <row r="191">
      <c r="A191" s="86">
        <v>2008.0</v>
      </c>
      <c r="B191" s="87">
        <v>12.0</v>
      </c>
      <c r="C191" s="88" t="s">
        <v>30</v>
      </c>
      <c r="D191" s="32"/>
      <c r="E191" s="32"/>
      <c r="F191" s="93"/>
      <c r="G191" s="93">
        <v>-123.2</v>
      </c>
      <c r="H191" s="93">
        <v>546.44</v>
      </c>
      <c r="I191" s="32"/>
      <c r="J191" s="93">
        <v>-5503.15</v>
      </c>
      <c r="K191" s="32"/>
      <c r="L191" s="32"/>
      <c r="M191" s="32"/>
      <c r="N191" s="32"/>
      <c r="O191" s="93">
        <v>17343.0</v>
      </c>
      <c r="P191" s="91">
        <f>IFERROR(__xludf.DUMMYFUNCTION("IFERROR(sum(FILTER($D:$N,$C:$C = $C191,$A:$A &lt; $A191,$B:$B = 12)),0) + sum($D191:$N191)"),17341.139999999992)</f>
        <v>17341.14</v>
      </c>
      <c r="Q191" s="92">
        <f t="shared" si="1"/>
        <v>1.86</v>
      </c>
      <c r="R191" s="91">
        <f t="array" ref="R191">IFERROR(INDEX('Fund YTD Target Values'!$1:$1000, MATCH($C191,'Fund YTD Target Values'!$A:$A,0), MATCH($A191,'Fund YTD Target Values'!$1:$1,0)),0)</f>
        <v>15844.62075</v>
      </c>
      <c r="S191" s="91">
        <f>IFERROR(__xludf.DUMMYFUNCTION("IFERROR(sum(FILTER('Fund Investment Data'!$V:$V, 'Fund Investment Data'!$C:$C = $C191, 'Fund Investment Data'!$A:$A &lt; $A191)),0) + IFERROR(sum(FILTER('Fund Investment Data'!$V:$V, 'Fund Investment Data'!$C:$C = $C191, 'Fund Investment Data'!$A:$A = $A191,"&amp;" 'Fund Investment Data'!$B:$B &lt;= $B191)),0)"),11540.75)</f>
        <v>11540.75</v>
      </c>
      <c r="T191" s="93">
        <v>10000.0</v>
      </c>
      <c r="U191" s="32">
        <f t="shared" si="3"/>
        <v>1540.75</v>
      </c>
      <c r="V191" s="32">
        <f>IFERROR(__xludf.DUMMYFUNCTION("$D191 - IFERROR(FILTER($D:$D,$C:$C = $C191, $A:$A = $A191, $B:$B = $B191 - 1),0)"),0.0)</f>
        <v>0</v>
      </c>
      <c r="W191" s="93">
        <f>IFERROR(__xludf.DUMMYFUNCTION("$E191 - IFERROR(FILTER($E:$E,$C:$C = $C191, $A:$A = $A191, $B:$B = $B191 - 1),0)"),0.0)</f>
        <v>0</v>
      </c>
      <c r="X191" s="93"/>
      <c r="Y191" s="93"/>
      <c r="Z191" s="93">
        <v>0.0</v>
      </c>
      <c r="AA191" s="93">
        <v>0.0</v>
      </c>
      <c r="AB191" s="93">
        <v>0.0</v>
      </c>
      <c r="AC191" s="93"/>
      <c r="AD191" s="93">
        <v>0.0</v>
      </c>
      <c r="AE191" s="32">
        <f t="shared" si="2"/>
        <v>0</v>
      </c>
      <c r="AF191" s="93">
        <v>0.0</v>
      </c>
    </row>
    <row r="192">
      <c r="A192" s="86">
        <v>2008.0</v>
      </c>
      <c r="B192" s="87">
        <v>12.0</v>
      </c>
      <c r="C192" s="88" t="s">
        <v>47</v>
      </c>
      <c r="D192" s="32"/>
      <c r="E192" s="93">
        <v>-75000.0</v>
      </c>
      <c r="F192" s="93"/>
      <c r="G192" s="93">
        <v>-8395.49</v>
      </c>
      <c r="H192" s="93">
        <v>37463.24</v>
      </c>
      <c r="I192" s="93">
        <v>5441.46</v>
      </c>
      <c r="J192" s="93">
        <v>-390376.3</v>
      </c>
      <c r="K192" s="32"/>
      <c r="L192" s="32"/>
      <c r="M192" s="32"/>
      <c r="N192" s="32"/>
      <c r="O192" s="93">
        <v>1154869.0</v>
      </c>
      <c r="P192" s="91">
        <f>IFERROR(__xludf.DUMMYFUNCTION("IFERROR(sum(FILTER($D:$N,$C:$C = $C192,$A:$A &lt; $A192,$B:$B = 12)),0) + sum($D192:$N192)"),1154868.6099999999)</f>
        <v>1154868.61</v>
      </c>
      <c r="Q192" s="92">
        <f t="shared" si="1"/>
        <v>0.3900000001</v>
      </c>
      <c r="R192" s="91">
        <f t="array" ref="R192">IFERROR(INDEX('Fund YTD Target Values'!$1:$1000, MATCH($C192,'Fund YTD Target Values'!$A:$A,0), MATCH($A192,'Fund YTD Target Values'!$1:$1,0)),0)</f>
        <v>1704491.263</v>
      </c>
      <c r="S192" s="91">
        <f>IFERROR(__xludf.DUMMYFUNCTION("IFERROR(sum(FILTER('Fund Investment Data'!$V:$V, 'Fund Investment Data'!$C:$C = $C192, 'Fund Investment Data'!$A:$A &lt; $A192)),0) + IFERROR(sum(FILTER('Fund Investment Data'!$V:$V, 'Fund Investment Data'!$C:$C = $C192, 'Fund Investment Data'!$A:$A = $A192,"&amp;" 'Fund Investment Data'!$B:$B &lt;= $B192)),0)"),1446367.46)</f>
        <v>1446367.46</v>
      </c>
      <c r="T192" s="93">
        <v>1348955.0</v>
      </c>
      <c r="U192" s="32">
        <f t="shared" si="3"/>
        <v>97412.46</v>
      </c>
      <c r="V192" s="32">
        <f>IFERROR(__xludf.DUMMYFUNCTION("$D192 - IFERROR(FILTER($D:$D,$C:$C = $C192, $A:$A = $A192, $B:$B = $B192 - 1),0)"),0.0)</f>
        <v>0</v>
      </c>
      <c r="W192" s="93">
        <f>IFERROR(__xludf.DUMMYFUNCTION("$E192 - IFERROR(FILTER($E:$E,$C:$C = $C192, $A:$A = $A192, $B:$B = $B192 - 1),0)"),-75000.0)</f>
        <v>-75000</v>
      </c>
      <c r="X192" s="93"/>
      <c r="Y192" s="93"/>
      <c r="Z192" s="93">
        <v>0.0</v>
      </c>
      <c r="AA192" s="93">
        <v>0.0</v>
      </c>
      <c r="AB192" s="93">
        <v>0.0</v>
      </c>
      <c r="AC192" s="93"/>
      <c r="AD192" s="93">
        <v>0.0</v>
      </c>
      <c r="AE192" s="32">
        <f t="shared" si="2"/>
        <v>-75000</v>
      </c>
      <c r="AF192" s="93">
        <v>0.0</v>
      </c>
    </row>
    <row r="193">
      <c r="A193" s="86">
        <v>2008.0</v>
      </c>
      <c r="B193" s="87">
        <v>12.0</v>
      </c>
      <c r="C193" s="88" t="s">
        <v>31</v>
      </c>
      <c r="D193" s="93">
        <v>500.0</v>
      </c>
      <c r="E193" s="32"/>
      <c r="F193" s="93"/>
      <c r="G193" s="93">
        <v>-1090.55</v>
      </c>
      <c r="H193" s="93">
        <v>4849.92</v>
      </c>
      <c r="I193" s="32"/>
      <c r="J193" s="93">
        <v>-49952.02</v>
      </c>
      <c r="K193" s="32"/>
      <c r="L193" s="32"/>
      <c r="M193" s="32"/>
      <c r="N193" s="32"/>
      <c r="O193" s="93">
        <v>153033.0</v>
      </c>
      <c r="P193" s="91">
        <f>IFERROR(__xludf.DUMMYFUNCTION("IFERROR(sum(FILTER($D:$N,$C:$C = $C193,$A:$A &lt; $A193,$B:$B = 12)),0) + sum($D193:$N193)"),153033.89)</f>
        <v>153033.89</v>
      </c>
      <c r="Q193" s="92">
        <f t="shared" si="1"/>
        <v>-0.89</v>
      </c>
      <c r="R193" s="91">
        <f t="array" ref="R193">IFERROR(INDEX('Fund YTD Target Values'!$1:$1000, MATCH($C193,'Fund YTD Target Values'!$A:$A,0), MATCH($A193,'Fund YTD Target Values'!$1:$1,0)),0)</f>
        <v>171646.1979</v>
      </c>
      <c r="S193" s="91">
        <f>IFERROR(__xludf.DUMMYFUNCTION("IFERROR(sum(FILTER('Fund Investment Data'!$V:$V, 'Fund Investment Data'!$C:$C = $C193, 'Fund Investment Data'!$A:$A &lt; $A193)),0) + IFERROR(sum(FILTER('Fund Investment Data'!$V:$V, 'Fund Investment Data'!$C:$C = $C193, 'Fund Investment Data'!$A:$A = $A193,"&amp;" 'Fund Investment Data'!$B:$B &lt;= $B193)),0)"),148600.0)</f>
        <v>148600</v>
      </c>
      <c r="T193" s="93">
        <v>148600.0</v>
      </c>
      <c r="U193" s="32">
        <f t="shared" si="3"/>
        <v>0</v>
      </c>
      <c r="V193" s="32">
        <f>IFERROR(__xludf.DUMMYFUNCTION("$D193 - IFERROR(FILTER($D:$D,$C:$C = $C193, $A:$A = $A193, $B:$B = $B193 - 1),0)"),500.0)</f>
        <v>500</v>
      </c>
      <c r="W193" s="93">
        <f>IFERROR(__xludf.DUMMYFUNCTION("$E193 - IFERROR(FILTER($E:$E,$C:$C = $C193, $A:$A = $A193, $B:$B = $B193 - 1),0)"),0.0)</f>
        <v>0</v>
      </c>
      <c r="X193" s="93"/>
      <c r="Y193" s="93"/>
      <c r="Z193" s="93">
        <v>0.0</v>
      </c>
      <c r="AA193" s="93">
        <v>0.0</v>
      </c>
      <c r="AB193" s="93">
        <v>0.0</v>
      </c>
      <c r="AC193" s="93"/>
      <c r="AD193" s="93">
        <v>0.0</v>
      </c>
      <c r="AE193" s="32">
        <f t="shared" si="2"/>
        <v>0</v>
      </c>
      <c r="AF193" s="93">
        <v>0.0</v>
      </c>
    </row>
    <row r="194">
      <c r="A194" s="86">
        <v>2008.0</v>
      </c>
      <c r="B194" s="87">
        <v>12.0</v>
      </c>
      <c r="C194" s="88" t="s">
        <v>39</v>
      </c>
      <c r="D194" s="93">
        <v>10000.0</v>
      </c>
      <c r="E194" s="32"/>
      <c r="F194" s="93"/>
      <c r="G194" s="93">
        <v>-4.0</v>
      </c>
      <c r="H194" s="93">
        <v>0.0</v>
      </c>
      <c r="I194" s="32"/>
      <c r="J194" s="93">
        <v>0.0</v>
      </c>
      <c r="K194" s="32"/>
      <c r="L194" s="32"/>
      <c r="M194" s="32"/>
      <c r="N194" s="32"/>
      <c r="O194" s="93">
        <v>9996.0</v>
      </c>
      <c r="P194" s="91">
        <f>IFERROR(__xludf.DUMMYFUNCTION("IFERROR(sum(FILTER($D:$N,$C:$C = $C194,$A:$A &lt; $A194,$B:$B = 12)),0) + sum($D194:$N194)"),9996.0)</f>
        <v>9996</v>
      </c>
      <c r="Q194" s="92">
        <f t="shared" si="1"/>
        <v>0</v>
      </c>
      <c r="R194" s="91">
        <f t="array" ref="R194">IFERROR(INDEX('Fund YTD Target Values'!$1:$1000, MATCH($C194,'Fund YTD Target Values'!$A:$A,0), MATCH($A194,'Fund YTD Target Values'!$1:$1,0)),0)</f>
        <v>10000</v>
      </c>
      <c r="S194" s="91">
        <f>IFERROR(__xludf.DUMMYFUNCTION("IFERROR(sum(FILTER('Fund Investment Data'!$V:$V, 'Fund Investment Data'!$C:$C = $C194, 'Fund Investment Data'!$A:$A &lt; $A194)),0) + IFERROR(sum(FILTER('Fund Investment Data'!$V:$V, 'Fund Investment Data'!$C:$C = $C194, 'Fund Investment Data'!$A:$A = $A194,"&amp;" 'Fund Investment Data'!$B:$B &lt;= $B194)),0)"),10000.0)</f>
        <v>10000</v>
      </c>
      <c r="T194" s="93">
        <v>10000.0</v>
      </c>
      <c r="U194" s="32">
        <f t="shared" si="3"/>
        <v>0</v>
      </c>
      <c r="V194" s="32">
        <f>IFERROR(__xludf.DUMMYFUNCTION("$D194 - IFERROR(FILTER($D:$D,$C:$C = $C194, $A:$A = $A194, $B:$B = $B194 - 1),0)"),10000.0)</f>
        <v>10000</v>
      </c>
      <c r="W194" s="93">
        <f>IFERROR(__xludf.DUMMYFUNCTION("$E194 - IFERROR(FILTER($E:$E,$C:$C = $C194, $A:$A = $A194, $B:$B = $B194 - 1),0)"),0.0)</f>
        <v>0</v>
      </c>
      <c r="X194" s="93"/>
      <c r="Y194" s="93"/>
      <c r="Z194" s="93">
        <v>0.0</v>
      </c>
      <c r="AA194" s="93">
        <v>0.0</v>
      </c>
      <c r="AB194" s="93">
        <v>0.0</v>
      </c>
      <c r="AC194" s="93"/>
      <c r="AD194" s="93">
        <v>0.0</v>
      </c>
      <c r="AE194" s="32">
        <f t="shared" si="2"/>
        <v>0</v>
      </c>
      <c r="AF194" s="93">
        <v>0.0</v>
      </c>
    </row>
    <row r="195">
      <c r="A195" s="86">
        <v>2008.0</v>
      </c>
      <c r="B195" s="87">
        <v>12.0</v>
      </c>
      <c r="C195" s="88" t="s">
        <v>50</v>
      </c>
      <c r="D195" s="93">
        <v>10000.0</v>
      </c>
      <c r="E195" s="32"/>
      <c r="F195" s="93"/>
      <c r="G195" s="93">
        <v>-679.05</v>
      </c>
      <c r="H195" s="93">
        <v>3137.96</v>
      </c>
      <c r="I195" s="32"/>
      <c r="J195" s="93">
        <v>-29213.15</v>
      </c>
      <c r="K195" s="32"/>
      <c r="L195" s="32"/>
      <c r="M195" s="32"/>
      <c r="N195" s="32"/>
      <c r="O195" s="93">
        <v>95934.0</v>
      </c>
      <c r="P195" s="91">
        <f>IFERROR(__xludf.DUMMYFUNCTION("IFERROR(sum(FILTER($D:$N,$C:$C = $C195,$A:$A &lt; $A195,$B:$B = 12)),0) + sum($D195:$N195)"),95933.22)</f>
        <v>95933.22</v>
      </c>
      <c r="Q195" s="92">
        <f t="shared" si="1"/>
        <v>0.78</v>
      </c>
      <c r="R195" s="91">
        <f t="array" ref="R195">IFERROR(INDEX('Fund YTD Target Values'!$1:$1000, MATCH($C195,'Fund YTD Target Values'!$A:$A,0), MATCH($A195,'Fund YTD Target Values'!$1:$1,0)),0)</f>
        <v>113212.797</v>
      </c>
      <c r="S195" s="91">
        <f>IFERROR(__xludf.DUMMYFUNCTION("IFERROR(sum(FILTER('Fund Investment Data'!$V:$V, 'Fund Investment Data'!$C:$C = $C195, 'Fund Investment Data'!$A:$A &lt; $A195)),0) + IFERROR(sum(FILTER('Fund Investment Data'!$V:$V, 'Fund Investment Data'!$C:$C = $C195, 'Fund Investment Data'!$A:$A = $A195,"&amp;" 'Fund Investment Data'!$B:$B &lt;= $B195)),0)"),105189.56)</f>
        <v>105189.56</v>
      </c>
      <c r="T195" s="93">
        <v>105241.0</v>
      </c>
      <c r="U195" s="32">
        <f t="shared" si="3"/>
        <v>-51.44</v>
      </c>
      <c r="V195" s="32">
        <f>IFERROR(__xludf.DUMMYFUNCTION("$D195 - IFERROR(FILTER($D:$D,$C:$C = $C195, $A:$A = $A195, $B:$B = $B195 - 1),0)"),10000.0)</f>
        <v>10000</v>
      </c>
      <c r="W195" s="93">
        <f>IFERROR(__xludf.DUMMYFUNCTION("$E195 - IFERROR(FILTER($E:$E,$C:$C = $C195, $A:$A = $A195, $B:$B = $B195 - 1),0)"),0.0)</f>
        <v>0</v>
      </c>
      <c r="X195" s="93"/>
      <c r="Y195" s="93"/>
      <c r="Z195" s="93">
        <v>0.0</v>
      </c>
      <c r="AA195" s="93">
        <v>0.0</v>
      </c>
      <c r="AB195" s="93">
        <v>0.0</v>
      </c>
      <c r="AC195" s="93"/>
      <c r="AD195" s="93">
        <v>0.0</v>
      </c>
      <c r="AE195" s="32">
        <f t="shared" si="2"/>
        <v>0</v>
      </c>
      <c r="AF195" s="93">
        <v>0.0</v>
      </c>
    </row>
    <row r="196">
      <c r="A196" s="86">
        <v>2008.0</v>
      </c>
      <c r="B196" s="87">
        <v>12.0</v>
      </c>
      <c r="C196" s="88" t="s">
        <v>32</v>
      </c>
      <c r="D196" s="32"/>
      <c r="E196" s="32"/>
      <c r="F196" s="93"/>
      <c r="G196" s="93">
        <v>-407.12</v>
      </c>
      <c r="H196" s="93">
        <v>1805.64</v>
      </c>
      <c r="I196" s="32"/>
      <c r="J196" s="93">
        <v>-18604.39</v>
      </c>
      <c r="K196" s="32"/>
      <c r="L196" s="32"/>
      <c r="M196" s="32"/>
      <c r="N196" s="32"/>
      <c r="O196" s="93">
        <v>57026.0</v>
      </c>
      <c r="P196" s="91">
        <f>IFERROR(__xludf.DUMMYFUNCTION("IFERROR(sum(FILTER($D:$N,$C:$C = $C196,$A:$A &lt; $A196,$B:$B = 12)),0) + sum($D196:$N196)"),57025.33)</f>
        <v>57025.33</v>
      </c>
      <c r="Q196" s="92">
        <f t="shared" si="1"/>
        <v>0.67</v>
      </c>
      <c r="R196" s="91">
        <f t="array" ref="R196">IFERROR(INDEX('Fund YTD Target Values'!$1:$1000, MATCH($C196,'Fund YTD Target Values'!$A:$A,0), MATCH($A196,'Fund YTD Target Values'!$1:$1,0)),0)</f>
        <v>67870.82274</v>
      </c>
      <c r="S196" s="91">
        <f>IFERROR(__xludf.DUMMYFUNCTION("IFERROR(sum(FILTER('Fund Investment Data'!$V:$V, 'Fund Investment Data'!$C:$C = $C196, 'Fund Investment Data'!$A:$A &lt; $A196)),0) + IFERROR(sum(FILTER('Fund Investment Data'!$V:$V, 'Fund Investment Data'!$C:$C = $C196, 'Fund Investment Data'!$A:$A = $A196,"&amp;" 'Fund Investment Data'!$B:$B &lt;= $B196)),0)"),49449.04)</f>
        <v>49449.04</v>
      </c>
      <c r="T196" s="93">
        <v>39268.0</v>
      </c>
      <c r="U196" s="32">
        <f t="shared" si="3"/>
        <v>10181.04</v>
      </c>
      <c r="V196" s="32">
        <f>IFERROR(__xludf.DUMMYFUNCTION("$D196 - IFERROR(FILTER($D:$D,$C:$C = $C196, $A:$A = $A196, $B:$B = $B196 - 1),0)"),0.0)</f>
        <v>0</v>
      </c>
      <c r="W196" s="93">
        <f>IFERROR(__xludf.DUMMYFUNCTION("$E196 - IFERROR(FILTER($E:$E,$C:$C = $C196, $A:$A = $A196, $B:$B = $B196 - 1),0)"),0.0)</f>
        <v>0</v>
      </c>
      <c r="X196" s="93"/>
      <c r="Y196" s="93"/>
      <c r="Z196" s="93">
        <v>0.0</v>
      </c>
      <c r="AA196" s="93">
        <v>0.0</v>
      </c>
      <c r="AB196" s="93">
        <v>0.0</v>
      </c>
      <c r="AC196" s="93"/>
      <c r="AD196" s="93">
        <v>0.0</v>
      </c>
      <c r="AE196" s="32">
        <f t="shared" si="2"/>
        <v>0</v>
      </c>
      <c r="AF196" s="93">
        <v>0.0</v>
      </c>
    </row>
    <row r="197">
      <c r="A197" s="86">
        <v>2008.0</v>
      </c>
      <c r="B197" s="87">
        <v>12.0</v>
      </c>
      <c r="C197" s="88" t="s">
        <v>40</v>
      </c>
      <c r="D197" s="93">
        <v>400.0</v>
      </c>
      <c r="E197" s="32"/>
      <c r="F197" s="93">
        <v>-150.0</v>
      </c>
      <c r="G197" s="93">
        <v>-779.91</v>
      </c>
      <c r="H197" s="93">
        <v>3476.62</v>
      </c>
      <c r="I197" s="32"/>
      <c r="J197" s="93">
        <v>-35370.08</v>
      </c>
      <c r="K197" s="32"/>
      <c r="L197" s="32"/>
      <c r="M197" s="32"/>
      <c r="N197" s="32"/>
      <c r="O197" s="93">
        <v>109294.0</v>
      </c>
      <c r="P197" s="91">
        <f>IFERROR(__xludf.DUMMYFUNCTION("IFERROR(sum(FILTER($D:$N,$C:$C = $C197,$A:$A &lt; $A197,$B:$B = 12)),0) + sum($D197:$N197)"),109293.45000000001)</f>
        <v>109293.45</v>
      </c>
      <c r="Q197" s="92">
        <f t="shared" si="1"/>
        <v>0.55</v>
      </c>
      <c r="R197" s="91">
        <f t="array" ref="R197">IFERROR(INDEX('Fund YTD Target Values'!$1:$1000, MATCH($C197,'Fund YTD Target Values'!$A:$A,0), MATCH($A197,'Fund YTD Target Values'!$1:$1,0)),0)</f>
        <v>137289.7409</v>
      </c>
      <c r="S197" s="91">
        <f>IFERROR(__xludf.DUMMYFUNCTION("IFERROR(sum(FILTER('Fund Investment Data'!$V:$V, 'Fund Investment Data'!$C:$C = $C197, 'Fund Investment Data'!$A:$A &lt; $A197)),0) + IFERROR(sum(FILTER('Fund Investment Data'!$V:$V, 'Fund Investment Data'!$C:$C = $C197, 'Fund Investment Data'!$A:$A = $A197,"&amp;" 'Fund Investment Data'!$B:$B &lt;= $B197)),0)"),128643.74)</f>
        <v>128643.74</v>
      </c>
      <c r="T197" s="93">
        <v>128663.0</v>
      </c>
      <c r="U197" s="32">
        <f t="shared" si="3"/>
        <v>-19.26</v>
      </c>
      <c r="V197" s="32">
        <f>IFERROR(__xludf.DUMMYFUNCTION("$D197 - IFERROR(FILTER($D:$D,$C:$C = $C197, $A:$A = $A197, $B:$B = $B197 - 1),0)"),400.0)</f>
        <v>400</v>
      </c>
      <c r="W197" s="93">
        <f>IFERROR(__xludf.DUMMYFUNCTION("$E197 - IFERROR(FILTER($E:$E,$C:$C = $C197, $A:$A = $A197, $B:$B = $B197 - 1),0)"),0.0)</f>
        <v>0</v>
      </c>
      <c r="X197" s="93"/>
      <c r="Y197" s="93"/>
      <c r="Z197" s="93">
        <v>0.0</v>
      </c>
      <c r="AA197" s="93">
        <v>0.0</v>
      </c>
      <c r="AB197" s="93">
        <v>0.0</v>
      </c>
      <c r="AC197" s="93"/>
      <c r="AD197" s="93">
        <v>0.0</v>
      </c>
      <c r="AE197" s="32">
        <f t="shared" si="2"/>
        <v>0</v>
      </c>
      <c r="AF197" s="93">
        <v>0.0</v>
      </c>
    </row>
    <row r="198">
      <c r="A198" s="86">
        <v>2008.0</v>
      </c>
      <c r="B198" s="87">
        <v>12.0</v>
      </c>
      <c r="C198" s="88" t="s">
        <v>48</v>
      </c>
      <c r="D198" s="32"/>
      <c r="E198" s="93">
        <v>-85000.0</v>
      </c>
      <c r="F198" s="93"/>
      <c r="G198" s="93">
        <v>-7419.93</v>
      </c>
      <c r="H198" s="93">
        <v>32997.19</v>
      </c>
      <c r="I198" s="93">
        <v>8493.7</v>
      </c>
      <c r="J198" s="93">
        <v>-347732.21</v>
      </c>
      <c r="K198" s="32"/>
      <c r="L198" s="32"/>
      <c r="M198" s="32"/>
      <c r="N198" s="32"/>
      <c r="O198" s="93">
        <v>1012818.0</v>
      </c>
      <c r="P198" s="91">
        <f>IFERROR(__xludf.DUMMYFUNCTION("IFERROR(sum(FILTER($D:$N,$C:$C = $C198,$A:$A &lt; $A198,$B:$B = 12)),0) + sum($D198:$N198)"),1012817.1699999999)</f>
        <v>1012817.17</v>
      </c>
      <c r="Q198" s="92">
        <f t="shared" si="1"/>
        <v>0.8300000001</v>
      </c>
      <c r="R198" s="91">
        <f t="array" ref="R198">IFERROR(INDEX('Fund YTD Target Values'!$1:$1000, MATCH($C198,'Fund YTD Target Values'!$A:$A,0), MATCH($A198,'Fund YTD Target Values'!$1:$1,0)),0)</f>
        <v>1625450.008</v>
      </c>
      <c r="S198" s="91">
        <f>IFERROR(__xludf.DUMMYFUNCTION("IFERROR(sum(FILTER('Fund Investment Data'!$V:$V, 'Fund Investment Data'!$C:$C = $C198, 'Fund Investment Data'!$A:$A &lt; $A198)),0) + IFERROR(sum(FILTER('Fund Investment Data'!$V:$V, 'Fund Investment Data'!$C:$C = $C198, 'Fund Investment Data'!$A:$A = $A198,"&amp;" 'Fund Investment Data'!$B:$B &lt;= $B198)),0)"),1183929.39)</f>
        <v>1183929.39</v>
      </c>
      <c r="T198" s="93">
        <v>1140040.0</v>
      </c>
      <c r="U198" s="32">
        <f t="shared" si="3"/>
        <v>43889.39</v>
      </c>
      <c r="V198" s="32">
        <f>IFERROR(__xludf.DUMMYFUNCTION("$D198 - IFERROR(FILTER($D:$D,$C:$C = $C198, $A:$A = $A198, $B:$B = $B198 - 1),0)"),0.0)</f>
        <v>0</v>
      </c>
      <c r="W198" s="93">
        <f>IFERROR(__xludf.DUMMYFUNCTION("$E198 - IFERROR(FILTER($E:$E,$C:$C = $C198, $A:$A = $A198, $B:$B = $B198 - 1),0)"),-85000.0)</f>
        <v>-85000</v>
      </c>
      <c r="X198" s="93"/>
      <c r="Y198" s="93"/>
      <c r="Z198" s="93">
        <v>0.0</v>
      </c>
      <c r="AA198" s="93">
        <v>0.0</v>
      </c>
      <c r="AB198" s="93">
        <v>0.0</v>
      </c>
      <c r="AC198" s="93"/>
      <c r="AD198" s="93">
        <v>0.0</v>
      </c>
      <c r="AE198" s="32">
        <f t="shared" si="2"/>
        <v>-85000</v>
      </c>
      <c r="AF198" s="93">
        <v>0.0</v>
      </c>
    </row>
    <row r="199">
      <c r="A199" s="86">
        <v>2008.0</v>
      </c>
      <c r="B199" s="87">
        <v>12.0</v>
      </c>
      <c r="C199" s="88" t="s">
        <v>49</v>
      </c>
      <c r="D199" s="32"/>
      <c r="E199" s="93">
        <v>-15000.0</v>
      </c>
      <c r="F199" s="93"/>
      <c r="G199" s="93">
        <v>-3211.92</v>
      </c>
      <c r="H199" s="93">
        <v>14282.92</v>
      </c>
      <c r="I199" s="93">
        <v>714.19</v>
      </c>
      <c r="J199" s="93">
        <v>-149147.93</v>
      </c>
      <c r="K199" s="32"/>
      <c r="L199" s="32"/>
      <c r="M199" s="32"/>
      <c r="N199" s="32"/>
      <c r="O199" s="93">
        <v>446634.0</v>
      </c>
      <c r="P199" s="91">
        <f>IFERROR(__xludf.DUMMYFUNCTION("IFERROR(sum(FILTER($D:$N,$C:$C = $C199,$A:$A &lt; $A199,$B:$B = 12)),0) + sum($D199:$N199)"),446634.1499999998)</f>
        <v>446634.15</v>
      </c>
      <c r="Q199" s="92">
        <f t="shared" si="1"/>
        <v>-0.1499999998</v>
      </c>
      <c r="R199" s="91">
        <f t="array" ref="R199">IFERROR(INDEX('Fund YTD Target Values'!$1:$1000, MATCH($C199,'Fund YTD Target Values'!$A:$A,0), MATCH($A199,'Fund YTD Target Values'!$1:$1,0)),0)</f>
        <v>601212.327</v>
      </c>
      <c r="S199" s="91">
        <f>IFERROR(__xludf.DUMMYFUNCTION("IFERROR(sum(FILTER('Fund Investment Data'!$V:$V, 'Fund Investment Data'!$C:$C = $C199, 'Fund Investment Data'!$A:$A &lt; $A199)),0) + IFERROR(sum(FILTER('Fund Investment Data'!$V:$V, 'Fund Investment Data'!$C:$C = $C199, 'Fund Investment Data'!$A:$A = $A199,"&amp;" 'Fund Investment Data'!$B:$B &lt;= $B199)),0)"),500000.0)</f>
        <v>500000</v>
      </c>
      <c r="T199" s="93">
        <v>500000.0</v>
      </c>
      <c r="U199" s="32">
        <f t="shared" si="3"/>
        <v>0</v>
      </c>
      <c r="V199" s="32">
        <f>IFERROR(__xludf.DUMMYFUNCTION("$D199 - IFERROR(FILTER($D:$D,$C:$C = $C199, $A:$A = $A199, $B:$B = $B199 - 1),0)"),0.0)</f>
        <v>0</v>
      </c>
      <c r="W199" s="93">
        <f>IFERROR(__xludf.DUMMYFUNCTION("$E199 - IFERROR(FILTER($E:$E,$C:$C = $C199, $A:$A = $A199, $B:$B = $B199 - 1),0)"),-15000.0)</f>
        <v>-15000</v>
      </c>
      <c r="X199" s="93"/>
      <c r="Y199" s="93"/>
      <c r="Z199" s="93">
        <v>0.0</v>
      </c>
      <c r="AA199" s="93">
        <v>0.0</v>
      </c>
      <c r="AB199" s="93">
        <v>0.0</v>
      </c>
      <c r="AC199" s="93"/>
      <c r="AD199" s="93">
        <v>0.0</v>
      </c>
      <c r="AE199" s="32">
        <f t="shared" si="2"/>
        <v>-15000</v>
      </c>
      <c r="AF199" s="93">
        <v>0.0</v>
      </c>
    </row>
    <row r="200">
      <c r="A200" s="86">
        <v>2008.0</v>
      </c>
      <c r="B200" s="87">
        <v>12.0</v>
      </c>
      <c r="C200" s="88" t="s">
        <v>41</v>
      </c>
      <c r="D200" s="32"/>
      <c r="E200" s="93">
        <v>-12355.0</v>
      </c>
      <c r="F200" s="93"/>
      <c r="G200" s="93">
        <v>-2923.94</v>
      </c>
      <c r="H200" s="93">
        <v>13007.98</v>
      </c>
      <c r="I200" s="93">
        <v>728.16</v>
      </c>
      <c r="J200" s="93">
        <v>-134882.88</v>
      </c>
      <c r="K200" s="32"/>
      <c r="L200" s="32"/>
      <c r="M200" s="32"/>
      <c r="N200" s="32"/>
      <c r="O200" s="93">
        <v>403036.0</v>
      </c>
      <c r="P200" s="91">
        <f>IFERROR(__xludf.DUMMYFUNCTION("IFERROR(sum(FILTER($D:$N,$C:$C = $C200,$A:$A &lt; $A200,$B:$B = 12)),0) + sum($D200:$N200)"),403037.32)</f>
        <v>403037.32</v>
      </c>
      <c r="Q200" s="92">
        <f t="shared" si="1"/>
        <v>-1.32</v>
      </c>
      <c r="R200" s="91">
        <f t="array" ref="R200">IFERROR(INDEX('Fund YTD Target Values'!$1:$1000, MATCH($C200,'Fund YTD Target Values'!$A:$A,0), MATCH($A200,'Fund YTD Target Values'!$1:$1,0)),0)</f>
        <v>503995.2052</v>
      </c>
      <c r="S200" s="91">
        <f>IFERROR(__xludf.DUMMYFUNCTION("IFERROR(sum(FILTER('Fund Investment Data'!$V:$V, 'Fund Investment Data'!$C:$C = $C200, 'Fund Investment Data'!$A:$A &lt; $A200)),0) + IFERROR(sum(FILTER('Fund Investment Data'!$V:$V, 'Fund Investment Data'!$C:$C = $C200, 'Fund Investment Data'!$A:$A = $A200,"&amp;" 'Fund Investment Data'!$B:$B &lt;= $B200)),0)"),433755.86)</f>
        <v>433755.86</v>
      </c>
      <c r="T200" s="93">
        <v>434291.0</v>
      </c>
      <c r="U200" s="32">
        <f t="shared" si="3"/>
        <v>-535.14</v>
      </c>
      <c r="V200" s="32">
        <f>IFERROR(__xludf.DUMMYFUNCTION("$D200 - IFERROR(FILTER($D:$D,$C:$C = $C200, $A:$A = $A200, $B:$B = $B200 - 1),0)"),0.0)</f>
        <v>0</v>
      </c>
      <c r="W200" s="93">
        <f>IFERROR(__xludf.DUMMYFUNCTION("$E200 - IFERROR(FILTER($E:$E,$C:$C = $C200, $A:$A = $A200, $B:$B = $B200 - 1),0)"),-12355.0)</f>
        <v>-12355</v>
      </c>
      <c r="X200" s="93"/>
      <c r="Y200" s="93"/>
      <c r="Z200" s="93">
        <v>0.0</v>
      </c>
      <c r="AA200" s="93">
        <v>0.0</v>
      </c>
      <c r="AB200" s="93">
        <v>0.0</v>
      </c>
      <c r="AC200" s="93"/>
      <c r="AD200" s="93">
        <v>0.0</v>
      </c>
      <c r="AE200" s="32">
        <f t="shared" si="2"/>
        <v>-12355</v>
      </c>
      <c r="AF200" s="93">
        <v>0.0</v>
      </c>
    </row>
    <row r="201">
      <c r="A201" s="86">
        <v>2008.0</v>
      </c>
      <c r="B201" s="87">
        <v>12.0</v>
      </c>
      <c r="C201" s="88" t="s">
        <v>25</v>
      </c>
      <c r="D201" s="32"/>
      <c r="E201" s="32"/>
      <c r="F201" s="93"/>
      <c r="G201" s="93">
        <v>-472.8</v>
      </c>
      <c r="H201" s="93">
        <v>2098.5</v>
      </c>
      <c r="I201" s="32"/>
      <c r="J201" s="93">
        <v>-21605.99</v>
      </c>
      <c r="K201" s="32"/>
      <c r="L201" s="32"/>
      <c r="M201" s="32"/>
      <c r="N201" s="32"/>
      <c r="O201" s="93">
        <v>66206.0</v>
      </c>
      <c r="P201" s="91">
        <f>IFERROR(__xludf.DUMMYFUNCTION("IFERROR(sum(FILTER($D:$N,$C:$C = $C201,$A:$A &lt; $A201,$B:$B = 12)),0) + sum($D201:$N201)"),66205.67000000001)</f>
        <v>66205.67</v>
      </c>
      <c r="Q201" s="92">
        <f t="shared" si="1"/>
        <v>0.33</v>
      </c>
      <c r="R201" s="91">
        <f t="array" ref="R201">IFERROR(INDEX('Fund YTD Target Values'!$1:$1000, MATCH($C201,'Fund YTD Target Values'!$A:$A,0), MATCH($A201,'Fund YTD Target Values'!$1:$1,0)),0)</f>
        <v>84490.5967</v>
      </c>
      <c r="S201" s="91">
        <f>IFERROR(__xludf.DUMMYFUNCTION("IFERROR(sum(FILTER('Fund Investment Data'!$V:$V, 'Fund Investment Data'!$C:$C = $C201, 'Fund Investment Data'!$A:$A &lt; $A201)),0) + IFERROR(sum(FILTER('Fund Investment Data'!$V:$V, 'Fund Investment Data'!$C:$C = $C201, 'Fund Investment Data'!$A:$A = $A201,"&amp;" 'Fund Investment Data'!$B:$B &lt;= $B201)),0)"),71000.0)</f>
        <v>71000</v>
      </c>
      <c r="T201" s="93">
        <v>71000.0</v>
      </c>
      <c r="U201" s="32">
        <f t="shared" si="3"/>
        <v>0</v>
      </c>
      <c r="V201" s="32">
        <f>IFERROR(__xludf.DUMMYFUNCTION("$D201 - IFERROR(FILTER($D:$D,$C:$C = $C201, $A:$A = $A201, $B:$B = $B201 - 1),0)"),0.0)</f>
        <v>0</v>
      </c>
      <c r="W201" s="93">
        <f>IFERROR(__xludf.DUMMYFUNCTION("$E201 - IFERROR(FILTER($E:$E,$C:$C = $C201, $A:$A = $A201, $B:$B = $B201 - 1),0)"),0.0)</f>
        <v>0</v>
      </c>
      <c r="X201" s="93"/>
      <c r="Y201" s="93"/>
      <c r="Z201" s="93">
        <v>0.0</v>
      </c>
      <c r="AA201" s="93">
        <v>0.0</v>
      </c>
      <c r="AB201" s="93">
        <v>0.0</v>
      </c>
      <c r="AC201" s="93"/>
      <c r="AD201" s="93">
        <v>0.0</v>
      </c>
      <c r="AE201" s="32">
        <f t="shared" si="2"/>
        <v>0</v>
      </c>
      <c r="AF201" s="93">
        <v>0.0</v>
      </c>
    </row>
    <row r="202">
      <c r="A202" s="86">
        <v>2008.0</v>
      </c>
      <c r="B202" s="87">
        <v>12.0</v>
      </c>
      <c r="C202" s="88" t="s">
        <v>42</v>
      </c>
      <c r="D202" s="32"/>
      <c r="E202" s="32"/>
      <c r="F202" s="93"/>
      <c r="G202" s="93">
        <v>-1157.85</v>
      </c>
      <c r="H202" s="93">
        <v>5155.0</v>
      </c>
      <c r="I202" s="32"/>
      <c r="J202" s="93">
        <v>-52901.57</v>
      </c>
      <c r="K202" s="32"/>
      <c r="L202" s="32"/>
      <c r="M202" s="32"/>
      <c r="N202" s="32"/>
      <c r="O202" s="93">
        <v>161989.0</v>
      </c>
      <c r="P202" s="91">
        <f>IFERROR(__xludf.DUMMYFUNCTION("IFERROR(sum(FILTER($D:$N,$C:$C = $C202,$A:$A &lt; $A202,$B:$B = 12)),0) + sum($D202:$N202)"),161988.87)</f>
        <v>161988.87</v>
      </c>
      <c r="Q202" s="92">
        <f t="shared" si="1"/>
        <v>0.13</v>
      </c>
      <c r="R202" s="91">
        <f t="array" ref="R202">IFERROR(INDEX('Fund YTD Target Values'!$1:$1000, MATCH($C202,'Fund YTD Target Values'!$A:$A,0), MATCH($A202,'Fund YTD Target Values'!$1:$1,0)),0)</f>
        <v>196790.2672</v>
      </c>
      <c r="S202" s="91">
        <f>IFERROR(__xludf.DUMMYFUNCTION("IFERROR(sum(FILTER('Fund Investment Data'!$V:$V, 'Fund Investment Data'!$C:$C = $C202, 'Fund Investment Data'!$A:$A &lt; $A202)),0) + IFERROR(sum(FILTER('Fund Investment Data'!$V:$V, 'Fund Investment Data'!$C:$C = $C202, 'Fund Investment Data'!$A:$A = $A202,"&amp;" 'Fund Investment Data'!$B:$B &lt;= $B202)),0)"),184469.0)</f>
        <v>184469</v>
      </c>
      <c r="T202" s="93">
        <v>184469.0</v>
      </c>
      <c r="U202" s="32">
        <f t="shared" si="3"/>
        <v>0</v>
      </c>
      <c r="V202" s="32">
        <f>IFERROR(__xludf.DUMMYFUNCTION("$D202 - IFERROR(FILTER($D:$D,$C:$C = $C202, $A:$A = $A202, $B:$B = $B202 - 1),0)"),0.0)</f>
        <v>0</v>
      </c>
      <c r="W202" s="93">
        <f>IFERROR(__xludf.DUMMYFUNCTION("$E202 - IFERROR(FILTER($E:$E,$C:$C = $C202, $A:$A = $A202, $B:$B = $B202 - 1),0)"),0.0)</f>
        <v>0</v>
      </c>
      <c r="X202" s="93"/>
      <c r="Y202" s="93"/>
      <c r="Z202" s="93">
        <v>0.0</v>
      </c>
      <c r="AA202" s="93">
        <v>0.0</v>
      </c>
      <c r="AB202" s="93">
        <v>0.0</v>
      </c>
      <c r="AC202" s="93"/>
      <c r="AD202" s="93">
        <v>0.0</v>
      </c>
      <c r="AE202" s="32">
        <f t="shared" si="2"/>
        <v>0</v>
      </c>
      <c r="AF202" s="93">
        <v>0.0</v>
      </c>
    </row>
    <row r="203">
      <c r="A203" s="86">
        <v>2008.0</v>
      </c>
      <c r="B203" s="87">
        <v>12.0</v>
      </c>
      <c r="C203" s="88" t="s">
        <v>43</v>
      </c>
      <c r="D203" s="32"/>
      <c r="E203" s="32"/>
      <c r="F203" s="93"/>
      <c r="G203" s="93">
        <v>-698.23</v>
      </c>
      <c r="H203" s="93">
        <v>3097.02</v>
      </c>
      <c r="I203" s="32"/>
      <c r="J203" s="93">
        <v>-32008.0</v>
      </c>
      <c r="K203" s="32"/>
      <c r="L203" s="32"/>
      <c r="M203" s="32"/>
      <c r="N203" s="32"/>
      <c r="O203" s="93">
        <v>97739.0</v>
      </c>
      <c r="P203" s="91">
        <f>IFERROR(__xludf.DUMMYFUNCTION("IFERROR(sum(FILTER($D:$N,$C:$C = $C203,$A:$A &lt; $A203,$B:$B = 12)),0) + sum($D203:$N203)"),97738.72)</f>
        <v>97738.72</v>
      </c>
      <c r="Q203" s="92">
        <f t="shared" si="1"/>
        <v>0.28</v>
      </c>
      <c r="R203" s="91">
        <f t="array" ref="R203">IFERROR(INDEX('Fund YTD Target Values'!$1:$1000, MATCH($C203,'Fund YTD Target Values'!$A:$A,0), MATCH($A203,'Fund YTD Target Values'!$1:$1,0)),0)</f>
        <v>112031.0505</v>
      </c>
      <c r="S203" s="91">
        <f>IFERROR(__xludf.DUMMYFUNCTION("IFERROR(sum(FILTER('Fund Investment Data'!$V:$V, 'Fund Investment Data'!$C:$C = $C203, 'Fund Investment Data'!$A:$A &lt; $A203)),0) + IFERROR(sum(FILTER('Fund Investment Data'!$V:$V, 'Fund Investment Data'!$C:$C = $C203, 'Fund Investment Data'!$A:$A = $A203,"&amp;" 'Fund Investment Data'!$B:$B &lt;= $B203)),0)"),100000.0)</f>
        <v>100000</v>
      </c>
      <c r="T203" s="93">
        <v>100000.0</v>
      </c>
      <c r="U203" s="32">
        <f t="shared" si="3"/>
        <v>0</v>
      </c>
      <c r="V203" s="32">
        <f>IFERROR(__xludf.DUMMYFUNCTION("$D203 - IFERROR(FILTER($D:$D,$C:$C = $C203, $A:$A = $A203, $B:$B = $B203 - 1),0)"),0.0)</f>
        <v>0</v>
      </c>
      <c r="W203" s="93">
        <f>IFERROR(__xludf.DUMMYFUNCTION("$E203 - IFERROR(FILTER($E:$E,$C:$C = $C203, $A:$A = $A203, $B:$B = $B203 - 1),0)"),0.0)</f>
        <v>0</v>
      </c>
      <c r="X203" s="93"/>
      <c r="Y203" s="93"/>
      <c r="Z203" s="93">
        <v>0.0</v>
      </c>
      <c r="AA203" s="93">
        <v>0.0</v>
      </c>
      <c r="AB203" s="93">
        <v>0.0</v>
      </c>
      <c r="AC203" s="93"/>
      <c r="AD203" s="93">
        <v>0.0</v>
      </c>
      <c r="AE203" s="32">
        <f t="shared" si="2"/>
        <v>0</v>
      </c>
      <c r="AF203" s="93">
        <v>0.0</v>
      </c>
    </row>
    <row r="204">
      <c r="A204" s="86">
        <v>2008.0</v>
      </c>
      <c r="B204" s="87">
        <v>12.0</v>
      </c>
      <c r="C204" s="88" t="s">
        <v>33</v>
      </c>
      <c r="D204" s="32"/>
      <c r="E204" s="93">
        <v>-35000.0</v>
      </c>
      <c r="F204" s="93"/>
      <c r="G204" s="93">
        <v>-2543.39</v>
      </c>
      <c r="H204" s="93">
        <v>11313.58</v>
      </c>
      <c r="I204" s="93">
        <v>3436.26</v>
      </c>
      <c r="J204" s="93">
        <v>-118037.39</v>
      </c>
      <c r="K204" s="32"/>
      <c r="L204" s="32"/>
      <c r="M204" s="32"/>
      <c r="N204" s="32"/>
      <c r="O204" s="93">
        <v>343327.0</v>
      </c>
      <c r="P204" s="91">
        <f>IFERROR(__xludf.DUMMYFUNCTION("IFERROR(sum(FILTER($D:$N,$C:$C = $C204,$A:$A &lt; $A204,$B:$B = 12)),0) + sum($D204:$N204)"),343326.9499999998)</f>
        <v>343326.95</v>
      </c>
      <c r="Q204" s="92">
        <f t="shared" si="1"/>
        <v>0.05000000022</v>
      </c>
      <c r="R204" s="91">
        <f t="array" ref="R204">IFERROR(INDEX('Fund YTD Target Values'!$1:$1000, MATCH($C204,'Fund YTD Target Values'!$A:$A,0), MATCH($A204,'Fund YTD Target Values'!$1:$1,0)),0)</f>
        <v>439672.5574</v>
      </c>
      <c r="S204" s="91">
        <f>IFERROR(__xludf.DUMMYFUNCTION("IFERROR(sum(FILTER('Fund Investment Data'!$V:$V, 'Fund Investment Data'!$C:$C = $C204, 'Fund Investment Data'!$A:$A &lt; $A204)),0) + IFERROR(sum(FILTER('Fund Investment Data'!$V:$V, 'Fund Investment Data'!$C:$C = $C204, 'Fund Investment Data'!$A:$A = $A204,"&amp;" 'Fund Investment Data'!$B:$B &lt;= $B204)),0)"),325871.6399999999)</f>
        <v>325871.64</v>
      </c>
      <c r="T204" s="93">
        <v>326032.0</v>
      </c>
      <c r="U204" s="32">
        <f t="shared" si="3"/>
        <v>-160.36</v>
      </c>
      <c r="V204" s="32">
        <f>IFERROR(__xludf.DUMMYFUNCTION("$D204 - IFERROR(FILTER($D:$D,$C:$C = $C204, $A:$A = $A204, $B:$B = $B204 - 1),0)"),0.0)</f>
        <v>0</v>
      </c>
      <c r="W204" s="93">
        <f>IFERROR(__xludf.DUMMYFUNCTION("$E204 - IFERROR(FILTER($E:$E,$C:$C = $C204, $A:$A = $A204, $B:$B = $B204 - 1),0)"),-35000.0)</f>
        <v>-35000</v>
      </c>
      <c r="X204" s="93"/>
      <c r="Y204" s="93"/>
      <c r="Z204" s="93">
        <v>0.0</v>
      </c>
      <c r="AA204" s="93">
        <v>0.0</v>
      </c>
      <c r="AB204" s="93">
        <v>0.0</v>
      </c>
      <c r="AC204" s="93"/>
      <c r="AD204" s="93">
        <v>0.0</v>
      </c>
      <c r="AE204" s="32">
        <f t="shared" si="2"/>
        <v>-35000</v>
      </c>
      <c r="AF204" s="93">
        <v>0.0</v>
      </c>
    </row>
    <row r="205">
      <c r="A205" s="86">
        <v>2008.0</v>
      </c>
      <c r="B205" s="87">
        <v>12.0</v>
      </c>
      <c r="C205" s="88" t="s">
        <v>54</v>
      </c>
      <c r="D205" s="93">
        <v>1185.04</v>
      </c>
      <c r="E205" s="93">
        <v>-5000.0</v>
      </c>
      <c r="F205" s="93"/>
      <c r="G205" s="93">
        <v>-691.22</v>
      </c>
      <c r="H205" s="93">
        <v>3081.37</v>
      </c>
      <c r="I205" s="32"/>
      <c r="J205" s="93">
        <v>-31464.06</v>
      </c>
      <c r="K205" s="32"/>
      <c r="L205" s="32"/>
      <c r="M205" s="32"/>
      <c r="N205" s="32"/>
      <c r="O205" s="93">
        <v>95248.0</v>
      </c>
      <c r="P205" s="91">
        <f>IFERROR(__xludf.DUMMYFUNCTION("IFERROR(sum(FILTER($D:$N,$C:$C = $C205,$A:$A &lt; $A205,$B:$B = 12)),0) + sum($D205:$N205)"),95247.95999999999)</f>
        <v>95247.96</v>
      </c>
      <c r="Q205" s="92">
        <f t="shared" si="1"/>
        <v>0.04000000001</v>
      </c>
      <c r="R205" s="91">
        <f t="array" ref="R205">IFERROR(INDEX('Fund YTD Target Values'!$1:$1000, MATCH($C205,'Fund YTD Target Values'!$A:$A,0), MATCH($A205,'Fund YTD Target Values'!$1:$1,0)),0)</f>
        <v>113563.5351</v>
      </c>
      <c r="S205" s="91">
        <f>IFERROR(__xludf.DUMMYFUNCTION("IFERROR(sum(FILTER('Fund Investment Data'!$V:$V, 'Fund Investment Data'!$C:$C = $C205, 'Fund Investment Data'!$A:$A &lt; $A205)),0) + IFERROR(sum(FILTER('Fund Investment Data'!$V:$V, 'Fund Investment Data'!$C:$C = $C205, 'Fund Investment Data'!$A:$A = $A205,"&amp;" 'Fund Investment Data'!$B:$B &lt;= $B205)),0)"),91246.10999999999)</f>
        <v>91246.11</v>
      </c>
      <c r="T205" s="93">
        <v>87330.0</v>
      </c>
      <c r="U205" s="32">
        <f t="shared" si="3"/>
        <v>3916.11</v>
      </c>
      <c r="V205" s="32">
        <f>IFERROR(__xludf.DUMMYFUNCTION("$D205 - IFERROR(FILTER($D:$D,$C:$C = $C205, $A:$A = $A205, $B:$B = $B205 - 1),0)"),1185.04)</f>
        <v>1185.04</v>
      </c>
      <c r="W205" s="93">
        <f>IFERROR(__xludf.DUMMYFUNCTION("$E205 - IFERROR(FILTER($E:$E,$C:$C = $C205, $A:$A = $A205, $B:$B = $B205 - 1),0)"),-5000.0)</f>
        <v>-5000</v>
      </c>
      <c r="X205" s="93"/>
      <c r="Y205" s="93"/>
      <c r="Z205" s="93">
        <v>0.0</v>
      </c>
      <c r="AA205" s="93">
        <v>0.0</v>
      </c>
      <c r="AB205" s="93">
        <v>0.0</v>
      </c>
      <c r="AC205" s="93"/>
      <c r="AD205" s="93">
        <v>0.0</v>
      </c>
      <c r="AE205" s="32">
        <f t="shared" si="2"/>
        <v>-5000</v>
      </c>
      <c r="AF205" s="93">
        <v>0.0</v>
      </c>
    </row>
    <row r="206">
      <c r="A206" s="86">
        <v>2008.0</v>
      </c>
      <c r="B206" s="87">
        <v>12.0</v>
      </c>
      <c r="C206" s="88" t="s">
        <v>44</v>
      </c>
      <c r="D206" s="32"/>
      <c r="E206" s="32"/>
      <c r="F206" s="93"/>
      <c r="G206" s="93">
        <v>-1671.18</v>
      </c>
      <c r="H206" s="93">
        <v>7433.67</v>
      </c>
      <c r="I206" s="32"/>
      <c r="J206" s="93">
        <v>-76688.77</v>
      </c>
      <c r="K206" s="32"/>
      <c r="L206" s="32"/>
      <c r="M206" s="32"/>
      <c r="N206" s="32"/>
      <c r="O206" s="93">
        <v>233658.0</v>
      </c>
      <c r="P206" s="91">
        <f>IFERROR(__xludf.DUMMYFUNCTION("IFERROR(sum(FILTER($D:$N,$C:$C = $C206,$A:$A &lt; $A206,$B:$B = 12)),0) + sum($D206:$N206)"),233658.87000000002)</f>
        <v>233658.87</v>
      </c>
      <c r="Q206" s="92">
        <f t="shared" si="1"/>
        <v>-0.87</v>
      </c>
      <c r="R206" s="91">
        <f t="array" ref="R206">IFERROR(INDEX('Fund YTD Target Values'!$1:$1000, MATCH($C206,'Fund YTD Target Values'!$A:$A,0), MATCH($A206,'Fund YTD Target Values'!$1:$1,0)),0)</f>
        <v>275657.8501</v>
      </c>
      <c r="S206" s="91">
        <f>IFERROR(__xludf.DUMMYFUNCTION("IFERROR(sum(FILTER('Fund Investment Data'!$V:$V, 'Fund Investment Data'!$C:$C = $C206, 'Fund Investment Data'!$A:$A &lt; $A206)),0) + IFERROR(sum(FILTER('Fund Investment Data'!$V:$V, 'Fund Investment Data'!$C:$C = $C206, 'Fund Investment Data'!$A:$A = $A206,"&amp;" 'Fund Investment Data'!$B:$B &lt;= $B206)),0)"),250000.0)</f>
        <v>250000</v>
      </c>
      <c r="T206" s="93">
        <v>250000.0</v>
      </c>
      <c r="U206" s="32">
        <f t="shared" si="3"/>
        <v>0</v>
      </c>
      <c r="V206" s="32">
        <f>IFERROR(__xludf.DUMMYFUNCTION("$D206 - IFERROR(FILTER($D:$D,$C:$C = $C206, $A:$A = $A206, $B:$B = $B206 - 1),0)"),0.0)</f>
        <v>0</v>
      </c>
      <c r="W206" s="93">
        <f>IFERROR(__xludf.DUMMYFUNCTION("$E206 - IFERROR(FILTER($E:$E,$C:$C = $C206, $A:$A = $A206, $B:$B = $B206 - 1),0)"),0.0)</f>
        <v>0</v>
      </c>
      <c r="X206" s="93"/>
      <c r="Y206" s="93"/>
      <c r="Z206" s="93">
        <v>0.0</v>
      </c>
      <c r="AA206" s="93">
        <v>0.0</v>
      </c>
      <c r="AB206" s="93">
        <v>0.0</v>
      </c>
      <c r="AC206" s="93"/>
      <c r="AD206" s="93">
        <v>0.0</v>
      </c>
      <c r="AE206" s="32">
        <f t="shared" si="2"/>
        <v>0</v>
      </c>
      <c r="AF206" s="93">
        <v>0.0</v>
      </c>
    </row>
    <row r="207">
      <c r="A207" s="86">
        <v>2008.0</v>
      </c>
      <c r="B207" s="87">
        <v>12.0</v>
      </c>
      <c r="C207" s="88" t="s">
        <v>45</v>
      </c>
      <c r="D207" s="93">
        <v>20000.0</v>
      </c>
      <c r="E207" s="32"/>
      <c r="F207" s="93"/>
      <c r="G207" s="93">
        <v>-367.98</v>
      </c>
      <c r="H207" s="93">
        <v>1704.26</v>
      </c>
      <c r="I207" s="32"/>
      <c r="J207" s="93">
        <v>-14647.8</v>
      </c>
      <c r="K207" s="32"/>
      <c r="L207" s="32"/>
      <c r="M207" s="32"/>
      <c r="N207" s="32"/>
      <c r="O207" s="93">
        <v>71735.0</v>
      </c>
      <c r="P207" s="91">
        <f>IFERROR(__xludf.DUMMYFUNCTION("IFERROR(sum(FILTER($D:$N,$C:$C = $C207,$A:$A &lt; $A207,$B:$B = 12)),0) + sum($D207:$N207)"),71736.05)</f>
        <v>71736.05</v>
      </c>
      <c r="Q207" s="92">
        <f t="shared" si="1"/>
        <v>-1.05</v>
      </c>
      <c r="R207" s="91">
        <f t="array" ref="R207">IFERROR(INDEX('Fund YTD Target Values'!$1:$1000, MATCH($C207,'Fund YTD Target Values'!$A:$A,0), MATCH($A207,'Fund YTD Target Values'!$1:$1,0)),0)</f>
        <v>84183.28991</v>
      </c>
      <c r="S207" s="91">
        <f>IFERROR(__xludf.DUMMYFUNCTION("IFERROR(sum(FILTER('Fund Investment Data'!$V:$V, 'Fund Investment Data'!$C:$C = $C207, 'Fund Investment Data'!$A:$A &lt; $A207)),0) + IFERROR(sum(FILTER('Fund Investment Data'!$V:$V, 'Fund Investment Data'!$C:$C = $C207, 'Fund Investment Data'!$A:$A = $A207,"&amp;" 'Fund Investment Data'!$B:$B &lt;= $B207)),0)"),80000.0)</f>
        <v>80000</v>
      </c>
      <c r="T207" s="93">
        <v>80000.0</v>
      </c>
      <c r="U207" s="32">
        <f t="shared" si="3"/>
        <v>0</v>
      </c>
      <c r="V207" s="32">
        <f>IFERROR(__xludf.DUMMYFUNCTION("$D207 - IFERROR(FILTER($D:$D,$C:$C = $C207, $A:$A = $A207, $B:$B = $B207 - 1),0)"),20000.0)</f>
        <v>20000</v>
      </c>
      <c r="W207" s="93">
        <f>IFERROR(__xludf.DUMMYFUNCTION("$E207 - IFERROR(FILTER($E:$E,$C:$C = $C207, $A:$A = $A207, $B:$B = $B207 - 1),0)"),0.0)</f>
        <v>0</v>
      </c>
      <c r="X207" s="93"/>
      <c r="Y207" s="93"/>
      <c r="Z207" s="93">
        <v>0.0</v>
      </c>
      <c r="AA207" s="93">
        <v>0.0</v>
      </c>
      <c r="AB207" s="93">
        <v>0.0</v>
      </c>
      <c r="AC207" s="93"/>
      <c r="AD207" s="93">
        <v>0.0</v>
      </c>
      <c r="AE207" s="32">
        <f t="shared" si="2"/>
        <v>0</v>
      </c>
      <c r="AF207" s="93">
        <v>0.0</v>
      </c>
    </row>
    <row r="208">
      <c r="A208" s="86">
        <v>2008.0</v>
      </c>
      <c r="B208" s="87">
        <v>12.0</v>
      </c>
      <c r="C208" s="88" t="s">
        <v>35</v>
      </c>
      <c r="D208" s="32"/>
      <c r="E208" s="93">
        <v>-35000.0</v>
      </c>
      <c r="F208" s="93"/>
      <c r="G208" s="93">
        <v>-7781.83</v>
      </c>
      <c r="H208" s="93">
        <v>34564.63</v>
      </c>
      <c r="I208" s="93">
        <v>1823.81</v>
      </c>
      <c r="J208" s="93">
        <v>-360874.72</v>
      </c>
      <c r="K208" s="32"/>
      <c r="L208" s="32"/>
      <c r="M208" s="32"/>
      <c r="N208" s="32"/>
      <c r="O208" s="93">
        <v>1078220.0</v>
      </c>
      <c r="P208" s="91">
        <f>IFERROR(__xludf.DUMMYFUNCTION("IFERROR(sum(FILTER($D:$N,$C:$C = $C208,$A:$A &lt; $A208,$B:$B = 12)),0) + sum($D208:$N208)"),1078218.7500000005)</f>
        <v>1078218.75</v>
      </c>
      <c r="Q208" s="92">
        <f t="shared" si="1"/>
        <v>1.25</v>
      </c>
      <c r="R208" s="91">
        <f t="array" ref="R208">IFERROR(INDEX('Fund YTD Target Values'!$1:$1000, MATCH($C208,'Fund YTD Target Values'!$A:$A,0), MATCH($A208,'Fund YTD Target Values'!$1:$1,0)),0)</f>
        <v>1335059.375</v>
      </c>
      <c r="S208" s="91">
        <f>IFERROR(__xludf.DUMMYFUNCTION("IFERROR(sum(FILTER('Fund Investment Data'!$V:$V, 'Fund Investment Data'!$C:$C = $C208, 'Fund Investment Data'!$A:$A &lt; $A208)),0) + IFERROR(sum(FILTER('Fund Investment Data'!$V:$V, 'Fund Investment Data'!$C:$C = $C208, 'Fund Investment Data'!$A:$A = $A208,"&amp;" 'Fund Investment Data'!$B:$B &lt;= $B208)),0)"),1066125.0)</f>
        <v>1066125</v>
      </c>
      <c r="T208" s="93">
        <v>1051125.0</v>
      </c>
      <c r="U208" s="32">
        <f t="shared" si="3"/>
        <v>15000</v>
      </c>
      <c r="V208" s="32">
        <f>IFERROR(__xludf.DUMMYFUNCTION("$D208 - IFERROR(FILTER($D:$D,$C:$C = $C208, $A:$A = $A208, $B:$B = $B208 - 1),0)"),0.0)</f>
        <v>0</v>
      </c>
      <c r="W208" s="93">
        <f>IFERROR(__xludf.DUMMYFUNCTION("$E208 - IFERROR(FILTER($E:$E,$C:$C = $C208, $A:$A = $A208, $B:$B = $B208 - 1),0)"),-35000.0)</f>
        <v>-35000</v>
      </c>
      <c r="X208" s="93"/>
      <c r="Y208" s="93"/>
      <c r="Z208" s="93">
        <v>0.0</v>
      </c>
      <c r="AA208" s="93">
        <v>0.0</v>
      </c>
      <c r="AB208" s="93">
        <v>0.0</v>
      </c>
      <c r="AC208" s="93"/>
      <c r="AD208" s="93">
        <v>0.0</v>
      </c>
      <c r="AE208" s="32">
        <f t="shared" si="2"/>
        <v>-35000</v>
      </c>
      <c r="AF208" s="93">
        <v>0.0</v>
      </c>
    </row>
    <row r="209">
      <c r="A209" s="86">
        <v>2009.0</v>
      </c>
      <c r="B209" s="87">
        <v>12.0</v>
      </c>
      <c r="C209" s="88" t="s">
        <v>26</v>
      </c>
      <c r="D209" s="32"/>
      <c r="E209" s="32"/>
      <c r="F209" s="93"/>
      <c r="G209" s="93">
        <v>-1237.05</v>
      </c>
      <c r="H209" s="93">
        <v>6080.09</v>
      </c>
      <c r="I209" s="32"/>
      <c r="J209" s="93">
        <v>36234.58</v>
      </c>
      <c r="K209" s="32"/>
      <c r="L209" s="32"/>
      <c r="M209" s="32"/>
      <c r="N209" s="32"/>
      <c r="O209" s="93">
        <v>236411.0</v>
      </c>
      <c r="P209" s="91">
        <f>IFERROR(__xludf.DUMMYFUNCTION("IFERROR(sum(FILTER($D:$N,$C:$C = $C209,$A:$A &lt; $A209,$B:$B = 12)),0) + sum($D209:$N209)"),236410.24)</f>
        <v>236410.24</v>
      </c>
      <c r="Q209" s="92">
        <f t="shared" si="1"/>
        <v>0.76</v>
      </c>
      <c r="R209" s="91">
        <f t="array" ref="R209">IFERROR(INDEX('Fund YTD Target Values'!$1:$1000, MATCH($C209,'Fund YTD Target Values'!$A:$A,0), MATCH($A209,'Fund YTD Target Values'!$1:$1,0)),0)</f>
        <v>269823.9499</v>
      </c>
      <c r="S209" s="91">
        <f>IFERROR(__xludf.DUMMYFUNCTION("IFERROR(sum(FILTER('Fund Investment Data'!$V:$V, 'Fund Investment Data'!$C:$C = $C209, 'Fund Investment Data'!$A:$A &lt; $A209)),0) + IFERROR(sum(FILTER('Fund Investment Data'!$V:$V, 'Fund Investment Data'!$C:$C = $C209, 'Fund Investment Data'!$A:$A = $A209,"&amp;" 'Fund Investment Data'!$B:$B &lt;= $B209)),0)"),250000.0)</f>
        <v>250000</v>
      </c>
      <c r="T209" s="93">
        <v>250000.0</v>
      </c>
      <c r="U209" s="32">
        <f t="shared" si="3"/>
        <v>0</v>
      </c>
      <c r="V209" s="32">
        <f>IFERROR(__xludf.DUMMYFUNCTION("$D209 - IFERROR(FILTER($D:$D,$C:$C = $C209, $A:$A = $A209, $B:$B = $B209 - 1),0)"),0.0)</f>
        <v>0</v>
      </c>
      <c r="W209" s="93">
        <f>IFERROR(__xludf.DUMMYFUNCTION("$E209 - IFERROR(FILTER($E:$E,$C:$C = $C209, $A:$A = $A209, $B:$B = $B209 - 1),0)"),0.0)</f>
        <v>0</v>
      </c>
      <c r="X209" s="93"/>
      <c r="Y209" s="93"/>
      <c r="Z209" s="93">
        <v>0.0</v>
      </c>
      <c r="AA209" s="93">
        <v>0.0</v>
      </c>
      <c r="AB209" s="93">
        <v>0.0</v>
      </c>
      <c r="AC209" s="93"/>
      <c r="AD209" s="93">
        <v>0.0</v>
      </c>
      <c r="AE209" s="32">
        <f t="shared" si="2"/>
        <v>0</v>
      </c>
      <c r="AF209" s="93">
        <v>0.0</v>
      </c>
    </row>
    <row r="210">
      <c r="A210" s="86">
        <v>2009.0</v>
      </c>
      <c r="B210" s="87">
        <v>12.0</v>
      </c>
      <c r="C210" s="88" t="s">
        <v>27</v>
      </c>
      <c r="D210" s="93">
        <v>1000.0</v>
      </c>
      <c r="E210" s="93">
        <v>-5000.0</v>
      </c>
      <c r="F210" s="93"/>
      <c r="G210" s="93">
        <v>-1528.85</v>
      </c>
      <c r="H210" s="93">
        <v>7520.19</v>
      </c>
      <c r="I210" s="32"/>
      <c r="J210" s="93">
        <v>44892.36</v>
      </c>
      <c r="K210" s="32"/>
      <c r="L210" s="93">
        <v>-3.24</v>
      </c>
      <c r="M210" s="32"/>
      <c r="N210" s="32"/>
      <c r="O210" s="93">
        <v>288251.0</v>
      </c>
      <c r="P210" s="91">
        <f>IFERROR(__xludf.DUMMYFUNCTION("IFERROR(sum(FILTER($D:$N,$C:$C = $C210,$A:$A &lt; $A210,$B:$B = 12)),0) + sum($D210:$N210)"),288253.1200000001)</f>
        <v>288253.12</v>
      </c>
      <c r="Q210" s="92">
        <f t="shared" si="1"/>
        <v>-2.12</v>
      </c>
      <c r="R210" s="91">
        <f t="array" ref="R210">IFERROR(INDEX('Fund YTD Target Values'!$1:$1000, MATCH($C210,'Fund YTD Target Values'!$A:$A,0), MATCH($A210,'Fund YTD Target Values'!$1:$1,0)),0)</f>
        <v>334778.46</v>
      </c>
      <c r="S210" s="91">
        <f>IFERROR(__xludf.DUMMYFUNCTION("IFERROR(sum(FILTER('Fund Investment Data'!$V:$V, 'Fund Investment Data'!$C:$C = $C210, 'Fund Investment Data'!$A:$A &lt; $A210)),0) + IFERROR(sum(FILTER('Fund Investment Data'!$V:$V, 'Fund Investment Data'!$C:$C = $C210, 'Fund Investment Data'!$A:$A = $A210,"&amp;" 'Fund Investment Data'!$B:$B &lt;= $B210)),0)"),274963.69999999995)</f>
        <v>274963.7</v>
      </c>
      <c r="T210" s="93">
        <v>270998.0</v>
      </c>
      <c r="U210" s="32">
        <f t="shared" si="3"/>
        <v>3965.7</v>
      </c>
      <c r="V210" s="32">
        <f>IFERROR(__xludf.DUMMYFUNCTION("$D210 - IFERROR(FILTER($D:$D,$C:$C = $C210, $A:$A = $A210, $B:$B = $B210 - 1),0)"),1000.0)</f>
        <v>1000</v>
      </c>
      <c r="W210" s="93">
        <f>IFERROR(__xludf.DUMMYFUNCTION("$E210 - IFERROR(FILTER($E:$E,$C:$C = $C210, $A:$A = $A210, $B:$B = $B210 - 1),0)"),-5000.0)</f>
        <v>-5000</v>
      </c>
      <c r="X210" s="93"/>
      <c r="Y210" s="93"/>
      <c r="Z210" s="93">
        <v>0.0</v>
      </c>
      <c r="AA210" s="93">
        <v>0.0</v>
      </c>
      <c r="AB210" s="93">
        <v>0.0</v>
      </c>
      <c r="AC210" s="93"/>
      <c r="AD210" s="93">
        <v>0.0</v>
      </c>
      <c r="AE210" s="32">
        <f t="shared" si="2"/>
        <v>-5000</v>
      </c>
      <c r="AF210" s="93">
        <v>0.0</v>
      </c>
    </row>
    <row r="211">
      <c r="A211" s="86">
        <v>2009.0</v>
      </c>
      <c r="B211" s="87">
        <v>12.0</v>
      </c>
      <c r="C211" s="88" t="s">
        <v>28</v>
      </c>
      <c r="D211" s="32"/>
      <c r="E211" s="93">
        <v>-113000.0</v>
      </c>
      <c r="F211" s="93"/>
      <c r="G211" s="93">
        <v>-17686.71</v>
      </c>
      <c r="H211" s="93">
        <v>87599.56</v>
      </c>
      <c r="I211" s="32"/>
      <c r="J211" s="93">
        <v>530790.8</v>
      </c>
      <c r="K211" s="32"/>
      <c r="L211" s="93">
        <v>-11606.49</v>
      </c>
      <c r="M211" s="32"/>
      <c r="N211" s="32"/>
      <c r="O211" s="93">
        <v>3291868.0</v>
      </c>
      <c r="P211" s="91">
        <f>IFERROR(__xludf.DUMMYFUNCTION("IFERROR(sum(FILTER($D:$N,$C:$C = $C211,$A:$A &lt; $A211,$B:$B = 12)),0) + sum($D211:$N211)"),3291868.130000001)</f>
        <v>3291868.13</v>
      </c>
      <c r="Q211" s="92">
        <f t="shared" si="1"/>
        <v>-0.1300000008</v>
      </c>
      <c r="R211" s="91">
        <f t="array" ref="R211">IFERROR(INDEX('Fund YTD Target Values'!$1:$1000, MATCH($C211,'Fund YTD Target Values'!$A:$A,0), MATCH($A211,'Fund YTD Target Values'!$1:$1,0)),0)</f>
        <v>3280872.095</v>
      </c>
      <c r="S211" s="91">
        <f>IFERROR(__xludf.DUMMYFUNCTION("IFERROR(sum(FILTER('Fund Investment Data'!$V:$V, 'Fund Investment Data'!$C:$C = $C211, 'Fund Investment Data'!$A:$A &lt; $A211)),0) + IFERROR(sum(FILTER('Fund Investment Data'!$V:$V, 'Fund Investment Data'!$C:$C = $C211, 'Fund Investment Data'!$A:$A = $A211,"&amp;" 'Fund Investment Data'!$B:$B &lt;= $B211)),0)"),2960091.25)</f>
        <v>2960091.25</v>
      </c>
      <c r="T211" s="93">
        <v>3009816.0</v>
      </c>
      <c r="U211" s="32">
        <f t="shared" si="3"/>
        <v>-49724.75</v>
      </c>
      <c r="V211" s="32">
        <f>IFERROR(__xludf.DUMMYFUNCTION("$D211 - IFERROR(FILTER($D:$D,$C:$C = $C211, $A:$A = $A211, $B:$B = $B211 - 1),0)"),0.0)</f>
        <v>0</v>
      </c>
      <c r="W211" s="93">
        <f>IFERROR(__xludf.DUMMYFUNCTION("$E211 - IFERROR(FILTER($E:$E,$C:$C = $C211, $A:$A = $A211, $B:$B = $B211 - 1),0)"),-113000.0)</f>
        <v>-113000</v>
      </c>
      <c r="X211" s="93"/>
      <c r="Y211" s="93"/>
      <c r="Z211" s="93">
        <v>0.0</v>
      </c>
      <c r="AA211" s="93">
        <v>0.0</v>
      </c>
      <c r="AB211" s="93">
        <v>0.0</v>
      </c>
      <c r="AC211" s="93"/>
      <c r="AD211" s="93">
        <v>0.0</v>
      </c>
      <c r="AE211" s="32">
        <f t="shared" si="2"/>
        <v>-113000</v>
      </c>
      <c r="AF211" s="93">
        <v>0.0</v>
      </c>
    </row>
    <row r="212">
      <c r="A212" s="86">
        <v>2009.0</v>
      </c>
      <c r="B212" s="87">
        <v>12.0</v>
      </c>
      <c r="C212" s="88" t="s">
        <v>46</v>
      </c>
      <c r="D212" s="32"/>
      <c r="E212" s="93">
        <v>-11000.0</v>
      </c>
      <c r="F212" s="93"/>
      <c r="G212" s="93">
        <v>-2125.22</v>
      </c>
      <c r="H212" s="93">
        <v>10476.18</v>
      </c>
      <c r="I212" s="93">
        <v>180.9</v>
      </c>
      <c r="J212" s="93">
        <v>62166.97</v>
      </c>
      <c r="K212" s="32"/>
      <c r="L212" s="32"/>
      <c r="M212" s="32"/>
      <c r="N212" s="32"/>
      <c r="O212" s="93">
        <v>396197.0</v>
      </c>
      <c r="P212" s="91">
        <f>IFERROR(__xludf.DUMMYFUNCTION("IFERROR(sum(FILTER($D:$N,$C:$C = $C212,$A:$A &lt; $A212,$B:$B = 12)),0) + sum($D212:$N212)"),396197.31)</f>
        <v>396197.31</v>
      </c>
      <c r="Q212" s="92">
        <f t="shared" si="1"/>
        <v>-0.31</v>
      </c>
      <c r="R212" s="91">
        <f t="array" ref="R212">IFERROR(INDEX('Fund YTD Target Values'!$1:$1000, MATCH($C212,'Fund YTD Target Values'!$A:$A,0), MATCH($A212,'Fund YTD Target Values'!$1:$1,0)),0)</f>
        <v>390021.3694</v>
      </c>
      <c r="S212" s="91">
        <f>IFERROR(__xludf.DUMMYFUNCTION("IFERROR(sum(FILTER('Fund Investment Data'!$V:$V, 'Fund Investment Data'!$C:$C = $C212, 'Fund Investment Data'!$A:$A &lt; $A212)),0) + IFERROR(sum(FILTER('Fund Investment Data'!$V:$V, 'Fund Investment Data'!$C:$C = $C212, 'Fund Investment Data'!$A:$A = $A212,"&amp;" 'Fund Investment Data'!$B:$B &lt;= $B212)),0)"),366400.0)</f>
        <v>366400</v>
      </c>
      <c r="T212" s="93">
        <v>366400.0</v>
      </c>
      <c r="U212" s="32">
        <f t="shared" si="3"/>
        <v>0</v>
      </c>
      <c r="V212" s="32">
        <f>IFERROR(__xludf.DUMMYFUNCTION("$D212 - IFERROR(FILTER($D:$D,$C:$C = $C212, $A:$A = $A212, $B:$B = $B212 - 1),0)"),0.0)</f>
        <v>0</v>
      </c>
      <c r="W212" s="93">
        <f>IFERROR(__xludf.DUMMYFUNCTION("$E212 - IFERROR(FILTER($E:$E,$C:$C = $C212, $A:$A = $A212, $B:$B = $B212 - 1),0)"),-11000.0)</f>
        <v>-11000</v>
      </c>
      <c r="X212" s="93"/>
      <c r="Y212" s="93"/>
      <c r="Z212" s="93">
        <v>0.0</v>
      </c>
      <c r="AA212" s="93">
        <v>0.0</v>
      </c>
      <c r="AB212" s="93">
        <v>0.0</v>
      </c>
      <c r="AC212" s="93"/>
      <c r="AD212" s="93">
        <v>0.0</v>
      </c>
      <c r="AE212" s="32">
        <f t="shared" si="2"/>
        <v>-11000</v>
      </c>
      <c r="AF212" s="93">
        <v>0.0</v>
      </c>
    </row>
    <row r="213">
      <c r="A213" s="86">
        <v>2009.0</v>
      </c>
      <c r="B213" s="87">
        <v>12.0</v>
      </c>
      <c r="C213" s="88" t="s">
        <v>36</v>
      </c>
      <c r="D213" s="32"/>
      <c r="E213" s="93">
        <v>-6500.0</v>
      </c>
      <c r="F213" s="93"/>
      <c r="G213" s="93">
        <v>-2463.48</v>
      </c>
      <c r="H213" s="93">
        <v>12166.33</v>
      </c>
      <c r="I213" s="32"/>
      <c r="J213" s="93">
        <v>72548.86</v>
      </c>
      <c r="K213" s="32"/>
      <c r="L213" s="93">
        <v>-264.16</v>
      </c>
      <c r="M213" s="32"/>
      <c r="N213" s="32"/>
      <c r="O213" s="93">
        <v>465397.0</v>
      </c>
      <c r="P213" s="91">
        <f>IFERROR(__xludf.DUMMYFUNCTION("IFERROR(sum(FILTER($D:$N,$C:$C = $C213,$A:$A &lt; $A213,$B:$B = 12)),0) + sum($D213:$N213)"),465396.24000000017)</f>
        <v>465396.24</v>
      </c>
      <c r="Q213" s="92">
        <f t="shared" si="1"/>
        <v>0.7599999998</v>
      </c>
      <c r="R213" s="91">
        <f t="array" ref="R213">IFERROR(INDEX('Fund YTD Target Values'!$1:$1000, MATCH($C213,'Fund YTD Target Values'!$A:$A,0), MATCH($A213,'Fund YTD Target Values'!$1:$1,0)),0)</f>
        <v>542886.9088</v>
      </c>
      <c r="S213" s="91">
        <f>IFERROR(__xludf.DUMMYFUNCTION("IFERROR(sum(FILTER('Fund Investment Data'!$V:$V, 'Fund Investment Data'!$C:$C = $C213, 'Fund Investment Data'!$A:$A &lt; $A213)),0) + IFERROR(sum(FILTER('Fund Investment Data'!$V:$V, 'Fund Investment Data'!$C:$C = $C213, 'Fund Investment Data'!$A:$A = $A213,"&amp;" 'Fund Investment Data'!$B:$B &lt;= $B213)),0)"),429067.24)</f>
        <v>429067.24</v>
      </c>
      <c r="T213" s="93">
        <v>413959.0</v>
      </c>
      <c r="U213" s="32">
        <f t="shared" si="3"/>
        <v>15108.24</v>
      </c>
      <c r="V213" s="32">
        <f>IFERROR(__xludf.DUMMYFUNCTION("$D213 - IFERROR(FILTER($D:$D,$C:$C = $C213, $A:$A = $A213, $B:$B = $B213 - 1),0)"),0.0)</f>
        <v>0</v>
      </c>
      <c r="W213" s="93">
        <f>IFERROR(__xludf.DUMMYFUNCTION("$E213 - IFERROR(FILTER($E:$E,$C:$C = $C213, $A:$A = $A213, $B:$B = $B213 - 1),0)"),-6500.0)</f>
        <v>-6500</v>
      </c>
      <c r="X213" s="93"/>
      <c r="Y213" s="93"/>
      <c r="Z213" s="93">
        <v>0.0</v>
      </c>
      <c r="AA213" s="93">
        <v>0.0</v>
      </c>
      <c r="AB213" s="93">
        <v>0.0</v>
      </c>
      <c r="AC213" s="93"/>
      <c r="AD213" s="93">
        <v>0.0</v>
      </c>
      <c r="AE213" s="32">
        <f t="shared" si="2"/>
        <v>-6500</v>
      </c>
      <c r="AF213" s="93">
        <v>0.0</v>
      </c>
    </row>
    <row r="214">
      <c r="A214" s="86">
        <v>2009.0</v>
      </c>
      <c r="B214" s="87">
        <v>12.0</v>
      </c>
      <c r="C214" s="88" t="s">
        <v>29</v>
      </c>
      <c r="D214" s="32"/>
      <c r="E214" s="93">
        <v>-1500.0</v>
      </c>
      <c r="F214" s="93"/>
      <c r="G214" s="93">
        <v>-329.24</v>
      </c>
      <c r="H214" s="93">
        <v>1606.65</v>
      </c>
      <c r="I214" s="32"/>
      <c r="J214" s="93">
        <v>9460.74</v>
      </c>
      <c r="K214" s="32"/>
      <c r="L214" s="32"/>
      <c r="M214" s="32"/>
      <c r="N214" s="32"/>
      <c r="O214" s="93">
        <v>61801.0</v>
      </c>
      <c r="P214" s="91">
        <f>IFERROR(__xludf.DUMMYFUNCTION("IFERROR(sum(FILTER($D:$N,$C:$C = $C214,$A:$A &lt; $A214,$B:$B = 12)),0) + sum($D214:$N214)"),61800.58999999993)</f>
        <v>61800.59</v>
      </c>
      <c r="Q214" s="92">
        <f t="shared" si="1"/>
        <v>0.4100000001</v>
      </c>
      <c r="R214" s="91">
        <f t="array" ref="R214">IFERROR(INDEX('Fund YTD Target Values'!$1:$1000, MATCH($C214,'Fund YTD Target Values'!$A:$A,0), MATCH($A214,'Fund YTD Target Values'!$1:$1,0)),0)</f>
        <v>65827.75869</v>
      </c>
      <c r="S214" s="91">
        <f>IFERROR(__xludf.DUMMYFUNCTION("IFERROR(sum(FILTER('Fund Investment Data'!$V:$V, 'Fund Investment Data'!$C:$C = $C214, 'Fund Investment Data'!$A:$A &lt; $A214)),0) + IFERROR(sum(FILTER('Fund Investment Data'!$V:$V, 'Fund Investment Data'!$C:$C = $C214, 'Fund Investment Data'!$A:$A = $A214,"&amp;" 'Fund Investment Data'!$B:$B &lt;= $B214)),0)"),50000.0)</f>
        <v>50000</v>
      </c>
      <c r="T214" s="93">
        <v>50000.0</v>
      </c>
      <c r="U214" s="32">
        <f t="shared" si="3"/>
        <v>0</v>
      </c>
      <c r="V214" s="32">
        <f>IFERROR(__xludf.DUMMYFUNCTION("$D214 - IFERROR(FILTER($D:$D,$C:$C = $C214, $A:$A = $A214, $B:$B = $B214 - 1),0)"),0.0)</f>
        <v>0</v>
      </c>
      <c r="W214" s="93">
        <f>IFERROR(__xludf.DUMMYFUNCTION("$E214 - IFERROR(FILTER($E:$E,$C:$C = $C214, $A:$A = $A214, $B:$B = $B214 - 1),0)"),-1500.0)</f>
        <v>-1500</v>
      </c>
      <c r="X214" s="93"/>
      <c r="Y214" s="93"/>
      <c r="Z214" s="93">
        <v>0.0</v>
      </c>
      <c r="AA214" s="93">
        <v>0.0</v>
      </c>
      <c r="AB214" s="93">
        <v>0.0</v>
      </c>
      <c r="AC214" s="93"/>
      <c r="AD214" s="93">
        <v>0.0</v>
      </c>
      <c r="AE214" s="32">
        <f t="shared" si="2"/>
        <v>-1500</v>
      </c>
      <c r="AF214" s="93">
        <v>0.0</v>
      </c>
    </row>
    <row r="215">
      <c r="A215" s="86">
        <v>2009.0</v>
      </c>
      <c r="B215" s="87">
        <v>12.0</v>
      </c>
      <c r="C215" s="88" t="s">
        <v>38</v>
      </c>
      <c r="D215" s="93">
        <v>5000.0</v>
      </c>
      <c r="E215" s="32"/>
      <c r="F215" s="93"/>
      <c r="G215" s="93">
        <v>-3043.71</v>
      </c>
      <c r="H215" s="93">
        <v>15004.72</v>
      </c>
      <c r="I215" s="32"/>
      <c r="J215" s="93">
        <v>89854.85</v>
      </c>
      <c r="K215" s="32"/>
      <c r="L215" s="32"/>
      <c r="M215" s="32"/>
      <c r="N215" s="32"/>
      <c r="O215" s="93">
        <v>583485.0</v>
      </c>
      <c r="P215" s="91">
        <f>IFERROR(__xludf.DUMMYFUNCTION("IFERROR(sum(FILTER($D:$N,$C:$C = $C215,$A:$A &lt; $A215,$B:$B = 12)),0) + sum($D215:$N215)"),583485.1499999999)</f>
        <v>583485.15</v>
      </c>
      <c r="Q215" s="92">
        <f t="shared" si="1"/>
        <v>-0.1499999999</v>
      </c>
      <c r="R215" s="91">
        <f t="array" ref="R215">IFERROR(INDEX('Fund YTD Target Values'!$1:$1000, MATCH($C215,'Fund YTD Target Values'!$A:$A,0), MATCH($A215,'Fund YTD Target Values'!$1:$1,0)),0)</f>
        <v>584282.0176</v>
      </c>
      <c r="S215" s="91">
        <f>IFERROR(__xludf.DUMMYFUNCTION("IFERROR(sum(FILTER('Fund Investment Data'!$V:$V, 'Fund Investment Data'!$C:$C = $C215, 'Fund Investment Data'!$A:$A &lt; $A215)),0) + IFERROR(sum(FILTER('Fund Investment Data'!$V:$V, 'Fund Investment Data'!$C:$C = $C215, 'Fund Investment Data'!$A:$A = $A215,"&amp;" 'Fund Investment Data'!$B:$B &lt;= $B215)),0)"),540191.64)</f>
        <v>540191.64</v>
      </c>
      <c r="T215" s="93">
        <v>542246.0</v>
      </c>
      <c r="U215" s="32">
        <f t="shared" si="3"/>
        <v>-2054.36</v>
      </c>
      <c r="V215" s="32">
        <f>IFERROR(__xludf.DUMMYFUNCTION("$D215 - IFERROR(FILTER($D:$D,$C:$C = $C215, $A:$A = $A215, $B:$B = $B215 - 1),0)"),5000.0)</f>
        <v>5000</v>
      </c>
      <c r="W215" s="93">
        <f>IFERROR(__xludf.DUMMYFUNCTION("$E215 - IFERROR(FILTER($E:$E,$C:$C = $C215, $A:$A = $A215, $B:$B = $B215 - 1),0)"),0.0)</f>
        <v>0</v>
      </c>
      <c r="X215" s="93"/>
      <c r="Y215" s="93"/>
      <c r="Z215" s="93">
        <v>0.0</v>
      </c>
      <c r="AA215" s="93">
        <v>0.0</v>
      </c>
      <c r="AB215" s="93">
        <v>0.0</v>
      </c>
      <c r="AC215" s="93"/>
      <c r="AD215" s="93">
        <v>0.0</v>
      </c>
      <c r="AE215" s="32">
        <f t="shared" si="2"/>
        <v>0</v>
      </c>
      <c r="AF215" s="93">
        <v>0.0</v>
      </c>
    </row>
    <row r="216">
      <c r="A216" s="86">
        <v>2009.0</v>
      </c>
      <c r="B216" s="87">
        <v>12.0</v>
      </c>
      <c r="C216" s="88" t="s">
        <v>30</v>
      </c>
      <c r="D216" s="32"/>
      <c r="E216" s="93">
        <v>-5000.0</v>
      </c>
      <c r="F216" s="93"/>
      <c r="G216" s="93">
        <v>-99.04</v>
      </c>
      <c r="H216" s="93">
        <v>470.89</v>
      </c>
      <c r="I216" s="32"/>
      <c r="J216" s="93">
        <v>2745.09</v>
      </c>
      <c r="K216" s="32"/>
      <c r="L216" s="93">
        <v>-141.55</v>
      </c>
      <c r="M216" s="32"/>
      <c r="N216" s="32"/>
      <c r="O216" s="93">
        <v>15318.0</v>
      </c>
      <c r="P216" s="91">
        <f>IFERROR(__xludf.DUMMYFUNCTION("IFERROR(sum(FILTER($D:$N,$C:$C = $C216,$A:$A &lt; $A216,$B:$B = 12)),0) + sum($D216:$N216)"),15316.529999999993)</f>
        <v>15316.53</v>
      </c>
      <c r="Q216" s="92">
        <f t="shared" si="1"/>
        <v>1.47</v>
      </c>
      <c r="R216" s="91">
        <f t="array" ref="R216">IFERROR(INDEX('Fund YTD Target Values'!$1:$1000, MATCH($C216,'Fund YTD Target Values'!$A:$A,0), MATCH($A216,'Fund YTD Target Values'!$1:$1,0)),0)</f>
        <v>15791.09762</v>
      </c>
      <c r="S216" s="91">
        <f>IFERROR(__xludf.DUMMYFUNCTION("IFERROR(sum(FILTER('Fund Investment Data'!$V:$V, 'Fund Investment Data'!$C:$C = $C216, 'Fund Investment Data'!$A:$A &lt; $A216)),0) + IFERROR(sum(FILTER('Fund Investment Data'!$V:$V, 'Fund Investment Data'!$C:$C = $C216, 'Fund Investment Data'!$A:$A = $A216,"&amp;" 'Fund Investment Data'!$B:$B &lt;= $B216)),0)"),11540.75)</f>
        <v>11540.75</v>
      </c>
      <c r="T216" s="93">
        <v>10000.0</v>
      </c>
      <c r="U216" s="32">
        <f t="shared" si="3"/>
        <v>1540.75</v>
      </c>
      <c r="V216" s="32">
        <f>IFERROR(__xludf.DUMMYFUNCTION("$D216 - IFERROR(FILTER($D:$D,$C:$C = $C216, $A:$A = $A216, $B:$B = $B216 - 1),0)"),0.0)</f>
        <v>0</v>
      </c>
      <c r="W216" s="93">
        <f>IFERROR(__xludf.DUMMYFUNCTION("$E216 - IFERROR(FILTER($E:$E,$C:$C = $C216, $A:$A = $A216, $B:$B = $B216 - 1),0)"),-5000.0)</f>
        <v>-5000</v>
      </c>
      <c r="X216" s="93"/>
      <c r="Y216" s="93"/>
      <c r="Z216" s="93">
        <v>0.0</v>
      </c>
      <c r="AA216" s="93">
        <v>0.0</v>
      </c>
      <c r="AB216" s="93">
        <v>0.0</v>
      </c>
      <c r="AC216" s="93"/>
      <c r="AD216" s="93">
        <v>0.0</v>
      </c>
      <c r="AE216" s="32">
        <f t="shared" si="2"/>
        <v>-5000</v>
      </c>
      <c r="AF216" s="93">
        <v>0.0</v>
      </c>
    </row>
    <row r="217">
      <c r="A217" s="86">
        <v>2009.0</v>
      </c>
      <c r="B217" s="87">
        <v>12.0</v>
      </c>
      <c r="C217" s="88" t="s">
        <v>47</v>
      </c>
      <c r="D217" s="32"/>
      <c r="E217" s="93">
        <v>-5000.0</v>
      </c>
      <c r="F217" s="93"/>
      <c r="G217" s="93">
        <v>-7311.69</v>
      </c>
      <c r="H217" s="93">
        <v>36140.47</v>
      </c>
      <c r="I217" s="32"/>
      <c r="J217" s="93">
        <v>215356.01</v>
      </c>
      <c r="K217" s="32"/>
      <c r="L217" s="93">
        <v>-192.8</v>
      </c>
      <c r="M217" s="32"/>
      <c r="N217" s="32"/>
      <c r="O217" s="93">
        <v>1393861.0</v>
      </c>
      <c r="P217" s="91">
        <f>IFERROR(__xludf.DUMMYFUNCTION("IFERROR(sum(FILTER($D:$N,$C:$C = $C217,$A:$A &lt; $A217,$B:$B = 12)),0) + sum($D217:$N217)"),1393860.5999999999)</f>
        <v>1393860.6</v>
      </c>
      <c r="Q217" s="92">
        <f t="shared" si="1"/>
        <v>0.4000000001</v>
      </c>
      <c r="R217" s="91">
        <f t="array" ref="R217">IFERROR(INDEX('Fund YTD Target Values'!$1:$1000, MATCH($C217,'Fund YTD Target Values'!$A:$A,0), MATCH($A217,'Fund YTD Target Values'!$1:$1,0)),0)</f>
        <v>1698733.491</v>
      </c>
      <c r="S217" s="91">
        <f>IFERROR(__xludf.DUMMYFUNCTION("IFERROR(sum(FILTER('Fund Investment Data'!$V:$V, 'Fund Investment Data'!$C:$C = $C217, 'Fund Investment Data'!$A:$A &lt; $A217)),0) + IFERROR(sum(FILTER('Fund Investment Data'!$V:$V, 'Fund Investment Data'!$C:$C = $C217, 'Fund Investment Data'!$A:$A = $A217,"&amp;" 'Fund Investment Data'!$B:$B &lt;= $B217)),0)"),1446367.46)</f>
        <v>1446367.46</v>
      </c>
      <c r="T217" s="93">
        <v>1348955.0</v>
      </c>
      <c r="U217" s="32">
        <f t="shared" si="3"/>
        <v>97412.46</v>
      </c>
      <c r="V217" s="32">
        <f>IFERROR(__xludf.DUMMYFUNCTION("$D217 - IFERROR(FILTER($D:$D,$C:$C = $C217, $A:$A = $A217, $B:$B = $B217 - 1),0)"),0.0)</f>
        <v>0</v>
      </c>
      <c r="W217" s="93">
        <f>IFERROR(__xludf.DUMMYFUNCTION("$E217 - IFERROR(FILTER($E:$E,$C:$C = $C217, $A:$A = $A217, $B:$B = $B217 - 1),0)"),-5000.0)</f>
        <v>-5000</v>
      </c>
      <c r="X217" s="93"/>
      <c r="Y217" s="93"/>
      <c r="Z217" s="93">
        <v>0.0</v>
      </c>
      <c r="AA217" s="93">
        <v>0.0</v>
      </c>
      <c r="AB217" s="93">
        <v>0.0</v>
      </c>
      <c r="AC217" s="93"/>
      <c r="AD217" s="93">
        <v>0.0</v>
      </c>
      <c r="AE217" s="32">
        <f t="shared" si="2"/>
        <v>-5000</v>
      </c>
      <c r="AF217" s="93">
        <v>0.0</v>
      </c>
    </row>
    <row r="218">
      <c r="A218" s="86">
        <v>2009.0</v>
      </c>
      <c r="B218" s="87">
        <v>12.0</v>
      </c>
      <c r="C218" s="88" t="s">
        <v>31</v>
      </c>
      <c r="D218" s="93">
        <v>750.0</v>
      </c>
      <c r="E218" s="93">
        <v>-7000.0</v>
      </c>
      <c r="F218" s="93"/>
      <c r="G218" s="93">
        <v>-965.91</v>
      </c>
      <c r="H218" s="93">
        <v>4753.4</v>
      </c>
      <c r="I218" s="32"/>
      <c r="J218" s="93">
        <v>28462.15</v>
      </c>
      <c r="K218" s="32"/>
      <c r="L218" s="93">
        <v>-98.05</v>
      </c>
      <c r="M218" s="32"/>
      <c r="N218" s="32"/>
      <c r="O218" s="93">
        <v>178935.0</v>
      </c>
      <c r="P218" s="91">
        <f>IFERROR(__xludf.DUMMYFUNCTION("IFERROR(sum(FILTER($D:$N,$C:$C = $C218,$A:$A &lt; $A218,$B:$B = 12)),0) + sum($D218:$N218)"),178935.48000000004)</f>
        <v>178935.48</v>
      </c>
      <c r="Q218" s="92">
        <f t="shared" si="1"/>
        <v>-0.48</v>
      </c>
      <c r="R218" s="91">
        <f t="array" ref="R218">IFERROR(INDEX('Fund YTD Target Values'!$1:$1000, MATCH($C218,'Fund YTD Target Values'!$A:$A,0), MATCH($A218,'Fund YTD Target Values'!$1:$1,0)),0)</f>
        <v>171816.3771</v>
      </c>
      <c r="S218" s="91">
        <f>IFERROR(__xludf.DUMMYFUNCTION("IFERROR(sum(FILTER('Fund Investment Data'!$V:$V, 'Fund Investment Data'!$C:$C = $C218, 'Fund Investment Data'!$A:$A &lt; $A218)),0) + IFERROR(sum(FILTER('Fund Investment Data'!$V:$V, 'Fund Investment Data'!$C:$C = $C218, 'Fund Investment Data'!$A:$A = $A218,"&amp;" 'Fund Investment Data'!$B:$B &lt;= $B218)),0)"),149350.0)</f>
        <v>149350</v>
      </c>
      <c r="T218" s="93">
        <v>149350.0</v>
      </c>
      <c r="U218" s="32">
        <f t="shared" si="3"/>
        <v>0</v>
      </c>
      <c r="V218" s="32">
        <f>IFERROR(__xludf.DUMMYFUNCTION("$D218 - IFERROR(FILTER($D:$D,$C:$C = $C218, $A:$A = $A218, $B:$B = $B218 - 1),0)"),750.0)</f>
        <v>750</v>
      </c>
      <c r="W218" s="93">
        <f>IFERROR(__xludf.DUMMYFUNCTION("$E218 - IFERROR(FILTER($E:$E,$C:$C = $C218, $A:$A = $A218, $B:$B = $B218 - 1),0)"),-7000.0)</f>
        <v>-7000</v>
      </c>
      <c r="X218" s="93"/>
      <c r="Y218" s="93"/>
      <c r="Z218" s="93">
        <v>0.0</v>
      </c>
      <c r="AA218" s="93">
        <v>0.0</v>
      </c>
      <c r="AB218" s="93">
        <v>0.0</v>
      </c>
      <c r="AC218" s="93"/>
      <c r="AD218" s="93">
        <v>0.0</v>
      </c>
      <c r="AE218" s="32">
        <f t="shared" si="2"/>
        <v>-7000</v>
      </c>
      <c r="AF218" s="93">
        <v>0.0</v>
      </c>
    </row>
    <row r="219">
      <c r="A219" s="86">
        <v>2009.0</v>
      </c>
      <c r="B219" s="87">
        <v>12.0</v>
      </c>
      <c r="C219" s="88" t="s">
        <v>39</v>
      </c>
      <c r="D219" s="93">
        <v>10000.0</v>
      </c>
      <c r="E219" s="32"/>
      <c r="F219" s="93"/>
      <c r="G219" s="93">
        <v>-83.58</v>
      </c>
      <c r="H219" s="93">
        <v>346.92</v>
      </c>
      <c r="I219" s="32"/>
      <c r="J219" s="93">
        <v>2460.19</v>
      </c>
      <c r="K219" s="32"/>
      <c r="L219" s="32"/>
      <c r="M219" s="32"/>
      <c r="N219" s="32"/>
      <c r="O219" s="93">
        <v>22720.0</v>
      </c>
      <c r="P219" s="91">
        <f>IFERROR(__xludf.DUMMYFUNCTION("IFERROR(sum(FILTER($D:$N,$C:$C = $C219,$A:$A &lt; $A219,$B:$B = 12)),0) + sum($D219:$N219)"),22719.53)</f>
        <v>22719.53</v>
      </c>
      <c r="Q219" s="92">
        <f t="shared" si="1"/>
        <v>0.47</v>
      </c>
      <c r="R219" s="91">
        <f t="array" ref="R219">IFERROR(INDEX('Fund YTD Target Values'!$1:$1000, MATCH($C219,'Fund YTD Target Values'!$A:$A,0), MATCH($A219,'Fund YTD Target Values'!$1:$1,0)),0)</f>
        <v>19966.22</v>
      </c>
      <c r="S219" s="91">
        <f>IFERROR(__xludf.DUMMYFUNCTION("IFERROR(sum(FILTER('Fund Investment Data'!$V:$V, 'Fund Investment Data'!$C:$C = $C219, 'Fund Investment Data'!$A:$A &lt; $A219)),0) + IFERROR(sum(FILTER('Fund Investment Data'!$V:$V, 'Fund Investment Data'!$C:$C = $C219, 'Fund Investment Data'!$A:$A = $A219,"&amp;" 'Fund Investment Data'!$B:$B &lt;= $B219)),0)"),20000.0)</f>
        <v>20000</v>
      </c>
      <c r="T219" s="93">
        <v>20000.0</v>
      </c>
      <c r="U219" s="32">
        <f t="shared" si="3"/>
        <v>0</v>
      </c>
      <c r="V219" s="32">
        <f>IFERROR(__xludf.DUMMYFUNCTION("$D219 - IFERROR(FILTER($D:$D,$C:$C = $C219, $A:$A = $A219, $B:$B = $B219 - 1),0)"),10000.0)</f>
        <v>10000</v>
      </c>
      <c r="W219" s="93">
        <f>IFERROR(__xludf.DUMMYFUNCTION("$E219 - IFERROR(FILTER($E:$E,$C:$C = $C219, $A:$A = $A219, $B:$B = $B219 - 1),0)"),0.0)</f>
        <v>0</v>
      </c>
      <c r="X219" s="93"/>
      <c r="Y219" s="93"/>
      <c r="Z219" s="93">
        <v>0.0</v>
      </c>
      <c r="AA219" s="93">
        <v>0.0</v>
      </c>
      <c r="AB219" s="93">
        <v>0.0</v>
      </c>
      <c r="AC219" s="93"/>
      <c r="AD219" s="93">
        <v>0.0</v>
      </c>
      <c r="AE219" s="32">
        <f t="shared" si="2"/>
        <v>0</v>
      </c>
      <c r="AF219" s="93">
        <v>0.0</v>
      </c>
    </row>
    <row r="220">
      <c r="A220" s="86">
        <v>2009.0</v>
      </c>
      <c r="B220" s="87">
        <v>12.0</v>
      </c>
      <c r="C220" s="88" t="s">
        <v>50</v>
      </c>
      <c r="D220" s="93">
        <v>5000.0</v>
      </c>
      <c r="E220" s="32"/>
      <c r="F220" s="93"/>
      <c r="G220" s="93">
        <v>-625.93</v>
      </c>
      <c r="H220" s="93">
        <v>3054.99</v>
      </c>
      <c r="I220" s="32"/>
      <c r="J220" s="93">
        <v>18466.62</v>
      </c>
      <c r="K220" s="32"/>
      <c r="L220" s="32"/>
      <c r="M220" s="32"/>
      <c r="N220" s="32"/>
      <c r="O220" s="93">
        <v>121830.0</v>
      </c>
      <c r="P220" s="91">
        <f>IFERROR(__xludf.DUMMYFUNCTION("IFERROR(sum(FILTER($D:$N,$C:$C = $C220,$A:$A &lt; $A220,$B:$B = 12)),0) + sum($D220:$N220)"),121828.9)</f>
        <v>121828.9</v>
      </c>
      <c r="Q220" s="92">
        <f t="shared" si="1"/>
        <v>1.1</v>
      </c>
      <c r="R220" s="91">
        <f t="array" ref="R220">IFERROR(INDEX('Fund YTD Target Values'!$1:$1000, MATCH($C220,'Fund YTD Target Values'!$A:$A,0), MATCH($A220,'Fund YTD Target Values'!$1:$1,0)),0)</f>
        <v>117830.3642</v>
      </c>
      <c r="S220" s="91">
        <f>IFERROR(__xludf.DUMMYFUNCTION("IFERROR(sum(FILTER('Fund Investment Data'!$V:$V, 'Fund Investment Data'!$C:$C = $C220, 'Fund Investment Data'!$A:$A &lt; $A220)),0) + IFERROR(sum(FILTER('Fund Investment Data'!$V:$V, 'Fund Investment Data'!$C:$C = $C220, 'Fund Investment Data'!$A:$A = $A220,"&amp;" 'Fund Investment Data'!$B:$B &lt;= $B220)),0)"),110189.56)</f>
        <v>110189.56</v>
      </c>
      <c r="T220" s="93">
        <v>110241.0</v>
      </c>
      <c r="U220" s="32">
        <f t="shared" si="3"/>
        <v>-51.44</v>
      </c>
      <c r="V220" s="32">
        <f>IFERROR(__xludf.DUMMYFUNCTION("$D220 - IFERROR(FILTER($D:$D,$C:$C = $C220, $A:$A = $A220, $B:$B = $B220 - 1),0)"),5000.0)</f>
        <v>5000</v>
      </c>
      <c r="W220" s="93">
        <f>IFERROR(__xludf.DUMMYFUNCTION("$E220 - IFERROR(FILTER($E:$E,$C:$C = $C220, $A:$A = $A220, $B:$B = $B220 - 1),0)"),0.0)</f>
        <v>0</v>
      </c>
      <c r="X220" s="93"/>
      <c r="Y220" s="93"/>
      <c r="Z220" s="93">
        <v>0.0</v>
      </c>
      <c r="AA220" s="93">
        <v>0.0</v>
      </c>
      <c r="AB220" s="93">
        <v>0.0</v>
      </c>
      <c r="AC220" s="93"/>
      <c r="AD220" s="93">
        <v>0.0</v>
      </c>
      <c r="AE220" s="32">
        <f t="shared" si="2"/>
        <v>0</v>
      </c>
      <c r="AF220" s="93">
        <v>0.0</v>
      </c>
    </row>
    <row r="221">
      <c r="A221" s="86">
        <v>2009.0</v>
      </c>
      <c r="B221" s="87">
        <v>12.0</v>
      </c>
      <c r="C221" s="88" t="s">
        <v>32</v>
      </c>
      <c r="D221" s="32"/>
      <c r="E221" s="93">
        <v>-6000.0</v>
      </c>
      <c r="F221" s="93"/>
      <c r="G221" s="93">
        <v>-351.45</v>
      </c>
      <c r="H221" s="93">
        <v>1720.41</v>
      </c>
      <c r="I221" s="93">
        <v>56.66</v>
      </c>
      <c r="J221" s="93">
        <v>10048.14</v>
      </c>
      <c r="K221" s="32"/>
      <c r="L221" s="32"/>
      <c r="M221" s="32"/>
      <c r="N221" s="32"/>
      <c r="O221" s="93">
        <v>62500.0</v>
      </c>
      <c r="P221" s="91">
        <f>IFERROR(__xludf.DUMMYFUNCTION("IFERROR(sum(FILTER($D:$N,$C:$C = $C221,$A:$A &lt; $A221,$B:$B = 12)),0) + sum($D221:$N221)"),62499.090000000004)</f>
        <v>62499.09</v>
      </c>
      <c r="Q221" s="92">
        <f t="shared" si="1"/>
        <v>0.91</v>
      </c>
      <c r="R221" s="91">
        <f t="array" ref="R221">IFERROR(INDEX('Fund YTD Target Values'!$1:$1000, MATCH($C221,'Fund YTD Target Values'!$A:$A,0), MATCH($A221,'Fund YTD Target Values'!$1:$1,0)),0)</f>
        <v>67641.5551</v>
      </c>
      <c r="S221" s="91">
        <f>IFERROR(__xludf.DUMMYFUNCTION("IFERROR(sum(FILTER('Fund Investment Data'!$V:$V, 'Fund Investment Data'!$C:$C = $C221, 'Fund Investment Data'!$A:$A &lt; $A221)),0) + IFERROR(sum(FILTER('Fund Investment Data'!$V:$V, 'Fund Investment Data'!$C:$C = $C221, 'Fund Investment Data'!$A:$A = $A221,"&amp;" 'Fund Investment Data'!$B:$B &lt;= $B221)),0)"),49449.04)</f>
        <v>49449.04</v>
      </c>
      <c r="T221" s="93">
        <v>39268.0</v>
      </c>
      <c r="U221" s="32">
        <f t="shared" si="3"/>
        <v>10181.04</v>
      </c>
      <c r="V221" s="32">
        <f>IFERROR(__xludf.DUMMYFUNCTION("$D221 - IFERROR(FILTER($D:$D,$C:$C = $C221, $A:$A = $A221, $B:$B = $B221 - 1),0)"),0.0)</f>
        <v>0</v>
      </c>
      <c r="W221" s="93">
        <f>IFERROR(__xludf.DUMMYFUNCTION("$E221 - IFERROR(FILTER($E:$E,$C:$C = $C221, $A:$A = $A221, $B:$B = $B221 - 1),0)"),-6000.0)</f>
        <v>-6000</v>
      </c>
      <c r="X221" s="93"/>
      <c r="Y221" s="93"/>
      <c r="Z221" s="93">
        <v>0.0</v>
      </c>
      <c r="AA221" s="93">
        <v>0.0</v>
      </c>
      <c r="AB221" s="93">
        <v>0.0</v>
      </c>
      <c r="AC221" s="93"/>
      <c r="AD221" s="93">
        <v>0.0</v>
      </c>
      <c r="AE221" s="32">
        <f t="shared" si="2"/>
        <v>-6000</v>
      </c>
      <c r="AF221" s="93">
        <v>0.0</v>
      </c>
    </row>
    <row r="222">
      <c r="A222" s="86">
        <v>2009.0</v>
      </c>
      <c r="B222" s="87">
        <v>12.0</v>
      </c>
      <c r="C222" s="88" t="s">
        <v>40</v>
      </c>
      <c r="D222" s="93">
        <v>250.0</v>
      </c>
      <c r="E222" s="32"/>
      <c r="F222" s="93">
        <v>150.0</v>
      </c>
      <c r="G222" s="93">
        <v>-692.65</v>
      </c>
      <c r="H222" s="93">
        <v>3371.34</v>
      </c>
      <c r="I222" s="32"/>
      <c r="J222" s="93">
        <v>19875.16</v>
      </c>
      <c r="K222" s="32"/>
      <c r="L222" s="32"/>
      <c r="M222" s="32"/>
      <c r="N222" s="32"/>
      <c r="O222" s="93">
        <v>132248.0</v>
      </c>
      <c r="P222" s="91">
        <f>IFERROR(__xludf.DUMMYFUNCTION("IFERROR(sum(FILTER($D:$N,$C:$C = $C222,$A:$A &lt; $A222,$B:$B = 12)),0) + sum($D222:$N222)"),132247.3)</f>
        <v>132247.3</v>
      </c>
      <c r="Q222" s="92">
        <f t="shared" si="1"/>
        <v>0.7</v>
      </c>
      <c r="R222" s="91">
        <f t="array" ref="R222">IFERROR(INDEX('Fund YTD Target Values'!$1:$1000, MATCH($C222,'Fund YTD Target Values'!$A:$A,0), MATCH($A222,'Fund YTD Target Values'!$1:$1,0)),0)</f>
        <v>137075.9761</v>
      </c>
      <c r="S222" s="91">
        <f>IFERROR(__xludf.DUMMYFUNCTION("IFERROR(sum(FILTER('Fund Investment Data'!$V:$V, 'Fund Investment Data'!$C:$C = $C222, 'Fund Investment Data'!$A:$A &lt; $A222)),0) + IFERROR(sum(FILTER('Fund Investment Data'!$V:$V, 'Fund Investment Data'!$C:$C = $C222, 'Fund Investment Data'!$A:$A = $A222,"&amp;" 'Fund Investment Data'!$B:$B &lt;= $B222)),0)"),128893.74)</f>
        <v>128893.74</v>
      </c>
      <c r="T222" s="93">
        <v>128913.0</v>
      </c>
      <c r="U222" s="32">
        <f t="shared" si="3"/>
        <v>-19.26</v>
      </c>
      <c r="V222" s="32">
        <f>IFERROR(__xludf.DUMMYFUNCTION("$D222 - IFERROR(FILTER($D:$D,$C:$C = $C222, $A:$A = $A222, $B:$B = $B222 - 1),0)"),250.0)</f>
        <v>250</v>
      </c>
      <c r="W222" s="93">
        <f>IFERROR(__xludf.DUMMYFUNCTION("$E222 - IFERROR(FILTER($E:$E,$C:$C = $C222, $A:$A = $A222, $B:$B = $B222 - 1),0)"),0.0)</f>
        <v>0</v>
      </c>
      <c r="X222" s="93"/>
      <c r="Y222" s="93"/>
      <c r="Z222" s="93">
        <v>0.0</v>
      </c>
      <c r="AA222" s="93">
        <v>0.0</v>
      </c>
      <c r="AB222" s="93">
        <v>0.0</v>
      </c>
      <c r="AC222" s="93"/>
      <c r="AD222" s="93">
        <v>0.0</v>
      </c>
      <c r="AE222" s="32">
        <f t="shared" si="2"/>
        <v>0</v>
      </c>
      <c r="AF222" s="93">
        <v>0.0</v>
      </c>
    </row>
    <row r="223">
      <c r="A223" s="86">
        <v>2009.0</v>
      </c>
      <c r="B223" s="87">
        <v>12.0</v>
      </c>
      <c r="C223" s="88" t="s">
        <v>48</v>
      </c>
      <c r="D223" s="32"/>
      <c r="E223" s="93">
        <v>-20000.0</v>
      </c>
      <c r="F223" s="93"/>
      <c r="G223" s="93">
        <v>-6402.28</v>
      </c>
      <c r="H223" s="93">
        <v>31639.05</v>
      </c>
      <c r="I223" s="93">
        <v>268.03</v>
      </c>
      <c r="J223" s="93">
        <v>188123.96</v>
      </c>
      <c r="K223" s="32"/>
      <c r="L223" s="93">
        <v>-9.72</v>
      </c>
      <c r="M223" s="32"/>
      <c r="N223" s="32"/>
      <c r="O223" s="93">
        <v>1206437.0</v>
      </c>
      <c r="P223" s="91">
        <f>IFERROR(__xludf.DUMMYFUNCTION("IFERROR(sum(FILTER($D:$N,$C:$C = $C223,$A:$A &lt; $A223,$B:$B = 12)),0) + sum($D223:$N223)"),1206436.21)</f>
        <v>1206436.21</v>
      </c>
      <c r="Q223" s="92">
        <f t="shared" si="1"/>
        <v>0.79</v>
      </c>
      <c r="R223" s="91">
        <f t="array" ref="R223">IFERROR(INDEX('Fund YTD Target Values'!$1:$1000, MATCH($C223,'Fund YTD Target Values'!$A:$A,0), MATCH($A223,'Fund YTD Target Values'!$1:$1,0)),0)</f>
        <v>1619959.238</v>
      </c>
      <c r="S223" s="91">
        <f>IFERROR(__xludf.DUMMYFUNCTION("IFERROR(sum(FILTER('Fund Investment Data'!$V:$V, 'Fund Investment Data'!$C:$C = $C223, 'Fund Investment Data'!$A:$A &lt; $A223)),0) + IFERROR(sum(FILTER('Fund Investment Data'!$V:$V, 'Fund Investment Data'!$C:$C = $C223, 'Fund Investment Data'!$A:$A = $A223,"&amp;" 'Fund Investment Data'!$B:$B &lt;= $B223)),0)"),1183929.39)</f>
        <v>1183929.39</v>
      </c>
      <c r="T223" s="93">
        <v>1140040.0</v>
      </c>
      <c r="U223" s="32">
        <f t="shared" si="3"/>
        <v>43889.39</v>
      </c>
      <c r="V223" s="32">
        <f>IFERROR(__xludf.DUMMYFUNCTION("$D223 - IFERROR(FILTER($D:$D,$C:$C = $C223, $A:$A = $A223, $B:$B = $B223 - 1),0)"),0.0)</f>
        <v>0</v>
      </c>
      <c r="W223" s="93">
        <f>IFERROR(__xludf.DUMMYFUNCTION("$E223 - IFERROR(FILTER($E:$E,$C:$C = $C223, $A:$A = $A223, $B:$B = $B223 - 1),0)"),-20000.0)</f>
        <v>-20000</v>
      </c>
      <c r="X223" s="93"/>
      <c r="Y223" s="93"/>
      <c r="Z223" s="93">
        <v>0.0</v>
      </c>
      <c r="AA223" s="93">
        <v>0.0</v>
      </c>
      <c r="AB223" s="93">
        <v>0.0</v>
      </c>
      <c r="AC223" s="93"/>
      <c r="AD223" s="93">
        <v>0.0</v>
      </c>
      <c r="AE223" s="32">
        <f t="shared" si="2"/>
        <v>-20000</v>
      </c>
      <c r="AF223" s="93">
        <v>0.0</v>
      </c>
    </row>
    <row r="224">
      <c r="A224" s="86">
        <v>2009.0</v>
      </c>
      <c r="B224" s="87">
        <v>12.0</v>
      </c>
      <c r="C224" s="88" t="s">
        <v>49</v>
      </c>
      <c r="D224" s="32"/>
      <c r="E224" s="93">
        <v>-10000.0</v>
      </c>
      <c r="F224" s="93"/>
      <c r="G224" s="93">
        <v>-2820.64</v>
      </c>
      <c r="H224" s="93">
        <v>13928.1</v>
      </c>
      <c r="I224" s="93">
        <v>35.42</v>
      </c>
      <c r="J224" s="93">
        <v>82684.52</v>
      </c>
      <c r="K224" s="32"/>
      <c r="L224" s="93">
        <v>-12.96</v>
      </c>
      <c r="M224" s="32"/>
      <c r="N224" s="32"/>
      <c r="O224" s="93">
        <v>530448.0</v>
      </c>
      <c r="P224" s="91">
        <f>IFERROR(__xludf.DUMMYFUNCTION("IFERROR(sum(FILTER($D:$N,$C:$C = $C224,$A:$A &lt; $A224,$B:$B = 12)),0) + sum($D224:$N224)"),530448.5899999997)</f>
        <v>530448.59</v>
      </c>
      <c r="Q224" s="92">
        <f t="shared" si="1"/>
        <v>-0.5899999997</v>
      </c>
      <c r="R224" s="91">
        <f t="array" ref="R224">IFERROR(INDEX('Fund YTD Target Values'!$1:$1000, MATCH($C224,'Fund YTD Target Values'!$A:$A,0), MATCH($A224,'Fund YTD Target Values'!$1:$1,0)),0)</f>
        <v>599181.4318</v>
      </c>
      <c r="S224" s="91">
        <f>IFERROR(__xludf.DUMMYFUNCTION("IFERROR(sum(FILTER('Fund Investment Data'!$V:$V, 'Fund Investment Data'!$C:$C = $C224, 'Fund Investment Data'!$A:$A &lt; $A224)),0) + IFERROR(sum(FILTER('Fund Investment Data'!$V:$V, 'Fund Investment Data'!$C:$C = $C224, 'Fund Investment Data'!$A:$A = $A224,"&amp;" 'Fund Investment Data'!$B:$B &lt;= $B224)),0)"),500000.0)</f>
        <v>500000</v>
      </c>
      <c r="T224" s="93">
        <v>500000.0</v>
      </c>
      <c r="U224" s="32">
        <f t="shared" si="3"/>
        <v>0</v>
      </c>
      <c r="V224" s="32">
        <f>IFERROR(__xludf.DUMMYFUNCTION("$D224 - IFERROR(FILTER($D:$D,$C:$C = $C224, $A:$A = $A224, $B:$B = $B224 - 1),0)"),0.0)</f>
        <v>0</v>
      </c>
      <c r="W224" s="93">
        <f>IFERROR(__xludf.DUMMYFUNCTION("$E224 - IFERROR(FILTER($E:$E,$C:$C = $C224, $A:$A = $A224, $B:$B = $B224 - 1),0)"),-10000.0)</f>
        <v>-10000</v>
      </c>
      <c r="X224" s="93"/>
      <c r="Y224" s="93"/>
      <c r="Z224" s="93">
        <v>0.0</v>
      </c>
      <c r="AA224" s="93">
        <v>0.0</v>
      </c>
      <c r="AB224" s="93">
        <v>0.0</v>
      </c>
      <c r="AC224" s="93"/>
      <c r="AD224" s="93">
        <v>0.0</v>
      </c>
      <c r="AE224" s="32">
        <f t="shared" si="2"/>
        <v>-10000</v>
      </c>
      <c r="AF224" s="93">
        <v>0.0</v>
      </c>
    </row>
    <row r="225">
      <c r="A225" s="86">
        <v>2009.0</v>
      </c>
      <c r="B225" s="87">
        <v>12.0</v>
      </c>
      <c r="C225" s="88" t="s">
        <v>41</v>
      </c>
      <c r="D225" s="32"/>
      <c r="E225" s="32"/>
      <c r="F225" s="93"/>
      <c r="G225" s="93">
        <v>-2552.09</v>
      </c>
      <c r="H225" s="93">
        <v>12586.95</v>
      </c>
      <c r="I225" s="32"/>
      <c r="J225" s="93">
        <v>74883.26</v>
      </c>
      <c r="K225" s="32"/>
      <c r="L225" s="32"/>
      <c r="M225" s="32"/>
      <c r="N225" s="32"/>
      <c r="O225" s="93">
        <v>487954.0</v>
      </c>
      <c r="P225" s="91">
        <f>IFERROR(__xludf.DUMMYFUNCTION("IFERROR(sum(FILTER($D:$N,$C:$C = $C225,$A:$A &lt; $A225,$B:$B = 12)),0) + sum($D225:$N225)"),487955.44000000006)</f>
        <v>487955.44</v>
      </c>
      <c r="Q225" s="92">
        <f t="shared" si="1"/>
        <v>-1.44</v>
      </c>
      <c r="R225" s="91">
        <f t="array" ref="R225">IFERROR(INDEX('Fund YTD Target Values'!$1:$1000, MATCH($C225,'Fund YTD Target Values'!$A:$A,0), MATCH($A225,'Fund YTD Target Values'!$1:$1,0)),0)</f>
        <v>502292.7094</v>
      </c>
      <c r="S225" s="91">
        <f>IFERROR(__xludf.DUMMYFUNCTION("IFERROR(sum(FILTER('Fund Investment Data'!$V:$V, 'Fund Investment Data'!$C:$C = $C225, 'Fund Investment Data'!$A:$A &lt; $A225)),0) + IFERROR(sum(FILTER('Fund Investment Data'!$V:$V, 'Fund Investment Data'!$C:$C = $C225, 'Fund Investment Data'!$A:$A = $A225,"&amp;" 'Fund Investment Data'!$B:$B &lt;= $B225)),0)"),433755.86)</f>
        <v>433755.86</v>
      </c>
      <c r="T225" s="93">
        <v>434291.0</v>
      </c>
      <c r="U225" s="32">
        <f t="shared" si="3"/>
        <v>-535.14</v>
      </c>
      <c r="V225" s="32">
        <f>IFERROR(__xludf.DUMMYFUNCTION("$D225 - IFERROR(FILTER($D:$D,$C:$C = $C225, $A:$A = $A225, $B:$B = $B225 - 1),0)"),0.0)</f>
        <v>0</v>
      </c>
      <c r="W225" s="93">
        <f>IFERROR(__xludf.DUMMYFUNCTION("$E225 - IFERROR(FILTER($E:$E,$C:$C = $C225, $A:$A = $A225, $B:$B = $B225 - 1),0)"),0.0)</f>
        <v>0</v>
      </c>
      <c r="X225" s="93"/>
      <c r="Y225" s="93"/>
      <c r="Z225" s="93">
        <v>0.0</v>
      </c>
      <c r="AA225" s="93">
        <v>0.0</v>
      </c>
      <c r="AB225" s="93">
        <v>0.0</v>
      </c>
      <c r="AC225" s="93"/>
      <c r="AD225" s="93">
        <v>0.0</v>
      </c>
      <c r="AE225" s="32">
        <f t="shared" si="2"/>
        <v>0</v>
      </c>
      <c r="AF225" s="93">
        <v>0.0</v>
      </c>
    </row>
    <row r="226">
      <c r="A226" s="86">
        <v>2009.0</v>
      </c>
      <c r="B226" s="87">
        <v>12.0</v>
      </c>
      <c r="C226" s="88" t="s">
        <v>25</v>
      </c>
      <c r="D226" s="32"/>
      <c r="E226" s="32"/>
      <c r="F226" s="93"/>
      <c r="G226" s="93">
        <v>-418.58</v>
      </c>
      <c r="H226" s="93">
        <v>2033.5</v>
      </c>
      <c r="I226" s="32"/>
      <c r="J226" s="93">
        <v>11982.29</v>
      </c>
      <c r="K226" s="32"/>
      <c r="L226" s="32"/>
      <c r="M226" s="32"/>
      <c r="N226" s="32"/>
      <c r="O226" s="93">
        <v>79803.0</v>
      </c>
      <c r="P226" s="91">
        <f>IFERROR(__xludf.DUMMYFUNCTION("IFERROR(sum(FILTER($D:$N,$C:$C = $C226,$A:$A &lt; $A226,$B:$B = 12)),0) + sum($D226:$N226)"),79802.88)</f>
        <v>79802.88</v>
      </c>
      <c r="Q226" s="92">
        <f t="shared" si="1"/>
        <v>0.12</v>
      </c>
      <c r="R226" s="91">
        <f t="array" ref="R226">IFERROR(INDEX('Fund YTD Target Values'!$1:$1000, MATCH($C226,'Fund YTD Target Values'!$A:$A,0), MATCH($A226,'Fund YTD Target Values'!$1:$1,0)),0)</f>
        <v>84205.18746</v>
      </c>
      <c r="S226" s="91">
        <f>IFERROR(__xludf.DUMMYFUNCTION("IFERROR(sum(FILTER('Fund Investment Data'!$V:$V, 'Fund Investment Data'!$C:$C = $C226, 'Fund Investment Data'!$A:$A &lt; $A226)),0) + IFERROR(sum(FILTER('Fund Investment Data'!$V:$V, 'Fund Investment Data'!$C:$C = $C226, 'Fund Investment Data'!$A:$A = $A226,"&amp;" 'Fund Investment Data'!$B:$B &lt;= $B226)),0)"),71000.0)</f>
        <v>71000</v>
      </c>
      <c r="T226" s="93">
        <v>71000.0</v>
      </c>
      <c r="U226" s="32">
        <f t="shared" si="3"/>
        <v>0</v>
      </c>
      <c r="V226" s="32">
        <f>IFERROR(__xludf.DUMMYFUNCTION("$D226 - IFERROR(FILTER($D:$D,$C:$C = $C226, $A:$A = $A226, $B:$B = $B226 - 1),0)"),0.0)</f>
        <v>0</v>
      </c>
      <c r="W226" s="93">
        <f>IFERROR(__xludf.DUMMYFUNCTION("$E226 - IFERROR(FILTER($E:$E,$C:$C = $C226, $A:$A = $A226, $B:$B = $B226 - 1),0)"),0.0)</f>
        <v>0</v>
      </c>
      <c r="X226" s="93"/>
      <c r="Y226" s="93"/>
      <c r="Z226" s="93">
        <v>0.0</v>
      </c>
      <c r="AA226" s="93">
        <v>0.0</v>
      </c>
      <c r="AB226" s="93">
        <v>0.0</v>
      </c>
      <c r="AC226" s="93"/>
      <c r="AD226" s="93">
        <v>0.0</v>
      </c>
      <c r="AE226" s="32">
        <f t="shared" si="2"/>
        <v>0</v>
      </c>
      <c r="AF226" s="93">
        <v>0.0</v>
      </c>
    </row>
    <row r="227">
      <c r="A227" s="86">
        <v>2009.0</v>
      </c>
      <c r="B227" s="87">
        <v>12.0</v>
      </c>
      <c r="C227" s="88" t="s">
        <v>42</v>
      </c>
      <c r="D227" s="32"/>
      <c r="E227" s="32"/>
      <c r="F227" s="93"/>
      <c r="G227" s="93">
        <v>-1025.25</v>
      </c>
      <c r="H227" s="93">
        <v>5037.24</v>
      </c>
      <c r="I227" s="32"/>
      <c r="J227" s="93">
        <v>29948.05</v>
      </c>
      <c r="K227" s="32"/>
      <c r="L227" s="32"/>
      <c r="M227" s="32"/>
      <c r="N227" s="32"/>
      <c r="O227" s="93">
        <v>195949.0</v>
      </c>
      <c r="P227" s="91">
        <f>IFERROR(__xludf.DUMMYFUNCTION("IFERROR(sum(FILTER($D:$N,$C:$C = $C227,$A:$A &lt; $A227,$B:$B = 12)),0) + sum($D227:$N227)"),195948.91)</f>
        <v>195948.91</v>
      </c>
      <c r="Q227" s="92">
        <f t="shared" si="1"/>
        <v>0.09</v>
      </c>
      <c r="R227" s="91">
        <f t="array" ref="R227">IFERROR(INDEX('Fund YTD Target Values'!$1:$1000, MATCH($C227,'Fund YTD Target Values'!$A:$A,0), MATCH($A227,'Fund YTD Target Values'!$1:$1,0)),0)</f>
        <v>196125.5097</v>
      </c>
      <c r="S227" s="91">
        <f>IFERROR(__xludf.DUMMYFUNCTION("IFERROR(sum(FILTER('Fund Investment Data'!$V:$V, 'Fund Investment Data'!$C:$C = $C227, 'Fund Investment Data'!$A:$A &lt; $A227)),0) + IFERROR(sum(FILTER('Fund Investment Data'!$V:$V, 'Fund Investment Data'!$C:$C = $C227, 'Fund Investment Data'!$A:$A = $A227,"&amp;" 'Fund Investment Data'!$B:$B &lt;= $B227)),0)"),184469.0)</f>
        <v>184469</v>
      </c>
      <c r="T227" s="93">
        <v>184469.0</v>
      </c>
      <c r="U227" s="32">
        <f t="shared" si="3"/>
        <v>0</v>
      </c>
      <c r="V227" s="32">
        <f>IFERROR(__xludf.DUMMYFUNCTION("$D227 - IFERROR(FILTER($D:$D,$C:$C = $C227, $A:$A = $A227, $B:$B = $B227 - 1),0)"),0.0)</f>
        <v>0</v>
      </c>
      <c r="W227" s="93">
        <f>IFERROR(__xludf.DUMMYFUNCTION("$E227 - IFERROR(FILTER($E:$E,$C:$C = $C227, $A:$A = $A227, $B:$B = $B227 - 1),0)"),0.0)</f>
        <v>0</v>
      </c>
      <c r="X227" s="93"/>
      <c r="Y227" s="93"/>
      <c r="Z227" s="93">
        <v>0.0</v>
      </c>
      <c r="AA227" s="93">
        <v>0.0</v>
      </c>
      <c r="AB227" s="93">
        <v>0.0</v>
      </c>
      <c r="AC227" s="93"/>
      <c r="AD227" s="93">
        <v>0.0</v>
      </c>
      <c r="AE227" s="32">
        <f t="shared" si="2"/>
        <v>0</v>
      </c>
      <c r="AF227" s="93">
        <v>0.0</v>
      </c>
    </row>
    <row r="228">
      <c r="A228" s="86">
        <v>2009.0</v>
      </c>
      <c r="B228" s="87">
        <v>12.0</v>
      </c>
      <c r="C228" s="88" t="s">
        <v>43</v>
      </c>
      <c r="D228" s="32"/>
      <c r="E228" s="93">
        <v>-3000.0</v>
      </c>
      <c r="F228" s="93"/>
      <c r="G228" s="93">
        <v>-610.43</v>
      </c>
      <c r="H228" s="93">
        <v>2996.39</v>
      </c>
      <c r="I228" s="32"/>
      <c r="J228" s="93">
        <v>17651.8</v>
      </c>
      <c r="K228" s="32"/>
      <c r="L228" s="32"/>
      <c r="M228" s="32"/>
      <c r="N228" s="32"/>
      <c r="O228" s="93">
        <v>114777.0</v>
      </c>
      <c r="P228" s="91">
        <f>IFERROR(__xludf.DUMMYFUNCTION("IFERROR(sum(FILTER($D:$N,$C:$C = $C228,$A:$A &lt; $A228,$B:$B = 12)),0) + sum($D228:$N228)"),114776.48)</f>
        <v>114776.48</v>
      </c>
      <c r="Q228" s="92">
        <f t="shared" si="1"/>
        <v>0.52</v>
      </c>
      <c r="R228" s="91">
        <f t="array" ref="R228">IFERROR(INDEX('Fund YTD Target Values'!$1:$1000, MATCH($C228,'Fund YTD Target Values'!$A:$A,0), MATCH($A228,'Fund YTD Target Values'!$1:$1,0)),0)</f>
        <v>111652.6096</v>
      </c>
      <c r="S228" s="91">
        <f>IFERROR(__xludf.DUMMYFUNCTION("IFERROR(sum(FILTER('Fund Investment Data'!$V:$V, 'Fund Investment Data'!$C:$C = $C228, 'Fund Investment Data'!$A:$A &lt; $A228)),0) + IFERROR(sum(FILTER('Fund Investment Data'!$V:$V, 'Fund Investment Data'!$C:$C = $C228, 'Fund Investment Data'!$A:$A = $A228,"&amp;" 'Fund Investment Data'!$B:$B &lt;= $B228)),0)"),100000.0)</f>
        <v>100000</v>
      </c>
      <c r="T228" s="93">
        <v>100000.0</v>
      </c>
      <c r="U228" s="32">
        <f t="shared" si="3"/>
        <v>0</v>
      </c>
      <c r="V228" s="32">
        <f>IFERROR(__xludf.DUMMYFUNCTION("$D228 - IFERROR(FILTER($D:$D,$C:$C = $C228, $A:$A = $A228, $B:$B = $B228 - 1),0)"),0.0)</f>
        <v>0</v>
      </c>
      <c r="W228" s="93">
        <f>IFERROR(__xludf.DUMMYFUNCTION("$E228 - IFERROR(FILTER($E:$E,$C:$C = $C228, $A:$A = $A228, $B:$B = $B228 - 1),0)"),-3000.0)</f>
        <v>-3000</v>
      </c>
      <c r="X228" s="93"/>
      <c r="Y228" s="93"/>
      <c r="Z228" s="93">
        <v>0.0</v>
      </c>
      <c r="AA228" s="93">
        <v>0.0</v>
      </c>
      <c r="AB228" s="93">
        <v>0.0</v>
      </c>
      <c r="AC228" s="93"/>
      <c r="AD228" s="93">
        <v>0.0</v>
      </c>
      <c r="AE228" s="32">
        <f t="shared" si="2"/>
        <v>-3000</v>
      </c>
      <c r="AF228" s="93">
        <v>0.0</v>
      </c>
    </row>
    <row r="229">
      <c r="A229" s="86">
        <v>2009.0</v>
      </c>
      <c r="B229" s="87">
        <v>12.0</v>
      </c>
      <c r="C229" s="88" t="s">
        <v>33</v>
      </c>
      <c r="D229" s="32"/>
      <c r="E229" s="93">
        <v>-23000.0</v>
      </c>
      <c r="F229" s="93"/>
      <c r="G229" s="93">
        <v>-2127.51</v>
      </c>
      <c r="H229" s="93">
        <v>10539.87</v>
      </c>
      <c r="I229" s="32"/>
      <c r="J229" s="93">
        <v>62853.28</v>
      </c>
      <c r="K229" s="32"/>
      <c r="L229" s="93">
        <v>-566.19</v>
      </c>
      <c r="M229" s="32"/>
      <c r="N229" s="32"/>
      <c r="O229" s="93">
        <v>391026.0</v>
      </c>
      <c r="P229" s="91">
        <f>IFERROR(__xludf.DUMMYFUNCTION("IFERROR(sum(FILTER($D:$N,$C:$C = $C229,$A:$A &lt; $A229,$B:$B = 12)),0) + sum($D229:$N229)"),391026.3999999998)</f>
        <v>391026.4</v>
      </c>
      <c r="Q229" s="92">
        <f t="shared" si="1"/>
        <v>-0.3999999998</v>
      </c>
      <c r="R229" s="91">
        <f t="array" ref="R229">IFERROR(INDEX('Fund YTD Target Values'!$1:$1000, MATCH($C229,'Fund YTD Target Values'!$A:$A,0), MATCH($A229,'Fund YTD Target Values'!$1:$1,0)),0)</f>
        <v>438187.3435</v>
      </c>
      <c r="S229" s="91">
        <f>IFERROR(__xludf.DUMMYFUNCTION("IFERROR(sum(FILTER('Fund Investment Data'!$V:$V, 'Fund Investment Data'!$C:$C = $C229, 'Fund Investment Data'!$A:$A &lt; $A229)),0) + IFERROR(sum(FILTER('Fund Investment Data'!$V:$V, 'Fund Investment Data'!$C:$C = $C229, 'Fund Investment Data'!$A:$A = $A229,"&amp;" 'Fund Investment Data'!$B:$B &lt;= $B229)),0)"),325871.6399999999)</f>
        <v>325871.64</v>
      </c>
      <c r="T229" s="93">
        <v>326032.0</v>
      </c>
      <c r="U229" s="32">
        <f t="shared" si="3"/>
        <v>-160.36</v>
      </c>
      <c r="V229" s="32">
        <f>IFERROR(__xludf.DUMMYFUNCTION("$D229 - IFERROR(FILTER($D:$D,$C:$C = $C229, $A:$A = $A229, $B:$B = $B229 - 1),0)"),0.0)</f>
        <v>0</v>
      </c>
      <c r="W229" s="93">
        <f>IFERROR(__xludf.DUMMYFUNCTION("$E229 - IFERROR(FILTER($E:$E,$C:$C = $C229, $A:$A = $A229, $B:$B = $B229 - 1),0)"),-23000.0)</f>
        <v>-23000</v>
      </c>
      <c r="X229" s="93"/>
      <c r="Y229" s="93"/>
      <c r="Z229" s="93">
        <v>0.0</v>
      </c>
      <c r="AA229" s="93">
        <v>0.0</v>
      </c>
      <c r="AB229" s="93">
        <v>0.0</v>
      </c>
      <c r="AC229" s="93"/>
      <c r="AD229" s="93">
        <v>0.0</v>
      </c>
      <c r="AE229" s="32">
        <f t="shared" si="2"/>
        <v>-23000</v>
      </c>
      <c r="AF229" s="93">
        <v>0.0</v>
      </c>
    </row>
    <row r="230">
      <c r="A230" s="86">
        <v>2009.0</v>
      </c>
      <c r="B230" s="87">
        <v>12.0</v>
      </c>
      <c r="C230" s="88" t="s">
        <v>53</v>
      </c>
      <c r="D230" s="93">
        <v>300000.0</v>
      </c>
      <c r="E230" s="32"/>
      <c r="F230" s="93"/>
      <c r="G230" s="32"/>
      <c r="H230" s="32"/>
      <c r="I230" s="32"/>
      <c r="J230" s="32"/>
      <c r="K230" s="32"/>
      <c r="L230" s="32"/>
      <c r="M230" s="32"/>
      <c r="N230" s="32"/>
      <c r="O230" s="93">
        <v>300000.0</v>
      </c>
      <c r="P230" s="91">
        <f>IFERROR(__xludf.DUMMYFUNCTION("IFERROR(sum(FILTER($D:$N,$C:$C = $C230,$A:$A &lt; $A230,$B:$B = 12)),0) + sum($D230:$N230)"),300000.0)</f>
        <v>300000</v>
      </c>
      <c r="Q230" s="92">
        <f t="shared" si="1"/>
        <v>0</v>
      </c>
      <c r="R230" s="91">
        <f t="array" ref="R230">IFERROR(INDEX('Fund YTD Target Values'!$1:$1000, MATCH($C230,'Fund YTD Target Values'!$A:$A,0), MATCH($A230,'Fund YTD Target Values'!$1:$1,0)),0)</f>
        <v>300000</v>
      </c>
      <c r="S230" s="91">
        <f>IFERROR(__xludf.DUMMYFUNCTION("IFERROR(sum(FILTER('Fund Investment Data'!$V:$V, 'Fund Investment Data'!$C:$C = $C230, 'Fund Investment Data'!$A:$A &lt; $A230)),0) + IFERROR(sum(FILTER('Fund Investment Data'!$V:$V, 'Fund Investment Data'!$C:$C = $C230, 'Fund Investment Data'!$A:$A = $A230,"&amp;" 'Fund Investment Data'!$B:$B &lt;= $B230)),0)"),300000.0)</f>
        <v>300000</v>
      </c>
      <c r="T230" s="93">
        <v>300000.0</v>
      </c>
      <c r="U230" s="32">
        <f t="shared" si="3"/>
        <v>0</v>
      </c>
      <c r="V230" s="32">
        <f>IFERROR(__xludf.DUMMYFUNCTION("$D230 - IFERROR(FILTER($D:$D,$C:$C = $C230, $A:$A = $A230, $B:$B = $B230 - 1),0)"),300000.0)</f>
        <v>300000</v>
      </c>
      <c r="W230" s="93">
        <f>IFERROR(__xludf.DUMMYFUNCTION("$E230 - IFERROR(FILTER($E:$E,$C:$C = $C230, $A:$A = $A230, $B:$B = $B230 - 1),0)"),0.0)</f>
        <v>0</v>
      </c>
      <c r="X230" s="93"/>
      <c r="Y230" s="93"/>
      <c r="Z230" s="93">
        <v>0.0</v>
      </c>
      <c r="AA230" s="93">
        <v>0.0</v>
      </c>
      <c r="AB230" s="93">
        <v>0.0</v>
      </c>
      <c r="AC230" s="93"/>
      <c r="AD230" s="93">
        <v>0.0</v>
      </c>
      <c r="AE230" s="32">
        <f t="shared" si="2"/>
        <v>0</v>
      </c>
      <c r="AF230" s="93">
        <v>0.0</v>
      </c>
    </row>
    <row r="231">
      <c r="A231" s="86">
        <v>2009.0</v>
      </c>
      <c r="B231" s="87">
        <v>12.0</v>
      </c>
      <c r="C231" s="88" t="s">
        <v>54</v>
      </c>
      <c r="D231" s="93">
        <v>1084.0</v>
      </c>
      <c r="E231" s="32"/>
      <c r="F231" s="93"/>
      <c r="G231" s="93">
        <v>-604.47</v>
      </c>
      <c r="H231" s="93">
        <v>2927.59</v>
      </c>
      <c r="I231" s="32"/>
      <c r="J231" s="93">
        <v>17252.25</v>
      </c>
      <c r="K231" s="32"/>
      <c r="L231" s="32"/>
      <c r="M231" s="32"/>
      <c r="N231" s="32"/>
      <c r="O231" s="93">
        <v>115907.0</v>
      </c>
      <c r="P231" s="91">
        <f>IFERROR(__xludf.DUMMYFUNCTION("IFERROR(sum(FILTER($D:$N,$C:$C = $C231,$A:$A &lt; $A231,$B:$B = 12)),0) + sum($D231:$N231)"),115907.32999999997)</f>
        <v>115907.33</v>
      </c>
      <c r="Q231" s="92">
        <f t="shared" si="1"/>
        <v>-0.33</v>
      </c>
      <c r="R231" s="91">
        <f t="array" ref="R231">IFERROR(INDEX('Fund YTD Target Values'!$1:$1000, MATCH($C231,'Fund YTD Target Values'!$A:$A,0), MATCH($A231,'Fund YTD Target Values'!$1:$1,0)),0)</f>
        <v>114263.9174</v>
      </c>
      <c r="S231" s="91">
        <f>IFERROR(__xludf.DUMMYFUNCTION("IFERROR(sum(FILTER('Fund Investment Data'!$V:$V, 'Fund Investment Data'!$C:$C = $C231, 'Fund Investment Data'!$A:$A &lt; $A231)),0) + IFERROR(sum(FILTER('Fund Investment Data'!$V:$V, 'Fund Investment Data'!$C:$C = $C231, 'Fund Investment Data'!$A:$A = $A231,"&amp;" 'Fund Investment Data'!$B:$B &lt;= $B231)),0)"),92330.10999999999)</f>
        <v>92330.11</v>
      </c>
      <c r="T231" s="93">
        <v>88414.0</v>
      </c>
      <c r="U231" s="32">
        <f t="shared" si="3"/>
        <v>3916.11</v>
      </c>
      <c r="V231" s="32">
        <f>IFERROR(__xludf.DUMMYFUNCTION("$D231 - IFERROR(FILTER($D:$D,$C:$C = $C231, $A:$A = $A231, $B:$B = $B231 - 1),0)"),1084.0)</f>
        <v>1084</v>
      </c>
      <c r="W231" s="93">
        <f>IFERROR(__xludf.DUMMYFUNCTION("$E231 - IFERROR(FILTER($E:$E,$C:$C = $C231, $A:$A = $A231, $B:$B = $B231 - 1),0)"),0.0)</f>
        <v>0</v>
      </c>
      <c r="X231" s="93"/>
      <c r="Y231" s="93"/>
      <c r="Z231" s="93">
        <v>0.0</v>
      </c>
      <c r="AA231" s="93">
        <v>0.0</v>
      </c>
      <c r="AB231" s="93">
        <v>0.0</v>
      </c>
      <c r="AC231" s="93"/>
      <c r="AD231" s="93">
        <v>0.0</v>
      </c>
      <c r="AE231" s="32">
        <f t="shared" si="2"/>
        <v>0</v>
      </c>
      <c r="AF231" s="93">
        <v>0.0</v>
      </c>
    </row>
    <row r="232">
      <c r="A232" s="86">
        <v>2009.0</v>
      </c>
      <c r="B232" s="87">
        <v>12.0</v>
      </c>
      <c r="C232" s="88" t="s">
        <v>44</v>
      </c>
      <c r="D232" s="32"/>
      <c r="E232" s="93">
        <v>-2500.0</v>
      </c>
      <c r="F232" s="93"/>
      <c r="G232" s="93">
        <v>-1474.88</v>
      </c>
      <c r="H232" s="93">
        <v>7274.79</v>
      </c>
      <c r="I232" s="32"/>
      <c r="J232" s="93">
        <v>43346.9</v>
      </c>
      <c r="K232" s="32"/>
      <c r="L232" s="32"/>
      <c r="M232" s="32"/>
      <c r="N232" s="32"/>
      <c r="O232" s="93">
        <v>280305.0</v>
      </c>
      <c r="P232" s="91">
        <f>IFERROR(__xludf.DUMMYFUNCTION("IFERROR(sum(FILTER($D:$N,$C:$C = $C232,$A:$A &lt; $A232,$B:$B = 12)),0) + sum($D232:$N232)"),280305.68)</f>
        <v>280305.68</v>
      </c>
      <c r="Q232" s="92">
        <f t="shared" si="1"/>
        <v>-0.68</v>
      </c>
      <c r="R232" s="91">
        <f t="array" ref="R232">IFERROR(INDEX('Fund YTD Target Values'!$1:$1000, MATCH($C232,'Fund YTD Target Values'!$A:$A,0), MATCH($A232,'Fund YTD Target Values'!$1:$1,0)),0)</f>
        <v>274726.6779</v>
      </c>
      <c r="S232" s="91">
        <f>IFERROR(__xludf.DUMMYFUNCTION("IFERROR(sum(FILTER('Fund Investment Data'!$V:$V, 'Fund Investment Data'!$C:$C = $C232, 'Fund Investment Data'!$A:$A &lt; $A232)),0) + IFERROR(sum(FILTER('Fund Investment Data'!$V:$V, 'Fund Investment Data'!$C:$C = $C232, 'Fund Investment Data'!$A:$A = $A232,"&amp;" 'Fund Investment Data'!$B:$B &lt;= $B232)),0)"),250000.0)</f>
        <v>250000</v>
      </c>
      <c r="T232" s="93">
        <v>250000.0</v>
      </c>
      <c r="U232" s="32">
        <f t="shared" si="3"/>
        <v>0</v>
      </c>
      <c r="V232" s="32">
        <f>IFERROR(__xludf.DUMMYFUNCTION("$D232 - IFERROR(FILTER($D:$D,$C:$C = $C232, $A:$A = $A232, $B:$B = $B232 - 1),0)"),0.0)</f>
        <v>0</v>
      </c>
      <c r="W232" s="93">
        <f>IFERROR(__xludf.DUMMYFUNCTION("$E232 - IFERROR(FILTER($E:$E,$C:$C = $C232, $A:$A = $A232, $B:$B = $B232 - 1),0)"),-2500.0)</f>
        <v>-2500</v>
      </c>
      <c r="X232" s="93"/>
      <c r="Y232" s="93"/>
      <c r="Z232" s="93">
        <v>0.0</v>
      </c>
      <c r="AA232" s="93">
        <v>0.0</v>
      </c>
      <c r="AB232" s="93">
        <v>0.0</v>
      </c>
      <c r="AC232" s="93"/>
      <c r="AD232" s="93">
        <v>0.0</v>
      </c>
      <c r="AE232" s="32">
        <f t="shared" si="2"/>
        <v>-2500</v>
      </c>
      <c r="AF232" s="93">
        <v>0.0</v>
      </c>
    </row>
    <row r="233">
      <c r="A233" s="86">
        <v>2009.0</v>
      </c>
      <c r="B233" s="87">
        <v>12.0</v>
      </c>
      <c r="C233" s="88" t="s">
        <v>45</v>
      </c>
      <c r="D233" s="32"/>
      <c r="E233" s="32"/>
      <c r="F233" s="93"/>
      <c r="G233" s="93">
        <v>-453.47</v>
      </c>
      <c r="H233" s="93">
        <v>2154.12</v>
      </c>
      <c r="I233" s="32"/>
      <c r="J233" s="93">
        <v>13046.58</v>
      </c>
      <c r="K233" s="32"/>
      <c r="L233" s="32"/>
      <c r="M233" s="32"/>
      <c r="N233" s="32"/>
      <c r="O233" s="93">
        <v>86482.0</v>
      </c>
      <c r="P233" s="91">
        <f>IFERROR(__xludf.DUMMYFUNCTION("IFERROR(sum(FILTER($D:$N,$C:$C = $C233,$A:$A &lt; $A233,$B:$B = 12)),0) + sum($D233:$N233)"),86483.28)</f>
        <v>86483.28</v>
      </c>
      <c r="Q233" s="92">
        <f t="shared" si="1"/>
        <v>-1.28</v>
      </c>
      <c r="R233" s="91">
        <f t="array" ref="R233">IFERROR(INDEX('Fund YTD Target Values'!$1:$1000, MATCH($C233,'Fund YTD Target Values'!$A:$A,0), MATCH($A233,'Fund YTD Target Values'!$1:$1,0)),0)</f>
        <v>83898.91876</v>
      </c>
      <c r="S233" s="91">
        <f>IFERROR(__xludf.DUMMYFUNCTION("IFERROR(sum(FILTER('Fund Investment Data'!$V:$V, 'Fund Investment Data'!$C:$C = $C233, 'Fund Investment Data'!$A:$A &lt; $A233)),0) + IFERROR(sum(FILTER('Fund Investment Data'!$V:$V, 'Fund Investment Data'!$C:$C = $C233, 'Fund Investment Data'!$A:$A = $A233,"&amp;" 'Fund Investment Data'!$B:$B &lt;= $B233)),0)"),80000.0)</f>
        <v>80000</v>
      </c>
      <c r="T233" s="93">
        <v>80000.0</v>
      </c>
      <c r="U233" s="32">
        <f t="shared" si="3"/>
        <v>0</v>
      </c>
      <c r="V233" s="32">
        <f>IFERROR(__xludf.DUMMYFUNCTION("$D233 - IFERROR(FILTER($D:$D,$C:$C = $C233, $A:$A = $A233, $B:$B = $B233 - 1),0)"),0.0)</f>
        <v>0</v>
      </c>
      <c r="W233" s="93">
        <f>IFERROR(__xludf.DUMMYFUNCTION("$E233 - IFERROR(FILTER($E:$E,$C:$C = $C233, $A:$A = $A233, $B:$B = $B233 - 1),0)"),0.0)</f>
        <v>0</v>
      </c>
      <c r="X233" s="93"/>
      <c r="Y233" s="93"/>
      <c r="Z233" s="93">
        <v>0.0</v>
      </c>
      <c r="AA233" s="93">
        <v>0.0</v>
      </c>
      <c r="AB233" s="93">
        <v>0.0</v>
      </c>
      <c r="AC233" s="93"/>
      <c r="AD233" s="93">
        <v>0.0</v>
      </c>
      <c r="AE233" s="32">
        <f t="shared" si="2"/>
        <v>0</v>
      </c>
      <c r="AF233" s="93">
        <v>0.0</v>
      </c>
    </row>
    <row r="234">
      <c r="A234" s="86">
        <v>2009.0</v>
      </c>
      <c r="B234" s="87">
        <v>12.0</v>
      </c>
      <c r="C234" s="88" t="s">
        <v>35</v>
      </c>
      <c r="D234" s="32"/>
      <c r="E234" s="93">
        <v>-56500.0</v>
      </c>
      <c r="F234" s="93"/>
      <c r="G234" s="93">
        <v>-6712.13</v>
      </c>
      <c r="H234" s="93">
        <v>33272.63</v>
      </c>
      <c r="I234" s="32"/>
      <c r="J234" s="93">
        <v>198006.84</v>
      </c>
      <c r="K234" s="32"/>
      <c r="L234" s="93">
        <v>-1415.47</v>
      </c>
      <c r="M234" s="32"/>
      <c r="N234" s="32"/>
      <c r="O234" s="93">
        <v>1244872.0</v>
      </c>
      <c r="P234" s="91">
        <f>IFERROR(__xludf.DUMMYFUNCTION("IFERROR(sum(FILTER($D:$N,$C:$C = $C234,$A:$A &lt; $A234,$B:$B = 12)),0) + sum($D234:$N234)"),1244870.62)</f>
        <v>1244870.62</v>
      </c>
      <c r="Q234" s="92">
        <f t="shared" si="1"/>
        <v>1.38</v>
      </c>
      <c r="R234" s="91">
        <f t="array" ref="R234">IFERROR(INDEX('Fund YTD Target Values'!$1:$1000, MATCH($C234,'Fund YTD Target Values'!$A:$A,0), MATCH($A234,'Fund YTD Target Values'!$1:$1,0)),0)</f>
        <v>1330549.545</v>
      </c>
      <c r="S234" s="91">
        <f>IFERROR(__xludf.DUMMYFUNCTION("IFERROR(sum(FILTER('Fund Investment Data'!$V:$V, 'Fund Investment Data'!$C:$C = $C234, 'Fund Investment Data'!$A:$A &lt; $A234)),0) + IFERROR(sum(FILTER('Fund Investment Data'!$V:$V, 'Fund Investment Data'!$C:$C = $C234, 'Fund Investment Data'!$A:$A = $A234,"&amp;" 'Fund Investment Data'!$B:$B &lt;= $B234)),0)"),1066125.0)</f>
        <v>1066125</v>
      </c>
      <c r="T234" s="93">
        <v>1051125.0</v>
      </c>
      <c r="U234" s="32">
        <f t="shared" si="3"/>
        <v>15000</v>
      </c>
      <c r="V234" s="32">
        <f>IFERROR(__xludf.DUMMYFUNCTION("$D234 - IFERROR(FILTER($D:$D,$C:$C = $C234, $A:$A = $A234, $B:$B = $B234 - 1),0)"),0.0)</f>
        <v>0</v>
      </c>
      <c r="W234" s="93">
        <f>IFERROR(__xludf.DUMMYFUNCTION("$E234 - IFERROR(FILTER($E:$E,$C:$C = $C234, $A:$A = $A234, $B:$B = $B234 - 1),0)"),-56500.0)</f>
        <v>-56500</v>
      </c>
      <c r="X234" s="93"/>
      <c r="Y234" s="93"/>
      <c r="Z234" s="93">
        <v>0.0</v>
      </c>
      <c r="AA234" s="93">
        <v>0.0</v>
      </c>
      <c r="AB234" s="93">
        <v>0.0</v>
      </c>
      <c r="AC234" s="93"/>
      <c r="AD234" s="93">
        <v>0.0</v>
      </c>
      <c r="AE234" s="32">
        <f t="shared" si="2"/>
        <v>-56500</v>
      </c>
      <c r="AF234" s="93">
        <v>0.0</v>
      </c>
    </row>
    <row r="235">
      <c r="A235" s="86">
        <v>2010.0</v>
      </c>
      <c r="B235" s="87">
        <v>12.0</v>
      </c>
      <c r="C235" s="88" t="s">
        <v>26</v>
      </c>
      <c r="D235" s="32"/>
      <c r="E235" s="32"/>
      <c r="F235" s="93"/>
      <c r="G235" s="93">
        <v>-1443.8</v>
      </c>
      <c r="H235" s="93">
        <v>5020.14</v>
      </c>
      <c r="I235" s="32"/>
      <c r="J235" s="93">
        <v>28168.66</v>
      </c>
      <c r="K235" s="32"/>
      <c r="L235" s="32"/>
      <c r="M235" s="32"/>
      <c r="N235" s="32"/>
      <c r="O235" s="93">
        <v>268156.0</v>
      </c>
      <c r="P235" s="91">
        <f>IFERROR(__xludf.DUMMYFUNCTION("IFERROR(sum(FILTER($D:$N,$C:$C = $C235,$A:$A &lt; $A235,$B:$B = 12)),0) + sum($D235:$N235)"),268155.24)</f>
        <v>268155.24</v>
      </c>
      <c r="Q235" s="92">
        <f t="shared" si="1"/>
        <v>0.76</v>
      </c>
      <c r="R235" s="91">
        <f t="array" ref="R235">IFERROR(INDEX('Fund YTD Target Values'!$1:$1000, MATCH($C235,'Fund YTD Target Values'!$A:$A,0), MATCH($A235,'Fund YTD Target Values'!$1:$1,0)),0)</f>
        <v>274260.7178</v>
      </c>
      <c r="S235" s="91">
        <f>IFERROR(__xludf.DUMMYFUNCTION("IFERROR(sum(FILTER('Fund Investment Data'!$V:$V, 'Fund Investment Data'!$C:$C = $C235, 'Fund Investment Data'!$A:$A &lt; $A235)),0) + IFERROR(sum(FILTER('Fund Investment Data'!$V:$V, 'Fund Investment Data'!$C:$C = $C235, 'Fund Investment Data'!$A:$A = $A235,"&amp;" 'Fund Investment Data'!$B:$B &lt;= $B235)),0)"),250000.0)</f>
        <v>250000</v>
      </c>
      <c r="T235" s="93">
        <v>250000.0</v>
      </c>
      <c r="U235" s="32">
        <f t="shared" si="3"/>
        <v>0</v>
      </c>
      <c r="V235" s="32">
        <f>IFERROR(__xludf.DUMMYFUNCTION("$D235 - IFERROR(FILTER($D:$D,$C:$C = $C235, $A:$A = $A235, $B:$B = $B235 - 1),0)"),0.0)</f>
        <v>0</v>
      </c>
      <c r="W235" s="93">
        <f>IFERROR(__xludf.DUMMYFUNCTION("$E235 - IFERROR(FILTER($E:$E,$C:$C = $C235, $A:$A = $A235, $B:$B = $B235 - 1),0)"),0.0)</f>
        <v>0</v>
      </c>
      <c r="X235" s="93"/>
      <c r="Y235" s="93"/>
      <c r="Z235" s="93">
        <v>0.0</v>
      </c>
      <c r="AA235" s="93">
        <v>0.0</v>
      </c>
      <c r="AB235" s="93">
        <v>0.0</v>
      </c>
      <c r="AC235" s="93"/>
      <c r="AD235" s="93">
        <v>0.0</v>
      </c>
      <c r="AE235" s="32">
        <f t="shared" si="2"/>
        <v>0</v>
      </c>
      <c r="AF235" s="93">
        <v>0.0</v>
      </c>
    </row>
    <row r="236">
      <c r="A236" s="86">
        <v>2010.0</v>
      </c>
      <c r="B236" s="87">
        <v>12.0</v>
      </c>
      <c r="C236" s="88" t="s">
        <v>27</v>
      </c>
      <c r="D236" s="93">
        <v>750.0</v>
      </c>
      <c r="E236" s="93">
        <v>-5000.0</v>
      </c>
      <c r="F236" s="93"/>
      <c r="G236" s="93">
        <v>-1762.18</v>
      </c>
      <c r="H236" s="93">
        <v>6172.38</v>
      </c>
      <c r="I236" s="93">
        <v>326.23</v>
      </c>
      <c r="J236" s="93">
        <v>33868.74</v>
      </c>
      <c r="K236" s="32"/>
      <c r="L236" s="32"/>
      <c r="M236" s="32"/>
      <c r="N236" s="32"/>
      <c r="O236" s="93">
        <v>322606.0</v>
      </c>
      <c r="P236" s="91">
        <f>IFERROR(__xludf.DUMMYFUNCTION("IFERROR(sum(FILTER($D:$N,$C:$C = $C236,$A:$A &lt; $A236,$B:$B = 12)),0) + sum($D236:$N236)"),322608.2900000001)</f>
        <v>322608.29</v>
      </c>
      <c r="Q236" s="92">
        <f t="shared" si="1"/>
        <v>-2.29</v>
      </c>
      <c r="R236" s="91">
        <f t="array" ref="R236">IFERROR(INDEX('Fund YTD Target Values'!$1:$1000, MATCH($C236,'Fund YTD Target Values'!$A:$A,0), MATCH($A236,'Fund YTD Target Values'!$1:$1,0)),0)</f>
        <v>341033.2876</v>
      </c>
      <c r="S236" s="91">
        <f>IFERROR(__xludf.DUMMYFUNCTION("IFERROR(sum(FILTER('Fund Investment Data'!$V:$V, 'Fund Investment Data'!$C:$C = $C236, 'Fund Investment Data'!$A:$A &lt; $A236)),0) + IFERROR(sum(FILTER('Fund Investment Data'!$V:$V, 'Fund Investment Data'!$C:$C = $C236, 'Fund Investment Data'!$A:$A = $A236,"&amp;" 'Fund Investment Data'!$B:$B &lt;= $B236)),0)"),275713.69999999995)</f>
        <v>275713.7</v>
      </c>
      <c r="T236" s="93">
        <v>271748.0</v>
      </c>
      <c r="U236" s="32">
        <f t="shared" si="3"/>
        <v>3965.7</v>
      </c>
      <c r="V236" s="32">
        <f>IFERROR(__xludf.DUMMYFUNCTION("$D236 - IFERROR(FILTER($D:$D,$C:$C = $C236, $A:$A = $A236, $B:$B = $B236 - 1),0)"),750.0)</f>
        <v>750</v>
      </c>
      <c r="W236" s="93">
        <f>IFERROR(__xludf.DUMMYFUNCTION("$E236 - IFERROR(FILTER($E:$E,$C:$C = $C236, $A:$A = $A236, $B:$B = $B236 - 1),0)"),-5000.0)</f>
        <v>-5000</v>
      </c>
      <c r="X236" s="93"/>
      <c r="Y236" s="93"/>
      <c r="Z236" s="93">
        <v>0.0</v>
      </c>
      <c r="AA236" s="93">
        <v>0.0</v>
      </c>
      <c r="AB236" s="93">
        <v>0.0</v>
      </c>
      <c r="AC236" s="93"/>
      <c r="AD236" s="93">
        <v>0.0</v>
      </c>
      <c r="AE236" s="32">
        <f t="shared" si="2"/>
        <v>-5000</v>
      </c>
      <c r="AF236" s="93">
        <v>0.0</v>
      </c>
    </row>
    <row r="237">
      <c r="A237" s="86">
        <v>2010.0</v>
      </c>
      <c r="B237" s="87">
        <v>12.0</v>
      </c>
      <c r="C237" s="88" t="s">
        <v>28</v>
      </c>
      <c r="D237" s="32"/>
      <c r="E237" s="93">
        <v>-150000.0</v>
      </c>
      <c r="F237" s="93"/>
      <c r="G237" s="93">
        <v>-19896.69</v>
      </c>
      <c r="H237" s="93">
        <v>70309.36</v>
      </c>
      <c r="I237" s="93">
        <v>725.75</v>
      </c>
      <c r="J237" s="93">
        <v>385296.37</v>
      </c>
      <c r="K237" s="32"/>
      <c r="L237" s="93">
        <v>-212.02</v>
      </c>
      <c r="M237" s="32"/>
      <c r="N237" s="32"/>
      <c r="O237" s="93">
        <v>3578091.0</v>
      </c>
      <c r="P237" s="91">
        <f>IFERROR(__xludf.DUMMYFUNCTION("IFERROR(sum(FILTER($D:$N,$C:$C = $C237,$A:$A &lt; $A237,$B:$B = 12)),0) + sum($D237:$N237)"),3578090.900000001)</f>
        <v>3578090.9</v>
      </c>
      <c r="Q237" s="92">
        <f t="shared" si="1"/>
        <v>0.09999999916</v>
      </c>
      <c r="R237" s="91">
        <f t="array" ref="R237">IFERROR(INDEX('Fund YTD Target Values'!$1:$1000, MATCH($C237,'Fund YTD Target Values'!$A:$A,0), MATCH($A237,'Fund YTD Target Values'!$1:$1,0)),0)</f>
        <v>3334820.115</v>
      </c>
      <c r="S237" s="91">
        <f>IFERROR(__xludf.DUMMYFUNCTION("IFERROR(sum(FILTER('Fund Investment Data'!$V:$V, 'Fund Investment Data'!$C:$C = $C237, 'Fund Investment Data'!$A:$A &lt; $A237)),0) + IFERROR(sum(FILTER('Fund Investment Data'!$V:$V, 'Fund Investment Data'!$C:$C = $C237, 'Fund Investment Data'!$A:$A = $A237,"&amp;" 'Fund Investment Data'!$B:$B &lt;= $B237)),0)"),2960091.25)</f>
        <v>2960091.25</v>
      </c>
      <c r="T237" s="93">
        <v>3009816.0</v>
      </c>
      <c r="U237" s="32">
        <f t="shared" si="3"/>
        <v>-49724.75</v>
      </c>
      <c r="V237" s="32">
        <f>IFERROR(__xludf.DUMMYFUNCTION("$D237 - IFERROR(FILTER($D:$D,$C:$C = $C237, $A:$A = $A237, $B:$B = $B237 - 1),0)"),0.0)</f>
        <v>0</v>
      </c>
      <c r="W237" s="93">
        <f>IFERROR(__xludf.DUMMYFUNCTION("$E237 - IFERROR(FILTER($E:$E,$C:$C = $C237, $A:$A = $A237, $B:$B = $B237 - 1),0)"),-150000.0)</f>
        <v>-150000</v>
      </c>
      <c r="X237" s="93"/>
      <c r="Y237" s="93"/>
      <c r="Z237" s="93">
        <v>0.0</v>
      </c>
      <c r="AA237" s="93">
        <v>0.0</v>
      </c>
      <c r="AB237" s="93">
        <v>0.0</v>
      </c>
      <c r="AC237" s="93"/>
      <c r="AD237" s="93">
        <v>0.0</v>
      </c>
      <c r="AE237" s="32">
        <f t="shared" si="2"/>
        <v>-150000</v>
      </c>
      <c r="AF237" s="93">
        <v>0.0</v>
      </c>
    </row>
    <row r="238">
      <c r="A238" s="86">
        <v>2010.0</v>
      </c>
      <c r="B238" s="87">
        <v>12.0</v>
      </c>
      <c r="C238" s="88" t="s">
        <v>46</v>
      </c>
      <c r="D238" s="32"/>
      <c r="E238" s="93">
        <v>-15000.0</v>
      </c>
      <c r="F238" s="93"/>
      <c r="G238" s="93">
        <v>-2375.14</v>
      </c>
      <c r="H238" s="93">
        <v>8382.13</v>
      </c>
      <c r="I238" s="93">
        <v>928.72</v>
      </c>
      <c r="J238" s="93">
        <v>45146.17</v>
      </c>
      <c r="K238" s="32"/>
      <c r="L238" s="32"/>
      <c r="M238" s="32"/>
      <c r="N238" s="32"/>
      <c r="O238" s="93">
        <v>433279.0</v>
      </c>
      <c r="P238" s="91">
        <f>IFERROR(__xludf.DUMMYFUNCTION("IFERROR(sum(FILTER($D:$N,$C:$C = $C238,$A:$A &lt; $A238,$B:$B = 12)),0) + sum($D238:$N238)"),433279.19000000006)</f>
        <v>433279.19</v>
      </c>
      <c r="Q238" s="92">
        <f t="shared" si="1"/>
        <v>-0.1900000001</v>
      </c>
      <c r="R238" s="91">
        <f t="array" ref="R238">IFERROR(INDEX('Fund YTD Target Values'!$1:$1000, MATCH($C238,'Fund YTD Target Values'!$A:$A,0), MATCH($A238,'Fund YTD Target Values'!$1:$1,0)),0)</f>
        <v>396434.5669</v>
      </c>
      <c r="S238" s="91">
        <f>IFERROR(__xludf.DUMMYFUNCTION("IFERROR(sum(FILTER('Fund Investment Data'!$V:$V, 'Fund Investment Data'!$C:$C = $C238, 'Fund Investment Data'!$A:$A &lt; $A238)),0) + IFERROR(sum(FILTER('Fund Investment Data'!$V:$V, 'Fund Investment Data'!$C:$C = $C238, 'Fund Investment Data'!$A:$A = $A238,"&amp;" 'Fund Investment Data'!$B:$B &lt;= $B238)),0)"),366400.0)</f>
        <v>366400</v>
      </c>
      <c r="T238" s="93">
        <v>366400.0</v>
      </c>
      <c r="U238" s="32">
        <f t="shared" si="3"/>
        <v>0</v>
      </c>
      <c r="V238" s="32">
        <f>IFERROR(__xludf.DUMMYFUNCTION("$D238 - IFERROR(FILTER($D:$D,$C:$C = $C238, $A:$A = $A238, $B:$B = $B238 - 1),0)"),0.0)</f>
        <v>0</v>
      </c>
      <c r="W238" s="93">
        <f>IFERROR(__xludf.DUMMYFUNCTION("$E238 - IFERROR(FILTER($E:$E,$C:$C = $C238, $A:$A = $A238, $B:$B = $B238 - 1),0)"),-15000.0)</f>
        <v>-15000</v>
      </c>
      <c r="X238" s="93"/>
      <c r="Y238" s="93"/>
      <c r="Z238" s="93">
        <v>0.0</v>
      </c>
      <c r="AA238" s="93">
        <v>0.0</v>
      </c>
      <c r="AB238" s="93">
        <v>0.0</v>
      </c>
      <c r="AC238" s="93"/>
      <c r="AD238" s="93">
        <v>0.0</v>
      </c>
      <c r="AE238" s="32">
        <f t="shared" si="2"/>
        <v>-15000</v>
      </c>
      <c r="AF238" s="93">
        <v>0.0</v>
      </c>
    </row>
    <row r="239">
      <c r="A239" s="86">
        <v>2010.0</v>
      </c>
      <c r="B239" s="87">
        <v>12.0</v>
      </c>
      <c r="C239" s="88" t="s">
        <v>36</v>
      </c>
      <c r="D239" s="32"/>
      <c r="E239" s="93">
        <v>-30000.0</v>
      </c>
      <c r="F239" s="93"/>
      <c r="G239" s="93">
        <v>-2787.43</v>
      </c>
      <c r="H239" s="93">
        <v>9833.63</v>
      </c>
      <c r="I239" s="93">
        <v>1689.26</v>
      </c>
      <c r="J239" s="93">
        <v>51836.03</v>
      </c>
      <c r="K239" s="32"/>
      <c r="L239" s="32"/>
      <c r="M239" s="32"/>
      <c r="N239" s="32"/>
      <c r="O239" s="93">
        <v>495968.0</v>
      </c>
      <c r="P239" s="91">
        <f>IFERROR(__xludf.DUMMYFUNCTION("IFERROR(sum(FILTER($D:$N,$C:$C = $C239,$A:$A &lt; $A239,$B:$B = 12)),0) + sum($D239:$N239)"),495967.7300000002)</f>
        <v>495967.73</v>
      </c>
      <c r="Q239" s="92">
        <f t="shared" si="1"/>
        <v>0.2699999998</v>
      </c>
      <c r="R239" s="91">
        <f t="array" ref="R239">IFERROR(INDEX('Fund YTD Target Values'!$1:$1000, MATCH($C239,'Fund YTD Target Values'!$A:$A,0), MATCH($A239,'Fund YTD Target Values'!$1:$1,0)),0)</f>
        <v>551813.7042</v>
      </c>
      <c r="S239" s="91">
        <f>IFERROR(__xludf.DUMMYFUNCTION("IFERROR(sum(FILTER('Fund Investment Data'!$V:$V, 'Fund Investment Data'!$C:$C = $C239, 'Fund Investment Data'!$A:$A &lt; $A239)),0) + IFERROR(sum(FILTER('Fund Investment Data'!$V:$V, 'Fund Investment Data'!$C:$C = $C239, 'Fund Investment Data'!$A:$A = $A239,"&amp;" 'Fund Investment Data'!$B:$B &lt;= $B239)),0)"),429067.24)</f>
        <v>429067.24</v>
      </c>
      <c r="T239" s="93">
        <v>413959.0</v>
      </c>
      <c r="U239" s="32">
        <f t="shared" si="3"/>
        <v>15108.24</v>
      </c>
      <c r="V239" s="32">
        <f>IFERROR(__xludf.DUMMYFUNCTION("$D239 - IFERROR(FILTER($D:$D,$C:$C = $C239, $A:$A = $A239, $B:$B = $B239 - 1),0)"),0.0)</f>
        <v>0</v>
      </c>
      <c r="W239" s="93">
        <f>IFERROR(__xludf.DUMMYFUNCTION("$E239 - IFERROR(FILTER($E:$E,$C:$C = $C239, $A:$A = $A239, $B:$B = $B239 - 1),0)"),-30000.0)</f>
        <v>-30000</v>
      </c>
      <c r="X239" s="93"/>
      <c r="Y239" s="93"/>
      <c r="Z239" s="93">
        <v>0.0</v>
      </c>
      <c r="AA239" s="93">
        <v>0.0</v>
      </c>
      <c r="AB239" s="93">
        <v>0.0</v>
      </c>
      <c r="AC239" s="93"/>
      <c r="AD239" s="93">
        <v>0.0</v>
      </c>
      <c r="AE239" s="32">
        <f t="shared" si="2"/>
        <v>-30000</v>
      </c>
      <c r="AF239" s="93">
        <v>0.0</v>
      </c>
    </row>
    <row r="240">
      <c r="A240" s="86">
        <v>2010.0</v>
      </c>
      <c r="B240" s="87">
        <v>12.0</v>
      </c>
      <c r="C240" s="88" t="s">
        <v>29</v>
      </c>
      <c r="D240" s="32"/>
      <c r="E240" s="93">
        <v>-5000.0</v>
      </c>
      <c r="F240" s="93"/>
      <c r="G240" s="93">
        <v>-377.27</v>
      </c>
      <c r="H240" s="93">
        <v>1306.83</v>
      </c>
      <c r="I240" s="93">
        <v>380.6</v>
      </c>
      <c r="J240" s="93">
        <v>6653.02</v>
      </c>
      <c r="K240" s="32"/>
      <c r="L240" s="32"/>
      <c r="M240" s="32"/>
      <c r="N240" s="32"/>
      <c r="O240" s="93">
        <v>64764.0</v>
      </c>
      <c r="P240" s="91">
        <f>IFERROR(__xludf.DUMMYFUNCTION("IFERROR(sum(FILTER($D:$N,$C:$C = $C240,$A:$A &lt; $A240,$B:$B = 12)),0) + sum($D240:$N240)"),64763.76999999993)</f>
        <v>64763.77</v>
      </c>
      <c r="Q240" s="92">
        <f t="shared" si="1"/>
        <v>0.2300000001</v>
      </c>
      <c r="R240" s="91">
        <f t="array" ref="R240">IFERROR(INDEX('Fund YTD Target Values'!$1:$1000, MATCH($C240,'Fund YTD Target Values'!$A:$A,0), MATCH($A240,'Fund YTD Target Values'!$1:$1,0)),0)</f>
        <v>66910.17738</v>
      </c>
      <c r="S240" s="91">
        <f>IFERROR(__xludf.DUMMYFUNCTION("IFERROR(sum(FILTER('Fund Investment Data'!$V:$V, 'Fund Investment Data'!$C:$C = $C240, 'Fund Investment Data'!$A:$A &lt; $A240)),0) + IFERROR(sum(FILTER('Fund Investment Data'!$V:$V, 'Fund Investment Data'!$C:$C = $C240, 'Fund Investment Data'!$A:$A = $A240,"&amp;" 'Fund Investment Data'!$B:$B &lt;= $B240)),0)"),50000.0)</f>
        <v>50000</v>
      </c>
      <c r="T240" s="93">
        <v>50000.0</v>
      </c>
      <c r="U240" s="32">
        <f t="shared" si="3"/>
        <v>0</v>
      </c>
      <c r="V240" s="32">
        <f>IFERROR(__xludf.DUMMYFUNCTION("$D240 - IFERROR(FILTER($D:$D,$C:$C = $C240, $A:$A = $A240, $B:$B = $B240 - 1),0)"),0.0)</f>
        <v>0</v>
      </c>
      <c r="W240" s="93">
        <f>IFERROR(__xludf.DUMMYFUNCTION("$E240 - IFERROR(FILTER($E:$E,$C:$C = $C240, $A:$A = $A240, $B:$B = $B240 - 1),0)"),-5000.0)</f>
        <v>-5000</v>
      </c>
      <c r="X240" s="93"/>
      <c r="Y240" s="93"/>
      <c r="Z240" s="93">
        <v>0.0</v>
      </c>
      <c r="AA240" s="93">
        <v>0.0</v>
      </c>
      <c r="AB240" s="93">
        <v>0.0</v>
      </c>
      <c r="AC240" s="93"/>
      <c r="AD240" s="93">
        <v>0.0</v>
      </c>
      <c r="AE240" s="32">
        <f t="shared" si="2"/>
        <v>-5000</v>
      </c>
      <c r="AF240" s="93">
        <v>0.0</v>
      </c>
    </row>
    <row r="241">
      <c r="A241" s="86">
        <v>2010.0</v>
      </c>
      <c r="B241" s="87">
        <v>12.0</v>
      </c>
      <c r="C241" s="88" t="s">
        <v>38</v>
      </c>
      <c r="D241" s="93">
        <v>10000.0</v>
      </c>
      <c r="E241" s="93">
        <v>-25000.0</v>
      </c>
      <c r="F241" s="93"/>
      <c r="G241" s="93">
        <v>-3565.57</v>
      </c>
      <c r="H241" s="93">
        <v>12544.85</v>
      </c>
      <c r="I241" s="32"/>
      <c r="J241" s="93">
        <v>68864.14</v>
      </c>
      <c r="K241" s="32"/>
      <c r="L241" s="93">
        <v>-557.76</v>
      </c>
      <c r="M241" s="32"/>
      <c r="N241" s="32"/>
      <c r="O241" s="93">
        <v>645771.0</v>
      </c>
      <c r="P241" s="91">
        <f>IFERROR(__xludf.DUMMYFUNCTION("IFERROR(sum(FILTER($D:$N,$C:$C = $C241,$A:$A &lt; $A241,$B:$B = 12)),0) + sum($D241:$N241)"),645770.8099999999)</f>
        <v>645770.81</v>
      </c>
      <c r="Q241" s="92">
        <f t="shared" si="1"/>
        <v>0.1900000001</v>
      </c>
      <c r="R241" s="91">
        <f t="array" ref="R241">IFERROR(INDEX('Fund YTD Target Values'!$1:$1000, MATCH($C241,'Fund YTD Target Values'!$A:$A,0), MATCH($A241,'Fund YTD Target Values'!$1:$1,0)),0)</f>
        <v>603889.4809</v>
      </c>
      <c r="S241" s="91">
        <f>IFERROR(__xludf.DUMMYFUNCTION("IFERROR(sum(FILTER('Fund Investment Data'!$V:$V, 'Fund Investment Data'!$C:$C = $C241, 'Fund Investment Data'!$A:$A &lt; $A241)),0) + IFERROR(sum(FILTER('Fund Investment Data'!$V:$V, 'Fund Investment Data'!$C:$C = $C241, 'Fund Investment Data'!$A:$A = $A241,"&amp;" 'Fund Investment Data'!$B:$B &lt;= $B241)),0)"),550191.64)</f>
        <v>550191.64</v>
      </c>
      <c r="T241" s="93">
        <v>552246.0</v>
      </c>
      <c r="U241" s="32">
        <f t="shared" si="3"/>
        <v>-2054.36</v>
      </c>
      <c r="V241" s="32">
        <f>IFERROR(__xludf.DUMMYFUNCTION("$D241 - IFERROR(FILTER($D:$D,$C:$C = $C241, $A:$A = $A241, $B:$B = $B241 - 1),0)"),10000.0)</f>
        <v>10000</v>
      </c>
      <c r="W241" s="93">
        <f>IFERROR(__xludf.DUMMYFUNCTION("$E241 - IFERROR(FILTER($E:$E,$C:$C = $C241, $A:$A = $A241, $B:$B = $B241 - 1),0)"),-25000.0)</f>
        <v>-25000</v>
      </c>
      <c r="X241" s="93"/>
      <c r="Y241" s="93"/>
      <c r="Z241" s="93">
        <v>0.0</v>
      </c>
      <c r="AA241" s="93">
        <v>0.0</v>
      </c>
      <c r="AB241" s="93">
        <v>0.0</v>
      </c>
      <c r="AC241" s="93"/>
      <c r="AD241" s="93">
        <v>0.0</v>
      </c>
      <c r="AE241" s="32">
        <f t="shared" si="2"/>
        <v>-25000</v>
      </c>
      <c r="AF241" s="93">
        <v>0.0</v>
      </c>
    </row>
    <row r="242">
      <c r="A242" s="86">
        <v>2010.0</v>
      </c>
      <c r="B242" s="87">
        <v>12.0</v>
      </c>
      <c r="C242" s="88" t="s">
        <v>30</v>
      </c>
      <c r="D242" s="32"/>
      <c r="E242" s="32"/>
      <c r="F242" s="93"/>
      <c r="G242" s="93">
        <v>-93.33</v>
      </c>
      <c r="H242" s="93">
        <v>300.48</v>
      </c>
      <c r="I242" s="32"/>
      <c r="J242" s="93">
        <v>1645.11</v>
      </c>
      <c r="K242" s="32"/>
      <c r="L242" s="32"/>
      <c r="M242" s="32"/>
      <c r="N242" s="32"/>
      <c r="O242" s="93">
        <v>17170.0</v>
      </c>
      <c r="P242" s="91">
        <f>IFERROR(__xludf.DUMMYFUNCTION("IFERROR(sum(FILTER($D:$N,$C:$C = $C242,$A:$A &lt; $A242,$B:$B = 12)),0) + sum($D242:$N242)"),17168.78999999999)</f>
        <v>17168.79</v>
      </c>
      <c r="Q242" s="92">
        <f t="shared" si="1"/>
        <v>1.21</v>
      </c>
      <c r="R242" s="91">
        <f t="array" ref="R242">IFERROR(INDEX('Fund YTD Target Values'!$1:$1000, MATCH($C242,'Fund YTD Target Values'!$A:$A,0), MATCH($A242,'Fund YTD Target Values'!$1:$1,0)),0)</f>
        <v>16050.75372</v>
      </c>
      <c r="S242" s="91">
        <f>IFERROR(__xludf.DUMMYFUNCTION("IFERROR(sum(FILTER('Fund Investment Data'!$V:$V, 'Fund Investment Data'!$C:$C = $C242, 'Fund Investment Data'!$A:$A &lt; $A242)),0) + IFERROR(sum(FILTER('Fund Investment Data'!$V:$V, 'Fund Investment Data'!$C:$C = $C242, 'Fund Investment Data'!$A:$A = $A242,"&amp;" 'Fund Investment Data'!$B:$B &lt;= $B242)),0)"),11540.75)</f>
        <v>11540.75</v>
      </c>
      <c r="T242" s="93">
        <v>10000.0</v>
      </c>
      <c r="U242" s="32">
        <f t="shared" si="3"/>
        <v>1540.75</v>
      </c>
      <c r="V242" s="32">
        <f>IFERROR(__xludf.DUMMYFUNCTION("$D242 - IFERROR(FILTER($D:$D,$C:$C = $C242, $A:$A = $A242, $B:$B = $B242 - 1),0)"),0.0)</f>
        <v>0</v>
      </c>
      <c r="W242" s="93">
        <f>IFERROR(__xludf.DUMMYFUNCTION("$E242 - IFERROR(FILTER($E:$E,$C:$C = $C242, $A:$A = $A242, $B:$B = $B242 - 1),0)"),0.0)</f>
        <v>0</v>
      </c>
      <c r="X242" s="93"/>
      <c r="Y242" s="93"/>
      <c r="Z242" s="93">
        <v>0.0</v>
      </c>
      <c r="AA242" s="93">
        <v>0.0</v>
      </c>
      <c r="AB242" s="93">
        <v>0.0</v>
      </c>
      <c r="AC242" s="93"/>
      <c r="AD242" s="93">
        <v>0.0</v>
      </c>
      <c r="AE242" s="32">
        <f t="shared" si="2"/>
        <v>0</v>
      </c>
      <c r="AF242" s="93">
        <v>0.0</v>
      </c>
    </row>
    <row r="243">
      <c r="A243" s="86">
        <v>2010.0</v>
      </c>
      <c r="B243" s="87">
        <v>12.0</v>
      </c>
      <c r="C243" s="88" t="s">
        <v>47</v>
      </c>
      <c r="D243" s="32"/>
      <c r="E243" s="93">
        <v>-105000.0</v>
      </c>
      <c r="F243" s="93"/>
      <c r="G243" s="93">
        <v>-8430.06</v>
      </c>
      <c r="H243" s="93">
        <v>29737.9</v>
      </c>
      <c r="I243" s="93">
        <v>4331.17</v>
      </c>
      <c r="J243" s="93">
        <v>157807.81</v>
      </c>
      <c r="K243" s="32"/>
      <c r="L243" s="93">
        <v>-137.01</v>
      </c>
      <c r="M243" s="32"/>
      <c r="N243" s="32"/>
      <c r="O243" s="93">
        <v>1472171.0</v>
      </c>
      <c r="P243" s="91">
        <f>IFERROR(__xludf.DUMMYFUNCTION("IFERROR(sum(FILTER($D:$N,$C:$C = $C243,$A:$A &lt; $A243,$B:$B = 12)),0) + sum($D243:$N243)"),1472170.41)</f>
        <v>1472170.41</v>
      </c>
      <c r="Q243" s="92">
        <f t="shared" si="1"/>
        <v>0.5900000001</v>
      </c>
      <c r="R243" s="91">
        <f t="array" ref="R243">IFERROR(INDEX('Fund YTD Target Values'!$1:$1000, MATCH($C243,'Fund YTD Target Values'!$A:$A,0), MATCH($A243,'Fund YTD Target Values'!$1:$1,0)),0)</f>
        <v>1726666.098</v>
      </c>
      <c r="S243" s="91">
        <f>IFERROR(__xludf.DUMMYFUNCTION("IFERROR(sum(FILTER('Fund Investment Data'!$V:$V, 'Fund Investment Data'!$C:$C = $C243, 'Fund Investment Data'!$A:$A &lt; $A243)),0) + IFERROR(sum(FILTER('Fund Investment Data'!$V:$V, 'Fund Investment Data'!$C:$C = $C243, 'Fund Investment Data'!$A:$A = $A243,"&amp;" 'Fund Investment Data'!$B:$B &lt;= $B243)),0)"),1446367.46)</f>
        <v>1446367.46</v>
      </c>
      <c r="T243" s="93">
        <v>1348955.0</v>
      </c>
      <c r="U243" s="32">
        <f t="shared" si="3"/>
        <v>97412.46</v>
      </c>
      <c r="V243" s="32">
        <f>IFERROR(__xludf.DUMMYFUNCTION("$D243 - IFERROR(FILTER($D:$D,$C:$C = $C243, $A:$A = $A243, $B:$B = $B243 - 1),0)"),0.0)</f>
        <v>0</v>
      </c>
      <c r="W243" s="93">
        <f>IFERROR(__xludf.DUMMYFUNCTION("$E243 - IFERROR(FILTER($E:$E,$C:$C = $C243, $A:$A = $A243, $B:$B = $B243 - 1),0)"),-105000.0)</f>
        <v>-105000</v>
      </c>
      <c r="X243" s="93"/>
      <c r="Y243" s="93"/>
      <c r="Z243" s="93">
        <v>0.0</v>
      </c>
      <c r="AA243" s="93">
        <v>0.0</v>
      </c>
      <c r="AB243" s="93">
        <v>0.0</v>
      </c>
      <c r="AC243" s="93"/>
      <c r="AD243" s="93">
        <v>0.0</v>
      </c>
      <c r="AE243" s="32">
        <f t="shared" si="2"/>
        <v>-105000</v>
      </c>
      <c r="AF243" s="93">
        <v>0.0</v>
      </c>
    </row>
    <row r="244">
      <c r="A244" s="86">
        <v>2010.0</v>
      </c>
      <c r="B244" s="87">
        <v>12.0</v>
      </c>
      <c r="C244" s="88" t="s">
        <v>31</v>
      </c>
      <c r="D244" s="93">
        <v>1000.0</v>
      </c>
      <c r="E244" s="93">
        <v>-10000.0</v>
      </c>
      <c r="F244" s="93">
        <v>-500.0</v>
      </c>
      <c r="G244" s="93">
        <v>-1082.4</v>
      </c>
      <c r="H244" s="93">
        <v>3796.21</v>
      </c>
      <c r="I244" s="93">
        <v>567.38</v>
      </c>
      <c r="J244" s="93">
        <v>20061.25</v>
      </c>
      <c r="K244" s="32"/>
      <c r="L244" s="32"/>
      <c r="M244" s="32"/>
      <c r="N244" s="32"/>
      <c r="O244" s="93">
        <v>192777.0</v>
      </c>
      <c r="P244" s="91">
        <f>IFERROR(__xludf.DUMMYFUNCTION("IFERROR(sum(FILTER($D:$N,$C:$C = $C244,$A:$A &lt; $A244,$B:$B = 12)),0) + sum($D244:$N244)"),192777.92000000004)</f>
        <v>192777.92</v>
      </c>
      <c r="Q244" s="92">
        <f t="shared" si="1"/>
        <v>-0.92</v>
      </c>
      <c r="R244" s="91">
        <f t="array" ref="R244">IFERROR(INDEX('Fund YTD Target Values'!$1:$1000, MATCH($C244,'Fund YTD Target Values'!$A:$A,0), MATCH($A244,'Fund YTD Target Values'!$1:$1,0)),0)</f>
        <v>175641.5873</v>
      </c>
      <c r="S244" s="91">
        <f>IFERROR(__xludf.DUMMYFUNCTION("IFERROR(sum(FILTER('Fund Investment Data'!$V:$V, 'Fund Investment Data'!$C:$C = $C244, 'Fund Investment Data'!$A:$A &lt; $A244)),0) + IFERROR(sum(FILTER('Fund Investment Data'!$V:$V, 'Fund Investment Data'!$C:$C = $C244, 'Fund Investment Data'!$A:$A = $A244,"&amp;" 'Fund Investment Data'!$B:$B &lt;= $B244)),0)"),150350.0)</f>
        <v>150350</v>
      </c>
      <c r="T244" s="93">
        <v>150350.0</v>
      </c>
      <c r="U244" s="32">
        <f t="shared" si="3"/>
        <v>0</v>
      </c>
      <c r="V244" s="32">
        <f>IFERROR(__xludf.DUMMYFUNCTION("$D244 - IFERROR(FILTER($D:$D,$C:$C = $C244, $A:$A = $A244, $B:$B = $B244 - 1),0)"),1000.0)</f>
        <v>1000</v>
      </c>
      <c r="W244" s="93">
        <f>IFERROR(__xludf.DUMMYFUNCTION("$E244 - IFERROR(FILTER($E:$E,$C:$C = $C244, $A:$A = $A244, $B:$B = $B244 - 1),0)"),-10000.0)</f>
        <v>-10000</v>
      </c>
      <c r="X244" s="93"/>
      <c r="Y244" s="93"/>
      <c r="Z244" s="93">
        <v>0.0</v>
      </c>
      <c r="AA244" s="93">
        <v>0.0</v>
      </c>
      <c r="AB244" s="93">
        <v>0.0</v>
      </c>
      <c r="AC244" s="93"/>
      <c r="AD244" s="93">
        <v>0.0</v>
      </c>
      <c r="AE244" s="32">
        <f t="shared" si="2"/>
        <v>-10000</v>
      </c>
      <c r="AF244" s="93">
        <v>0.0</v>
      </c>
    </row>
    <row r="245">
      <c r="A245" s="86">
        <v>2010.0</v>
      </c>
      <c r="B245" s="87">
        <v>12.0</v>
      </c>
      <c r="C245" s="88" t="s">
        <v>39</v>
      </c>
      <c r="D245" s="93">
        <v>20000.0</v>
      </c>
      <c r="E245" s="32"/>
      <c r="F245" s="93"/>
      <c r="G245" s="93">
        <v>-192.91</v>
      </c>
      <c r="H245" s="93">
        <v>630.03</v>
      </c>
      <c r="I245" s="32"/>
      <c r="J245" s="93">
        <v>4049.95</v>
      </c>
      <c r="K245" s="32"/>
      <c r="L245" s="32"/>
      <c r="M245" s="32"/>
      <c r="N245" s="32"/>
      <c r="O245" s="93">
        <v>47207.0</v>
      </c>
      <c r="P245" s="91">
        <f>IFERROR(__xludf.DUMMYFUNCTION("IFERROR(sum(FILTER($D:$N,$C:$C = $C245,$A:$A &lt; $A245,$B:$B = 12)),0) + sum($D245:$N245)"),47206.59999999999)</f>
        <v>47206.6</v>
      </c>
      <c r="Q245" s="92">
        <f t="shared" si="1"/>
        <v>0.4</v>
      </c>
      <c r="R245" s="91">
        <f t="array" ref="R245">IFERROR(INDEX('Fund YTD Target Values'!$1:$1000, MATCH($C245,'Fund YTD Target Values'!$A:$A,0), MATCH($A245,'Fund YTD Target Values'!$1:$1,0)),0)</f>
        <v>40294.52845</v>
      </c>
      <c r="S245" s="91">
        <f>IFERROR(__xludf.DUMMYFUNCTION("IFERROR(sum(FILTER('Fund Investment Data'!$V:$V, 'Fund Investment Data'!$C:$C = $C245, 'Fund Investment Data'!$A:$A &lt; $A245)),0) + IFERROR(sum(FILTER('Fund Investment Data'!$V:$V, 'Fund Investment Data'!$C:$C = $C245, 'Fund Investment Data'!$A:$A = $A245,"&amp;" 'Fund Investment Data'!$B:$B &lt;= $B245)),0)"),40000.0)</f>
        <v>40000</v>
      </c>
      <c r="T245" s="93">
        <v>40000.0</v>
      </c>
      <c r="U245" s="32">
        <f t="shared" si="3"/>
        <v>0</v>
      </c>
      <c r="V245" s="32">
        <f>IFERROR(__xludf.DUMMYFUNCTION("$D245 - IFERROR(FILTER($D:$D,$C:$C = $C245, $A:$A = $A245, $B:$B = $B245 - 1),0)"),20000.0)</f>
        <v>20000</v>
      </c>
      <c r="W245" s="93">
        <f>IFERROR(__xludf.DUMMYFUNCTION("$E245 - IFERROR(FILTER($E:$E,$C:$C = $C245, $A:$A = $A245, $B:$B = $B245 - 1),0)"),0.0)</f>
        <v>0</v>
      </c>
      <c r="X245" s="93"/>
      <c r="Y245" s="93"/>
      <c r="Z245" s="93">
        <v>0.0</v>
      </c>
      <c r="AA245" s="93">
        <v>0.0</v>
      </c>
      <c r="AB245" s="93">
        <v>0.0</v>
      </c>
      <c r="AC245" s="93"/>
      <c r="AD245" s="93">
        <v>0.0</v>
      </c>
      <c r="AE245" s="32">
        <f t="shared" si="2"/>
        <v>0</v>
      </c>
      <c r="AF245" s="93">
        <v>0.0</v>
      </c>
    </row>
    <row r="246">
      <c r="A246" s="86">
        <v>2010.0</v>
      </c>
      <c r="B246" s="87">
        <v>12.0</v>
      </c>
      <c r="C246" s="88" t="s">
        <v>50</v>
      </c>
      <c r="D246" s="32"/>
      <c r="E246" s="93">
        <v>-5000.0</v>
      </c>
      <c r="F246" s="93"/>
      <c r="G246" s="93">
        <v>-738.7</v>
      </c>
      <c r="H246" s="93">
        <v>2577.27</v>
      </c>
      <c r="I246" s="32"/>
      <c r="J246" s="93">
        <v>14087.76</v>
      </c>
      <c r="K246" s="32"/>
      <c r="L246" s="93">
        <v>-7.08</v>
      </c>
      <c r="M246" s="32"/>
      <c r="N246" s="32"/>
      <c r="O246" s="93">
        <v>132749.0</v>
      </c>
      <c r="P246" s="91">
        <f>IFERROR(__xludf.DUMMYFUNCTION("IFERROR(sum(FILTER($D:$N,$C:$C = $C246,$A:$A &lt; $A246,$B:$B = 12)),0) + sum($D246:$N246)"),132748.15000000002)</f>
        <v>132748.15</v>
      </c>
      <c r="Q246" s="92">
        <f t="shared" si="1"/>
        <v>0.85</v>
      </c>
      <c r="R246" s="91">
        <f t="array" ref="R246">IFERROR(INDEX('Fund YTD Target Values'!$1:$1000, MATCH($C246,'Fund YTD Target Values'!$A:$A,0), MATCH($A246,'Fund YTD Target Values'!$1:$1,0)),0)</f>
        <v>119767.8719</v>
      </c>
      <c r="S246" s="91">
        <f>IFERROR(__xludf.DUMMYFUNCTION("IFERROR(sum(FILTER('Fund Investment Data'!$V:$V, 'Fund Investment Data'!$C:$C = $C246, 'Fund Investment Data'!$A:$A &lt; $A246)),0) + IFERROR(sum(FILTER('Fund Investment Data'!$V:$V, 'Fund Investment Data'!$C:$C = $C246, 'Fund Investment Data'!$A:$A = $A246,"&amp;" 'Fund Investment Data'!$B:$B &lt;= $B246)),0)"),110189.56)</f>
        <v>110189.56</v>
      </c>
      <c r="T246" s="93">
        <v>110241.0</v>
      </c>
      <c r="U246" s="32">
        <f t="shared" si="3"/>
        <v>-51.44</v>
      </c>
      <c r="V246" s="32">
        <f>IFERROR(__xludf.DUMMYFUNCTION("$D246 - IFERROR(FILTER($D:$D,$C:$C = $C246, $A:$A = $A246, $B:$B = $B246 - 1),0)"),0.0)</f>
        <v>0</v>
      </c>
      <c r="W246" s="93">
        <f>IFERROR(__xludf.DUMMYFUNCTION("$E246 - IFERROR(FILTER($E:$E,$C:$C = $C246, $A:$A = $A246, $B:$B = $B246 - 1),0)"),-5000.0)</f>
        <v>-5000</v>
      </c>
      <c r="X246" s="93"/>
      <c r="Y246" s="93"/>
      <c r="Z246" s="93">
        <v>0.0</v>
      </c>
      <c r="AA246" s="93">
        <v>0.0</v>
      </c>
      <c r="AB246" s="93">
        <v>0.0</v>
      </c>
      <c r="AC246" s="93"/>
      <c r="AD246" s="93">
        <v>0.0</v>
      </c>
      <c r="AE246" s="32">
        <f t="shared" si="2"/>
        <v>-5000</v>
      </c>
      <c r="AF246" s="93">
        <v>0.0</v>
      </c>
    </row>
    <row r="247">
      <c r="A247" s="86">
        <v>2010.0</v>
      </c>
      <c r="B247" s="87">
        <v>12.0</v>
      </c>
      <c r="C247" s="88" t="s">
        <v>32</v>
      </c>
      <c r="D247" s="32"/>
      <c r="E247" s="93">
        <v>-4747.0</v>
      </c>
      <c r="F247" s="93"/>
      <c r="G247" s="93">
        <v>-376.71</v>
      </c>
      <c r="H247" s="93">
        <v>1318.57</v>
      </c>
      <c r="I247" s="93">
        <v>310.44</v>
      </c>
      <c r="J247" s="93">
        <v>6731.24</v>
      </c>
      <c r="K247" s="32"/>
      <c r="L247" s="32"/>
      <c r="M247" s="32"/>
      <c r="N247" s="32"/>
      <c r="O247" s="93">
        <v>65737.0</v>
      </c>
      <c r="P247" s="91">
        <f>IFERROR(__xludf.DUMMYFUNCTION("IFERROR(sum(FILTER($D:$N,$C:$C = $C247,$A:$A &lt; $A247,$B:$B = 12)),0) + sum($D247:$N247)"),65735.63)</f>
        <v>65735.63</v>
      </c>
      <c r="Q247" s="92">
        <f t="shared" si="1"/>
        <v>1.37</v>
      </c>
      <c r="R247" s="91">
        <f t="array" ref="R247">IFERROR(INDEX('Fund YTD Target Values'!$1:$1000, MATCH($C247,'Fund YTD Target Values'!$A:$A,0), MATCH($A247,'Fund YTD Target Values'!$1:$1,0)),0)</f>
        <v>68753.79839</v>
      </c>
      <c r="S247" s="91">
        <f>IFERROR(__xludf.DUMMYFUNCTION("IFERROR(sum(FILTER('Fund Investment Data'!$V:$V, 'Fund Investment Data'!$C:$C = $C247, 'Fund Investment Data'!$A:$A &lt; $A247)),0) + IFERROR(sum(FILTER('Fund Investment Data'!$V:$V, 'Fund Investment Data'!$C:$C = $C247, 'Fund Investment Data'!$A:$A = $A247,"&amp;" 'Fund Investment Data'!$B:$B &lt;= $B247)),0)"),49449.04)</f>
        <v>49449.04</v>
      </c>
      <c r="T247" s="93">
        <v>39268.0</v>
      </c>
      <c r="U247" s="32">
        <f t="shared" si="3"/>
        <v>10181.04</v>
      </c>
      <c r="V247" s="32">
        <f>IFERROR(__xludf.DUMMYFUNCTION("$D247 - IFERROR(FILTER($D:$D,$C:$C = $C247, $A:$A = $A247, $B:$B = $B247 - 1),0)"),0.0)</f>
        <v>0</v>
      </c>
      <c r="W247" s="93">
        <f>IFERROR(__xludf.DUMMYFUNCTION("$E247 - IFERROR(FILTER($E:$E,$C:$C = $C247, $A:$A = $A247, $B:$B = $B247 - 1),0)"),-4747.0)</f>
        <v>-4747</v>
      </c>
      <c r="X247" s="93"/>
      <c r="Y247" s="93"/>
      <c r="Z247" s="93">
        <v>0.0</v>
      </c>
      <c r="AA247" s="93">
        <v>0.0</v>
      </c>
      <c r="AB247" s="93">
        <v>0.0</v>
      </c>
      <c r="AC247" s="93"/>
      <c r="AD247" s="93">
        <v>0.0</v>
      </c>
      <c r="AE247" s="32">
        <f t="shared" si="2"/>
        <v>-4747</v>
      </c>
      <c r="AF247" s="93">
        <v>0.0</v>
      </c>
    </row>
    <row r="248">
      <c r="A248" s="86">
        <v>2010.0</v>
      </c>
      <c r="B248" s="87">
        <v>12.0</v>
      </c>
      <c r="C248" s="88" t="s">
        <v>40</v>
      </c>
      <c r="D248" s="93">
        <v>250.0</v>
      </c>
      <c r="E248" s="32"/>
      <c r="F248" s="93"/>
      <c r="G248" s="93">
        <v>-807.96</v>
      </c>
      <c r="H248" s="93">
        <v>2772.6</v>
      </c>
      <c r="I248" s="32"/>
      <c r="J248" s="93">
        <v>15704.24</v>
      </c>
      <c r="K248" s="32"/>
      <c r="L248" s="32"/>
      <c r="M248" s="32"/>
      <c r="N248" s="32"/>
      <c r="O248" s="93">
        <v>150167.0</v>
      </c>
      <c r="P248" s="91">
        <f>IFERROR(__xludf.DUMMYFUNCTION("IFERROR(sum(FILTER($D:$N,$C:$C = $C248,$A:$A &lt; $A248,$B:$B = 12)),0) + sum($D248:$N248)"),150166.18)</f>
        <v>150166.18</v>
      </c>
      <c r="Q248" s="92">
        <f t="shared" si="1"/>
        <v>0.82</v>
      </c>
      <c r="R248" s="91">
        <f t="array" ref="R248">IFERROR(INDEX('Fund YTD Target Values'!$1:$1000, MATCH($C248,'Fund YTD Target Values'!$A:$A,0), MATCH($A248,'Fund YTD Target Values'!$1:$1,0)),0)</f>
        <v>139579.9432</v>
      </c>
      <c r="S248" s="91">
        <f>IFERROR(__xludf.DUMMYFUNCTION("IFERROR(sum(FILTER('Fund Investment Data'!$V:$V, 'Fund Investment Data'!$C:$C = $C248, 'Fund Investment Data'!$A:$A &lt; $A248)),0) + IFERROR(sum(FILTER('Fund Investment Data'!$V:$V, 'Fund Investment Data'!$C:$C = $C248, 'Fund Investment Data'!$A:$A = $A248,"&amp;" 'Fund Investment Data'!$B:$B &lt;= $B248)),0)"),129143.74)</f>
        <v>129143.74</v>
      </c>
      <c r="T248" s="93">
        <v>129163.0</v>
      </c>
      <c r="U248" s="32">
        <f t="shared" si="3"/>
        <v>-19.26</v>
      </c>
      <c r="V248" s="32">
        <f>IFERROR(__xludf.DUMMYFUNCTION("$D248 - IFERROR(FILTER($D:$D,$C:$C = $C248, $A:$A = $A248, $B:$B = $B248 - 1),0)"),250.0)</f>
        <v>250</v>
      </c>
      <c r="W248" s="93">
        <f>IFERROR(__xludf.DUMMYFUNCTION("$E248 - IFERROR(FILTER($E:$E,$C:$C = $C248, $A:$A = $A248, $B:$B = $B248 - 1),0)"),0.0)</f>
        <v>0</v>
      </c>
      <c r="X248" s="93"/>
      <c r="Y248" s="93"/>
      <c r="Z248" s="93">
        <v>0.0</v>
      </c>
      <c r="AA248" s="93">
        <v>0.0</v>
      </c>
      <c r="AB248" s="93">
        <v>0.0</v>
      </c>
      <c r="AC248" s="93"/>
      <c r="AD248" s="93">
        <v>0.0</v>
      </c>
      <c r="AE248" s="32">
        <f t="shared" si="2"/>
        <v>0</v>
      </c>
      <c r="AF248" s="93">
        <v>0.0</v>
      </c>
    </row>
    <row r="249">
      <c r="A249" s="86">
        <v>2010.0</v>
      </c>
      <c r="B249" s="87">
        <v>12.0</v>
      </c>
      <c r="C249" s="88" t="s">
        <v>48</v>
      </c>
      <c r="D249" s="32"/>
      <c r="E249" s="93">
        <v>-85000.0</v>
      </c>
      <c r="F249" s="93"/>
      <c r="G249" s="93">
        <v>-7259.03</v>
      </c>
      <c r="H249" s="93">
        <v>25620.9</v>
      </c>
      <c r="I249" s="93">
        <v>9000.66</v>
      </c>
      <c r="J249" s="93">
        <v>131084.4</v>
      </c>
      <c r="K249" s="32"/>
      <c r="L249" s="32"/>
      <c r="M249" s="32"/>
      <c r="N249" s="32"/>
      <c r="O249" s="93">
        <v>1279884.0</v>
      </c>
      <c r="P249" s="91">
        <f>IFERROR(__xludf.DUMMYFUNCTION("IFERROR(sum(FILTER($D:$N,$C:$C = $C249,$A:$A &lt; $A249,$B:$B = 12)),0) + sum($D249:$N249)"),1279883.14)</f>
        <v>1279883.14</v>
      </c>
      <c r="Q249" s="92">
        <f t="shared" si="1"/>
        <v>0.8600000001</v>
      </c>
      <c r="R249" s="91">
        <f t="array" ref="R249">IFERROR(INDEX('Fund YTD Target Values'!$1:$1000, MATCH($C249,'Fund YTD Target Values'!$A:$A,0), MATCH($A249,'Fund YTD Target Values'!$1:$1,0)),0)</f>
        <v>1646596.544</v>
      </c>
      <c r="S249" s="91">
        <f>IFERROR(__xludf.DUMMYFUNCTION("IFERROR(sum(FILTER('Fund Investment Data'!$V:$V, 'Fund Investment Data'!$C:$C = $C249, 'Fund Investment Data'!$A:$A &lt; $A249)),0) + IFERROR(sum(FILTER('Fund Investment Data'!$V:$V, 'Fund Investment Data'!$C:$C = $C249, 'Fund Investment Data'!$A:$A = $A249,"&amp;" 'Fund Investment Data'!$B:$B &lt;= $B249)),0)"),1183929.39)</f>
        <v>1183929.39</v>
      </c>
      <c r="T249" s="93">
        <v>1140040.0</v>
      </c>
      <c r="U249" s="32">
        <f t="shared" si="3"/>
        <v>43889.39</v>
      </c>
      <c r="V249" s="32">
        <f>IFERROR(__xludf.DUMMYFUNCTION("$D249 - IFERROR(FILTER($D:$D,$C:$C = $C249, $A:$A = $A249, $B:$B = $B249 - 1),0)"),0.0)</f>
        <v>0</v>
      </c>
      <c r="W249" s="93">
        <f>IFERROR(__xludf.DUMMYFUNCTION("$E249 - IFERROR(FILTER($E:$E,$C:$C = $C249, $A:$A = $A249, $B:$B = $B249 - 1),0)"),-85000.0)</f>
        <v>-85000</v>
      </c>
      <c r="X249" s="93"/>
      <c r="Y249" s="93"/>
      <c r="Z249" s="93">
        <v>0.0</v>
      </c>
      <c r="AA249" s="93">
        <v>0.0</v>
      </c>
      <c r="AB249" s="93">
        <v>0.0</v>
      </c>
      <c r="AC249" s="93"/>
      <c r="AD249" s="93">
        <v>0.0</v>
      </c>
      <c r="AE249" s="32">
        <f t="shared" si="2"/>
        <v>-85000</v>
      </c>
      <c r="AF249" s="93">
        <v>0.0</v>
      </c>
    </row>
    <row r="250">
      <c r="A250" s="86">
        <v>2010.0</v>
      </c>
      <c r="B250" s="87">
        <v>12.0</v>
      </c>
      <c r="C250" s="88" t="s">
        <v>49</v>
      </c>
      <c r="D250" s="32"/>
      <c r="E250" s="93">
        <v>-40000.0</v>
      </c>
      <c r="F250" s="93"/>
      <c r="G250" s="93">
        <v>-3184.51</v>
      </c>
      <c r="H250" s="93">
        <v>11222.64</v>
      </c>
      <c r="I250" s="93">
        <v>3358.99</v>
      </c>
      <c r="J250" s="93">
        <v>57404.05</v>
      </c>
      <c r="K250" s="32"/>
      <c r="L250" s="32"/>
      <c r="M250" s="32"/>
      <c r="N250" s="32"/>
      <c r="O250" s="93">
        <v>559249.0</v>
      </c>
      <c r="P250" s="91">
        <f>IFERROR(__xludf.DUMMYFUNCTION("IFERROR(sum(FILTER($D:$N,$C:$C = $C250,$A:$A &lt; $A250,$B:$B = 12)),0) + sum($D250:$N250)"),559249.7599999998)</f>
        <v>559249.76</v>
      </c>
      <c r="Q250" s="92">
        <f t="shared" si="1"/>
        <v>-0.7599999998</v>
      </c>
      <c r="R250" s="91">
        <f t="array" ref="R250">IFERROR(INDEX('Fund YTD Target Values'!$1:$1000, MATCH($C250,'Fund YTD Target Values'!$A:$A,0), MATCH($A250,'Fund YTD Target Values'!$1:$1,0)),0)</f>
        <v>609033.889</v>
      </c>
      <c r="S250" s="91">
        <f>IFERROR(__xludf.DUMMYFUNCTION("IFERROR(sum(FILTER('Fund Investment Data'!$V:$V, 'Fund Investment Data'!$C:$C = $C250, 'Fund Investment Data'!$A:$A &lt; $A250)),0) + IFERROR(sum(FILTER('Fund Investment Data'!$V:$V, 'Fund Investment Data'!$C:$C = $C250, 'Fund Investment Data'!$A:$A = $A250,"&amp;" 'Fund Investment Data'!$B:$B &lt;= $B250)),0)"),500000.0)</f>
        <v>500000</v>
      </c>
      <c r="T250" s="93">
        <v>500000.0</v>
      </c>
      <c r="U250" s="32">
        <f t="shared" si="3"/>
        <v>0</v>
      </c>
      <c r="V250" s="32">
        <f>IFERROR(__xludf.DUMMYFUNCTION("$D250 - IFERROR(FILTER($D:$D,$C:$C = $C250, $A:$A = $A250, $B:$B = $B250 - 1),0)"),0.0)</f>
        <v>0</v>
      </c>
      <c r="W250" s="93">
        <f>IFERROR(__xludf.DUMMYFUNCTION("$E250 - IFERROR(FILTER($E:$E,$C:$C = $C250, $A:$A = $A250, $B:$B = $B250 - 1),0)"),-40000.0)</f>
        <v>-40000</v>
      </c>
      <c r="X250" s="93"/>
      <c r="Y250" s="93"/>
      <c r="Z250" s="93">
        <v>0.0</v>
      </c>
      <c r="AA250" s="93">
        <v>0.0</v>
      </c>
      <c r="AB250" s="93">
        <v>0.0</v>
      </c>
      <c r="AC250" s="93"/>
      <c r="AD250" s="93">
        <v>0.0</v>
      </c>
      <c r="AE250" s="32">
        <f t="shared" si="2"/>
        <v>-40000</v>
      </c>
      <c r="AF250" s="93">
        <v>0.0</v>
      </c>
    </row>
    <row r="251">
      <c r="A251" s="86">
        <v>2010.0</v>
      </c>
      <c r="B251" s="87">
        <v>12.0</v>
      </c>
      <c r="C251" s="88" t="s">
        <v>41</v>
      </c>
      <c r="D251" s="32"/>
      <c r="E251" s="93">
        <v>-6375.0</v>
      </c>
      <c r="F251" s="93"/>
      <c r="G251" s="93">
        <v>-2960.76</v>
      </c>
      <c r="H251" s="93">
        <v>10406.08</v>
      </c>
      <c r="I251" s="32"/>
      <c r="J251" s="93">
        <v>57893.16</v>
      </c>
      <c r="K251" s="32"/>
      <c r="L251" s="93">
        <v>-752.88</v>
      </c>
      <c r="M251" s="32"/>
      <c r="N251" s="32"/>
      <c r="O251" s="93">
        <v>546165.0</v>
      </c>
      <c r="P251" s="91">
        <f>IFERROR(__xludf.DUMMYFUNCTION("IFERROR(sum(FILTER($D:$N,$C:$C = $C251,$A:$A &lt; $A251,$B:$B = 12)),0) + sum($D251:$N251)"),546166.04)</f>
        <v>546166.04</v>
      </c>
      <c r="Q251" s="92">
        <f t="shared" si="1"/>
        <v>-1.04</v>
      </c>
      <c r="R251" s="91">
        <f t="array" ref="R251">IFERROR(INDEX('Fund YTD Target Values'!$1:$1000, MATCH($C251,'Fund YTD Target Values'!$A:$A,0), MATCH($A251,'Fund YTD Target Values'!$1:$1,0)),0)</f>
        <v>510552.0064</v>
      </c>
      <c r="S251" s="91">
        <f>IFERROR(__xludf.DUMMYFUNCTION("IFERROR(sum(FILTER('Fund Investment Data'!$V:$V, 'Fund Investment Data'!$C:$C = $C251, 'Fund Investment Data'!$A:$A &lt; $A251)),0) + IFERROR(sum(FILTER('Fund Investment Data'!$V:$V, 'Fund Investment Data'!$C:$C = $C251, 'Fund Investment Data'!$A:$A = $A251,"&amp;" 'Fund Investment Data'!$B:$B &lt;= $B251)),0)"),433755.86)</f>
        <v>433755.86</v>
      </c>
      <c r="T251" s="93">
        <v>434291.0</v>
      </c>
      <c r="U251" s="32">
        <f t="shared" si="3"/>
        <v>-535.14</v>
      </c>
      <c r="V251" s="32">
        <f>IFERROR(__xludf.DUMMYFUNCTION("$D251 - IFERROR(FILTER($D:$D,$C:$C = $C251, $A:$A = $A251, $B:$B = $B251 - 1),0)"),0.0)</f>
        <v>0</v>
      </c>
      <c r="W251" s="93">
        <f>IFERROR(__xludf.DUMMYFUNCTION("$E251 - IFERROR(FILTER($E:$E,$C:$C = $C251, $A:$A = $A251, $B:$B = $B251 - 1),0)"),-6375.0)</f>
        <v>-6375</v>
      </c>
      <c r="X251" s="93"/>
      <c r="Y251" s="93"/>
      <c r="Z251" s="93">
        <v>0.0</v>
      </c>
      <c r="AA251" s="93">
        <v>0.0</v>
      </c>
      <c r="AB251" s="93">
        <v>0.0</v>
      </c>
      <c r="AC251" s="93"/>
      <c r="AD251" s="93">
        <v>0.0</v>
      </c>
      <c r="AE251" s="32">
        <f t="shared" si="2"/>
        <v>-6375</v>
      </c>
      <c r="AF251" s="93">
        <v>0.0</v>
      </c>
    </row>
    <row r="252">
      <c r="A252" s="86">
        <v>2010.0</v>
      </c>
      <c r="B252" s="87">
        <v>12.0</v>
      </c>
      <c r="C252" s="88" t="s">
        <v>25</v>
      </c>
      <c r="D252" s="32"/>
      <c r="E252" s="93">
        <v>-4000.0</v>
      </c>
      <c r="F252" s="93"/>
      <c r="G252" s="93">
        <v>-483.29</v>
      </c>
      <c r="H252" s="93">
        <v>1662.53</v>
      </c>
      <c r="I252" s="93">
        <v>319.06</v>
      </c>
      <c r="J252" s="93">
        <v>8970.06</v>
      </c>
      <c r="K252" s="32"/>
      <c r="L252" s="32"/>
      <c r="M252" s="32"/>
      <c r="N252" s="32"/>
      <c r="O252" s="93">
        <v>86271.0</v>
      </c>
      <c r="P252" s="91">
        <f>IFERROR(__xludf.DUMMYFUNCTION("IFERROR(sum(FILTER($D:$N,$C:$C = $C252,$A:$A &lt; $A252,$B:$B = 12)),0) + sum($D252:$N252)"),86271.24)</f>
        <v>86271.24</v>
      </c>
      <c r="Q252" s="92">
        <f t="shared" si="1"/>
        <v>-0.24</v>
      </c>
      <c r="R252" s="91">
        <f t="array" ref="R252">IFERROR(INDEX('Fund YTD Target Values'!$1:$1000, MATCH($C252,'Fund YTD Target Values'!$A:$A,0), MATCH($A252,'Fund YTD Target Values'!$1:$1,0)),0)</f>
        <v>85589.7898</v>
      </c>
      <c r="S252" s="91">
        <f>IFERROR(__xludf.DUMMYFUNCTION("IFERROR(sum(FILTER('Fund Investment Data'!$V:$V, 'Fund Investment Data'!$C:$C = $C252, 'Fund Investment Data'!$A:$A &lt; $A252)),0) + IFERROR(sum(FILTER('Fund Investment Data'!$V:$V, 'Fund Investment Data'!$C:$C = $C252, 'Fund Investment Data'!$A:$A = $A252,"&amp;" 'Fund Investment Data'!$B:$B &lt;= $B252)),0)"),71000.0)</f>
        <v>71000</v>
      </c>
      <c r="T252" s="93">
        <v>71000.0</v>
      </c>
      <c r="U252" s="32">
        <f t="shared" si="3"/>
        <v>0</v>
      </c>
      <c r="V252" s="32">
        <f>IFERROR(__xludf.DUMMYFUNCTION("$D252 - IFERROR(FILTER($D:$D,$C:$C = $C252, $A:$A = $A252, $B:$B = $B252 - 1),0)"),0.0)</f>
        <v>0</v>
      </c>
      <c r="W252" s="93">
        <f>IFERROR(__xludf.DUMMYFUNCTION("$E252 - IFERROR(FILTER($E:$E,$C:$C = $C252, $A:$A = $A252, $B:$B = $B252 - 1),0)"),-4000.0)</f>
        <v>-4000</v>
      </c>
      <c r="X252" s="93"/>
      <c r="Y252" s="93"/>
      <c r="Z252" s="93">
        <v>0.0</v>
      </c>
      <c r="AA252" s="93">
        <v>0.0</v>
      </c>
      <c r="AB252" s="93">
        <v>0.0</v>
      </c>
      <c r="AC252" s="93"/>
      <c r="AD252" s="93">
        <v>0.0</v>
      </c>
      <c r="AE252" s="32">
        <f t="shared" si="2"/>
        <v>-4000</v>
      </c>
      <c r="AF252" s="93">
        <v>0.0</v>
      </c>
    </row>
    <row r="253">
      <c r="A253" s="86">
        <v>2010.0</v>
      </c>
      <c r="B253" s="87">
        <v>12.0</v>
      </c>
      <c r="C253" s="88" t="s">
        <v>42</v>
      </c>
      <c r="D253" s="32"/>
      <c r="E253" s="93">
        <v>-5000.0</v>
      </c>
      <c r="F253" s="93"/>
      <c r="G253" s="93">
        <v>-1191.2</v>
      </c>
      <c r="H253" s="93">
        <v>4157.16</v>
      </c>
      <c r="I253" s="93">
        <v>20.45</v>
      </c>
      <c r="J253" s="93">
        <v>22762.19</v>
      </c>
      <c r="K253" s="32"/>
      <c r="L253" s="32"/>
      <c r="M253" s="32"/>
      <c r="N253" s="32"/>
      <c r="O253" s="93">
        <v>216698.0</v>
      </c>
      <c r="P253" s="91">
        <f>IFERROR(__xludf.DUMMYFUNCTION("IFERROR(sum(FILTER($D:$N,$C:$C = $C253,$A:$A &lt; $A253,$B:$B = 12)),0) + sum($D253:$N253)"),216697.50999999998)</f>
        <v>216697.51</v>
      </c>
      <c r="Q253" s="92">
        <f t="shared" si="1"/>
        <v>0.49</v>
      </c>
      <c r="R253" s="91">
        <f t="array" ref="R253">IFERROR(INDEX('Fund YTD Target Values'!$1:$1000, MATCH($C253,'Fund YTD Target Values'!$A:$A,0), MATCH($A253,'Fund YTD Target Values'!$1:$1,0)),0)</f>
        <v>199350.4397</v>
      </c>
      <c r="S253" s="91">
        <f>IFERROR(__xludf.DUMMYFUNCTION("IFERROR(sum(FILTER('Fund Investment Data'!$V:$V, 'Fund Investment Data'!$C:$C = $C253, 'Fund Investment Data'!$A:$A &lt; $A253)),0) + IFERROR(sum(FILTER('Fund Investment Data'!$V:$V, 'Fund Investment Data'!$C:$C = $C253, 'Fund Investment Data'!$A:$A = $A253,"&amp;" 'Fund Investment Data'!$B:$B &lt;= $B253)),0)"),184469.0)</f>
        <v>184469</v>
      </c>
      <c r="T253" s="93">
        <v>184469.0</v>
      </c>
      <c r="U253" s="32">
        <f t="shared" si="3"/>
        <v>0</v>
      </c>
      <c r="V253" s="32">
        <f>IFERROR(__xludf.DUMMYFUNCTION("$D253 - IFERROR(FILTER($D:$D,$C:$C = $C253, $A:$A = $A253, $B:$B = $B253 - 1),0)"),0.0)</f>
        <v>0</v>
      </c>
      <c r="W253" s="93">
        <f>IFERROR(__xludf.DUMMYFUNCTION("$E253 - IFERROR(FILTER($E:$E,$C:$C = $C253, $A:$A = $A253, $B:$B = $B253 - 1),0)"),-5000.0)</f>
        <v>-5000</v>
      </c>
      <c r="X253" s="93"/>
      <c r="Y253" s="93"/>
      <c r="Z253" s="93">
        <v>0.0</v>
      </c>
      <c r="AA253" s="93">
        <v>0.0</v>
      </c>
      <c r="AB253" s="93">
        <v>0.0</v>
      </c>
      <c r="AC253" s="93"/>
      <c r="AD253" s="93">
        <v>0.0</v>
      </c>
      <c r="AE253" s="32">
        <f t="shared" si="2"/>
        <v>-5000</v>
      </c>
      <c r="AF253" s="93">
        <v>0.0</v>
      </c>
    </row>
    <row r="254">
      <c r="A254" s="86">
        <v>2010.0</v>
      </c>
      <c r="B254" s="87">
        <v>12.0</v>
      </c>
      <c r="C254" s="88" t="s">
        <v>43</v>
      </c>
      <c r="D254" s="32"/>
      <c r="E254" s="93">
        <v>-5000.0</v>
      </c>
      <c r="F254" s="93"/>
      <c r="G254" s="93">
        <v>-695.7</v>
      </c>
      <c r="H254" s="93">
        <v>2437.32</v>
      </c>
      <c r="I254" s="93">
        <v>170.95</v>
      </c>
      <c r="J254" s="93">
        <v>13119.61</v>
      </c>
      <c r="K254" s="32"/>
      <c r="L254" s="32"/>
      <c r="M254" s="32"/>
      <c r="N254" s="32"/>
      <c r="O254" s="93">
        <v>124809.0</v>
      </c>
      <c r="P254" s="91">
        <f>IFERROR(__xludf.DUMMYFUNCTION("IFERROR(sum(FILTER($D:$N,$C:$C = $C254,$A:$A &lt; $A254,$B:$B = 12)),0) + sum($D254:$N254)"),124808.66)</f>
        <v>124808.66</v>
      </c>
      <c r="Q254" s="92">
        <f t="shared" si="1"/>
        <v>0.34</v>
      </c>
      <c r="R254" s="91">
        <f t="array" ref="R254">IFERROR(INDEX('Fund YTD Target Values'!$1:$1000, MATCH($C254,'Fund YTD Target Values'!$A:$A,0), MATCH($A254,'Fund YTD Target Values'!$1:$1,0)),0)</f>
        <v>113488.5353</v>
      </c>
      <c r="S254" s="91">
        <f>IFERROR(__xludf.DUMMYFUNCTION("IFERROR(sum(FILTER('Fund Investment Data'!$V:$V, 'Fund Investment Data'!$C:$C = $C254, 'Fund Investment Data'!$A:$A &lt; $A254)),0) + IFERROR(sum(FILTER('Fund Investment Data'!$V:$V, 'Fund Investment Data'!$C:$C = $C254, 'Fund Investment Data'!$A:$A = $A254,"&amp;" 'Fund Investment Data'!$B:$B &lt;= $B254)),0)"),100000.0)</f>
        <v>100000</v>
      </c>
      <c r="T254" s="93">
        <v>100000.0</v>
      </c>
      <c r="U254" s="32">
        <f t="shared" si="3"/>
        <v>0</v>
      </c>
      <c r="V254" s="32">
        <f>IFERROR(__xludf.DUMMYFUNCTION("$D254 - IFERROR(FILTER($D:$D,$C:$C = $C254, $A:$A = $A254, $B:$B = $B254 - 1),0)"),0.0)</f>
        <v>0</v>
      </c>
      <c r="W254" s="93">
        <f>IFERROR(__xludf.DUMMYFUNCTION("$E254 - IFERROR(FILTER($E:$E,$C:$C = $C254, $A:$A = $A254, $B:$B = $B254 - 1),0)"),-5000.0)</f>
        <v>-5000</v>
      </c>
      <c r="X254" s="93"/>
      <c r="Y254" s="93"/>
      <c r="Z254" s="93">
        <v>0.0</v>
      </c>
      <c r="AA254" s="93">
        <v>0.0</v>
      </c>
      <c r="AB254" s="93">
        <v>0.0</v>
      </c>
      <c r="AC254" s="93"/>
      <c r="AD254" s="93">
        <v>0.0</v>
      </c>
      <c r="AE254" s="32">
        <f t="shared" si="2"/>
        <v>-5000</v>
      </c>
      <c r="AF254" s="93">
        <v>0.0</v>
      </c>
    </row>
    <row r="255">
      <c r="A255" s="86">
        <v>2010.0</v>
      </c>
      <c r="B255" s="87">
        <v>12.0</v>
      </c>
      <c r="C255" s="88" t="s">
        <v>33</v>
      </c>
      <c r="D255" s="32"/>
      <c r="E255" s="93">
        <v>-15000.0</v>
      </c>
      <c r="F255" s="93"/>
      <c r="G255" s="93">
        <v>-2328.85</v>
      </c>
      <c r="H255" s="93">
        <v>8197.58</v>
      </c>
      <c r="I255" s="93">
        <v>1038.46</v>
      </c>
      <c r="J255" s="93">
        <v>44135.03</v>
      </c>
      <c r="K255" s="32"/>
      <c r="L255" s="32"/>
      <c r="M255" s="32"/>
      <c r="N255" s="32"/>
      <c r="O255" s="93">
        <v>427068.0</v>
      </c>
      <c r="P255" s="91">
        <f>IFERROR(__xludf.DUMMYFUNCTION("IFERROR(sum(FILTER($D:$N,$C:$C = $C255,$A:$A &lt; $A255,$B:$B = 12)),0) + sum($D255:$N255)"),427068.61999999976)</f>
        <v>427068.62</v>
      </c>
      <c r="Q255" s="92">
        <f t="shared" si="1"/>
        <v>-0.6199999998</v>
      </c>
      <c r="R255" s="91">
        <f t="array" ref="R255">IFERROR(INDEX('Fund YTD Target Values'!$1:$1000, MATCH($C255,'Fund YTD Target Values'!$A:$A,0), MATCH($A255,'Fund YTD Target Values'!$1:$1,0)),0)</f>
        <v>445392.5435</v>
      </c>
      <c r="S255" s="91">
        <f>IFERROR(__xludf.DUMMYFUNCTION("IFERROR(sum(FILTER('Fund Investment Data'!$V:$V, 'Fund Investment Data'!$C:$C = $C255, 'Fund Investment Data'!$A:$A &lt; $A255)),0) + IFERROR(sum(FILTER('Fund Investment Data'!$V:$V, 'Fund Investment Data'!$C:$C = $C255, 'Fund Investment Data'!$A:$A = $A255,"&amp;" 'Fund Investment Data'!$B:$B &lt;= $B255)),0)"),325871.6399999999)</f>
        <v>325871.64</v>
      </c>
      <c r="T255" s="93">
        <v>326032.0</v>
      </c>
      <c r="U255" s="32">
        <f t="shared" si="3"/>
        <v>-160.36</v>
      </c>
      <c r="V255" s="32">
        <f>IFERROR(__xludf.DUMMYFUNCTION("$D255 - IFERROR(FILTER($D:$D,$C:$C = $C255, $A:$A = $A255, $B:$B = $B255 - 1),0)"),0.0)</f>
        <v>0</v>
      </c>
      <c r="W255" s="93">
        <f>IFERROR(__xludf.DUMMYFUNCTION("$E255 - IFERROR(FILTER($E:$E,$C:$C = $C255, $A:$A = $A255, $B:$B = $B255 - 1),0)"),-15000.0)</f>
        <v>-15000</v>
      </c>
      <c r="X255" s="93"/>
      <c r="Y255" s="93"/>
      <c r="Z255" s="93">
        <v>0.0</v>
      </c>
      <c r="AA255" s="93">
        <v>0.0</v>
      </c>
      <c r="AB255" s="93">
        <v>0.0</v>
      </c>
      <c r="AC255" s="93"/>
      <c r="AD255" s="93">
        <v>0.0</v>
      </c>
      <c r="AE255" s="32">
        <f t="shared" si="2"/>
        <v>-15000</v>
      </c>
      <c r="AF255" s="93">
        <v>0.0</v>
      </c>
    </row>
    <row r="256">
      <c r="A256" s="86">
        <v>2010.0</v>
      </c>
      <c r="B256" s="87">
        <v>12.0</v>
      </c>
      <c r="C256" s="88" t="s">
        <v>53</v>
      </c>
      <c r="D256" s="93">
        <v>205500.0</v>
      </c>
      <c r="E256" s="32"/>
      <c r="F256" s="93">
        <v>-5000.0</v>
      </c>
      <c r="G256" s="93">
        <v>-2029.28</v>
      </c>
      <c r="H256" s="93">
        <v>5847.31</v>
      </c>
      <c r="I256" s="32"/>
      <c r="J256" s="93">
        <v>46013.16</v>
      </c>
      <c r="K256" s="32"/>
      <c r="L256" s="32"/>
      <c r="M256" s="32"/>
      <c r="N256" s="32"/>
      <c r="O256" s="93">
        <v>550331.0</v>
      </c>
      <c r="P256" s="91">
        <f>IFERROR(__xludf.DUMMYFUNCTION("IFERROR(sum(FILTER($D:$N,$C:$C = $C256,$A:$A &lt; $A256,$B:$B = 12)),0) + sum($D256:$N256)"),550331.19)</f>
        <v>550331.19</v>
      </c>
      <c r="Q256" s="92">
        <f t="shared" si="1"/>
        <v>-0.1899999999</v>
      </c>
      <c r="R256" s="91">
        <f t="array" ref="R256">IFERROR(INDEX('Fund YTD Target Values'!$1:$1000, MATCH($C256,'Fund YTD Target Values'!$A:$A,0), MATCH($A256,'Fund YTD Target Values'!$1:$1,0)),0)</f>
        <v>510432.9586</v>
      </c>
      <c r="S256" s="91">
        <f>IFERROR(__xludf.DUMMYFUNCTION("IFERROR(sum(FILTER('Fund Investment Data'!$V:$V, 'Fund Investment Data'!$C:$C = $C256, 'Fund Investment Data'!$A:$A &lt; $A256)),0) + IFERROR(sum(FILTER('Fund Investment Data'!$V:$V, 'Fund Investment Data'!$C:$C = $C256, 'Fund Investment Data'!$A:$A = $A256,"&amp;" 'Fund Investment Data'!$B:$B &lt;= $B256)),0)"),505500.0)</f>
        <v>505500</v>
      </c>
      <c r="T256" s="93">
        <v>505500.0</v>
      </c>
      <c r="U256" s="32">
        <f t="shared" si="3"/>
        <v>0</v>
      </c>
      <c r="V256" s="32">
        <f>IFERROR(__xludf.DUMMYFUNCTION("$D256 - IFERROR(FILTER($D:$D,$C:$C = $C256, $A:$A = $A256, $B:$B = $B256 - 1),0)"),205500.0)</f>
        <v>205500</v>
      </c>
      <c r="W256" s="93">
        <f>IFERROR(__xludf.DUMMYFUNCTION("$E256 - IFERROR(FILTER($E:$E,$C:$C = $C256, $A:$A = $A256, $B:$B = $B256 - 1),0)"),0.0)</f>
        <v>0</v>
      </c>
      <c r="X256" s="93"/>
      <c r="Y256" s="93"/>
      <c r="Z256" s="93">
        <v>0.0</v>
      </c>
      <c r="AA256" s="93">
        <v>0.0</v>
      </c>
      <c r="AB256" s="93">
        <v>0.0</v>
      </c>
      <c r="AC256" s="93"/>
      <c r="AD256" s="93">
        <v>0.0</v>
      </c>
      <c r="AE256" s="32">
        <f t="shared" si="2"/>
        <v>0</v>
      </c>
      <c r="AF256" s="93">
        <v>0.0</v>
      </c>
    </row>
    <row r="257">
      <c r="A257" s="86">
        <v>2010.0</v>
      </c>
      <c r="B257" s="87">
        <v>12.0</v>
      </c>
      <c r="C257" s="88" t="s">
        <v>54</v>
      </c>
      <c r="D257" s="93">
        <v>2510.0</v>
      </c>
      <c r="E257" s="93">
        <v>-7000.0</v>
      </c>
      <c r="F257" s="93"/>
      <c r="G257" s="93">
        <v>-694.72</v>
      </c>
      <c r="H257" s="93">
        <v>2390.17</v>
      </c>
      <c r="I257" s="32"/>
      <c r="J257" s="93">
        <v>13116.46</v>
      </c>
      <c r="K257" s="32"/>
      <c r="L257" s="32"/>
      <c r="M257" s="32"/>
      <c r="N257" s="32"/>
      <c r="O257" s="93">
        <v>126229.0</v>
      </c>
      <c r="P257" s="91">
        <f>IFERROR(__xludf.DUMMYFUNCTION("IFERROR(sum(FILTER($D:$N,$C:$C = $C257,$A:$A &lt; $A257,$B:$B = 12)),0) + sum($D257:$N257)"),126229.23999999998)</f>
        <v>126229.24</v>
      </c>
      <c r="Q257" s="92">
        <f t="shared" si="1"/>
        <v>-0.24</v>
      </c>
      <c r="R257" s="91">
        <f t="array" ref="R257">IFERROR(INDEX('Fund YTD Target Values'!$1:$1000, MATCH($C257,'Fund YTD Target Values'!$A:$A,0), MATCH($A257,'Fund YTD Target Values'!$1:$1,0)),0)</f>
        <v>118652.7813</v>
      </c>
      <c r="S257" s="91">
        <f>IFERROR(__xludf.DUMMYFUNCTION("IFERROR(sum(FILTER('Fund Investment Data'!$V:$V, 'Fund Investment Data'!$C:$C = $C257, 'Fund Investment Data'!$A:$A &lt; $A257)),0) + IFERROR(sum(FILTER('Fund Investment Data'!$V:$V, 'Fund Investment Data'!$C:$C = $C257, 'Fund Investment Data'!$A:$A = $A257,"&amp;" 'Fund Investment Data'!$B:$B &lt;= $B257)),0)"),94840.10999999999)</f>
        <v>94840.11</v>
      </c>
      <c r="T257" s="93">
        <v>91124.0</v>
      </c>
      <c r="U257" s="32">
        <f t="shared" si="3"/>
        <v>3716.11</v>
      </c>
      <c r="V257" s="32">
        <f>IFERROR(__xludf.DUMMYFUNCTION("$D257 - IFERROR(FILTER($D:$D,$C:$C = $C257, $A:$A = $A257, $B:$B = $B257 - 1),0)"),2510.0)</f>
        <v>2510</v>
      </c>
      <c r="W257" s="93">
        <f>IFERROR(__xludf.DUMMYFUNCTION("$E257 - IFERROR(FILTER($E:$E,$C:$C = $C257, $A:$A = $A257, $B:$B = $B257 - 1),0)"),-7000.0)</f>
        <v>-7000</v>
      </c>
      <c r="X257" s="93"/>
      <c r="Y257" s="93"/>
      <c r="Z257" s="93">
        <v>0.0</v>
      </c>
      <c r="AA257" s="93">
        <v>0.0</v>
      </c>
      <c r="AB257" s="93">
        <v>0.0</v>
      </c>
      <c r="AC257" s="93"/>
      <c r="AD257" s="93">
        <v>0.0</v>
      </c>
      <c r="AE257" s="32">
        <f t="shared" si="2"/>
        <v>-7000</v>
      </c>
      <c r="AF257" s="93">
        <v>0.0</v>
      </c>
    </row>
    <row r="258">
      <c r="A258" s="86">
        <v>2010.0</v>
      </c>
      <c r="B258" s="87">
        <v>12.0</v>
      </c>
      <c r="C258" s="88" t="s">
        <v>44</v>
      </c>
      <c r="D258" s="32"/>
      <c r="E258" s="93">
        <v>-5000.0</v>
      </c>
      <c r="F258" s="93"/>
      <c r="G258" s="93">
        <v>-1706.82</v>
      </c>
      <c r="H258" s="93">
        <v>5980.0</v>
      </c>
      <c r="I258" s="93">
        <v>176.64</v>
      </c>
      <c r="J258" s="93">
        <v>33031.74</v>
      </c>
      <c r="K258" s="32"/>
      <c r="L258" s="32"/>
      <c r="M258" s="32"/>
      <c r="N258" s="32"/>
      <c r="O258" s="93">
        <v>312787.0</v>
      </c>
      <c r="P258" s="91">
        <f>IFERROR(__xludf.DUMMYFUNCTION("IFERROR(sum(FILTER($D:$N,$C:$C = $C258,$A:$A &lt; $A258,$B:$B = 12)),0) + sum($D258:$N258)"),312787.24)</f>
        <v>312787.24</v>
      </c>
      <c r="Q258" s="92">
        <f t="shared" si="1"/>
        <v>-0.24</v>
      </c>
      <c r="R258" s="91">
        <f t="array" ref="R258">IFERROR(INDEX('Fund YTD Target Values'!$1:$1000, MATCH($C258,'Fund YTD Target Values'!$A:$A,0), MATCH($A258,'Fund YTD Target Values'!$1:$1,0)),0)</f>
        <v>279244.0622</v>
      </c>
      <c r="S258" s="91">
        <f>IFERROR(__xludf.DUMMYFUNCTION("IFERROR(sum(FILTER('Fund Investment Data'!$V:$V, 'Fund Investment Data'!$C:$C = $C258, 'Fund Investment Data'!$A:$A &lt; $A258)),0) + IFERROR(sum(FILTER('Fund Investment Data'!$V:$V, 'Fund Investment Data'!$C:$C = $C258, 'Fund Investment Data'!$A:$A = $A258,"&amp;" 'Fund Investment Data'!$B:$B &lt;= $B258)),0)"),250000.0)</f>
        <v>250000</v>
      </c>
      <c r="T258" s="93">
        <v>250000.0</v>
      </c>
      <c r="U258" s="32">
        <f t="shared" si="3"/>
        <v>0</v>
      </c>
      <c r="V258" s="32">
        <f>IFERROR(__xludf.DUMMYFUNCTION("$D258 - IFERROR(FILTER($D:$D,$C:$C = $C258, $A:$A = $A258, $B:$B = $B258 - 1),0)"),0.0)</f>
        <v>0</v>
      </c>
      <c r="W258" s="93">
        <f>IFERROR(__xludf.DUMMYFUNCTION("$E258 - IFERROR(FILTER($E:$E,$C:$C = $C258, $A:$A = $A258, $B:$B = $B258 - 1),0)"),-5000.0)</f>
        <v>-5000</v>
      </c>
      <c r="X258" s="93"/>
      <c r="Y258" s="93"/>
      <c r="Z258" s="93">
        <v>0.0</v>
      </c>
      <c r="AA258" s="93">
        <v>0.0</v>
      </c>
      <c r="AB258" s="93">
        <v>0.0</v>
      </c>
      <c r="AC258" s="93"/>
      <c r="AD258" s="93">
        <v>0.0</v>
      </c>
      <c r="AE258" s="32">
        <f t="shared" si="2"/>
        <v>-5000</v>
      </c>
      <c r="AF258" s="93">
        <v>0.0</v>
      </c>
    </row>
    <row r="259">
      <c r="A259" s="86">
        <v>2010.0</v>
      </c>
      <c r="B259" s="87">
        <v>12.0</v>
      </c>
      <c r="C259" s="88" t="s">
        <v>45</v>
      </c>
      <c r="D259" s="93">
        <v>20000.0</v>
      </c>
      <c r="E259" s="93">
        <v>-2000.0</v>
      </c>
      <c r="F259" s="93"/>
      <c r="G259" s="93">
        <v>-633.63</v>
      </c>
      <c r="H259" s="93">
        <v>2177.71</v>
      </c>
      <c r="I259" s="32"/>
      <c r="J259" s="93">
        <v>13309.75</v>
      </c>
      <c r="K259" s="32"/>
      <c r="L259" s="93">
        <v>-2.57</v>
      </c>
      <c r="M259" s="32"/>
      <c r="N259" s="32"/>
      <c r="O259" s="93">
        <v>119333.0</v>
      </c>
      <c r="P259" s="91">
        <f>IFERROR(__xludf.DUMMYFUNCTION("IFERROR(sum(FILTER($D:$N,$C:$C = $C259,$A:$A &lt; $A259,$B:$B = 12)),0) + sum($D259:$N259)"),119334.54000000001)</f>
        <v>119334.54</v>
      </c>
      <c r="Q259" s="92">
        <f t="shared" si="1"/>
        <v>-1.54</v>
      </c>
      <c r="R259" s="91">
        <f t="array" ref="R259">IFERROR(INDEX('Fund YTD Target Values'!$1:$1000, MATCH($C259,'Fund YTD Target Values'!$A:$A,0), MATCH($A259,'Fund YTD Target Values'!$1:$1,0)),0)</f>
        <v>105278.4851</v>
      </c>
      <c r="S259" s="91">
        <f>IFERROR(__xludf.DUMMYFUNCTION("IFERROR(sum(FILTER('Fund Investment Data'!$V:$V, 'Fund Investment Data'!$C:$C = $C259, 'Fund Investment Data'!$A:$A &lt; $A259)),0) + IFERROR(sum(FILTER('Fund Investment Data'!$V:$V, 'Fund Investment Data'!$C:$C = $C259, 'Fund Investment Data'!$A:$A = $A259,"&amp;" 'Fund Investment Data'!$B:$B &lt;= $B259)),0)"),100000.0)</f>
        <v>100000</v>
      </c>
      <c r="T259" s="93">
        <v>100000.0</v>
      </c>
      <c r="U259" s="32">
        <f t="shared" si="3"/>
        <v>0</v>
      </c>
      <c r="V259" s="32">
        <f>IFERROR(__xludf.DUMMYFUNCTION("$D259 - IFERROR(FILTER($D:$D,$C:$C = $C259, $A:$A = $A259, $B:$B = $B259 - 1),0)"),20000.0)</f>
        <v>20000</v>
      </c>
      <c r="W259" s="93">
        <f>IFERROR(__xludf.DUMMYFUNCTION("$E259 - IFERROR(FILTER($E:$E,$C:$C = $C259, $A:$A = $A259, $B:$B = $B259 - 1),0)"),-2000.0)</f>
        <v>-2000</v>
      </c>
      <c r="X259" s="93"/>
      <c r="Y259" s="93"/>
      <c r="Z259" s="93">
        <v>0.0</v>
      </c>
      <c r="AA259" s="93">
        <v>0.0</v>
      </c>
      <c r="AB259" s="93">
        <v>0.0</v>
      </c>
      <c r="AC259" s="93"/>
      <c r="AD259" s="93">
        <v>0.0</v>
      </c>
      <c r="AE259" s="32">
        <f t="shared" si="2"/>
        <v>-2000</v>
      </c>
      <c r="AF259" s="93">
        <v>0.0</v>
      </c>
    </row>
    <row r="260">
      <c r="A260" s="86">
        <v>2010.0</v>
      </c>
      <c r="B260" s="87">
        <v>12.0</v>
      </c>
      <c r="C260" s="88" t="s">
        <v>35</v>
      </c>
      <c r="D260" s="32"/>
      <c r="E260" s="93">
        <v>-20000.0</v>
      </c>
      <c r="F260" s="93"/>
      <c r="G260" s="93">
        <v>-7583.26</v>
      </c>
      <c r="H260" s="93">
        <v>26701.42</v>
      </c>
      <c r="I260" s="93">
        <v>776.09</v>
      </c>
      <c r="J260" s="93">
        <v>146090.78</v>
      </c>
      <c r="K260" s="32"/>
      <c r="L260" s="32"/>
      <c r="M260" s="32"/>
      <c r="N260" s="32"/>
      <c r="O260" s="93">
        <v>1390857.0</v>
      </c>
      <c r="P260" s="91">
        <f>IFERROR(__xludf.DUMMYFUNCTION("IFERROR(sum(FILTER($D:$N,$C:$C = $C260,$A:$A &lt; $A260,$B:$B = 12)),0) + sum($D260:$N260)"),1390855.6500000004)</f>
        <v>1390855.65</v>
      </c>
      <c r="Q260" s="92">
        <f t="shared" si="1"/>
        <v>1.35</v>
      </c>
      <c r="R260" s="91">
        <f t="array" ref="R260">IFERROR(INDEX('Fund YTD Target Values'!$1:$1000, MATCH($C260,'Fund YTD Target Values'!$A:$A,0), MATCH($A260,'Fund YTD Target Values'!$1:$1,0)),0)</f>
        <v>1352428.031</v>
      </c>
      <c r="S260" s="91">
        <f>IFERROR(__xludf.DUMMYFUNCTION("IFERROR(sum(FILTER('Fund Investment Data'!$V:$V, 'Fund Investment Data'!$C:$C = $C260, 'Fund Investment Data'!$A:$A &lt; $A260)),0) + IFERROR(sum(FILTER('Fund Investment Data'!$V:$V, 'Fund Investment Data'!$C:$C = $C260, 'Fund Investment Data'!$A:$A = $A260,"&amp;" 'Fund Investment Data'!$B:$B &lt;= $B260)),0)"),1066125.0)</f>
        <v>1066125</v>
      </c>
      <c r="T260" s="93">
        <v>1051125.0</v>
      </c>
      <c r="U260" s="32">
        <f t="shared" si="3"/>
        <v>15000</v>
      </c>
      <c r="V260" s="32">
        <f>IFERROR(__xludf.DUMMYFUNCTION("$D260 - IFERROR(FILTER($D:$D,$C:$C = $C260, $A:$A = $A260, $B:$B = $B260 - 1),0)"),0.0)</f>
        <v>0</v>
      </c>
      <c r="W260" s="93">
        <f>IFERROR(__xludf.DUMMYFUNCTION("$E260 - IFERROR(FILTER($E:$E,$C:$C = $C260, $A:$A = $A260, $B:$B = $B260 - 1),0)"),-20000.0)</f>
        <v>-20000</v>
      </c>
      <c r="X260" s="93"/>
      <c r="Y260" s="93"/>
      <c r="Z260" s="93">
        <v>0.0</v>
      </c>
      <c r="AA260" s="93">
        <v>0.0</v>
      </c>
      <c r="AB260" s="93">
        <v>0.0</v>
      </c>
      <c r="AC260" s="93"/>
      <c r="AD260" s="93">
        <v>0.0</v>
      </c>
      <c r="AE260" s="32">
        <f t="shared" si="2"/>
        <v>-20000</v>
      </c>
      <c r="AF260" s="93">
        <v>0.0</v>
      </c>
    </row>
    <row r="261">
      <c r="A261" s="86">
        <v>2011.0</v>
      </c>
      <c r="B261" s="87">
        <v>12.0</v>
      </c>
      <c r="C261" s="88" t="s">
        <v>26</v>
      </c>
      <c r="D261" s="32"/>
      <c r="E261" s="93">
        <v>-4000.0</v>
      </c>
      <c r="F261" s="93"/>
      <c r="G261" s="93">
        <v>-1609.34</v>
      </c>
      <c r="H261" s="93">
        <v>4496.13</v>
      </c>
      <c r="I261" s="93">
        <v>349.45</v>
      </c>
      <c r="J261" s="93">
        <v>-16619.12</v>
      </c>
      <c r="K261" s="32"/>
      <c r="L261" s="32"/>
      <c r="M261" s="32"/>
      <c r="N261" s="32"/>
      <c r="O261" s="93">
        <v>250773.0</v>
      </c>
      <c r="P261" s="91">
        <f>IFERROR(__xludf.DUMMYFUNCTION("IFERROR(sum(FILTER($D:$N,$C:$C = $C261,$A:$A &lt; $A261,$B:$B = 12)),0) + sum($D261:$N261)"),250772.36)</f>
        <v>250772.36</v>
      </c>
      <c r="Q261" s="92">
        <f t="shared" si="1"/>
        <v>0.64</v>
      </c>
      <c r="R261" s="91">
        <f t="array" ref="R261">IFERROR(INDEX('Fund YTD Target Values'!$1:$1000, MATCH($C261,'Fund YTD Target Values'!$A:$A,0), MATCH($A261,'Fund YTD Target Values'!$1:$1,0)),0)</f>
        <v>282914.1958</v>
      </c>
      <c r="S261" s="91">
        <f>IFERROR(__xludf.DUMMYFUNCTION("IFERROR(sum(FILTER('Fund Investment Data'!$V:$V, 'Fund Investment Data'!$C:$C = $C261, 'Fund Investment Data'!$A:$A &lt; $A261)),0) + IFERROR(sum(FILTER('Fund Investment Data'!$V:$V, 'Fund Investment Data'!$C:$C = $C261, 'Fund Investment Data'!$A:$A = $A261,"&amp;" 'Fund Investment Data'!$B:$B &lt;= $B261)),0)"),250000.0)</f>
        <v>250000</v>
      </c>
      <c r="T261" s="93">
        <v>250000.0</v>
      </c>
      <c r="U261" s="32">
        <f t="shared" si="3"/>
        <v>0</v>
      </c>
      <c r="V261" s="32">
        <f>IFERROR(__xludf.DUMMYFUNCTION("$D261 - IFERROR(FILTER($D:$D,$C:$C = $C261, $A:$A = $A261, $B:$B = $B261 - 1),0)"),0.0)</f>
        <v>0</v>
      </c>
      <c r="W261" s="93">
        <f>IFERROR(__xludf.DUMMYFUNCTION("$E261 - IFERROR(FILTER($E:$E,$C:$C = $C261, $A:$A = $A261, $B:$B = $B261 - 1),0)"),-4000.0)</f>
        <v>-4000</v>
      </c>
      <c r="X261" s="93"/>
      <c r="Y261" s="93"/>
      <c r="Z261" s="93">
        <v>0.0</v>
      </c>
      <c r="AA261" s="93">
        <v>0.0</v>
      </c>
      <c r="AB261" s="93">
        <v>0.0</v>
      </c>
      <c r="AC261" s="93"/>
      <c r="AD261" s="93">
        <v>0.0</v>
      </c>
      <c r="AE261" s="32">
        <f t="shared" si="2"/>
        <v>-4000</v>
      </c>
      <c r="AF261" s="93">
        <v>0.0</v>
      </c>
    </row>
    <row r="262">
      <c r="A262" s="86">
        <v>2011.0</v>
      </c>
      <c r="B262" s="87">
        <v>12.0</v>
      </c>
      <c r="C262" s="88" t="s">
        <v>27</v>
      </c>
      <c r="D262" s="93">
        <v>250.0</v>
      </c>
      <c r="E262" s="93">
        <v>-20000.0</v>
      </c>
      <c r="F262" s="93"/>
      <c r="G262" s="93">
        <v>-1925.26</v>
      </c>
      <c r="H262" s="93">
        <v>5404.54</v>
      </c>
      <c r="I262" s="93">
        <v>2007.56</v>
      </c>
      <c r="J262" s="93">
        <v>-21909.25</v>
      </c>
      <c r="K262" s="32"/>
      <c r="L262" s="32"/>
      <c r="M262" s="32"/>
      <c r="N262" s="32"/>
      <c r="O262" s="93">
        <v>286434.0</v>
      </c>
      <c r="P262" s="91">
        <f>IFERROR(__xludf.DUMMYFUNCTION("IFERROR(sum(FILTER($D:$N,$C:$C = $C262,$A:$A &lt; $A262,$B:$B = 12)),0) + sum($D262:$N262)"),286435.8800000001)</f>
        <v>286435.88</v>
      </c>
      <c r="Q262" s="92">
        <f t="shared" si="1"/>
        <v>-1.88</v>
      </c>
      <c r="R262" s="91">
        <f t="array" ref="R262">IFERROR(INDEX('Fund YTD Target Values'!$1:$1000, MATCH($C262,'Fund YTD Target Values'!$A:$A,0), MATCH($A262,'Fund YTD Target Values'!$1:$1,0)),0)</f>
        <v>352043.5747</v>
      </c>
      <c r="S262" s="91">
        <f>IFERROR(__xludf.DUMMYFUNCTION("IFERROR(sum(FILTER('Fund Investment Data'!$V:$V, 'Fund Investment Data'!$C:$C = $C262, 'Fund Investment Data'!$A:$A &lt; $A262)),0) + IFERROR(sum(FILTER('Fund Investment Data'!$V:$V, 'Fund Investment Data'!$C:$C = $C262, 'Fund Investment Data'!$A:$A = $A262,"&amp;" 'Fund Investment Data'!$B:$B &lt;= $B262)),0)"),275963.69999999995)</f>
        <v>275963.7</v>
      </c>
      <c r="T262" s="93">
        <v>271998.0</v>
      </c>
      <c r="U262" s="32">
        <f t="shared" si="3"/>
        <v>3965.7</v>
      </c>
      <c r="V262" s="32">
        <f>IFERROR(__xludf.DUMMYFUNCTION("$D262 - IFERROR(FILTER($D:$D,$C:$C = $C262, $A:$A = $A262, $B:$B = $B262 - 1),0)"),250.0)</f>
        <v>250</v>
      </c>
      <c r="W262" s="93">
        <f>IFERROR(__xludf.DUMMYFUNCTION("$E262 - IFERROR(FILTER($E:$E,$C:$C = $C262, $A:$A = $A262, $B:$B = $B262 - 1),0)"),-20000.0)</f>
        <v>-20000</v>
      </c>
      <c r="X262" s="93"/>
      <c r="Y262" s="93"/>
      <c r="Z262" s="93">
        <v>0.0</v>
      </c>
      <c r="AA262" s="93">
        <v>0.0</v>
      </c>
      <c r="AB262" s="93">
        <v>0.0</v>
      </c>
      <c r="AC262" s="93"/>
      <c r="AD262" s="93">
        <v>0.0</v>
      </c>
      <c r="AE262" s="32">
        <f t="shared" si="2"/>
        <v>-20000</v>
      </c>
      <c r="AF262" s="93">
        <v>0.0</v>
      </c>
    </row>
    <row r="263">
      <c r="A263" s="86">
        <v>2011.0</v>
      </c>
      <c r="B263" s="87">
        <v>12.0</v>
      </c>
      <c r="C263" s="88" t="s">
        <v>28</v>
      </c>
      <c r="D263" s="32"/>
      <c r="E263" s="93">
        <v>-206000.0</v>
      </c>
      <c r="F263" s="93"/>
      <c r="G263" s="93">
        <v>-21349.77</v>
      </c>
      <c r="H263" s="93">
        <v>60190.48</v>
      </c>
      <c r="I263" s="93">
        <v>8628.11</v>
      </c>
      <c r="J263" s="93">
        <v>-225416.0</v>
      </c>
      <c r="K263" s="32"/>
      <c r="L263" s="93">
        <v>-1597.12</v>
      </c>
      <c r="M263" s="32"/>
      <c r="N263" s="32"/>
      <c r="O263" s="93">
        <v>3192546.0</v>
      </c>
      <c r="P263" s="91">
        <f>IFERROR(__xludf.DUMMYFUNCTION("IFERROR(sum(FILTER($D:$N,$C:$C = $C263,$A:$A &lt; $A263,$B:$B = 12)),0) + sum($D263:$N263)"),3192546.600000001)</f>
        <v>3192546.6</v>
      </c>
      <c r="Q263" s="92">
        <f t="shared" si="1"/>
        <v>-0.600000001</v>
      </c>
      <c r="R263" s="91">
        <f t="array" ref="R263">IFERROR(INDEX('Fund YTD Target Values'!$1:$1000, MATCH($C263,'Fund YTD Target Values'!$A:$A,0), MATCH($A263,'Fund YTD Target Values'!$1:$1,0)),0)</f>
        <v>3440040.406</v>
      </c>
      <c r="S263" s="91">
        <f>IFERROR(__xludf.DUMMYFUNCTION("IFERROR(sum(FILTER('Fund Investment Data'!$V:$V, 'Fund Investment Data'!$C:$C = $C263, 'Fund Investment Data'!$A:$A &lt; $A263)),0) + IFERROR(sum(FILTER('Fund Investment Data'!$V:$V, 'Fund Investment Data'!$C:$C = $C263, 'Fund Investment Data'!$A:$A = $A263,"&amp;" 'Fund Investment Data'!$B:$B &lt;= $B263)),0)"),2960091.25)</f>
        <v>2960091.25</v>
      </c>
      <c r="T263" s="93">
        <v>3009816.0</v>
      </c>
      <c r="U263" s="32">
        <f t="shared" si="3"/>
        <v>-49724.75</v>
      </c>
      <c r="V263" s="32">
        <f>IFERROR(__xludf.DUMMYFUNCTION("$D263 - IFERROR(FILTER($D:$D,$C:$C = $C263, $A:$A = $A263, $B:$B = $B263 - 1),0)"),0.0)</f>
        <v>0</v>
      </c>
      <c r="W263" s="93">
        <f>IFERROR(__xludf.DUMMYFUNCTION("$E263 - IFERROR(FILTER($E:$E,$C:$C = $C263, $A:$A = $A263, $B:$B = $B263 - 1),0)"),-206000.0)</f>
        <v>-206000</v>
      </c>
      <c r="X263" s="93"/>
      <c r="Y263" s="93"/>
      <c r="Z263" s="93">
        <v>0.0</v>
      </c>
      <c r="AA263" s="93">
        <v>0.0</v>
      </c>
      <c r="AB263" s="93">
        <v>0.0</v>
      </c>
      <c r="AC263" s="93"/>
      <c r="AD263" s="93">
        <v>0.0</v>
      </c>
      <c r="AE263" s="32">
        <f t="shared" si="2"/>
        <v>-206000</v>
      </c>
      <c r="AF263" s="93">
        <v>0.0</v>
      </c>
    </row>
    <row r="264">
      <c r="A264" s="86">
        <v>2011.0</v>
      </c>
      <c r="B264" s="87">
        <v>12.0</v>
      </c>
      <c r="C264" s="88" t="s">
        <v>46</v>
      </c>
      <c r="D264" s="32"/>
      <c r="E264" s="93">
        <v>-13000.0</v>
      </c>
      <c r="F264" s="93"/>
      <c r="G264" s="93">
        <v>-2602.2</v>
      </c>
      <c r="H264" s="93">
        <v>7307.1</v>
      </c>
      <c r="I264" s="93">
        <v>1333.03</v>
      </c>
      <c r="J264" s="93">
        <v>-28296.87</v>
      </c>
      <c r="K264" s="32"/>
      <c r="L264" s="32"/>
      <c r="M264" s="32"/>
      <c r="N264" s="32"/>
      <c r="O264" s="93">
        <v>398020.0</v>
      </c>
      <c r="P264" s="91">
        <f>IFERROR(__xludf.DUMMYFUNCTION("IFERROR(sum(FILTER($D:$N,$C:$C = $C264,$A:$A &lt; $A264,$B:$B = 12)),0) + sum($D264:$N264)"),398020.25)</f>
        <v>398020.25</v>
      </c>
      <c r="Q264" s="92">
        <f t="shared" si="1"/>
        <v>-0.25</v>
      </c>
      <c r="R264" s="91">
        <f t="array" ref="R264">IFERROR(INDEX('Fund YTD Target Values'!$1:$1000, MATCH($C264,'Fund YTD Target Values'!$A:$A,0), MATCH($A264,'Fund YTD Target Values'!$1:$1,0)),0)</f>
        <v>408942.876</v>
      </c>
      <c r="S264" s="91">
        <f>IFERROR(__xludf.DUMMYFUNCTION("IFERROR(sum(FILTER('Fund Investment Data'!$V:$V, 'Fund Investment Data'!$C:$C = $C264, 'Fund Investment Data'!$A:$A &lt; $A264)),0) + IFERROR(sum(FILTER('Fund Investment Data'!$V:$V, 'Fund Investment Data'!$C:$C = $C264, 'Fund Investment Data'!$A:$A = $A264,"&amp;" 'Fund Investment Data'!$B:$B &lt;= $B264)),0)"),366400.0)</f>
        <v>366400</v>
      </c>
      <c r="T264" s="93">
        <v>366400.0</v>
      </c>
      <c r="U264" s="32">
        <f t="shared" si="3"/>
        <v>0</v>
      </c>
      <c r="V264" s="32">
        <f>IFERROR(__xludf.DUMMYFUNCTION("$D264 - IFERROR(FILTER($D:$D,$C:$C = $C264, $A:$A = $A264, $B:$B = $B264 - 1),0)"),0.0)</f>
        <v>0</v>
      </c>
      <c r="W264" s="93">
        <f>IFERROR(__xludf.DUMMYFUNCTION("$E264 - IFERROR(FILTER($E:$E,$C:$C = $C264, $A:$A = $A264, $B:$B = $B264 - 1),0)"),-13000.0)</f>
        <v>-13000</v>
      </c>
      <c r="X264" s="93"/>
      <c r="Y264" s="93"/>
      <c r="Z264" s="93">
        <v>0.0</v>
      </c>
      <c r="AA264" s="93">
        <v>0.0</v>
      </c>
      <c r="AB264" s="93">
        <v>0.0</v>
      </c>
      <c r="AC264" s="93"/>
      <c r="AD264" s="93">
        <v>0.0</v>
      </c>
      <c r="AE264" s="32">
        <f t="shared" si="2"/>
        <v>-13000</v>
      </c>
      <c r="AF264" s="93">
        <v>0.0</v>
      </c>
    </row>
    <row r="265">
      <c r="A265" s="86">
        <v>2011.0</v>
      </c>
      <c r="B265" s="87">
        <v>12.0</v>
      </c>
      <c r="C265" s="88" t="s">
        <v>36</v>
      </c>
      <c r="D265" s="32"/>
      <c r="E265" s="93">
        <v>-40000.0</v>
      </c>
      <c r="F265" s="93"/>
      <c r="G265" s="93">
        <v>-2897.34</v>
      </c>
      <c r="H265" s="93">
        <v>8139.56</v>
      </c>
      <c r="I265" s="93">
        <v>6884.48</v>
      </c>
      <c r="J265" s="93">
        <v>-34348.1</v>
      </c>
      <c r="K265" s="32"/>
      <c r="L265" s="32"/>
      <c r="M265" s="32"/>
      <c r="N265" s="32"/>
      <c r="O265" s="93">
        <v>433747.0</v>
      </c>
      <c r="P265" s="91">
        <f>IFERROR(__xludf.DUMMYFUNCTION("IFERROR(sum(FILTER($D:$N,$C:$C = $C265,$A:$A &lt; $A265,$B:$B = 12)),0) + sum($D265:$N265)"),433746.3300000002)</f>
        <v>433746.33</v>
      </c>
      <c r="Q265" s="92">
        <f t="shared" si="1"/>
        <v>0.6699999998</v>
      </c>
      <c r="R265" s="91">
        <f t="array" ref="R265">IFERROR(INDEX('Fund YTD Target Values'!$1:$1000, MATCH($C265,'Fund YTD Target Values'!$A:$A,0), MATCH($A265,'Fund YTD Target Values'!$1:$1,0)),0)</f>
        <v>569224.538</v>
      </c>
      <c r="S265" s="91">
        <f>IFERROR(__xludf.DUMMYFUNCTION("IFERROR(sum(FILTER('Fund Investment Data'!$V:$V, 'Fund Investment Data'!$C:$C = $C265, 'Fund Investment Data'!$A:$A &lt; $A265)),0) + IFERROR(sum(FILTER('Fund Investment Data'!$V:$V, 'Fund Investment Data'!$C:$C = $C265, 'Fund Investment Data'!$A:$A = $A265,"&amp;" 'Fund Investment Data'!$B:$B &lt;= $B265)),0)"),429067.24)</f>
        <v>429067.24</v>
      </c>
      <c r="T265" s="93">
        <v>413959.0</v>
      </c>
      <c r="U265" s="32">
        <f t="shared" si="3"/>
        <v>15108.24</v>
      </c>
      <c r="V265" s="32">
        <f>IFERROR(__xludf.DUMMYFUNCTION("$D265 - IFERROR(FILTER($D:$D,$C:$C = $C265, $A:$A = $A265, $B:$B = $B265 - 1),0)"),0.0)</f>
        <v>0</v>
      </c>
      <c r="W265" s="93">
        <f>IFERROR(__xludf.DUMMYFUNCTION("$E265 - IFERROR(FILTER($E:$E,$C:$C = $C265, $A:$A = $A265, $B:$B = $B265 - 1),0)"),-40000.0)</f>
        <v>-40000</v>
      </c>
      <c r="X265" s="93"/>
      <c r="Y265" s="93"/>
      <c r="Z265" s="93">
        <v>0.0</v>
      </c>
      <c r="AA265" s="93">
        <v>0.0</v>
      </c>
      <c r="AB265" s="93">
        <v>0.0</v>
      </c>
      <c r="AC265" s="93"/>
      <c r="AD265" s="93">
        <v>0.0</v>
      </c>
      <c r="AE265" s="32">
        <f t="shared" si="2"/>
        <v>-40000</v>
      </c>
      <c r="AF265" s="93">
        <v>0.0</v>
      </c>
    </row>
    <row r="266">
      <c r="A266" s="86">
        <v>2011.0</v>
      </c>
      <c r="B266" s="87">
        <v>12.0</v>
      </c>
      <c r="C266" s="88" t="s">
        <v>37</v>
      </c>
      <c r="D266" s="93">
        <v>738137.86</v>
      </c>
      <c r="E266" s="32"/>
      <c r="F266" s="93"/>
      <c r="G266" s="93">
        <f>-770.09-3180</f>
        <v>-3950.09</v>
      </c>
      <c r="H266" s="93">
        <v>2698.39</v>
      </c>
      <c r="I266" s="93">
        <v>68049.79</v>
      </c>
      <c r="J266" s="93">
        <v>-15649.87</v>
      </c>
      <c r="K266" s="32"/>
      <c r="L266" s="93">
        <v>-26042.99</v>
      </c>
      <c r="M266" s="32"/>
      <c r="N266" s="32"/>
      <c r="O266" s="93">
        <v>763243.0</v>
      </c>
      <c r="P266" s="91">
        <f>IFERROR(__xludf.DUMMYFUNCTION("IFERROR(sum(FILTER($D:$N,$C:$C = $C266,$A:$A &lt; $A266,$B:$B = 12)),0) + sum($D266:$N266)"),763243.0900000001)</f>
        <v>763243.09</v>
      </c>
      <c r="Q266" s="92">
        <f t="shared" si="1"/>
        <v>-0.09000000008</v>
      </c>
      <c r="R266" s="91">
        <f t="array" ref="R266">IFERROR(INDEX('Fund YTD Target Values'!$1:$1000, MATCH($C266,'Fund YTD Target Values'!$A:$A,0), MATCH($A266,'Fund YTD Target Values'!$1:$1,0)),0)</f>
        <v>738137.86</v>
      </c>
      <c r="S266" s="91">
        <f>IFERROR(__xludf.DUMMYFUNCTION("IFERROR(sum(FILTER('Fund Investment Data'!$V:$V, 'Fund Investment Data'!$C:$C = $C266, 'Fund Investment Data'!$A:$A &lt; $A266)),0) + IFERROR(sum(FILTER('Fund Investment Data'!$V:$V, 'Fund Investment Data'!$C:$C = $C266, 'Fund Investment Data'!$A:$A = $A266,"&amp;" 'Fund Investment Data'!$B:$B &lt;= $B266)),0)"),738137.86)</f>
        <v>738137.86</v>
      </c>
      <c r="T266" s="93">
        <v>722866.0</v>
      </c>
      <c r="U266" s="32">
        <f t="shared" si="3"/>
        <v>15271.86</v>
      </c>
      <c r="V266" s="32">
        <f>IFERROR(__xludf.DUMMYFUNCTION("$D266 - IFERROR(FILTER($D:$D,$C:$C = $C266, $A:$A = $A266, $B:$B = $B266 - 1),0)"),738137.86)</f>
        <v>738137.86</v>
      </c>
      <c r="W266" s="93">
        <f>IFERROR(__xludf.DUMMYFUNCTION("$E266 - IFERROR(FILTER($E:$E,$C:$C = $C266, $A:$A = $A266, $B:$B = $B266 - 1),0)"),0.0)</f>
        <v>0</v>
      </c>
      <c r="X266" s="93"/>
      <c r="Y266" s="93"/>
      <c r="Z266" s="93">
        <v>0.0</v>
      </c>
      <c r="AA266" s="93">
        <v>0.0</v>
      </c>
      <c r="AB266" s="93">
        <v>0.0</v>
      </c>
      <c r="AC266" s="93"/>
      <c r="AD266" s="93">
        <v>0.0</v>
      </c>
      <c r="AE266" s="32">
        <f t="shared" si="2"/>
        <v>0</v>
      </c>
      <c r="AF266" s="93">
        <v>0.0</v>
      </c>
    </row>
    <row r="267">
      <c r="A267" s="86">
        <v>2011.0</v>
      </c>
      <c r="B267" s="87">
        <v>12.0</v>
      </c>
      <c r="C267" s="88" t="s">
        <v>29</v>
      </c>
      <c r="D267" s="32"/>
      <c r="E267" s="93">
        <v>-7000.0</v>
      </c>
      <c r="F267" s="93"/>
      <c r="G267" s="93">
        <v>-384.99</v>
      </c>
      <c r="H267" s="93">
        <v>1080.35</v>
      </c>
      <c r="I267" s="93">
        <v>753.25</v>
      </c>
      <c r="J267" s="93">
        <v>-4676.96</v>
      </c>
      <c r="K267" s="32"/>
      <c r="L267" s="32"/>
      <c r="M267" s="32"/>
      <c r="N267" s="32"/>
      <c r="O267" s="93">
        <v>54536.0</v>
      </c>
      <c r="P267" s="91">
        <f>IFERROR(__xludf.DUMMYFUNCTION("IFERROR(sum(FILTER($D:$N,$C:$C = $C267,$A:$A &lt; $A267,$B:$B = 12)),0) + sum($D267:$N267)"),54535.41999999993)</f>
        <v>54535.42</v>
      </c>
      <c r="Q267" s="92">
        <f t="shared" si="1"/>
        <v>0.5800000001</v>
      </c>
      <c r="R267" s="91">
        <f t="array" ref="R267">IFERROR(INDEX('Fund YTD Target Values'!$1:$1000, MATCH($C267,'Fund YTD Target Values'!$A:$A,0), MATCH($A267,'Fund YTD Target Values'!$1:$1,0)),0)</f>
        <v>69021.32825</v>
      </c>
      <c r="S267" s="91">
        <f>IFERROR(__xludf.DUMMYFUNCTION("IFERROR(sum(FILTER('Fund Investment Data'!$V:$V, 'Fund Investment Data'!$C:$C = $C267, 'Fund Investment Data'!$A:$A &lt; $A267)),0) + IFERROR(sum(FILTER('Fund Investment Data'!$V:$V, 'Fund Investment Data'!$C:$C = $C267, 'Fund Investment Data'!$A:$A = $A267,"&amp;" 'Fund Investment Data'!$B:$B &lt;= $B267)),0)"),50000.0)</f>
        <v>50000</v>
      </c>
      <c r="T267" s="93">
        <v>50000.0</v>
      </c>
      <c r="U267" s="32">
        <f t="shared" si="3"/>
        <v>0</v>
      </c>
      <c r="V267" s="32">
        <f>IFERROR(__xludf.DUMMYFUNCTION("$D267 - IFERROR(FILTER($D:$D,$C:$C = $C267, $A:$A = $A267, $B:$B = $B267 - 1),0)"),0.0)</f>
        <v>0</v>
      </c>
      <c r="W267" s="93">
        <f>IFERROR(__xludf.DUMMYFUNCTION("$E267 - IFERROR(FILTER($E:$E,$C:$C = $C267, $A:$A = $A267, $B:$B = $B267 - 1),0)"),-7000.0)</f>
        <v>-7000</v>
      </c>
      <c r="X267" s="93"/>
      <c r="Y267" s="93"/>
      <c r="Z267" s="93">
        <v>0.0</v>
      </c>
      <c r="AA267" s="93">
        <v>0.0</v>
      </c>
      <c r="AB267" s="93">
        <v>0.0</v>
      </c>
      <c r="AC267" s="93"/>
      <c r="AD267" s="93">
        <v>0.0</v>
      </c>
      <c r="AE267" s="32">
        <f t="shared" si="2"/>
        <v>-7000</v>
      </c>
      <c r="AF267" s="93">
        <v>0.0</v>
      </c>
    </row>
    <row r="268">
      <c r="A268" s="86">
        <v>2011.0</v>
      </c>
      <c r="B268" s="87">
        <v>12.0</v>
      </c>
      <c r="C268" s="88" t="s">
        <v>38</v>
      </c>
      <c r="D268" s="93">
        <v>2000.0</v>
      </c>
      <c r="E268" s="93">
        <v>-5650.0</v>
      </c>
      <c r="F268" s="93"/>
      <c r="G268" s="93">
        <v>-3890.86</v>
      </c>
      <c r="H268" s="93">
        <v>10904.69</v>
      </c>
      <c r="I268" s="93">
        <v>493.6</v>
      </c>
      <c r="J268" s="93">
        <v>-40295.45</v>
      </c>
      <c r="K268" s="32"/>
      <c r="L268" s="32"/>
      <c r="M268" s="32"/>
      <c r="N268" s="32"/>
      <c r="O268" s="93">
        <v>609333.0</v>
      </c>
      <c r="P268" s="91">
        <f>IFERROR(__xludf.DUMMYFUNCTION("IFERROR(sum(FILTER($D:$N,$C:$C = $C268,$A:$A &lt; $A268,$B:$B = 12)),0) + sum($D268:$N268)"),609332.7899999999)</f>
        <v>609332.79</v>
      </c>
      <c r="Q268" s="92">
        <f t="shared" si="1"/>
        <v>0.2100000001</v>
      </c>
      <c r="R268" s="91">
        <f t="array" ref="R268">IFERROR(INDEX('Fund YTD Target Values'!$1:$1000, MATCH($C268,'Fund YTD Target Values'!$A:$A,0), MATCH($A268,'Fund YTD Target Values'!$1:$1,0)),0)</f>
        <v>624943.4104</v>
      </c>
      <c r="S268" s="91">
        <f>IFERROR(__xludf.DUMMYFUNCTION("IFERROR(sum(FILTER('Fund Investment Data'!$V:$V, 'Fund Investment Data'!$C:$C = $C268, 'Fund Investment Data'!$A:$A &lt; $A268)),0) + IFERROR(sum(FILTER('Fund Investment Data'!$V:$V, 'Fund Investment Data'!$C:$C = $C268, 'Fund Investment Data'!$A:$A = $A268,"&amp;" 'Fund Investment Data'!$B:$B &lt;= $B268)),0)"),552191.64)</f>
        <v>552191.64</v>
      </c>
      <c r="T268" s="93">
        <v>554246.0</v>
      </c>
      <c r="U268" s="32">
        <f t="shared" si="3"/>
        <v>-2054.36</v>
      </c>
      <c r="V268" s="32">
        <f>IFERROR(__xludf.DUMMYFUNCTION("$D268 - IFERROR(FILTER($D:$D,$C:$C = $C268, $A:$A = $A268, $B:$B = $B268 - 1),0)"),2000.0)</f>
        <v>2000</v>
      </c>
      <c r="W268" s="93">
        <f>IFERROR(__xludf.DUMMYFUNCTION("$E268 - IFERROR(FILTER($E:$E,$C:$C = $C268, $A:$A = $A268, $B:$B = $B268 - 1),0)"),-5650.0)</f>
        <v>-5650</v>
      </c>
      <c r="X268" s="93"/>
      <c r="Y268" s="93"/>
      <c r="Z268" s="93">
        <v>0.0</v>
      </c>
      <c r="AA268" s="93">
        <v>0.0</v>
      </c>
      <c r="AB268" s="93">
        <v>0.0</v>
      </c>
      <c r="AC268" s="93"/>
      <c r="AD268" s="93">
        <v>0.0</v>
      </c>
      <c r="AE268" s="32">
        <f t="shared" si="2"/>
        <v>-5650</v>
      </c>
      <c r="AF268" s="93">
        <v>0.0</v>
      </c>
    </row>
    <row r="269">
      <c r="A269" s="86">
        <v>2011.0</v>
      </c>
      <c r="B269" s="87">
        <v>12.0</v>
      </c>
      <c r="C269" s="88" t="s">
        <v>30</v>
      </c>
      <c r="D269" s="32"/>
      <c r="E269" s="32"/>
      <c r="F269" s="93"/>
      <c r="G269" s="93">
        <v>-103.68</v>
      </c>
      <c r="H269" s="93">
        <v>269.3</v>
      </c>
      <c r="I269" s="32"/>
      <c r="J269" s="93">
        <v>-980.2</v>
      </c>
      <c r="K269" s="32"/>
      <c r="L269" s="32"/>
      <c r="M269" s="32"/>
      <c r="N269" s="32"/>
      <c r="O269" s="93">
        <v>16356.0</v>
      </c>
      <c r="P269" s="91">
        <f>IFERROR(__xludf.DUMMYFUNCTION("IFERROR(sum(FILTER($D:$N,$C:$C = $C269,$A:$A &lt; $A269,$B:$B = 12)),0) + sum($D269:$N269)"),16354.20999999999)</f>
        <v>16354.21</v>
      </c>
      <c r="Q269" s="92">
        <f t="shared" si="1"/>
        <v>1.79</v>
      </c>
      <c r="R269" s="91">
        <f t="array" ref="R269">IFERROR(INDEX('Fund YTD Target Values'!$1:$1000, MATCH($C269,'Fund YTD Target Values'!$A:$A,0), MATCH($A269,'Fund YTD Target Values'!$1:$1,0)),0)</f>
        <v>16557.18733</v>
      </c>
      <c r="S269" s="91">
        <f>IFERROR(__xludf.DUMMYFUNCTION("IFERROR(sum(FILTER('Fund Investment Data'!$V:$V, 'Fund Investment Data'!$C:$C = $C269, 'Fund Investment Data'!$A:$A &lt; $A269)),0) + IFERROR(sum(FILTER('Fund Investment Data'!$V:$V, 'Fund Investment Data'!$C:$C = $C269, 'Fund Investment Data'!$A:$A = $A269,"&amp;" 'Fund Investment Data'!$B:$B &lt;= $B269)),0)"),11540.75)</f>
        <v>11540.75</v>
      </c>
      <c r="T269" s="93">
        <v>10000.0</v>
      </c>
      <c r="U269" s="32">
        <f t="shared" si="3"/>
        <v>1540.75</v>
      </c>
      <c r="V269" s="32">
        <f>IFERROR(__xludf.DUMMYFUNCTION("$D269 - IFERROR(FILTER($D:$D,$C:$C = $C269, $A:$A = $A269, $B:$B = $B269 - 1),0)"),0.0)</f>
        <v>0</v>
      </c>
      <c r="W269" s="93">
        <f>IFERROR(__xludf.DUMMYFUNCTION("$E269 - IFERROR(FILTER($E:$E,$C:$C = $C269, $A:$A = $A269, $B:$B = $B269 - 1),0)"),0.0)</f>
        <v>0</v>
      </c>
      <c r="X269" s="93"/>
      <c r="Y269" s="93"/>
      <c r="Z269" s="93">
        <v>0.0</v>
      </c>
      <c r="AA269" s="93">
        <v>0.0</v>
      </c>
      <c r="AB269" s="93">
        <v>0.0</v>
      </c>
      <c r="AC269" s="93"/>
      <c r="AD269" s="93">
        <v>0.0</v>
      </c>
      <c r="AE269" s="32">
        <f t="shared" si="2"/>
        <v>0</v>
      </c>
      <c r="AF269" s="93">
        <v>0.0</v>
      </c>
    </row>
    <row r="270">
      <c r="A270" s="86">
        <v>2011.0</v>
      </c>
      <c r="B270" s="87">
        <v>12.0</v>
      </c>
      <c r="C270" s="88" t="s">
        <v>47</v>
      </c>
      <c r="D270" s="32"/>
      <c r="E270" s="93">
        <v>-47000.0</v>
      </c>
      <c r="F270" s="93"/>
      <c r="G270" s="93">
        <v>-8781.18</v>
      </c>
      <c r="H270" s="93">
        <v>24758.17</v>
      </c>
      <c r="I270" s="93">
        <v>6593.97</v>
      </c>
      <c r="J270" s="93">
        <v>-96196.11</v>
      </c>
      <c r="K270" s="32"/>
      <c r="L270" s="32"/>
      <c r="M270" s="32"/>
      <c r="N270" s="32"/>
      <c r="O270" s="93">
        <v>1351546.0</v>
      </c>
      <c r="P270" s="91">
        <f>IFERROR(__xludf.DUMMYFUNCTION("IFERROR(sum(FILTER($D:$N,$C:$C = $C270,$A:$A &lt; $A270,$B:$B = 12)),0) + sum($D270:$N270)"),1351545.2599999998)</f>
        <v>1351545.26</v>
      </c>
      <c r="Q270" s="92">
        <f t="shared" si="1"/>
        <v>0.7400000002</v>
      </c>
      <c r="R270" s="91">
        <f t="array" ref="R270">IFERROR(INDEX('Fund YTD Target Values'!$1:$1000, MATCH($C270,'Fund YTD Target Values'!$A:$A,0), MATCH($A270,'Fund YTD Target Values'!$1:$1,0)),0)</f>
        <v>1781145.891</v>
      </c>
      <c r="S270" s="91">
        <f>IFERROR(__xludf.DUMMYFUNCTION("IFERROR(sum(FILTER('Fund Investment Data'!$V:$V, 'Fund Investment Data'!$C:$C = $C270, 'Fund Investment Data'!$A:$A &lt; $A270)),0) + IFERROR(sum(FILTER('Fund Investment Data'!$V:$V, 'Fund Investment Data'!$C:$C = $C270, 'Fund Investment Data'!$A:$A = $A270,"&amp;" 'Fund Investment Data'!$B:$B &lt;= $B270)),0)"),1446367.46)</f>
        <v>1446367.46</v>
      </c>
      <c r="T270" s="93">
        <v>1348955.0</v>
      </c>
      <c r="U270" s="32">
        <f t="shared" si="3"/>
        <v>97412.46</v>
      </c>
      <c r="V270" s="32">
        <f>IFERROR(__xludf.DUMMYFUNCTION("$D270 - IFERROR(FILTER($D:$D,$C:$C = $C270, $A:$A = $A270, $B:$B = $B270 - 1),0)"),0.0)</f>
        <v>0</v>
      </c>
      <c r="W270" s="93">
        <f>IFERROR(__xludf.DUMMYFUNCTION("$E270 - IFERROR(FILTER($E:$E,$C:$C = $C270, $A:$A = $A270, $B:$B = $B270 - 1),0)"),-47000.0)</f>
        <v>-47000</v>
      </c>
      <c r="X270" s="93"/>
      <c r="Y270" s="93"/>
      <c r="Z270" s="93">
        <v>0.0</v>
      </c>
      <c r="AA270" s="93">
        <v>0.0</v>
      </c>
      <c r="AB270" s="93">
        <v>0.0</v>
      </c>
      <c r="AC270" s="93"/>
      <c r="AD270" s="93">
        <v>0.0</v>
      </c>
      <c r="AE270" s="32">
        <f t="shared" si="2"/>
        <v>-47000</v>
      </c>
      <c r="AF270" s="93">
        <v>0.0</v>
      </c>
    </row>
    <row r="271">
      <c r="A271" s="86">
        <v>2011.0</v>
      </c>
      <c r="B271" s="87">
        <v>12.0</v>
      </c>
      <c r="C271" s="88" t="s">
        <v>31</v>
      </c>
      <c r="D271" s="93">
        <v>1000.0</v>
      </c>
      <c r="E271" s="93">
        <v>-17000.0</v>
      </c>
      <c r="F271" s="93"/>
      <c r="G271" s="93">
        <v>-1150.69</v>
      </c>
      <c r="H271" s="93">
        <v>3206.96</v>
      </c>
      <c r="I271" s="93">
        <v>2280.39</v>
      </c>
      <c r="J271" s="93">
        <v>-13503.02</v>
      </c>
      <c r="K271" s="32"/>
      <c r="L271" s="32"/>
      <c r="M271" s="32"/>
      <c r="N271" s="32"/>
      <c r="O271" s="93">
        <v>167611.0</v>
      </c>
      <c r="P271" s="91">
        <f>IFERROR(__xludf.DUMMYFUNCTION("IFERROR(sum(FILTER($D:$N,$C:$C = $C271,$A:$A &lt; $A271,$B:$B = 12)),0) + sum($D271:$N271)"),167611.56000000006)</f>
        <v>167611.56</v>
      </c>
      <c r="Q271" s="92">
        <f t="shared" si="1"/>
        <v>-0.5600000001</v>
      </c>
      <c r="R271" s="91">
        <f t="array" ref="R271">IFERROR(INDEX('Fund YTD Target Values'!$1:$1000, MATCH($C271,'Fund YTD Target Values'!$A:$A,0), MATCH($A271,'Fund YTD Target Values'!$1:$1,0)),0)</f>
        <v>182183.4332</v>
      </c>
      <c r="S271" s="91">
        <f>IFERROR(__xludf.DUMMYFUNCTION("IFERROR(sum(FILTER('Fund Investment Data'!$V:$V, 'Fund Investment Data'!$C:$C = $C271, 'Fund Investment Data'!$A:$A &lt; $A271)),0) + IFERROR(sum(FILTER('Fund Investment Data'!$V:$V, 'Fund Investment Data'!$C:$C = $C271, 'Fund Investment Data'!$A:$A = $A271,"&amp;" 'Fund Investment Data'!$B:$B &lt;= $B271)),0)"),151350.0)</f>
        <v>151350</v>
      </c>
      <c r="T271" s="93">
        <v>150850.0</v>
      </c>
      <c r="U271" s="32">
        <f t="shared" si="3"/>
        <v>500</v>
      </c>
      <c r="V271" s="32">
        <f>IFERROR(__xludf.DUMMYFUNCTION("$D271 - IFERROR(FILTER($D:$D,$C:$C = $C271, $A:$A = $A271, $B:$B = $B271 - 1),0)"),1000.0)</f>
        <v>1000</v>
      </c>
      <c r="W271" s="93">
        <f>IFERROR(__xludf.DUMMYFUNCTION("$E271 - IFERROR(FILTER($E:$E,$C:$C = $C271, $A:$A = $A271, $B:$B = $B271 - 1),0)"),-17000.0)</f>
        <v>-17000</v>
      </c>
      <c r="X271" s="93"/>
      <c r="Y271" s="93"/>
      <c r="Z271" s="93">
        <v>0.0</v>
      </c>
      <c r="AA271" s="93">
        <v>0.0</v>
      </c>
      <c r="AB271" s="93">
        <v>0.0</v>
      </c>
      <c r="AC271" s="93"/>
      <c r="AD271" s="93">
        <v>0.0</v>
      </c>
      <c r="AE271" s="32">
        <f t="shared" si="2"/>
        <v>-17000</v>
      </c>
      <c r="AF271" s="93">
        <v>0.0</v>
      </c>
    </row>
    <row r="272">
      <c r="A272" s="86">
        <v>2011.0</v>
      </c>
      <c r="B272" s="87">
        <v>12.0</v>
      </c>
      <c r="C272" s="88" t="s">
        <v>39</v>
      </c>
      <c r="D272" s="93">
        <v>20000.0</v>
      </c>
      <c r="E272" s="32"/>
      <c r="F272" s="93"/>
      <c r="G272" s="93">
        <v>-365.21</v>
      </c>
      <c r="H272" s="93">
        <v>829.67</v>
      </c>
      <c r="I272" s="32"/>
      <c r="J272" s="93">
        <v>-2950.39</v>
      </c>
      <c r="K272" s="32"/>
      <c r="L272" s="32"/>
      <c r="M272" s="32"/>
      <c r="N272" s="32"/>
      <c r="O272" s="93">
        <v>64721.0</v>
      </c>
      <c r="P272" s="91">
        <f>IFERROR(__xludf.DUMMYFUNCTION("IFERROR(sum(FILTER($D:$N,$C:$C = $C272,$A:$A &lt; $A272,$B:$B = 12)),0) + sum($D272:$N272)"),64720.66999999999)</f>
        <v>64720.67</v>
      </c>
      <c r="Q272" s="92">
        <f t="shared" si="1"/>
        <v>0.33</v>
      </c>
      <c r="R272" s="91">
        <f t="array" ref="R272">IFERROR(INDEX('Fund YTD Target Values'!$1:$1000, MATCH($C272,'Fund YTD Target Values'!$A:$A,0), MATCH($A272,'Fund YTD Target Values'!$1:$1,0)),0)</f>
        <v>61565.90199</v>
      </c>
      <c r="S272" s="91">
        <f>IFERROR(__xludf.DUMMYFUNCTION("IFERROR(sum(FILTER('Fund Investment Data'!$V:$V, 'Fund Investment Data'!$C:$C = $C272, 'Fund Investment Data'!$A:$A &lt; $A272)),0) + IFERROR(sum(FILTER('Fund Investment Data'!$V:$V, 'Fund Investment Data'!$C:$C = $C272, 'Fund Investment Data'!$A:$A = $A272,"&amp;" 'Fund Investment Data'!$B:$B &lt;= $B272)),0)"),60000.0)</f>
        <v>60000</v>
      </c>
      <c r="T272" s="93">
        <v>60000.0</v>
      </c>
      <c r="U272" s="32">
        <f t="shared" si="3"/>
        <v>0</v>
      </c>
      <c r="V272" s="32">
        <f>IFERROR(__xludf.DUMMYFUNCTION("$D272 - IFERROR(FILTER($D:$D,$C:$C = $C272, $A:$A = $A272, $B:$B = $B272 - 1),0)"),20000.0)</f>
        <v>20000</v>
      </c>
      <c r="W272" s="93">
        <f>IFERROR(__xludf.DUMMYFUNCTION("$E272 - IFERROR(FILTER($E:$E,$C:$C = $C272, $A:$A = $A272, $B:$B = $B272 - 1),0)"),0.0)</f>
        <v>0</v>
      </c>
      <c r="X272" s="93"/>
      <c r="Y272" s="93"/>
      <c r="Z272" s="93">
        <v>0.0</v>
      </c>
      <c r="AA272" s="93">
        <v>0.0</v>
      </c>
      <c r="AB272" s="93">
        <v>0.0</v>
      </c>
      <c r="AC272" s="93"/>
      <c r="AD272" s="93">
        <v>0.0</v>
      </c>
      <c r="AE272" s="32">
        <f t="shared" si="2"/>
        <v>0</v>
      </c>
      <c r="AF272" s="93">
        <v>0.0</v>
      </c>
    </row>
    <row r="273">
      <c r="A273" s="86">
        <v>2011.0</v>
      </c>
      <c r="B273" s="87">
        <v>12.0</v>
      </c>
      <c r="C273" s="88" t="s">
        <v>50</v>
      </c>
      <c r="D273" s="32"/>
      <c r="E273" s="93">
        <v>-11000.0</v>
      </c>
      <c r="F273" s="93"/>
      <c r="G273" s="93">
        <v>-785.39</v>
      </c>
      <c r="H273" s="93">
        <v>2202.03</v>
      </c>
      <c r="I273" s="93">
        <v>445.76</v>
      </c>
      <c r="J273" s="93">
        <v>-8070.59</v>
      </c>
      <c r="K273" s="32"/>
      <c r="L273" s="32"/>
      <c r="M273" s="32"/>
      <c r="N273" s="32"/>
      <c r="O273" s="93">
        <v>115541.0</v>
      </c>
      <c r="P273" s="91">
        <f>IFERROR(__xludf.DUMMYFUNCTION("IFERROR(sum(FILTER($D:$N,$C:$C = $C273,$A:$A &lt; $A273,$B:$B = 12)),0) + sum($D273:$N273)"),115539.96000000002)</f>
        <v>115539.96</v>
      </c>
      <c r="Q273" s="92">
        <f t="shared" si="1"/>
        <v>1.04</v>
      </c>
      <c r="R273" s="91">
        <f t="array" ref="R273">IFERROR(INDEX('Fund YTD Target Values'!$1:$1000, MATCH($C273,'Fund YTD Target Values'!$A:$A,0), MATCH($A273,'Fund YTD Target Values'!$1:$1,0)),0)</f>
        <v>123546.7895</v>
      </c>
      <c r="S273" s="91">
        <f>IFERROR(__xludf.DUMMYFUNCTION("IFERROR(sum(FILTER('Fund Investment Data'!$V:$V, 'Fund Investment Data'!$C:$C = $C273, 'Fund Investment Data'!$A:$A &lt; $A273)),0) + IFERROR(sum(FILTER('Fund Investment Data'!$V:$V, 'Fund Investment Data'!$C:$C = $C273, 'Fund Investment Data'!$A:$A = $A273,"&amp;" 'Fund Investment Data'!$B:$B &lt;= $B273)),0)"),110189.56)</f>
        <v>110189.56</v>
      </c>
      <c r="T273" s="93">
        <v>110241.0</v>
      </c>
      <c r="U273" s="32">
        <f t="shared" si="3"/>
        <v>-51.44</v>
      </c>
      <c r="V273" s="32">
        <f>IFERROR(__xludf.DUMMYFUNCTION("$D273 - IFERROR(FILTER($D:$D,$C:$C = $C273, $A:$A = $A273, $B:$B = $B273 - 1),0)"),0.0)</f>
        <v>0</v>
      </c>
      <c r="W273" s="93">
        <f>IFERROR(__xludf.DUMMYFUNCTION("$E273 - IFERROR(FILTER($E:$E,$C:$C = $C273, $A:$A = $A273, $B:$B = $B273 - 1),0)"),-11000.0)</f>
        <v>-11000</v>
      </c>
      <c r="X273" s="93"/>
      <c r="Y273" s="93"/>
      <c r="Z273" s="93">
        <v>0.0</v>
      </c>
      <c r="AA273" s="93">
        <v>0.0</v>
      </c>
      <c r="AB273" s="93">
        <v>0.0</v>
      </c>
      <c r="AC273" s="93"/>
      <c r="AD273" s="93">
        <v>0.0</v>
      </c>
      <c r="AE273" s="32">
        <f t="shared" si="2"/>
        <v>-11000</v>
      </c>
      <c r="AF273" s="93">
        <v>0.0</v>
      </c>
    </row>
    <row r="274">
      <c r="A274" s="86">
        <v>2011.0</v>
      </c>
      <c r="B274" s="87">
        <v>12.0</v>
      </c>
      <c r="C274" s="88" t="s">
        <v>32</v>
      </c>
      <c r="D274" s="32"/>
      <c r="E274" s="93">
        <v>-7000.0</v>
      </c>
      <c r="F274" s="93"/>
      <c r="G274" s="93">
        <v>-386.92</v>
      </c>
      <c r="H274" s="93">
        <v>1085.17</v>
      </c>
      <c r="I274" s="93">
        <v>709.0</v>
      </c>
      <c r="J274" s="93">
        <v>-4732.99</v>
      </c>
      <c r="K274" s="32"/>
      <c r="L274" s="32"/>
      <c r="M274" s="32"/>
      <c r="N274" s="32"/>
      <c r="O274" s="93">
        <v>55411.0</v>
      </c>
      <c r="P274" s="91">
        <f>IFERROR(__xludf.DUMMYFUNCTION("IFERROR(sum(FILTER($D:$N,$C:$C = $C274,$A:$A &lt; $A274,$B:$B = 12)),0) + sum($D274:$N274)"),55409.89000000002)</f>
        <v>55409.89</v>
      </c>
      <c r="Q274" s="92">
        <f t="shared" si="1"/>
        <v>1.11</v>
      </c>
      <c r="R274" s="91">
        <f t="array" ref="R274">IFERROR(INDEX('Fund YTD Target Values'!$1:$1000, MATCH($C274,'Fund YTD Target Values'!$A:$A,0), MATCH($A274,'Fund YTD Target Values'!$1:$1,0)),0)</f>
        <v>70923.11921</v>
      </c>
      <c r="S274" s="91">
        <f>IFERROR(__xludf.DUMMYFUNCTION("IFERROR(sum(FILTER('Fund Investment Data'!$V:$V, 'Fund Investment Data'!$C:$C = $C274, 'Fund Investment Data'!$A:$A &lt; $A274)),0) + IFERROR(sum(FILTER('Fund Investment Data'!$V:$V, 'Fund Investment Data'!$C:$C = $C274, 'Fund Investment Data'!$A:$A = $A274,"&amp;" 'Fund Investment Data'!$B:$B &lt;= $B274)),0)"),49449.04)</f>
        <v>49449.04</v>
      </c>
      <c r="T274" s="93">
        <v>39268.0</v>
      </c>
      <c r="U274" s="32">
        <f t="shared" si="3"/>
        <v>10181.04</v>
      </c>
      <c r="V274" s="32">
        <f>IFERROR(__xludf.DUMMYFUNCTION("$D274 - IFERROR(FILTER($D:$D,$C:$C = $C274, $A:$A = $A274, $B:$B = $B274 - 1),0)"),0.0)</f>
        <v>0</v>
      </c>
      <c r="W274" s="93">
        <f>IFERROR(__xludf.DUMMYFUNCTION("$E274 - IFERROR(FILTER($E:$E,$C:$C = $C274, $A:$A = $A274, $B:$B = $B274 - 1),0)"),-7000.0)</f>
        <v>-7000</v>
      </c>
      <c r="X274" s="93"/>
      <c r="Y274" s="93"/>
      <c r="Z274" s="93">
        <v>0.0</v>
      </c>
      <c r="AA274" s="93">
        <v>0.0</v>
      </c>
      <c r="AB274" s="93">
        <v>0.0</v>
      </c>
      <c r="AC274" s="93"/>
      <c r="AD274" s="93">
        <v>0.0</v>
      </c>
      <c r="AE274" s="32">
        <f t="shared" si="2"/>
        <v>-7000</v>
      </c>
      <c r="AF274" s="93">
        <v>0.0</v>
      </c>
    </row>
    <row r="275">
      <c r="A275" s="86">
        <v>2011.0</v>
      </c>
      <c r="B275" s="87">
        <v>12.0</v>
      </c>
      <c r="C275" s="88" t="s">
        <v>40</v>
      </c>
      <c r="D275" s="93">
        <v>250.0</v>
      </c>
      <c r="E275" s="93">
        <v>-3000.0</v>
      </c>
      <c r="F275" s="93"/>
      <c r="G275" s="93">
        <v>-903.21</v>
      </c>
      <c r="H275" s="93">
        <v>2509.42</v>
      </c>
      <c r="I275" s="93">
        <v>33.14</v>
      </c>
      <c r="J275" s="93">
        <v>-9288.87</v>
      </c>
      <c r="K275" s="32"/>
      <c r="L275" s="32"/>
      <c r="M275" s="32"/>
      <c r="N275" s="32"/>
      <c r="O275" s="93">
        <v>139767.0</v>
      </c>
      <c r="P275" s="91">
        <f>IFERROR(__xludf.DUMMYFUNCTION("IFERROR(sum(FILTER($D:$N,$C:$C = $C275,$A:$A &lt; $A275,$B:$B = 12)),0) + sum($D275:$N275)"),139766.66)</f>
        <v>139766.66</v>
      </c>
      <c r="Q275" s="92">
        <f t="shared" si="1"/>
        <v>0.34</v>
      </c>
      <c r="R275" s="91">
        <f t="array" ref="R275">IFERROR(INDEX('Fund YTD Target Values'!$1:$1000, MATCH($C275,'Fund YTD Target Values'!$A:$A,0), MATCH($A275,'Fund YTD Target Values'!$1:$1,0)),0)</f>
        <v>144233.9715</v>
      </c>
      <c r="S275" s="91">
        <f>IFERROR(__xludf.DUMMYFUNCTION("IFERROR(sum(FILTER('Fund Investment Data'!$V:$V, 'Fund Investment Data'!$C:$C = $C275, 'Fund Investment Data'!$A:$A &lt; $A275)),0) + IFERROR(sum(FILTER('Fund Investment Data'!$V:$V, 'Fund Investment Data'!$C:$C = $C275, 'Fund Investment Data'!$A:$A = $A275,"&amp;" 'Fund Investment Data'!$B:$B &lt;= $B275)),0)"),129393.74)</f>
        <v>129393.74</v>
      </c>
      <c r="T275" s="93">
        <v>129413.0</v>
      </c>
      <c r="U275" s="32">
        <f t="shared" si="3"/>
        <v>-19.26</v>
      </c>
      <c r="V275" s="32">
        <f>IFERROR(__xludf.DUMMYFUNCTION("$D275 - IFERROR(FILTER($D:$D,$C:$C = $C275, $A:$A = $A275, $B:$B = $B275 - 1),0)"),250.0)</f>
        <v>250</v>
      </c>
      <c r="W275" s="93">
        <f>IFERROR(__xludf.DUMMYFUNCTION("$E275 - IFERROR(FILTER($E:$E,$C:$C = $C275, $A:$A = $A275, $B:$B = $B275 - 1),0)"),-3000.0)</f>
        <v>-3000</v>
      </c>
      <c r="X275" s="93"/>
      <c r="Y275" s="93"/>
      <c r="Z275" s="93">
        <v>0.0</v>
      </c>
      <c r="AA275" s="93">
        <v>0.0</v>
      </c>
      <c r="AB275" s="93">
        <v>0.0</v>
      </c>
      <c r="AC275" s="93"/>
      <c r="AD275" s="93">
        <v>0.0</v>
      </c>
      <c r="AE275" s="32">
        <f t="shared" si="2"/>
        <v>-3000</v>
      </c>
      <c r="AF275" s="93">
        <v>0.0</v>
      </c>
    </row>
    <row r="276">
      <c r="A276" s="86">
        <v>2011.0</v>
      </c>
      <c r="B276" s="87">
        <v>12.0</v>
      </c>
      <c r="C276" s="88" t="s">
        <v>48</v>
      </c>
      <c r="D276" s="32"/>
      <c r="E276" s="93">
        <v>-40000.0</v>
      </c>
      <c r="F276" s="93"/>
      <c r="G276" s="93">
        <v>-7638.65</v>
      </c>
      <c r="H276" s="93">
        <v>21533.73</v>
      </c>
      <c r="I276" s="93">
        <v>5386.46</v>
      </c>
      <c r="J276" s="93">
        <v>-83467.19</v>
      </c>
      <c r="K276" s="32"/>
      <c r="L276" s="32"/>
      <c r="M276" s="32"/>
      <c r="N276" s="32"/>
      <c r="O276" s="93">
        <v>1175698.0</v>
      </c>
      <c r="P276" s="91">
        <f>IFERROR(__xludf.DUMMYFUNCTION("IFERROR(sum(FILTER($D:$N,$C:$C = $C276,$A:$A &lt; $A276,$B:$B = 12)),0) + sum($D276:$N276)"),1175697.4899999998)</f>
        <v>1175697.49</v>
      </c>
      <c r="Q276" s="92">
        <f t="shared" si="1"/>
        <v>0.5100000002</v>
      </c>
      <c r="R276" s="91">
        <f t="array" ref="R276">IFERROR(INDEX('Fund YTD Target Values'!$1:$1000, MATCH($C276,'Fund YTD Target Values'!$A:$A,0), MATCH($A276,'Fund YTD Target Values'!$1:$1,0)),0)</f>
        <v>1698549.981</v>
      </c>
      <c r="S276" s="91">
        <f>IFERROR(__xludf.DUMMYFUNCTION("IFERROR(sum(FILTER('Fund Investment Data'!$V:$V, 'Fund Investment Data'!$C:$C = $C276, 'Fund Investment Data'!$A:$A &lt; $A276)),0) + IFERROR(sum(FILTER('Fund Investment Data'!$V:$V, 'Fund Investment Data'!$C:$C = $C276, 'Fund Investment Data'!$A:$A = $A276,"&amp;" 'Fund Investment Data'!$B:$B &lt;= $B276)),0)"),1183929.39)</f>
        <v>1183929.39</v>
      </c>
      <c r="T276" s="93">
        <v>1140040.0</v>
      </c>
      <c r="U276" s="32">
        <f t="shared" si="3"/>
        <v>43889.39</v>
      </c>
      <c r="V276" s="32">
        <f>IFERROR(__xludf.DUMMYFUNCTION("$D276 - IFERROR(FILTER($D:$D,$C:$C = $C276, $A:$A = $A276, $B:$B = $B276 - 1),0)"),0.0)</f>
        <v>0</v>
      </c>
      <c r="W276" s="93">
        <f>IFERROR(__xludf.DUMMYFUNCTION("$E276 - IFERROR(FILTER($E:$E,$C:$C = $C276, $A:$A = $A276, $B:$B = $B276 - 1),0)"),-40000.0)</f>
        <v>-40000</v>
      </c>
      <c r="X276" s="93"/>
      <c r="Y276" s="93"/>
      <c r="Z276" s="93">
        <v>0.0</v>
      </c>
      <c r="AA276" s="93">
        <v>0.0</v>
      </c>
      <c r="AB276" s="93">
        <v>0.0</v>
      </c>
      <c r="AC276" s="93"/>
      <c r="AD276" s="93">
        <v>0.0</v>
      </c>
      <c r="AE276" s="32">
        <f t="shared" si="2"/>
        <v>-40000</v>
      </c>
      <c r="AF276" s="93">
        <v>0.0</v>
      </c>
    </row>
    <row r="277">
      <c r="A277" s="86">
        <v>2011.0</v>
      </c>
      <c r="B277" s="87">
        <v>12.0</v>
      </c>
      <c r="C277" s="88" t="s">
        <v>49</v>
      </c>
      <c r="D277" s="32"/>
      <c r="E277" s="93">
        <v>-29000.0</v>
      </c>
      <c r="F277" s="93"/>
      <c r="G277" s="93">
        <v>-3293.43</v>
      </c>
      <c r="H277" s="93">
        <v>9288.49</v>
      </c>
      <c r="I277" s="93">
        <v>4247.54</v>
      </c>
      <c r="J277" s="93">
        <v>-37238.38</v>
      </c>
      <c r="K277" s="32"/>
      <c r="L277" s="32"/>
      <c r="M277" s="32"/>
      <c r="N277" s="32"/>
      <c r="O277" s="93">
        <v>503253.0</v>
      </c>
      <c r="P277" s="91">
        <f>IFERROR(__xludf.DUMMYFUNCTION("IFERROR(sum(FILTER($D:$N,$C:$C = $C277,$A:$A &lt; $A277,$B:$B = 12)),0) + sum($D277:$N277)"),503253.97999999975)</f>
        <v>503253.98</v>
      </c>
      <c r="Q277" s="92">
        <f t="shared" si="1"/>
        <v>-0.9799999997</v>
      </c>
      <c r="R277" s="91">
        <f t="array" ref="R277">IFERROR(INDEX('Fund YTD Target Values'!$1:$1000, MATCH($C277,'Fund YTD Target Values'!$A:$A,0), MATCH($A277,'Fund YTD Target Values'!$1:$1,0)),0)</f>
        <v>628250.135</v>
      </c>
      <c r="S277" s="91">
        <f>IFERROR(__xludf.DUMMYFUNCTION("IFERROR(sum(FILTER('Fund Investment Data'!$V:$V, 'Fund Investment Data'!$C:$C = $C277, 'Fund Investment Data'!$A:$A &lt; $A277)),0) + IFERROR(sum(FILTER('Fund Investment Data'!$V:$V, 'Fund Investment Data'!$C:$C = $C277, 'Fund Investment Data'!$A:$A = $A277,"&amp;" 'Fund Investment Data'!$B:$B &lt;= $B277)),0)"),500000.0)</f>
        <v>500000</v>
      </c>
      <c r="T277" s="93">
        <v>500000.0</v>
      </c>
      <c r="U277" s="32">
        <f t="shared" si="3"/>
        <v>0</v>
      </c>
      <c r="V277" s="32">
        <f>IFERROR(__xludf.DUMMYFUNCTION("$D277 - IFERROR(FILTER($D:$D,$C:$C = $C277, $A:$A = $A277, $B:$B = $B277 - 1),0)"),0.0)</f>
        <v>0</v>
      </c>
      <c r="W277" s="93">
        <f>IFERROR(__xludf.DUMMYFUNCTION("$E277 - IFERROR(FILTER($E:$E,$C:$C = $C277, $A:$A = $A277, $B:$B = $B277 - 1),0)"),-29000.0)</f>
        <v>-29000</v>
      </c>
      <c r="X277" s="93"/>
      <c r="Y277" s="93"/>
      <c r="Z277" s="93">
        <v>0.0</v>
      </c>
      <c r="AA277" s="93">
        <v>0.0</v>
      </c>
      <c r="AB277" s="93">
        <v>0.0</v>
      </c>
      <c r="AC277" s="93"/>
      <c r="AD277" s="93">
        <v>0.0</v>
      </c>
      <c r="AE277" s="32">
        <f t="shared" si="2"/>
        <v>-29000</v>
      </c>
      <c r="AF277" s="93">
        <v>0.0</v>
      </c>
    </row>
    <row r="278">
      <c r="A278" s="86">
        <v>2011.0</v>
      </c>
      <c r="B278" s="87">
        <v>12.0</v>
      </c>
      <c r="C278" s="88" t="s">
        <v>41</v>
      </c>
      <c r="D278" s="32"/>
      <c r="E278" s="32"/>
      <c r="F278" s="93"/>
      <c r="G278" s="93">
        <v>-3300.09</v>
      </c>
      <c r="H278" s="93">
        <v>9280.17</v>
      </c>
      <c r="I278" s="32"/>
      <c r="J278" s="93">
        <v>-34467.37</v>
      </c>
      <c r="K278" s="32"/>
      <c r="L278" s="32"/>
      <c r="M278" s="32"/>
      <c r="N278" s="32"/>
      <c r="O278" s="93">
        <v>517677.0</v>
      </c>
      <c r="P278" s="91">
        <f>IFERROR(__xludf.DUMMYFUNCTION("IFERROR(sum(FILTER($D:$N,$C:$C = $C278,$A:$A &lt; $A278,$B:$B = 12)),0) + sum($D278:$N278)"),517678.75000000006)</f>
        <v>517678.75</v>
      </c>
      <c r="Q278" s="92">
        <f t="shared" si="1"/>
        <v>-1.75</v>
      </c>
      <c r="R278" s="91">
        <f t="array" ref="R278">IFERROR(INDEX('Fund YTD Target Values'!$1:$1000, MATCH($C278,'Fund YTD Target Values'!$A:$A,0), MATCH($A278,'Fund YTD Target Values'!$1:$1,0)),0)</f>
        <v>526660.9506</v>
      </c>
      <c r="S278" s="91">
        <f>IFERROR(__xludf.DUMMYFUNCTION("IFERROR(sum(FILTER('Fund Investment Data'!$V:$V, 'Fund Investment Data'!$C:$C = $C278, 'Fund Investment Data'!$A:$A &lt; $A278)),0) + IFERROR(sum(FILTER('Fund Investment Data'!$V:$V, 'Fund Investment Data'!$C:$C = $C278, 'Fund Investment Data'!$A:$A = $A278,"&amp;" 'Fund Investment Data'!$B:$B &lt;= $B278)),0)"),433755.86)</f>
        <v>433755.86</v>
      </c>
      <c r="T278" s="93">
        <v>434291.0</v>
      </c>
      <c r="U278" s="32">
        <f t="shared" si="3"/>
        <v>-535.14</v>
      </c>
      <c r="V278" s="32">
        <f>IFERROR(__xludf.DUMMYFUNCTION("$D278 - IFERROR(FILTER($D:$D,$C:$C = $C278, $A:$A = $A278, $B:$B = $B278 - 1),0)"),0.0)</f>
        <v>0</v>
      </c>
      <c r="W278" s="93">
        <f>IFERROR(__xludf.DUMMYFUNCTION("$E278 - IFERROR(FILTER($E:$E,$C:$C = $C278, $A:$A = $A278, $B:$B = $B278 - 1),0)"),0.0)</f>
        <v>0</v>
      </c>
      <c r="X278" s="93"/>
      <c r="Y278" s="93"/>
      <c r="Z278" s="93">
        <v>0.0</v>
      </c>
      <c r="AA278" s="93">
        <v>0.0</v>
      </c>
      <c r="AB278" s="93">
        <v>0.0</v>
      </c>
      <c r="AC278" s="93"/>
      <c r="AD278" s="93">
        <v>0.0</v>
      </c>
      <c r="AE278" s="32">
        <f t="shared" si="2"/>
        <v>0</v>
      </c>
      <c r="AF278" s="93">
        <v>0.0</v>
      </c>
    </row>
    <row r="279">
      <c r="A279" s="86">
        <v>2011.0</v>
      </c>
      <c r="B279" s="87">
        <v>12.0</v>
      </c>
      <c r="C279" s="88" t="s">
        <v>25</v>
      </c>
      <c r="D279" s="32"/>
      <c r="E279" s="93">
        <v>-6703.0</v>
      </c>
      <c r="F279" s="93"/>
      <c r="G279" s="93">
        <v>-505.82</v>
      </c>
      <c r="H279" s="93">
        <v>1425.18</v>
      </c>
      <c r="I279" s="93">
        <v>1172.38</v>
      </c>
      <c r="J279" s="93">
        <v>-5944.98</v>
      </c>
      <c r="K279" s="32"/>
      <c r="L279" s="32"/>
      <c r="M279" s="32"/>
      <c r="N279" s="32"/>
      <c r="O279" s="93">
        <v>75715.0</v>
      </c>
      <c r="P279" s="91">
        <f>IFERROR(__xludf.DUMMYFUNCTION("IFERROR(sum(FILTER($D:$N,$C:$C = $C279,$A:$A &lt; $A279,$B:$B = 12)),0) + sum($D279:$N279)"),75715.0)</f>
        <v>75715</v>
      </c>
      <c r="Q279" s="92">
        <f t="shared" si="1"/>
        <v>0</v>
      </c>
      <c r="R279" s="91">
        <f t="array" ref="R279">IFERROR(INDEX('Fund YTD Target Values'!$1:$1000, MATCH($C279,'Fund YTD Target Values'!$A:$A,0), MATCH($A279,'Fund YTD Target Values'!$1:$1,0)),0)</f>
        <v>88290.32006</v>
      </c>
      <c r="S279" s="91">
        <f>IFERROR(__xludf.DUMMYFUNCTION("IFERROR(sum(FILTER('Fund Investment Data'!$V:$V, 'Fund Investment Data'!$C:$C = $C279, 'Fund Investment Data'!$A:$A &lt; $A279)),0) + IFERROR(sum(FILTER('Fund Investment Data'!$V:$V, 'Fund Investment Data'!$C:$C = $C279, 'Fund Investment Data'!$A:$A = $A279,"&amp;" 'Fund Investment Data'!$B:$B &lt;= $B279)),0)"),71000.0)</f>
        <v>71000</v>
      </c>
      <c r="T279" s="93">
        <v>71000.0</v>
      </c>
      <c r="U279" s="32">
        <f t="shared" si="3"/>
        <v>0</v>
      </c>
      <c r="V279" s="32">
        <f>IFERROR(__xludf.DUMMYFUNCTION("$D279 - IFERROR(FILTER($D:$D,$C:$C = $C279, $A:$A = $A279, $B:$B = $B279 - 1),0)"),0.0)</f>
        <v>0</v>
      </c>
      <c r="W279" s="93">
        <f>IFERROR(__xludf.DUMMYFUNCTION("$E279 - IFERROR(FILTER($E:$E,$C:$C = $C279, $A:$A = $A279, $B:$B = $B279 - 1),0)"),-6703.0)</f>
        <v>-6703</v>
      </c>
      <c r="X279" s="93"/>
      <c r="Y279" s="93"/>
      <c r="Z279" s="93">
        <v>0.0</v>
      </c>
      <c r="AA279" s="93">
        <v>0.0</v>
      </c>
      <c r="AB279" s="93">
        <v>0.0</v>
      </c>
      <c r="AC279" s="93"/>
      <c r="AD279" s="93">
        <v>0.0</v>
      </c>
      <c r="AE279" s="32">
        <f t="shared" si="2"/>
        <v>-6703</v>
      </c>
      <c r="AF279" s="93">
        <v>0.0</v>
      </c>
    </row>
    <row r="280">
      <c r="A280" s="86">
        <v>2011.0</v>
      </c>
      <c r="B280" s="87">
        <v>12.0</v>
      </c>
      <c r="C280" s="88" t="s">
        <v>42</v>
      </c>
      <c r="D280" s="32"/>
      <c r="E280" s="93">
        <v>-4275.0</v>
      </c>
      <c r="F280" s="93"/>
      <c r="G280" s="93">
        <v>-1297.68</v>
      </c>
      <c r="H280" s="93">
        <v>3638.83</v>
      </c>
      <c r="I280" s="93">
        <v>582.82</v>
      </c>
      <c r="J280" s="93">
        <v>-13677.08</v>
      </c>
      <c r="K280" s="32"/>
      <c r="L280" s="32"/>
      <c r="M280" s="32"/>
      <c r="N280" s="32"/>
      <c r="O280" s="93">
        <v>201669.0</v>
      </c>
      <c r="P280" s="91">
        <f>IFERROR(__xludf.DUMMYFUNCTION("IFERROR(sum(FILTER($D:$N,$C:$C = $C280,$A:$A &lt; $A280,$B:$B = 12)),0) + sum($D280:$N280)"),201669.39999999997)</f>
        <v>201669.4</v>
      </c>
      <c r="Q280" s="92">
        <f t="shared" si="1"/>
        <v>-0.4</v>
      </c>
      <c r="R280" s="91">
        <f t="array" ref="R280">IFERROR(INDEX('Fund YTD Target Values'!$1:$1000, MATCH($C280,'Fund YTD Target Values'!$A:$A,0), MATCH($A280,'Fund YTD Target Values'!$1:$1,0)),0)</f>
        <v>205640.3477</v>
      </c>
      <c r="S280" s="91">
        <f>IFERROR(__xludf.DUMMYFUNCTION("IFERROR(sum(FILTER('Fund Investment Data'!$V:$V, 'Fund Investment Data'!$C:$C = $C280, 'Fund Investment Data'!$A:$A &lt; $A280)),0) + IFERROR(sum(FILTER('Fund Investment Data'!$V:$V, 'Fund Investment Data'!$C:$C = $C280, 'Fund Investment Data'!$A:$A = $A280,"&amp;" 'Fund Investment Data'!$B:$B &lt;= $B280)),0)"),184469.0)</f>
        <v>184469</v>
      </c>
      <c r="T280" s="93">
        <v>184469.0</v>
      </c>
      <c r="U280" s="32">
        <f t="shared" si="3"/>
        <v>0</v>
      </c>
      <c r="V280" s="32">
        <f>IFERROR(__xludf.DUMMYFUNCTION("$D280 - IFERROR(FILTER($D:$D,$C:$C = $C280, $A:$A = $A280, $B:$B = $B280 - 1),0)"),0.0)</f>
        <v>0</v>
      </c>
      <c r="W280" s="93">
        <f>IFERROR(__xludf.DUMMYFUNCTION("$E280 - IFERROR(FILTER($E:$E,$C:$C = $C280, $A:$A = $A280, $B:$B = $B280 - 1),0)"),-4275.0)</f>
        <v>-4275</v>
      </c>
      <c r="X280" s="93"/>
      <c r="Y280" s="93"/>
      <c r="Z280" s="93">
        <v>0.0</v>
      </c>
      <c r="AA280" s="93">
        <v>0.0</v>
      </c>
      <c r="AB280" s="93">
        <v>0.0</v>
      </c>
      <c r="AC280" s="93"/>
      <c r="AD280" s="93">
        <v>0.0</v>
      </c>
      <c r="AE280" s="32">
        <f t="shared" si="2"/>
        <v>-4275</v>
      </c>
      <c r="AF280" s="93">
        <v>0.0</v>
      </c>
    </row>
    <row r="281">
      <c r="A281" s="86">
        <v>2011.0</v>
      </c>
      <c r="B281" s="87">
        <v>12.0</v>
      </c>
      <c r="C281" s="88" t="s">
        <v>43</v>
      </c>
      <c r="D281" s="32"/>
      <c r="E281" s="93">
        <v>-10000.0</v>
      </c>
      <c r="F281" s="93"/>
      <c r="G281" s="93">
        <v>-737.93</v>
      </c>
      <c r="H281" s="93">
        <v>2068.86</v>
      </c>
      <c r="I281" s="93">
        <v>1057.85</v>
      </c>
      <c r="J281" s="93">
        <v>-8209.36</v>
      </c>
      <c r="K281" s="32"/>
      <c r="L281" s="32"/>
      <c r="M281" s="32"/>
      <c r="N281" s="32"/>
      <c r="O281" s="93">
        <v>108989.0</v>
      </c>
      <c r="P281" s="91">
        <f>IFERROR(__xludf.DUMMYFUNCTION("IFERROR(sum(FILTER($D:$N,$C:$C = $C281,$A:$A &lt; $A281,$B:$B = 12)),0) + sum($D281:$N281)"),108988.08000000002)</f>
        <v>108988.08</v>
      </c>
      <c r="Q281" s="92">
        <f t="shared" si="1"/>
        <v>0.92</v>
      </c>
      <c r="R281" s="91">
        <f t="array" ref="R281">IFERROR(INDEX('Fund YTD Target Values'!$1:$1000, MATCH($C281,'Fund YTD Target Values'!$A:$A,0), MATCH($A281,'Fund YTD Target Values'!$1:$1,0)),0)</f>
        <v>117069.3272</v>
      </c>
      <c r="S281" s="91">
        <f>IFERROR(__xludf.DUMMYFUNCTION("IFERROR(sum(FILTER('Fund Investment Data'!$V:$V, 'Fund Investment Data'!$C:$C = $C281, 'Fund Investment Data'!$A:$A &lt; $A281)),0) + IFERROR(sum(FILTER('Fund Investment Data'!$V:$V, 'Fund Investment Data'!$C:$C = $C281, 'Fund Investment Data'!$A:$A = $A281,"&amp;" 'Fund Investment Data'!$B:$B &lt;= $B281)),0)"),100000.0)</f>
        <v>100000</v>
      </c>
      <c r="T281" s="93">
        <v>100000.0</v>
      </c>
      <c r="U281" s="32">
        <f t="shared" si="3"/>
        <v>0</v>
      </c>
      <c r="V281" s="32">
        <f>IFERROR(__xludf.DUMMYFUNCTION("$D281 - IFERROR(FILTER($D:$D,$C:$C = $C281, $A:$A = $A281, $B:$B = $B281 - 1),0)"),0.0)</f>
        <v>0</v>
      </c>
      <c r="W281" s="93">
        <f>IFERROR(__xludf.DUMMYFUNCTION("$E281 - IFERROR(FILTER($E:$E,$C:$C = $C281, $A:$A = $A281, $B:$B = $B281 - 1),0)"),-10000.0)</f>
        <v>-10000</v>
      </c>
      <c r="X281" s="93"/>
      <c r="Y281" s="93"/>
      <c r="Z281" s="93">
        <v>0.0</v>
      </c>
      <c r="AA281" s="93">
        <v>0.0</v>
      </c>
      <c r="AB281" s="93">
        <v>0.0</v>
      </c>
      <c r="AC281" s="93"/>
      <c r="AD281" s="93">
        <v>0.0</v>
      </c>
      <c r="AE281" s="32">
        <f t="shared" si="2"/>
        <v>-10000</v>
      </c>
      <c r="AF281" s="93">
        <v>0.0</v>
      </c>
    </row>
    <row r="282">
      <c r="A282" s="86">
        <v>2011.0</v>
      </c>
      <c r="B282" s="87">
        <v>12.0</v>
      </c>
      <c r="C282" s="88" t="s">
        <v>33</v>
      </c>
      <c r="D282" s="32"/>
      <c r="E282" s="93">
        <v>-30000.0</v>
      </c>
      <c r="F282" s="93"/>
      <c r="G282" s="93">
        <v>-2524.93</v>
      </c>
      <c r="H282" s="93">
        <v>7107.0</v>
      </c>
      <c r="I282" s="93">
        <v>4389.27</v>
      </c>
      <c r="J282" s="93">
        <v>-29503.34</v>
      </c>
      <c r="K282" s="32"/>
      <c r="L282" s="32"/>
      <c r="M282" s="32"/>
      <c r="N282" s="32"/>
      <c r="O282" s="93">
        <v>376536.0</v>
      </c>
      <c r="P282" s="91">
        <f>IFERROR(__xludf.DUMMYFUNCTION("IFERROR(sum(FILTER($D:$N,$C:$C = $C282,$A:$A &lt; $A282,$B:$B = 12)),0) + sum($D282:$N282)"),376536.61999999976)</f>
        <v>376536.62</v>
      </c>
      <c r="Q282" s="92">
        <f t="shared" si="1"/>
        <v>-0.6199999998</v>
      </c>
      <c r="R282" s="91">
        <f t="array" ref="R282">IFERROR(INDEX('Fund YTD Target Values'!$1:$1000, MATCH($C282,'Fund YTD Target Values'!$A:$A,0), MATCH($A282,'Fund YTD Target Values'!$1:$1,0)),0)</f>
        <v>459445.5754</v>
      </c>
      <c r="S282" s="91">
        <f>IFERROR(__xludf.DUMMYFUNCTION("IFERROR(sum(FILTER('Fund Investment Data'!$V:$V, 'Fund Investment Data'!$C:$C = $C282, 'Fund Investment Data'!$A:$A &lt; $A282)),0) + IFERROR(sum(FILTER('Fund Investment Data'!$V:$V, 'Fund Investment Data'!$C:$C = $C282, 'Fund Investment Data'!$A:$A = $A282,"&amp;" 'Fund Investment Data'!$B:$B &lt;= $B282)),0)"),325871.6399999999)</f>
        <v>325871.64</v>
      </c>
      <c r="T282" s="93">
        <v>326032.0</v>
      </c>
      <c r="U282" s="32">
        <f t="shared" si="3"/>
        <v>-160.36</v>
      </c>
      <c r="V282" s="32">
        <f>IFERROR(__xludf.DUMMYFUNCTION("$D282 - IFERROR(FILTER($D:$D,$C:$C = $C282, $A:$A = $A282, $B:$B = $B282 - 1),0)"),0.0)</f>
        <v>0</v>
      </c>
      <c r="W282" s="93">
        <f>IFERROR(__xludf.DUMMYFUNCTION("$E282 - IFERROR(FILTER($E:$E,$C:$C = $C282, $A:$A = $A282, $B:$B = $B282 - 1),0)"),-30000.0)</f>
        <v>-30000</v>
      </c>
      <c r="X282" s="93"/>
      <c r="Y282" s="93"/>
      <c r="Z282" s="93">
        <v>0.0</v>
      </c>
      <c r="AA282" s="93">
        <v>0.0</v>
      </c>
      <c r="AB282" s="93">
        <v>0.0</v>
      </c>
      <c r="AC282" s="93"/>
      <c r="AD282" s="93">
        <v>0.0</v>
      </c>
      <c r="AE282" s="32">
        <f t="shared" si="2"/>
        <v>-30000</v>
      </c>
      <c r="AF282" s="93">
        <v>0.0</v>
      </c>
    </row>
    <row r="283">
      <c r="A283" s="86">
        <v>2011.0</v>
      </c>
      <c r="B283" s="87">
        <v>12.0</v>
      </c>
      <c r="C283" s="88" t="s">
        <v>53</v>
      </c>
      <c r="D283" s="93">
        <v>500000.0</v>
      </c>
      <c r="E283" s="32"/>
      <c r="F283" s="93">
        <v>5000.0</v>
      </c>
      <c r="G283" s="93">
        <v>-5786.67</v>
      </c>
      <c r="H283" s="93">
        <v>15004.84</v>
      </c>
      <c r="I283" s="32"/>
      <c r="J283" s="93">
        <v>-80231.8</v>
      </c>
      <c r="K283" s="32"/>
      <c r="L283" s="32"/>
      <c r="M283" s="32"/>
      <c r="N283" s="32"/>
      <c r="O283" s="93">
        <v>984318.0</v>
      </c>
      <c r="P283" s="91">
        <f>IFERROR(__xludf.DUMMYFUNCTION("IFERROR(sum(FILTER($D:$N,$C:$C = $C283,$A:$A &lt; $A283,$B:$B = 12)),0) + sum($D283:$N283)"),984317.56)</f>
        <v>984317.56</v>
      </c>
      <c r="Q283" s="92">
        <f t="shared" si="1"/>
        <v>0.4399999999</v>
      </c>
      <c r="R283" s="91">
        <f t="array" ref="R283">IFERROR(INDEX('Fund YTD Target Values'!$1:$1000, MATCH($C283,'Fund YTD Target Values'!$A:$A,0), MATCH($A283,'Fund YTD Target Values'!$1:$1,0)),0)</f>
        <v>1026538.147</v>
      </c>
      <c r="S283" s="91">
        <f>IFERROR(__xludf.DUMMYFUNCTION("IFERROR(sum(FILTER('Fund Investment Data'!$V:$V, 'Fund Investment Data'!$C:$C = $C283, 'Fund Investment Data'!$A:$A &lt; $A283)),0) + IFERROR(sum(FILTER('Fund Investment Data'!$V:$V, 'Fund Investment Data'!$C:$C = $C283, 'Fund Investment Data'!$A:$A = $A283,"&amp;" 'Fund Investment Data'!$B:$B &lt;= $B283)),0)"),1005500.0)</f>
        <v>1005500</v>
      </c>
      <c r="T283" s="93">
        <v>1005500.0</v>
      </c>
      <c r="U283" s="32">
        <f t="shared" si="3"/>
        <v>0</v>
      </c>
      <c r="V283" s="32">
        <f>IFERROR(__xludf.DUMMYFUNCTION("$D283 - IFERROR(FILTER($D:$D,$C:$C = $C283, $A:$A = $A283, $B:$B = $B283 - 1),0)"),500000.0)</f>
        <v>500000</v>
      </c>
      <c r="W283" s="93">
        <f>IFERROR(__xludf.DUMMYFUNCTION("$E283 - IFERROR(FILTER($E:$E,$C:$C = $C283, $A:$A = $A283, $B:$B = $B283 - 1),0)"),0.0)</f>
        <v>0</v>
      </c>
      <c r="X283" s="93"/>
      <c r="Y283" s="93"/>
      <c r="Z283" s="93">
        <v>0.0</v>
      </c>
      <c r="AA283" s="93">
        <v>0.0</v>
      </c>
      <c r="AB283" s="93">
        <v>0.0</v>
      </c>
      <c r="AC283" s="93"/>
      <c r="AD283" s="93">
        <v>0.0</v>
      </c>
      <c r="AE283" s="32">
        <f t="shared" si="2"/>
        <v>0</v>
      </c>
      <c r="AF283" s="93">
        <v>0.0</v>
      </c>
    </row>
    <row r="284">
      <c r="A284" s="86">
        <v>2011.0</v>
      </c>
      <c r="B284" s="87">
        <v>12.0</v>
      </c>
      <c r="C284" s="88" t="s">
        <v>54</v>
      </c>
      <c r="D284" s="93">
        <v>450.0</v>
      </c>
      <c r="E284" s="32"/>
      <c r="F284" s="93"/>
      <c r="G284" s="93">
        <v>-764.11</v>
      </c>
      <c r="H284" s="93">
        <v>2121.0</v>
      </c>
      <c r="I284" s="32"/>
      <c r="J284" s="93">
        <v>-7815.1</v>
      </c>
      <c r="K284" s="32"/>
      <c r="L284" s="32"/>
      <c r="M284" s="32"/>
      <c r="N284" s="32"/>
      <c r="O284" s="93">
        <v>120221.0</v>
      </c>
      <c r="P284" s="91">
        <f>IFERROR(__xludf.DUMMYFUNCTION("IFERROR(sum(FILTER($D:$N,$C:$C = $C284,$A:$A &lt; $A284,$B:$B = 12)),0) + sum($D284:$N284)"),120221.02999999996)</f>
        <v>120221.03</v>
      </c>
      <c r="Q284" s="92">
        <f t="shared" si="1"/>
        <v>-0.02999999996</v>
      </c>
      <c r="R284" s="91">
        <f t="array" ref="R284">IFERROR(INDEX('Fund YTD Target Values'!$1:$1000, MATCH($C284,'Fund YTD Target Values'!$A:$A,0), MATCH($A284,'Fund YTD Target Values'!$1:$1,0)),0)</f>
        <v>122846.5156</v>
      </c>
      <c r="S284" s="91">
        <f>IFERROR(__xludf.DUMMYFUNCTION("IFERROR(sum(FILTER('Fund Investment Data'!$V:$V, 'Fund Investment Data'!$C:$C = $C284, 'Fund Investment Data'!$A:$A &lt; $A284)),0) + IFERROR(sum(FILTER('Fund Investment Data'!$V:$V, 'Fund Investment Data'!$C:$C = $C284, 'Fund Investment Data'!$A:$A = $A284,"&amp;" 'Fund Investment Data'!$B:$B &lt;= $B284)),0)"),95290.10999999999)</f>
        <v>95290.11</v>
      </c>
      <c r="T284" s="93">
        <v>91974.0</v>
      </c>
      <c r="U284" s="32">
        <f t="shared" si="3"/>
        <v>3316.11</v>
      </c>
      <c r="V284" s="32">
        <f>IFERROR(__xludf.DUMMYFUNCTION("$D284 - IFERROR(FILTER($D:$D,$C:$C = $C284, $A:$A = $A284, $B:$B = $B284 - 1),0)"),450.0)</f>
        <v>450</v>
      </c>
      <c r="W284" s="93">
        <f>IFERROR(__xludf.DUMMYFUNCTION("$E284 - IFERROR(FILTER($E:$E,$C:$C = $C284, $A:$A = $A284, $B:$B = $B284 - 1),0)"),0.0)</f>
        <v>0</v>
      </c>
      <c r="X284" s="93"/>
      <c r="Y284" s="93"/>
      <c r="Z284" s="93">
        <v>0.0</v>
      </c>
      <c r="AA284" s="93">
        <v>0.0</v>
      </c>
      <c r="AB284" s="93">
        <v>0.0</v>
      </c>
      <c r="AC284" s="93"/>
      <c r="AD284" s="93">
        <v>0.0</v>
      </c>
      <c r="AE284" s="32">
        <f t="shared" si="2"/>
        <v>0</v>
      </c>
      <c r="AF284" s="93">
        <v>0.0</v>
      </c>
    </row>
    <row r="285">
      <c r="A285" s="86">
        <v>2011.0</v>
      </c>
      <c r="B285" s="87">
        <v>12.0</v>
      </c>
      <c r="C285" s="88" t="s">
        <v>44</v>
      </c>
      <c r="D285" s="32"/>
      <c r="E285" s="93">
        <v>-23000.0</v>
      </c>
      <c r="F285" s="93"/>
      <c r="G285" s="93">
        <v>-1878.93</v>
      </c>
      <c r="H285" s="93">
        <v>5270.19</v>
      </c>
      <c r="I285" s="93">
        <v>2078.49</v>
      </c>
      <c r="J285" s="93">
        <v>-21130.22</v>
      </c>
      <c r="K285" s="32"/>
      <c r="L285" s="32"/>
      <c r="M285" s="32"/>
      <c r="N285" s="32"/>
      <c r="O285" s="93">
        <v>274126.0</v>
      </c>
      <c r="P285" s="91">
        <f>IFERROR(__xludf.DUMMYFUNCTION("IFERROR(sum(FILTER($D:$N,$C:$C = $C285,$A:$A &lt; $A285,$B:$B = 12)),0) + sum($D285:$N285)"),274126.77)</f>
        <v>274126.77</v>
      </c>
      <c r="Q285" s="92">
        <f t="shared" si="1"/>
        <v>-0.77</v>
      </c>
      <c r="R285" s="91">
        <f t="array" ref="R285">IFERROR(INDEX('Fund YTD Target Values'!$1:$1000, MATCH($C285,'Fund YTD Target Values'!$A:$A,0), MATCH($A285,'Fund YTD Target Values'!$1:$1,0)),0)</f>
        <v>288054.7749</v>
      </c>
      <c r="S285" s="91">
        <f>IFERROR(__xludf.DUMMYFUNCTION("IFERROR(sum(FILTER('Fund Investment Data'!$V:$V, 'Fund Investment Data'!$C:$C = $C285, 'Fund Investment Data'!$A:$A &lt; $A285)),0) + IFERROR(sum(FILTER('Fund Investment Data'!$V:$V, 'Fund Investment Data'!$C:$C = $C285, 'Fund Investment Data'!$A:$A = $A285,"&amp;" 'Fund Investment Data'!$B:$B &lt;= $B285)),0)"),250000.0)</f>
        <v>250000</v>
      </c>
      <c r="T285" s="93">
        <v>250000.0</v>
      </c>
      <c r="U285" s="32">
        <f t="shared" si="3"/>
        <v>0</v>
      </c>
      <c r="V285" s="32">
        <f>IFERROR(__xludf.DUMMYFUNCTION("$D285 - IFERROR(FILTER($D:$D,$C:$C = $C285, $A:$A = $A285, $B:$B = $B285 - 1),0)"),0.0)</f>
        <v>0</v>
      </c>
      <c r="W285" s="93">
        <f>IFERROR(__xludf.DUMMYFUNCTION("$E285 - IFERROR(FILTER($E:$E,$C:$C = $C285, $A:$A = $A285, $B:$B = $B285 - 1),0)"),-23000.0)</f>
        <v>-23000</v>
      </c>
      <c r="X285" s="93"/>
      <c r="Y285" s="93"/>
      <c r="Z285" s="93">
        <v>0.0</v>
      </c>
      <c r="AA285" s="93">
        <v>0.0</v>
      </c>
      <c r="AB285" s="93">
        <v>0.0</v>
      </c>
      <c r="AC285" s="93"/>
      <c r="AD285" s="93">
        <v>0.0</v>
      </c>
      <c r="AE285" s="32">
        <f t="shared" si="2"/>
        <v>-23000</v>
      </c>
      <c r="AF285" s="93">
        <v>0.0</v>
      </c>
    </row>
    <row r="286">
      <c r="A286" s="86">
        <v>2011.0</v>
      </c>
      <c r="B286" s="87">
        <v>12.0</v>
      </c>
      <c r="C286" s="88" t="s">
        <v>45</v>
      </c>
      <c r="D286" s="32"/>
      <c r="E286" s="32"/>
      <c r="F286" s="93"/>
      <c r="G286" s="93">
        <v>-721.16</v>
      </c>
      <c r="H286" s="93">
        <v>2022.05</v>
      </c>
      <c r="I286" s="32"/>
      <c r="J286" s="93">
        <v>-7463.56</v>
      </c>
      <c r="K286" s="32"/>
      <c r="L286" s="32"/>
      <c r="M286" s="32"/>
      <c r="N286" s="32"/>
      <c r="O286" s="93">
        <v>113171.0</v>
      </c>
      <c r="P286" s="91">
        <f>IFERROR(__xludf.DUMMYFUNCTION("IFERROR(sum(FILTER($D:$N,$C:$C = $C286,$A:$A &lt; $A286,$B:$B = 12)),0) + sum($D286:$N286)"),113171.87)</f>
        <v>113171.87</v>
      </c>
      <c r="Q286" s="92">
        <f t="shared" si="1"/>
        <v>-0.87</v>
      </c>
      <c r="R286" s="91">
        <f t="array" ref="R286">IFERROR(INDEX('Fund YTD Target Values'!$1:$1000, MATCH($C286,'Fund YTD Target Values'!$A:$A,0), MATCH($A286,'Fund YTD Target Values'!$1:$1,0)),0)</f>
        <v>108600.2333</v>
      </c>
      <c r="S286" s="91">
        <f>IFERROR(__xludf.DUMMYFUNCTION("IFERROR(sum(FILTER('Fund Investment Data'!$V:$V, 'Fund Investment Data'!$C:$C = $C286, 'Fund Investment Data'!$A:$A &lt; $A286)),0) + IFERROR(sum(FILTER('Fund Investment Data'!$V:$V, 'Fund Investment Data'!$C:$C = $C286, 'Fund Investment Data'!$A:$A = $A286,"&amp;" 'Fund Investment Data'!$B:$B &lt;= $B286)),0)"),100000.0)</f>
        <v>100000</v>
      </c>
      <c r="T286" s="93">
        <v>100000.0</v>
      </c>
      <c r="U286" s="32">
        <f t="shared" si="3"/>
        <v>0</v>
      </c>
      <c r="V286" s="32">
        <f>IFERROR(__xludf.DUMMYFUNCTION("$D286 - IFERROR(FILTER($D:$D,$C:$C = $C286, $A:$A = $A286, $B:$B = $B286 - 1),0)"),0.0)</f>
        <v>0</v>
      </c>
      <c r="W286" s="93">
        <f>IFERROR(__xludf.DUMMYFUNCTION("$E286 - IFERROR(FILTER($E:$E,$C:$C = $C286, $A:$A = $A286, $B:$B = $B286 - 1),0)"),0.0)</f>
        <v>0</v>
      </c>
      <c r="X286" s="93"/>
      <c r="Y286" s="93"/>
      <c r="Z286" s="93">
        <v>0.0</v>
      </c>
      <c r="AA286" s="93">
        <v>0.0</v>
      </c>
      <c r="AB286" s="93">
        <v>0.0</v>
      </c>
      <c r="AC286" s="93"/>
      <c r="AD286" s="93">
        <v>0.0</v>
      </c>
      <c r="AE286" s="32">
        <f t="shared" si="2"/>
        <v>0</v>
      </c>
      <c r="AF286" s="93">
        <v>0.0</v>
      </c>
    </row>
    <row r="287">
      <c r="A287" s="86">
        <v>2011.0</v>
      </c>
      <c r="B287" s="87">
        <v>12.0</v>
      </c>
      <c r="C287" s="88" t="s">
        <v>35</v>
      </c>
      <c r="D287" s="32"/>
      <c r="E287" s="93">
        <v>-56400.0</v>
      </c>
      <c r="F287" s="93"/>
      <c r="G287" s="93">
        <v>-8306.03</v>
      </c>
      <c r="H287" s="93">
        <v>23407.4</v>
      </c>
      <c r="I287" s="93">
        <v>7269.79</v>
      </c>
      <c r="J287" s="93">
        <v>-92346.45</v>
      </c>
      <c r="K287" s="32"/>
      <c r="L287" s="32"/>
      <c r="M287" s="32"/>
      <c r="N287" s="32"/>
      <c r="O287" s="93">
        <v>1264482.0</v>
      </c>
      <c r="P287" s="91">
        <f>IFERROR(__xludf.DUMMYFUNCTION("IFERROR(sum(FILTER($D:$N,$C:$C = $C287,$A:$A &lt; $A287,$B:$B = 12)),0) + sum($D287:$N287)"),1264480.3600000003)</f>
        <v>1264480.36</v>
      </c>
      <c r="Q287" s="92">
        <f t="shared" si="1"/>
        <v>1.64</v>
      </c>
      <c r="R287" s="91">
        <f t="array" ref="R287">IFERROR(INDEX('Fund YTD Target Values'!$1:$1000, MATCH($C287,'Fund YTD Target Values'!$A:$A,0), MATCH($A287,'Fund YTD Target Values'!$1:$1,0)),0)</f>
        <v>1395099.859</v>
      </c>
      <c r="S287" s="91">
        <f>IFERROR(__xludf.DUMMYFUNCTION("IFERROR(sum(FILTER('Fund Investment Data'!$V:$V, 'Fund Investment Data'!$C:$C = $C287, 'Fund Investment Data'!$A:$A &lt; $A287)),0) + IFERROR(sum(FILTER('Fund Investment Data'!$V:$V, 'Fund Investment Data'!$C:$C = $C287, 'Fund Investment Data'!$A:$A = $A287,"&amp;" 'Fund Investment Data'!$B:$B &lt;= $B287)),0)"),1066125.0)</f>
        <v>1066125</v>
      </c>
      <c r="T287" s="93">
        <v>1051125.0</v>
      </c>
      <c r="U287" s="32">
        <f t="shared" si="3"/>
        <v>15000</v>
      </c>
      <c r="V287" s="32">
        <f>IFERROR(__xludf.DUMMYFUNCTION("$D287 - IFERROR(FILTER($D:$D,$C:$C = $C287, $A:$A = $A287, $B:$B = $B287 - 1),0)"),0.0)</f>
        <v>0</v>
      </c>
      <c r="W287" s="93">
        <f>IFERROR(__xludf.DUMMYFUNCTION("$E287 - IFERROR(FILTER($E:$E,$C:$C = $C287, $A:$A = $A287, $B:$B = $B287 - 1),0)"),-56400.0)</f>
        <v>-56400</v>
      </c>
      <c r="X287" s="93"/>
      <c r="Y287" s="93"/>
      <c r="Z287" s="93">
        <v>0.0</v>
      </c>
      <c r="AA287" s="93">
        <v>0.0</v>
      </c>
      <c r="AB287" s="93">
        <v>0.0</v>
      </c>
      <c r="AC287" s="93"/>
      <c r="AD287" s="93">
        <v>0.0</v>
      </c>
      <c r="AE287" s="32">
        <f t="shared" si="2"/>
        <v>-56400</v>
      </c>
      <c r="AF287" s="93">
        <v>0.0</v>
      </c>
    </row>
    <row r="288">
      <c r="A288" s="86">
        <v>2012.0</v>
      </c>
      <c r="B288" s="87">
        <v>12.0</v>
      </c>
      <c r="C288" s="88" t="s">
        <v>26</v>
      </c>
      <c r="D288" s="32"/>
      <c r="E288" s="93">
        <v>-8000.0</v>
      </c>
      <c r="F288" s="93"/>
      <c r="G288" s="93">
        <v>-1600.66</v>
      </c>
      <c r="H288" s="93">
        <v>5412.8</v>
      </c>
      <c r="I288" s="32"/>
      <c r="J288" s="93">
        <v>26420.69</v>
      </c>
      <c r="K288" s="32"/>
      <c r="L288" s="32"/>
      <c r="M288" s="32"/>
      <c r="N288" s="32"/>
      <c r="O288" s="93">
        <v>273006.0</v>
      </c>
      <c r="P288" s="91">
        <f>IFERROR(__xludf.DUMMYFUNCTION("IFERROR(sum(FILTER($D:$N,$C:$C = $C288,$A:$A &lt; $A288,$B:$B = 12)),0) + sum($D288:$N288)"),273005.19)</f>
        <v>273005.19</v>
      </c>
      <c r="Q288" s="92">
        <f t="shared" si="1"/>
        <v>0.81</v>
      </c>
      <c r="R288" s="91">
        <f t="array" ref="R288">IFERROR(INDEX('Fund YTD Target Values'!$1:$1000, MATCH($C288,'Fund YTD Target Values'!$A:$A,0), MATCH($A288,'Fund YTD Target Values'!$1:$1,0)),0)</f>
        <v>288779.5524</v>
      </c>
      <c r="S288" s="91">
        <f>IFERROR(__xludf.DUMMYFUNCTION("IFERROR(sum(FILTER('Fund Investment Data'!$V:$V, 'Fund Investment Data'!$C:$C = $C288, 'Fund Investment Data'!$A:$A &lt; $A288)),0) + IFERROR(sum(FILTER('Fund Investment Data'!$V:$V, 'Fund Investment Data'!$C:$C = $C288, 'Fund Investment Data'!$A:$A = $A288,"&amp;" 'Fund Investment Data'!$B:$B &lt;= $B288)),0)"),250000.0)</f>
        <v>250000</v>
      </c>
      <c r="T288" s="93">
        <v>250000.0</v>
      </c>
      <c r="U288" s="32">
        <f t="shared" si="3"/>
        <v>0</v>
      </c>
      <c r="V288" s="32">
        <f>IFERROR(__xludf.DUMMYFUNCTION("$D288 - IFERROR(FILTER($D:$D,$C:$C = $C288, $A:$A = $A288, $B:$B = $B288 - 1),0)"),0.0)</f>
        <v>0</v>
      </c>
      <c r="W288" s="93">
        <f>IFERROR(__xludf.DUMMYFUNCTION("$E288 - IFERROR(FILTER($E:$E,$C:$C = $C288, $A:$A = $A288, $B:$B = $B288 - 1),0)"),-8000.0)</f>
        <v>-8000</v>
      </c>
      <c r="X288" s="93"/>
      <c r="Y288" s="93"/>
      <c r="Z288" s="93">
        <v>0.0</v>
      </c>
      <c r="AA288" s="93">
        <v>0.0</v>
      </c>
      <c r="AB288" s="93">
        <v>0.0</v>
      </c>
      <c r="AC288" s="93"/>
      <c r="AD288" s="93">
        <v>0.0</v>
      </c>
      <c r="AE288" s="32">
        <f t="shared" si="2"/>
        <v>-8000</v>
      </c>
      <c r="AF288" s="93">
        <v>0.0</v>
      </c>
    </row>
    <row r="289">
      <c r="A289" s="86">
        <v>2012.0</v>
      </c>
      <c r="B289" s="87">
        <v>12.0</v>
      </c>
      <c r="C289" s="88" t="s">
        <v>27</v>
      </c>
      <c r="D289" s="93">
        <v>250.0</v>
      </c>
      <c r="E289" s="93">
        <v>-15000.0</v>
      </c>
      <c r="F289" s="93"/>
      <c r="G289" s="93">
        <v>-1822.47</v>
      </c>
      <c r="H289" s="93">
        <v>6188.24</v>
      </c>
      <c r="I289" s="93">
        <v>1211.77</v>
      </c>
      <c r="J289" s="93">
        <v>29044.04</v>
      </c>
      <c r="K289" s="32"/>
      <c r="L289" s="32"/>
      <c r="M289" s="32"/>
      <c r="N289" s="32"/>
      <c r="O289" s="93">
        <v>306306.0</v>
      </c>
      <c r="P289" s="91">
        <f>IFERROR(__xludf.DUMMYFUNCTION("IFERROR(sum(FILTER($D:$N,$C:$C = $C289,$A:$A &lt; $A289,$B:$B = 12)),0) + sum($D289:$N289)"),306307.4600000001)</f>
        <v>306307.46</v>
      </c>
      <c r="Q289" s="92">
        <f t="shared" si="1"/>
        <v>-1.46</v>
      </c>
      <c r="R289" s="91">
        <f t="array" ref="R289">IFERROR(INDEX('Fund YTD Target Values'!$1:$1000, MATCH($C289,'Fund YTD Target Values'!$A:$A,0), MATCH($A289,'Fund YTD Target Values'!$1:$1,0)),0)</f>
        <v>359592.1165</v>
      </c>
      <c r="S289" s="91">
        <f>IFERROR(__xludf.DUMMYFUNCTION("IFERROR(sum(FILTER('Fund Investment Data'!$V:$V, 'Fund Investment Data'!$C:$C = $C289, 'Fund Investment Data'!$A:$A &lt; $A289)),0) + IFERROR(sum(FILTER('Fund Investment Data'!$V:$V, 'Fund Investment Data'!$C:$C = $C289, 'Fund Investment Data'!$A:$A = $A289,"&amp;" 'Fund Investment Data'!$B:$B &lt;= $B289)),0)"),276213.69999999995)</f>
        <v>276213.7</v>
      </c>
      <c r="T289" s="93">
        <v>272248.0</v>
      </c>
      <c r="U289" s="32">
        <f t="shared" si="3"/>
        <v>3965.7</v>
      </c>
      <c r="V289" s="32">
        <f>IFERROR(__xludf.DUMMYFUNCTION("$D289 - IFERROR(FILTER($D:$D,$C:$C = $C289, $A:$A = $A289, $B:$B = $B289 - 1),0)"),250.0)</f>
        <v>250</v>
      </c>
      <c r="W289" s="93">
        <f>IFERROR(__xludf.DUMMYFUNCTION("$E289 - IFERROR(FILTER($E:$E,$C:$C = $C289, $A:$A = $A289, $B:$B = $B289 - 1),0)"),-15000.0)</f>
        <v>-15000</v>
      </c>
      <c r="X289" s="93"/>
      <c r="Y289" s="93"/>
      <c r="Z289" s="93">
        <v>0.0</v>
      </c>
      <c r="AA289" s="93">
        <v>0.0</v>
      </c>
      <c r="AB289" s="93">
        <v>0.0</v>
      </c>
      <c r="AC289" s="93"/>
      <c r="AD289" s="93">
        <v>0.0</v>
      </c>
      <c r="AE289" s="32">
        <f t="shared" si="2"/>
        <v>-15000</v>
      </c>
      <c r="AF289" s="93">
        <v>0.0</v>
      </c>
    </row>
    <row r="290">
      <c r="A290" s="86">
        <v>2012.0</v>
      </c>
      <c r="B290" s="87">
        <v>12.0</v>
      </c>
      <c r="C290" s="88" t="s">
        <v>28</v>
      </c>
      <c r="D290" s="32"/>
      <c r="E290" s="93">
        <v>-210000.0</v>
      </c>
      <c r="F290" s="93"/>
      <c r="G290" s="93">
        <v>-20239.97</v>
      </c>
      <c r="H290" s="93">
        <v>69066.78</v>
      </c>
      <c r="I290" s="93">
        <v>11678.71</v>
      </c>
      <c r="J290" s="93">
        <v>325658.15</v>
      </c>
      <c r="K290" s="32"/>
      <c r="L290" s="32"/>
      <c r="M290" s="32"/>
      <c r="N290" s="32"/>
      <c r="O290" s="93">
        <v>3368710.0</v>
      </c>
      <c r="P290" s="91">
        <f>IFERROR(__xludf.DUMMYFUNCTION("IFERROR(sum(FILTER($D:$N,$C:$C = $C290,$A:$A &lt; $A290,$B:$B = 12)),0) + sum($D290:$N290)"),3368710.2700000005)</f>
        <v>3368710.27</v>
      </c>
      <c r="Q290" s="92">
        <f t="shared" si="1"/>
        <v>-0.2700000005</v>
      </c>
      <c r="R290" s="91">
        <f t="array" ref="R290">IFERROR(INDEX('Fund YTD Target Values'!$1:$1000, MATCH($C290,'Fund YTD Target Values'!$A:$A,0), MATCH($A290,'Fund YTD Target Values'!$1:$1,0)),0)</f>
        <v>3511359.074</v>
      </c>
      <c r="S290" s="91">
        <f>IFERROR(__xludf.DUMMYFUNCTION("IFERROR(sum(FILTER('Fund Investment Data'!$V:$V, 'Fund Investment Data'!$C:$C = $C290, 'Fund Investment Data'!$A:$A &lt; $A290)),0) + IFERROR(sum(FILTER('Fund Investment Data'!$V:$V, 'Fund Investment Data'!$C:$C = $C290, 'Fund Investment Data'!$A:$A = $A290,"&amp;" 'Fund Investment Data'!$B:$B &lt;= $B290)),0)"),2960091.25)</f>
        <v>2960091.25</v>
      </c>
      <c r="T290" s="93">
        <v>3009816.0</v>
      </c>
      <c r="U290" s="32">
        <f t="shared" si="3"/>
        <v>-49724.75</v>
      </c>
      <c r="V290" s="32">
        <f>IFERROR(__xludf.DUMMYFUNCTION("$D290 - IFERROR(FILTER($D:$D,$C:$C = $C290, $A:$A = $A290, $B:$B = $B290 - 1),0)"),0.0)</f>
        <v>0</v>
      </c>
      <c r="W290" s="93">
        <f>IFERROR(__xludf.DUMMYFUNCTION("$E290 - IFERROR(FILTER($E:$E,$C:$C = $C290, $A:$A = $A290, $B:$B = $B290 - 1),0)"),-210000.0)</f>
        <v>-210000</v>
      </c>
      <c r="X290" s="93"/>
      <c r="Y290" s="93"/>
      <c r="Z290" s="93">
        <v>0.0</v>
      </c>
      <c r="AA290" s="93">
        <v>0.0</v>
      </c>
      <c r="AB290" s="93">
        <v>0.0</v>
      </c>
      <c r="AC290" s="93"/>
      <c r="AD290" s="93">
        <v>0.0</v>
      </c>
      <c r="AE290" s="32">
        <f t="shared" si="2"/>
        <v>-210000</v>
      </c>
      <c r="AF290" s="93">
        <v>0.0</v>
      </c>
    </row>
    <row r="291">
      <c r="A291" s="86">
        <v>2012.0</v>
      </c>
      <c r="B291" s="87">
        <v>12.0</v>
      </c>
      <c r="C291" s="88" t="s">
        <v>46</v>
      </c>
      <c r="D291" s="32"/>
      <c r="E291" s="93">
        <v>-25000.0</v>
      </c>
      <c r="F291" s="93"/>
      <c r="G291" s="93">
        <v>-2529.31</v>
      </c>
      <c r="H291" s="93">
        <v>8560.25</v>
      </c>
      <c r="I291" s="93">
        <v>3236.81</v>
      </c>
      <c r="J291" s="93">
        <v>38525.81</v>
      </c>
      <c r="K291" s="32"/>
      <c r="L291" s="32"/>
      <c r="M291" s="32"/>
      <c r="N291" s="32"/>
      <c r="O291" s="93">
        <v>420814.0</v>
      </c>
      <c r="P291" s="91">
        <f>IFERROR(__xludf.DUMMYFUNCTION("IFERROR(sum(FILTER($D:$N,$C:$C = $C291,$A:$A &lt; $A291,$B:$B = 12)),0) + sum($D291:$N291)"),420813.81)</f>
        <v>420813.81</v>
      </c>
      <c r="Q291" s="92">
        <f t="shared" si="1"/>
        <v>0.19</v>
      </c>
      <c r="R291" s="91">
        <f t="array" ref="R291">IFERROR(INDEX('Fund YTD Target Values'!$1:$1000, MATCH($C291,'Fund YTD Target Values'!$A:$A,0), MATCH($A291,'Fund YTD Target Values'!$1:$1,0)),0)</f>
        <v>417421.05</v>
      </c>
      <c r="S291" s="91">
        <f>IFERROR(__xludf.DUMMYFUNCTION("IFERROR(sum(FILTER('Fund Investment Data'!$V:$V, 'Fund Investment Data'!$C:$C = $C291, 'Fund Investment Data'!$A:$A &lt; $A291)),0) + IFERROR(sum(FILTER('Fund Investment Data'!$V:$V, 'Fund Investment Data'!$C:$C = $C291, 'Fund Investment Data'!$A:$A = $A291,"&amp;" 'Fund Investment Data'!$B:$B &lt;= $B291)),0)"),366400.0)</f>
        <v>366400</v>
      </c>
      <c r="T291" s="93">
        <v>366400.0</v>
      </c>
      <c r="U291" s="32">
        <f t="shared" si="3"/>
        <v>0</v>
      </c>
      <c r="V291" s="32">
        <f>IFERROR(__xludf.DUMMYFUNCTION("$D291 - IFERROR(FILTER($D:$D,$C:$C = $C291, $A:$A = $A291, $B:$B = $B291 - 1),0)"),0.0)</f>
        <v>0</v>
      </c>
      <c r="W291" s="93">
        <f>IFERROR(__xludf.DUMMYFUNCTION("$E291 - IFERROR(FILTER($E:$E,$C:$C = $C291, $A:$A = $A291, $B:$B = $B291 - 1),0)"),-25000.0)</f>
        <v>-25000</v>
      </c>
      <c r="X291" s="93"/>
      <c r="Y291" s="93"/>
      <c r="Z291" s="93">
        <v>0.0</v>
      </c>
      <c r="AA291" s="93">
        <v>0.0</v>
      </c>
      <c r="AB291" s="93">
        <v>0.0</v>
      </c>
      <c r="AC291" s="93"/>
      <c r="AD291" s="93">
        <v>0.0</v>
      </c>
      <c r="AE291" s="32">
        <f t="shared" si="2"/>
        <v>-25000</v>
      </c>
      <c r="AF291" s="93">
        <v>0.0</v>
      </c>
    </row>
    <row r="292">
      <c r="A292" s="86">
        <v>2012.0</v>
      </c>
      <c r="B292" s="87">
        <v>12.0</v>
      </c>
      <c r="C292" s="88" t="s">
        <v>36</v>
      </c>
      <c r="D292" s="32"/>
      <c r="E292" s="93">
        <v>-32000.0</v>
      </c>
      <c r="F292" s="93"/>
      <c r="G292" s="93">
        <v>-2750.28</v>
      </c>
      <c r="H292" s="93">
        <v>9300.6</v>
      </c>
      <c r="I292" s="93">
        <v>5395.1</v>
      </c>
      <c r="J292" s="93">
        <v>40139.97</v>
      </c>
      <c r="K292" s="32"/>
      <c r="L292" s="32"/>
      <c r="M292" s="32"/>
      <c r="N292" s="32"/>
      <c r="O292" s="93">
        <v>453832.0</v>
      </c>
      <c r="P292" s="91">
        <f>IFERROR(__xludf.DUMMYFUNCTION("IFERROR(sum(FILTER($D:$N,$C:$C = $C292,$A:$A &lt; $A292,$B:$B = 12)),0) + sum($D292:$N292)"),453831.7200000002)</f>
        <v>453831.72</v>
      </c>
      <c r="Q292" s="92">
        <f t="shared" si="1"/>
        <v>0.2799999998</v>
      </c>
      <c r="R292" s="91">
        <f t="array" ref="R292">IFERROR(INDEX('Fund YTD Target Values'!$1:$1000, MATCH($C292,'Fund YTD Target Values'!$A:$A,0), MATCH($A292,'Fund YTD Target Values'!$1:$1,0)),0)</f>
        <v>581025.6597</v>
      </c>
      <c r="S292" s="91">
        <f>IFERROR(__xludf.DUMMYFUNCTION("IFERROR(sum(FILTER('Fund Investment Data'!$V:$V, 'Fund Investment Data'!$C:$C = $C292, 'Fund Investment Data'!$A:$A &lt; $A292)),0) + IFERROR(sum(FILTER('Fund Investment Data'!$V:$V, 'Fund Investment Data'!$C:$C = $C292, 'Fund Investment Data'!$A:$A = $A292,"&amp;" 'Fund Investment Data'!$B:$B &lt;= $B292)),0)"),429067.24)</f>
        <v>429067.24</v>
      </c>
      <c r="T292" s="93">
        <v>413959.0</v>
      </c>
      <c r="U292" s="32">
        <f t="shared" si="3"/>
        <v>15108.24</v>
      </c>
      <c r="V292" s="32">
        <f>IFERROR(__xludf.DUMMYFUNCTION("$D292 - IFERROR(FILTER($D:$D,$C:$C = $C292, $A:$A = $A292, $B:$B = $B292 - 1),0)"),0.0)</f>
        <v>0</v>
      </c>
      <c r="W292" s="93">
        <f>IFERROR(__xludf.DUMMYFUNCTION("$E292 - IFERROR(FILTER($E:$E,$C:$C = $C292, $A:$A = $A292, $B:$B = $B292 - 1),0)"),-32000.0)</f>
        <v>-32000</v>
      </c>
      <c r="X292" s="93"/>
      <c r="Y292" s="93"/>
      <c r="Z292" s="93">
        <v>0.0</v>
      </c>
      <c r="AA292" s="93">
        <v>0.0</v>
      </c>
      <c r="AB292" s="93">
        <v>0.0</v>
      </c>
      <c r="AC292" s="93"/>
      <c r="AD292" s="93">
        <v>0.0</v>
      </c>
      <c r="AE292" s="32">
        <f t="shared" si="2"/>
        <v>-32000</v>
      </c>
      <c r="AF292" s="93">
        <v>0.0</v>
      </c>
    </row>
    <row r="293">
      <c r="A293" s="86">
        <v>2012.0</v>
      </c>
      <c r="B293" s="87">
        <v>12.0</v>
      </c>
      <c r="C293" s="88" t="s">
        <v>37</v>
      </c>
      <c r="D293" s="32"/>
      <c r="E293" s="32"/>
      <c r="F293" s="93"/>
      <c r="G293" s="93">
        <f>-4804.83-3888.75</f>
        <v>-8693.58</v>
      </c>
      <c r="H293" s="93">
        <v>13004.17</v>
      </c>
      <c r="I293" s="32"/>
      <c r="J293" s="93">
        <v>68502.61</v>
      </c>
      <c r="K293" s="32"/>
      <c r="L293" s="32"/>
      <c r="M293" s="32"/>
      <c r="N293" s="32"/>
      <c r="O293" s="93">
        <v>836056.0</v>
      </c>
      <c r="P293" s="91">
        <f>IFERROR(__xludf.DUMMYFUNCTION("IFERROR(sum(FILTER($D:$N,$C:$C = $C293,$A:$A &lt; $A293,$B:$B = 12)),0) + sum($D293:$N293)"),836056.29)</f>
        <v>836056.29</v>
      </c>
      <c r="Q293" s="92">
        <f t="shared" si="1"/>
        <v>-0.29</v>
      </c>
      <c r="R293" s="91">
        <f t="array" ref="R293">IFERROR(INDEX('Fund YTD Target Values'!$1:$1000, MATCH($C293,'Fund YTD Target Values'!$A:$A,0), MATCH($A293,'Fund YTD Target Values'!$1:$1,0)),0)</f>
        <v>753440.8804</v>
      </c>
      <c r="S293" s="91">
        <f>IFERROR(__xludf.DUMMYFUNCTION("IFERROR(sum(FILTER('Fund Investment Data'!$V:$V, 'Fund Investment Data'!$C:$C = $C293, 'Fund Investment Data'!$A:$A &lt; $A293)),0) + IFERROR(sum(FILTER('Fund Investment Data'!$V:$V, 'Fund Investment Data'!$C:$C = $C293, 'Fund Investment Data'!$A:$A = $A293,"&amp;" 'Fund Investment Data'!$B:$B &lt;= $B293)),0)"),738137.86)</f>
        <v>738137.86</v>
      </c>
      <c r="T293" s="93">
        <v>722866.0</v>
      </c>
      <c r="U293" s="32">
        <f t="shared" si="3"/>
        <v>15271.86</v>
      </c>
      <c r="V293" s="32">
        <f>IFERROR(__xludf.DUMMYFUNCTION("$D293 - IFERROR(FILTER($D:$D,$C:$C = $C293, $A:$A = $A293, $B:$B = $B293 - 1),0)"),0.0)</f>
        <v>0</v>
      </c>
      <c r="W293" s="93">
        <f>IFERROR(__xludf.DUMMYFUNCTION("$E293 - IFERROR(FILTER($E:$E,$C:$C = $C293, $A:$A = $A293, $B:$B = $B293 - 1),0)"),0.0)</f>
        <v>0</v>
      </c>
      <c r="X293" s="93"/>
      <c r="Y293" s="93"/>
      <c r="Z293" s="93">
        <v>0.0</v>
      </c>
      <c r="AA293" s="93">
        <v>0.0</v>
      </c>
      <c r="AB293" s="93">
        <v>0.0</v>
      </c>
      <c r="AC293" s="93"/>
      <c r="AD293" s="93">
        <v>0.0</v>
      </c>
      <c r="AE293" s="32">
        <f t="shared" si="2"/>
        <v>0</v>
      </c>
      <c r="AF293" s="93">
        <v>0.0</v>
      </c>
    </row>
    <row r="294">
      <c r="A294" s="86">
        <v>2012.0</v>
      </c>
      <c r="B294" s="87">
        <v>12.0</v>
      </c>
      <c r="C294" s="88" t="s">
        <v>29</v>
      </c>
      <c r="D294" s="32"/>
      <c r="E294" s="93">
        <v>-4000.0</v>
      </c>
      <c r="F294" s="93"/>
      <c r="G294" s="93">
        <v>-344.1</v>
      </c>
      <c r="H294" s="93">
        <v>1164.28</v>
      </c>
      <c r="I294" s="93">
        <v>462.25</v>
      </c>
      <c r="J294" s="93">
        <v>5219.12</v>
      </c>
      <c r="K294" s="32"/>
      <c r="L294" s="32"/>
      <c r="M294" s="32"/>
      <c r="N294" s="32"/>
      <c r="O294" s="93">
        <v>57038.0</v>
      </c>
      <c r="P294" s="91">
        <f>IFERROR(__xludf.DUMMYFUNCTION("IFERROR(sum(FILTER($D:$N,$C:$C = $C294,$A:$A &lt; $A294,$B:$B = 12)),0) + sum($D294:$N294)"),57036.96999999993)</f>
        <v>57036.97</v>
      </c>
      <c r="Q294" s="92">
        <f t="shared" si="1"/>
        <v>1.03</v>
      </c>
      <c r="R294" s="91">
        <f t="array" ref="R294">IFERROR(INDEX('Fund YTD Target Values'!$1:$1000, MATCH($C294,'Fund YTD Target Values'!$A:$A,0), MATCH($A294,'Fund YTD Target Values'!$1:$1,0)),0)</f>
        <v>70452.2734</v>
      </c>
      <c r="S294" s="91">
        <f>IFERROR(__xludf.DUMMYFUNCTION("IFERROR(sum(FILTER('Fund Investment Data'!$V:$V, 'Fund Investment Data'!$C:$C = $C294, 'Fund Investment Data'!$A:$A &lt; $A294)),0) + IFERROR(sum(FILTER('Fund Investment Data'!$V:$V, 'Fund Investment Data'!$C:$C = $C294, 'Fund Investment Data'!$A:$A = $A294,"&amp;" 'Fund Investment Data'!$B:$B &lt;= $B294)),0)"),50000.0)</f>
        <v>50000</v>
      </c>
      <c r="T294" s="93">
        <v>50000.0</v>
      </c>
      <c r="U294" s="32">
        <f t="shared" si="3"/>
        <v>0</v>
      </c>
      <c r="V294" s="32">
        <f>IFERROR(__xludf.DUMMYFUNCTION("$D294 - IFERROR(FILTER($D:$D,$C:$C = $C294, $A:$A = $A294, $B:$B = $B294 - 1),0)"),0.0)</f>
        <v>0</v>
      </c>
      <c r="W294" s="93">
        <f>IFERROR(__xludf.DUMMYFUNCTION("$E294 - IFERROR(FILTER($E:$E,$C:$C = $C294, $A:$A = $A294, $B:$B = $B294 - 1),0)"),-4000.0)</f>
        <v>-4000</v>
      </c>
      <c r="X294" s="93"/>
      <c r="Y294" s="93"/>
      <c r="Z294" s="93">
        <v>0.0</v>
      </c>
      <c r="AA294" s="93">
        <v>0.0</v>
      </c>
      <c r="AB294" s="93">
        <v>0.0</v>
      </c>
      <c r="AC294" s="93"/>
      <c r="AD294" s="93">
        <v>0.0</v>
      </c>
      <c r="AE294" s="32">
        <f t="shared" si="2"/>
        <v>-4000</v>
      </c>
      <c r="AF294" s="93">
        <v>0.0</v>
      </c>
    </row>
    <row r="295">
      <c r="A295" s="86">
        <v>2012.0</v>
      </c>
      <c r="B295" s="87">
        <v>12.0</v>
      </c>
      <c r="C295" s="88" t="s">
        <v>38</v>
      </c>
      <c r="D295" s="93">
        <v>4410.0</v>
      </c>
      <c r="E295" s="93">
        <v>-15420.0</v>
      </c>
      <c r="F295" s="93"/>
      <c r="G295" s="93">
        <v>-3898.66</v>
      </c>
      <c r="H295" s="93">
        <v>13110.11</v>
      </c>
      <c r="I295" s="93">
        <v>600.41</v>
      </c>
      <c r="J295" s="93">
        <v>63133.86</v>
      </c>
      <c r="K295" s="32"/>
      <c r="L295" s="32"/>
      <c r="M295" s="32"/>
      <c r="N295" s="32"/>
      <c r="O295" s="93">
        <v>671270.0</v>
      </c>
      <c r="P295" s="91">
        <f>IFERROR(__xludf.DUMMYFUNCTION("IFERROR(sum(FILTER($D:$N,$C:$C = $C295,$A:$A &lt; $A295,$B:$B = 12)),0) + sum($D295:$N295)"),671268.5099999999)</f>
        <v>671268.51</v>
      </c>
      <c r="Q295" s="92">
        <f t="shared" si="1"/>
        <v>1.49</v>
      </c>
      <c r="R295" s="91">
        <f t="array" ref="R295">IFERROR(INDEX('Fund YTD Target Values'!$1:$1000, MATCH($C295,'Fund YTD Target Values'!$A:$A,0), MATCH($A295,'Fund YTD Target Values'!$1:$1,0)),0)</f>
        <v>642309.6917</v>
      </c>
      <c r="S295" s="91">
        <f>IFERROR(__xludf.DUMMYFUNCTION("IFERROR(sum(FILTER('Fund Investment Data'!$V:$V, 'Fund Investment Data'!$C:$C = $C295, 'Fund Investment Data'!$A:$A &lt; $A295)),0) + IFERROR(sum(FILTER('Fund Investment Data'!$V:$V, 'Fund Investment Data'!$C:$C = $C295, 'Fund Investment Data'!$A:$A = $A295,"&amp;" 'Fund Investment Data'!$B:$B &lt;= $B295)),0)"),556601.64)</f>
        <v>556601.64</v>
      </c>
      <c r="T295" s="93">
        <v>558656.0</v>
      </c>
      <c r="U295" s="32">
        <f t="shared" si="3"/>
        <v>-2054.36</v>
      </c>
      <c r="V295" s="32">
        <f>IFERROR(__xludf.DUMMYFUNCTION("$D295 - IFERROR(FILTER($D:$D,$C:$C = $C295, $A:$A = $A295, $B:$B = $B295 - 1),0)"),4410.0)</f>
        <v>4410</v>
      </c>
      <c r="W295" s="93">
        <f>IFERROR(__xludf.DUMMYFUNCTION("$E295 - IFERROR(FILTER($E:$E,$C:$C = $C295, $A:$A = $A295, $B:$B = $B295 - 1),0)"),-15420.0)</f>
        <v>-15420</v>
      </c>
      <c r="X295" s="93"/>
      <c r="Y295" s="93"/>
      <c r="Z295" s="93">
        <v>0.0</v>
      </c>
      <c r="AA295" s="93">
        <v>0.0</v>
      </c>
      <c r="AB295" s="93">
        <v>0.0</v>
      </c>
      <c r="AC295" s="93"/>
      <c r="AD295" s="93">
        <v>0.0</v>
      </c>
      <c r="AE295" s="32">
        <f t="shared" si="2"/>
        <v>-15420</v>
      </c>
      <c r="AF295" s="93">
        <v>0.0</v>
      </c>
    </row>
    <row r="296">
      <c r="A296" s="86">
        <v>2012.0</v>
      </c>
      <c r="B296" s="87">
        <v>12.0</v>
      </c>
      <c r="C296" s="88" t="s">
        <v>30</v>
      </c>
      <c r="D296" s="32"/>
      <c r="E296" s="93">
        <v>-3000.0</v>
      </c>
      <c r="F296" s="93"/>
      <c r="G296" s="93">
        <v>-101.55</v>
      </c>
      <c r="H296" s="93">
        <v>317.94</v>
      </c>
      <c r="I296" s="93">
        <v>519.33</v>
      </c>
      <c r="J296" s="93">
        <v>1033.39</v>
      </c>
      <c r="K296" s="32"/>
      <c r="L296" s="32"/>
      <c r="M296" s="32"/>
      <c r="N296" s="32"/>
      <c r="O296" s="93">
        <v>15125.0</v>
      </c>
      <c r="P296" s="91">
        <f>IFERROR(__xludf.DUMMYFUNCTION("IFERROR(sum(FILTER($D:$N,$C:$C = $C296,$A:$A &lt; $A296,$B:$B = 12)),0) + sum($D296:$N296)"),15123.319999999989)</f>
        <v>15123.32</v>
      </c>
      <c r="Q296" s="92">
        <f t="shared" si="1"/>
        <v>1.68</v>
      </c>
      <c r="R296" s="91">
        <f t="array" ref="R296">IFERROR(INDEX('Fund YTD Target Values'!$1:$1000, MATCH($C296,'Fund YTD Target Values'!$A:$A,0), MATCH($A296,'Fund YTD Target Values'!$1:$1,0)),0)</f>
        <v>16900.44973</v>
      </c>
      <c r="S296" s="91">
        <f>IFERROR(__xludf.DUMMYFUNCTION("IFERROR(sum(FILTER('Fund Investment Data'!$V:$V, 'Fund Investment Data'!$C:$C = $C296, 'Fund Investment Data'!$A:$A &lt; $A296)),0) + IFERROR(sum(FILTER('Fund Investment Data'!$V:$V, 'Fund Investment Data'!$C:$C = $C296, 'Fund Investment Data'!$A:$A = $A296,"&amp;" 'Fund Investment Data'!$B:$B &lt;= $B296)),0)"),11540.75)</f>
        <v>11540.75</v>
      </c>
      <c r="T296" s="93">
        <v>10000.0</v>
      </c>
      <c r="U296" s="32">
        <f t="shared" si="3"/>
        <v>1540.75</v>
      </c>
      <c r="V296" s="32">
        <f>IFERROR(__xludf.DUMMYFUNCTION("$D296 - IFERROR(FILTER($D:$D,$C:$C = $C296, $A:$A = $A296, $B:$B = $B296 - 1),0)"),0.0)</f>
        <v>0</v>
      </c>
      <c r="W296" s="93">
        <f>IFERROR(__xludf.DUMMYFUNCTION("$E296 - IFERROR(FILTER($E:$E,$C:$C = $C296, $A:$A = $A296, $B:$B = $B296 - 1),0)"),-3000.0)</f>
        <v>-3000</v>
      </c>
      <c r="X296" s="93"/>
      <c r="Y296" s="93"/>
      <c r="Z296" s="93">
        <v>0.0</v>
      </c>
      <c r="AA296" s="93">
        <v>0.0</v>
      </c>
      <c r="AB296" s="93">
        <v>0.0</v>
      </c>
      <c r="AC296" s="93"/>
      <c r="AD296" s="93">
        <v>0.0</v>
      </c>
      <c r="AE296" s="32">
        <f t="shared" si="2"/>
        <v>-3000</v>
      </c>
      <c r="AF296" s="93">
        <v>0.0</v>
      </c>
    </row>
    <row r="297">
      <c r="A297" s="86">
        <v>2012.0</v>
      </c>
      <c r="B297" s="87">
        <v>12.0</v>
      </c>
      <c r="C297" s="88" t="s">
        <v>47</v>
      </c>
      <c r="D297" s="32"/>
      <c r="E297" s="93">
        <v>-62000.0</v>
      </c>
      <c r="F297" s="93"/>
      <c r="G297" s="93">
        <v>-8635.11</v>
      </c>
      <c r="H297" s="93">
        <v>29333.5</v>
      </c>
      <c r="I297" s="93">
        <v>5824.04</v>
      </c>
      <c r="J297" s="93">
        <v>137546.96</v>
      </c>
      <c r="K297" s="32"/>
      <c r="L297" s="32"/>
      <c r="M297" s="32"/>
      <c r="N297" s="32"/>
      <c r="O297" s="93">
        <v>1453615.0</v>
      </c>
      <c r="P297" s="91">
        <f>IFERROR(__xludf.DUMMYFUNCTION("IFERROR(sum(FILTER($D:$N,$C:$C = $C297,$A:$A &lt; $A297,$B:$B = 12)),0) + sum($D297:$N297)"),1453614.6499999994)</f>
        <v>1453614.65</v>
      </c>
      <c r="Q297" s="92">
        <f t="shared" si="1"/>
        <v>0.3500000006</v>
      </c>
      <c r="R297" s="91">
        <f t="array" ref="R297">IFERROR(INDEX('Fund YTD Target Values'!$1:$1000, MATCH($C297,'Fund YTD Target Values'!$A:$A,0), MATCH($A297,'Fund YTD Target Values'!$1:$1,0)),0)</f>
        <v>1818072.478</v>
      </c>
      <c r="S297" s="91">
        <f>IFERROR(__xludf.DUMMYFUNCTION("IFERROR(sum(FILTER('Fund Investment Data'!$V:$V, 'Fund Investment Data'!$C:$C = $C297, 'Fund Investment Data'!$A:$A &lt; $A297)),0) + IFERROR(sum(FILTER('Fund Investment Data'!$V:$V, 'Fund Investment Data'!$C:$C = $C297, 'Fund Investment Data'!$A:$A = $A297,"&amp;" 'Fund Investment Data'!$B:$B &lt;= $B297)),0)"),1446367.46)</f>
        <v>1446367.46</v>
      </c>
      <c r="T297" s="93">
        <v>1348955.0</v>
      </c>
      <c r="U297" s="32">
        <f t="shared" si="3"/>
        <v>97412.46</v>
      </c>
      <c r="V297" s="32">
        <f>IFERROR(__xludf.DUMMYFUNCTION("$D297 - IFERROR(FILTER($D:$D,$C:$C = $C297, $A:$A = $A297, $B:$B = $B297 - 1),0)"),0.0)</f>
        <v>0</v>
      </c>
      <c r="W297" s="93">
        <f>IFERROR(__xludf.DUMMYFUNCTION("$E297 - IFERROR(FILTER($E:$E,$C:$C = $C297, $A:$A = $A297, $B:$B = $B297 - 1),0)"),-62000.0)</f>
        <v>-62000</v>
      </c>
      <c r="X297" s="93"/>
      <c r="Y297" s="93"/>
      <c r="Z297" s="93">
        <v>0.0</v>
      </c>
      <c r="AA297" s="93">
        <v>0.0</v>
      </c>
      <c r="AB297" s="93">
        <v>0.0</v>
      </c>
      <c r="AC297" s="93"/>
      <c r="AD297" s="93">
        <v>0.0</v>
      </c>
      <c r="AE297" s="32">
        <f t="shared" si="2"/>
        <v>-62000</v>
      </c>
      <c r="AF297" s="93">
        <v>0.0</v>
      </c>
    </row>
    <row r="298">
      <c r="A298" s="86">
        <v>2012.0</v>
      </c>
      <c r="B298" s="87">
        <v>12.0</v>
      </c>
      <c r="C298" s="88" t="s">
        <v>31</v>
      </c>
      <c r="D298" s="93">
        <v>1750.0</v>
      </c>
      <c r="E298" s="93">
        <v>-9000.0</v>
      </c>
      <c r="F298" s="93">
        <v>-500.0</v>
      </c>
      <c r="G298" s="93">
        <v>-1068.53</v>
      </c>
      <c r="H298" s="93">
        <v>3576.21</v>
      </c>
      <c r="I298" s="93">
        <v>770.42</v>
      </c>
      <c r="J298" s="93">
        <v>16662.83</v>
      </c>
      <c r="K298" s="32"/>
      <c r="L298" s="32"/>
      <c r="M298" s="32"/>
      <c r="N298" s="32"/>
      <c r="O298" s="93">
        <v>179802.0</v>
      </c>
      <c r="P298" s="91">
        <f>IFERROR(__xludf.DUMMYFUNCTION("IFERROR(sum(FILTER($D:$N,$C:$C = $C298,$A:$A &lt; $A298,$B:$B = 12)),0) + sum($D298:$N298)"),179802.49000000005)</f>
        <v>179802.49</v>
      </c>
      <c r="Q298" s="92">
        <f t="shared" si="1"/>
        <v>-0.49</v>
      </c>
      <c r="R298" s="91">
        <f t="array" ref="R298">IFERROR(INDEX('Fund YTD Target Values'!$1:$1000, MATCH($C298,'Fund YTD Target Values'!$A:$A,0), MATCH($A298,'Fund YTD Target Values'!$1:$1,0)),0)</f>
        <v>187710.4469</v>
      </c>
      <c r="S298" s="91">
        <f>IFERROR(__xludf.DUMMYFUNCTION("IFERROR(sum(FILTER('Fund Investment Data'!$V:$V, 'Fund Investment Data'!$C:$C = $C298, 'Fund Investment Data'!$A:$A &lt; $A298)),0) + IFERROR(sum(FILTER('Fund Investment Data'!$V:$V, 'Fund Investment Data'!$C:$C = $C298, 'Fund Investment Data'!$A:$A = $A298,"&amp;" 'Fund Investment Data'!$B:$B &lt;= $B298)),0)"),153100.0)</f>
        <v>153100</v>
      </c>
      <c r="T298" s="93">
        <v>153100.0</v>
      </c>
      <c r="U298" s="32">
        <f t="shared" si="3"/>
        <v>0</v>
      </c>
      <c r="V298" s="32">
        <f>IFERROR(__xludf.DUMMYFUNCTION("$D298 - IFERROR(FILTER($D:$D,$C:$C = $C298, $A:$A = $A298, $B:$B = $B298 - 1),0)"),1750.0)</f>
        <v>1750</v>
      </c>
      <c r="W298" s="93">
        <f>IFERROR(__xludf.DUMMYFUNCTION("$E298 - IFERROR(FILTER($E:$E,$C:$C = $C298, $A:$A = $A298, $B:$B = $B298 - 1),0)"),-9000.0)</f>
        <v>-9000</v>
      </c>
      <c r="X298" s="93"/>
      <c r="Y298" s="93"/>
      <c r="Z298" s="93">
        <v>0.0</v>
      </c>
      <c r="AA298" s="93">
        <v>0.0</v>
      </c>
      <c r="AB298" s="93">
        <v>0.0</v>
      </c>
      <c r="AC298" s="93"/>
      <c r="AD298" s="93">
        <v>0.0</v>
      </c>
      <c r="AE298" s="32">
        <f t="shared" si="2"/>
        <v>-9000</v>
      </c>
      <c r="AF298" s="93">
        <v>0.0</v>
      </c>
    </row>
    <row r="299">
      <c r="A299" s="86">
        <v>2012.0</v>
      </c>
      <c r="B299" s="87">
        <v>12.0</v>
      </c>
      <c r="C299" s="88" t="s">
        <v>39</v>
      </c>
      <c r="D299" s="93">
        <v>30000.0</v>
      </c>
      <c r="E299" s="93">
        <v>-1000.0</v>
      </c>
      <c r="F299" s="93"/>
      <c r="G299" s="93">
        <v>-474.33</v>
      </c>
      <c r="H299" s="93">
        <v>1032.94</v>
      </c>
      <c r="I299" s="32"/>
      <c r="J299" s="93">
        <v>4734.96</v>
      </c>
      <c r="K299" s="32"/>
      <c r="L299" s="32"/>
      <c r="M299" s="32"/>
      <c r="N299" s="32"/>
      <c r="O299" s="93">
        <v>99015.0</v>
      </c>
      <c r="P299" s="91">
        <f>IFERROR(__xludf.DUMMYFUNCTION("IFERROR(sum(FILTER($D:$N,$C:$C = $C299,$A:$A &lt; $A299,$B:$B = 12)),0) + sum($D299:$N299)"),99014.23999999999)</f>
        <v>99014.24</v>
      </c>
      <c r="Q299" s="92">
        <f t="shared" si="1"/>
        <v>0.76</v>
      </c>
      <c r="R299" s="91">
        <f t="array" ref="R299">IFERROR(INDEX('Fund YTD Target Values'!$1:$1000, MATCH($C299,'Fund YTD Target Values'!$A:$A,0), MATCH($A299,'Fund YTD Target Values'!$1:$1,0)),0)</f>
        <v>92842.28179</v>
      </c>
      <c r="S299" s="91">
        <f>IFERROR(__xludf.DUMMYFUNCTION("IFERROR(sum(FILTER('Fund Investment Data'!$V:$V, 'Fund Investment Data'!$C:$C = $C299, 'Fund Investment Data'!$A:$A &lt; $A299)),0) + IFERROR(sum(FILTER('Fund Investment Data'!$V:$V, 'Fund Investment Data'!$C:$C = $C299, 'Fund Investment Data'!$A:$A = $A299,"&amp;" 'Fund Investment Data'!$B:$B &lt;= $B299)),0)"),90000.0)</f>
        <v>90000</v>
      </c>
      <c r="T299" s="93">
        <v>90000.0</v>
      </c>
      <c r="U299" s="32">
        <f t="shared" si="3"/>
        <v>0</v>
      </c>
      <c r="V299" s="32">
        <f>IFERROR(__xludf.DUMMYFUNCTION("$D299 - IFERROR(FILTER($D:$D,$C:$C = $C299, $A:$A = $A299, $B:$B = $B299 - 1),0)"),30000.0)</f>
        <v>30000</v>
      </c>
      <c r="W299" s="93">
        <f>IFERROR(__xludf.DUMMYFUNCTION("$E299 - IFERROR(FILTER($E:$E,$C:$C = $C299, $A:$A = $A299, $B:$B = $B299 - 1),0)"),-1000.0)</f>
        <v>-1000</v>
      </c>
      <c r="X299" s="93"/>
      <c r="Y299" s="93"/>
      <c r="Z299" s="93">
        <v>0.0</v>
      </c>
      <c r="AA299" s="93">
        <v>0.0</v>
      </c>
      <c r="AB299" s="93">
        <v>0.0</v>
      </c>
      <c r="AC299" s="93"/>
      <c r="AD299" s="93">
        <v>0.0</v>
      </c>
      <c r="AE299" s="32">
        <f t="shared" si="2"/>
        <v>-1000</v>
      </c>
      <c r="AF299" s="93">
        <v>0.0</v>
      </c>
    </row>
    <row r="300">
      <c r="A300" s="86">
        <v>2012.0</v>
      </c>
      <c r="B300" s="87">
        <v>12.0</v>
      </c>
      <c r="C300" s="88" t="s">
        <v>50</v>
      </c>
      <c r="D300" s="93">
        <v>15000.0</v>
      </c>
      <c r="E300" s="93">
        <v>-3000.0</v>
      </c>
      <c r="F300" s="93"/>
      <c r="G300" s="93">
        <v>-811.78</v>
      </c>
      <c r="H300" s="93">
        <v>2512.01</v>
      </c>
      <c r="I300" s="93">
        <v>145.31</v>
      </c>
      <c r="J300" s="93">
        <v>11992.15</v>
      </c>
      <c r="K300" s="32"/>
      <c r="L300" s="32"/>
      <c r="M300" s="32"/>
      <c r="N300" s="32"/>
      <c r="O300" s="93">
        <v>141379.0</v>
      </c>
      <c r="P300" s="91">
        <f>IFERROR(__xludf.DUMMYFUNCTION("IFERROR(sum(FILTER($D:$N,$C:$C = $C300,$A:$A &lt; $A300,$B:$B = 12)),0) + sum($D300:$N300)"),141377.65000000002)</f>
        <v>141377.65</v>
      </c>
      <c r="Q300" s="92">
        <f t="shared" si="1"/>
        <v>1.35</v>
      </c>
      <c r="R300" s="91">
        <f t="array" ref="R300">IFERROR(INDEX('Fund YTD Target Values'!$1:$1000, MATCH($C300,'Fund YTD Target Values'!$A:$A,0), MATCH($A300,'Fund YTD Target Values'!$1:$1,0)),0)</f>
        <v>141108.1525</v>
      </c>
      <c r="S300" s="91">
        <f>IFERROR(__xludf.DUMMYFUNCTION("IFERROR(sum(FILTER('Fund Investment Data'!$V:$V, 'Fund Investment Data'!$C:$C = $C300, 'Fund Investment Data'!$A:$A &lt; $A300)),0) + IFERROR(sum(FILTER('Fund Investment Data'!$V:$V, 'Fund Investment Data'!$C:$C = $C300, 'Fund Investment Data'!$A:$A = $A300,"&amp;" 'Fund Investment Data'!$B:$B &lt;= $B300)),0)"),125189.56)</f>
        <v>125189.56</v>
      </c>
      <c r="T300" s="93">
        <v>125241.0</v>
      </c>
      <c r="U300" s="32">
        <f t="shared" si="3"/>
        <v>-51.44</v>
      </c>
      <c r="V300" s="32">
        <f>IFERROR(__xludf.DUMMYFUNCTION("$D300 - IFERROR(FILTER($D:$D,$C:$C = $C300, $A:$A = $A300, $B:$B = $B300 - 1),0)"),15000.0)</f>
        <v>15000</v>
      </c>
      <c r="W300" s="93">
        <f>IFERROR(__xludf.DUMMYFUNCTION("$E300 - IFERROR(FILTER($E:$E,$C:$C = $C300, $A:$A = $A300, $B:$B = $B300 - 1),0)"),-3000.0)</f>
        <v>-3000</v>
      </c>
      <c r="X300" s="93"/>
      <c r="Y300" s="93"/>
      <c r="Z300" s="93">
        <v>0.0</v>
      </c>
      <c r="AA300" s="93">
        <v>0.0</v>
      </c>
      <c r="AB300" s="93">
        <v>0.0</v>
      </c>
      <c r="AC300" s="93"/>
      <c r="AD300" s="93">
        <v>0.0</v>
      </c>
      <c r="AE300" s="32">
        <f t="shared" si="2"/>
        <v>-3000</v>
      </c>
      <c r="AF300" s="93">
        <v>0.0</v>
      </c>
    </row>
    <row r="301">
      <c r="A301" s="86">
        <v>2012.0</v>
      </c>
      <c r="B301" s="87">
        <v>12.0</v>
      </c>
      <c r="C301" s="88" t="s">
        <v>32</v>
      </c>
      <c r="D301" s="32"/>
      <c r="E301" s="93">
        <v>-5000.0</v>
      </c>
      <c r="F301" s="93"/>
      <c r="G301" s="93">
        <v>-351.28</v>
      </c>
      <c r="H301" s="93">
        <v>1186.09</v>
      </c>
      <c r="I301" s="93">
        <v>865.55</v>
      </c>
      <c r="J301" s="93">
        <v>4949.35</v>
      </c>
      <c r="K301" s="32"/>
      <c r="L301" s="32"/>
      <c r="M301" s="32"/>
      <c r="N301" s="32"/>
      <c r="O301" s="93">
        <v>57061.0</v>
      </c>
      <c r="P301" s="91">
        <f>IFERROR(__xludf.DUMMYFUNCTION("IFERROR(sum(FILTER($D:$N,$C:$C = $C301,$A:$A &lt; $A301,$B:$B = 12)),0) + sum($D301:$N301)"),57059.60000000002)</f>
        <v>57059.6</v>
      </c>
      <c r="Q301" s="92">
        <f t="shared" si="1"/>
        <v>1.4</v>
      </c>
      <c r="R301" s="91">
        <f t="array" ref="R301">IFERROR(INDEX('Fund YTD Target Values'!$1:$1000, MATCH($C301,'Fund YTD Target Values'!$A:$A,0), MATCH($A301,'Fund YTD Target Values'!$1:$1,0)),0)</f>
        <v>72393.49216</v>
      </c>
      <c r="S301" s="91">
        <f>IFERROR(__xludf.DUMMYFUNCTION("IFERROR(sum(FILTER('Fund Investment Data'!$V:$V, 'Fund Investment Data'!$C:$C = $C301, 'Fund Investment Data'!$A:$A &lt; $A301)),0) + IFERROR(sum(FILTER('Fund Investment Data'!$V:$V, 'Fund Investment Data'!$C:$C = $C301, 'Fund Investment Data'!$A:$A = $A301,"&amp;" 'Fund Investment Data'!$B:$B &lt;= $B301)),0)"),49449.04)</f>
        <v>49449.04</v>
      </c>
      <c r="T301" s="93">
        <v>39268.0</v>
      </c>
      <c r="U301" s="32">
        <f t="shared" si="3"/>
        <v>10181.04</v>
      </c>
      <c r="V301" s="32">
        <f>IFERROR(__xludf.DUMMYFUNCTION("$D301 - IFERROR(FILTER($D:$D,$C:$C = $C301, $A:$A = $A301, $B:$B = $B301 - 1),0)"),0.0)</f>
        <v>0</v>
      </c>
      <c r="W301" s="93">
        <f>IFERROR(__xludf.DUMMYFUNCTION("$E301 - IFERROR(FILTER($E:$E,$C:$C = $C301, $A:$A = $A301, $B:$B = $B301 - 1),0)"),-5000.0)</f>
        <v>-5000</v>
      </c>
      <c r="X301" s="93"/>
      <c r="Y301" s="93"/>
      <c r="Z301" s="93">
        <v>0.0</v>
      </c>
      <c r="AA301" s="93">
        <v>0.0</v>
      </c>
      <c r="AB301" s="93">
        <v>0.0</v>
      </c>
      <c r="AC301" s="93"/>
      <c r="AD301" s="93">
        <v>0.0</v>
      </c>
      <c r="AE301" s="32">
        <f t="shared" si="2"/>
        <v>-5000</v>
      </c>
      <c r="AF301" s="93">
        <v>0.0</v>
      </c>
    </row>
    <row r="302">
      <c r="A302" s="86">
        <v>2012.0</v>
      </c>
      <c r="B302" s="87">
        <v>12.0</v>
      </c>
      <c r="C302" s="88" t="s">
        <v>40</v>
      </c>
      <c r="D302" s="93">
        <v>310.0</v>
      </c>
      <c r="E302" s="93">
        <v>-9000.0</v>
      </c>
      <c r="F302" s="93"/>
      <c r="G302" s="93">
        <v>-893.94</v>
      </c>
      <c r="H302" s="93">
        <v>2981.13</v>
      </c>
      <c r="I302" s="93">
        <v>485.68</v>
      </c>
      <c r="J302" s="93">
        <v>14006.07</v>
      </c>
      <c r="K302" s="32"/>
      <c r="L302" s="32"/>
      <c r="M302" s="32"/>
      <c r="N302" s="32"/>
      <c r="O302" s="93">
        <v>147656.0</v>
      </c>
      <c r="P302" s="91">
        <f>IFERROR(__xludf.DUMMYFUNCTION("IFERROR(sum(FILTER($D:$N,$C:$C = $C302,$A:$A &lt; $A302,$B:$B = 12)),0) + sum($D302:$N302)"),147655.60000000003)</f>
        <v>147655.6</v>
      </c>
      <c r="Q302" s="92">
        <f t="shared" si="1"/>
        <v>0.4</v>
      </c>
      <c r="R302" s="91">
        <f t="array" ref="R302">IFERROR(INDEX('Fund YTD Target Values'!$1:$1000, MATCH($C302,'Fund YTD Target Values'!$A:$A,0), MATCH($A302,'Fund YTD Target Values'!$1:$1,0)),0)</f>
        <v>147534.2197</v>
      </c>
      <c r="S302" s="91">
        <f>IFERROR(__xludf.DUMMYFUNCTION("IFERROR(sum(FILTER('Fund Investment Data'!$V:$V, 'Fund Investment Data'!$C:$C = $C302, 'Fund Investment Data'!$A:$A &lt; $A302)),0) + IFERROR(sum(FILTER('Fund Investment Data'!$V:$V, 'Fund Investment Data'!$C:$C = $C302, 'Fund Investment Data'!$A:$A = $A302,"&amp;" 'Fund Investment Data'!$B:$B &lt;= $B302)),0)"),129703.74)</f>
        <v>129703.74</v>
      </c>
      <c r="T302" s="93">
        <v>129723.0</v>
      </c>
      <c r="U302" s="32">
        <f t="shared" si="3"/>
        <v>-19.26</v>
      </c>
      <c r="V302" s="32">
        <f>IFERROR(__xludf.DUMMYFUNCTION("$D302 - IFERROR(FILTER($D:$D,$C:$C = $C302, $A:$A = $A302, $B:$B = $B302 - 1),0)"),310.0)</f>
        <v>310</v>
      </c>
      <c r="W302" s="93">
        <f>IFERROR(__xludf.DUMMYFUNCTION("$E302 - IFERROR(FILTER($E:$E,$C:$C = $C302, $A:$A = $A302, $B:$B = $B302 - 1),0)"),-9000.0)</f>
        <v>-9000</v>
      </c>
      <c r="X302" s="93"/>
      <c r="Y302" s="93"/>
      <c r="Z302" s="93">
        <v>0.0</v>
      </c>
      <c r="AA302" s="93">
        <v>0.0</v>
      </c>
      <c r="AB302" s="93">
        <v>0.0</v>
      </c>
      <c r="AC302" s="93"/>
      <c r="AD302" s="93">
        <v>0.0</v>
      </c>
      <c r="AE302" s="32">
        <f t="shared" si="2"/>
        <v>-9000</v>
      </c>
      <c r="AF302" s="93">
        <v>0.0</v>
      </c>
    </row>
    <row r="303">
      <c r="A303" s="86">
        <v>2012.0</v>
      </c>
      <c r="B303" s="87">
        <v>12.0</v>
      </c>
      <c r="C303" s="88" t="s">
        <v>48</v>
      </c>
      <c r="D303" s="32"/>
      <c r="E303" s="93">
        <v>-110000.0</v>
      </c>
      <c r="F303" s="93"/>
      <c r="G303" s="93">
        <v>-7451.55</v>
      </c>
      <c r="H303" s="93">
        <v>25358.67</v>
      </c>
      <c r="I303" s="93">
        <v>16181.62</v>
      </c>
      <c r="J303" s="93">
        <v>108284.15</v>
      </c>
      <c r="K303" s="32"/>
      <c r="L303" s="93">
        <v>-179.37</v>
      </c>
      <c r="M303" s="32"/>
      <c r="N303" s="32"/>
      <c r="O303" s="93">
        <v>1207892.0</v>
      </c>
      <c r="P303" s="91">
        <f>IFERROR(__xludf.DUMMYFUNCTION("IFERROR(sum(FILTER($D:$N,$C:$C = $C303,$A:$A &lt; $A303,$B:$B = 12)),0) + sum($D303:$N303)"),1207891.0099999998)</f>
        <v>1207891.01</v>
      </c>
      <c r="Q303" s="92">
        <f t="shared" si="1"/>
        <v>0.9900000002</v>
      </c>
      <c r="R303" s="91">
        <f t="array" ref="R303">IFERROR(INDEX('Fund YTD Target Values'!$1:$1000, MATCH($C303,'Fund YTD Target Values'!$A:$A,0), MATCH($A303,'Fund YTD Target Values'!$1:$1,0)),0)</f>
        <v>1733764.196</v>
      </c>
      <c r="S303" s="91">
        <f>IFERROR(__xludf.DUMMYFUNCTION("IFERROR(sum(FILTER('Fund Investment Data'!$V:$V, 'Fund Investment Data'!$C:$C = $C303, 'Fund Investment Data'!$A:$A &lt; $A303)),0) + IFERROR(sum(FILTER('Fund Investment Data'!$V:$V, 'Fund Investment Data'!$C:$C = $C303, 'Fund Investment Data'!$A:$A = $A303,"&amp;" 'Fund Investment Data'!$B:$B &lt;= $B303)),0)"),1183929.39)</f>
        <v>1183929.39</v>
      </c>
      <c r="T303" s="93">
        <v>1140040.0</v>
      </c>
      <c r="U303" s="32">
        <f t="shared" si="3"/>
        <v>43889.39</v>
      </c>
      <c r="V303" s="32">
        <f>IFERROR(__xludf.DUMMYFUNCTION("$D303 - IFERROR(FILTER($D:$D,$C:$C = $C303, $A:$A = $A303, $B:$B = $B303 - 1),0)"),0.0)</f>
        <v>0</v>
      </c>
      <c r="W303" s="93">
        <f>IFERROR(__xludf.DUMMYFUNCTION("$E303 - IFERROR(FILTER($E:$E,$C:$C = $C303, $A:$A = $A303, $B:$B = $B303 - 1),0)"),-110000.0)</f>
        <v>-110000</v>
      </c>
      <c r="X303" s="93"/>
      <c r="Y303" s="93"/>
      <c r="Z303" s="93">
        <v>0.0</v>
      </c>
      <c r="AA303" s="93">
        <v>0.0</v>
      </c>
      <c r="AB303" s="93">
        <v>0.0</v>
      </c>
      <c r="AC303" s="93"/>
      <c r="AD303" s="93">
        <v>0.0</v>
      </c>
      <c r="AE303" s="32">
        <f t="shared" si="2"/>
        <v>-110000</v>
      </c>
      <c r="AF303" s="93">
        <v>0.0</v>
      </c>
    </row>
    <row r="304">
      <c r="A304" s="86">
        <v>2012.0</v>
      </c>
      <c r="B304" s="87">
        <v>12.0</v>
      </c>
      <c r="C304" s="88" t="s">
        <v>49</v>
      </c>
      <c r="D304" s="32"/>
      <c r="E304" s="93">
        <v>-26600.0</v>
      </c>
      <c r="F304" s="93"/>
      <c r="G304" s="93">
        <v>-3209.3</v>
      </c>
      <c r="H304" s="93">
        <v>10892.16</v>
      </c>
      <c r="I304" s="93">
        <v>3369.13</v>
      </c>
      <c r="J304" s="93">
        <v>49834.48</v>
      </c>
      <c r="K304" s="32"/>
      <c r="L304" s="32"/>
      <c r="M304" s="32"/>
      <c r="N304" s="32"/>
      <c r="O304" s="93">
        <v>537539.0</v>
      </c>
      <c r="P304" s="91">
        <f>IFERROR(__xludf.DUMMYFUNCTION("IFERROR(sum(FILTER($D:$N,$C:$C = $C304,$A:$A &lt; $A304,$B:$B = 12)),0) + sum($D304:$N304)"),537540.4499999997)</f>
        <v>537540.45</v>
      </c>
      <c r="Q304" s="92">
        <f t="shared" si="1"/>
        <v>-1.45</v>
      </c>
      <c r="R304" s="91">
        <f t="array" ref="R304">IFERROR(INDEX('Fund YTD Target Values'!$1:$1000, MATCH($C304,'Fund YTD Target Values'!$A:$A,0), MATCH($A304,'Fund YTD Target Values'!$1:$1,0)),0)</f>
        <v>641274.9711</v>
      </c>
      <c r="S304" s="91">
        <f>IFERROR(__xludf.DUMMYFUNCTION("IFERROR(sum(FILTER('Fund Investment Data'!$V:$V, 'Fund Investment Data'!$C:$C = $C304, 'Fund Investment Data'!$A:$A &lt; $A304)),0) + IFERROR(sum(FILTER('Fund Investment Data'!$V:$V, 'Fund Investment Data'!$C:$C = $C304, 'Fund Investment Data'!$A:$A = $A304,"&amp;" 'Fund Investment Data'!$B:$B &lt;= $B304)),0)"),500000.0)</f>
        <v>500000</v>
      </c>
      <c r="T304" s="93">
        <v>500000.0</v>
      </c>
      <c r="U304" s="32">
        <f t="shared" si="3"/>
        <v>0</v>
      </c>
      <c r="V304" s="32">
        <f>IFERROR(__xludf.DUMMYFUNCTION("$D304 - IFERROR(FILTER($D:$D,$C:$C = $C304, $A:$A = $A304, $B:$B = $B304 - 1),0)"),0.0)</f>
        <v>0</v>
      </c>
      <c r="W304" s="93">
        <f>IFERROR(__xludf.DUMMYFUNCTION("$E304 - IFERROR(FILTER($E:$E,$C:$C = $C304, $A:$A = $A304, $B:$B = $B304 - 1),0)"),-26600.0)</f>
        <v>-26600</v>
      </c>
      <c r="X304" s="93"/>
      <c r="Y304" s="93"/>
      <c r="Z304" s="93">
        <v>0.0</v>
      </c>
      <c r="AA304" s="93">
        <v>0.0</v>
      </c>
      <c r="AB304" s="93">
        <v>0.0</v>
      </c>
      <c r="AC304" s="93"/>
      <c r="AD304" s="93">
        <v>0.0</v>
      </c>
      <c r="AE304" s="32">
        <f t="shared" si="2"/>
        <v>-26600</v>
      </c>
      <c r="AF304" s="93">
        <v>0.0</v>
      </c>
    </row>
    <row r="305">
      <c r="A305" s="86">
        <v>2012.0</v>
      </c>
      <c r="B305" s="87">
        <v>12.0</v>
      </c>
      <c r="C305" s="88" t="s">
        <v>41</v>
      </c>
      <c r="D305" s="32"/>
      <c r="E305" s="93">
        <v>-23500.0</v>
      </c>
      <c r="F305" s="93"/>
      <c r="G305" s="93">
        <v>-3300.94</v>
      </c>
      <c r="H305" s="93">
        <v>11201.7</v>
      </c>
      <c r="I305" s="93">
        <v>856.11</v>
      </c>
      <c r="J305" s="93">
        <v>53782.14</v>
      </c>
      <c r="K305" s="32"/>
      <c r="L305" s="93">
        <v>-223.5</v>
      </c>
      <c r="M305" s="32"/>
      <c r="N305" s="32"/>
      <c r="O305" s="93">
        <v>556493.0</v>
      </c>
      <c r="P305" s="91">
        <f>IFERROR(__xludf.DUMMYFUNCTION("IFERROR(sum(FILTER($D:$N,$C:$C = $C305,$A:$A &lt; $A305,$B:$B = 12)),0) + sum($D305:$N305)"),556494.2600000001)</f>
        <v>556494.26</v>
      </c>
      <c r="Q305" s="92">
        <f t="shared" si="1"/>
        <v>-1.26</v>
      </c>
      <c r="R305" s="91">
        <f t="array" ref="R305">IFERROR(INDEX('Fund YTD Target Values'!$1:$1000, MATCH($C305,'Fund YTD Target Values'!$A:$A,0), MATCH($A305,'Fund YTD Target Values'!$1:$1,0)),0)</f>
        <v>537579.6471</v>
      </c>
      <c r="S305" s="91">
        <f>IFERROR(__xludf.DUMMYFUNCTION("IFERROR(sum(FILTER('Fund Investment Data'!$V:$V, 'Fund Investment Data'!$C:$C = $C305, 'Fund Investment Data'!$A:$A &lt; $A305)),0) + IFERROR(sum(FILTER('Fund Investment Data'!$V:$V, 'Fund Investment Data'!$C:$C = $C305, 'Fund Investment Data'!$A:$A = $A305,"&amp;" 'Fund Investment Data'!$B:$B &lt;= $B305)),0)"),433755.86)</f>
        <v>433755.86</v>
      </c>
      <c r="T305" s="93">
        <v>434291.0</v>
      </c>
      <c r="U305" s="32">
        <f t="shared" si="3"/>
        <v>-535.14</v>
      </c>
      <c r="V305" s="32">
        <f>IFERROR(__xludf.DUMMYFUNCTION("$D305 - IFERROR(FILTER($D:$D,$C:$C = $C305, $A:$A = $A305, $B:$B = $B305 - 1),0)"),0.0)</f>
        <v>0</v>
      </c>
      <c r="W305" s="93">
        <f>IFERROR(__xludf.DUMMYFUNCTION("$E305 - IFERROR(FILTER($E:$E,$C:$C = $C305, $A:$A = $A305, $B:$B = $B305 - 1),0)"),-23500.0)</f>
        <v>-23500</v>
      </c>
      <c r="X305" s="93"/>
      <c r="Y305" s="93"/>
      <c r="Z305" s="93">
        <v>0.0</v>
      </c>
      <c r="AA305" s="93">
        <v>0.0</v>
      </c>
      <c r="AB305" s="93">
        <v>0.0</v>
      </c>
      <c r="AC305" s="93"/>
      <c r="AD305" s="93">
        <v>0.0</v>
      </c>
      <c r="AE305" s="32">
        <f t="shared" si="2"/>
        <v>-23500</v>
      </c>
      <c r="AF305" s="93">
        <v>0.0</v>
      </c>
    </row>
    <row r="306">
      <c r="A306" s="86">
        <v>2012.0</v>
      </c>
      <c r="B306" s="87">
        <v>12.0</v>
      </c>
      <c r="C306" s="88" t="s">
        <v>25</v>
      </c>
      <c r="D306" s="32"/>
      <c r="E306" s="93">
        <v>-1350.0</v>
      </c>
      <c r="F306" s="93"/>
      <c r="G306" s="93">
        <v>-485.53</v>
      </c>
      <c r="H306" s="93">
        <v>1636.91</v>
      </c>
      <c r="I306" s="93">
        <v>209.76</v>
      </c>
      <c r="J306" s="93">
        <v>7786.16</v>
      </c>
      <c r="K306" s="32"/>
      <c r="L306" s="32"/>
      <c r="M306" s="32"/>
      <c r="N306" s="32"/>
      <c r="O306" s="93">
        <v>83512.0</v>
      </c>
      <c r="P306" s="91">
        <f>IFERROR(__xludf.DUMMYFUNCTION("IFERROR(sum(FILTER($D:$N,$C:$C = $C306,$A:$A &lt; $A306,$B:$B = 12)),0) + sum($D306:$N306)"),83512.3)</f>
        <v>83512.3</v>
      </c>
      <c r="Q306" s="92">
        <f t="shared" si="1"/>
        <v>-0.3</v>
      </c>
      <c r="R306" s="91">
        <f t="array" ref="R306">IFERROR(INDEX('Fund YTD Target Values'!$1:$1000, MATCH($C306,'Fund YTD Target Values'!$A:$A,0), MATCH($A306,'Fund YTD Target Values'!$1:$1,0)),0)</f>
        <v>90120.74856</v>
      </c>
      <c r="S306" s="91">
        <f>IFERROR(__xludf.DUMMYFUNCTION("IFERROR(sum(FILTER('Fund Investment Data'!$V:$V, 'Fund Investment Data'!$C:$C = $C306, 'Fund Investment Data'!$A:$A &lt; $A306)),0) + IFERROR(sum(FILTER('Fund Investment Data'!$V:$V, 'Fund Investment Data'!$C:$C = $C306, 'Fund Investment Data'!$A:$A = $A306,"&amp;" 'Fund Investment Data'!$B:$B &lt;= $B306)),0)"),71000.0)</f>
        <v>71000</v>
      </c>
      <c r="T306" s="93">
        <v>71000.0</v>
      </c>
      <c r="U306" s="32">
        <f t="shared" si="3"/>
        <v>0</v>
      </c>
      <c r="V306" s="32">
        <f>IFERROR(__xludf.DUMMYFUNCTION("$D306 - IFERROR(FILTER($D:$D,$C:$C = $C306, $A:$A = $A306, $B:$B = $B306 - 1),0)"),0.0)</f>
        <v>0</v>
      </c>
      <c r="W306" s="93">
        <f>IFERROR(__xludf.DUMMYFUNCTION("$E306 - IFERROR(FILTER($E:$E,$C:$C = $C306, $A:$A = $A306, $B:$B = $B306 - 1),0)"),-1350.0)</f>
        <v>-1350</v>
      </c>
      <c r="X306" s="93"/>
      <c r="Y306" s="93"/>
      <c r="Z306" s="93">
        <v>0.0</v>
      </c>
      <c r="AA306" s="93">
        <v>0.0</v>
      </c>
      <c r="AB306" s="93">
        <v>0.0</v>
      </c>
      <c r="AC306" s="93"/>
      <c r="AD306" s="93">
        <v>0.0</v>
      </c>
      <c r="AE306" s="32">
        <f t="shared" si="2"/>
        <v>-1350</v>
      </c>
      <c r="AF306" s="93">
        <v>0.0</v>
      </c>
    </row>
    <row r="307">
      <c r="A307" s="86">
        <v>2012.0</v>
      </c>
      <c r="B307" s="87">
        <v>12.0</v>
      </c>
      <c r="C307" s="88" t="s">
        <v>42</v>
      </c>
      <c r="D307" s="32"/>
      <c r="E307" s="93">
        <v>-765.0</v>
      </c>
      <c r="F307" s="93"/>
      <c r="G307" s="93">
        <v>-1296.71</v>
      </c>
      <c r="H307" s="93">
        <v>4372.23</v>
      </c>
      <c r="I307" s="93">
        <v>88.26</v>
      </c>
      <c r="J307" s="93">
        <v>21248.61</v>
      </c>
      <c r="K307" s="32"/>
      <c r="L307" s="32"/>
      <c r="M307" s="32"/>
      <c r="N307" s="32"/>
      <c r="O307" s="93">
        <v>225316.0</v>
      </c>
      <c r="P307" s="91">
        <f>IFERROR(__xludf.DUMMYFUNCTION("IFERROR(sum(FILTER($D:$N,$C:$C = $C307,$A:$A &lt; $A307,$B:$B = 12)),0) + sum($D307:$N307)"),225316.78999999998)</f>
        <v>225316.79</v>
      </c>
      <c r="Q307" s="92">
        <f t="shared" si="1"/>
        <v>-0.79</v>
      </c>
      <c r="R307" s="91">
        <f t="array" ref="R307">IFERROR(INDEX('Fund YTD Target Values'!$1:$1000, MATCH($C307,'Fund YTD Target Values'!$A:$A,0), MATCH($A307,'Fund YTD Target Values'!$1:$1,0)),0)</f>
        <v>209903.6684</v>
      </c>
      <c r="S307" s="91">
        <f>IFERROR(__xludf.DUMMYFUNCTION("IFERROR(sum(FILTER('Fund Investment Data'!$V:$V, 'Fund Investment Data'!$C:$C = $C307, 'Fund Investment Data'!$A:$A &lt; $A307)),0) + IFERROR(sum(FILTER('Fund Investment Data'!$V:$V, 'Fund Investment Data'!$C:$C = $C307, 'Fund Investment Data'!$A:$A = $A307,"&amp;" 'Fund Investment Data'!$B:$B &lt;= $B307)),0)"),184469.0)</f>
        <v>184469</v>
      </c>
      <c r="T307" s="93">
        <v>184469.0</v>
      </c>
      <c r="U307" s="32">
        <f t="shared" si="3"/>
        <v>0</v>
      </c>
      <c r="V307" s="32">
        <f>IFERROR(__xludf.DUMMYFUNCTION("$D307 - IFERROR(FILTER($D:$D,$C:$C = $C307, $A:$A = $A307, $B:$B = $B307 - 1),0)"),0.0)</f>
        <v>0</v>
      </c>
      <c r="W307" s="93">
        <f>IFERROR(__xludf.DUMMYFUNCTION("$E307 - IFERROR(FILTER($E:$E,$C:$C = $C307, $A:$A = $A307, $B:$B = $B307 - 1),0)"),-765.0)</f>
        <v>-765</v>
      </c>
      <c r="X307" s="93"/>
      <c r="Y307" s="93"/>
      <c r="Z307" s="93">
        <v>0.0</v>
      </c>
      <c r="AA307" s="93">
        <v>0.0</v>
      </c>
      <c r="AB307" s="93">
        <v>0.0</v>
      </c>
      <c r="AC307" s="93"/>
      <c r="AD307" s="93">
        <v>0.0</v>
      </c>
      <c r="AE307" s="32">
        <f t="shared" si="2"/>
        <v>-765</v>
      </c>
      <c r="AF307" s="93">
        <v>0.0</v>
      </c>
    </row>
    <row r="308">
      <c r="A308" s="86">
        <v>2012.0</v>
      </c>
      <c r="B308" s="87">
        <v>12.0</v>
      </c>
      <c r="C308" s="88" t="s">
        <v>43</v>
      </c>
      <c r="D308" s="32"/>
      <c r="E308" s="93">
        <v>-7500.0</v>
      </c>
      <c r="F308" s="93"/>
      <c r="G308" s="93">
        <v>-697.1</v>
      </c>
      <c r="H308" s="93">
        <v>2352.39</v>
      </c>
      <c r="I308" s="93">
        <v>604.13</v>
      </c>
      <c r="J308" s="93">
        <v>10845.28</v>
      </c>
      <c r="K308" s="32"/>
      <c r="L308" s="32"/>
      <c r="M308" s="32"/>
      <c r="N308" s="32"/>
      <c r="O308" s="93">
        <v>114594.0</v>
      </c>
      <c r="P308" s="91">
        <f>IFERROR(__xludf.DUMMYFUNCTION("IFERROR(sum(FILTER($D:$N,$C:$C = $C308,$A:$A &lt; $A308,$B:$B = 12)),0) + sum($D308:$N308)"),114592.78000000003)</f>
        <v>114592.78</v>
      </c>
      <c r="Q308" s="92">
        <f t="shared" si="1"/>
        <v>1.22</v>
      </c>
      <c r="R308" s="91">
        <f t="array" ref="R308">IFERROR(INDEX('Fund YTD Target Values'!$1:$1000, MATCH($C308,'Fund YTD Target Values'!$A:$A,0), MATCH($A308,'Fund YTD Target Values'!$1:$1,0)),0)</f>
        <v>119496.3999</v>
      </c>
      <c r="S308" s="91">
        <f>IFERROR(__xludf.DUMMYFUNCTION("IFERROR(sum(FILTER('Fund Investment Data'!$V:$V, 'Fund Investment Data'!$C:$C = $C308, 'Fund Investment Data'!$A:$A &lt; $A308)),0) + IFERROR(sum(FILTER('Fund Investment Data'!$V:$V, 'Fund Investment Data'!$C:$C = $C308, 'Fund Investment Data'!$A:$A = $A308,"&amp;" 'Fund Investment Data'!$B:$B &lt;= $B308)),0)"),100000.0)</f>
        <v>100000</v>
      </c>
      <c r="T308" s="93">
        <v>100000.0</v>
      </c>
      <c r="U308" s="32">
        <f t="shared" si="3"/>
        <v>0</v>
      </c>
      <c r="V308" s="32">
        <f>IFERROR(__xludf.DUMMYFUNCTION("$D308 - IFERROR(FILTER($D:$D,$C:$C = $C308, $A:$A = $A308, $B:$B = $B308 - 1),0)"),0.0)</f>
        <v>0</v>
      </c>
      <c r="W308" s="93">
        <f>IFERROR(__xludf.DUMMYFUNCTION("$E308 - IFERROR(FILTER($E:$E,$C:$C = $C308, $A:$A = $A308, $B:$B = $B308 - 1),0)"),-7500.0)</f>
        <v>-7500</v>
      </c>
      <c r="X308" s="93"/>
      <c r="Y308" s="93"/>
      <c r="Z308" s="93">
        <v>0.0</v>
      </c>
      <c r="AA308" s="93">
        <v>0.0</v>
      </c>
      <c r="AB308" s="93">
        <v>0.0</v>
      </c>
      <c r="AC308" s="93"/>
      <c r="AD308" s="93">
        <v>0.0</v>
      </c>
      <c r="AE308" s="32">
        <f t="shared" si="2"/>
        <v>-7500</v>
      </c>
      <c r="AF308" s="93">
        <v>0.0</v>
      </c>
    </row>
    <row r="309">
      <c r="A309" s="86">
        <v>2012.0</v>
      </c>
      <c r="B309" s="87">
        <v>12.0</v>
      </c>
      <c r="C309" s="88" t="s">
        <v>33</v>
      </c>
      <c r="D309" s="32"/>
      <c r="E309" s="93">
        <v>-18500.0</v>
      </c>
      <c r="F309" s="93"/>
      <c r="G309" s="93">
        <v>-2402.61</v>
      </c>
      <c r="H309" s="93">
        <v>8164.14</v>
      </c>
      <c r="I309" s="93">
        <v>687.67</v>
      </c>
      <c r="J309" s="93">
        <v>39058.37</v>
      </c>
      <c r="K309" s="32"/>
      <c r="L309" s="93">
        <v>-19.0</v>
      </c>
      <c r="M309" s="32"/>
      <c r="N309" s="32"/>
      <c r="O309" s="93">
        <v>403525.0</v>
      </c>
      <c r="P309" s="91">
        <f>IFERROR(__xludf.DUMMYFUNCTION("IFERROR(sum(FILTER($D:$N,$C:$C = $C309,$A:$A &lt; $A309,$B:$B = 12)),0) + sum($D309:$N309)"),403525.18999999977)</f>
        <v>403525.19</v>
      </c>
      <c r="Q309" s="92">
        <f t="shared" si="1"/>
        <v>-0.1899999998</v>
      </c>
      <c r="R309" s="91">
        <f t="array" ref="R309">IFERROR(INDEX('Fund YTD Target Values'!$1:$1000, MATCH($C309,'Fund YTD Target Values'!$A:$A,0), MATCH($A309,'Fund YTD Target Values'!$1:$1,0)),0)</f>
        <v>468970.7676</v>
      </c>
      <c r="S309" s="91">
        <f>IFERROR(__xludf.DUMMYFUNCTION("IFERROR(sum(FILTER('Fund Investment Data'!$V:$V, 'Fund Investment Data'!$C:$C = $C309, 'Fund Investment Data'!$A:$A &lt; $A309)),0) + IFERROR(sum(FILTER('Fund Investment Data'!$V:$V, 'Fund Investment Data'!$C:$C = $C309, 'Fund Investment Data'!$A:$A = $A309,"&amp;" 'Fund Investment Data'!$B:$B &lt;= $B309)),0)"),325871.6399999999)</f>
        <v>325871.64</v>
      </c>
      <c r="T309" s="93">
        <v>326032.0</v>
      </c>
      <c r="U309" s="32">
        <f t="shared" si="3"/>
        <v>-160.36</v>
      </c>
      <c r="V309" s="32">
        <f>IFERROR(__xludf.DUMMYFUNCTION("$D309 - IFERROR(FILTER($D:$D,$C:$C = $C309, $A:$A = $A309, $B:$B = $B309 - 1),0)"),0.0)</f>
        <v>0</v>
      </c>
      <c r="W309" s="93">
        <f>IFERROR(__xludf.DUMMYFUNCTION("$E309 - IFERROR(FILTER($E:$E,$C:$C = $C309, $A:$A = $A309, $B:$B = $B309 - 1),0)"),-18500.0)</f>
        <v>-18500</v>
      </c>
      <c r="X309" s="93"/>
      <c r="Y309" s="93"/>
      <c r="Z309" s="93">
        <v>0.0</v>
      </c>
      <c r="AA309" s="93">
        <v>0.0</v>
      </c>
      <c r="AB309" s="93">
        <v>0.0</v>
      </c>
      <c r="AC309" s="93"/>
      <c r="AD309" s="93">
        <v>0.0</v>
      </c>
      <c r="AE309" s="32">
        <f t="shared" si="2"/>
        <v>-18500</v>
      </c>
      <c r="AF309" s="93">
        <v>0.0</v>
      </c>
    </row>
    <row r="310">
      <c r="A310" s="86">
        <v>2012.0</v>
      </c>
      <c r="B310" s="87">
        <v>12.0</v>
      </c>
      <c r="C310" s="88" t="s">
        <v>53</v>
      </c>
      <c r="D310" s="93">
        <v>50000.0</v>
      </c>
      <c r="E310" s="93">
        <v>-35000.0</v>
      </c>
      <c r="F310" s="93"/>
      <c r="G310" s="93">
        <v>-6517.61</v>
      </c>
      <c r="H310" s="93">
        <v>22010.19</v>
      </c>
      <c r="I310" s="32"/>
      <c r="J310" s="93">
        <v>106747.03</v>
      </c>
      <c r="K310" s="32"/>
      <c r="L310" s="93">
        <v>-324.18</v>
      </c>
      <c r="M310" s="32"/>
      <c r="N310" s="32"/>
      <c r="O310" s="93">
        <v>1121233.0</v>
      </c>
      <c r="P310" s="91">
        <f>IFERROR(__xludf.DUMMYFUNCTION("IFERROR(sum(FILTER($D:$N,$C:$C = $C310,$A:$A &lt; $A310,$B:$B = 12)),0) + sum($D310:$N310)"),1121232.99)</f>
        <v>1121232.99</v>
      </c>
      <c r="Q310" s="92">
        <f t="shared" si="1"/>
        <v>0.01000000001</v>
      </c>
      <c r="R310" s="91">
        <f t="array" ref="R310">IFERROR(INDEX('Fund YTD Target Values'!$1:$1000, MATCH($C310,'Fund YTD Target Values'!$A:$A,0), MATCH($A310,'Fund YTD Target Values'!$1:$1,0)),0)</f>
        <v>1097820.261</v>
      </c>
      <c r="S310" s="91">
        <f>IFERROR(__xludf.DUMMYFUNCTION("IFERROR(sum(FILTER('Fund Investment Data'!$V:$V, 'Fund Investment Data'!$C:$C = $C310, 'Fund Investment Data'!$A:$A &lt; $A310)),0) + IFERROR(sum(FILTER('Fund Investment Data'!$V:$V, 'Fund Investment Data'!$C:$C = $C310, 'Fund Investment Data'!$A:$A = $A310,"&amp;" 'Fund Investment Data'!$B:$B &lt;= $B310)),0)"),1055500.0)</f>
        <v>1055500</v>
      </c>
      <c r="T310" s="93">
        <v>1055500.0</v>
      </c>
      <c r="U310" s="32">
        <f t="shared" si="3"/>
        <v>0</v>
      </c>
      <c r="V310" s="32">
        <f>IFERROR(__xludf.DUMMYFUNCTION("$D310 - IFERROR(FILTER($D:$D,$C:$C = $C310, $A:$A = $A310, $B:$B = $B310 - 1),0)"),50000.0)</f>
        <v>50000</v>
      </c>
      <c r="W310" s="93">
        <f>IFERROR(__xludf.DUMMYFUNCTION("$E310 - IFERROR(FILTER($E:$E,$C:$C = $C310, $A:$A = $A310, $B:$B = $B310 - 1),0)"),-35000.0)</f>
        <v>-35000</v>
      </c>
      <c r="X310" s="93"/>
      <c r="Y310" s="93"/>
      <c r="Z310" s="93">
        <v>0.0</v>
      </c>
      <c r="AA310" s="93">
        <v>0.0</v>
      </c>
      <c r="AB310" s="93">
        <v>0.0</v>
      </c>
      <c r="AC310" s="93"/>
      <c r="AD310" s="93">
        <v>0.0</v>
      </c>
      <c r="AE310" s="32">
        <f t="shared" si="2"/>
        <v>-35000</v>
      </c>
      <c r="AF310" s="93">
        <v>0.0</v>
      </c>
    </row>
    <row r="311">
      <c r="A311" s="86">
        <v>2012.0</v>
      </c>
      <c r="B311" s="87">
        <v>12.0</v>
      </c>
      <c r="C311" s="88" t="s">
        <v>34</v>
      </c>
      <c r="D311" s="93">
        <v>100000.0</v>
      </c>
      <c r="E311" s="32"/>
      <c r="F311" s="93"/>
      <c r="G311" s="93">
        <v>-206.12</v>
      </c>
      <c r="H311" s="93">
        <v>656.52</v>
      </c>
      <c r="I311" s="32"/>
      <c r="J311" s="93">
        <v>4387.04</v>
      </c>
      <c r="K311" s="32"/>
      <c r="L311" s="32"/>
      <c r="M311" s="32"/>
      <c r="N311" s="32"/>
      <c r="O311" s="93">
        <v>104837.0</v>
      </c>
      <c r="P311" s="91">
        <f>IFERROR(__xludf.DUMMYFUNCTION("IFERROR(sum(FILTER($D:$N,$C:$C = $C311,$A:$A &lt; $A311,$B:$B = 12)),0) + sum($D311:$N311)"),104837.44)</f>
        <v>104837.44</v>
      </c>
      <c r="Q311" s="92">
        <f t="shared" si="1"/>
        <v>-0.44</v>
      </c>
      <c r="R311" s="91">
        <f t="array" ref="R311">IFERROR(INDEX('Fund YTD Target Values'!$1:$1000, MATCH($C311,'Fund YTD Target Values'!$A:$A,0), MATCH($A311,'Fund YTD Target Values'!$1:$1,0)),0)</f>
        <v>100000</v>
      </c>
      <c r="S311" s="91">
        <f>IFERROR(__xludf.DUMMYFUNCTION("IFERROR(sum(FILTER('Fund Investment Data'!$V:$V, 'Fund Investment Data'!$C:$C = $C311, 'Fund Investment Data'!$A:$A &lt; $A311)),0) + IFERROR(sum(FILTER('Fund Investment Data'!$V:$V, 'Fund Investment Data'!$C:$C = $C311, 'Fund Investment Data'!$A:$A = $A311,"&amp;" 'Fund Investment Data'!$B:$B &lt;= $B311)),0)"),100000.0)</f>
        <v>100000</v>
      </c>
      <c r="T311" s="93">
        <v>100000.0</v>
      </c>
      <c r="U311" s="32">
        <f t="shared" si="3"/>
        <v>0</v>
      </c>
      <c r="V311" s="32">
        <f>IFERROR(__xludf.DUMMYFUNCTION("$D311 - IFERROR(FILTER($D:$D,$C:$C = $C311, $A:$A = $A311, $B:$B = $B311 - 1),0)"),100000.0)</f>
        <v>100000</v>
      </c>
      <c r="W311" s="93">
        <f>IFERROR(__xludf.DUMMYFUNCTION("$E311 - IFERROR(FILTER($E:$E,$C:$C = $C311, $A:$A = $A311, $B:$B = $B311 - 1),0)"),0.0)</f>
        <v>0</v>
      </c>
      <c r="X311" s="93"/>
      <c r="Y311" s="93"/>
      <c r="Z311" s="93">
        <v>0.0</v>
      </c>
      <c r="AA311" s="93">
        <v>0.0</v>
      </c>
      <c r="AB311" s="93">
        <v>0.0</v>
      </c>
      <c r="AC311" s="93"/>
      <c r="AD311" s="93">
        <v>0.0</v>
      </c>
      <c r="AE311" s="32">
        <f t="shared" si="2"/>
        <v>0</v>
      </c>
      <c r="AF311" s="93">
        <v>0.0</v>
      </c>
    </row>
    <row r="312">
      <c r="A312" s="86">
        <v>2012.0</v>
      </c>
      <c r="B312" s="87">
        <v>12.0</v>
      </c>
      <c r="C312" s="88" t="s">
        <v>54</v>
      </c>
      <c r="D312" s="93">
        <v>1000.0</v>
      </c>
      <c r="E312" s="93">
        <v>-7000.0</v>
      </c>
      <c r="F312" s="93"/>
      <c r="G312" s="93">
        <v>-761.23</v>
      </c>
      <c r="H312" s="93">
        <v>2570.06</v>
      </c>
      <c r="I312" s="93">
        <v>297.71</v>
      </c>
      <c r="J312" s="93">
        <v>12226.2</v>
      </c>
      <c r="K312" s="32"/>
      <c r="L312" s="32"/>
      <c r="M312" s="32"/>
      <c r="N312" s="32"/>
      <c r="O312" s="93">
        <v>128554.0</v>
      </c>
      <c r="P312" s="91">
        <f>IFERROR(__xludf.DUMMYFUNCTION("IFERROR(sum(FILTER($D:$N,$C:$C = $C312,$A:$A &lt; $A312,$B:$B = 12)),0) + sum($D312:$N312)"),128553.76999999996)</f>
        <v>128553.77</v>
      </c>
      <c r="Q312" s="92">
        <f t="shared" si="1"/>
        <v>0.23</v>
      </c>
      <c r="R312" s="91">
        <f t="array" ref="R312">IFERROR(INDEX('Fund YTD Target Values'!$1:$1000, MATCH($C312,'Fund YTD Target Values'!$A:$A,0), MATCH($A312,'Fund YTD Target Values'!$1:$1,0)),0)</f>
        <v>126393.3606</v>
      </c>
      <c r="S312" s="91">
        <f>IFERROR(__xludf.DUMMYFUNCTION("IFERROR(sum(FILTER('Fund Investment Data'!$V:$V, 'Fund Investment Data'!$C:$C = $C312, 'Fund Investment Data'!$A:$A &lt; $A312)),0) + IFERROR(sum(FILTER('Fund Investment Data'!$V:$V, 'Fund Investment Data'!$C:$C = $C312, 'Fund Investment Data'!$A:$A = $A312,"&amp;" 'Fund Investment Data'!$B:$B &lt;= $B312)),0)"),96290.10999999999)</f>
        <v>96290.11</v>
      </c>
      <c r="T312" s="93">
        <v>92674.0</v>
      </c>
      <c r="U312" s="32">
        <f t="shared" si="3"/>
        <v>3616.11</v>
      </c>
      <c r="V312" s="32">
        <f>IFERROR(__xludf.DUMMYFUNCTION("$D312 - IFERROR(FILTER($D:$D,$C:$C = $C312, $A:$A = $A312, $B:$B = $B312 - 1),0)"),1000.0)</f>
        <v>1000</v>
      </c>
      <c r="W312" s="93">
        <f>IFERROR(__xludf.DUMMYFUNCTION("$E312 - IFERROR(FILTER($E:$E,$C:$C = $C312, $A:$A = $A312, $B:$B = $B312 - 1),0)"),-7000.0)</f>
        <v>-7000</v>
      </c>
      <c r="X312" s="93"/>
      <c r="Y312" s="93"/>
      <c r="Z312" s="93">
        <v>0.0</v>
      </c>
      <c r="AA312" s="93">
        <v>0.0</v>
      </c>
      <c r="AB312" s="93">
        <v>0.0</v>
      </c>
      <c r="AC312" s="93"/>
      <c r="AD312" s="93">
        <v>0.0</v>
      </c>
      <c r="AE312" s="32">
        <f t="shared" si="2"/>
        <v>-7000</v>
      </c>
      <c r="AF312" s="93">
        <v>0.0</v>
      </c>
    </row>
    <row r="313">
      <c r="A313" s="86">
        <v>2012.0</v>
      </c>
      <c r="B313" s="87">
        <v>12.0</v>
      </c>
      <c r="C313" s="88" t="s">
        <v>44</v>
      </c>
      <c r="D313" s="32"/>
      <c r="E313" s="93">
        <v>-7000.0</v>
      </c>
      <c r="F313" s="93"/>
      <c r="G313" s="93">
        <v>-1748.61</v>
      </c>
      <c r="H313" s="93">
        <v>5903.63</v>
      </c>
      <c r="I313" s="93">
        <v>1078.59</v>
      </c>
      <c r="J313" s="93">
        <v>27733.14</v>
      </c>
      <c r="K313" s="32"/>
      <c r="L313" s="32"/>
      <c r="M313" s="32"/>
      <c r="N313" s="32"/>
      <c r="O313" s="93">
        <v>300093.0</v>
      </c>
      <c r="P313" s="91">
        <f>IFERROR(__xludf.DUMMYFUNCTION("IFERROR(sum(FILTER($D:$N,$C:$C = $C313,$A:$A &lt; $A313,$B:$B = 12)),0) + sum($D313:$N313)"),300093.52)</f>
        <v>300093.52</v>
      </c>
      <c r="Q313" s="92">
        <f t="shared" si="1"/>
        <v>-0.52</v>
      </c>
      <c r="R313" s="91">
        <f t="array" ref="R313">IFERROR(INDEX('Fund YTD Target Values'!$1:$1000, MATCH($C313,'Fund YTD Target Values'!$A:$A,0), MATCH($A313,'Fund YTD Target Values'!$1:$1,0)),0)</f>
        <v>294026.7055</v>
      </c>
      <c r="S313" s="91">
        <f>IFERROR(__xludf.DUMMYFUNCTION("IFERROR(sum(FILTER('Fund Investment Data'!$V:$V, 'Fund Investment Data'!$C:$C = $C313, 'Fund Investment Data'!$A:$A &lt; $A313)),0) + IFERROR(sum(FILTER('Fund Investment Data'!$V:$V, 'Fund Investment Data'!$C:$C = $C313, 'Fund Investment Data'!$A:$A = $A313,"&amp;" 'Fund Investment Data'!$B:$B &lt;= $B313)),0)"),250000.0)</f>
        <v>250000</v>
      </c>
      <c r="T313" s="93">
        <v>250000.0</v>
      </c>
      <c r="U313" s="32">
        <f t="shared" si="3"/>
        <v>0</v>
      </c>
      <c r="V313" s="32">
        <f>IFERROR(__xludf.DUMMYFUNCTION("$D313 - IFERROR(FILTER($D:$D,$C:$C = $C313, $A:$A = $A313, $B:$B = $B313 - 1),0)"),0.0)</f>
        <v>0</v>
      </c>
      <c r="W313" s="93">
        <f>IFERROR(__xludf.DUMMYFUNCTION("$E313 - IFERROR(FILTER($E:$E,$C:$C = $C313, $A:$A = $A313, $B:$B = $B313 - 1),0)"),-7000.0)</f>
        <v>-7000</v>
      </c>
      <c r="X313" s="93"/>
      <c r="Y313" s="93"/>
      <c r="Z313" s="93">
        <v>0.0</v>
      </c>
      <c r="AA313" s="93">
        <v>0.0</v>
      </c>
      <c r="AB313" s="93">
        <v>0.0</v>
      </c>
      <c r="AC313" s="93"/>
      <c r="AD313" s="93">
        <v>0.0</v>
      </c>
      <c r="AE313" s="32">
        <f t="shared" si="2"/>
        <v>-7000</v>
      </c>
      <c r="AF313" s="93">
        <v>0.0</v>
      </c>
    </row>
    <row r="314">
      <c r="A314" s="86">
        <v>2012.0</v>
      </c>
      <c r="B314" s="87">
        <v>12.0</v>
      </c>
      <c r="C314" s="88" t="s">
        <v>45</v>
      </c>
      <c r="D314" s="32"/>
      <c r="E314" s="32"/>
      <c r="F314" s="93"/>
      <c r="G314" s="93">
        <v>-727.77</v>
      </c>
      <c r="H314" s="93">
        <v>2454.1</v>
      </c>
      <c r="I314" s="32"/>
      <c r="J314" s="93">
        <v>11977.98</v>
      </c>
      <c r="K314" s="32"/>
      <c r="L314" s="32"/>
      <c r="M314" s="32"/>
      <c r="N314" s="32"/>
      <c r="O314" s="93">
        <v>126875.0</v>
      </c>
      <c r="P314" s="91">
        <f>IFERROR(__xludf.DUMMYFUNCTION("IFERROR(sum(FILTER($D:$N,$C:$C = $C314,$A:$A &lt; $A314,$B:$B = 12)),0) + sum($D314:$N314)"),126876.18)</f>
        <v>126876.18</v>
      </c>
      <c r="Q314" s="92">
        <f t="shared" si="1"/>
        <v>-1.18</v>
      </c>
      <c r="R314" s="91">
        <f t="array" ref="R314">IFERROR(INDEX('Fund YTD Target Values'!$1:$1000, MATCH($C314,'Fund YTD Target Values'!$A:$A,0), MATCH($A314,'Fund YTD Target Values'!$1:$1,0)),0)</f>
        <v>110851.7255</v>
      </c>
      <c r="S314" s="91">
        <f>IFERROR(__xludf.DUMMYFUNCTION("IFERROR(sum(FILTER('Fund Investment Data'!$V:$V, 'Fund Investment Data'!$C:$C = $C314, 'Fund Investment Data'!$A:$A &lt; $A314)),0) + IFERROR(sum(FILTER('Fund Investment Data'!$V:$V, 'Fund Investment Data'!$C:$C = $C314, 'Fund Investment Data'!$A:$A = $A314,"&amp;" 'Fund Investment Data'!$B:$B &lt;= $B314)),0)"),100000.0)</f>
        <v>100000</v>
      </c>
      <c r="T314" s="93">
        <v>100000.0</v>
      </c>
      <c r="U314" s="32">
        <f t="shared" si="3"/>
        <v>0</v>
      </c>
      <c r="V314" s="32">
        <f>IFERROR(__xludf.DUMMYFUNCTION("$D314 - IFERROR(FILTER($D:$D,$C:$C = $C314, $A:$A = $A314, $B:$B = $B314 - 1),0)"),0.0)</f>
        <v>0</v>
      </c>
      <c r="W314" s="93">
        <f>IFERROR(__xludf.DUMMYFUNCTION("$E314 - IFERROR(FILTER($E:$E,$C:$C = $C314, $A:$A = $A314, $B:$B = $B314 - 1),0)"),0.0)</f>
        <v>0</v>
      </c>
      <c r="X314" s="93"/>
      <c r="Y314" s="93"/>
      <c r="Z314" s="93">
        <v>0.0</v>
      </c>
      <c r="AA314" s="93">
        <v>0.0</v>
      </c>
      <c r="AB314" s="93">
        <v>0.0</v>
      </c>
      <c r="AC314" s="93"/>
      <c r="AD314" s="93">
        <v>0.0</v>
      </c>
      <c r="AE314" s="32">
        <f t="shared" si="2"/>
        <v>0</v>
      </c>
      <c r="AF314" s="93">
        <v>0.0</v>
      </c>
    </row>
    <row r="315">
      <c r="A315" s="86">
        <v>2012.0</v>
      </c>
      <c r="B315" s="87">
        <v>12.0</v>
      </c>
      <c r="C315" s="88" t="s">
        <v>35</v>
      </c>
      <c r="D315" s="32"/>
      <c r="E315" s="93">
        <v>-58100.0</v>
      </c>
      <c r="F315" s="93"/>
      <c r="G315" s="93">
        <v>-8034.25</v>
      </c>
      <c r="H315" s="93">
        <v>27296.67</v>
      </c>
      <c r="I315" s="93">
        <v>7360.6</v>
      </c>
      <c r="J315" s="93">
        <v>125263.83</v>
      </c>
      <c r="K315" s="32"/>
      <c r="L315" s="32"/>
      <c r="M315" s="32"/>
      <c r="N315" s="32"/>
      <c r="O315" s="93">
        <v>1358269.0</v>
      </c>
      <c r="P315" s="91">
        <f>IFERROR(__xludf.DUMMYFUNCTION("IFERROR(sum(FILTER($D:$N,$C:$C = $C315,$A:$A &lt; $A315,$B:$B = 12)),0) + sum($D315:$N315)"),1358267.2100000004)</f>
        <v>1358267.21</v>
      </c>
      <c r="Q315" s="92">
        <f t="shared" si="1"/>
        <v>1.79</v>
      </c>
      <c r="R315" s="91">
        <f t="array" ref="R315">IFERROR(INDEX('Fund YTD Target Values'!$1:$1000, MATCH($C315,'Fund YTD Target Values'!$A:$A,0), MATCH($A315,'Fund YTD Target Values'!$1:$1,0)),0)</f>
        <v>1424022.968</v>
      </c>
      <c r="S315" s="91">
        <f>IFERROR(__xludf.DUMMYFUNCTION("IFERROR(sum(FILTER('Fund Investment Data'!$V:$V, 'Fund Investment Data'!$C:$C = $C315, 'Fund Investment Data'!$A:$A &lt; $A315)),0) + IFERROR(sum(FILTER('Fund Investment Data'!$V:$V, 'Fund Investment Data'!$C:$C = $C315, 'Fund Investment Data'!$A:$A = $A315,"&amp;" 'Fund Investment Data'!$B:$B &lt;= $B315)),0)"),1066125.0)</f>
        <v>1066125</v>
      </c>
      <c r="T315" s="93">
        <v>1051125.0</v>
      </c>
      <c r="U315" s="32">
        <f t="shared" si="3"/>
        <v>15000</v>
      </c>
      <c r="V315" s="32">
        <f>IFERROR(__xludf.DUMMYFUNCTION("$D315 - IFERROR(FILTER($D:$D,$C:$C = $C315, $A:$A = $A315, $B:$B = $B315 - 1),0)"),0.0)</f>
        <v>0</v>
      </c>
      <c r="W315" s="93">
        <f>IFERROR(__xludf.DUMMYFUNCTION("$E315 - IFERROR(FILTER($E:$E,$C:$C = $C315, $A:$A = $A315, $B:$B = $B315 - 1),0)"),-58100.0)</f>
        <v>-58100</v>
      </c>
      <c r="X315" s="93"/>
      <c r="Y315" s="93"/>
      <c r="Z315" s="93">
        <v>0.0</v>
      </c>
      <c r="AA315" s="93">
        <v>0.0</v>
      </c>
      <c r="AB315" s="93">
        <v>0.0</v>
      </c>
      <c r="AC315" s="93"/>
      <c r="AD315" s="93">
        <v>0.0</v>
      </c>
      <c r="AE315" s="32">
        <f t="shared" si="2"/>
        <v>-58100</v>
      </c>
      <c r="AF315" s="93">
        <v>0.0</v>
      </c>
    </row>
    <row r="316">
      <c r="A316" s="86">
        <v>2013.0</v>
      </c>
      <c r="B316" s="87">
        <v>12.0</v>
      </c>
      <c r="C316" s="88" t="s">
        <v>26</v>
      </c>
      <c r="D316" s="32"/>
      <c r="E316" s="93">
        <v>-15000.0</v>
      </c>
      <c r="F316" s="93"/>
      <c r="G316" s="93">
        <v>-1668.38</v>
      </c>
      <c r="H316" s="93">
        <v>5802.07</v>
      </c>
      <c r="I316" s="93">
        <v>2048.79</v>
      </c>
      <c r="J316" s="93">
        <v>23076.71</v>
      </c>
      <c r="K316" s="32"/>
      <c r="L316" s="32"/>
      <c r="M316" s="32"/>
      <c r="N316" s="32"/>
      <c r="O316" s="93">
        <v>287265.0</v>
      </c>
      <c r="P316" s="91">
        <f>IFERROR(__xludf.DUMMYFUNCTION("IFERROR(sum(FILTER($D:$N,$C:$C = $C316,$A:$A &lt; $A316,$B:$B = 12)),0) + sum($D316:$N316)"),287264.37999999995)</f>
        <v>287264.38</v>
      </c>
      <c r="Q316" s="92">
        <f t="shared" si="1"/>
        <v>0.6200000001</v>
      </c>
      <c r="R316" s="91">
        <f t="array" ref="R316">IFERROR(INDEX('Fund YTD Target Values'!$1:$1000, MATCH($C316,'Fund YTD Target Values'!$A:$A,0), MATCH($A316,'Fund YTD Target Values'!$1:$1,0)),0)</f>
        <v>293013.1921</v>
      </c>
      <c r="S316" s="91">
        <f>IFERROR(__xludf.DUMMYFUNCTION("IFERROR(sum(FILTER('Fund Investment Data'!$V:$V, 'Fund Investment Data'!$C:$C = $C316, 'Fund Investment Data'!$A:$A &lt; $A316)),0) + IFERROR(sum(FILTER('Fund Investment Data'!$V:$V, 'Fund Investment Data'!$C:$C = $C316, 'Fund Investment Data'!$A:$A = $A316,"&amp;" 'Fund Investment Data'!$B:$B &lt;= $B316)),0)"),250000.0)</f>
        <v>250000</v>
      </c>
      <c r="T316" s="93">
        <v>250000.0</v>
      </c>
      <c r="U316" s="32">
        <f t="shared" si="3"/>
        <v>0</v>
      </c>
      <c r="V316" s="32">
        <f>IFERROR(__xludf.DUMMYFUNCTION("$D316 - IFERROR(FILTER($D:$D,$C:$C = $C316, $A:$A = $A316, $B:$B = $B316 - 1),0)"),0.0)</f>
        <v>0</v>
      </c>
      <c r="W316" s="93">
        <f>IFERROR(__xludf.DUMMYFUNCTION("$E316 - IFERROR(FILTER($E:$E,$C:$C = $C316, $A:$A = $A316, $B:$B = $B316 - 1),0)"),-15000.0)</f>
        <v>-15000</v>
      </c>
      <c r="X316" s="93"/>
      <c r="Y316" s="93"/>
      <c r="Z316" s="93">
        <v>0.0</v>
      </c>
      <c r="AA316" s="93">
        <v>0.0</v>
      </c>
      <c r="AB316" s="93">
        <v>0.0</v>
      </c>
      <c r="AC316" s="93"/>
      <c r="AD316" s="93">
        <v>0.0</v>
      </c>
      <c r="AE316" s="32">
        <f t="shared" si="2"/>
        <v>-15000</v>
      </c>
      <c r="AF316" s="93">
        <v>0.0</v>
      </c>
    </row>
    <row r="317">
      <c r="A317" s="86">
        <v>2013.0</v>
      </c>
      <c r="B317" s="87">
        <v>12.0</v>
      </c>
      <c r="C317" s="88" t="s">
        <v>27</v>
      </c>
      <c r="D317" s="32"/>
      <c r="E317" s="93">
        <v>-15000.0</v>
      </c>
      <c r="F317" s="93"/>
      <c r="G317" s="93">
        <v>-1878.13</v>
      </c>
      <c r="H317" s="93">
        <v>6522.24</v>
      </c>
      <c r="I317" s="93">
        <v>3487.47</v>
      </c>
      <c r="J317" s="93">
        <v>24714.43</v>
      </c>
      <c r="K317" s="32"/>
      <c r="L317" s="32"/>
      <c r="M317" s="32"/>
      <c r="N317" s="32"/>
      <c r="O317" s="93">
        <v>324153.0</v>
      </c>
      <c r="P317" s="91">
        <f>IFERROR(__xludf.DUMMYFUNCTION("IFERROR(sum(FILTER($D:$N,$C:$C = $C317,$A:$A &lt; $A317,$B:$B = 12)),0) + sum($D317:$N317)"),324153.4700000001)</f>
        <v>324153.47</v>
      </c>
      <c r="Q317" s="92">
        <f t="shared" si="1"/>
        <v>-0.4700000001</v>
      </c>
      <c r="R317" s="91">
        <f t="array" ref="R317">IFERROR(INDEX('Fund YTD Target Values'!$1:$1000, MATCH($C317,'Fund YTD Target Values'!$A:$A,0), MATCH($A317,'Fund YTD Target Values'!$1:$1,0)),0)</f>
        <v>364863.9007</v>
      </c>
      <c r="S317" s="91">
        <f>IFERROR(__xludf.DUMMYFUNCTION("IFERROR(sum(FILTER('Fund Investment Data'!$V:$V, 'Fund Investment Data'!$C:$C = $C317, 'Fund Investment Data'!$A:$A &lt; $A317)),0) + IFERROR(sum(FILTER('Fund Investment Data'!$V:$V, 'Fund Investment Data'!$C:$C = $C317, 'Fund Investment Data'!$A:$A = $A317,"&amp;" 'Fund Investment Data'!$B:$B &lt;= $B317)),0)"),276213.69999999995)</f>
        <v>276213.7</v>
      </c>
      <c r="T317" s="93">
        <v>272248.0</v>
      </c>
      <c r="U317" s="32">
        <f t="shared" si="3"/>
        <v>3965.7</v>
      </c>
      <c r="V317" s="32">
        <f>IFERROR(__xludf.DUMMYFUNCTION("$D317 - IFERROR(FILTER($D:$D,$C:$C = $C317, $A:$A = $A317, $B:$B = $B317 - 1),0)"),0.0)</f>
        <v>0</v>
      </c>
      <c r="W317" s="93">
        <f>IFERROR(__xludf.DUMMYFUNCTION("$E317 - IFERROR(FILTER($E:$E,$C:$C = $C317, $A:$A = $A317, $B:$B = $B317 - 1),0)"),-15000.0)</f>
        <v>-15000</v>
      </c>
      <c r="X317" s="93"/>
      <c r="Y317" s="93"/>
      <c r="Z317" s="93">
        <v>0.0</v>
      </c>
      <c r="AA317" s="93">
        <v>0.0</v>
      </c>
      <c r="AB317" s="93">
        <v>0.0</v>
      </c>
      <c r="AC317" s="93"/>
      <c r="AD317" s="93">
        <v>0.0</v>
      </c>
      <c r="AE317" s="32">
        <f t="shared" si="2"/>
        <v>-15000</v>
      </c>
      <c r="AF317" s="93">
        <v>0.0</v>
      </c>
    </row>
    <row r="318">
      <c r="A318" s="86">
        <v>2013.0</v>
      </c>
      <c r="B318" s="87">
        <v>12.0</v>
      </c>
      <c r="C318" s="88" t="s">
        <v>28</v>
      </c>
      <c r="D318" s="32"/>
      <c r="E318" s="93">
        <v>-215000.0</v>
      </c>
      <c r="F318" s="93"/>
      <c r="G318" s="93">
        <v>-20612.87</v>
      </c>
      <c r="H318" s="93">
        <v>71794.85</v>
      </c>
      <c r="I318" s="93">
        <v>22193.38</v>
      </c>
      <c r="J318" s="93">
        <v>285572.96</v>
      </c>
      <c r="K318" s="32"/>
      <c r="L318" s="32"/>
      <c r="M318" s="32"/>
      <c r="N318" s="32"/>
      <c r="O318" s="93">
        <v>3512660.0</v>
      </c>
      <c r="P318" s="91">
        <f>IFERROR(__xludf.DUMMYFUNCTION("IFERROR(sum(FILTER($D:$N,$C:$C = $C318,$A:$A &lt; $A318,$B:$B = 12)),0) + sum($D318:$N318)"),3512658.59)</f>
        <v>3512658.59</v>
      </c>
      <c r="Q318" s="92">
        <f t="shared" si="1"/>
        <v>1.41</v>
      </c>
      <c r="R318" s="91">
        <f t="array" ref="R318">IFERROR(INDEX('Fund YTD Target Values'!$1:$1000, MATCH($C318,'Fund YTD Target Values'!$A:$A,0), MATCH($A318,'Fund YTD Target Values'!$1:$1,0)),0)</f>
        <v>3562837.197</v>
      </c>
      <c r="S318" s="91">
        <f>IFERROR(__xludf.DUMMYFUNCTION("IFERROR(sum(FILTER('Fund Investment Data'!$V:$V, 'Fund Investment Data'!$C:$C = $C318, 'Fund Investment Data'!$A:$A &lt; $A318)),0) + IFERROR(sum(FILTER('Fund Investment Data'!$V:$V, 'Fund Investment Data'!$C:$C = $C318, 'Fund Investment Data'!$A:$A = $A318,"&amp;" 'Fund Investment Data'!$B:$B &lt;= $B318)),0)"),2960091.25)</f>
        <v>2960091.25</v>
      </c>
      <c r="T318" s="93">
        <v>3009816.0</v>
      </c>
      <c r="U318" s="32">
        <f t="shared" si="3"/>
        <v>-49724.75</v>
      </c>
      <c r="V318" s="32">
        <f>IFERROR(__xludf.DUMMYFUNCTION("$D318 - IFERROR(FILTER($D:$D,$C:$C = $C318, $A:$A = $A318, $B:$B = $B318 - 1),0)"),0.0)</f>
        <v>0</v>
      </c>
      <c r="W318" s="93">
        <f>IFERROR(__xludf.DUMMYFUNCTION("$E318 - IFERROR(FILTER($E:$E,$C:$C = $C318, $A:$A = $A318, $B:$B = $B318 - 1),0)"),-215000.0)</f>
        <v>-215000</v>
      </c>
      <c r="X318" s="93"/>
      <c r="Y318" s="93"/>
      <c r="Z318" s="93">
        <v>0.0</v>
      </c>
      <c r="AA318" s="93">
        <v>0.0</v>
      </c>
      <c r="AB318" s="93">
        <v>0.0</v>
      </c>
      <c r="AC318" s="93"/>
      <c r="AD318" s="93">
        <v>0.0</v>
      </c>
      <c r="AE318" s="32">
        <f t="shared" si="2"/>
        <v>-215000</v>
      </c>
      <c r="AF318" s="93">
        <v>0.0</v>
      </c>
    </row>
    <row r="319">
      <c r="A319" s="86">
        <v>2013.0</v>
      </c>
      <c r="B319" s="87">
        <v>12.0</v>
      </c>
      <c r="C319" s="88" t="s">
        <v>46</v>
      </c>
      <c r="D319" s="32"/>
      <c r="E319" s="93">
        <v>-17500.0</v>
      </c>
      <c r="F319" s="93"/>
      <c r="G319" s="93">
        <v>-2606.29</v>
      </c>
      <c r="H319" s="93">
        <v>8955.48</v>
      </c>
      <c r="I319" s="93">
        <v>3645.79</v>
      </c>
      <c r="J319" s="93">
        <v>34288.85</v>
      </c>
      <c r="K319" s="32"/>
      <c r="L319" s="32"/>
      <c r="M319" s="32"/>
      <c r="N319" s="32"/>
      <c r="O319" s="93">
        <v>447597.0</v>
      </c>
      <c r="P319" s="91">
        <f>IFERROR(__xludf.DUMMYFUNCTION("IFERROR(sum(FILTER($D:$N,$C:$C = $C319,$A:$A &lt; $A319,$B:$B = 12)),0) + sum($D319:$N319)"),447597.64)</f>
        <v>447597.64</v>
      </c>
      <c r="Q319" s="92">
        <f t="shared" si="1"/>
        <v>-0.64</v>
      </c>
      <c r="R319" s="91">
        <f t="array" ref="R319">IFERROR(INDEX('Fund YTD Target Values'!$1:$1000, MATCH($C319,'Fund YTD Target Values'!$A:$A,0), MATCH($A319,'Fund YTD Target Values'!$1:$1,0)),0)</f>
        <v>423540.6326</v>
      </c>
      <c r="S319" s="91">
        <f>IFERROR(__xludf.DUMMYFUNCTION("IFERROR(sum(FILTER('Fund Investment Data'!$V:$V, 'Fund Investment Data'!$C:$C = $C319, 'Fund Investment Data'!$A:$A &lt; $A319)),0) + IFERROR(sum(FILTER('Fund Investment Data'!$V:$V, 'Fund Investment Data'!$C:$C = $C319, 'Fund Investment Data'!$A:$A = $A319,"&amp;" 'Fund Investment Data'!$B:$B &lt;= $B319)),0)"),366400.0)</f>
        <v>366400</v>
      </c>
      <c r="T319" s="93">
        <v>366400.0</v>
      </c>
      <c r="U319" s="32">
        <f t="shared" si="3"/>
        <v>0</v>
      </c>
      <c r="V319" s="32">
        <f>IFERROR(__xludf.DUMMYFUNCTION("$D319 - IFERROR(FILTER($D:$D,$C:$C = $C319, $A:$A = $A319, $B:$B = $B319 - 1),0)"),0.0)</f>
        <v>0</v>
      </c>
      <c r="W319" s="93">
        <f>IFERROR(__xludf.DUMMYFUNCTION("$E319 - IFERROR(FILTER($E:$E,$C:$C = $C319, $A:$A = $A319, $B:$B = $B319 - 1),0)"),-17500.0)</f>
        <v>-17500</v>
      </c>
      <c r="X319" s="93"/>
      <c r="Y319" s="93"/>
      <c r="Z319" s="93">
        <v>0.0</v>
      </c>
      <c r="AA319" s="93">
        <v>0.0</v>
      </c>
      <c r="AB319" s="93">
        <v>0.0</v>
      </c>
      <c r="AC319" s="93"/>
      <c r="AD319" s="93">
        <v>0.0</v>
      </c>
      <c r="AE319" s="32">
        <f t="shared" si="2"/>
        <v>-17500</v>
      </c>
      <c r="AF319" s="93">
        <v>0.0</v>
      </c>
    </row>
    <row r="320">
      <c r="A320" s="86">
        <v>2013.0</v>
      </c>
      <c r="B320" s="87">
        <v>12.0</v>
      </c>
      <c r="C320" s="88" t="s">
        <v>36</v>
      </c>
      <c r="D320" s="32"/>
      <c r="E320" s="93">
        <v>-27000.0</v>
      </c>
      <c r="F320" s="93"/>
      <c r="G320" s="93">
        <v>-2758.94</v>
      </c>
      <c r="H320" s="93">
        <v>9462.55</v>
      </c>
      <c r="I320" s="93">
        <v>4650.39</v>
      </c>
      <c r="J320" s="93">
        <v>36286.51</v>
      </c>
      <c r="K320" s="32"/>
      <c r="L320" s="32"/>
      <c r="M320" s="32"/>
      <c r="N320" s="32"/>
      <c r="O320" s="93">
        <v>474473.0</v>
      </c>
      <c r="P320" s="91">
        <f>IFERROR(__xludf.DUMMYFUNCTION("IFERROR(sum(FILTER($D:$N,$C:$C = $C320,$A:$A &lt; $A320,$B:$B = 12)),0) + sum($D320:$N320)"),474472.2300000001)</f>
        <v>474472.23</v>
      </c>
      <c r="Q320" s="92">
        <f t="shared" si="1"/>
        <v>0.7699999999</v>
      </c>
      <c r="R320" s="91">
        <f t="array" ref="R320">IFERROR(INDEX('Fund YTD Target Values'!$1:$1000, MATCH($C320,'Fund YTD Target Values'!$A:$A,0), MATCH($A320,'Fund YTD Target Values'!$1:$1,0)),0)</f>
        <v>589543.7605</v>
      </c>
      <c r="S320" s="91">
        <f>IFERROR(__xludf.DUMMYFUNCTION("IFERROR(sum(FILTER('Fund Investment Data'!$V:$V, 'Fund Investment Data'!$C:$C = $C320, 'Fund Investment Data'!$A:$A &lt; $A320)),0) + IFERROR(sum(FILTER('Fund Investment Data'!$V:$V, 'Fund Investment Data'!$C:$C = $C320, 'Fund Investment Data'!$A:$A = $A320,"&amp;" 'Fund Investment Data'!$B:$B &lt;= $B320)),0)"),429067.24)</f>
        <v>429067.24</v>
      </c>
      <c r="T320" s="93">
        <v>413959.0</v>
      </c>
      <c r="U320" s="32">
        <f t="shared" si="3"/>
        <v>15108.24</v>
      </c>
      <c r="V320" s="32">
        <f>IFERROR(__xludf.DUMMYFUNCTION("$D320 - IFERROR(FILTER($D:$D,$C:$C = $C320, $A:$A = $A320, $B:$B = $B320 - 1),0)"),0.0)</f>
        <v>0</v>
      </c>
      <c r="W320" s="93">
        <f>IFERROR(__xludf.DUMMYFUNCTION("$E320 - IFERROR(FILTER($E:$E,$C:$C = $C320, $A:$A = $A320, $B:$B = $B320 - 1),0)"),-27000.0)</f>
        <v>-27000</v>
      </c>
      <c r="X320" s="93"/>
      <c r="Y320" s="93"/>
      <c r="Z320" s="93">
        <v>0.0</v>
      </c>
      <c r="AA320" s="93">
        <v>0.0</v>
      </c>
      <c r="AB320" s="93">
        <v>0.0</v>
      </c>
      <c r="AC320" s="93"/>
      <c r="AD320" s="93">
        <v>0.0</v>
      </c>
      <c r="AE320" s="32">
        <f t="shared" si="2"/>
        <v>-27000</v>
      </c>
      <c r="AF320" s="93">
        <v>0.0</v>
      </c>
    </row>
    <row r="321">
      <c r="A321" s="86">
        <v>2013.0</v>
      </c>
      <c r="B321" s="87">
        <v>12.0</v>
      </c>
      <c r="C321" s="88" t="s">
        <v>37</v>
      </c>
      <c r="D321" s="93">
        <v>20000.0</v>
      </c>
      <c r="E321" s="93">
        <v>-26000.0</v>
      </c>
      <c r="F321" s="93"/>
      <c r="G321" s="93">
        <f>-5238.4-1500</f>
        <v>-6738.4</v>
      </c>
      <c r="H321" s="93">
        <v>18126.44</v>
      </c>
      <c r="I321" s="93">
        <v>1807.08</v>
      </c>
      <c r="J321" s="93">
        <v>75866.11</v>
      </c>
      <c r="K321" s="32"/>
      <c r="L321" s="32"/>
      <c r="M321" s="32"/>
      <c r="N321" s="32"/>
      <c r="O321" s="93">
        <v>919118.0</v>
      </c>
      <c r="P321" s="91">
        <f>IFERROR(__xludf.DUMMYFUNCTION("IFERROR(sum(FILTER($D:$N,$C:$C = $C321,$A:$A &lt; $A321,$B:$B = 12)),0) + sum($D321:$N321)"),919117.5200000001)</f>
        <v>919117.52</v>
      </c>
      <c r="Q321" s="92">
        <f t="shared" si="1"/>
        <v>0.4799999999</v>
      </c>
      <c r="R321" s="91">
        <f t="array" ref="R321">IFERROR(INDEX('Fund YTD Target Values'!$1:$1000, MATCH($C321,'Fund YTD Target Values'!$A:$A,0), MATCH($A321,'Fund YTD Target Values'!$1:$1,0)),0)</f>
        <v>784486.6668</v>
      </c>
      <c r="S321" s="91">
        <f>IFERROR(__xludf.DUMMYFUNCTION("IFERROR(sum(FILTER('Fund Investment Data'!$V:$V, 'Fund Investment Data'!$C:$C = $C321, 'Fund Investment Data'!$A:$A &lt; $A321)),0) + IFERROR(sum(FILTER('Fund Investment Data'!$V:$V, 'Fund Investment Data'!$C:$C = $C321, 'Fund Investment Data'!$A:$A = $A321,"&amp;" 'Fund Investment Data'!$B:$B &lt;= $B321)),0)"),758137.86)</f>
        <v>758137.86</v>
      </c>
      <c r="T321" s="93">
        <v>742866.0</v>
      </c>
      <c r="U321" s="32">
        <f t="shared" si="3"/>
        <v>15271.86</v>
      </c>
      <c r="V321" s="32">
        <f>IFERROR(__xludf.DUMMYFUNCTION("$D321 - IFERROR(FILTER($D:$D,$C:$C = $C321, $A:$A = $A321, $B:$B = $B321 - 1),0)"),20000.0)</f>
        <v>20000</v>
      </c>
      <c r="W321" s="93">
        <f>IFERROR(__xludf.DUMMYFUNCTION("$E321 - IFERROR(FILTER($E:$E,$C:$C = $C321, $A:$A = $A321, $B:$B = $B321 - 1),0)"),-26000.0)</f>
        <v>-26000</v>
      </c>
      <c r="X321" s="93"/>
      <c r="Y321" s="93"/>
      <c r="Z321" s="93">
        <v>0.0</v>
      </c>
      <c r="AA321" s="93">
        <v>0.0</v>
      </c>
      <c r="AB321" s="93">
        <v>0.0</v>
      </c>
      <c r="AC321" s="93"/>
      <c r="AD321" s="93">
        <v>0.0</v>
      </c>
      <c r="AE321" s="32">
        <f t="shared" si="2"/>
        <v>-26000</v>
      </c>
      <c r="AF321" s="93">
        <v>0.0</v>
      </c>
    </row>
    <row r="322">
      <c r="A322" s="86">
        <v>2013.0</v>
      </c>
      <c r="B322" s="87">
        <v>12.0</v>
      </c>
      <c r="C322" s="88" t="s">
        <v>29</v>
      </c>
      <c r="D322" s="32"/>
      <c r="E322" s="93">
        <v>-3000.0</v>
      </c>
      <c r="F322" s="93"/>
      <c r="G322" s="93">
        <v>-351.35</v>
      </c>
      <c r="H322" s="93">
        <v>1215.56</v>
      </c>
      <c r="I322" s="93">
        <v>568.84</v>
      </c>
      <c r="J322" s="93">
        <v>4478.92</v>
      </c>
      <c r="K322" s="32"/>
      <c r="L322" s="32"/>
      <c r="M322" s="32"/>
      <c r="N322" s="32"/>
      <c r="O322" s="93">
        <v>59949.0</v>
      </c>
      <c r="P322" s="91">
        <f>IFERROR(__xludf.DUMMYFUNCTION("IFERROR(sum(FILTER($D:$N,$C:$C = $C322,$A:$A &lt; $A322,$B:$B = 12)),0) + sum($D322:$N322)"),59948.93999999994)</f>
        <v>59948.94</v>
      </c>
      <c r="Q322" s="92">
        <f t="shared" si="1"/>
        <v>0.06000000006</v>
      </c>
      <c r="R322" s="91">
        <f t="array" ref="R322">IFERROR(INDEX('Fund YTD Target Values'!$1:$1000, MATCH($C322,'Fund YTD Target Values'!$A:$A,0), MATCH($A322,'Fund YTD Target Values'!$1:$1,0)),0)</f>
        <v>71485.13581</v>
      </c>
      <c r="S322" s="91">
        <f>IFERROR(__xludf.DUMMYFUNCTION("IFERROR(sum(FILTER('Fund Investment Data'!$V:$V, 'Fund Investment Data'!$C:$C = $C322, 'Fund Investment Data'!$A:$A &lt; $A322)),0) + IFERROR(sum(FILTER('Fund Investment Data'!$V:$V, 'Fund Investment Data'!$C:$C = $C322, 'Fund Investment Data'!$A:$A = $A322,"&amp;" 'Fund Investment Data'!$B:$B &lt;= $B322)),0)"),50000.0)</f>
        <v>50000</v>
      </c>
      <c r="T322" s="93">
        <v>50000.0</v>
      </c>
      <c r="U322" s="32">
        <f t="shared" si="3"/>
        <v>0</v>
      </c>
      <c r="V322" s="32">
        <f>IFERROR(__xludf.DUMMYFUNCTION("$D322 - IFERROR(FILTER($D:$D,$C:$C = $C322, $A:$A = $A322, $B:$B = $B322 - 1),0)"),0.0)</f>
        <v>0</v>
      </c>
      <c r="W322" s="93">
        <f>IFERROR(__xludf.DUMMYFUNCTION("$E322 - IFERROR(FILTER($E:$E,$C:$C = $C322, $A:$A = $A322, $B:$B = $B322 - 1),0)"),-3000.0)</f>
        <v>-3000</v>
      </c>
      <c r="X322" s="93"/>
      <c r="Y322" s="93"/>
      <c r="Z322" s="93">
        <v>0.0</v>
      </c>
      <c r="AA322" s="93">
        <v>0.0</v>
      </c>
      <c r="AB322" s="93">
        <v>0.0</v>
      </c>
      <c r="AC322" s="93"/>
      <c r="AD322" s="93">
        <v>0.0</v>
      </c>
      <c r="AE322" s="32">
        <f t="shared" si="2"/>
        <v>-3000</v>
      </c>
      <c r="AF322" s="93">
        <v>0.0</v>
      </c>
    </row>
    <row r="323">
      <c r="A323" s="86">
        <v>2013.0</v>
      </c>
      <c r="B323" s="87">
        <v>12.0</v>
      </c>
      <c r="C323" s="88" t="s">
        <v>38</v>
      </c>
      <c r="D323" s="32"/>
      <c r="E323" s="93">
        <v>-7300.0</v>
      </c>
      <c r="F323" s="93"/>
      <c r="G323" s="93">
        <v>-4200.18</v>
      </c>
      <c r="H323" s="93">
        <v>14150.74</v>
      </c>
      <c r="I323" s="93">
        <v>762.53</v>
      </c>
      <c r="J323" s="93">
        <v>59755.77</v>
      </c>
      <c r="K323" s="32"/>
      <c r="L323" s="32"/>
      <c r="M323" s="32"/>
      <c r="N323" s="32"/>
      <c r="O323" s="93">
        <v>734438.0</v>
      </c>
      <c r="P323" s="91">
        <f>IFERROR(__xludf.DUMMYFUNCTION("IFERROR(sum(FILTER($D:$N,$C:$C = $C323,$A:$A &lt; $A323,$B:$B = 12)),0) + sum($D323:$N323)"),734437.3699999999)</f>
        <v>734437.37</v>
      </c>
      <c r="Q323" s="92">
        <f t="shared" si="1"/>
        <v>0.6300000001</v>
      </c>
      <c r="R323" s="91">
        <f t="array" ref="R323">IFERROR(INDEX('Fund YTD Target Values'!$1:$1000, MATCH($C323,'Fund YTD Target Values'!$A:$A,0), MATCH($A323,'Fund YTD Target Values'!$1:$1,0)),0)</f>
        <v>651726.2442</v>
      </c>
      <c r="S323" s="91">
        <f>IFERROR(__xludf.DUMMYFUNCTION("IFERROR(sum(FILTER('Fund Investment Data'!$V:$V, 'Fund Investment Data'!$C:$C = $C323, 'Fund Investment Data'!$A:$A &lt; $A323)),0) + IFERROR(sum(FILTER('Fund Investment Data'!$V:$V, 'Fund Investment Data'!$C:$C = $C323, 'Fund Investment Data'!$A:$A = $A323,"&amp;" 'Fund Investment Data'!$B:$B &lt;= $B323)),0)"),556601.64)</f>
        <v>556601.64</v>
      </c>
      <c r="T323" s="93">
        <v>558656.0</v>
      </c>
      <c r="U323" s="32">
        <f t="shared" si="3"/>
        <v>-2054.36</v>
      </c>
      <c r="V323" s="32">
        <f>IFERROR(__xludf.DUMMYFUNCTION("$D323 - IFERROR(FILTER($D:$D,$C:$C = $C323, $A:$A = $A323, $B:$B = $B323 - 1),0)"),0.0)</f>
        <v>0</v>
      </c>
      <c r="W323" s="93">
        <f>IFERROR(__xludf.DUMMYFUNCTION("$E323 - IFERROR(FILTER($E:$E,$C:$C = $C323, $A:$A = $A323, $B:$B = $B323 - 1),0)"),-7300.0)</f>
        <v>-7300</v>
      </c>
      <c r="X323" s="93"/>
      <c r="Y323" s="93"/>
      <c r="Z323" s="93">
        <v>0.0</v>
      </c>
      <c r="AA323" s="93">
        <v>0.0</v>
      </c>
      <c r="AB323" s="93">
        <v>0.0</v>
      </c>
      <c r="AC323" s="93"/>
      <c r="AD323" s="93">
        <v>0.0</v>
      </c>
      <c r="AE323" s="32">
        <f t="shared" si="2"/>
        <v>-7300</v>
      </c>
      <c r="AF323" s="93">
        <v>0.0</v>
      </c>
    </row>
    <row r="324">
      <c r="A324" s="86">
        <v>2013.0</v>
      </c>
      <c r="B324" s="87">
        <v>12.0</v>
      </c>
      <c r="C324" s="88" t="s">
        <v>30</v>
      </c>
      <c r="D324" s="32"/>
      <c r="E324" s="93">
        <v>-2000.0</v>
      </c>
      <c r="F324" s="93"/>
      <c r="G324" s="93">
        <v>-90.65</v>
      </c>
      <c r="H324" s="93">
        <v>285.44</v>
      </c>
      <c r="I324" s="93">
        <v>420.68</v>
      </c>
      <c r="J324" s="93">
        <v>753.63</v>
      </c>
      <c r="K324" s="32"/>
      <c r="L324" s="32"/>
      <c r="M324" s="32"/>
      <c r="N324" s="32"/>
      <c r="O324" s="93">
        <v>14494.0</v>
      </c>
      <c r="P324" s="91">
        <f>IFERROR(__xludf.DUMMYFUNCTION("IFERROR(sum(FILTER($D:$N,$C:$C = $C324,$A:$A &lt; $A324,$B:$B = 12)),0) + sum($D324:$N324)"),14492.41999999999)</f>
        <v>14492.42</v>
      </c>
      <c r="Q324" s="92">
        <f t="shared" si="1"/>
        <v>1.58</v>
      </c>
      <c r="R324" s="91">
        <f t="array" ref="R324">IFERROR(INDEX('Fund YTD Target Values'!$1:$1000, MATCH($C324,'Fund YTD Target Values'!$A:$A,0), MATCH($A324,'Fund YTD Target Values'!$1:$1,0)),0)</f>
        <v>17148.21802</v>
      </c>
      <c r="S324" s="91">
        <f>IFERROR(__xludf.DUMMYFUNCTION("IFERROR(sum(FILTER('Fund Investment Data'!$V:$V, 'Fund Investment Data'!$C:$C = $C324, 'Fund Investment Data'!$A:$A &lt; $A324)),0) + IFERROR(sum(FILTER('Fund Investment Data'!$V:$V, 'Fund Investment Data'!$C:$C = $C324, 'Fund Investment Data'!$A:$A = $A324,"&amp;" 'Fund Investment Data'!$B:$B &lt;= $B324)),0)"),11540.75)</f>
        <v>11540.75</v>
      </c>
      <c r="T324" s="93">
        <v>10000.0</v>
      </c>
      <c r="U324" s="32">
        <f t="shared" si="3"/>
        <v>1540.75</v>
      </c>
      <c r="V324" s="32">
        <f>IFERROR(__xludf.DUMMYFUNCTION("$D324 - IFERROR(FILTER($D:$D,$C:$C = $C324, $A:$A = $A324, $B:$B = $B324 - 1),0)"),0.0)</f>
        <v>0</v>
      </c>
      <c r="W324" s="93">
        <f>IFERROR(__xludf.DUMMYFUNCTION("$E324 - IFERROR(FILTER($E:$E,$C:$C = $C324, $A:$A = $A324, $B:$B = $B324 - 1),0)"),-2000.0)</f>
        <v>-2000</v>
      </c>
      <c r="X324" s="93"/>
      <c r="Y324" s="93"/>
      <c r="Z324" s="93">
        <v>0.0</v>
      </c>
      <c r="AA324" s="93">
        <v>0.0</v>
      </c>
      <c r="AB324" s="93">
        <v>0.0</v>
      </c>
      <c r="AC324" s="93"/>
      <c r="AD324" s="93">
        <v>0.0</v>
      </c>
      <c r="AE324" s="32">
        <f t="shared" si="2"/>
        <v>-2000</v>
      </c>
      <c r="AF324" s="93">
        <v>0.0</v>
      </c>
    </row>
    <row r="325">
      <c r="A325" s="86">
        <v>2013.0</v>
      </c>
      <c r="B325" s="87">
        <v>12.0</v>
      </c>
      <c r="C325" s="88" t="s">
        <v>47</v>
      </c>
      <c r="D325" s="32"/>
      <c r="E325" s="93">
        <v>-82500.0</v>
      </c>
      <c r="F325" s="93"/>
      <c r="G325" s="93">
        <v>-8976.65</v>
      </c>
      <c r="H325" s="93">
        <v>31256.94</v>
      </c>
      <c r="I325" s="93">
        <v>10907.82</v>
      </c>
      <c r="J325" s="93">
        <v>121577.88</v>
      </c>
      <c r="K325" s="32"/>
      <c r="L325" s="32"/>
      <c r="M325" s="32"/>
      <c r="N325" s="32"/>
      <c r="O325" s="93">
        <v>1525881.0</v>
      </c>
      <c r="P325" s="91">
        <f>IFERROR(__xludf.DUMMYFUNCTION("IFERROR(sum(FILTER($D:$N,$C:$C = $C325,$A:$A &lt; $A325,$B:$B = 12)),0) + sum($D325:$N325)"),1525880.6399999994)</f>
        <v>1525880.64</v>
      </c>
      <c r="Q325" s="92">
        <f t="shared" si="1"/>
        <v>0.3600000006</v>
      </c>
      <c r="R325" s="91">
        <f t="array" ref="R325">IFERROR(INDEX('Fund YTD Target Values'!$1:$1000, MATCH($C325,'Fund YTD Target Values'!$A:$A,0), MATCH($A325,'Fund YTD Target Values'!$1:$1,0)),0)</f>
        <v>1844726.249</v>
      </c>
      <c r="S325" s="91">
        <f>IFERROR(__xludf.DUMMYFUNCTION("IFERROR(sum(FILTER('Fund Investment Data'!$V:$V, 'Fund Investment Data'!$C:$C = $C325, 'Fund Investment Data'!$A:$A &lt; $A325)),0) + IFERROR(sum(FILTER('Fund Investment Data'!$V:$V, 'Fund Investment Data'!$C:$C = $C325, 'Fund Investment Data'!$A:$A = $A325,"&amp;" 'Fund Investment Data'!$B:$B &lt;= $B325)),0)"),1446367.46)</f>
        <v>1446367.46</v>
      </c>
      <c r="T325" s="93">
        <v>1348955.0</v>
      </c>
      <c r="U325" s="32">
        <f t="shared" si="3"/>
        <v>97412.46</v>
      </c>
      <c r="V325" s="32">
        <f>IFERROR(__xludf.DUMMYFUNCTION("$D325 - IFERROR(FILTER($D:$D,$C:$C = $C325, $A:$A = $A325, $B:$B = $B325 - 1),0)"),0.0)</f>
        <v>0</v>
      </c>
      <c r="W325" s="93">
        <f>IFERROR(__xludf.DUMMYFUNCTION("$E325 - IFERROR(FILTER($E:$E,$C:$C = $C325, $A:$A = $A325, $B:$B = $B325 - 1),0)"),-82500.0)</f>
        <v>-82500</v>
      </c>
      <c r="X325" s="93"/>
      <c r="Y325" s="93"/>
      <c r="Z325" s="93">
        <v>0.0</v>
      </c>
      <c r="AA325" s="93">
        <v>0.0</v>
      </c>
      <c r="AB325" s="93">
        <v>0.0</v>
      </c>
      <c r="AC325" s="93"/>
      <c r="AD325" s="93">
        <v>0.0</v>
      </c>
      <c r="AE325" s="32">
        <f t="shared" si="2"/>
        <v>-82500</v>
      </c>
      <c r="AF325" s="93">
        <v>0.0</v>
      </c>
    </row>
    <row r="326">
      <c r="A326" s="86">
        <v>2013.0</v>
      </c>
      <c r="B326" s="87">
        <v>12.0</v>
      </c>
      <c r="C326" s="88" t="s">
        <v>31</v>
      </c>
      <c r="D326" s="93">
        <v>1000.0</v>
      </c>
      <c r="E326" s="93">
        <v>-10000.0</v>
      </c>
      <c r="F326" s="93">
        <v>500.0</v>
      </c>
      <c r="G326" s="93">
        <v>-1102.91</v>
      </c>
      <c r="H326" s="93">
        <v>3762.81</v>
      </c>
      <c r="I326" s="93">
        <v>2324.63</v>
      </c>
      <c r="J326" s="93">
        <v>13999.57</v>
      </c>
      <c r="K326" s="32"/>
      <c r="L326" s="32"/>
      <c r="M326" s="32"/>
      <c r="N326" s="32"/>
      <c r="O326" s="93">
        <v>190287.0</v>
      </c>
      <c r="P326" s="91">
        <f>IFERROR(__xludf.DUMMYFUNCTION("IFERROR(sum(FILTER($D:$N,$C:$C = $C326,$A:$A &lt; $A326,$B:$B = 12)),0) + sum($D326:$N326)"),190286.59000000005)</f>
        <v>190286.59</v>
      </c>
      <c r="Q326" s="92">
        <f t="shared" si="1"/>
        <v>0.4099999999</v>
      </c>
      <c r="R326" s="91">
        <f t="array" ref="R326">IFERROR(INDEX('Fund YTD Target Values'!$1:$1000, MATCH($C326,'Fund YTD Target Values'!$A:$A,0), MATCH($A326,'Fund YTD Target Values'!$1:$1,0)),0)</f>
        <v>191462.3675</v>
      </c>
      <c r="S326" s="91">
        <f>IFERROR(__xludf.DUMMYFUNCTION("IFERROR(sum(FILTER('Fund Investment Data'!$V:$V, 'Fund Investment Data'!$C:$C = $C326, 'Fund Investment Data'!$A:$A &lt; $A326)),0) + IFERROR(sum(FILTER('Fund Investment Data'!$V:$V, 'Fund Investment Data'!$C:$C = $C326, 'Fund Investment Data'!$A:$A = $A326,"&amp;" 'Fund Investment Data'!$B:$B &lt;= $B326)),0)"),154100.0)</f>
        <v>154100</v>
      </c>
      <c r="T326" s="93">
        <v>154100.0</v>
      </c>
      <c r="U326" s="32">
        <f t="shared" si="3"/>
        <v>0</v>
      </c>
      <c r="V326" s="32">
        <f>IFERROR(__xludf.DUMMYFUNCTION("$D326 - IFERROR(FILTER($D:$D,$C:$C = $C326, $A:$A = $A326, $B:$B = $B326 - 1),0)"),1000.0)</f>
        <v>1000</v>
      </c>
      <c r="W326" s="93">
        <f>IFERROR(__xludf.DUMMYFUNCTION("$E326 - IFERROR(FILTER($E:$E,$C:$C = $C326, $A:$A = $A326, $B:$B = $B326 - 1),0)"),-10000.0)</f>
        <v>-10000</v>
      </c>
      <c r="X326" s="93"/>
      <c r="Y326" s="93"/>
      <c r="Z326" s="93">
        <v>0.0</v>
      </c>
      <c r="AA326" s="93">
        <v>0.0</v>
      </c>
      <c r="AB326" s="93">
        <v>0.0</v>
      </c>
      <c r="AC326" s="93"/>
      <c r="AD326" s="93">
        <v>0.0</v>
      </c>
      <c r="AE326" s="32">
        <f t="shared" si="2"/>
        <v>-10000</v>
      </c>
      <c r="AF326" s="93">
        <v>0.0</v>
      </c>
    </row>
    <row r="327">
      <c r="A327" s="86">
        <v>2013.0</v>
      </c>
      <c r="B327" s="87">
        <v>12.0</v>
      </c>
      <c r="C327" s="88" t="s">
        <v>39</v>
      </c>
      <c r="D327" s="93">
        <v>10000.0</v>
      </c>
      <c r="E327" s="93">
        <v>-2000.0</v>
      </c>
      <c r="F327" s="93"/>
      <c r="G327" s="93">
        <v>-630.15</v>
      </c>
      <c r="H327" s="93">
        <v>1253.96</v>
      </c>
      <c r="I327" s="93">
        <v>264.79</v>
      </c>
      <c r="J327" s="93">
        <v>5516.4</v>
      </c>
      <c r="K327" s="32"/>
      <c r="L327" s="32"/>
      <c r="M327" s="32"/>
      <c r="N327" s="32"/>
      <c r="O327" s="93">
        <v>113419.0</v>
      </c>
      <c r="P327" s="91">
        <f>IFERROR(__xludf.DUMMYFUNCTION("IFERROR(sum(FILTER($D:$N,$C:$C = $C327,$A:$A &lt; $A327,$B:$B = 12)),0) + sum($D327:$N327)"),113419.23999999999)</f>
        <v>113419.24</v>
      </c>
      <c r="Q327" s="92">
        <f t="shared" si="1"/>
        <v>-0.24</v>
      </c>
      <c r="R327" s="91">
        <f t="array" ref="R327">IFERROR(INDEX('Fund YTD Target Values'!$1:$1000, MATCH($C327,'Fund YTD Target Values'!$A:$A,0), MATCH($A327,'Fund YTD Target Values'!$1:$1,0)),0)</f>
        <v>104203.3919</v>
      </c>
      <c r="S327" s="91">
        <f>IFERROR(__xludf.DUMMYFUNCTION("IFERROR(sum(FILTER('Fund Investment Data'!$V:$V, 'Fund Investment Data'!$C:$C = $C327, 'Fund Investment Data'!$A:$A &lt; $A327)),0) + IFERROR(sum(FILTER('Fund Investment Data'!$V:$V, 'Fund Investment Data'!$C:$C = $C327, 'Fund Investment Data'!$A:$A = $A327,"&amp;" 'Fund Investment Data'!$B:$B &lt;= $B327)),0)"),100000.0)</f>
        <v>100000</v>
      </c>
      <c r="T327" s="93">
        <v>100000.0</v>
      </c>
      <c r="U327" s="32">
        <f t="shared" si="3"/>
        <v>0</v>
      </c>
      <c r="V327" s="32">
        <f>IFERROR(__xludf.DUMMYFUNCTION("$D327 - IFERROR(FILTER($D:$D,$C:$C = $C327, $A:$A = $A327, $B:$B = $B327 - 1),0)"),10000.0)</f>
        <v>10000</v>
      </c>
      <c r="W327" s="93">
        <f>IFERROR(__xludf.DUMMYFUNCTION("$E327 - IFERROR(FILTER($E:$E,$C:$C = $C327, $A:$A = $A327, $B:$B = $B327 - 1),0)"),-2000.0)</f>
        <v>-2000</v>
      </c>
      <c r="X327" s="93"/>
      <c r="Y327" s="93"/>
      <c r="Z327" s="93">
        <v>0.0</v>
      </c>
      <c r="AA327" s="93">
        <v>0.0</v>
      </c>
      <c r="AB327" s="93">
        <v>0.0</v>
      </c>
      <c r="AC327" s="93"/>
      <c r="AD327" s="93">
        <v>0.0</v>
      </c>
      <c r="AE327" s="32">
        <f t="shared" si="2"/>
        <v>-2000</v>
      </c>
      <c r="AF327" s="93">
        <v>0.0</v>
      </c>
    </row>
    <row r="328">
      <c r="A328" s="86">
        <v>2013.0</v>
      </c>
      <c r="B328" s="87">
        <v>12.0</v>
      </c>
      <c r="C328" s="88" t="s">
        <v>50</v>
      </c>
      <c r="D328" s="32"/>
      <c r="E328" s="93">
        <v>-10000.0</v>
      </c>
      <c r="F328" s="93"/>
      <c r="G328" s="93">
        <v>-854.66</v>
      </c>
      <c r="H328" s="93">
        <v>2659.93</v>
      </c>
      <c r="I328" s="93">
        <v>1034.88</v>
      </c>
      <c r="J328" s="93">
        <v>10169.27</v>
      </c>
      <c r="K328" s="32"/>
      <c r="L328" s="32"/>
      <c r="M328" s="32"/>
      <c r="N328" s="32"/>
      <c r="O328" s="93">
        <v>144388.0</v>
      </c>
      <c r="P328" s="91">
        <f>IFERROR(__xludf.DUMMYFUNCTION("IFERROR(sum(FILTER($D:$N,$C:$C = $C328,$A:$A &lt; $A328,$B:$B = 12)),0) + sum($D328:$N328)"),144387.07000000004)</f>
        <v>144387.07</v>
      </c>
      <c r="Q328" s="92">
        <f t="shared" si="1"/>
        <v>0.93</v>
      </c>
      <c r="R328" s="91">
        <f t="array" ref="R328">IFERROR(INDEX('Fund YTD Target Values'!$1:$1000, MATCH($C328,'Fund YTD Target Values'!$A:$A,0), MATCH($A328,'Fund YTD Target Values'!$1:$1,0)),0)</f>
        <v>143176.8623</v>
      </c>
      <c r="S328" s="91">
        <f>IFERROR(__xludf.DUMMYFUNCTION("IFERROR(sum(FILTER('Fund Investment Data'!$V:$V, 'Fund Investment Data'!$C:$C = $C328, 'Fund Investment Data'!$A:$A &lt; $A328)),0) + IFERROR(sum(FILTER('Fund Investment Data'!$V:$V, 'Fund Investment Data'!$C:$C = $C328, 'Fund Investment Data'!$A:$A = $A328,"&amp;" 'Fund Investment Data'!$B:$B &lt;= $B328)),0)"),125189.56)</f>
        <v>125189.56</v>
      </c>
      <c r="T328" s="93">
        <v>145241.0</v>
      </c>
      <c r="U328" s="32">
        <f t="shared" si="3"/>
        <v>-20051.44</v>
      </c>
      <c r="V328" s="32">
        <f>IFERROR(__xludf.DUMMYFUNCTION("$D328 - IFERROR(FILTER($D:$D,$C:$C = $C328, $A:$A = $A328, $B:$B = $B328 - 1),0)"),0.0)</f>
        <v>0</v>
      </c>
      <c r="W328" s="93">
        <f>IFERROR(__xludf.DUMMYFUNCTION("$E328 - IFERROR(FILTER($E:$E,$C:$C = $C328, $A:$A = $A328, $B:$B = $B328 - 1),0)"),-10000.0)</f>
        <v>-10000</v>
      </c>
      <c r="X328" s="93"/>
      <c r="Y328" s="93"/>
      <c r="Z328" s="93">
        <v>0.0</v>
      </c>
      <c r="AA328" s="93">
        <v>0.0</v>
      </c>
      <c r="AB328" s="93">
        <v>0.0</v>
      </c>
      <c r="AC328" s="93"/>
      <c r="AD328" s="93">
        <v>0.0</v>
      </c>
      <c r="AE328" s="32">
        <f t="shared" si="2"/>
        <v>-10000</v>
      </c>
      <c r="AF328" s="93">
        <v>0.0</v>
      </c>
    </row>
    <row r="329">
      <c r="A329" s="86">
        <v>2013.0</v>
      </c>
      <c r="B329" s="87">
        <v>12.0</v>
      </c>
      <c r="C329" s="88" t="s">
        <v>32</v>
      </c>
      <c r="D329" s="32"/>
      <c r="E329" s="93">
        <v>-5000.0</v>
      </c>
      <c r="F329" s="93"/>
      <c r="G329" s="93">
        <v>-348.78</v>
      </c>
      <c r="H329" s="93">
        <v>1188.84</v>
      </c>
      <c r="I329" s="93">
        <v>1051.97</v>
      </c>
      <c r="J329" s="93">
        <v>3892.75</v>
      </c>
      <c r="K329" s="32"/>
      <c r="L329" s="32"/>
      <c r="M329" s="32"/>
      <c r="N329" s="32"/>
      <c r="O329" s="93">
        <v>57845.0</v>
      </c>
      <c r="P329" s="91">
        <f>IFERROR(__xludf.DUMMYFUNCTION("IFERROR(sum(FILTER($D:$N,$C:$C = $C329,$A:$A &lt; $A329,$B:$B = 12)),0) + sum($D329:$N329)"),57844.38000000002)</f>
        <v>57844.38</v>
      </c>
      <c r="Q329" s="92">
        <f t="shared" si="1"/>
        <v>0.62</v>
      </c>
      <c r="R329" s="91">
        <f t="array" ref="R329">IFERROR(INDEX('Fund YTD Target Values'!$1:$1000, MATCH($C329,'Fund YTD Target Values'!$A:$A,0), MATCH($A329,'Fund YTD Target Values'!$1:$1,0)),0)</f>
        <v>73454.81372</v>
      </c>
      <c r="S329" s="91">
        <f>IFERROR(__xludf.DUMMYFUNCTION("IFERROR(sum(FILTER('Fund Investment Data'!$V:$V, 'Fund Investment Data'!$C:$C = $C329, 'Fund Investment Data'!$A:$A &lt; $A329)),0) + IFERROR(sum(FILTER('Fund Investment Data'!$V:$V, 'Fund Investment Data'!$C:$C = $C329, 'Fund Investment Data'!$A:$A = $A329,"&amp;" 'Fund Investment Data'!$B:$B &lt;= $B329)),0)"),49449.04)</f>
        <v>49449.04</v>
      </c>
      <c r="T329" s="93">
        <v>39268.0</v>
      </c>
      <c r="U329" s="32">
        <f t="shared" si="3"/>
        <v>10181.04</v>
      </c>
      <c r="V329" s="32">
        <f>IFERROR(__xludf.DUMMYFUNCTION("$D329 - IFERROR(FILTER($D:$D,$C:$C = $C329, $A:$A = $A329, $B:$B = $B329 - 1),0)"),0.0)</f>
        <v>0</v>
      </c>
      <c r="W329" s="93">
        <f>IFERROR(__xludf.DUMMYFUNCTION("$E329 - IFERROR(FILTER($E:$E,$C:$C = $C329, $A:$A = $A329, $B:$B = $B329 - 1),0)"),-5000.0)</f>
        <v>-5000</v>
      </c>
      <c r="X329" s="93"/>
      <c r="Y329" s="93"/>
      <c r="Z329" s="93">
        <v>0.0</v>
      </c>
      <c r="AA329" s="93">
        <v>0.0</v>
      </c>
      <c r="AB329" s="93">
        <v>0.0</v>
      </c>
      <c r="AC329" s="93"/>
      <c r="AD329" s="93">
        <v>0.0</v>
      </c>
      <c r="AE329" s="32">
        <f t="shared" si="2"/>
        <v>-5000</v>
      </c>
      <c r="AF329" s="93">
        <v>0.0</v>
      </c>
    </row>
    <row r="330">
      <c r="A330" s="86">
        <v>2013.0</v>
      </c>
      <c r="B330" s="87">
        <v>12.0</v>
      </c>
      <c r="C330" s="88" t="s">
        <v>40</v>
      </c>
      <c r="D330" s="32"/>
      <c r="E330" s="93">
        <v>-10000.0</v>
      </c>
      <c r="F330" s="93"/>
      <c r="G330" s="93">
        <v>-903.25</v>
      </c>
      <c r="H330" s="93">
        <v>3100.65</v>
      </c>
      <c r="I330" s="93">
        <v>1081.61</v>
      </c>
      <c r="J330" s="93">
        <v>11661.77</v>
      </c>
      <c r="K330" s="32"/>
      <c r="L330" s="32"/>
      <c r="M330" s="32"/>
      <c r="N330" s="32"/>
      <c r="O330" s="93">
        <v>152596.0</v>
      </c>
      <c r="P330" s="91">
        <f>IFERROR(__xludf.DUMMYFUNCTION("IFERROR(sum(FILTER($D:$N,$C:$C = $C330,$A:$A &lt; $A330,$B:$B = 12)),0) + sum($D330:$N330)"),152596.38000000003)</f>
        <v>152596.38</v>
      </c>
      <c r="Q330" s="92">
        <f t="shared" si="1"/>
        <v>-0.38</v>
      </c>
      <c r="R330" s="91">
        <f t="array" ref="R330">IFERROR(INDEX('Fund YTD Target Values'!$1:$1000, MATCH($C330,'Fund YTD Target Values'!$A:$A,0), MATCH($A330,'Fund YTD Target Values'!$1:$1,0)),0)</f>
        <v>149697.1386</v>
      </c>
      <c r="S330" s="91">
        <f>IFERROR(__xludf.DUMMYFUNCTION("IFERROR(sum(FILTER('Fund Investment Data'!$V:$V, 'Fund Investment Data'!$C:$C = $C330, 'Fund Investment Data'!$A:$A &lt; $A330)),0) + IFERROR(sum(FILTER('Fund Investment Data'!$V:$V, 'Fund Investment Data'!$C:$C = $C330, 'Fund Investment Data'!$A:$A = $A330,"&amp;" 'Fund Investment Data'!$B:$B &lt;= $B330)),0)"),129703.74)</f>
        <v>129703.74</v>
      </c>
      <c r="T330" s="93">
        <v>129723.0</v>
      </c>
      <c r="U330" s="32">
        <f t="shared" si="3"/>
        <v>-19.26</v>
      </c>
      <c r="V330" s="32">
        <f>IFERROR(__xludf.DUMMYFUNCTION("$D330 - IFERROR(FILTER($D:$D,$C:$C = $C330, $A:$A = $A330, $B:$B = $B330 - 1),0)"),0.0)</f>
        <v>0</v>
      </c>
      <c r="W330" s="93">
        <f>IFERROR(__xludf.DUMMYFUNCTION("$E330 - IFERROR(FILTER($E:$E,$C:$C = $C330, $A:$A = $A330, $B:$B = $B330 - 1),0)"),-10000.0)</f>
        <v>-10000</v>
      </c>
      <c r="X330" s="93"/>
      <c r="Y330" s="93"/>
      <c r="Z330" s="93">
        <v>0.0</v>
      </c>
      <c r="AA330" s="93">
        <v>0.0</v>
      </c>
      <c r="AB330" s="93">
        <v>0.0</v>
      </c>
      <c r="AC330" s="93"/>
      <c r="AD330" s="93">
        <v>0.0</v>
      </c>
      <c r="AE330" s="32">
        <f t="shared" si="2"/>
        <v>-10000</v>
      </c>
      <c r="AF330" s="93">
        <v>0.0</v>
      </c>
    </row>
    <row r="331">
      <c r="A331" s="86">
        <v>2013.0</v>
      </c>
      <c r="B331" s="87">
        <v>12.0</v>
      </c>
      <c r="C331" s="88" t="s">
        <v>51</v>
      </c>
      <c r="D331" s="93">
        <v>405623.55</v>
      </c>
      <c r="E331" s="32"/>
      <c r="F331" s="93"/>
      <c r="G331" s="32"/>
      <c r="H331" s="93">
        <v>320.07</v>
      </c>
      <c r="I331" s="32"/>
      <c r="J331" s="93">
        <v>1511.11</v>
      </c>
      <c r="K331" s="32"/>
      <c r="L331" s="32"/>
      <c r="M331" s="32"/>
      <c r="N331" s="32"/>
      <c r="O331" s="93">
        <v>407455.0</v>
      </c>
      <c r="P331" s="91">
        <f>IFERROR(__xludf.DUMMYFUNCTION("IFERROR(sum(FILTER($D:$N,$C:$C = $C331,$A:$A &lt; $A331,$B:$B = 12)),0) + sum($D331:$N331)"),407454.73)</f>
        <v>407454.73</v>
      </c>
      <c r="Q331" s="92">
        <f t="shared" si="1"/>
        <v>0.27</v>
      </c>
      <c r="R331" s="91">
        <f t="array" ref="R331">IFERROR(INDEX('Fund YTD Target Values'!$1:$1000, MATCH($C331,'Fund YTD Target Values'!$A:$A,0), MATCH($A331,'Fund YTD Target Values'!$1:$1,0)),0)</f>
        <v>405623.55</v>
      </c>
      <c r="S331" s="91">
        <f>IFERROR(__xludf.DUMMYFUNCTION("IFERROR(sum(FILTER('Fund Investment Data'!$V:$V, 'Fund Investment Data'!$C:$C = $C331, 'Fund Investment Data'!$A:$A &lt; $A331)),0) + IFERROR(sum(FILTER('Fund Investment Data'!$V:$V, 'Fund Investment Data'!$C:$C = $C331, 'Fund Investment Data'!$A:$A = $A331,"&amp;" 'Fund Investment Data'!$B:$B &lt;= $B331)),0)"),405623.55)</f>
        <v>405623.55</v>
      </c>
      <c r="T331" s="93">
        <v>405696.0</v>
      </c>
      <c r="U331" s="32">
        <f t="shared" si="3"/>
        <v>-72.45</v>
      </c>
      <c r="V331" s="32">
        <f>IFERROR(__xludf.DUMMYFUNCTION("$D331 - IFERROR(FILTER($D:$D,$C:$C = $C331, $A:$A = $A331, $B:$B = $B331 - 1),0)"),405623.55)</f>
        <v>405623.55</v>
      </c>
      <c r="W331" s="93">
        <f>IFERROR(__xludf.DUMMYFUNCTION("$E331 - IFERROR(FILTER($E:$E,$C:$C = $C331, $A:$A = $A331, $B:$B = $B331 - 1),0)"),0.0)</f>
        <v>0</v>
      </c>
      <c r="X331" s="93"/>
      <c r="Y331" s="93"/>
      <c r="Z331" s="93">
        <v>0.0</v>
      </c>
      <c r="AA331" s="93">
        <v>0.0</v>
      </c>
      <c r="AB331" s="93">
        <v>0.0</v>
      </c>
      <c r="AC331" s="93"/>
      <c r="AD331" s="93">
        <v>0.0</v>
      </c>
      <c r="AE331" s="32">
        <f t="shared" si="2"/>
        <v>0</v>
      </c>
      <c r="AF331" s="93">
        <v>0.0</v>
      </c>
    </row>
    <row r="332">
      <c r="A332" s="86">
        <v>2013.0</v>
      </c>
      <c r="B332" s="87">
        <v>12.0</v>
      </c>
      <c r="C332" s="88" t="s">
        <v>48</v>
      </c>
      <c r="D332" s="32"/>
      <c r="E332" s="93">
        <v>-67300.0</v>
      </c>
      <c r="F332" s="93"/>
      <c r="G332" s="93">
        <v>-7391.01</v>
      </c>
      <c r="H332" s="93">
        <v>25687.15</v>
      </c>
      <c r="I332" s="93">
        <v>7116.01</v>
      </c>
      <c r="J332" s="93">
        <v>101808.08</v>
      </c>
      <c r="K332" s="32"/>
      <c r="L332" s="32"/>
      <c r="M332" s="32"/>
      <c r="N332" s="32"/>
      <c r="O332" s="93">
        <v>1267813.0</v>
      </c>
      <c r="P332" s="91">
        <f>IFERROR(__xludf.DUMMYFUNCTION("IFERROR(sum(FILTER($D:$N,$C:$C = $C332,$A:$A &lt; $A332,$B:$B = 12)),0) + sum($D332:$N332)"),1267811.2399999995)</f>
        <v>1267811.24</v>
      </c>
      <c r="Q332" s="92">
        <f t="shared" si="1"/>
        <v>1.76</v>
      </c>
      <c r="R332" s="91">
        <f t="array" ref="R332">IFERROR(INDEX('Fund YTD Target Values'!$1:$1000, MATCH($C332,'Fund YTD Target Values'!$A:$A,0), MATCH($A332,'Fund YTD Target Values'!$1:$1,0)),0)</f>
        <v>1759181.968</v>
      </c>
      <c r="S332" s="91">
        <f>IFERROR(__xludf.DUMMYFUNCTION("IFERROR(sum(FILTER('Fund Investment Data'!$V:$V, 'Fund Investment Data'!$C:$C = $C332, 'Fund Investment Data'!$A:$A &lt; $A332)),0) + IFERROR(sum(FILTER('Fund Investment Data'!$V:$V, 'Fund Investment Data'!$C:$C = $C332, 'Fund Investment Data'!$A:$A = $A332,"&amp;" 'Fund Investment Data'!$B:$B &lt;= $B332)),0)"),1183929.39)</f>
        <v>1183929.39</v>
      </c>
      <c r="T332" s="93">
        <v>1140040.0</v>
      </c>
      <c r="U332" s="32">
        <f t="shared" si="3"/>
        <v>43889.39</v>
      </c>
      <c r="V332" s="32">
        <f>IFERROR(__xludf.DUMMYFUNCTION("$D332 - IFERROR(FILTER($D:$D,$C:$C = $C332, $A:$A = $A332, $B:$B = $B332 - 1),0)"),0.0)</f>
        <v>0</v>
      </c>
      <c r="W332" s="93">
        <f>IFERROR(__xludf.DUMMYFUNCTION("$E332 - IFERROR(FILTER($E:$E,$C:$C = $C332, $A:$A = $A332, $B:$B = $B332 - 1),0)"),-67300.0)</f>
        <v>-67300</v>
      </c>
      <c r="X332" s="93"/>
      <c r="Y332" s="93"/>
      <c r="Z332" s="93">
        <v>0.0</v>
      </c>
      <c r="AA332" s="93">
        <v>0.0</v>
      </c>
      <c r="AB332" s="93">
        <v>0.0</v>
      </c>
      <c r="AC332" s="93"/>
      <c r="AD332" s="93">
        <v>0.0</v>
      </c>
      <c r="AE332" s="32">
        <f t="shared" si="2"/>
        <v>-67300</v>
      </c>
      <c r="AF332" s="93">
        <v>0.0</v>
      </c>
    </row>
    <row r="333">
      <c r="A333" s="86">
        <v>2013.0</v>
      </c>
      <c r="B333" s="87">
        <v>12.0</v>
      </c>
      <c r="C333" s="88" t="s">
        <v>49</v>
      </c>
      <c r="D333" s="32"/>
      <c r="E333" s="93">
        <v>-33500.0</v>
      </c>
      <c r="F333" s="93"/>
      <c r="G333" s="93">
        <v>-3280.35</v>
      </c>
      <c r="H333" s="93">
        <v>11427.74</v>
      </c>
      <c r="I333" s="93">
        <v>4064.4</v>
      </c>
      <c r="J333" s="93">
        <v>44289.02</v>
      </c>
      <c r="K333" s="32"/>
      <c r="L333" s="32"/>
      <c r="M333" s="32"/>
      <c r="N333" s="32"/>
      <c r="O333" s="93">
        <v>560541.0</v>
      </c>
      <c r="P333" s="91">
        <f>IFERROR(__xludf.DUMMYFUNCTION("IFERROR(sum(FILTER($D:$N,$C:$C = $C333,$A:$A &lt; $A333,$B:$B = 12)),0) + sum($D333:$N333)"),560541.2599999998)</f>
        <v>560541.26</v>
      </c>
      <c r="Q333" s="92">
        <f t="shared" si="1"/>
        <v>-0.2599999998</v>
      </c>
      <c r="R333" s="91">
        <f t="array" ref="R333">IFERROR(INDEX('Fund YTD Target Values'!$1:$1000, MATCH($C333,'Fund YTD Target Values'!$A:$A,0), MATCH($A333,'Fund YTD Target Values'!$1:$1,0)),0)</f>
        <v>650676.3541</v>
      </c>
      <c r="S333" s="91">
        <f>IFERROR(__xludf.DUMMYFUNCTION("IFERROR(sum(FILTER('Fund Investment Data'!$V:$V, 'Fund Investment Data'!$C:$C = $C333, 'Fund Investment Data'!$A:$A &lt; $A333)),0) + IFERROR(sum(FILTER('Fund Investment Data'!$V:$V, 'Fund Investment Data'!$C:$C = $C333, 'Fund Investment Data'!$A:$A = $A333,"&amp;" 'Fund Investment Data'!$B:$B &lt;= $B333)),0)"),500000.0)</f>
        <v>500000</v>
      </c>
      <c r="T333" s="93">
        <v>500000.0</v>
      </c>
      <c r="U333" s="32">
        <f t="shared" si="3"/>
        <v>0</v>
      </c>
      <c r="V333" s="32">
        <f>IFERROR(__xludf.DUMMYFUNCTION("$D333 - IFERROR(FILTER($D:$D,$C:$C = $C333, $A:$A = $A333, $B:$B = $B333 - 1),0)"),0.0)</f>
        <v>0</v>
      </c>
      <c r="W333" s="93">
        <f>IFERROR(__xludf.DUMMYFUNCTION("$E333 - IFERROR(FILTER($E:$E,$C:$C = $C333, $A:$A = $A333, $B:$B = $B333 - 1),0)"),-33500.0)</f>
        <v>-33500</v>
      </c>
      <c r="X333" s="93"/>
      <c r="Y333" s="93"/>
      <c r="Z333" s="93">
        <v>0.0</v>
      </c>
      <c r="AA333" s="93">
        <v>0.0</v>
      </c>
      <c r="AB333" s="93">
        <v>0.0</v>
      </c>
      <c r="AC333" s="93"/>
      <c r="AD333" s="93">
        <v>0.0</v>
      </c>
      <c r="AE333" s="32">
        <f t="shared" si="2"/>
        <v>-33500</v>
      </c>
      <c r="AF333" s="93">
        <v>0.0</v>
      </c>
    </row>
    <row r="334">
      <c r="A334" s="86">
        <v>2013.0</v>
      </c>
      <c r="B334" s="87">
        <v>12.0</v>
      </c>
      <c r="C334" s="88" t="s">
        <v>41</v>
      </c>
      <c r="D334" s="32"/>
      <c r="E334" s="93">
        <v>-7300.0</v>
      </c>
      <c r="F334" s="93"/>
      <c r="G334" s="93">
        <v>-3480.58</v>
      </c>
      <c r="H334" s="93">
        <v>11868.19</v>
      </c>
      <c r="I334" s="93">
        <v>1422.71</v>
      </c>
      <c r="J334" s="93">
        <v>49275.27</v>
      </c>
      <c r="K334" s="32"/>
      <c r="L334" s="32"/>
      <c r="M334" s="32"/>
      <c r="N334" s="32"/>
      <c r="O334" s="93">
        <v>608279.0</v>
      </c>
      <c r="P334" s="91">
        <f>IFERROR(__xludf.DUMMYFUNCTION("IFERROR(sum(FILTER($D:$N,$C:$C = $C334,$A:$A &lt; $A334,$B:$B = 12)),0) + sum($D334:$N334)"),608279.8500000001)</f>
        <v>608279.85</v>
      </c>
      <c r="Q334" s="92">
        <f t="shared" si="1"/>
        <v>-0.8500000001</v>
      </c>
      <c r="R334" s="91">
        <f t="array" ref="R334">IFERROR(INDEX('Fund YTD Target Values'!$1:$1000, MATCH($C334,'Fund YTD Target Values'!$A:$A,0), MATCH($A334,'Fund YTD Target Values'!$1:$1,0)),0)</f>
        <v>545460.8095</v>
      </c>
      <c r="S334" s="91">
        <f>IFERROR(__xludf.DUMMYFUNCTION("IFERROR(sum(FILTER('Fund Investment Data'!$V:$V, 'Fund Investment Data'!$C:$C = $C334, 'Fund Investment Data'!$A:$A &lt; $A334)),0) + IFERROR(sum(FILTER('Fund Investment Data'!$V:$V, 'Fund Investment Data'!$C:$C = $C334, 'Fund Investment Data'!$A:$A = $A334,"&amp;" 'Fund Investment Data'!$B:$B &lt;= $B334)),0)"),433755.86)</f>
        <v>433755.86</v>
      </c>
      <c r="T334" s="93">
        <v>434291.0</v>
      </c>
      <c r="U334" s="32">
        <f t="shared" si="3"/>
        <v>-535.14</v>
      </c>
      <c r="V334" s="32">
        <f>IFERROR(__xludf.DUMMYFUNCTION("$D334 - IFERROR(FILTER($D:$D,$C:$C = $C334, $A:$A = $A334, $B:$B = $B334 - 1),0)"),0.0)</f>
        <v>0</v>
      </c>
      <c r="W334" s="93">
        <f>IFERROR(__xludf.DUMMYFUNCTION("$E334 - IFERROR(FILTER($E:$E,$C:$C = $C334, $A:$A = $A334, $B:$B = $B334 - 1),0)"),-7300.0)</f>
        <v>-7300</v>
      </c>
      <c r="X334" s="93"/>
      <c r="Y334" s="93"/>
      <c r="Z334" s="93">
        <v>0.0</v>
      </c>
      <c r="AA334" s="93">
        <v>0.0</v>
      </c>
      <c r="AB334" s="93">
        <v>0.0</v>
      </c>
      <c r="AC334" s="93"/>
      <c r="AD334" s="93">
        <v>0.0</v>
      </c>
      <c r="AE334" s="32">
        <f t="shared" si="2"/>
        <v>-7300</v>
      </c>
      <c r="AF334" s="93">
        <v>0.0</v>
      </c>
    </row>
    <row r="335">
      <c r="A335" s="86">
        <v>2013.0</v>
      </c>
      <c r="B335" s="87">
        <v>12.0</v>
      </c>
      <c r="C335" s="88" t="s">
        <v>25</v>
      </c>
      <c r="D335" s="32"/>
      <c r="E335" s="32"/>
      <c r="F335" s="93"/>
      <c r="G335" s="93">
        <v>-525.53</v>
      </c>
      <c r="H335" s="93">
        <v>1780.48</v>
      </c>
      <c r="I335" s="93">
        <v>1.03</v>
      </c>
      <c r="J335" s="93">
        <v>7639.75</v>
      </c>
      <c r="K335" s="32"/>
      <c r="L335" s="32"/>
      <c r="M335" s="32"/>
      <c r="N335" s="32"/>
      <c r="O335" s="93">
        <v>92408.0</v>
      </c>
      <c r="P335" s="91">
        <f>IFERROR(__xludf.DUMMYFUNCTION("IFERROR(sum(FILTER($D:$N,$C:$C = $C335,$A:$A &lt; $A335,$B:$B = 12)),0) + sum($D335:$N335)"),92408.03)</f>
        <v>92408.03</v>
      </c>
      <c r="Q335" s="92">
        <f t="shared" si="1"/>
        <v>-0.03</v>
      </c>
      <c r="R335" s="91">
        <f t="array" ref="R335">IFERROR(INDEX('Fund YTD Target Values'!$1:$1000, MATCH($C335,'Fund YTD Target Values'!$A:$A,0), MATCH($A335,'Fund YTD Target Values'!$1:$1,0)),0)</f>
        <v>91441.95976</v>
      </c>
      <c r="S335" s="91">
        <f>IFERROR(__xludf.DUMMYFUNCTION("IFERROR(sum(FILTER('Fund Investment Data'!$V:$V, 'Fund Investment Data'!$C:$C = $C335, 'Fund Investment Data'!$A:$A &lt; $A335)),0) + IFERROR(sum(FILTER('Fund Investment Data'!$V:$V, 'Fund Investment Data'!$C:$C = $C335, 'Fund Investment Data'!$A:$A = $A335,"&amp;" 'Fund Investment Data'!$B:$B &lt;= $B335)),0)"),71000.0)</f>
        <v>71000</v>
      </c>
      <c r="T335" s="93">
        <v>71000.0</v>
      </c>
      <c r="U335" s="32">
        <f t="shared" si="3"/>
        <v>0</v>
      </c>
      <c r="V335" s="32">
        <f>IFERROR(__xludf.DUMMYFUNCTION("$D335 - IFERROR(FILTER($D:$D,$C:$C = $C335, $A:$A = $A335, $B:$B = $B335 - 1),0)"),0.0)</f>
        <v>0</v>
      </c>
      <c r="W335" s="93">
        <f>IFERROR(__xludf.DUMMYFUNCTION("$E335 - IFERROR(FILTER($E:$E,$C:$C = $C335, $A:$A = $A335, $B:$B = $B335 - 1),0)"),0.0)</f>
        <v>0</v>
      </c>
      <c r="X335" s="93"/>
      <c r="Y335" s="93"/>
      <c r="Z335" s="93">
        <v>0.0</v>
      </c>
      <c r="AA335" s="93">
        <v>0.0</v>
      </c>
      <c r="AB335" s="93">
        <v>0.0</v>
      </c>
      <c r="AC335" s="93"/>
      <c r="AD335" s="93">
        <v>0.0</v>
      </c>
      <c r="AE335" s="32">
        <f t="shared" si="2"/>
        <v>0</v>
      </c>
      <c r="AF335" s="93">
        <v>0.0</v>
      </c>
    </row>
    <row r="336">
      <c r="A336" s="86">
        <v>2013.0</v>
      </c>
      <c r="B336" s="87">
        <v>12.0</v>
      </c>
      <c r="C336" s="88" t="s">
        <v>42</v>
      </c>
      <c r="D336" s="32"/>
      <c r="E336" s="93">
        <v>-2800.0</v>
      </c>
      <c r="F336" s="93"/>
      <c r="G336" s="93">
        <v>-1409.38</v>
      </c>
      <c r="H336" s="93">
        <v>4783.81</v>
      </c>
      <c r="I336" s="93">
        <v>426.83</v>
      </c>
      <c r="J336" s="93">
        <v>19986.26</v>
      </c>
      <c r="K336" s="32"/>
      <c r="L336" s="32"/>
      <c r="M336" s="32"/>
      <c r="N336" s="32"/>
      <c r="O336" s="93">
        <v>246305.0</v>
      </c>
      <c r="P336" s="91">
        <f>IFERROR(__xludf.DUMMYFUNCTION("IFERROR(sum(FILTER($D:$N,$C:$C = $C336,$A:$A &lt; $A336,$B:$B = 12)),0) + sum($D336:$N336)"),246304.31000000003)</f>
        <v>246304.31</v>
      </c>
      <c r="Q336" s="92">
        <f t="shared" si="1"/>
        <v>0.69</v>
      </c>
      <c r="R336" s="91">
        <f t="array" ref="R336">IFERROR(INDEX('Fund YTD Target Values'!$1:$1000, MATCH($C336,'Fund YTD Target Values'!$A:$A,0), MATCH($A336,'Fund YTD Target Values'!$1:$1,0)),0)</f>
        <v>212980.9517</v>
      </c>
      <c r="S336" s="91">
        <f>IFERROR(__xludf.DUMMYFUNCTION("IFERROR(sum(FILTER('Fund Investment Data'!$V:$V, 'Fund Investment Data'!$C:$C = $C336, 'Fund Investment Data'!$A:$A &lt; $A336)),0) + IFERROR(sum(FILTER('Fund Investment Data'!$V:$V, 'Fund Investment Data'!$C:$C = $C336, 'Fund Investment Data'!$A:$A = $A336,"&amp;" 'Fund Investment Data'!$B:$B &lt;= $B336)),0)"),184469.0)</f>
        <v>184469</v>
      </c>
      <c r="T336" s="93">
        <v>184469.0</v>
      </c>
      <c r="U336" s="32">
        <f t="shared" si="3"/>
        <v>0</v>
      </c>
      <c r="V336" s="32">
        <f>IFERROR(__xludf.DUMMYFUNCTION("$D336 - IFERROR(FILTER($D:$D,$C:$C = $C336, $A:$A = $A336, $B:$B = $B336 - 1),0)"),0.0)</f>
        <v>0</v>
      </c>
      <c r="W336" s="93">
        <f>IFERROR(__xludf.DUMMYFUNCTION("$E336 - IFERROR(FILTER($E:$E,$C:$C = $C336, $A:$A = $A336, $B:$B = $B336 - 1),0)"),-2800.0)</f>
        <v>-2800</v>
      </c>
      <c r="X336" s="93"/>
      <c r="Y336" s="93"/>
      <c r="Z336" s="93">
        <v>0.0</v>
      </c>
      <c r="AA336" s="93">
        <v>0.0</v>
      </c>
      <c r="AB336" s="93">
        <v>0.0</v>
      </c>
      <c r="AC336" s="93"/>
      <c r="AD336" s="93">
        <v>0.0</v>
      </c>
      <c r="AE336" s="32">
        <f t="shared" si="2"/>
        <v>-2800</v>
      </c>
      <c r="AF336" s="93">
        <v>0.0</v>
      </c>
    </row>
    <row r="337">
      <c r="A337" s="86">
        <v>2013.0</v>
      </c>
      <c r="B337" s="87">
        <v>12.0</v>
      </c>
      <c r="C337" s="88" t="s">
        <v>43</v>
      </c>
      <c r="D337" s="32"/>
      <c r="E337" s="93">
        <v>-10000.0</v>
      </c>
      <c r="F337" s="93"/>
      <c r="G337" s="93">
        <v>-687.36</v>
      </c>
      <c r="H337" s="93">
        <v>2389.54</v>
      </c>
      <c r="I337" s="93">
        <v>2183.28</v>
      </c>
      <c r="J337" s="93">
        <v>8237.57</v>
      </c>
      <c r="K337" s="32"/>
      <c r="L337" s="32"/>
      <c r="M337" s="32"/>
      <c r="N337" s="32"/>
      <c r="O337" s="93">
        <v>116717.0</v>
      </c>
      <c r="P337" s="91">
        <f>IFERROR(__xludf.DUMMYFUNCTION("IFERROR(sum(FILTER($D:$N,$C:$C = $C337,$A:$A &lt; $A337,$B:$B = 12)),0) + sum($D337:$N337)"),116715.81000000003)</f>
        <v>116715.81</v>
      </c>
      <c r="Q337" s="92">
        <f t="shared" si="1"/>
        <v>1.19</v>
      </c>
      <c r="R337" s="91">
        <f t="array" ref="R337">IFERROR(INDEX('Fund YTD Target Values'!$1:$1000, MATCH($C337,'Fund YTD Target Values'!$A:$A,0), MATCH($A337,'Fund YTD Target Values'!$1:$1,0)),0)</f>
        <v>121248.2716</v>
      </c>
      <c r="S337" s="91">
        <f>IFERROR(__xludf.DUMMYFUNCTION("IFERROR(sum(FILTER('Fund Investment Data'!$V:$V, 'Fund Investment Data'!$C:$C = $C337, 'Fund Investment Data'!$A:$A &lt; $A337)),0) + IFERROR(sum(FILTER('Fund Investment Data'!$V:$V, 'Fund Investment Data'!$C:$C = $C337, 'Fund Investment Data'!$A:$A = $A337,"&amp;" 'Fund Investment Data'!$B:$B &lt;= $B337)),0)"),100000.0)</f>
        <v>100000</v>
      </c>
      <c r="T337" s="93">
        <v>100000.0</v>
      </c>
      <c r="U337" s="32">
        <f t="shared" si="3"/>
        <v>0</v>
      </c>
      <c r="V337" s="32">
        <f>IFERROR(__xludf.DUMMYFUNCTION("$D337 - IFERROR(FILTER($D:$D,$C:$C = $C337, $A:$A = $A337, $B:$B = $B337 - 1),0)"),0.0)</f>
        <v>0</v>
      </c>
      <c r="W337" s="93">
        <f>IFERROR(__xludf.DUMMYFUNCTION("$E337 - IFERROR(FILTER($E:$E,$C:$C = $C337, $A:$A = $A337, $B:$B = $B337 - 1),0)"),-10000.0)</f>
        <v>-10000</v>
      </c>
      <c r="X337" s="93"/>
      <c r="Y337" s="93"/>
      <c r="Z337" s="93">
        <v>0.0</v>
      </c>
      <c r="AA337" s="93">
        <v>0.0</v>
      </c>
      <c r="AB337" s="93">
        <v>0.0</v>
      </c>
      <c r="AC337" s="93"/>
      <c r="AD337" s="93">
        <v>0.0</v>
      </c>
      <c r="AE337" s="32">
        <f t="shared" si="2"/>
        <v>-10000</v>
      </c>
      <c r="AF337" s="93">
        <v>0.0</v>
      </c>
    </row>
    <row r="338">
      <c r="A338" s="86">
        <v>2013.0</v>
      </c>
      <c r="B338" s="87">
        <v>12.0</v>
      </c>
      <c r="C338" s="88" t="s">
        <v>52</v>
      </c>
      <c r="D338" s="93">
        <v>498636.0</v>
      </c>
      <c r="E338" s="32"/>
      <c r="F338" s="32">
        <v>-74.0</v>
      </c>
      <c r="G338" s="32"/>
      <c r="H338" s="32"/>
      <c r="I338" s="32"/>
      <c r="J338" s="32"/>
      <c r="K338" s="32"/>
      <c r="L338" s="32"/>
      <c r="M338" s="32"/>
      <c r="N338" s="32"/>
      <c r="O338" s="93">
        <v>498562.0</v>
      </c>
      <c r="P338" s="91">
        <f>IFERROR(__xludf.DUMMYFUNCTION("IFERROR(sum(FILTER($D:$N,$C:$C = $C338,$A:$A &lt; $A338,$B:$B = 12)),0) + sum($D338:$N338)"),498562.0)</f>
        <v>498562</v>
      </c>
      <c r="Q338" s="92">
        <f t="shared" si="1"/>
        <v>0</v>
      </c>
      <c r="R338" s="91">
        <f t="array" ref="R338">IFERROR(INDEX('Fund YTD Target Values'!$1:$1000, MATCH($C338,'Fund YTD Target Values'!$A:$A,0), MATCH($A338,'Fund YTD Target Values'!$1:$1,0)),0)</f>
        <v>498636</v>
      </c>
      <c r="S338" s="91">
        <f>IFERROR(__xludf.DUMMYFUNCTION("IFERROR(sum(FILTER('Fund Investment Data'!$V:$V, 'Fund Investment Data'!$C:$C = $C338, 'Fund Investment Data'!$A:$A &lt; $A338)),0) + IFERROR(sum(FILTER('Fund Investment Data'!$V:$V, 'Fund Investment Data'!$C:$C = $C338, 'Fund Investment Data'!$A:$A = $A338,"&amp;" 'Fund Investment Data'!$B:$B &lt;= $B338)),0)"),498636.0)</f>
        <v>498636</v>
      </c>
      <c r="T338" s="93">
        <v>498636.0</v>
      </c>
      <c r="U338" s="32">
        <f t="shared" si="3"/>
        <v>0</v>
      </c>
      <c r="V338" s="32">
        <f>IFERROR(__xludf.DUMMYFUNCTION("$D338 - IFERROR(FILTER($D:$D,$C:$C = $C338, $A:$A = $A338, $B:$B = $B338 - 1),0)"),498636.0)</f>
        <v>498636</v>
      </c>
      <c r="W338" s="93">
        <f>IFERROR(__xludf.DUMMYFUNCTION("$E338 - IFERROR(FILTER($E:$E,$C:$C = $C338, $A:$A = $A338, $B:$B = $B338 - 1),0)"),0.0)</f>
        <v>0</v>
      </c>
      <c r="X338" s="93"/>
      <c r="Y338" s="93"/>
      <c r="Z338" s="93">
        <v>0.0</v>
      </c>
      <c r="AA338" s="93">
        <v>0.0</v>
      </c>
      <c r="AB338" s="93">
        <v>0.0</v>
      </c>
      <c r="AC338" s="93"/>
      <c r="AD338" s="93">
        <v>0.0</v>
      </c>
      <c r="AE338" s="32">
        <f t="shared" si="2"/>
        <v>0</v>
      </c>
      <c r="AF338" s="93">
        <v>0.0</v>
      </c>
    </row>
    <row r="339">
      <c r="A339" s="86">
        <v>2013.0</v>
      </c>
      <c r="B339" s="87">
        <v>12.0</v>
      </c>
      <c r="C339" s="88" t="s">
        <v>33</v>
      </c>
      <c r="D339" s="32"/>
      <c r="E339" s="93">
        <v>-40000.0</v>
      </c>
      <c r="F339" s="93"/>
      <c r="G339" s="93">
        <v>-2453.32</v>
      </c>
      <c r="H339" s="93">
        <v>8573.46</v>
      </c>
      <c r="I339" s="93">
        <v>8123.24</v>
      </c>
      <c r="J339" s="93">
        <v>28694.99</v>
      </c>
      <c r="K339" s="32"/>
      <c r="L339" s="32"/>
      <c r="M339" s="32"/>
      <c r="N339" s="32"/>
      <c r="O339" s="93">
        <v>406463.0</v>
      </c>
      <c r="P339" s="91">
        <f>IFERROR(__xludf.DUMMYFUNCTION("IFERROR(sum(FILTER($D:$N,$C:$C = $C339,$A:$A &lt; $A339,$B:$B = 12)),0) + sum($D339:$N339)"),406463.55999999976)</f>
        <v>406463.56</v>
      </c>
      <c r="Q339" s="92">
        <f t="shared" si="1"/>
        <v>-0.5599999998</v>
      </c>
      <c r="R339" s="91">
        <f t="array" ref="R339">IFERROR(INDEX('Fund YTD Target Values'!$1:$1000, MATCH($C339,'Fund YTD Target Values'!$A:$A,0), MATCH($A339,'Fund YTD Target Values'!$1:$1,0)),0)</f>
        <v>475846.0926</v>
      </c>
      <c r="S339" s="91">
        <f>IFERROR(__xludf.DUMMYFUNCTION("IFERROR(sum(FILTER('Fund Investment Data'!$V:$V, 'Fund Investment Data'!$C:$C = $C339, 'Fund Investment Data'!$A:$A &lt; $A339)),0) + IFERROR(sum(FILTER('Fund Investment Data'!$V:$V, 'Fund Investment Data'!$C:$C = $C339, 'Fund Investment Data'!$A:$A = $A339,"&amp;" 'Fund Investment Data'!$B:$B &lt;= $B339)),0)"),325871.6399999999)</f>
        <v>325871.64</v>
      </c>
      <c r="T339" s="93">
        <v>326032.0</v>
      </c>
      <c r="U339" s="32">
        <f t="shared" si="3"/>
        <v>-160.36</v>
      </c>
      <c r="V339" s="32">
        <f>IFERROR(__xludf.DUMMYFUNCTION("$D339 - IFERROR(FILTER($D:$D,$C:$C = $C339, $A:$A = $A339, $B:$B = $B339 - 1),0)"),0.0)</f>
        <v>0</v>
      </c>
      <c r="W339" s="93">
        <f>IFERROR(__xludf.DUMMYFUNCTION("$E339 - IFERROR(FILTER($E:$E,$C:$C = $C339, $A:$A = $A339, $B:$B = $B339 - 1),0)"),-40000.0)</f>
        <v>-40000</v>
      </c>
      <c r="X339" s="93"/>
      <c r="Y339" s="93"/>
      <c r="Z339" s="93">
        <v>0.0</v>
      </c>
      <c r="AA339" s="93">
        <v>0.0</v>
      </c>
      <c r="AB339" s="93">
        <v>0.0</v>
      </c>
      <c r="AC339" s="93"/>
      <c r="AD339" s="93">
        <v>0.0</v>
      </c>
      <c r="AE339" s="32">
        <f t="shared" si="2"/>
        <v>-40000</v>
      </c>
      <c r="AF339" s="93">
        <v>0.0</v>
      </c>
    </row>
    <row r="340">
      <c r="A340" s="86">
        <v>2013.0</v>
      </c>
      <c r="B340" s="87">
        <v>12.0</v>
      </c>
      <c r="C340" s="88" t="s">
        <v>53</v>
      </c>
      <c r="D340" s="93">
        <v>950000.0</v>
      </c>
      <c r="E340" s="93">
        <v>-30000.0</v>
      </c>
      <c r="F340" s="93"/>
      <c r="G340" s="93">
        <v>-6980.08</v>
      </c>
      <c r="H340" s="93">
        <v>23780.4</v>
      </c>
      <c r="I340" s="93">
        <v>2180.71</v>
      </c>
      <c r="J340" s="93">
        <v>126019.54</v>
      </c>
      <c r="K340" s="32"/>
      <c r="L340" s="32"/>
      <c r="M340" s="32"/>
      <c r="N340" s="32"/>
      <c r="O340" s="93">
        <v>2186234.0</v>
      </c>
      <c r="P340" s="91">
        <f>IFERROR(__xludf.DUMMYFUNCTION("IFERROR(sum(FILTER($D:$N,$C:$C = $C340,$A:$A &lt; $A340,$B:$B = 12)),0) + sum($D340:$N340)"),2186233.56)</f>
        <v>2186233.56</v>
      </c>
      <c r="Q340" s="92">
        <f t="shared" si="1"/>
        <v>0.4399999999</v>
      </c>
      <c r="R340" s="91">
        <f t="array" ref="R340">IFERROR(INDEX('Fund YTD Target Values'!$1:$1000, MATCH($C340,'Fund YTD Target Values'!$A:$A,0), MATCH($A340,'Fund YTD Target Values'!$1:$1,0)),0)</f>
        <v>2063914.806</v>
      </c>
      <c r="S340" s="91">
        <f>IFERROR(__xludf.DUMMYFUNCTION("IFERROR(sum(FILTER('Fund Investment Data'!$V:$V, 'Fund Investment Data'!$C:$C = $C340, 'Fund Investment Data'!$A:$A &lt; $A340)),0) + IFERROR(sum(FILTER('Fund Investment Data'!$V:$V, 'Fund Investment Data'!$C:$C = $C340, 'Fund Investment Data'!$A:$A = $A340,"&amp;" 'Fund Investment Data'!$B:$B &lt;= $B340)),0)"),2005500.0)</f>
        <v>2005500</v>
      </c>
      <c r="T340" s="93">
        <v>2005500.0</v>
      </c>
      <c r="U340" s="32">
        <f t="shared" si="3"/>
        <v>0</v>
      </c>
      <c r="V340" s="32">
        <f>IFERROR(__xludf.DUMMYFUNCTION("$D340 - IFERROR(FILTER($D:$D,$C:$C = $C340, $A:$A = $A340, $B:$B = $B340 - 1),0)"),950000.0)</f>
        <v>950000</v>
      </c>
      <c r="W340" s="93">
        <f>IFERROR(__xludf.DUMMYFUNCTION("$E340 - IFERROR(FILTER($E:$E,$C:$C = $C340, $A:$A = $A340, $B:$B = $B340 - 1),0)"),-30000.0)</f>
        <v>-30000</v>
      </c>
      <c r="X340" s="93"/>
      <c r="Y340" s="93"/>
      <c r="Z340" s="93">
        <v>0.0</v>
      </c>
      <c r="AA340" s="93">
        <v>0.0</v>
      </c>
      <c r="AB340" s="93">
        <v>0.0</v>
      </c>
      <c r="AC340" s="93"/>
      <c r="AD340" s="93">
        <v>0.0</v>
      </c>
      <c r="AE340" s="32">
        <f t="shared" si="2"/>
        <v>-30000</v>
      </c>
      <c r="AF340" s="93">
        <v>0.0</v>
      </c>
    </row>
    <row r="341">
      <c r="A341" s="86">
        <v>2013.0</v>
      </c>
      <c r="B341" s="87">
        <v>12.0</v>
      </c>
      <c r="C341" s="88" t="s">
        <v>34</v>
      </c>
      <c r="D341" s="32"/>
      <c r="E341" s="93">
        <v>-2000.0</v>
      </c>
      <c r="F341" s="93"/>
      <c r="G341" s="93">
        <v>-656.38</v>
      </c>
      <c r="H341" s="93">
        <v>2271.54</v>
      </c>
      <c r="I341" s="93">
        <v>159.03</v>
      </c>
      <c r="J341" s="93">
        <v>9503.35</v>
      </c>
      <c r="K341" s="32"/>
      <c r="L341" s="32"/>
      <c r="M341" s="32"/>
      <c r="N341" s="32"/>
      <c r="O341" s="93">
        <v>114115.0</v>
      </c>
      <c r="P341" s="91">
        <f>IFERROR(__xludf.DUMMYFUNCTION("IFERROR(sum(FILTER($D:$N,$C:$C = $C341,$A:$A &lt; $A341,$B:$B = 12)),0) + sum($D341:$N341)"),114114.98000000001)</f>
        <v>114114.98</v>
      </c>
      <c r="Q341" s="92">
        <f t="shared" si="1"/>
        <v>0.01999999999</v>
      </c>
      <c r="R341" s="91">
        <f t="array" ref="R341">IFERROR(INDEX('Fund YTD Target Values'!$1:$1000, MATCH($C341,'Fund YTD Target Values'!$A:$A,0), MATCH($A341,'Fund YTD Target Values'!$1:$1,0)),0)</f>
        <v>101466.0455</v>
      </c>
      <c r="S341" s="91">
        <f>IFERROR(__xludf.DUMMYFUNCTION("IFERROR(sum(FILTER('Fund Investment Data'!$V:$V, 'Fund Investment Data'!$C:$C = $C341, 'Fund Investment Data'!$A:$A &lt; $A341)),0) + IFERROR(sum(FILTER('Fund Investment Data'!$V:$V, 'Fund Investment Data'!$C:$C = $C341, 'Fund Investment Data'!$A:$A = $A341,"&amp;" 'Fund Investment Data'!$B:$B &lt;= $B341)),0)"),100000.0)</f>
        <v>100000</v>
      </c>
      <c r="T341" s="93">
        <v>100000.0</v>
      </c>
      <c r="U341" s="32">
        <f t="shared" si="3"/>
        <v>0</v>
      </c>
      <c r="V341" s="32">
        <f>IFERROR(__xludf.DUMMYFUNCTION("$D341 - IFERROR(FILTER($D:$D,$C:$C = $C341, $A:$A = $A341, $B:$B = $B341 - 1),0)"),0.0)</f>
        <v>0</v>
      </c>
      <c r="W341" s="93">
        <f>IFERROR(__xludf.DUMMYFUNCTION("$E341 - IFERROR(FILTER($E:$E,$C:$C = $C341, $A:$A = $A341, $B:$B = $B341 - 1),0)"),-2000.0)</f>
        <v>-2000</v>
      </c>
      <c r="X341" s="93"/>
      <c r="Y341" s="93"/>
      <c r="Z341" s="93">
        <v>0.0</v>
      </c>
      <c r="AA341" s="93">
        <v>0.0</v>
      </c>
      <c r="AB341" s="93">
        <v>0.0</v>
      </c>
      <c r="AC341" s="93"/>
      <c r="AD341" s="93">
        <v>0.0</v>
      </c>
      <c r="AE341" s="32">
        <f t="shared" si="2"/>
        <v>-2000</v>
      </c>
      <c r="AF341" s="93">
        <v>0.0</v>
      </c>
    </row>
    <row r="342">
      <c r="A342" s="86">
        <v>2013.0</v>
      </c>
      <c r="B342" s="87">
        <v>12.0</v>
      </c>
      <c r="C342" s="88" t="s">
        <v>54</v>
      </c>
      <c r="D342" s="93">
        <v>500.0</v>
      </c>
      <c r="E342" s="32"/>
      <c r="F342" s="93"/>
      <c r="G342" s="93">
        <v>-811.6</v>
      </c>
      <c r="H342" s="93">
        <v>2790.09</v>
      </c>
      <c r="I342" s="93">
        <v>1.62</v>
      </c>
      <c r="J342" s="93">
        <v>11964.5</v>
      </c>
      <c r="K342" s="32"/>
      <c r="L342" s="32"/>
      <c r="M342" s="32"/>
      <c r="N342" s="32"/>
      <c r="O342" s="93">
        <v>142998.0</v>
      </c>
      <c r="P342" s="91">
        <f>IFERROR(__xludf.DUMMYFUNCTION("IFERROR(sum(FILTER($D:$N,$C:$C = $C342,$A:$A &lt; $A342,$B:$B = 12)),0) + sum($D342:$N342)"),142998.37999999995)</f>
        <v>142998.38</v>
      </c>
      <c r="Q342" s="92">
        <f t="shared" si="1"/>
        <v>-0.3799999999</v>
      </c>
      <c r="R342" s="91">
        <f t="array" ref="R342">IFERROR(INDEX('Fund YTD Target Values'!$1:$1000, MATCH($C342,'Fund YTD Target Values'!$A:$A,0), MATCH($A342,'Fund YTD Target Values'!$1:$1,0)),0)</f>
        <v>128746.3448</v>
      </c>
      <c r="S342" s="91">
        <f>IFERROR(__xludf.DUMMYFUNCTION("IFERROR(sum(FILTER('Fund Investment Data'!$V:$V, 'Fund Investment Data'!$C:$C = $C342, 'Fund Investment Data'!$A:$A &lt; $A342)),0) + IFERROR(sum(FILTER('Fund Investment Data'!$V:$V, 'Fund Investment Data'!$C:$C = $C342, 'Fund Investment Data'!$A:$A = $A342,"&amp;" 'Fund Investment Data'!$B:$B &lt;= $B342)),0)"),96790.10999999999)</f>
        <v>96790.11</v>
      </c>
      <c r="T342" s="93">
        <v>92874.0</v>
      </c>
      <c r="U342" s="32">
        <f t="shared" si="3"/>
        <v>3916.11</v>
      </c>
      <c r="V342" s="32">
        <f>IFERROR(__xludf.DUMMYFUNCTION("$D342 - IFERROR(FILTER($D:$D,$C:$C = $C342, $A:$A = $A342, $B:$B = $B342 - 1),0)"),500.0)</f>
        <v>500</v>
      </c>
      <c r="W342" s="93">
        <f>IFERROR(__xludf.DUMMYFUNCTION("$E342 - IFERROR(FILTER($E:$E,$C:$C = $C342, $A:$A = $A342, $B:$B = $B342 - 1),0)"),0.0)</f>
        <v>0</v>
      </c>
      <c r="X342" s="93"/>
      <c r="Y342" s="93"/>
      <c r="Z342" s="93">
        <v>0.0</v>
      </c>
      <c r="AA342" s="93">
        <v>0.0</v>
      </c>
      <c r="AB342" s="93">
        <v>0.0</v>
      </c>
      <c r="AC342" s="93"/>
      <c r="AD342" s="93">
        <v>0.0</v>
      </c>
      <c r="AE342" s="32">
        <f t="shared" si="2"/>
        <v>0</v>
      </c>
      <c r="AF342" s="93">
        <v>0.0</v>
      </c>
    </row>
    <row r="343">
      <c r="A343" s="86">
        <v>2013.0</v>
      </c>
      <c r="B343" s="87">
        <v>12.0</v>
      </c>
      <c r="C343" s="88" t="s">
        <v>44</v>
      </c>
      <c r="D343" s="32"/>
      <c r="E343" s="93">
        <v>-12000.0</v>
      </c>
      <c r="F343" s="93"/>
      <c r="G343" s="93">
        <v>-1851.64</v>
      </c>
      <c r="H343" s="93">
        <v>6299.31</v>
      </c>
      <c r="I343" s="93">
        <v>2438.3</v>
      </c>
      <c r="J343" s="93">
        <v>24204.15</v>
      </c>
      <c r="K343" s="32"/>
      <c r="L343" s="32"/>
      <c r="M343" s="32"/>
      <c r="N343" s="32"/>
      <c r="O343" s="93">
        <v>319183.0</v>
      </c>
      <c r="P343" s="91">
        <f>IFERROR(__xludf.DUMMYFUNCTION("IFERROR(sum(FILTER($D:$N,$C:$C = $C343,$A:$A &lt; $A343,$B:$B = 12)),0) + sum($D343:$N343)"),319183.6400000001)</f>
        <v>319183.64</v>
      </c>
      <c r="Q343" s="92">
        <f t="shared" si="1"/>
        <v>-0.6400000001</v>
      </c>
      <c r="R343" s="91">
        <f t="array" ref="R343">IFERROR(INDEX('Fund YTD Target Values'!$1:$1000, MATCH($C343,'Fund YTD Target Values'!$A:$A,0), MATCH($A343,'Fund YTD Target Values'!$1:$1,0)),0)</f>
        <v>298337.2709</v>
      </c>
      <c r="S343" s="91">
        <f>IFERROR(__xludf.DUMMYFUNCTION("IFERROR(sum(FILTER('Fund Investment Data'!$V:$V, 'Fund Investment Data'!$C:$C = $C343, 'Fund Investment Data'!$A:$A &lt; $A343)),0) + IFERROR(sum(FILTER('Fund Investment Data'!$V:$V, 'Fund Investment Data'!$C:$C = $C343, 'Fund Investment Data'!$A:$A = $A343,"&amp;" 'Fund Investment Data'!$B:$B &lt;= $B343)),0)"),250000.0)</f>
        <v>250000</v>
      </c>
      <c r="T343" s="93">
        <v>250000.0</v>
      </c>
      <c r="U343" s="32">
        <f t="shared" si="3"/>
        <v>0</v>
      </c>
      <c r="V343" s="32">
        <f>IFERROR(__xludf.DUMMYFUNCTION("$D343 - IFERROR(FILTER($D:$D,$C:$C = $C343, $A:$A = $A343, $B:$B = $B343 - 1),0)"),0.0)</f>
        <v>0</v>
      </c>
      <c r="W343" s="93">
        <f>IFERROR(__xludf.DUMMYFUNCTION("$E343 - IFERROR(FILTER($E:$E,$C:$C = $C343, $A:$A = $A343, $B:$B = $B343 - 1),0)"),-12000.0)</f>
        <v>-12000</v>
      </c>
      <c r="X343" s="93"/>
      <c r="Y343" s="93"/>
      <c r="Z343" s="93">
        <v>0.0</v>
      </c>
      <c r="AA343" s="93">
        <v>0.0</v>
      </c>
      <c r="AB343" s="93">
        <v>0.0</v>
      </c>
      <c r="AC343" s="93"/>
      <c r="AD343" s="93">
        <v>0.0</v>
      </c>
      <c r="AE343" s="32">
        <f t="shared" si="2"/>
        <v>-12000</v>
      </c>
      <c r="AF343" s="93">
        <v>0.0</v>
      </c>
    </row>
    <row r="344">
      <c r="A344" s="86">
        <v>2013.0</v>
      </c>
      <c r="B344" s="87">
        <v>12.0</v>
      </c>
      <c r="C344" s="88" t="s">
        <v>45</v>
      </c>
      <c r="D344" s="32"/>
      <c r="E344" s="32"/>
      <c r="F344" s="93"/>
      <c r="G344" s="93">
        <v>-798.45</v>
      </c>
      <c r="H344" s="93">
        <v>2705.94</v>
      </c>
      <c r="I344" s="93">
        <v>1.57</v>
      </c>
      <c r="J344" s="93">
        <v>11586.97</v>
      </c>
      <c r="K344" s="32"/>
      <c r="L344" s="32"/>
      <c r="M344" s="32"/>
      <c r="N344" s="32"/>
      <c r="O344" s="93">
        <v>140372.0</v>
      </c>
      <c r="P344" s="91">
        <f>IFERROR(__xludf.DUMMYFUNCTION("IFERROR(sum(FILTER($D:$N,$C:$C = $C344,$A:$A &lt; $A344,$B:$B = 12)),0) + sum($D344:$N344)"),140372.21)</f>
        <v>140372.21</v>
      </c>
      <c r="Q344" s="92">
        <f t="shared" si="1"/>
        <v>-0.21</v>
      </c>
      <c r="R344" s="91">
        <f t="array" ref="R344">IFERROR(INDEX('Fund YTD Target Values'!$1:$1000, MATCH($C344,'Fund YTD Target Values'!$A:$A,0), MATCH($A344,'Fund YTD Target Values'!$1:$1,0)),0)</f>
        <v>112476.8622</v>
      </c>
      <c r="S344" s="91">
        <f>IFERROR(__xludf.DUMMYFUNCTION("IFERROR(sum(FILTER('Fund Investment Data'!$V:$V, 'Fund Investment Data'!$C:$C = $C344, 'Fund Investment Data'!$A:$A &lt; $A344)),0) + IFERROR(sum(FILTER('Fund Investment Data'!$V:$V, 'Fund Investment Data'!$C:$C = $C344, 'Fund Investment Data'!$A:$A = $A344,"&amp;" 'Fund Investment Data'!$B:$B &lt;= $B344)),0)"),100000.0)</f>
        <v>100000</v>
      </c>
      <c r="T344" s="93">
        <v>100000.0</v>
      </c>
      <c r="U344" s="32">
        <f t="shared" si="3"/>
        <v>0</v>
      </c>
      <c r="V344" s="32">
        <f>IFERROR(__xludf.DUMMYFUNCTION("$D344 - IFERROR(FILTER($D:$D,$C:$C = $C344, $A:$A = $A344, $B:$B = $B344 - 1),0)"),0.0)</f>
        <v>0</v>
      </c>
      <c r="W344" s="93">
        <f>IFERROR(__xludf.DUMMYFUNCTION("$E344 - IFERROR(FILTER($E:$E,$C:$C = $C344, $A:$A = $A344, $B:$B = $B344 - 1),0)"),0.0)</f>
        <v>0</v>
      </c>
      <c r="X344" s="93"/>
      <c r="Y344" s="93"/>
      <c r="Z344" s="93">
        <v>0.0</v>
      </c>
      <c r="AA344" s="93">
        <v>0.0</v>
      </c>
      <c r="AB344" s="93">
        <v>0.0</v>
      </c>
      <c r="AC344" s="93"/>
      <c r="AD344" s="93">
        <v>0.0</v>
      </c>
      <c r="AE344" s="32">
        <f t="shared" si="2"/>
        <v>0</v>
      </c>
      <c r="AF344" s="93">
        <v>0.0</v>
      </c>
    </row>
    <row r="345">
      <c r="A345" s="86">
        <v>2013.0</v>
      </c>
      <c r="B345" s="87">
        <v>12.0</v>
      </c>
      <c r="C345" s="88" t="s">
        <v>35</v>
      </c>
      <c r="D345" s="93">
        <v>500.0</v>
      </c>
      <c r="E345" s="93">
        <v>-47800.0</v>
      </c>
      <c r="F345" s="93"/>
      <c r="G345" s="93">
        <v>-8429.86</v>
      </c>
      <c r="H345" s="93">
        <v>28954.27</v>
      </c>
      <c r="I345" s="93">
        <v>4267.53</v>
      </c>
      <c r="J345" s="93">
        <v>119057.71</v>
      </c>
      <c r="K345" s="32"/>
      <c r="L345" s="32"/>
      <c r="M345" s="32"/>
      <c r="N345" s="32"/>
      <c r="O345" s="93">
        <v>1454818.0</v>
      </c>
      <c r="P345" s="91">
        <f>IFERROR(__xludf.DUMMYFUNCTION("IFERROR(sum(FILTER($D:$N,$C:$C = $C345,$A:$A &lt; $A345,$B:$B = 12)),0) + sum($D345:$N345)"),1454816.8600000003)</f>
        <v>1454816.86</v>
      </c>
      <c r="Q345" s="92">
        <f t="shared" si="1"/>
        <v>1.14</v>
      </c>
      <c r="R345" s="91">
        <f t="array" ref="R345">IFERROR(INDEX('Fund YTD Target Values'!$1:$1000, MATCH($C345,'Fund YTD Target Values'!$A:$A,0), MATCH($A345,'Fund YTD Target Values'!$1:$1,0)),0)</f>
        <v>1445399.793</v>
      </c>
      <c r="S345" s="91">
        <f>IFERROR(__xludf.DUMMYFUNCTION("IFERROR(sum(FILTER('Fund Investment Data'!$V:$V, 'Fund Investment Data'!$C:$C = $C345, 'Fund Investment Data'!$A:$A &lt; $A345)),0) + IFERROR(sum(FILTER('Fund Investment Data'!$V:$V, 'Fund Investment Data'!$C:$C = $C345, 'Fund Investment Data'!$A:$A = $A345,"&amp;" 'Fund Investment Data'!$B:$B &lt;= $B345)),0)"),1066625.0)</f>
        <v>1066625</v>
      </c>
      <c r="T345" s="93">
        <v>1051625.0</v>
      </c>
      <c r="U345" s="32">
        <f t="shared" si="3"/>
        <v>15000</v>
      </c>
      <c r="V345" s="32">
        <f>IFERROR(__xludf.DUMMYFUNCTION("$D345 - IFERROR(FILTER($D:$D,$C:$C = $C345, $A:$A = $A345, $B:$B = $B345 - 1),0)"),500.0)</f>
        <v>500</v>
      </c>
      <c r="W345" s="93">
        <f>IFERROR(__xludf.DUMMYFUNCTION("$E345 - IFERROR(FILTER($E:$E,$C:$C = $C345, $A:$A = $A345, $B:$B = $B345 - 1),0)"),-47800.0)</f>
        <v>-47800</v>
      </c>
      <c r="X345" s="93"/>
      <c r="Y345" s="93"/>
      <c r="Z345" s="93">
        <v>0.0</v>
      </c>
      <c r="AA345" s="93">
        <v>0.0</v>
      </c>
      <c r="AB345" s="93">
        <v>0.0</v>
      </c>
      <c r="AC345" s="93"/>
      <c r="AD345" s="93">
        <v>0.0</v>
      </c>
      <c r="AE345" s="32">
        <f t="shared" si="2"/>
        <v>-47800</v>
      </c>
      <c r="AF345" s="93">
        <v>0.0</v>
      </c>
    </row>
    <row r="346">
      <c r="A346" s="86">
        <v>2014.0</v>
      </c>
      <c r="B346" s="87">
        <v>12.0</v>
      </c>
      <c r="C346" s="88" t="s">
        <v>26</v>
      </c>
      <c r="D346" s="93">
        <v>10061.0</v>
      </c>
      <c r="E346" s="93">
        <v>-10000.0</v>
      </c>
      <c r="F346" s="93"/>
      <c r="G346" s="93">
        <v>-1793.84</v>
      </c>
      <c r="H346" s="93">
        <v>5520.82</v>
      </c>
      <c r="I346" s="93">
        <v>763.74</v>
      </c>
      <c r="J346" s="93">
        <v>453.56</v>
      </c>
      <c r="K346" s="32"/>
      <c r="L346" s="32"/>
      <c r="M346" s="32"/>
      <c r="N346" s="32"/>
      <c r="O346" s="93">
        <v>292270.0</v>
      </c>
      <c r="P346" s="91">
        <f>IFERROR(__xludf.DUMMYFUNCTION("IFERROR(sum(FILTER($D:$N,$C:$C = $C346,$A:$A &lt; $A346,$B:$B = 12)),0) + sum($D346:$N346)"),292269.66)</f>
        <v>292269.66</v>
      </c>
      <c r="Q346" s="92">
        <f t="shared" si="1"/>
        <v>0.34</v>
      </c>
      <c r="R346" s="91">
        <f t="array" ref="R346">IFERROR(INDEX('Fund YTD Target Values'!$1:$1000, MATCH($C346,'Fund YTD Target Values'!$A:$A,0), MATCH($A346,'Fund YTD Target Values'!$1:$1,0)),0)</f>
        <v>307826.5871</v>
      </c>
      <c r="S346" s="91">
        <f>IFERROR(__xludf.DUMMYFUNCTION("IFERROR(sum(FILTER('Fund Investment Data'!$V:$V, 'Fund Investment Data'!$C:$C = $C346, 'Fund Investment Data'!$A:$A &lt; $A346)),0) + IFERROR(sum(FILTER('Fund Investment Data'!$V:$V, 'Fund Investment Data'!$C:$C = $C346, 'Fund Investment Data'!$A:$A = $A346,"&amp;" 'Fund Investment Data'!$B:$B &lt;= $B346)),0)"),260061.0)</f>
        <v>260061</v>
      </c>
      <c r="T346" s="93">
        <v>260061.0</v>
      </c>
      <c r="U346" s="32">
        <f t="shared" si="3"/>
        <v>0</v>
      </c>
      <c r="V346" s="32">
        <f>IFERROR(__xludf.DUMMYFUNCTION("$D346 - IFERROR(FILTER($D:$D,$C:$C = $C346, $A:$A = $A346, $B:$B = $B346 - 1),0)"),10061.0)</f>
        <v>10061</v>
      </c>
      <c r="W346" s="93">
        <f>IFERROR(__xludf.DUMMYFUNCTION("$E346 - IFERROR(FILTER($E:$E,$C:$C = $C346, $A:$A = $A346, $B:$B = $B346 - 1),0)"),-10000.0)</f>
        <v>-10000</v>
      </c>
      <c r="X346" s="93"/>
      <c r="Y346" s="93"/>
      <c r="Z346" s="93">
        <v>0.0</v>
      </c>
      <c r="AA346" s="93">
        <v>0.0</v>
      </c>
      <c r="AB346" s="93">
        <v>0.0</v>
      </c>
      <c r="AC346" s="93"/>
      <c r="AD346" s="93">
        <v>0.0</v>
      </c>
      <c r="AE346" s="32">
        <f t="shared" si="2"/>
        <v>-10000</v>
      </c>
      <c r="AF346" s="93">
        <v>0.0</v>
      </c>
    </row>
    <row r="347">
      <c r="A347" s="86">
        <v>2014.0</v>
      </c>
      <c r="B347" s="87">
        <v>12.0</v>
      </c>
      <c r="C347" s="88" t="s">
        <v>27</v>
      </c>
      <c r="D347" s="32"/>
      <c r="E347" s="93">
        <v>-11000.0</v>
      </c>
      <c r="F347" s="93"/>
      <c r="G347" s="93">
        <v>-1965.95</v>
      </c>
      <c r="H347" s="93">
        <v>6121.36</v>
      </c>
      <c r="I347" s="93">
        <v>1833.2</v>
      </c>
      <c r="J347" s="93">
        <v>-369.66</v>
      </c>
      <c r="K347" s="32"/>
      <c r="L347" s="32"/>
      <c r="M347" s="32"/>
      <c r="N347" s="32"/>
      <c r="O347" s="93">
        <v>318772.0</v>
      </c>
      <c r="P347" s="91">
        <f>IFERROR(__xludf.DUMMYFUNCTION("IFERROR(sum(FILTER($D:$N,$C:$C = $C347,$A:$A &lt; $A347,$B:$B = 12)),0) + sum($D347:$N347)"),318772.42000000004)</f>
        <v>318772.42</v>
      </c>
      <c r="Q347" s="92">
        <f t="shared" si="1"/>
        <v>-0.42</v>
      </c>
      <c r="R347" s="91">
        <f t="array" ref="R347">IFERROR(INDEX('Fund YTD Target Values'!$1:$1000, MATCH($C347,'Fund YTD Target Values'!$A:$A,0), MATCH($A347,'Fund YTD Target Values'!$1:$1,0)),0)</f>
        <v>370781.6458</v>
      </c>
      <c r="S347" s="91">
        <f>IFERROR(__xludf.DUMMYFUNCTION("IFERROR(sum(FILTER('Fund Investment Data'!$V:$V, 'Fund Investment Data'!$C:$C = $C347, 'Fund Investment Data'!$A:$A &lt; $A347)),0) + IFERROR(sum(FILTER('Fund Investment Data'!$V:$V, 'Fund Investment Data'!$C:$C = $C347, 'Fund Investment Data'!$A:$A = $A347,"&amp;" 'Fund Investment Data'!$B:$B &lt;= $B347)),0)"),276213.69999999995)</f>
        <v>276213.7</v>
      </c>
      <c r="T347" s="93">
        <v>272248.0</v>
      </c>
      <c r="U347" s="32">
        <f t="shared" si="3"/>
        <v>3965.7</v>
      </c>
      <c r="V347" s="32">
        <f>IFERROR(__xludf.DUMMYFUNCTION("$D347 - IFERROR(FILTER($D:$D,$C:$C = $C347, $A:$A = $A347, $B:$B = $B347 - 1),0)"),0.0)</f>
        <v>0</v>
      </c>
      <c r="W347" s="93">
        <f>IFERROR(__xludf.DUMMYFUNCTION("$E347 - IFERROR(FILTER($E:$E,$C:$C = $C347, $A:$A = $A347, $B:$B = $B347 - 1),0)"),-11000.0)</f>
        <v>-11000</v>
      </c>
      <c r="X347" s="93"/>
      <c r="Y347" s="93"/>
      <c r="Z347" s="93">
        <v>0.0</v>
      </c>
      <c r="AA347" s="93">
        <v>0.0</v>
      </c>
      <c r="AB347" s="93">
        <v>0.0</v>
      </c>
      <c r="AC347" s="93"/>
      <c r="AD347" s="93">
        <v>0.0</v>
      </c>
      <c r="AE347" s="32">
        <f t="shared" si="2"/>
        <v>-11000</v>
      </c>
      <c r="AF347" s="93">
        <v>0.0</v>
      </c>
    </row>
    <row r="348">
      <c r="A348" s="86">
        <v>2014.0</v>
      </c>
      <c r="B348" s="87">
        <v>12.0</v>
      </c>
      <c r="C348" s="88" t="s">
        <v>28</v>
      </c>
      <c r="D348" s="32"/>
      <c r="E348" s="93">
        <v>-210000.0</v>
      </c>
      <c r="F348" s="93"/>
      <c r="G348" s="93">
        <v>-21276.6</v>
      </c>
      <c r="H348" s="93">
        <v>66392.5</v>
      </c>
      <c r="I348" s="93">
        <v>41151.36</v>
      </c>
      <c r="J348" s="93">
        <v>-21854.54</v>
      </c>
      <c r="K348" s="32"/>
      <c r="L348" s="32"/>
      <c r="M348" s="32"/>
      <c r="N348" s="32"/>
      <c r="O348" s="93">
        <v>3367072.0</v>
      </c>
      <c r="P348" s="91">
        <f>IFERROR(__xludf.DUMMYFUNCTION("IFERROR(sum(FILTER($D:$N,$C:$C = $C348,$A:$A &lt; $A348,$B:$B = 12)),0) + sum($D348:$N348)"),3367071.31)</f>
        <v>3367071.31</v>
      </c>
      <c r="Q348" s="92">
        <f t="shared" si="1"/>
        <v>0.6899999999</v>
      </c>
      <c r="R348" s="91">
        <f t="array" ref="R348">IFERROR(INDEX('Fund YTD Target Values'!$1:$1000, MATCH($C348,'Fund YTD Target Values'!$A:$A,0), MATCH($A348,'Fund YTD Target Values'!$1:$1,0)),0)</f>
        <v>3620623.025</v>
      </c>
      <c r="S348" s="91">
        <f>IFERROR(__xludf.DUMMYFUNCTION("IFERROR(sum(FILTER('Fund Investment Data'!$V:$V, 'Fund Investment Data'!$C:$C = $C348, 'Fund Investment Data'!$A:$A &lt; $A348)),0) + IFERROR(sum(FILTER('Fund Investment Data'!$V:$V, 'Fund Investment Data'!$C:$C = $C348, 'Fund Investment Data'!$A:$A = $A348,"&amp;" 'Fund Investment Data'!$B:$B &lt;= $B348)),0)"),2960091.25)</f>
        <v>2960091.25</v>
      </c>
      <c r="T348" s="93">
        <v>3009816.0</v>
      </c>
      <c r="U348" s="32">
        <f t="shared" si="3"/>
        <v>-49724.75</v>
      </c>
      <c r="V348" s="32">
        <f>IFERROR(__xludf.DUMMYFUNCTION("$D348 - IFERROR(FILTER($D:$D,$C:$C = $C348, $A:$A = $A348, $B:$B = $B348 - 1),0)"),0.0)</f>
        <v>0</v>
      </c>
      <c r="W348" s="93">
        <f>IFERROR(__xludf.DUMMYFUNCTION("$E348 - IFERROR(FILTER($E:$E,$C:$C = $C348, $A:$A = $A348, $B:$B = $B348 - 1),0)"),-210000.0)</f>
        <v>-210000</v>
      </c>
      <c r="X348" s="93"/>
      <c r="Y348" s="93"/>
      <c r="Z348" s="93">
        <v>0.0</v>
      </c>
      <c r="AA348" s="93">
        <v>0.0</v>
      </c>
      <c r="AB348" s="93">
        <v>0.0</v>
      </c>
      <c r="AC348" s="93"/>
      <c r="AD348" s="93">
        <v>0.0</v>
      </c>
      <c r="AE348" s="32">
        <f t="shared" si="2"/>
        <v>-210000</v>
      </c>
      <c r="AF348" s="93">
        <v>0.0</v>
      </c>
    </row>
    <row r="349">
      <c r="A349" s="86">
        <v>2014.0</v>
      </c>
      <c r="B349" s="87">
        <v>12.0</v>
      </c>
      <c r="C349" s="88" t="s">
        <v>46</v>
      </c>
      <c r="D349" s="32"/>
      <c r="E349" s="93">
        <v>-22500.0</v>
      </c>
      <c r="F349" s="93"/>
      <c r="G349" s="93">
        <v>-2723.23</v>
      </c>
      <c r="H349" s="93">
        <v>8449.39</v>
      </c>
      <c r="I349" s="93">
        <v>2893.58</v>
      </c>
      <c r="J349" s="93">
        <v>-589.92</v>
      </c>
      <c r="K349" s="32"/>
      <c r="L349" s="32"/>
      <c r="M349" s="32"/>
      <c r="N349" s="32"/>
      <c r="O349" s="93">
        <v>433127.0</v>
      </c>
      <c r="P349" s="91">
        <f>IFERROR(__xludf.DUMMYFUNCTION("IFERROR(sum(FILTER($D:$N,$C:$C = $C349,$A:$A &lt; $A349,$B:$B = 12)),0) + sum($D349:$N349)"),433127.45999999996)</f>
        <v>433127.46</v>
      </c>
      <c r="Q349" s="92">
        <f t="shared" si="1"/>
        <v>-0.46</v>
      </c>
      <c r="R349" s="91">
        <f t="array" ref="R349">IFERROR(INDEX('Fund YTD Target Values'!$1:$1000, MATCH($C349,'Fund YTD Target Values'!$A:$A,0), MATCH($A349,'Fund YTD Target Values'!$1:$1,0)),0)</f>
        <v>430410.0585</v>
      </c>
      <c r="S349" s="91">
        <f>IFERROR(__xludf.DUMMYFUNCTION("IFERROR(sum(FILTER('Fund Investment Data'!$V:$V, 'Fund Investment Data'!$C:$C = $C349, 'Fund Investment Data'!$A:$A &lt; $A349)),0) + IFERROR(sum(FILTER('Fund Investment Data'!$V:$V, 'Fund Investment Data'!$C:$C = $C349, 'Fund Investment Data'!$A:$A = $A349,"&amp;" 'Fund Investment Data'!$B:$B &lt;= $B349)),0)"),366400.0)</f>
        <v>366400</v>
      </c>
      <c r="T349" s="93">
        <v>366400.0</v>
      </c>
      <c r="U349" s="32">
        <f t="shared" si="3"/>
        <v>0</v>
      </c>
      <c r="V349" s="32">
        <f>IFERROR(__xludf.DUMMYFUNCTION("$D349 - IFERROR(FILTER($D:$D,$C:$C = $C349, $A:$A = $A349, $B:$B = $B349 - 1),0)"),0.0)</f>
        <v>0</v>
      </c>
      <c r="W349" s="93">
        <f>IFERROR(__xludf.DUMMYFUNCTION("$E349 - IFERROR(FILTER($E:$E,$C:$C = $C349, $A:$A = $A349, $B:$B = $B349 - 1),0)"),-22500.0)</f>
        <v>-22500</v>
      </c>
      <c r="X349" s="93"/>
      <c r="Y349" s="93"/>
      <c r="Z349" s="93">
        <v>0.0</v>
      </c>
      <c r="AA349" s="93">
        <v>0.0</v>
      </c>
      <c r="AB349" s="93">
        <v>0.0</v>
      </c>
      <c r="AC349" s="93"/>
      <c r="AD349" s="93">
        <v>0.0</v>
      </c>
      <c r="AE349" s="32">
        <f t="shared" si="2"/>
        <v>-22500</v>
      </c>
      <c r="AF349" s="93">
        <v>0.0</v>
      </c>
    </row>
    <row r="350">
      <c r="A350" s="86">
        <v>2014.0</v>
      </c>
      <c r="B350" s="87">
        <v>12.0</v>
      </c>
      <c r="C350" s="88" t="s">
        <v>36</v>
      </c>
      <c r="D350" s="32"/>
      <c r="E350" s="93">
        <v>-24000.0</v>
      </c>
      <c r="F350" s="93"/>
      <c r="G350" s="93">
        <v>-2872.76</v>
      </c>
      <c r="H350" s="93">
        <v>8951.13</v>
      </c>
      <c r="I350" s="93">
        <v>3134.1</v>
      </c>
      <c r="J350" s="93">
        <v>-782.25</v>
      </c>
      <c r="K350" s="32"/>
      <c r="L350" s="32"/>
      <c r="M350" s="32"/>
      <c r="N350" s="32"/>
      <c r="O350" s="93">
        <v>458903.0</v>
      </c>
      <c r="P350" s="91">
        <f>IFERROR(__xludf.DUMMYFUNCTION("IFERROR(sum(FILTER($D:$N,$C:$C = $C350,$A:$A &lt; $A350,$B:$B = 12)),0) + sum($D350:$N350)"),458902.45000000007)</f>
        <v>458902.45</v>
      </c>
      <c r="Q350" s="92">
        <f t="shared" si="1"/>
        <v>0.5499999999</v>
      </c>
      <c r="R350" s="91">
        <f t="array" ref="R350">IFERROR(INDEX('Fund YTD Target Values'!$1:$1000, MATCH($C350,'Fund YTD Target Values'!$A:$A,0), MATCH($A350,'Fund YTD Target Values'!$1:$1,0)),0)</f>
        <v>599105.5991</v>
      </c>
      <c r="S350" s="91">
        <f>IFERROR(__xludf.DUMMYFUNCTION("IFERROR(sum(FILTER('Fund Investment Data'!$V:$V, 'Fund Investment Data'!$C:$C = $C350, 'Fund Investment Data'!$A:$A &lt; $A350)),0) + IFERROR(sum(FILTER('Fund Investment Data'!$V:$V, 'Fund Investment Data'!$C:$C = $C350, 'Fund Investment Data'!$A:$A = $A350,"&amp;" 'Fund Investment Data'!$B:$B &lt;= $B350)),0)"),429067.24)</f>
        <v>429067.24</v>
      </c>
      <c r="T350" s="93">
        <v>413959.0</v>
      </c>
      <c r="U350" s="32">
        <f t="shared" si="3"/>
        <v>15108.24</v>
      </c>
      <c r="V350" s="32">
        <f>IFERROR(__xludf.DUMMYFUNCTION("$D350 - IFERROR(FILTER($D:$D,$C:$C = $C350, $A:$A = $A350, $B:$B = $B350 - 1),0)"),0.0)</f>
        <v>0</v>
      </c>
      <c r="W350" s="93">
        <f>IFERROR(__xludf.DUMMYFUNCTION("$E350 - IFERROR(FILTER($E:$E,$C:$C = $C350, $A:$A = $A350, $B:$B = $B350 - 1),0)"),-24000.0)</f>
        <v>-24000</v>
      </c>
      <c r="X350" s="93"/>
      <c r="Y350" s="93"/>
      <c r="Z350" s="93">
        <v>0.0</v>
      </c>
      <c r="AA350" s="93">
        <v>0.0</v>
      </c>
      <c r="AB350" s="93">
        <v>0.0</v>
      </c>
      <c r="AC350" s="93"/>
      <c r="AD350" s="93">
        <v>0.0</v>
      </c>
      <c r="AE350" s="32">
        <f t="shared" si="2"/>
        <v>-24000</v>
      </c>
      <c r="AF350" s="93">
        <v>0.0</v>
      </c>
    </row>
    <row r="351">
      <c r="A351" s="86">
        <v>2014.0</v>
      </c>
      <c r="B351" s="87">
        <v>12.0</v>
      </c>
      <c r="C351" s="88" t="s">
        <v>37</v>
      </c>
      <c r="D351" s="32"/>
      <c r="E351" s="93">
        <v>-20000.0</v>
      </c>
      <c r="F351" s="93"/>
      <c r="G351" s="93">
        <v>-5607.24</v>
      </c>
      <c r="H351" s="93">
        <v>17474.35</v>
      </c>
      <c r="I351" s="93">
        <v>450.12</v>
      </c>
      <c r="J351" s="93">
        <v>3480.24</v>
      </c>
      <c r="K351" s="32"/>
      <c r="L351" s="32"/>
      <c r="M351" s="32"/>
      <c r="N351" s="32"/>
      <c r="O351" s="93">
        <v>914915.0</v>
      </c>
      <c r="P351" s="91">
        <f>IFERROR(__xludf.DUMMYFUNCTION("IFERROR(sum(FILTER($D:$N,$C:$C = $C351,$A:$A &lt; $A351,$B:$B = 12)),0) + sum($D351:$N351)"),914914.99)</f>
        <v>914914.99</v>
      </c>
      <c r="Q351" s="92">
        <f t="shared" si="1"/>
        <v>0.01000000001</v>
      </c>
      <c r="R351" s="91">
        <f t="array" ref="R351">IFERROR(INDEX('Fund YTD Target Values'!$1:$1000, MATCH($C351,'Fund YTD Target Values'!$A:$A,0), MATCH($A351,'Fund YTD Target Values'!$1:$1,0)),0)</f>
        <v>797210.2938</v>
      </c>
      <c r="S351" s="91">
        <f>IFERROR(__xludf.DUMMYFUNCTION("IFERROR(sum(FILTER('Fund Investment Data'!$V:$V, 'Fund Investment Data'!$C:$C = $C351, 'Fund Investment Data'!$A:$A &lt; $A351)),0) + IFERROR(sum(FILTER('Fund Investment Data'!$V:$V, 'Fund Investment Data'!$C:$C = $C351, 'Fund Investment Data'!$A:$A = $A351,"&amp;" 'Fund Investment Data'!$B:$B &lt;= $B351)),0)"),758137.86)</f>
        <v>758137.86</v>
      </c>
      <c r="T351" s="93">
        <v>742866.0</v>
      </c>
      <c r="U351" s="32">
        <f t="shared" si="3"/>
        <v>15271.86</v>
      </c>
      <c r="V351" s="32">
        <f>IFERROR(__xludf.DUMMYFUNCTION("$D351 - IFERROR(FILTER($D:$D,$C:$C = $C351, $A:$A = $A351, $B:$B = $B351 - 1),0)"),0.0)</f>
        <v>0</v>
      </c>
      <c r="W351" s="93">
        <f>IFERROR(__xludf.DUMMYFUNCTION("$E351 - IFERROR(FILTER($E:$E,$C:$C = $C351, $A:$A = $A351, $B:$B = $B351 - 1),0)"),-20000.0)</f>
        <v>-20000</v>
      </c>
      <c r="X351" s="93"/>
      <c r="Y351" s="93"/>
      <c r="Z351" s="93">
        <v>0.0</v>
      </c>
      <c r="AA351" s="93">
        <v>0.0</v>
      </c>
      <c r="AB351" s="93">
        <v>0.0</v>
      </c>
      <c r="AC351" s="93"/>
      <c r="AD351" s="93">
        <v>0.0</v>
      </c>
      <c r="AE351" s="32">
        <f t="shared" si="2"/>
        <v>-20000</v>
      </c>
      <c r="AF351" s="93">
        <v>0.0</v>
      </c>
    </row>
    <row r="352">
      <c r="A352" s="86">
        <v>2014.0</v>
      </c>
      <c r="B352" s="87">
        <v>12.0</v>
      </c>
      <c r="C352" s="88" t="s">
        <v>29</v>
      </c>
      <c r="D352" s="32"/>
      <c r="E352" s="93">
        <v>-3000.0</v>
      </c>
      <c r="F352" s="93"/>
      <c r="G352" s="93">
        <v>-362.93</v>
      </c>
      <c r="H352" s="93">
        <v>1125.68</v>
      </c>
      <c r="I352" s="93">
        <v>513.57</v>
      </c>
      <c r="J352" s="93">
        <v>-223.28</v>
      </c>
      <c r="K352" s="32"/>
      <c r="L352" s="32"/>
      <c r="M352" s="32"/>
      <c r="N352" s="32"/>
      <c r="O352" s="93">
        <v>58002.0</v>
      </c>
      <c r="P352" s="91">
        <f>IFERROR(__xludf.DUMMYFUNCTION("IFERROR(sum(FILTER($D:$N,$C:$C = $C352,$A:$A &lt; $A352,$B:$B = 12)),0) + sum($D352:$N352)"),58001.97999999993)</f>
        <v>58001.98</v>
      </c>
      <c r="Q352" s="92">
        <f t="shared" si="1"/>
        <v>0.02000000007</v>
      </c>
      <c r="R352" s="91">
        <f t="array" ref="R352">IFERROR(INDEX('Fund YTD Target Values'!$1:$1000, MATCH($C352,'Fund YTD Target Values'!$A:$A,0), MATCH($A352,'Fund YTD Target Values'!$1:$1,0)),0)</f>
        <v>72644.55667</v>
      </c>
      <c r="S352" s="91">
        <f>IFERROR(__xludf.DUMMYFUNCTION("IFERROR(sum(FILTER('Fund Investment Data'!$V:$V, 'Fund Investment Data'!$C:$C = $C352, 'Fund Investment Data'!$A:$A &lt; $A352)),0) + IFERROR(sum(FILTER('Fund Investment Data'!$V:$V, 'Fund Investment Data'!$C:$C = $C352, 'Fund Investment Data'!$A:$A = $A352,"&amp;" 'Fund Investment Data'!$B:$B &lt;= $B352)),0)"),50000.0)</f>
        <v>50000</v>
      </c>
      <c r="T352" s="93">
        <v>50000.0</v>
      </c>
      <c r="U352" s="32">
        <f t="shared" si="3"/>
        <v>0</v>
      </c>
      <c r="V352" s="32">
        <f>IFERROR(__xludf.DUMMYFUNCTION("$D352 - IFERROR(FILTER($D:$D,$C:$C = $C352, $A:$A = $A352, $B:$B = $B352 - 1),0)"),0.0)</f>
        <v>0</v>
      </c>
      <c r="W352" s="93">
        <f>IFERROR(__xludf.DUMMYFUNCTION("$E352 - IFERROR(FILTER($E:$E,$C:$C = $C352, $A:$A = $A352, $B:$B = $B352 - 1),0)"),-3000.0)</f>
        <v>-3000</v>
      </c>
      <c r="X352" s="93"/>
      <c r="Y352" s="93"/>
      <c r="Z352" s="93">
        <v>0.0</v>
      </c>
      <c r="AA352" s="93">
        <v>0.0</v>
      </c>
      <c r="AB352" s="93">
        <v>0.0</v>
      </c>
      <c r="AC352" s="93"/>
      <c r="AD352" s="93">
        <v>0.0</v>
      </c>
      <c r="AE352" s="32">
        <f t="shared" si="2"/>
        <v>-3000</v>
      </c>
      <c r="AF352" s="93">
        <v>0.0</v>
      </c>
    </row>
    <row r="353">
      <c r="A353" s="86">
        <v>2014.0</v>
      </c>
      <c r="B353" s="87">
        <v>12.0</v>
      </c>
      <c r="C353" s="88" t="s">
        <v>38</v>
      </c>
      <c r="D353" s="32"/>
      <c r="E353" s="93">
        <v>-14030.0</v>
      </c>
      <c r="F353" s="93"/>
      <c r="G353" s="93">
        <v>-4483.83</v>
      </c>
      <c r="H353" s="93">
        <v>13962.85</v>
      </c>
      <c r="I353" s="93">
        <v>797.72</v>
      </c>
      <c r="J353" s="93">
        <v>2378.21</v>
      </c>
      <c r="K353" s="32"/>
      <c r="L353" s="32"/>
      <c r="M353" s="32"/>
      <c r="N353" s="32"/>
      <c r="O353" s="93">
        <v>733063.0</v>
      </c>
      <c r="P353" s="91">
        <f>IFERROR(__xludf.DUMMYFUNCTION("IFERROR(sum(FILTER($D:$N,$C:$C = $C353,$A:$A &lt; $A353,$B:$B = 12)),0) + sum($D353:$N353)"),733062.3199999998)</f>
        <v>733062.32</v>
      </c>
      <c r="Q353" s="92">
        <f t="shared" si="1"/>
        <v>0.6800000002</v>
      </c>
      <c r="R353" s="91">
        <f t="array" ref="R353">IFERROR(INDEX('Fund YTD Target Values'!$1:$1000, MATCH($C353,'Fund YTD Target Values'!$A:$A,0), MATCH($A353,'Fund YTD Target Values'!$1:$1,0)),0)</f>
        <v>662296.6235</v>
      </c>
      <c r="S353" s="91">
        <f>IFERROR(__xludf.DUMMYFUNCTION("IFERROR(sum(FILTER('Fund Investment Data'!$V:$V, 'Fund Investment Data'!$C:$C = $C353, 'Fund Investment Data'!$A:$A &lt; $A353)),0) + IFERROR(sum(FILTER('Fund Investment Data'!$V:$V, 'Fund Investment Data'!$C:$C = $C353, 'Fund Investment Data'!$A:$A = $A353,"&amp;" 'Fund Investment Data'!$B:$B &lt;= $B353)),0)"),556601.64)</f>
        <v>556601.64</v>
      </c>
      <c r="T353" s="93">
        <v>558656.0</v>
      </c>
      <c r="U353" s="32">
        <f t="shared" si="3"/>
        <v>-2054.36</v>
      </c>
      <c r="V353" s="32">
        <f>IFERROR(__xludf.DUMMYFUNCTION("$D353 - IFERROR(FILTER($D:$D,$C:$C = $C353, $A:$A = $A353, $B:$B = $B353 - 1),0)"),0.0)</f>
        <v>0</v>
      </c>
      <c r="W353" s="93">
        <f>IFERROR(__xludf.DUMMYFUNCTION("$E353 - IFERROR(FILTER($E:$E,$C:$C = $C353, $A:$A = $A353, $B:$B = $B353 - 1),0)"),-14030.0)</f>
        <v>-14030</v>
      </c>
      <c r="X353" s="93"/>
      <c r="Y353" s="93"/>
      <c r="Z353" s="93">
        <v>0.0</v>
      </c>
      <c r="AA353" s="93">
        <v>0.0</v>
      </c>
      <c r="AB353" s="93">
        <v>0.0</v>
      </c>
      <c r="AC353" s="93"/>
      <c r="AD353" s="93">
        <v>0.0</v>
      </c>
      <c r="AE353" s="32">
        <f t="shared" si="2"/>
        <v>-14030</v>
      </c>
      <c r="AF353" s="93">
        <v>0.0</v>
      </c>
    </row>
    <row r="354">
      <c r="A354" s="86">
        <v>2014.0</v>
      </c>
      <c r="B354" s="87">
        <v>12.0</v>
      </c>
      <c r="C354" s="88" t="s">
        <v>30</v>
      </c>
      <c r="D354" s="32"/>
      <c r="E354" s="32"/>
      <c r="F354" s="93"/>
      <c r="G354" s="93">
        <v>-89.2</v>
      </c>
      <c r="H354" s="93">
        <v>274.69</v>
      </c>
      <c r="I354" s="32"/>
      <c r="J354" s="93">
        <v>59.67</v>
      </c>
      <c r="K354" s="32"/>
      <c r="L354" s="32"/>
      <c r="M354" s="32"/>
      <c r="N354" s="32"/>
      <c r="O354" s="93">
        <v>14739.0</v>
      </c>
      <c r="P354" s="91">
        <f>IFERROR(__xludf.DUMMYFUNCTION("IFERROR(sum(FILTER($D:$N,$C:$C = $C354,$A:$A &lt; $A354,$B:$B = 12)),0) + sum($D354:$N354)"),14737.579999999989)</f>
        <v>14737.58</v>
      </c>
      <c r="Q354" s="92">
        <f t="shared" si="1"/>
        <v>1.42</v>
      </c>
      <c r="R354" s="91">
        <f t="array" ref="R354">IFERROR(INDEX('Fund YTD Target Values'!$1:$1000, MATCH($C354,'Fund YTD Target Values'!$A:$A,0), MATCH($A354,'Fund YTD Target Values'!$1:$1,0)),0)</f>
        <v>17426.34579</v>
      </c>
      <c r="S354" s="91">
        <f>IFERROR(__xludf.DUMMYFUNCTION("IFERROR(sum(FILTER('Fund Investment Data'!$V:$V, 'Fund Investment Data'!$C:$C = $C354, 'Fund Investment Data'!$A:$A &lt; $A354)),0) + IFERROR(sum(FILTER('Fund Investment Data'!$V:$V, 'Fund Investment Data'!$C:$C = $C354, 'Fund Investment Data'!$A:$A = $A354,"&amp;" 'Fund Investment Data'!$B:$B &lt;= $B354)),0)"),11540.75)</f>
        <v>11540.75</v>
      </c>
      <c r="T354" s="93">
        <v>10000.0</v>
      </c>
      <c r="U354" s="32">
        <f t="shared" si="3"/>
        <v>1540.75</v>
      </c>
      <c r="V354" s="32">
        <f>IFERROR(__xludf.DUMMYFUNCTION("$D354 - IFERROR(FILTER($D:$D,$C:$C = $C354, $A:$A = $A354, $B:$B = $B354 - 1),0)"),0.0)</f>
        <v>0</v>
      </c>
      <c r="W354" s="93">
        <f>IFERROR(__xludf.DUMMYFUNCTION("$E354 - IFERROR(FILTER($E:$E,$C:$C = $C354, $A:$A = $A354, $B:$B = $B354 - 1),0)"),0.0)</f>
        <v>0</v>
      </c>
      <c r="X354" s="93"/>
      <c r="Y354" s="93"/>
      <c r="Z354" s="93">
        <v>0.0</v>
      </c>
      <c r="AA354" s="93">
        <v>0.0</v>
      </c>
      <c r="AB354" s="93">
        <v>0.0</v>
      </c>
      <c r="AC354" s="93"/>
      <c r="AD354" s="93">
        <v>0.0</v>
      </c>
      <c r="AE354" s="32">
        <f t="shared" si="2"/>
        <v>0</v>
      </c>
      <c r="AF354" s="93">
        <v>0.0</v>
      </c>
    </row>
    <row r="355">
      <c r="A355" s="86">
        <v>2014.0</v>
      </c>
      <c r="B355" s="87">
        <v>12.0</v>
      </c>
      <c r="C355" s="88" t="s">
        <v>47</v>
      </c>
      <c r="D355" s="32"/>
      <c r="E355" s="93">
        <v>-110000.0</v>
      </c>
      <c r="F355" s="93"/>
      <c r="G355" s="93">
        <v>-9155.85</v>
      </c>
      <c r="H355" s="93">
        <v>28663.59</v>
      </c>
      <c r="I355" s="93">
        <v>24313.26</v>
      </c>
      <c r="J355" s="93">
        <v>-15574.83</v>
      </c>
      <c r="K355" s="32"/>
      <c r="L355" s="32"/>
      <c r="M355" s="32"/>
      <c r="N355" s="32"/>
      <c r="O355" s="93">
        <v>1444127.0</v>
      </c>
      <c r="P355" s="91">
        <f>IFERROR(__xludf.DUMMYFUNCTION("IFERROR(sum(FILTER($D:$N,$C:$C = $C355,$A:$A &lt; $A355,$B:$B = 12)),0) + sum($D355:$N355)"),1444126.8099999996)</f>
        <v>1444126.81</v>
      </c>
      <c r="Q355" s="92">
        <f t="shared" si="1"/>
        <v>0.1900000004</v>
      </c>
      <c r="R355" s="91">
        <f t="array" ref="R355">IFERROR(INDEX('Fund YTD Target Values'!$1:$1000, MATCH($C355,'Fund YTD Target Values'!$A:$A,0), MATCH($A355,'Fund YTD Target Values'!$1:$1,0)),0)</f>
        <v>1874645.952</v>
      </c>
      <c r="S355" s="91">
        <f>IFERROR(__xludf.DUMMYFUNCTION("IFERROR(sum(FILTER('Fund Investment Data'!$V:$V, 'Fund Investment Data'!$C:$C = $C355, 'Fund Investment Data'!$A:$A &lt; $A355)),0) + IFERROR(sum(FILTER('Fund Investment Data'!$V:$V, 'Fund Investment Data'!$C:$C = $C355, 'Fund Investment Data'!$A:$A = $A355,"&amp;" 'Fund Investment Data'!$B:$B &lt;= $B355)),0)"),1446367.46)</f>
        <v>1446367.46</v>
      </c>
      <c r="T355" s="93">
        <v>1348955.0</v>
      </c>
      <c r="U355" s="32">
        <f t="shared" si="3"/>
        <v>97412.46</v>
      </c>
      <c r="V355" s="32">
        <f>IFERROR(__xludf.DUMMYFUNCTION("$D355 - IFERROR(FILTER($D:$D,$C:$C = $C355, $A:$A = $A355, $B:$B = $B355 - 1),0)"),0.0)</f>
        <v>0</v>
      </c>
      <c r="W355" s="93">
        <f>IFERROR(__xludf.DUMMYFUNCTION("$E355 - IFERROR(FILTER($E:$E,$C:$C = $C355, $A:$A = $A355, $B:$B = $B355 - 1),0)"),-110000.0)</f>
        <v>-110000</v>
      </c>
      <c r="X355" s="93"/>
      <c r="Y355" s="93"/>
      <c r="Z355" s="93">
        <v>0.0</v>
      </c>
      <c r="AA355" s="93">
        <v>0.0</v>
      </c>
      <c r="AB355" s="93">
        <v>0.0</v>
      </c>
      <c r="AC355" s="93"/>
      <c r="AD355" s="93">
        <v>0.0</v>
      </c>
      <c r="AE355" s="32">
        <f t="shared" si="2"/>
        <v>-110000</v>
      </c>
      <c r="AF355" s="93">
        <v>0.0</v>
      </c>
    </row>
    <row r="356">
      <c r="A356" s="86">
        <v>2014.0</v>
      </c>
      <c r="B356" s="87">
        <v>12.0</v>
      </c>
      <c r="C356" s="88" t="s">
        <v>31</v>
      </c>
      <c r="D356" s="93">
        <v>1000.0</v>
      </c>
      <c r="E356" s="93">
        <v>-5000.0</v>
      </c>
      <c r="F356" s="93"/>
      <c r="G356" s="93">
        <v>-1163.57</v>
      </c>
      <c r="H356" s="93">
        <v>3582.89</v>
      </c>
      <c r="I356" s="32"/>
      <c r="J356" s="93">
        <v>778.37</v>
      </c>
      <c r="K356" s="32"/>
      <c r="L356" s="32"/>
      <c r="M356" s="32"/>
      <c r="N356" s="32"/>
      <c r="O356" s="93">
        <v>189484.0</v>
      </c>
      <c r="P356" s="91">
        <f>IFERROR(__xludf.DUMMYFUNCTION("IFERROR(sum(FILTER($D:$N,$C:$C = $C356,$A:$A &lt; $A356,$B:$B = 12)),0) + sum($D356:$N356)"),189484.28000000006)</f>
        <v>189484.28</v>
      </c>
      <c r="Q356" s="92">
        <f t="shared" si="1"/>
        <v>-0.2800000001</v>
      </c>
      <c r="R356" s="91">
        <f t="array" ref="R356">IFERROR(INDEX('Fund YTD Target Values'!$1:$1000, MATCH($C356,'Fund YTD Target Values'!$A:$A,0), MATCH($A356,'Fund YTD Target Values'!$1:$1,0)),0)</f>
        <v>195567.7048</v>
      </c>
      <c r="S356" s="91">
        <f>IFERROR(__xludf.DUMMYFUNCTION("IFERROR(sum(FILTER('Fund Investment Data'!$V:$V, 'Fund Investment Data'!$C:$C = $C356, 'Fund Investment Data'!$A:$A &lt; $A356)),0) + IFERROR(sum(FILTER('Fund Investment Data'!$V:$V, 'Fund Investment Data'!$C:$C = $C356, 'Fund Investment Data'!$A:$A = $A356,"&amp;" 'Fund Investment Data'!$B:$B &lt;= $B356)),0)"),155100.0)</f>
        <v>155100</v>
      </c>
      <c r="T356" s="93">
        <v>155100.0</v>
      </c>
      <c r="U356" s="32">
        <f t="shared" si="3"/>
        <v>0</v>
      </c>
      <c r="V356" s="32">
        <f>IFERROR(__xludf.DUMMYFUNCTION("$D356 - IFERROR(FILTER($D:$D,$C:$C = $C356, $A:$A = $A356, $B:$B = $B356 - 1),0)"),1000.0)</f>
        <v>1000</v>
      </c>
      <c r="W356" s="93">
        <f>IFERROR(__xludf.DUMMYFUNCTION("$E356 - IFERROR(FILTER($E:$E,$C:$C = $C356, $A:$A = $A356, $B:$B = $B356 - 1),0)"),-5000.0)</f>
        <v>-5000</v>
      </c>
      <c r="X356" s="93"/>
      <c r="Y356" s="93"/>
      <c r="Z356" s="93">
        <v>0.0</v>
      </c>
      <c r="AA356" s="93">
        <v>0.0</v>
      </c>
      <c r="AB356" s="93">
        <v>0.0</v>
      </c>
      <c r="AC356" s="93"/>
      <c r="AD356" s="93">
        <v>0.0</v>
      </c>
      <c r="AE356" s="32">
        <f t="shared" si="2"/>
        <v>-5000</v>
      </c>
      <c r="AF356" s="93">
        <v>0.0</v>
      </c>
    </row>
    <row r="357">
      <c r="A357" s="86">
        <v>2014.0</v>
      </c>
      <c r="B357" s="87">
        <v>12.0</v>
      </c>
      <c r="C357" s="88" t="s">
        <v>39</v>
      </c>
      <c r="D357" s="93">
        <v>10000.0</v>
      </c>
      <c r="E357" s="93">
        <v>-3000.0</v>
      </c>
      <c r="F357" s="93"/>
      <c r="G357" s="93">
        <v>-721.65</v>
      </c>
      <c r="H357" s="93">
        <v>2124.72</v>
      </c>
      <c r="I357" s="32"/>
      <c r="J357" s="93">
        <v>459.35</v>
      </c>
      <c r="K357" s="32"/>
      <c r="L357" s="32"/>
      <c r="M357" s="32"/>
      <c r="N357" s="32"/>
      <c r="O357" s="93">
        <v>122282.0</v>
      </c>
      <c r="P357" s="91">
        <f>IFERROR(__xludf.DUMMYFUNCTION("IFERROR(sum(FILTER($D:$N,$C:$C = $C357,$A:$A &lt; $A357,$B:$B = 12)),0) + sum($D357:$N357)"),122281.65999999999)</f>
        <v>122281.66</v>
      </c>
      <c r="Q357" s="92">
        <f t="shared" si="1"/>
        <v>0.34</v>
      </c>
      <c r="R357" s="91">
        <f t="array" ref="R357">IFERROR(INDEX('Fund YTD Target Values'!$1:$1000, MATCH($C357,'Fund YTD Target Values'!$A:$A,0), MATCH($A357,'Fund YTD Target Values'!$1:$1,0)),0)</f>
        <v>115893.4717</v>
      </c>
      <c r="S357" s="91">
        <f>IFERROR(__xludf.DUMMYFUNCTION("IFERROR(sum(FILTER('Fund Investment Data'!$V:$V, 'Fund Investment Data'!$C:$C = $C357, 'Fund Investment Data'!$A:$A &lt; $A357)),0) + IFERROR(sum(FILTER('Fund Investment Data'!$V:$V, 'Fund Investment Data'!$C:$C = $C357, 'Fund Investment Data'!$A:$A = $A357,"&amp;" 'Fund Investment Data'!$B:$B &lt;= $B357)),0)"),110000.0)</f>
        <v>110000</v>
      </c>
      <c r="T357" s="93">
        <v>110000.0</v>
      </c>
      <c r="U357" s="32">
        <f t="shared" si="3"/>
        <v>0</v>
      </c>
      <c r="V357" s="32">
        <f>IFERROR(__xludf.DUMMYFUNCTION("$D357 - IFERROR(FILTER($D:$D,$C:$C = $C357, $A:$A = $A357, $B:$B = $B357 - 1),0)"),10000.0)</f>
        <v>10000</v>
      </c>
      <c r="W357" s="93">
        <f>IFERROR(__xludf.DUMMYFUNCTION("$E357 - IFERROR(FILTER($E:$E,$C:$C = $C357, $A:$A = $A357, $B:$B = $B357 - 1),0)"),-3000.0)</f>
        <v>-3000</v>
      </c>
      <c r="X357" s="93"/>
      <c r="Y357" s="93"/>
      <c r="Z357" s="93">
        <v>0.0</v>
      </c>
      <c r="AA357" s="93">
        <v>0.0</v>
      </c>
      <c r="AB357" s="93">
        <v>0.0</v>
      </c>
      <c r="AC357" s="93"/>
      <c r="AD357" s="93">
        <v>0.0</v>
      </c>
      <c r="AE357" s="32">
        <f t="shared" si="2"/>
        <v>-3000</v>
      </c>
      <c r="AF357" s="93">
        <v>0.0</v>
      </c>
    </row>
    <row r="358">
      <c r="A358" s="86">
        <v>2014.0</v>
      </c>
      <c r="B358" s="87">
        <v>12.0</v>
      </c>
      <c r="C358" s="88" t="s">
        <v>50</v>
      </c>
      <c r="D358" s="93">
        <v>20000.0</v>
      </c>
      <c r="E358" s="93">
        <v>-5000.0</v>
      </c>
      <c r="F358" s="93"/>
      <c r="G358" s="93">
        <v>-996.25</v>
      </c>
      <c r="H358" s="93">
        <v>2990.71</v>
      </c>
      <c r="I358" s="93">
        <v>385.18</v>
      </c>
      <c r="J358" s="93">
        <v>823.61</v>
      </c>
      <c r="K358" s="32"/>
      <c r="L358" s="32"/>
      <c r="M358" s="32"/>
      <c r="N358" s="32"/>
      <c r="O358" s="93">
        <v>162591.0</v>
      </c>
      <c r="P358" s="91">
        <f>IFERROR(__xludf.DUMMYFUNCTION("IFERROR(sum(FILTER($D:$N,$C:$C = $C358,$A:$A &lt; $A358,$B:$B = 12)),0) + sum($D358:$N358)"),162590.32)</f>
        <v>162590.32</v>
      </c>
      <c r="Q358" s="92">
        <f t="shared" si="1"/>
        <v>0.68</v>
      </c>
      <c r="R358" s="91">
        <f t="array" ref="R358">IFERROR(INDEX('Fund YTD Target Values'!$1:$1000, MATCH($C358,'Fund YTD Target Values'!$A:$A,0), MATCH($A358,'Fund YTD Target Values'!$1:$1,0)),0)</f>
        <v>165499.0547</v>
      </c>
      <c r="S358" s="91">
        <f>IFERROR(__xludf.DUMMYFUNCTION("IFERROR(sum(FILTER('Fund Investment Data'!$V:$V, 'Fund Investment Data'!$C:$C = $C358, 'Fund Investment Data'!$A:$A &lt; $A358)),0) + IFERROR(sum(FILTER('Fund Investment Data'!$V:$V, 'Fund Investment Data'!$C:$C = $C358, 'Fund Investment Data'!$A:$A = $A358,"&amp;" 'Fund Investment Data'!$B:$B &lt;= $B358)),0)"),145189.56)</f>
        <v>145189.56</v>
      </c>
      <c r="T358" s="93">
        <v>150241.0</v>
      </c>
      <c r="U358" s="32">
        <f t="shared" si="3"/>
        <v>-5051.44</v>
      </c>
      <c r="V358" s="32">
        <f>IFERROR(__xludf.DUMMYFUNCTION("$D358 - IFERROR(FILTER($D:$D,$C:$C = $C358, $A:$A = $A358, $B:$B = $B358 - 1),0)"),20000.0)</f>
        <v>20000</v>
      </c>
      <c r="W358" s="93">
        <f>IFERROR(__xludf.DUMMYFUNCTION("$E358 - IFERROR(FILTER($E:$E,$C:$C = $C358, $A:$A = $A358, $B:$B = $B358 - 1),0)"),-5000.0)</f>
        <v>-5000</v>
      </c>
      <c r="X358" s="93"/>
      <c r="Y358" s="93"/>
      <c r="Z358" s="93">
        <v>0.0</v>
      </c>
      <c r="AA358" s="93">
        <v>0.0</v>
      </c>
      <c r="AB358" s="93">
        <v>0.0</v>
      </c>
      <c r="AC358" s="93"/>
      <c r="AD358" s="93">
        <v>0.0</v>
      </c>
      <c r="AE358" s="32">
        <f t="shared" si="2"/>
        <v>-5000</v>
      </c>
      <c r="AF358" s="93">
        <v>0.0</v>
      </c>
    </row>
    <row r="359">
      <c r="A359" s="86">
        <v>2014.0</v>
      </c>
      <c r="B359" s="87">
        <v>12.0</v>
      </c>
      <c r="C359" s="88" t="s">
        <v>32</v>
      </c>
      <c r="D359" s="32"/>
      <c r="E359" s="93">
        <v>-14000.0</v>
      </c>
      <c r="F359" s="93"/>
      <c r="G359" s="93">
        <v>-335.21</v>
      </c>
      <c r="H359" s="93">
        <v>1040.61</v>
      </c>
      <c r="I359" s="93">
        <v>3520.89</v>
      </c>
      <c r="J359" s="93">
        <v>-2867.6</v>
      </c>
      <c r="K359" s="32"/>
      <c r="L359" s="32"/>
      <c r="M359" s="32"/>
      <c r="N359" s="32"/>
      <c r="O359" s="93">
        <v>45203.0</v>
      </c>
      <c r="P359" s="91">
        <f>IFERROR(__xludf.DUMMYFUNCTION("IFERROR(sum(FILTER($D:$N,$C:$C = $C359,$A:$A &lt; $A359,$B:$B = 12)),0) + sum($D359:$N359)"),45203.07000000002)</f>
        <v>45203.07</v>
      </c>
      <c r="Q359" s="92">
        <f t="shared" si="1"/>
        <v>-0.07000000002</v>
      </c>
      <c r="R359" s="91">
        <f t="array" ref="R359">IFERROR(INDEX('Fund YTD Target Values'!$1:$1000, MATCH($C359,'Fund YTD Target Values'!$A:$A,0), MATCH($A359,'Fund YTD Target Values'!$1:$1,0)),0)</f>
        <v>74646.18088</v>
      </c>
      <c r="S359" s="91">
        <f>IFERROR(__xludf.DUMMYFUNCTION("IFERROR(sum(FILTER('Fund Investment Data'!$V:$V, 'Fund Investment Data'!$C:$C = $C359, 'Fund Investment Data'!$A:$A &lt; $A359)),0) + IFERROR(sum(FILTER('Fund Investment Data'!$V:$V, 'Fund Investment Data'!$C:$C = $C359, 'Fund Investment Data'!$A:$A = $A359,"&amp;" 'Fund Investment Data'!$B:$B &lt;= $B359)),0)"),49449.04)</f>
        <v>49449.04</v>
      </c>
      <c r="T359" s="93">
        <v>39268.0</v>
      </c>
      <c r="U359" s="32">
        <f t="shared" si="3"/>
        <v>10181.04</v>
      </c>
      <c r="V359" s="32">
        <f>IFERROR(__xludf.DUMMYFUNCTION("$D359 - IFERROR(FILTER($D:$D,$C:$C = $C359, $A:$A = $A359, $B:$B = $B359 - 1),0)"),0.0)</f>
        <v>0</v>
      </c>
      <c r="W359" s="93">
        <f>IFERROR(__xludf.DUMMYFUNCTION("$E359 - IFERROR(FILTER($E:$E,$C:$C = $C359, $A:$A = $A359, $B:$B = $B359 - 1),0)"),-14000.0)</f>
        <v>-14000</v>
      </c>
      <c r="X359" s="93"/>
      <c r="Y359" s="93"/>
      <c r="Z359" s="93">
        <v>0.0</v>
      </c>
      <c r="AA359" s="93">
        <v>0.0</v>
      </c>
      <c r="AB359" s="93">
        <v>0.0</v>
      </c>
      <c r="AC359" s="93"/>
      <c r="AD359" s="93">
        <v>0.0</v>
      </c>
      <c r="AE359" s="32">
        <f t="shared" si="2"/>
        <v>-14000</v>
      </c>
      <c r="AF359" s="93">
        <v>0.0</v>
      </c>
    </row>
    <row r="360">
      <c r="A360" s="86">
        <v>2014.0</v>
      </c>
      <c r="B360" s="87">
        <v>12.0</v>
      </c>
      <c r="C360" s="88" t="s">
        <v>40</v>
      </c>
      <c r="D360" s="32"/>
      <c r="E360" s="93">
        <v>-4000.0</v>
      </c>
      <c r="F360" s="93"/>
      <c r="G360" s="93">
        <v>-930.91</v>
      </c>
      <c r="H360" s="93">
        <v>2868.59</v>
      </c>
      <c r="I360" s="32"/>
      <c r="J360" s="93">
        <v>623.24</v>
      </c>
      <c r="K360" s="32"/>
      <c r="L360" s="32"/>
      <c r="M360" s="32"/>
      <c r="N360" s="32"/>
      <c r="O360" s="93">
        <v>151157.0</v>
      </c>
      <c r="P360" s="91">
        <f>IFERROR(__xludf.DUMMYFUNCTION("IFERROR(sum(FILTER($D:$N,$C:$C = $C360,$A:$A &lt; $A360,$B:$B = 12)),0) + sum($D360:$N360)"),151157.30000000002)</f>
        <v>151157.3</v>
      </c>
      <c r="Q360" s="92">
        <f t="shared" si="1"/>
        <v>-0.3</v>
      </c>
      <c r="R360" s="91">
        <f t="array" ref="R360">IFERROR(INDEX('Fund YTD Target Values'!$1:$1000, MATCH($C360,'Fund YTD Target Values'!$A:$A,0), MATCH($A360,'Fund YTD Target Values'!$1:$1,0)),0)</f>
        <v>152125.0836</v>
      </c>
      <c r="S360" s="91">
        <f>IFERROR(__xludf.DUMMYFUNCTION("IFERROR(sum(FILTER('Fund Investment Data'!$V:$V, 'Fund Investment Data'!$C:$C = $C360, 'Fund Investment Data'!$A:$A &lt; $A360)),0) + IFERROR(sum(FILTER('Fund Investment Data'!$V:$V, 'Fund Investment Data'!$C:$C = $C360, 'Fund Investment Data'!$A:$A = $A360,"&amp;" 'Fund Investment Data'!$B:$B &lt;= $B360)),0)"),129703.74)</f>
        <v>129703.74</v>
      </c>
      <c r="T360" s="93">
        <v>129723.0</v>
      </c>
      <c r="U360" s="32">
        <f t="shared" si="3"/>
        <v>-19.26</v>
      </c>
      <c r="V360" s="32">
        <f>IFERROR(__xludf.DUMMYFUNCTION("$D360 - IFERROR(FILTER($D:$D,$C:$C = $C360, $A:$A = $A360, $B:$B = $B360 - 1),0)"),0.0)</f>
        <v>0</v>
      </c>
      <c r="W360" s="93">
        <f>IFERROR(__xludf.DUMMYFUNCTION("$E360 - IFERROR(FILTER($E:$E,$C:$C = $C360, $A:$A = $A360, $B:$B = $B360 - 1),0)"),-4000.0)</f>
        <v>-4000</v>
      </c>
      <c r="X360" s="93"/>
      <c r="Y360" s="93"/>
      <c r="Z360" s="93">
        <v>0.0</v>
      </c>
      <c r="AA360" s="93">
        <v>0.0</v>
      </c>
      <c r="AB360" s="93">
        <v>0.0</v>
      </c>
      <c r="AC360" s="93"/>
      <c r="AD360" s="93">
        <v>0.0</v>
      </c>
      <c r="AE360" s="32">
        <f t="shared" si="2"/>
        <v>-4000</v>
      </c>
      <c r="AF360" s="93">
        <v>0.0</v>
      </c>
    </row>
    <row r="361">
      <c r="A361" s="86">
        <v>2014.0</v>
      </c>
      <c r="B361" s="87">
        <v>12.0</v>
      </c>
      <c r="C361" s="88" t="s">
        <v>51</v>
      </c>
      <c r="D361" s="93">
        <v>2500.0</v>
      </c>
      <c r="E361" s="32"/>
      <c r="F361" s="93"/>
      <c r="G361" s="93">
        <v>-2508.38</v>
      </c>
      <c r="H361" s="93">
        <v>7685.77</v>
      </c>
      <c r="I361" s="32"/>
      <c r="J361" s="93">
        <v>1667.95</v>
      </c>
      <c r="K361" s="32"/>
      <c r="L361" s="32"/>
      <c r="M361" s="32"/>
      <c r="N361" s="32"/>
      <c r="O361" s="93">
        <v>416800.0</v>
      </c>
      <c r="P361" s="91">
        <f>IFERROR(__xludf.DUMMYFUNCTION("IFERROR(sum(FILTER($D:$N,$C:$C = $C361,$A:$A &lt; $A361,$B:$B = 12)),0) + sum($D361:$N361)"),416800.07)</f>
        <v>416800.07</v>
      </c>
      <c r="Q361" s="92">
        <f t="shared" si="1"/>
        <v>-0.07000000001</v>
      </c>
      <c r="R361" s="91">
        <f t="array" ref="R361">IFERROR(INDEX('Fund YTD Target Values'!$1:$1000, MATCH($C361,'Fund YTD Target Values'!$A:$A,0), MATCH($A361,'Fund YTD Target Values'!$1:$1,0)),0)</f>
        <v>414702.3779</v>
      </c>
      <c r="S361" s="91">
        <f>IFERROR(__xludf.DUMMYFUNCTION("IFERROR(sum(FILTER('Fund Investment Data'!$V:$V, 'Fund Investment Data'!$C:$C = $C361, 'Fund Investment Data'!$A:$A &lt; $A361)),0) + IFERROR(sum(FILTER('Fund Investment Data'!$V:$V, 'Fund Investment Data'!$C:$C = $C361, 'Fund Investment Data'!$A:$A = $A361,"&amp;" 'Fund Investment Data'!$B:$B &lt;= $B361)),0)"),408123.55)</f>
        <v>408123.55</v>
      </c>
      <c r="T361" s="93">
        <v>408196.0</v>
      </c>
      <c r="U361" s="32">
        <f t="shared" si="3"/>
        <v>-72.45</v>
      </c>
      <c r="V361" s="32">
        <f>IFERROR(__xludf.DUMMYFUNCTION("$D361 - IFERROR(FILTER($D:$D,$C:$C = $C361, $A:$A = $A361, $B:$B = $B361 - 1),0)"),2500.0)</f>
        <v>2500</v>
      </c>
      <c r="W361" s="93">
        <f>IFERROR(__xludf.DUMMYFUNCTION("$E361 - IFERROR(FILTER($E:$E,$C:$C = $C361, $A:$A = $A361, $B:$B = $B361 - 1),0)"),0.0)</f>
        <v>0</v>
      </c>
      <c r="X361" s="93"/>
      <c r="Y361" s="93"/>
      <c r="Z361" s="93">
        <v>0.0</v>
      </c>
      <c r="AA361" s="93">
        <v>0.0</v>
      </c>
      <c r="AB361" s="93">
        <v>0.0</v>
      </c>
      <c r="AC361" s="93"/>
      <c r="AD361" s="93">
        <v>0.0</v>
      </c>
      <c r="AE361" s="32">
        <f t="shared" si="2"/>
        <v>0</v>
      </c>
      <c r="AF361" s="93">
        <v>0.0</v>
      </c>
    </row>
    <row r="362">
      <c r="A362" s="86">
        <v>2014.0</v>
      </c>
      <c r="B362" s="87">
        <v>12.0</v>
      </c>
      <c r="C362" s="88" t="s">
        <v>48</v>
      </c>
      <c r="D362" s="32"/>
      <c r="E362" s="93">
        <v>-50000.0</v>
      </c>
      <c r="F362" s="93"/>
      <c r="G362" s="93">
        <v>-7679.36</v>
      </c>
      <c r="H362" s="93">
        <v>23956.08</v>
      </c>
      <c r="I362" s="93">
        <v>9355.46</v>
      </c>
      <c r="J362" s="93">
        <v>-2897.28</v>
      </c>
      <c r="K362" s="32"/>
      <c r="L362" s="32"/>
      <c r="M362" s="32"/>
      <c r="N362" s="32"/>
      <c r="O362" s="93">
        <v>1240547.0</v>
      </c>
      <c r="P362" s="91">
        <f>IFERROR(__xludf.DUMMYFUNCTION("IFERROR(sum(FILTER($D:$N,$C:$C = $C362,$A:$A &lt; $A362,$B:$B = 12)),0) + sum($D362:$N362)"),1240546.1399999994)</f>
        <v>1240546.14</v>
      </c>
      <c r="Q362" s="92">
        <f t="shared" si="1"/>
        <v>0.8600000006</v>
      </c>
      <c r="R362" s="91">
        <f t="array" ref="R362">IFERROR(INDEX('Fund YTD Target Values'!$1:$1000, MATCH($C362,'Fund YTD Target Values'!$A:$A,0), MATCH($A362,'Fund YTD Target Values'!$1:$1,0)),0)</f>
        <v>1787714.225</v>
      </c>
      <c r="S362" s="91">
        <f>IFERROR(__xludf.DUMMYFUNCTION("IFERROR(sum(FILTER('Fund Investment Data'!$V:$V, 'Fund Investment Data'!$C:$C = $C362, 'Fund Investment Data'!$A:$A &lt; $A362)),0) + IFERROR(sum(FILTER('Fund Investment Data'!$V:$V, 'Fund Investment Data'!$C:$C = $C362, 'Fund Investment Data'!$A:$A = $A362,"&amp;" 'Fund Investment Data'!$B:$B &lt;= $B362)),0)"),1183929.39)</f>
        <v>1183929.39</v>
      </c>
      <c r="T362" s="93">
        <v>1140040.0</v>
      </c>
      <c r="U362" s="32">
        <f t="shared" si="3"/>
        <v>43889.39</v>
      </c>
      <c r="V362" s="32">
        <f>IFERROR(__xludf.DUMMYFUNCTION("$D362 - IFERROR(FILTER($D:$D,$C:$C = $C362, $A:$A = $A362, $B:$B = $B362 - 1),0)"),0.0)</f>
        <v>0</v>
      </c>
      <c r="W362" s="93">
        <f>IFERROR(__xludf.DUMMYFUNCTION("$E362 - IFERROR(FILTER($E:$E,$C:$C = $C362, $A:$A = $A362, $B:$B = $B362 - 1),0)"),-50000.0)</f>
        <v>-50000</v>
      </c>
      <c r="X362" s="93"/>
      <c r="Y362" s="93"/>
      <c r="Z362" s="93">
        <v>0.0</v>
      </c>
      <c r="AA362" s="93">
        <v>0.0</v>
      </c>
      <c r="AB362" s="93">
        <v>0.0</v>
      </c>
      <c r="AC362" s="93"/>
      <c r="AD362" s="93">
        <v>0.0</v>
      </c>
      <c r="AE362" s="32">
        <f t="shared" si="2"/>
        <v>-50000</v>
      </c>
      <c r="AF362" s="93">
        <v>0.0</v>
      </c>
    </row>
    <row r="363">
      <c r="A363" s="86">
        <v>2014.0</v>
      </c>
      <c r="B363" s="87">
        <v>12.0</v>
      </c>
      <c r="C363" s="88" t="s">
        <v>49</v>
      </c>
      <c r="D363" s="32"/>
      <c r="E363" s="93">
        <v>-40000.0</v>
      </c>
      <c r="F363" s="93"/>
      <c r="G363" s="93">
        <v>-3385.45</v>
      </c>
      <c r="H363" s="93">
        <v>10562.56</v>
      </c>
      <c r="I363" s="93">
        <v>8735.92</v>
      </c>
      <c r="J363" s="93">
        <v>-5591.19</v>
      </c>
      <c r="K363" s="32"/>
      <c r="L363" s="32"/>
      <c r="M363" s="32"/>
      <c r="N363" s="32"/>
      <c r="O363" s="93">
        <v>530863.0</v>
      </c>
      <c r="P363" s="91">
        <f>IFERROR(__xludf.DUMMYFUNCTION("IFERROR(sum(FILTER($D:$N,$C:$C = $C363,$A:$A &lt; $A363,$B:$B = 12)),0) + sum($D363:$N363)"),530863.0999999997)</f>
        <v>530863.1</v>
      </c>
      <c r="Q363" s="92">
        <f t="shared" si="1"/>
        <v>-0.09999999974</v>
      </c>
      <c r="R363" s="91">
        <f t="array" ref="R363">IFERROR(INDEX('Fund YTD Target Values'!$1:$1000, MATCH($C363,'Fund YTD Target Values'!$A:$A,0), MATCH($A363,'Fund YTD Target Values'!$1:$1,0)),0)</f>
        <v>661229.7052</v>
      </c>
      <c r="S363" s="91">
        <f>IFERROR(__xludf.DUMMYFUNCTION("IFERROR(sum(FILTER('Fund Investment Data'!$V:$V, 'Fund Investment Data'!$C:$C = $C363, 'Fund Investment Data'!$A:$A &lt; $A363)),0) + IFERROR(sum(FILTER('Fund Investment Data'!$V:$V, 'Fund Investment Data'!$C:$C = $C363, 'Fund Investment Data'!$A:$A = $A363,"&amp;" 'Fund Investment Data'!$B:$B &lt;= $B363)),0)"),500000.0)</f>
        <v>500000</v>
      </c>
      <c r="T363" s="93">
        <v>500000.0</v>
      </c>
      <c r="U363" s="32">
        <f t="shared" si="3"/>
        <v>0</v>
      </c>
      <c r="V363" s="32">
        <f>IFERROR(__xludf.DUMMYFUNCTION("$D363 - IFERROR(FILTER($D:$D,$C:$C = $C363, $A:$A = $A363, $B:$B = $B363 - 1),0)"),0.0)</f>
        <v>0</v>
      </c>
      <c r="W363" s="93">
        <f>IFERROR(__xludf.DUMMYFUNCTION("$E363 - IFERROR(FILTER($E:$E,$C:$C = $C363, $A:$A = $A363, $B:$B = $B363 - 1),0)"),-40000.0)</f>
        <v>-40000</v>
      </c>
      <c r="X363" s="93"/>
      <c r="Y363" s="93"/>
      <c r="Z363" s="93">
        <v>0.0</v>
      </c>
      <c r="AA363" s="93">
        <v>0.0</v>
      </c>
      <c r="AB363" s="93">
        <v>0.0</v>
      </c>
      <c r="AC363" s="93"/>
      <c r="AD363" s="93">
        <v>0.0</v>
      </c>
      <c r="AE363" s="32">
        <f t="shared" si="2"/>
        <v>-40000</v>
      </c>
      <c r="AF363" s="93">
        <v>0.0</v>
      </c>
    </row>
    <row r="364">
      <c r="A364" s="86">
        <v>2014.0</v>
      </c>
      <c r="B364" s="87">
        <v>12.0</v>
      </c>
      <c r="C364" s="88" t="s">
        <v>41</v>
      </c>
      <c r="D364" s="32"/>
      <c r="E364" s="93">
        <v>-8875.0</v>
      </c>
      <c r="F364" s="93"/>
      <c r="G364" s="93">
        <v>-3723.44</v>
      </c>
      <c r="H364" s="93">
        <v>11576.32</v>
      </c>
      <c r="I364" s="93">
        <v>592.7</v>
      </c>
      <c r="J364" s="93">
        <v>2009.19</v>
      </c>
      <c r="K364" s="32"/>
      <c r="L364" s="32"/>
      <c r="M364" s="32"/>
      <c r="N364" s="32"/>
      <c r="O364" s="93">
        <v>609859.0</v>
      </c>
      <c r="P364" s="91">
        <f>IFERROR(__xludf.DUMMYFUNCTION("IFERROR(sum(FILTER($D:$N,$C:$C = $C364,$A:$A &lt; $A364,$B:$B = 12)),0) + sum($D364:$N364)"),609859.6200000001)</f>
        <v>609859.62</v>
      </c>
      <c r="Q364" s="92">
        <f t="shared" si="1"/>
        <v>-0.6200000001</v>
      </c>
      <c r="R364" s="91">
        <f t="array" ref="R364">IFERROR(INDEX('Fund YTD Target Values'!$1:$1000, MATCH($C364,'Fund YTD Target Values'!$A:$A,0), MATCH($A364,'Fund YTD Target Values'!$1:$1,0)),0)</f>
        <v>554307.6646</v>
      </c>
      <c r="S364" s="91">
        <f>IFERROR(__xludf.DUMMYFUNCTION("IFERROR(sum(FILTER('Fund Investment Data'!$V:$V, 'Fund Investment Data'!$C:$C = $C364, 'Fund Investment Data'!$A:$A &lt; $A364)),0) + IFERROR(sum(FILTER('Fund Investment Data'!$V:$V, 'Fund Investment Data'!$C:$C = $C364, 'Fund Investment Data'!$A:$A = $A364,"&amp;" 'Fund Investment Data'!$B:$B &lt;= $B364)),0)"),433755.86)</f>
        <v>433755.86</v>
      </c>
      <c r="T364" s="93">
        <v>434291.0</v>
      </c>
      <c r="U364" s="32">
        <f t="shared" si="3"/>
        <v>-535.14</v>
      </c>
      <c r="V364" s="32">
        <f>IFERROR(__xludf.DUMMYFUNCTION("$D364 - IFERROR(FILTER($D:$D,$C:$C = $C364, $A:$A = $A364, $B:$B = $B364 - 1),0)"),0.0)</f>
        <v>0</v>
      </c>
      <c r="W364" s="93">
        <f>IFERROR(__xludf.DUMMYFUNCTION("$E364 - IFERROR(FILTER($E:$E,$C:$C = $C364, $A:$A = $A364, $B:$B = $B364 - 1),0)"),-8875.0)</f>
        <v>-8875</v>
      </c>
      <c r="X364" s="93"/>
      <c r="Y364" s="93"/>
      <c r="Z364" s="93">
        <v>0.0</v>
      </c>
      <c r="AA364" s="93">
        <v>0.0</v>
      </c>
      <c r="AB364" s="93">
        <v>0.0</v>
      </c>
      <c r="AC364" s="93"/>
      <c r="AD364" s="93">
        <v>0.0</v>
      </c>
      <c r="AE364" s="32">
        <f t="shared" si="2"/>
        <v>-8875</v>
      </c>
      <c r="AF364" s="93">
        <v>0.0</v>
      </c>
    </row>
    <row r="365">
      <c r="A365" s="86">
        <v>2014.0</v>
      </c>
      <c r="B365" s="87">
        <v>12.0</v>
      </c>
      <c r="C365" s="88" t="s">
        <v>25</v>
      </c>
      <c r="D365" s="93">
        <v>10000.0</v>
      </c>
      <c r="E365" s="93">
        <v>-4100.0</v>
      </c>
      <c r="F365" s="93"/>
      <c r="G365" s="93">
        <v>-602.9</v>
      </c>
      <c r="H365" s="93">
        <v>1856.19</v>
      </c>
      <c r="I365" s="93">
        <v>726.8</v>
      </c>
      <c r="J365" s="93">
        <v>-196.66</v>
      </c>
      <c r="K365" s="32"/>
      <c r="L365" s="32"/>
      <c r="M365" s="32"/>
      <c r="N365" s="32"/>
      <c r="O365" s="93">
        <v>100091.0</v>
      </c>
      <c r="P365" s="91">
        <f>IFERROR(__xludf.DUMMYFUNCTION("IFERROR(sum(FILTER($D:$N,$C:$C = $C365,$A:$A &lt; $A365,$B:$B = 12)),0) + sum($D365:$N365)"),100091.46)</f>
        <v>100091.46</v>
      </c>
      <c r="Q365" s="92">
        <f t="shared" si="1"/>
        <v>-0.46</v>
      </c>
      <c r="R365" s="91">
        <f t="array" ref="R365">IFERROR(INDEX('Fund YTD Target Values'!$1:$1000, MATCH($C365,'Fund YTD Target Values'!$A:$A,0), MATCH($A365,'Fund YTD Target Values'!$1:$1,0)),0)</f>
        <v>102925.0613</v>
      </c>
      <c r="S365" s="91">
        <f>IFERROR(__xludf.DUMMYFUNCTION("IFERROR(sum(FILTER('Fund Investment Data'!$V:$V, 'Fund Investment Data'!$C:$C = $C365, 'Fund Investment Data'!$A:$A &lt; $A365)),0) + IFERROR(sum(FILTER('Fund Investment Data'!$V:$V, 'Fund Investment Data'!$C:$C = $C365, 'Fund Investment Data'!$A:$A = $A365,"&amp;" 'Fund Investment Data'!$B:$B &lt;= $B365)),0)"),81000.0)</f>
        <v>81000</v>
      </c>
      <c r="T365" s="93">
        <v>81000.0</v>
      </c>
      <c r="U365" s="32">
        <f t="shared" si="3"/>
        <v>0</v>
      </c>
      <c r="V365" s="32">
        <f>IFERROR(__xludf.DUMMYFUNCTION("$D365 - IFERROR(FILTER($D:$D,$C:$C = $C365, $A:$A = $A365, $B:$B = $B365 - 1),0)"),10000.0)</f>
        <v>10000</v>
      </c>
      <c r="W365" s="93">
        <f>IFERROR(__xludf.DUMMYFUNCTION("$E365 - IFERROR(FILTER($E:$E,$C:$C = $C365, $A:$A = $A365, $B:$B = $B365 - 1),0)"),-4100.0)</f>
        <v>-4100</v>
      </c>
      <c r="X365" s="93"/>
      <c r="Y365" s="93"/>
      <c r="Z365" s="93">
        <v>0.0</v>
      </c>
      <c r="AA365" s="93">
        <v>0.0</v>
      </c>
      <c r="AB365" s="93">
        <v>0.0</v>
      </c>
      <c r="AC365" s="93"/>
      <c r="AD365" s="93">
        <v>0.0</v>
      </c>
      <c r="AE365" s="32">
        <f t="shared" si="2"/>
        <v>-4100</v>
      </c>
      <c r="AF365" s="93">
        <v>0.0</v>
      </c>
    </row>
    <row r="366">
      <c r="A366" s="86">
        <v>2014.0</v>
      </c>
      <c r="B366" s="87">
        <v>12.0</v>
      </c>
      <c r="C366" s="88" t="s">
        <v>42</v>
      </c>
      <c r="D366" s="93">
        <v>10000.0</v>
      </c>
      <c r="E366" s="32"/>
      <c r="F366" s="93"/>
      <c r="G366" s="93">
        <v>-1562.4</v>
      </c>
      <c r="H366" s="93">
        <v>4810.82</v>
      </c>
      <c r="I366" s="32"/>
      <c r="J366" s="93">
        <v>1082.92</v>
      </c>
      <c r="K366" s="32"/>
      <c r="L366" s="32"/>
      <c r="M366" s="32"/>
      <c r="N366" s="32"/>
      <c r="O366" s="93">
        <v>260636.0</v>
      </c>
      <c r="P366" s="91">
        <f>IFERROR(__xludf.DUMMYFUNCTION("IFERROR(sum(FILTER($D:$N,$C:$C = $C366,$A:$A &lt; $A366,$B:$B = 12)),0) + sum($D366:$N366)"),260635.65000000002)</f>
        <v>260635.65</v>
      </c>
      <c r="Q366" s="92">
        <f t="shared" si="1"/>
        <v>0.35</v>
      </c>
      <c r="R366" s="91">
        <f t="array" ref="R366">IFERROR(INDEX('Fund YTD Target Values'!$1:$1000, MATCH($C366,'Fund YTD Target Values'!$A:$A,0), MATCH($A366,'Fund YTD Target Values'!$1:$1,0)),0)</f>
        <v>226435.3</v>
      </c>
      <c r="S366" s="91">
        <f>IFERROR(__xludf.DUMMYFUNCTION("IFERROR(sum(FILTER('Fund Investment Data'!$V:$V, 'Fund Investment Data'!$C:$C = $C366, 'Fund Investment Data'!$A:$A &lt; $A366)),0) + IFERROR(sum(FILTER('Fund Investment Data'!$V:$V, 'Fund Investment Data'!$C:$C = $C366, 'Fund Investment Data'!$A:$A = $A366,"&amp;" 'Fund Investment Data'!$B:$B &lt;= $B366)),0)"),194469.0)</f>
        <v>194469</v>
      </c>
      <c r="T366" s="93">
        <v>194469.0</v>
      </c>
      <c r="U366" s="32">
        <f t="shared" si="3"/>
        <v>0</v>
      </c>
      <c r="V366" s="32">
        <f>IFERROR(__xludf.DUMMYFUNCTION("$D366 - IFERROR(FILTER($D:$D,$C:$C = $C366, $A:$A = $A366, $B:$B = $B366 - 1),0)"),10000.0)</f>
        <v>10000</v>
      </c>
      <c r="W366" s="93">
        <f>IFERROR(__xludf.DUMMYFUNCTION("$E366 - IFERROR(FILTER($E:$E,$C:$C = $C366, $A:$A = $A366, $B:$B = $B366 - 1),0)"),0.0)</f>
        <v>0</v>
      </c>
      <c r="X366" s="93"/>
      <c r="Y366" s="93"/>
      <c r="Z366" s="93">
        <v>0.0</v>
      </c>
      <c r="AA366" s="93">
        <v>0.0</v>
      </c>
      <c r="AB366" s="93">
        <v>0.0</v>
      </c>
      <c r="AC366" s="93"/>
      <c r="AD366" s="93">
        <v>0.0</v>
      </c>
      <c r="AE366" s="32">
        <f t="shared" si="2"/>
        <v>0</v>
      </c>
      <c r="AF366" s="93">
        <v>0.0</v>
      </c>
    </row>
    <row r="367">
      <c r="A367" s="86">
        <v>2014.0</v>
      </c>
      <c r="B367" s="87">
        <v>12.0</v>
      </c>
      <c r="C367" s="88" t="s">
        <v>43</v>
      </c>
      <c r="D367" s="32"/>
      <c r="E367" s="93">
        <v>-1600.0</v>
      </c>
      <c r="F367" s="93"/>
      <c r="G367" s="93">
        <v>-715.81</v>
      </c>
      <c r="H367" s="93">
        <v>2202.93</v>
      </c>
      <c r="I367" s="32"/>
      <c r="J367" s="93">
        <v>478.54</v>
      </c>
      <c r="K367" s="32"/>
      <c r="L367" s="32"/>
      <c r="M367" s="32"/>
      <c r="N367" s="32"/>
      <c r="O367" s="93">
        <v>117082.0</v>
      </c>
      <c r="P367" s="91">
        <f>IFERROR(__xludf.DUMMYFUNCTION("IFERROR(sum(FILTER($D:$N,$C:$C = $C367,$A:$A &lt; $A367,$B:$B = 12)),0) + sum($D367:$N367)"),117081.47000000003)</f>
        <v>117081.47</v>
      </c>
      <c r="Q367" s="92">
        <f t="shared" si="1"/>
        <v>0.53</v>
      </c>
      <c r="R367" s="91">
        <f t="array" ref="R367">IFERROR(INDEX('Fund YTD Target Values'!$1:$1000, MATCH($C367,'Fund YTD Target Values'!$A:$A,0), MATCH($A367,'Fund YTD Target Values'!$1:$1,0)),0)</f>
        <v>123214.8031</v>
      </c>
      <c r="S367" s="91">
        <f>IFERROR(__xludf.DUMMYFUNCTION("IFERROR(sum(FILTER('Fund Investment Data'!$V:$V, 'Fund Investment Data'!$C:$C = $C367, 'Fund Investment Data'!$A:$A &lt; $A367)),0) + IFERROR(sum(FILTER('Fund Investment Data'!$V:$V, 'Fund Investment Data'!$C:$C = $C367, 'Fund Investment Data'!$A:$A = $A367,"&amp;" 'Fund Investment Data'!$B:$B &lt;= $B367)),0)"),100000.0)</f>
        <v>100000</v>
      </c>
      <c r="T367" s="93">
        <v>100000.0</v>
      </c>
      <c r="U367" s="32">
        <f t="shared" si="3"/>
        <v>0</v>
      </c>
      <c r="V367" s="32">
        <f>IFERROR(__xludf.DUMMYFUNCTION("$D367 - IFERROR(FILTER($D:$D,$C:$C = $C367, $A:$A = $A367, $B:$B = $B367 - 1),0)"),0.0)</f>
        <v>0</v>
      </c>
      <c r="W367" s="93">
        <f>IFERROR(__xludf.DUMMYFUNCTION("$E367 - IFERROR(FILTER($E:$E,$C:$C = $C367, $A:$A = $A367, $B:$B = $B367 - 1),0)"),-1600.0)</f>
        <v>-1600</v>
      </c>
      <c r="X367" s="93"/>
      <c r="Y367" s="93"/>
      <c r="Z367" s="93">
        <v>0.0</v>
      </c>
      <c r="AA367" s="93">
        <v>0.0</v>
      </c>
      <c r="AB367" s="93">
        <v>0.0</v>
      </c>
      <c r="AC367" s="93"/>
      <c r="AD367" s="93">
        <v>0.0</v>
      </c>
      <c r="AE367" s="32">
        <f t="shared" si="2"/>
        <v>-1600</v>
      </c>
      <c r="AF367" s="93">
        <v>0.0</v>
      </c>
    </row>
    <row r="368">
      <c r="A368" s="86">
        <v>2014.0</v>
      </c>
      <c r="B368" s="87">
        <v>12.0</v>
      </c>
      <c r="C368" s="88" t="s">
        <v>52</v>
      </c>
      <c r="D368" s="93">
        <v>1000.0</v>
      </c>
      <c r="E368" s="32"/>
      <c r="F368" s="93"/>
      <c r="G368" s="93">
        <v>-3136.75</v>
      </c>
      <c r="H368" s="93">
        <v>7103.06</v>
      </c>
      <c r="I368" s="32"/>
      <c r="J368" s="93">
        <v>2043.86</v>
      </c>
      <c r="K368" s="32"/>
      <c r="L368" s="32"/>
      <c r="M368" s="32"/>
      <c r="N368" s="32"/>
      <c r="O368" s="93">
        <v>505572.0</v>
      </c>
      <c r="P368" s="91">
        <f>IFERROR(__xludf.DUMMYFUNCTION("IFERROR(sum(FILTER($D:$N,$C:$C = $C368,$A:$A &lt; $A368,$B:$B = 12)),0) + sum($D368:$N368)"),505572.17)</f>
        <v>505572.17</v>
      </c>
      <c r="Q368" s="92">
        <f t="shared" si="1"/>
        <v>-0.17</v>
      </c>
      <c r="R368" s="91">
        <f t="array" ref="R368">IFERROR(INDEX('Fund YTD Target Values'!$1:$1000, MATCH($C368,'Fund YTD Target Values'!$A:$A,0), MATCH($A368,'Fund YTD Target Values'!$1:$1,0)),0)</f>
        <v>507723.4013</v>
      </c>
      <c r="S368" s="91">
        <f>IFERROR(__xludf.DUMMYFUNCTION("IFERROR(sum(FILTER('Fund Investment Data'!$V:$V, 'Fund Investment Data'!$C:$C = $C368, 'Fund Investment Data'!$A:$A &lt; $A368)),0) + IFERROR(sum(FILTER('Fund Investment Data'!$V:$V, 'Fund Investment Data'!$C:$C = $C368, 'Fund Investment Data'!$A:$A = $A368,"&amp;" 'Fund Investment Data'!$B:$B &lt;= $B368)),0)"),499636.0)</f>
        <v>499636</v>
      </c>
      <c r="T368" s="93">
        <v>499636.0</v>
      </c>
      <c r="U368" s="32">
        <f t="shared" si="3"/>
        <v>0</v>
      </c>
      <c r="V368" s="32">
        <f>IFERROR(__xludf.DUMMYFUNCTION("$D368 - IFERROR(FILTER($D:$D,$C:$C = $C368, $A:$A = $A368, $B:$B = $B368 - 1),0)"),1000.0)</f>
        <v>1000</v>
      </c>
      <c r="W368" s="93">
        <f>IFERROR(__xludf.DUMMYFUNCTION("$E368 - IFERROR(FILTER($E:$E,$C:$C = $C368, $A:$A = $A368, $B:$B = $B368 - 1),0)"),0.0)</f>
        <v>0</v>
      </c>
      <c r="X368" s="93"/>
      <c r="Y368" s="93"/>
      <c r="Z368" s="93">
        <v>0.0</v>
      </c>
      <c r="AA368" s="93">
        <v>0.0</v>
      </c>
      <c r="AB368" s="93">
        <v>0.0</v>
      </c>
      <c r="AC368" s="93"/>
      <c r="AD368" s="93">
        <v>0.0</v>
      </c>
      <c r="AE368" s="32">
        <f t="shared" si="2"/>
        <v>0</v>
      </c>
      <c r="AF368" s="93">
        <v>0.0</v>
      </c>
    </row>
    <row r="369">
      <c r="A369" s="86">
        <v>2014.0</v>
      </c>
      <c r="B369" s="87">
        <v>12.0</v>
      </c>
      <c r="C369" s="88" t="s">
        <v>33</v>
      </c>
      <c r="D369" s="32"/>
      <c r="E369" s="93">
        <v>-19000.0</v>
      </c>
      <c r="F369" s="93"/>
      <c r="G369" s="93">
        <v>-2472.46</v>
      </c>
      <c r="H369" s="93">
        <v>7681.72</v>
      </c>
      <c r="I369" s="93">
        <v>3417.72</v>
      </c>
      <c r="J369" s="93">
        <v>-1330.54</v>
      </c>
      <c r="K369" s="32"/>
      <c r="L369" s="32"/>
      <c r="M369" s="32"/>
      <c r="N369" s="32"/>
      <c r="O369" s="93">
        <v>394760.0</v>
      </c>
      <c r="P369" s="91">
        <f>IFERROR(__xludf.DUMMYFUNCTION("IFERROR(sum(FILTER($D:$N,$C:$C = $C369,$A:$A &lt; $A369,$B:$B = 12)),0) + sum($D369:$N369)"),394759.99999999977)</f>
        <v>394760</v>
      </c>
      <c r="Q369" s="92">
        <f t="shared" si="1"/>
        <v>0.0000000002328306437</v>
      </c>
      <c r="R369" s="91">
        <f t="array" ref="R369">IFERROR(INDEX('Fund YTD Target Values'!$1:$1000, MATCH($C369,'Fund YTD Target Values'!$A:$A,0), MATCH($A369,'Fund YTD Target Values'!$1:$1,0)),0)</f>
        <v>483563.8633</v>
      </c>
      <c r="S369" s="91">
        <f>IFERROR(__xludf.DUMMYFUNCTION("IFERROR(sum(FILTER('Fund Investment Data'!$V:$V, 'Fund Investment Data'!$C:$C = $C369, 'Fund Investment Data'!$A:$A &lt; $A369)),0) + IFERROR(sum(FILTER('Fund Investment Data'!$V:$V, 'Fund Investment Data'!$C:$C = $C369, 'Fund Investment Data'!$A:$A = $A369,"&amp;" 'Fund Investment Data'!$B:$B &lt;= $B369)),0)"),325871.6399999999)</f>
        <v>325871.64</v>
      </c>
      <c r="T369" s="93">
        <v>326032.0</v>
      </c>
      <c r="U369" s="32">
        <f t="shared" si="3"/>
        <v>-160.36</v>
      </c>
      <c r="V369" s="32">
        <f>IFERROR(__xludf.DUMMYFUNCTION("$D369 - IFERROR(FILTER($D:$D,$C:$C = $C369, $A:$A = $A369, $B:$B = $B369 - 1),0)"),0.0)</f>
        <v>0</v>
      </c>
      <c r="W369" s="93">
        <f>IFERROR(__xludf.DUMMYFUNCTION("$E369 - IFERROR(FILTER($E:$E,$C:$C = $C369, $A:$A = $A369, $B:$B = $B369 - 1),0)"),-19000.0)</f>
        <v>-19000</v>
      </c>
      <c r="X369" s="93"/>
      <c r="Y369" s="93"/>
      <c r="Z369" s="93">
        <v>0.0</v>
      </c>
      <c r="AA369" s="93">
        <v>0.0</v>
      </c>
      <c r="AB369" s="93">
        <v>0.0</v>
      </c>
      <c r="AC369" s="93"/>
      <c r="AD369" s="93">
        <v>0.0</v>
      </c>
      <c r="AE369" s="32">
        <f t="shared" si="2"/>
        <v>-19000</v>
      </c>
      <c r="AF369" s="93">
        <v>0.0</v>
      </c>
    </row>
    <row r="370">
      <c r="A370" s="86">
        <v>2014.0</v>
      </c>
      <c r="B370" s="87">
        <v>12.0</v>
      </c>
      <c r="C370" s="88" t="s">
        <v>53</v>
      </c>
      <c r="D370" s="32"/>
      <c r="E370" s="93">
        <v>-78245.0</v>
      </c>
      <c r="F370" s="93"/>
      <c r="G370" s="93">
        <v>-13291.35</v>
      </c>
      <c r="H370" s="93">
        <v>41362.41</v>
      </c>
      <c r="I370" s="93">
        <v>4128.44</v>
      </c>
      <c r="J370" s="93">
        <v>5911.24</v>
      </c>
      <c r="K370" s="32"/>
      <c r="L370" s="32"/>
      <c r="M370" s="32"/>
      <c r="N370" s="32"/>
      <c r="O370" s="93">
        <v>2146099.0</v>
      </c>
      <c r="P370" s="91">
        <f>IFERROR(__xludf.DUMMYFUNCTION("IFERROR(sum(FILTER($D:$N,$C:$C = $C370,$A:$A &lt; $A370,$B:$B = 12)),0) + sum($D370:$N370)"),2146099.3)</f>
        <v>2146099.3</v>
      </c>
      <c r="Q370" s="92">
        <f t="shared" si="1"/>
        <v>-0.2999999998</v>
      </c>
      <c r="R370" s="91">
        <f t="array" ref="R370">IFERROR(INDEX('Fund YTD Target Values'!$1:$1000, MATCH($C370,'Fund YTD Target Values'!$A:$A,0), MATCH($A370,'Fund YTD Target Values'!$1:$1,0)),0)</f>
        <v>2097389.539</v>
      </c>
      <c r="S370" s="91">
        <f>IFERROR(__xludf.DUMMYFUNCTION("IFERROR(sum(FILTER('Fund Investment Data'!$V:$V, 'Fund Investment Data'!$C:$C = $C370, 'Fund Investment Data'!$A:$A &lt; $A370)),0) + IFERROR(sum(FILTER('Fund Investment Data'!$V:$V, 'Fund Investment Data'!$C:$C = $C370, 'Fund Investment Data'!$A:$A = $A370,"&amp;" 'Fund Investment Data'!$B:$B &lt;= $B370)),0)"),2005500.0)</f>
        <v>2005500</v>
      </c>
      <c r="T370" s="93">
        <v>2005500.0</v>
      </c>
      <c r="U370" s="32">
        <f t="shared" si="3"/>
        <v>0</v>
      </c>
      <c r="V370" s="32">
        <f>IFERROR(__xludf.DUMMYFUNCTION("$D370 - IFERROR(FILTER($D:$D,$C:$C = $C370, $A:$A = $A370, $B:$B = $B370 - 1),0)"),0.0)</f>
        <v>0</v>
      </c>
      <c r="W370" s="93">
        <f>IFERROR(__xludf.DUMMYFUNCTION("$E370 - IFERROR(FILTER($E:$E,$C:$C = $C370, $A:$A = $A370, $B:$B = $B370 - 1),0)"),-78245.0)</f>
        <v>-78245</v>
      </c>
      <c r="X370" s="93"/>
      <c r="Y370" s="93"/>
      <c r="Z370" s="93">
        <v>0.0</v>
      </c>
      <c r="AA370" s="93">
        <v>0.0</v>
      </c>
      <c r="AB370" s="93">
        <v>0.0</v>
      </c>
      <c r="AC370" s="93"/>
      <c r="AD370" s="93">
        <v>0.0</v>
      </c>
      <c r="AE370" s="32">
        <f t="shared" si="2"/>
        <v>-78245</v>
      </c>
      <c r="AF370" s="93">
        <v>0.0</v>
      </c>
    </row>
    <row r="371">
      <c r="A371" s="86">
        <v>2014.0</v>
      </c>
      <c r="B371" s="87">
        <v>12.0</v>
      </c>
      <c r="C371" s="88" t="s">
        <v>34</v>
      </c>
      <c r="D371" s="93">
        <v>5000.0</v>
      </c>
      <c r="E371" s="93">
        <v>-4000.0</v>
      </c>
      <c r="F371" s="93"/>
      <c r="G371" s="93">
        <v>-694.26</v>
      </c>
      <c r="H371" s="93">
        <v>2150.75</v>
      </c>
      <c r="I371" s="93">
        <v>271.69</v>
      </c>
      <c r="J371" s="93">
        <v>239.87</v>
      </c>
      <c r="K371" s="32"/>
      <c r="L371" s="32"/>
      <c r="M371" s="32"/>
      <c r="N371" s="32"/>
      <c r="O371" s="93">
        <v>117083.0</v>
      </c>
      <c r="P371" s="91">
        <f>IFERROR(__xludf.DUMMYFUNCTION("IFERROR(sum(FILTER($D:$N,$C:$C = $C371,$A:$A &lt; $A371,$B:$B = 12)),0) + sum($D371:$N371)"),117083.03)</f>
        <v>117083.03</v>
      </c>
      <c r="Q371" s="92">
        <f t="shared" si="1"/>
        <v>-0.03</v>
      </c>
      <c r="R371" s="91">
        <f t="array" ref="R371">IFERROR(INDEX('Fund YTD Target Values'!$1:$1000, MATCH($C371,'Fund YTD Target Values'!$A:$A,0), MATCH($A371,'Fund YTD Target Values'!$1:$1,0)),0)</f>
        <v>108111.7282</v>
      </c>
      <c r="S371" s="91">
        <f>IFERROR(__xludf.DUMMYFUNCTION("IFERROR(sum(FILTER('Fund Investment Data'!$V:$V, 'Fund Investment Data'!$C:$C = $C371, 'Fund Investment Data'!$A:$A &lt; $A371)),0) + IFERROR(sum(FILTER('Fund Investment Data'!$V:$V, 'Fund Investment Data'!$C:$C = $C371, 'Fund Investment Data'!$A:$A = $A371,"&amp;" 'Fund Investment Data'!$B:$B &lt;= $B371)),0)"),105000.0)</f>
        <v>105000</v>
      </c>
      <c r="T371" s="93">
        <v>105000.0</v>
      </c>
      <c r="U371" s="32">
        <f t="shared" si="3"/>
        <v>0</v>
      </c>
      <c r="V371" s="32">
        <f>IFERROR(__xludf.DUMMYFUNCTION("$D371 - IFERROR(FILTER($D:$D,$C:$C = $C371, $A:$A = $A371, $B:$B = $B371 - 1),0)"),5000.0)</f>
        <v>5000</v>
      </c>
      <c r="W371" s="93">
        <f>IFERROR(__xludf.DUMMYFUNCTION("$E371 - IFERROR(FILTER($E:$E,$C:$C = $C371, $A:$A = $A371, $B:$B = $B371 - 1),0)"),-4000.0)</f>
        <v>-4000</v>
      </c>
      <c r="X371" s="93"/>
      <c r="Y371" s="93"/>
      <c r="Z371" s="93">
        <v>0.0</v>
      </c>
      <c r="AA371" s="93">
        <v>0.0</v>
      </c>
      <c r="AB371" s="93">
        <v>0.0</v>
      </c>
      <c r="AC371" s="93"/>
      <c r="AD371" s="93">
        <v>0.0</v>
      </c>
      <c r="AE371" s="32">
        <f t="shared" si="2"/>
        <v>-4000</v>
      </c>
      <c r="AF371" s="93">
        <v>0.0</v>
      </c>
    </row>
    <row r="372">
      <c r="A372" s="86">
        <v>2014.0</v>
      </c>
      <c r="B372" s="87">
        <v>12.0</v>
      </c>
      <c r="C372" s="88" t="s">
        <v>54</v>
      </c>
      <c r="D372" s="93">
        <v>200.0</v>
      </c>
      <c r="E372" s="93">
        <v>-7000.0</v>
      </c>
      <c r="F372" s="93"/>
      <c r="G372" s="93">
        <v>-863.08</v>
      </c>
      <c r="H372" s="93">
        <v>2692.6</v>
      </c>
      <c r="I372" s="93">
        <v>875.53</v>
      </c>
      <c r="J372" s="93">
        <v>-211.98</v>
      </c>
      <c r="K372" s="32"/>
      <c r="L372" s="32"/>
      <c r="M372" s="32"/>
      <c r="N372" s="32"/>
      <c r="O372" s="93">
        <v>138691.0</v>
      </c>
      <c r="P372" s="91">
        <f>IFERROR(__xludf.DUMMYFUNCTION("IFERROR(sum(FILTER($D:$N,$C:$C = $C372,$A:$A &lt; $A372,$B:$B = 12)),0) + sum($D372:$N372)"),138691.44999999995)</f>
        <v>138691.45</v>
      </c>
      <c r="Q372" s="92">
        <f t="shared" si="1"/>
        <v>-0.45</v>
      </c>
      <c r="R372" s="91">
        <f t="array" ref="R372">IFERROR(INDEX('Fund YTD Target Values'!$1:$1000, MATCH($C372,'Fund YTD Target Values'!$A:$A,0), MATCH($A372,'Fund YTD Target Values'!$1:$1,0)),0)</f>
        <v>131034.488</v>
      </c>
      <c r="S372" s="91">
        <f>IFERROR(__xludf.DUMMYFUNCTION("IFERROR(sum(FILTER('Fund Investment Data'!$V:$V, 'Fund Investment Data'!$C:$C = $C372, 'Fund Investment Data'!$A:$A &lt; $A372)),0) + IFERROR(sum(FILTER('Fund Investment Data'!$V:$V, 'Fund Investment Data'!$C:$C = $C372, 'Fund Investment Data'!$A:$A = $A372,"&amp;" 'Fund Investment Data'!$B:$B &lt;= $B372)),0)"),96990.10999999999)</f>
        <v>96990.11</v>
      </c>
      <c r="T372" s="93">
        <v>93914.0</v>
      </c>
      <c r="U372" s="32">
        <f t="shared" si="3"/>
        <v>3076.11</v>
      </c>
      <c r="V372" s="32">
        <f>IFERROR(__xludf.DUMMYFUNCTION("$D372 - IFERROR(FILTER($D:$D,$C:$C = $C372, $A:$A = $A372, $B:$B = $B372 - 1),0)"),200.0)</f>
        <v>200</v>
      </c>
      <c r="W372" s="93">
        <f>IFERROR(__xludf.DUMMYFUNCTION("$E372 - IFERROR(FILTER($E:$E,$C:$C = $C372, $A:$A = $A372, $B:$B = $B372 - 1),0)"),-7000.0)</f>
        <v>-7000</v>
      </c>
      <c r="X372" s="93"/>
      <c r="Y372" s="93"/>
      <c r="Z372" s="93">
        <v>0.0</v>
      </c>
      <c r="AA372" s="93">
        <v>0.0</v>
      </c>
      <c r="AB372" s="93">
        <v>0.0</v>
      </c>
      <c r="AC372" s="93"/>
      <c r="AD372" s="93">
        <v>0.0</v>
      </c>
      <c r="AE372" s="32">
        <f t="shared" si="2"/>
        <v>-7000</v>
      </c>
      <c r="AF372" s="93">
        <v>0.0</v>
      </c>
    </row>
    <row r="373">
      <c r="A373" s="86">
        <v>2014.0</v>
      </c>
      <c r="B373" s="87">
        <v>12.0</v>
      </c>
      <c r="C373" s="88" t="s">
        <v>44</v>
      </c>
      <c r="D373" s="32"/>
      <c r="E373" s="93">
        <v>-15000.0</v>
      </c>
      <c r="F373" s="93"/>
      <c r="G373" s="93">
        <v>-1934.42</v>
      </c>
      <c r="H373" s="93">
        <v>6012.07</v>
      </c>
      <c r="I373" s="93">
        <v>2758.63</v>
      </c>
      <c r="J373" s="93">
        <v>-1206.54</v>
      </c>
      <c r="K373" s="32"/>
      <c r="L373" s="32"/>
      <c r="M373" s="32"/>
      <c r="N373" s="32"/>
      <c r="O373" s="93">
        <v>309813.0</v>
      </c>
      <c r="P373" s="91">
        <f>IFERROR(__xludf.DUMMYFUNCTION("IFERROR(sum(FILTER($D:$N,$C:$C = $C373,$A:$A &lt; $A373,$B:$B = 12)),0) + sum($D373:$N373)"),309813.38000000006)</f>
        <v>309813.38</v>
      </c>
      <c r="Q373" s="92">
        <f t="shared" si="1"/>
        <v>-0.3800000001</v>
      </c>
      <c r="R373" s="91">
        <f t="array" ref="R373">IFERROR(INDEX('Fund YTD Target Values'!$1:$1000, MATCH($C373,'Fund YTD Target Values'!$A:$A,0), MATCH($A373,'Fund YTD Target Values'!$1:$1,0)),0)</f>
        <v>303176.0174</v>
      </c>
      <c r="S373" s="91">
        <f>IFERROR(__xludf.DUMMYFUNCTION("IFERROR(sum(FILTER('Fund Investment Data'!$V:$V, 'Fund Investment Data'!$C:$C = $C373, 'Fund Investment Data'!$A:$A &lt; $A373)),0) + IFERROR(sum(FILTER('Fund Investment Data'!$V:$V, 'Fund Investment Data'!$C:$C = $C373, 'Fund Investment Data'!$A:$A = $A373,"&amp;" 'Fund Investment Data'!$B:$B &lt;= $B373)),0)"),250000.0)</f>
        <v>250000</v>
      </c>
      <c r="T373" s="93">
        <v>250000.0</v>
      </c>
      <c r="U373" s="32">
        <f t="shared" si="3"/>
        <v>0</v>
      </c>
      <c r="V373" s="32">
        <f>IFERROR(__xludf.DUMMYFUNCTION("$D373 - IFERROR(FILTER($D:$D,$C:$C = $C373, $A:$A = $A373, $B:$B = $B373 - 1),0)"),0.0)</f>
        <v>0</v>
      </c>
      <c r="W373" s="93">
        <f>IFERROR(__xludf.DUMMYFUNCTION("$E373 - IFERROR(FILTER($E:$E,$C:$C = $C373, $A:$A = $A373, $B:$B = $B373 - 1),0)"),-15000.0)</f>
        <v>-15000</v>
      </c>
      <c r="X373" s="93"/>
      <c r="Y373" s="93"/>
      <c r="Z373" s="93">
        <v>0.0</v>
      </c>
      <c r="AA373" s="93">
        <v>0.0</v>
      </c>
      <c r="AB373" s="93">
        <v>0.0</v>
      </c>
      <c r="AC373" s="93"/>
      <c r="AD373" s="93">
        <v>0.0</v>
      </c>
      <c r="AE373" s="32">
        <f t="shared" si="2"/>
        <v>-15000</v>
      </c>
      <c r="AF373" s="93">
        <v>0.0</v>
      </c>
    </row>
    <row r="374">
      <c r="A374" s="86">
        <v>2014.0</v>
      </c>
      <c r="B374" s="87">
        <v>12.0</v>
      </c>
      <c r="C374" s="88" t="s">
        <v>45</v>
      </c>
      <c r="D374" s="32"/>
      <c r="E374" s="93">
        <v>-13150.0</v>
      </c>
      <c r="F374" s="93"/>
      <c r="G374" s="93">
        <v>-827.27</v>
      </c>
      <c r="H374" s="93">
        <v>2568.09</v>
      </c>
      <c r="I374" s="93">
        <v>1727.56</v>
      </c>
      <c r="J374" s="93">
        <v>-887.76</v>
      </c>
      <c r="K374" s="32"/>
      <c r="L374" s="32"/>
      <c r="M374" s="32"/>
      <c r="N374" s="32"/>
      <c r="O374" s="93">
        <v>129803.0</v>
      </c>
      <c r="P374" s="91">
        <f>IFERROR(__xludf.DUMMYFUNCTION("IFERROR(sum(FILTER($D:$N,$C:$C = $C374,$A:$A &lt; $A374,$B:$B = 12)),0) + sum($D374:$N374)"),129802.82999999999)</f>
        <v>129802.83</v>
      </c>
      <c r="Q374" s="92">
        <f t="shared" si="1"/>
        <v>0.17</v>
      </c>
      <c r="R374" s="91">
        <f t="array" ref="R374">IFERROR(INDEX('Fund YTD Target Values'!$1:$1000, MATCH($C374,'Fund YTD Target Values'!$A:$A,0), MATCH($A374,'Fund YTD Target Values'!$1:$1,0)),0)</f>
        <v>114301.1299</v>
      </c>
      <c r="S374" s="91">
        <f>IFERROR(__xludf.DUMMYFUNCTION("IFERROR(sum(FILTER('Fund Investment Data'!$V:$V, 'Fund Investment Data'!$C:$C = $C374, 'Fund Investment Data'!$A:$A &lt; $A374)),0) + IFERROR(sum(FILTER('Fund Investment Data'!$V:$V, 'Fund Investment Data'!$C:$C = $C374, 'Fund Investment Data'!$A:$A = $A374,"&amp;" 'Fund Investment Data'!$B:$B &lt;= $B374)),0)"),100000.0)</f>
        <v>100000</v>
      </c>
      <c r="T374" s="93">
        <v>100000.0</v>
      </c>
      <c r="U374" s="32">
        <f t="shared" si="3"/>
        <v>0</v>
      </c>
      <c r="V374" s="32">
        <f>IFERROR(__xludf.DUMMYFUNCTION("$D374 - IFERROR(FILTER($D:$D,$C:$C = $C374, $A:$A = $A374, $B:$B = $B374 - 1),0)"),0.0)</f>
        <v>0</v>
      </c>
      <c r="W374" s="93">
        <f>IFERROR(__xludf.DUMMYFUNCTION("$E374 - IFERROR(FILTER($E:$E,$C:$C = $C374, $A:$A = $A374, $B:$B = $B374 - 1),0)"),-13150.0)</f>
        <v>-13150</v>
      </c>
      <c r="X374" s="93"/>
      <c r="Y374" s="93"/>
      <c r="Z374" s="93">
        <v>0.0</v>
      </c>
      <c r="AA374" s="93">
        <v>0.0</v>
      </c>
      <c r="AB374" s="93">
        <v>0.0</v>
      </c>
      <c r="AC374" s="93"/>
      <c r="AD374" s="93">
        <v>0.0</v>
      </c>
      <c r="AE374" s="32">
        <f t="shared" si="2"/>
        <v>-13150</v>
      </c>
      <c r="AF374" s="93">
        <v>0.0</v>
      </c>
    </row>
    <row r="375">
      <c r="A375" s="86">
        <v>2014.0</v>
      </c>
      <c r="B375" s="87">
        <v>12.0</v>
      </c>
      <c r="C375" s="88" t="s">
        <v>35</v>
      </c>
      <c r="D375" s="93">
        <v>15000.0</v>
      </c>
      <c r="E375" s="93">
        <v>-68500.0</v>
      </c>
      <c r="F375" s="93"/>
      <c r="G375" s="93">
        <v>-8882.38</v>
      </c>
      <c r="H375" s="93">
        <v>27687.14</v>
      </c>
      <c r="I375" s="93">
        <v>9546.1</v>
      </c>
      <c r="J375" s="93">
        <v>-2232.36</v>
      </c>
      <c r="K375" s="32"/>
      <c r="L375" s="32"/>
      <c r="M375" s="32"/>
      <c r="N375" s="32"/>
      <c r="O375" s="93">
        <v>1427436.0</v>
      </c>
      <c r="P375" s="91">
        <f>IFERROR(__xludf.DUMMYFUNCTION("IFERROR(sum(FILTER($D:$N,$C:$C = $C375,$A:$A &lt; $A375,$B:$B = 12)),0) + sum($D375:$N375)"),1427435.3600000003)</f>
        <v>1427435.36</v>
      </c>
      <c r="Q375" s="92">
        <f t="shared" si="1"/>
        <v>0.6399999997</v>
      </c>
      <c r="R375" s="91">
        <f t="array" ref="R375">IFERROR(INDEX('Fund YTD Target Values'!$1:$1000, MATCH($C375,'Fund YTD Target Values'!$A:$A,0), MATCH($A375,'Fund YTD Target Values'!$1:$1,0)),0)</f>
        <v>1483842.802</v>
      </c>
      <c r="S375" s="91">
        <f>IFERROR(__xludf.DUMMYFUNCTION("IFERROR(sum(FILTER('Fund Investment Data'!$V:$V, 'Fund Investment Data'!$C:$C = $C375, 'Fund Investment Data'!$A:$A &lt; $A375)),0) + IFERROR(sum(FILTER('Fund Investment Data'!$V:$V, 'Fund Investment Data'!$C:$C = $C375, 'Fund Investment Data'!$A:$A = $A375,"&amp;" 'Fund Investment Data'!$B:$B &lt;= $B375)),0)"),1081625.0)</f>
        <v>1081625</v>
      </c>
      <c r="T375" s="93">
        <v>1066625.0</v>
      </c>
      <c r="U375" s="32">
        <f t="shared" si="3"/>
        <v>15000</v>
      </c>
      <c r="V375" s="32">
        <f>IFERROR(__xludf.DUMMYFUNCTION("$D375 - IFERROR(FILTER($D:$D,$C:$C = $C375, $A:$A = $A375, $B:$B = $B375 - 1),0)"),15000.0)</f>
        <v>15000</v>
      </c>
      <c r="W375" s="93">
        <f>IFERROR(__xludf.DUMMYFUNCTION("$E375 - IFERROR(FILTER($E:$E,$C:$C = $C375, $A:$A = $A375, $B:$B = $B375 - 1),0)"),-68500.0)</f>
        <v>-68500</v>
      </c>
      <c r="X375" s="93"/>
      <c r="Y375" s="93"/>
      <c r="Z375" s="93">
        <v>0.0</v>
      </c>
      <c r="AA375" s="93">
        <v>0.0</v>
      </c>
      <c r="AB375" s="93">
        <v>0.0</v>
      </c>
      <c r="AC375" s="93"/>
      <c r="AD375" s="93">
        <v>0.0</v>
      </c>
      <c r="AE375" s="32">
        <f t="shared" si="2"/>
        <v>-68500</v>
      </c>
      <c r="AF375" s="93">
        <v>0.0</v>
      </c>
    </row>
    <row r="376">
      <c r="A376" s="86">
        <v>2014.0</v>
      </c>
      <c r="B376" s="87">
        <v>12.0</v>
      </c>
      <c r="C376" s="88" t="s">
        <v>56</v>
      </c>
      <c r="D376" s="93">
        <v>1000000.0</v>
      </c>
      <c r="E376" s="32"/>
      <c r="F376" s="93"/>
      <c r="G376" s="93">
        <v>-2841.26</v>
      </c>
      <c r="H376" s="93">
        <v>6016.41</v>
      </c>
      <c r="I376" s="32"/>
      <c r="J376" s="93">
        <v>-34371.16</v>
      </c>
      <c r="K376" s="32"/>
      <c r="L376" s="32"/>
      <c r="M376" s="32"/>
      <c r="N376" s="32"/>
      <c r="O376" s="93">
        <v>968804.0</v>
      </c>
      <c r="P376" s="91">
        <f>IFERROR(__xludf.DUMMYFUNCTION("IFERROR(sum(FILTER($D:$N,$C:$C = $C376,$A:$A &lt; $A376,$B:$B = 12)),0) + sum($D376:$N376)"),968803.99)</f>
        <v>968803.99</v>
      </c>
      <c r="Q376" s="92">
        <f t="shared" si="1"/>
        <v>0.01000000001</v>
      </c>
      <c r="R376" s="91">
        <f t="array" ref="R376">IFERROR(INDEX('Fund YTD Target Values'!$1:$1000, MATCH($C376,'Fund YTD Target Values'!$A:$A,0), MATCH($A376,'Fund YTD Target Values'!$1:$1,0)),0)</f>
        <v>1000000</v>
      </c>
      <c r="S376" s="91">
        <f>IFERROR(__xludf.DUMMYFUNCTION("IFERROR(sum(FILTER('Fund Investment Data'!$V:$V, 'Fund Investment Data'!$C:$C = $C376, 'Fund Investment Data'!$A:$A &lt; $A376)),0) + IFERROR(sum(FILTER('Fund Investment Data'!$V:$V, 'Fund Investment Data'!$C:$C = $C376, 'Fund Investment Data'!$A:$A = $A376,"&amp;" 'Fund Investment Data'!$B:$B &lt;= $B376)),0)"),1000000.0)</f>
        <v>1000000</v>
      </c>
      <c r="T376" s="93">
        <v>1000000.0</v>
      </c>
      <c r="U376" s="32">
        <f t="shared" si="3"/>
        <v>0</v>
      </c>
      <c r="V376" s="32">
        <f>IFERROR(__xludf.DUMMYFUNCTION("$D376 - IFERROR(FILTER($D:$D,$C:$C = $C376, $A:$A = $A376, $B:$B = $B376 - 1),0)"),1000000.0)</f>
        <v>1000000</v>
      </c>
      <c r="W376" s="93">
        <f>IFERROR(__xludf.DUMMYFUNCTION("$E376 - IFERROR(FILTER($E:$E,$C:$C = $C376, $A:$A = $A376, $B:$B = $B376 - 1),0)"),0.0)</f>
        <v>0</v>
      </c>
      <c r="X376" s="93"/>
      <c r="Y376" s="93"/>
      <c r="Z376" s="93">
        <v>0.0</v>
      </c>
      <c r="AA376" s="93">
        <v>0.0</v>
      </c>
      <c r="AB376" s="93">
        <v>0.0</v>
      </c>
      <c r="AC376" s="93"/>
      <c r="AD376" s="93">
        <v>0.0</v>
      </c>
      <c r="AE376" s="32">
        <f t="shared" si="2"/>
        <v>0</v>
      </c>
      <c r="AF376" s="93">
        <v>0.0</v>
      </c>
    </row>
    <row r="377">
      <c r="A377" s="86">
        <v>2015.0</v>
      </c>
      <c r="B377" s="87">
        <v>12.0</v>
      </c>
      <c r="C377" s="88" t="s">
        <v>26</v>
      </c>
      <c r="D377" s="93">
        <v>10861.0</v>
      </c>
      <c r="E377" s="93">
        <v>-10000.0</v>
      </c>
      <c r="F377" s="93"/>
      <c r="G377" s="93">
        <v>-1792.47</v>
      </c>
      <c r="H377" s="93">
        <v>6873.47</v>
      </c>
      <c r="I377" s="32"/>
      <c r="J377" s="93">
        <v>-12781.65</v>
      </c>
      <c r="K377" s="32"/>
      <c r="L377" s="32"/>
      <c r="M377" s="32"/>
      <c r="N377" s="32"/>
      <c r="O377" s="93">
        <v>285431.0</v>
      </c>
      <c r="P377" s="91">
        <f>IFERROR(__xludf.DUMMYFUNCTION("IFERROR(sum(FILTER($D:$N,$C:$C = $C377,$A:$A &lt; $A377,$B:$B = 12)),0) + sum($D377:$N377)"),285430.0099999999)</f>
        <v>285430.01</v>
      </c>
      <c r="Q377" s="92">
        <f t="shared" si="1"/>
        <v>0.9900000001</v>
      </c>
      <c r="R377" s="91">
        <f t="array" ref="R377">IFERROR(INDEX('Fund YTD Target Values'!$1:$1000, MATCH($C377,'Fund YTD Target Values'!$A:$A,0), MATCH($A377,'Fund YTD Target Values'!$1:$1,0)),0)</f>
        <v>319053.5916</v>
      </c>
      <c r="S377" s="91">
        <f>IFERROR(__xludf.DUMMYFUNCTION("IFERROR(sum(FILTER('Fund Investment Data'!$V:$V, 'Fund Investment Data'!$C:$C = $C377, 'Fund Investment Data'!$A:$A &lt; $A377)),0) + IFERROR(sum(FILTER('Fund Investment Data'!$V:$V, 'Fund Investment Data'!$C:$C = $C377, 'Fund Investment Data'!$A:$A = $A377,"&amp;" 'Fund Investment Data'!$B:$B &lt;= $B377)),0)"),270922.0)</f>
        <v>270922</v>
      </c>
      <c r="T377" s="93">
        <v>270923.0</v>
      </c>
      <c r="U377" s="32">
        <f t="shared" si="3"/>
        <v>-1</v>
      </c>
      <c r="V377" s="32">
        <f>IFERROR(__xludf.DUMMYFUNCTION("$D377 - IFERROR(FILTER($D:$D,$C:$C = $C377, $A:$A = $A377, $B:$B = $B377 - 1),0)"),10861.0)</f>
        <v>10861</v>
      </c>
      <c r="W377" s="93">
        <f>IFERROR(__xludf.DUMMYFUNCTION("$E377 - IFERROR(FILTER($E:$E,$C:$C = $C377, $A:$A = $A377, $B:$B = $B377 - 1),0)"),-10000.0)</f>
        <v>-10000</v>
      </c>
      <c r="X377" s="93"/>
      <c r="Y377" s="93"/>
      <c r="Z377" s="93">
        <v>0.0</v>
      </c>
      <c r="AA377" s="93">
        <v>0.0</v>
      </c>
      <c r="AB377" s="93">
        <v>0.0</v>
      </c>
      <c r="AC377" s="93"/>
      <c r="AD377" s="93">
        <v>0.0</v>
      </c>
      <c r="AE377" s="32">
        <f t="shared" si="2"/>
        <v>-10000</v>
      </c>
      <c r="AF377" s="93">
        <v>0.0</v>
      </c>
    </row>
    <row r="378">
      <c r="A378" s="86">
        <v>2015.0</v>
      </c>
      <c r="B378" s="87">
        <v>12.0</v>
      </c>
      <c r="C378" s="88" t="s">
        <v>27</v>
      </c>
      <c r="D378" s="32"/>
      <c r="E378" s="93">
        <v>-16000.0</v>
      </c>
      <c r="F378" s="93"/>
      <c r="G378" s="93">
        <v>-1886.72</v>
      </c>
      <c r="H378" s="93">
        <v>7410.51</v>
      </c>
      <c r="I378" s="93">
        <v>1522.9</v>
      </c>
      <c r="J378" s="93">
        <v>-14966.09</v>
      </c>
      <c r="K378" s="32"/>
      <c r="L378" s="32"/>
      <c r="M378" s="32"/>
      <c r="N378" s="32"/>
      <c r="O378" s="93">
        <v>294853.0</v>
      </c>
      <c r="P378" s="91">
        <f>IFERROR(__xludf.DUMMYFUNCTION("IFERROR(sum(FILTER($D:$N,$C:$C = $C378,$A:$A &lt; $A378,$B:$B = 12)),0) + sum($D378:$N378)"),294853.02)</f>
        <v>294853.02</v>
      </c>
      <c r="Q378" s="92">
        <f t="shared" si="1"/>
        <v>-0.02000000002</v>
      </c>
      <c r="R378" s="91">
        <f t="array" ref="R378">IFERROR(INDEX('Fund YTD Target Values'!$1:$1000, MATCH($C378,'Fund YTD Target Values'!$A:$A,0), MATCH($A378,'Fund YTD Target Values'!$1:$1,0)),0)</f>
        <v>371222.5036</v>
      </c>
      <c r="S378" s="91">
        <f>IFERROR(__xludf.DUMMYFUNCTION("IFERROR(sum(FILTER('Fund Investment Data'!$V:$V, 'Fund Investment Data'!$C:$C = $C378, 'Fund Investment Data'!$A:$A &lt; $A378)),0) + IFERROR(sum(FILTER('Fund Investment Data'!$V:$V, 'Fund Investment Data'!$C:$C = $C378, 'Fund Investment Data'!$A:$A = $A378,"&amp;" 'Fund Investment Data'!$B:$B &lt;= $B378)),0)"),276213.69999999995)</f>
        <v>276213.7</v>
      </c>
      <c r="T378" s="93">
        <v>272248.0</v>
      </c>
      <c r="U378" s="32">
        <f t="shared" si="3"/>
        <v>3965.7</v>
      </c>
      <c r="V378" s="32">
        <f>IFERROR(__xludf.DUMMYFUNCTION("$D378 - IFERROR(FILTER($D:$D,$C:$C = $C378, $A:$A = $A378, $B:$B = $B378 - 1),0)"),0.0)</f>
        <v>0</v>
      </c>
      <c r="W378" s="93">
        <f>IFERROR(__xludf.DUMMYFUNCTION("$E378 - IFERROR(FILTER($E:$E,$C:$C = $C378, $A:$A = $A378, $B:$B = $B378 - 1),0)"),-16000.0)</f>
        <v>-16000</v>
      </c>
      <c r="X378" s="93"/>
      <c r="Y378" s="93"/>
      <c r="Z378" s="93">
        <v>0.0</v>
      </c>
      <c r="AA378" s="93">
        <v>0.0</v>
      </c>
      <c r="AB378" s="93">
        <v>0.0</v>
      </c>
      <c r="AC378" s="93"/>
      <c r="AD378" s="93">
        <v>0.0</v>
      </c>
      <c r="AE378" s="32">
        <f t="shared" si="2"/>
        <v>-16000</v>
      </c>
      <c r="AF378" s="93">
        <v>0.0</v>
      </c>
    </row>
    <row r="379">
      <c r="A379" s="86">
        <v>2015.0</v>
      </c>
      <c r="B379" s="87">
        <v>12.0</v>
      </c>
      <c r="C379" s="88" t="s">
        <v>28</v>
      </c>
      <c r="D379" s="32"/>
      <c r="E379" s="93">
        <v>-206735.0</v>
      </c>
      <c r="F379" s="93"/>
      <c r="G379" s="93">
        <v>-20037.23</v>
      </c>
      <c r="H379" s="93">
        <v>78670.35</v>
      </c>
      <c r="I379" s="93">
        <v>29978.65</v>
      </c>
      <c r="J379" s="93">
        <v>-176261.26</v>
      </c>
      <c r="K379" s="32"/>
      <c r="L379" s="32"/>
      <c r="M379" s="32"/>
      <c r="N379" s="32"/>
      <c r="O379" s="93">
        <v>3072688.0</v>
      </c>
      <c r="P379" s="91">
        <f>IFERROR(__xludf.DUMMYFUNCTION("IFERROR(sum(FILTER($D:$N,$C:$C = $C379,$A:$A &lt; $A379,$B:$B = 12)),0) + sum($D379:$N379)"),3072686.8199999994)</f>
        <v>3072686.82</v>
      </c>
      <c r="Q379" s="92">
        <f t="shared" si="1"/>
        <v>1.180000001</v>
      </c>
      <c r="R379" s="91">
        <f t="array" ref="R379">IFERROR(INDEX('Fund YTD Target Values'!$1:$1000, MATCH($C379,'Fund YTD Target Values'!$A:$A,0), MATCH($A379,'Fund YTD Target Values'!$1:$1,0)),0)</f>
        <v>3624927.929</v>
      </c>
      <c r="S379" s="91">
        <f>IFERROR(__xludf.DUMMYFUNCTION("IFERROR(sum(FILTER('Fund Investment Data'!$V:$V, 'Fund Investment Data'!$C:$C = $C379, 'Fund Investment Data'!$A:$A &lt; $A379)),0) + IFERROR(sum(FILTER('Fund Investment Data'!$V:$V, 'Fund Investment Data'!$C:$C = $C379, 'Fund Investment Data'!$A:$A = $A379,"&amp;" 'Fund Investment Data'!$B:$B &lt;= $B379)),0)"),2960091.25)</f>
        <v>2960091.25</v>
      </c>
      <c r="T379" s="93">
        <v>3009816.0</v>
      </c>
      <c r="U379" s="32">
        <f t="shared" si="3"/>
        <v>-49724.75</v>
      </c>
      <c r="V379" s="32">
        <f>IFERROR(__xludf.DUMMYFUNCTION("$D379 - IFERROR(FILTER($D:$D,$C:$C = $C379, $A:$A = $A379, $B:$B = $B379 - 1),0)"),0.0)</f>
        <v>0</v>
      </c>
      <c r="W379" s="93">
        <f>IFERROR(__xludf.DUMMYFUNCTION("$E379 - IFERROR(FILTER($E:$E,$C:$C = $C379, $A:$A = $A379, $B:$B = $B379 - 1),0)"),-206735.0)</f>
        <v>-206735</v>
      </c>
      <c r="X379" s="93"/>
      <c r="Y379" s="93"/>
      <c r="Z379" s="93">
        <v>0.0</v>
      </c>
      <c r="AA379" s="93">
        <v>0.0</v>
      </c>
      <c r="AB379" s="93">
        <v>0.0</v>
      </c>
      <c r="AC379" s="93"/>
      <c r="AD379" s="93">
        <v>0.0</v>
      </c>
      <c r="AE379" s="32">
        <f t="shared" si="2"/>
        <v>-206735</v>
      </c>
      <c r="AF379" s="93">
        <v>0.0</v>
      </c>
    </row>
    <row r="380">
      <c r="A380" s="86">
        <v>2015.0</v>
      </c>
      <c r="B380" s="87">
        <v>12.0</v>
      </c>
      <c r="C380" s="88" t="s">
        <v>46</v>
      </c>
      <c r="D380" s="32"/>
      <c r="E380" s="93">
        <v>-45000.0</v>
      </c>
      <c r="F380" s="93"/>
      <c r="G380" s="93">
        <v>-2524.1</v>
      </c>
      <c r="H380" s="93">
        <v>9953.33</v>
      </c>
      <c r="I380" s="93">
        <v>8090.54</v>
      </c>
      <c r="J380" s="93">
        <v>-25798.78</v>
      </c>
      <c r="K380" s="32"/>
      <c r="L380" s="32"/>
      <c r="M380" s="32"/>
      <c r="N380" s="32"/>
      <c r="O380" s="93">
        <v>377848.0</v>
      </c>
      <c r="P380" s="91">
        <f>IFERROR(__xludf.DUMMYFUNCTION("IFERROR(sum(FILTER($D:$N,$C:$C = $C380,$A:$A &lt; $A380,$B:$B = 12)),0) + sum($D380:$N380)"),377848.45)</f>
        <v>377848.45</v>
      </c>
      <c r="Q380" s="92">
        <f t="shared" si="1"/>
        <v>-0.45</v>
      </c>
      <c r="R380" s="91">
        <f t="array" ref="R380">IFERROR(INDEX('Fund YTD Target Values'!$1:$1000, MATCH($C380,'Fund YTD Target Values'!$A:$A,0), MATCH($A380,'Fund YTD Target Values'!$1:$1,0)),0)</f>
        <v>430921.8142</v>
      </c>
      <c r="S380" s="91">
        <f>IFERROR(__xludf.DUMMYFUNCTION("IFERROR(sum(FILTER('Fund Investment Data'!$V:$V, 'Fund Investment Data'!$C:$C = $C380, 'Fund Investment Data'!$A:$A &lt; $A380)),0) + IFERROR(sum(FILTER('Fund Investment Data'!$V:$V, 'Fund Investment Data'!$C:$C = $C380, 'Fund Investment Data'!$A:$A = $A380,"&amp;" 'Fund Investment Data'!$B:$B &lt;= $B380)),0)"),366400.0)</f>
        <v>366400</v>
      </c>
      <c r="T380" s="93">
        <v>366400.0</v>
      </c>
      <c r="U380" s="32">
        <f t="shared" si="3"/>
        <v>0</v>
      </c>
      <c r="V380" s="32">
        <f>IFERROR(__xludf.DUMMYFUNCTION("$D380 - IFERROR(FILTER($D:$D,$C:$C = $C380, $A:$A = $A380, $B:$B = $B380 - 1),0)"),0.0)</f>
        <v>0</v>
      </c>
      <c r="W380" s="93">
        <f>IFERROR(__xludf.DUMMYFUNCTION("$E380 - IFERROR(FILTER($E:$E,$C:$C = $C380, $A:$A = $A380, $B:$B = $B380 - 1),0)"),-45000.0)</f>
        <v>-45000</v>
      </c>
      <c r="X380" s="93"/>
      <c r="Y380" s="93"/>
      <c r="Z380" s="93">
        <v>0.0</v>
      </c>
      <c r="AA380" s="93">
        <v>0.0</v>
      </c>
      <c r="AB380" s="93">
        <v>0.0</v>
      </c>
      <c r="AC380" s="93"/>
      <c r="AD380" s="93">
        <v>0.0</v>
      </c>
      <c r="AE380" s="32">
        <f t="shared" si="2"/>
        <v>-45000</v>
      </c>
      <c r="AF380" s="93">
        <v>0.0</v>
      </c>
    </row>
    <row r="381">
      <c r="A381" s="86">
        <v>2015.0</v>
      </c>
      <c r="B381" s="87">
        <v>12.0</v>
      </c>
      <c r="C381" s="88" t="s">
        <v>36</v>
      </c>
      <c r="D381" s="32"/>
      <c r="E381" s="93">
        <v>-30000.0</v>
      </c>
      <c r="F381" s="93"/>
      <c r="G381" s="93">
        <v>-2679.7</v>
      </c>
      <c r="H381" s="93">
        <v>10556.65</v>
      </c>
      <c r="I381" s="93">
        <v>4871.5</v>
      </c>
      <c r="J381" s="93">
        <v>-23749.92</v>
      </c>
      <c r="K381" s="32"/>
      <c r="L381" s="32"/>
      <c r="M381" s="32"/>
      <c r="N381" s="32"/>
      <c r="O381" s="93">
        <v>417901.0</v>
      </c>
      <c r="P381" s="91">
        <f>IFERROR(__xludf.DUMMYFUNCTION("IFERROR(sum(FILTER($D:$N,$C:$C = $C381,$A:$A &lt; $A381,$B:$B = 12)),0) + sum($D381:$N381)"),417900.9800000001)</f>
        <v>417900.98</v>
      </c>
      <c r="Q381" s="92">
        <f t="shared" si="1"/>
        <v>0.0199999999</v>
      </c>
      <c r="R381" s="91">
        <f t="array" ref="R381">IFERROR(INDEX('Fund YTD Target Values'!$1:$1000, MATCH($C381,'Fund YTD Target Values'!$A:$A,0), MATCH($A381,'Fund YTD Target Values'!$1:$1,0)),0)</f>
        <v>599817.933</v>
      </c>
      <c r="S381" s="91">
        <f>IFERROR(__xludf.DUMMYFUNCTION("IFERROR(sum(FILTER('Fund Investment Data'!$V:$V, 'Fund Investment Data'!$C:$C = $C381, 'Fund Investment Data'!$A:$A &lt; $A381)),0) + IFERROR(sum(FILTER('Fund Investment Data'!$V:$V, 'Fund Investment Data'!$C:$C = $C381, 'Fund Investment Data'!$A:$A = $A381,"&amp;" 'Fund Investment Data'!$B:$B &lt;= $B381)),0)"),429067.24)</f>
        <v>429067.24</v>
      </c>
      <c r="T381" s="93">
        <v>413959.0</v>
      </c>
      <c r="U381" s="32">
        <f t="shared" si="3"/>
        <v>15108.24</v>
      </c>
      <c r="V381" s="32">
        <f>IFERROR(__xludf.DUMMYFUNCTION("$D381 - IFERROR(FILTER($D:$D,$C:$C = $C381, $A:$A = $A381, $B:$B = $B381 - 1),0)"),0.0)</f>
        <v>0</v>
      </c>
      <c r="W381" s="93">
        <f>IFERROR(__xludf.DUMMYFUNCTION("$E381 - IFERROR(FILTER($E:$E,$C:$C = $C381, $A:$A = $A381, $B:$B = $B381 - 1),0)"),-30000.0)</f>
        <v>-30000</v>
      </c>
      <c r="X381" s="93"/>
      <c r="Y381" s="93"/>
      <c r="Z381" s="93">
        <v>0.0</v>
      </c>
      <c r="AA381" s="93">
        <v>0.0</v>
      </c>
      <c r="AB381" s="93">
        <v>0.0</v>
      </c>
      <c r="AC381" s="93"/>
      <c r="AD381" s="93">
        <v>0.0</v>
      </c>
      <c r="AE381" s="32">
        <f t="shared" si="2"/>
        <v>-30000</v>
      </c>
      <c r="AF381" s="93">
        <v>0.0</v>
      </c>
    </row>
    <row r="382">
      <c r="A382" s="86">
        <v>2015.0</v>
      </c>
      <c r="B382" s="87">
        <v>12.0</v>
      </c>
      <c r="C382" s="88" t="s">
        <v>37</v>
      </c>
      <c r="D382" s="32"/>
      <c r="E382" s="93">
        <v>-90000.0</v>
      </c>
      <c r="F382" s="93"/>
      <c r="G382" s="93">
        <v>-5338.48</v>
      </c>
      <c r="H382" s="93">
        <v>21073.03</v>
      </c>
      <c r="I382" s="93">
        <v>9183.39</v>
      </c>
      <c r="J382" s="93">
        <v>-46974.81</v>
      </c>
      <c r="K382" s="32"/>
      <c r="L382" s="32"/>
      <c r="M382" s="32"/>
      <c r="N382" s="32"/>
      <c r="O382" s="93">
        <v>802858.0</v>
      </c>
      <c r="P382" s="91">
        <f>IFERROR(__xludf.DUMMYFUNCTION("IFERROR(sum(FILTER($D:$N,$C:$C = $C382,$A:$A &lt; $A382,$B:$B = 12)),0) + sum($D382:$N382)"),802858.12)</f>
        <v>802858.12</v>
      </c>
      <c r="Q382" s="92">
        <f t="shared" si="1"/>
        <v>-0.12</v>
      </c>
      <c r="R382" s="91">
        <f t="array" ref="R382">IFERROR(INDEX('Fund YTD Target Values'!$1:$1000, MATCH($C382,'Fund YTD Target Values'!$A:$A,0), MATCH($A382,'Fund YTD Target Values'!$1:$1,0)),0)</f>
        <v>798158.1733</v>
      </c>
      <c r="S382" s="91">
        <f>IFERROR(__xludf.DUMMYFUNCTION("IFERROR(sum(FILTER('Fund Investment Data'!$V:$V, 'Fund Investment Data'!$C:$C = $C382, 'Fund Investment Data'!$A:$A &lt; $A382)),0) + IFERROR(sum(FILTER('Fund Investment Data'!$V:$V, 'Fund Investment Data'!$C:$C = $C382, 'Fund Investment Data'!$A:$A = $A382,"&amp;" 'Fund Investment Data'!$B:$B &lt;= $B382)),0)"),758137.86)</f>
        <v>758137.86</v>
      </c>
      <c r="T382" s="93">
        <v>742866.0</v>
      </c>
      <c r="U382" s="32">
        <f t="shared" si="3"/>
        <v>15271.86</v>
      </c>
      <c r="V382" s="32">
        <f>IFERROR(__xludf.DUMMYFUNCTION("$D382 - IFERROR(FILTER($D:$D,$C:$C = $C382, $A:$A = $A382, $B:$B = $B382 - 1),0)"),0.0)</f>
        <v>0</v>
      </c>
      <c r="W382" s="93">
        <f>IFERROR(__xludf.DUMMYFUNCTION("$E382 - IFERROR(FILTER($E:$E,$C:$C = $C382, $A:$A = $A382, $B:$B = $B382 - 1),0)"),-90000.0)</f>
        <v>-90000</v>
      </c>
      <c r="X382" s="93"/>
      <c r="Y382" s="93"/>
      <c r="Z382" s="93">
        <v>0.0</v>
      </c>
      <c r="AA382" s="93">
        <v>0.0</v>
      </c>
      <c r="AB382" s="93">
        <v>0.0</v>
      </c>
      <c r="AC382" s="93"/>
      <c r="AD382" s="93">
        <v>0.0</v>
      </c>
      <c r="AE382" s="32">
        <f t="shared" si="2"/>
        <v>-90000</v>
      </c>
      <c r="AF382" s="93">
        <v>0.0</v>
      </c>
    </row>
    <row r="383">
      <c r="A383" s="86">
        <v>2015.0</v>
      </c>
      <c r="B383" s="87">
        <v>12.0</v>
      </c>
      <c r="C383" s="88" t="s">
        <v>29</v>
      </c>
      <c r="D383" s="32"/>
      <c r="E383" s="93">
        <v>-3000.0</v>
      </c>
      <c r="F383" s="93"/>
      <c r="G383" s="93">
        <v>-341.35</v>
      </c>
      <c r="H383" s="93">
        <v>1340.42</v>
      </c>
      <c r="I383" s="93">
        <v>387.15</v>
      </c>
      <c r="J383" s="93">
        <v>-2742.73</v>
      </c>
      <c r="K383" s="32"/>
      <c r="L383" s="32"/>
      <c r="M383" s="32"/>
      <c r="N383" s="32"/>
      <c r="O383" s="93">
        <v>53645.0</v>
      </c>
      <c r="P383" s="91">
        <f>IFERROR(__xludf.DUMMYFUNCTION("IFERROR(sum(FILTER($D:$N,$C:$C = $C383,$A:$A &lt; $A383,$B:$B = 12)),0) + sum($D383:$N383)"),53645.46999999993)</f>
        <v>53645.47</v>
      </c>
      <c r="Q383" s="92">
        <f t="shared" si="1"/>
        <v>-0.4699999999</v>
      </c>
      <c r="R383" s="91">
        <f t="array" ref="R383">IFERROR(INDEX('Fund YTD Target Values'!$1:$1000, MATCH($C383,'Fund YTD Target Values'!$A:$A,0), MATCH($A383,'Fund YTD Target Values'!$1:$1,0)),0)</f>
        <v>72730.93072</v>
      </c>
      <c r="S383" s="91">
        <f>IFERROR(__xludf.DUMMYFUNCTION("IFERROR(sum(FILTER('Fund Investment Data'!$V:$V, 'Fund Investment Data'!$C:$C = $C383, 'Fund Investment Data'!$A:$A &lt; $A383)),0) + IFERROR(sum(FILTER('Fund Investment Data'!$V:$V, 'Fund Investment Data'!$C:$C = $C383, 'Fund Investment Data'!$A:$A = $A383,"&amp;" 'Fund Investment Data'!$B:$B &lt;= $B383)),0)"),50000.0)</f>
        <v>50000</v>
      </c>
      <c r="T383" s="93">
        <v>50000.0</v>
      </c>
      <c r="U383" s="32">
        <f t="shared" si="3"/>
        <v>0</v>
      </c>
      <c r="V383" s="32">
        <f>IFERROR(__xludf.DUMMYFUNCTION("$D383 - IFERROR(FILTER($D:$D,$C:$C = $C383, $A:$A = $A383, $B:$B = $B383 - 1),0)"),0.0)</f>
        <v>0</v>
      </c>
      <c r="W383" s="93">
        <f>IFERROR(__xludf.DUMMYFUNCTION("$E383 - IFERROR(FILTER($E:$E,$C:$C = $C383, $A:$A = $A383, $B:$B = $B383 - 1),0)"),-3000.0)</f>
        <v>-3000</v>
      </c>
      <c r="X383" s="93"/>
      <c r="Y383" s="93"/>
      <c r="Z383" s="93">
        <v>0.0</v>
      </c>
      <c r="AA383" s="93">
        <v>0.0</v>
      </c>
      <c r="AB383" s="93">
        <v>0.0</v>
      </c>
      <c r="AC383" s="93"/>
      <c r="AD383" s="93">
        <v>0.0</v>
      </c>
      <c r="AE383" s="32">
        <f t="shared" si="2"/>
        <v>-3000</v>
      </c>
      <c r="AF383" s="93">
        <v>0.0</v>
      </c>
    </row>
    <row r="384">
      <c r="A384" s="86">
        <v>2015.0</v>
      </c>
      <c r="B384" s="87">
        <v>12.0</v>
      </c>
      <c r="C384" s="88" t="s">
        <v>38</v>
      </c>
      <c r="D384" s="32"/>
      <c r="E384" s="93">
        <v>-18230.0</v>
      </c>
      <c r="F384" s="93"/>
      <c r="G384" s="93">
        <v>-4414.88</v>
      </c>
      <c r="H384" s="93">
        <v>17233.82</v>
      </c>
      <c r="I384" s="32"/>
      <c r="J384" s="93">
        <v>-31936.85</v>
      </c>
      <c r="K384" s="32"/>
      <c r="L384" s="93">
        <v>-27.61</v>
      </c>
      <c r="M384" s="32"/>
      <c r="N384" s="32"/>
      <c r="O384" s="93">
        <v>695688.0</v>
      </c>
      <c r="P384" s="91">
        <f>IFERROR(__xludf.DUMMYFUNCTION("IFERROR(sum(FILTER($D:$N,$C:$C = $C384,$A:$A &lt; $A384,$B:$B = 12)),0) + sum($D384:$N384)"),695686.7999999998)</f>
        <v>695686.8</v>
      </c>
      <c r="Q384" s="92">
        <f t="shared" si="1"/>
        <v>1.2</v>
      </c>
      <c r="R384" s="91">
        <f t="array" ref="R384">IFERROR(INDEX('Fund YTD Target Values'!$1:$1000, MATCH($C384,'Fund YTD Target Values'!$A:$A,0), MATCH($A384,'Fund YTD Target Values'!$1:$1,0)),0)</f>
        <v>663084.0913</v>
      </c>
      <c r="S384" s="91">
        <f>IFERROR(__xludf.DUMMYFUNCTION("IFERROR(sum(FILTER('Fund Investment Data'!$V:$V, 'Fund Investment Data'!$C:$C = $C384, 'Fund Investment Data'!$A:$A &lt; $A384)),0) + IFERROR(sum(FILTER('Fund Investment Data'!$V:$V, 'Fund Investment Data'!$C:$C = $C384, 'Fund Investment Data'!$A:$A = $A384,"&amp;" 'Fund Investment Data'!$B:$B &lt;= $B384)),0)"),556601.64)</f>
        <v>556601.64</v>
      </c>
      <c r="T384" s="93">
        <v>558656.0</v>
      </c>
      <c r="U384" s="32">
        <f t="shared" si="3"/>
        <v>-2054.36</v>
      </c>
      <c r="V384" s="32">
        <f>IFERROR(__xludf.DUMMYFUNCTION("$D384 - IFERROR(FILTER($D:$D,$C:$C = $C384, $A:$A = $A384, $B:$B = $B384 - 1),0)"),0.0)</f>
        <v>0</v>
      </c>
      <c r="W384" s="93">
        <f>IFERROR(__xludf.DUMMYFUNCTION("$E384 - IFERROR(FILTER($E:$E,$C:$C = $C384, $A:$A = $A384, $B:$B = $B384 - 1),0)"),-18230.0)</f>
        <v>-18230</v>
      </c>
      <c r="X384" s="93"/>
      <c r="Y384" s="93"/>
      <c r="Z384" s="93">
        <v>0.0</v>
      </c>
      <c r="AA384" s="93">
        <v>0.0</v>
      </c>
      <c r="AB384" s="93">
        <v>0.0</v>
      </c>
      <c r="AC384" s="93"/>
      <c r="AD384" s="93">
        <v>0.0</v>
      </c>
      <c r="AE384" s="32">
        <f t="shared" si="2"/>
        <v>-18230</v>
      </c>
      <c r="AF384" s="93">
        <v>0.0</v>
      </c>
    </row>
    <row r="385">
      <c r="A385" s="86">
        <v>2015.0</v>
      </c>
      <c r="B385" s="87">
        <v>12.0</v>
      </c>
      <c r="C385" s="88" t="s">
        <v>30</v>
      </c>
      <c r="D385" s="32"/>
      <c r="E385" s="32"/>
      <c r="F385" s="93"/>
      <c r="G385" s="93">
        <v>-89.29</v>
      </c>
      <c r="H385" s="93">
        <v>340.56</v>
      </c>
      <c r="I385" s="32"/>
      <c r="J385" s="93">
        <v>-632.89</v>
      </c>
      <c r="K385" s="32"/>
      <c r="L385" s="32"/>
      <c r="M385" s="32"/>
      <c r="N385" s="32"/>
      <c r="O385" s="93">
        <v>14358.0</v>
      </c>
      <c r="P385" s="91">
        <f>IFERROR(__xludf.DUMMYFUNCTION("IFERROR(sum(FILTER($D:$N,$C:$C = $C385,$A:$A &lt; $A385,$B:$B = 12)),0) + sum($D385:$N385)"),14355.959999999988)</f>
        <v>14355.96</v>
      </c>
      <c r="Q385" s="92">
        <f t="shared" si="1"/>
        <v>2.04</v>
      </c>
      <c r="R385" s="91">
        <f t="array" ref="R385">IFERROR(INDEX('Fund YTD Target Values'!$1:$1000, MATCH($C385,'Fund YTD Target Values'!$A:$A,0), MATCH($A385,'Fund YTD Target Values'!$1:$1,0)),0)</f>
        <v>17447.06564</v>
      </c>
      <c r="S385" s="91">
        <f>IFERROR(__xludf.DUMMYFUNCTION("IFERROR(sum(FILTER('Fund Investment Data'!$V:$V, 'Fund Investment Data'!$C:$C = $C385, 'Fund Investment Data'!$A:$A &lt; $A385)),0) + IFERROR(sum(FILTER('Fund Investment Data'!$V:$V, 'Fund Investment Data'!$C:$C = $C385, 'Fund Investment Data'!$A:$A = $A385,"&amp;" 'Fund Investment Data'!$B:$B &lt;= $B385)),0)"),11540.75)</f>
        <v>11540.75</v>
      </c>
      <c r="T385" s="93">
        <v>10000.0</v>
      </c>
      <c r="U385" s="32">
        <f t="shared" si="3"/>
        <v>1540.75</v>
      </c>
      <c r="V385" s="32">
        <f>IFERROR(__xludf.DUMMYFUNCTION("$D385 - IFERROR(FILTER($D:$D,$C:$C = $C385, $A:$A = $A385, $B:$B = $B385 - 1),0)"),0.0)</f>
        <v>0</v>
      </c>
      <c r="W385" s="93">
        <f>IFERROR(__xludf.DUMMYFUNCTION("$E385 - IFERROR(FILTER($E:$E,$C:$C = $C385, $A:$A = $A385, $B:$B = $B385 - 1),0)"),0.0)</f>
        <v>0</v>
      </c>
      <c r="X385" s="93"/>
      <c r="Y385" s="93"/>
      <c r="Z385" s="93">
        <v>0.0</v>
      </c>
      <c r="AA385" s="93">
        <v>0.0</v>
      </c>
      <c r="AB385" s="93">
        <v>0.0</v>
      </c>
      <c r="AC385" s="93"/>
      <c r="AD385" s="93">
        <v>0.0</v>
      </c>
      <c r="AE385" s="32">
        <f t="shared" si="2"/>
        <v>0</v>
      </c>
      <c r="AF385" s="93">
        <v>0.0</v>
      </c>
    </row>
    <row r="386">
      <c r="A386" s="86">
        <v>2015.0</v>
      </c>
      <c r="B386" s="87">
        <v>12.0</v>
      </c>
      <c r="C386" s="88" t="s">
        <v>47</v>
      </c>
      <c r="D386" s="32"/>
      <c r="E386" s="93">
        <v>-75000.0</v>
      </c>
      <c r="F386" s="93"/>
      <c r="G386" s="93">
        <v>-8536.04</v>
      </c>
      <c r="H386" s="93">
        <v>33535.25</v>
      </c>
      <c r="I386" s="93">
        <v>13538.05</v>
      </c>
      <c r="J386" s="93">
        <v>-74741.91</v>
      </c>
      <c r="K386" s="32"/>
      <c r="L386" s="32"/>
      <c r="M386" s="32"/>
      <c r="N386" s="32"/>
      <c r="O386" s="93">
        <v>1332923.0</v>
      </c>
      <c r="P386" s="91">
        <f>IFERROR(__xludf.DUMMYFUNCTION("IFERROR(sum(FILTER($D:$N,$C:$C = $C386,$A:$A &lt; $A386,$B:$B = 12)),0) + sum($D386:$N386)"),1332922.1599999997)</f>
        <v>1332922.16</v>
      </c>
      <c r="Q386" s="92">
        <f t="shared" si="1"/>
        <v>0.8400000003</v>
      </c>
      <c r="R386" s="91">
        <f t="array" ref="R386">IFERROR(INDEX('Fund YTD Target Values'!$1:$1000, MATCH($C386,'Fund YTD Target Values'!$A:$A,0), MATCH($A386,'Fund YTD Target Values'!$1:$1,0)),0)</f>
        <v>1876874.898</v>
      </c>
      <c r="S386" s="91">
        <f>IFERROR(__xludf.DUMMYFUNCTION("IFERROR(sum(FILTER('Fund Investment Data'!$V:$V, 'Fund Investment Data'!$C:$C = $C386, 'Fund Investment Data'!$A:$A &lt; $A386)),0) + IFERROR(sum(FILTER('Fund Investment Data'!$V:$V, 'Fund Investment Data'!$C:$C = $C386, 'Fund Investment Data'!$A:$A = $A386,"&amp;" 'Fund Investment Data'!$B:$B &lt;= $B386)),0)"),1446367.46)</f>
        <v>1446367.46</v>
      </c>
      <c r="T386" s="93">
        <v>1348955.0</v>
      </c>
      <c r="U386" s="32">
        <f t="shared" si="3"/>
        <v>97412.46</v>
      </c>
      <c r="V386" s="32">
        <f>IFERROR(__xludf.DUMMYFUNCTION("$D386 - IFERROR(FILTER($D:$D,$C:$C = $C386, $A:$A = $A386, $B:$B = $B386 - 1),0)"),0.0)</f>
        <v>0</v>
      </c>
      <c r="W386" s="93">
        <f>IFERROR(__xludf.DUMMYFUNCTION("$E386 - IFERROR(FILTER($E:$E,$C:$C = $C386, $A:$A = $A386, $B:$B = $B386 - 1),0)"),-75000.0)</f>
        <v>-75000</v>
      </c>
      <c r="X386" s="93"/>
      <c r="Y386" s="93"/>
      <c r="Z386" s="93">
        <v>0.0</v>
      </c>
      <c r="AA386" s="93">
        <v>0.0</v>
      </c>
      <c r="AB386" s="93">
        <v>0.0</v>
      </c>
      <c r="AC386" s="93"/>
      <c r="AD386" s="93">
        <v>0.0</v>
      </c>
      <c r="AE386" s="32">
        <f t="shared" si="2"/>
        <v>-75000</v>
      </c>
      <c r="AF386" s="93">
        <v>0.0</v>
      </c>
    </row>
    <row r="387">
      <c r="A387" s="86">
        <v>2015.0</v>
      </c>
      <c r="B387" s="87">
        <v>12.0</v>
      </c>
      <c r="C387" s="88" t="s">
        <v>31</v>
      </c>
      <c r="D387" s="93"/>
      <c r="E387" s="93">
        <v>-12000.0</v>
      </c>
      <c r="F387" s="93">
        <v>500.0</v>
      </c>
      <c r="G387" s="93">
        <v>-1118.28</v>
      </c>
      <c r="H387" s="93">
        <v>4385.06</v>
      </c>
      <c r="I387" s="93">
        <v>637.96</v>
      </c>
      <c r="J387" s="93">
        <v>-8688.35</v>
      </c>
      <c r="K387" s="32"/>
      <c r="L387" s="32"/>
      <c r="M387" s="32"/>
      <c r="N387" s="32"/>
      <c r="O387" s="93">
        <v>173201.0</v>
      </c>
      <c r="P387" s="91">
        <f>IFERROR(__xludf.DUMMYFUNCTION("IFERROR(sum(FILTER($D:$N,$C:$C = $C387,$A:$A &lt; $A387,$B:$B = 12)),0) + sum($D387:$N387)"),173200.67000000004)</f>
        <v>173200.67</v>
      </c>
      <c r="Q387" s="92">
        <f t="shared" si="1"/>
        <v>0.33</v>
      </c>
      <c r="R387" s="91">
        <f t="array" ref="R387">IFERROR(INDEX('Fund YTD Target Values'!$1:$1000, MATCH($C387,'Fund YTD Target Values'!$A:$A,0), MATCH($A387,'Fund YTD Target Values'!$1:$1,0)),0)</f>
        <v>195800.234</v>
      </c>
      <c r="S387" s="91">
        <f>IFERROR(__xludf.DUMMYFUNCTION("IFERROR(sum(FILTER('Fund Investment Data'!$V:$V, 'Fund Investment Data'!$C:$C = $C387, 'Fund Investment Data'!$A:$A &lt; $A387)),0) + IFERROR(sum(FILTER('Fund Investment Data'!$V:$V, 'Fund Investment Data'!$C:$C = $C387, 'Fund Investment Data'!$A:$A = $A387,"&amp;" 'Fund Investment Data'!$B:$B &lt;= $B387)),0)"),155100.0)</f>
        <v>155100</v>
      </c>
      <c r="T387" s="93">
        <v>155100.0</v>
      </c>
      <c r="U387" s="32">
        <f t="shared" si="3"/>
        <v>0</v>
      </c>
      <c r="V387" s="32">
        <f>IFERROR(__xludf.DUMMYFUNCTION("$D387 - IFERROR(FILTER($D:$D,$C:$C = $C387, $A:$A = $A387, $B:$B = $B387 - 1),0)"),0.0)</f>
        <v>0</v>
      </c>
      <c r="W387" s="93">
        <f>IFERROR(__xludf.DUMMYFUNCTION("$E387 - IFERROR(FILTER($E:$E,$C:$C = $C387, $A:$A = $A387, $B:$B = $B387 - 1),0)"),-12000.0)</f>
        <v>-12000</v>
      </c>
      <c r="X387" s="93"/>
      <c r="Y387" s="93"/>
      <c r="Z387" s="93">
        <v>0.0</v>
      </c>
      <c r="AA387" s="93">
        <v>0.0</v>
      </c>
      <c r="AB387" s="93">
        <v>0.0</v>
      </c>
      <c r="AC387" s="93"/>
      <c r="AD387" s="93">
        <v>0.0</v>
      </c>
      <c r="AE387" s="32">
        <f t="shared" si="2"/>
        <v>-12000</v>
      </c>
      <c r="AF387" s="93">
        <v>0.0</v>
      </c>
    </row>
    <row r="388">
      <c r="A388" s="86">
        <v>2015.0</v>
      </c>
      <c r="B388" s="87">
        <v>12.0</v>
      </c>
      <c r="C388" s="88" t="s">
        <v>39</v>
      </c>
      <c r="D388" s="93">
        <v>15000.0</v>
      </c>
      <c r="E388" s="93">
        <v>-3000.0</v>
      </c>
      <c r="F388" s="93"/>
      <c r="G388" s="93">
        <v>-768.61</v>
      </c>
      <c r="H388" s="93">
        <v>2676.82</v>
      </c>
      <c r="I388" s="32"/>
      <c r="J388" s="93">
        <v>-5638.43</v>
      </c>
      <c r="K388" s="32"/>
      <c r="L388" s="32"/>
      <c r="M388" s="32"/>
      <c r="N388" s="32"/>
      <c r="O388" s="93">
        <v>130551.0</v>
      </c>
      <c r="P388" s="91">
        <f>IFERROR(__xludf.DUMMYFUNCTION("IFERROR(sum(FILTER($D:$N,$C:$C = $C388,$A:$A &lt; $A388,$B:$B = 12)),0) + sum($D388:$N388)"),130551.44)</f>
        <v>130551.44</v>
      </c>
      <c r="Q388" s="92">
        <f t="shared" si="1"/>
        <v>-0.44</v>
      </c>
      <c r="R388" s="91">
        <f t="array" ref="R388">IFERROR(INDEX('Fund YTD Target Values'!$1:$1000, MATCH($C388,'Fund YTD Target Values'!$A:$A,0), MATCH($A388,'Fund YTD Target Values'!$1:$1,0)),0)</f>
        <v>131031.2686</v>
      </c>
      <c r="S388" s="91">
        <f>IFERROR(__xludf.DUMMYFUNCTION("IFERROR(sum(FILTER('Fund Investment Data'!$V:$V, 'Fund Investment Data'!$C:$C = $C388, 'Fund Investment Data'!$A:$A &lt; $A388)),0) + IFERROR(sum(FILTER('Fund Investment Data'!$V:$V, 'Fund Investment Data'!$C:$C = $C388, 'Fund Investment Data'!$A:$A = $A388,"&amp;" 'Fund Investment Data'!$B:$B &lt;= $B388)),0)"),125000.0)</f>
        <v>125000</v>
      </c>
      <c r="T388" s="93">
        <v>125000.0</v>
      </c>
      <c r="U388" s="32">
        <f t="shared" si="3"/>
        <v>0</v>
      </c>
      <c r="V388" s="32">
        <f>IFERROR(__xludf.DUMMYFUNCTION("$D388 - IFERROR(FILTER($D:$D,$C:$C = $C388, $A:$A = $A388, $B:$B = $B388 - 1),0)"),15000.0)</f>
        <v>15000</v>
      </c>
      <c r="W388" s="93">
        <f>IFERROR(__xludf.DUMMYFUNCTION("$E388 - IFERROR(FILTER($E:$E,$C:$C = $C388, $A:$A = $A388, $B:$B = $B388 - 1),0)"),-3000.0)</f>
        <v>-3000</v>
      </c>
      <c r="X388" s="93"/>
      <c r="Y388" s="93"/>
      <c r="Z388" s="93">
        <v>0.0</v>
      </c>
      <c r="AA388" s="93">
        <v>0.0</v>
      </c>
      <c r="AB388" s="93">
        <v>0.0</v>
      </c>
      <c r="AC388" s="93"/>
      <c r="AD388" s="93">
        <v>0.0</v>
      </c>
      <c r="AE388" s="32">
        <f t="shared" si="2"/>
        <v>-3000</v>
      </c>
      <c r="AF388" s="93">
        <v>0.0</v>
      </c>
    </row>
    <row r="389">
      <c r="A389" s="86">
        <v>2015.0</v>
      </c>
      <c r="B389" s="87">
        <v>12.0</v>
      </c>
      <c r="C389" s="88" t="s">
        <v>50</v>
      </c>
      <c r="D389" s="93">
        <v>20000.0</v>
      </c>
      <c r="E389" s="93">
        <v>-4000.0</v>
      </c>
      <c r="F389" s="93"/>
      <c r="G389" s="93">
        <v>-981.59</v>
      </c>
      <c r="H389" s="93">
        <v>3802.88</v>
      </c>
      <c r="I389" s="93">
        <v>82.79</v>
      </c>
      <c r="J389" s="93">
        <v>-7045.0</v>
      </c>
      <c r="K389" s="32"/>
      <c r="L389" s="32"/>
      <c r="M389" s="32"/>
      <c r="N389" s="32"/>
      <c r="O389" s="93">
        <v>174450.0</v>
      </c>
      <c r="P389" s="91">
        <f>IFERROR(__xludf.DUMMYFUNCTION("IFERROR(sum(FILTER($D:$N,$C:$C = $C389,$A:$A &lt; $A389,$B:$B = 12)),0) + sum($D389:$N389)"),174449.39999999997)</f>
        <v>174449.4</v>
      </c>
      <c r="Q389" s="92">
        <f t="shared" si="1"/>
        <v>0.6</v>
      </c>
      <c r="R389" s="91">
        <f t="array" ref="R389">IFERROR(INDEX('Fund YTD Target Values'!$1:$1000, MATCH($C389,'Fund YTD Target Values'!$A:$A,0), MATCH($A389,'Fund YTD Target Values'!$1:$1,0)),0)</f>
        <v>185695.8323</v>
      </c>
      <c r="S389" s="91">
        <f>IFERROR(__xludf.DUMMYFUNCTION("IFERROR(sum(FILTER('Fund Investment Data'!$V:$V, 'Fund Investment Data'!$C:$C = $C389, 'Fund Investment Data'!$A:$A &lt; $A389)),0) + IFERROR(sum(FILTER('Fund Investment Data'!$V:$V, 'Fund Investment Data'!$C:$C = $C389, 'Fund Investment Data'!$A:$A = $A389,"&amp;" 'Fund Investment Data'!$B:$B &lt;= $B389)),0)"),165189.56)</f>
        <v>165189.56</v>
      </c>
      <c r="T389" s="93">
        <v>170241.0</v>
      </c>
      <c r="U389" s="32">
        <f t="shared" si="3"/>
        <v>-5051.44</v>
      </c>
      <c r="V389" s="32">
        <f>IFERROR(__xludf.DUMMYFUNCTION("$D389 - IFERROR(FILTER($D:$D,$C:$C = $C389, $A:$A = $A389, $B:$B = $B389 - 1),0)"),20000.0)</f>
        <v>20000</v>
      </c>
      <c r="W389" s="93">
        <f>IFERROR(__xludf.DUMMYFUNCTION("$E389 - IFERROR(FILTER($E:$E,$C:$C = $C389, $A:$A = $A389, $B:$B = $B389 - 1),0)"),-4000.0)</f>
        <v>-4000</v>
      </c>
      <c r="X389" s="93"/>
      <c r="Y389" s="93"/>
      <c r="Z389" s="93">
        <v>0.0</v>
      </c>
      <c r="AA389" s="93">
        <v>0.0</v>
      </c>
      <c r="AB389" s="93">
        <v>0.0</v>
      </c>
      <c r="AC389" s="93"/>
      <c r="AD389" s="93">
        <v>0.0</v>
      </c>
      <c r="AE389" s="32">
        <f t="shared" si="2"/>
        <v>-4000</v>
      </c>
      <c r="AF389" s="93">
        <v>0.0</v>
      </c>
    </row>
    <row r="390">
      <c r="A390" s="86">
        <v>2015.0</v>
      </c>
      <c r="B390" s="87">
        <v>12.0</v>
      </c>
      <c r="C390" s="88" t="s">
        <v>32</v>
      </c>
      <c r="D390" s="32"/>
      <c r="E390" s="32"/>
      <c r="F390" s="93"/>
      <c r="G390" s="93">
        <v>-273.93</v>
      </c>
      <c r="H390" s="93">
        <v>1062.85</v>
      </c>
      <c r="I390" s="32"/>
      <c r="J390" s="93">
        <v>-1978.56</v>
      </c>
      <c r="K390" s="32"/>
      <c r="L390" s="32"/>
      <c r="M390" s="32"/>
      <c r="N390" s="32"/>
      <c r="O390" s="93">
        <v>44014.0</v>
      </c>
      <c r="P390" s="91">
        <f>IFERROR(__xludf.DUMMYFUNCTION("IFERROR(sum(FILTER($D:$N,$C:$C = $C390,$A:$A &lt; $A390,$B:$B = 12)),0) + sum($D390:$N390)"),44013.43000000002)</f>
        <v>44013.43</v>
      </c>
      <c r="Q390" s="92">
        <f t="shared" si="1"/>
        <v>0.57</v>
      </c>
      <c r="R390" s="91">
        <f t="array" ref="R390">IFERROR(INDEX('Fund YTD Target Values'!$1:$1000, MATCH($C390,'Fund YTD Target Values'!$A:$A,0), MATCH($A390,'Fund YTD Target Values'!$1:$1,0)),0)</f>
        <v>74734.93486</v>
      </c>
      <c r="S390" s="91">
        <f>IFERROR(__xludf.DUMMYFUNCTION("IFERROR(sum(FILTER('Fund Investment Data'!$V:$V, 'Fund Investment Data'!$C:$C = $C390, 'Fund Investment Data'!$A:$A &lt; $A390)),0) + IFERROR(sum(FILTER('Fund Investment Data'!$V:$V, 'Fund Investment Data'!$C:$C = $C390, 'Fund Investment Data'!$A:$A = $A390,"&amp;" 'Fund Investment Data'!$B:$B &lt;= $B390)),0)"),49449.04)</f>
        <v>49449.04</v>
      </c>
      <c r="T390" s="93">
        <v>39268.0</v>
      </c>
      <c r="U390" s="32">
        <f t="shared" si="3"/>
        <v>10181.04</v>
      </c>
      <c r="V390" s="32">
        <f>IFERROR(__xludf.DUMMYFUNCTION("$D390 - IFERROR(FILTER($D:$D,$C:$C = $C390, $A:$A = $A390, $B:$B = $B390 - 1),0)"),0.0)</f>
        <v>0</v>
      </c>
      <c r="W390" s="93">
        <f>IFERROR(__xludf.DUMMYFUNCTION("$E390 - IFERROR(FILTER($E:$E,$C:$C = $C390, $A:$A = $A390, $B:$B = $B390 - 1),0)"),0.0)</f>
        <v>0</v>
      </c>
      <c r="X390" s="93"/>
      <c r="Y390" s="93"/>
      <c r="Z390" s="93">
        <v>0.0</v>
      </c>
      <c r="AA390" s="93">
        <v>0.0</v>
      </c>
      <c r="AB390" s="93">
        <v>0.0</v>
      </c>
      <c r="AC390" s="93"/>
      <c r="AD390" s="93">
        <v>0.0</v>
      </c>
      <c r="AE390" s="32">
        <f t="shared" si="2"/>
        <v>0</v>
      </c>
      <c r="AF390" s="93">
        <v>0.0</v>
      </c>
    </row>
    <row r="391">
      <c r="A391" s="86">
        <v>2015.0</v>
      </c>
      <c r="B391" s="87">
        <v>12.0</v>
      </c>
      <c r="C391" s="88" t="s">
        <v>40</v>
      </c>
      <c r="D391" s="32"/>
      <c r="E391" s="93">
        <v>-5000.0</v>
      </c>
      <c r="F391" s="93"/>
      <c r="G391" s="93">
        <v>-901.27</v>
      </c>
      <c r="H391" s="93">
        <v>3522.83</v>
      </c>
      <c r="I391" s="93">
        <v>120.95</v>
      </c>
      <c r="J391" s="93">
        <v>-6561.29</v>
      </c>
      <c r="K391" s="32"/>
      <c r="L391" s="32"/>
      <c r="M391" s="32"/>
      <c r="N391" s="32"/>
      <c r="O391" s="93">
        <v>142339.0</v>
      </c>
      <c r="P391" s="91">
        <f>IFERROR(__xludf.DUMMYFUNCTION("IFERROR(sum(FILTER($D:$N,$C:$C = $C391,$A:$A &lt; $A391,$B:$B = 12)),0) + sum($D391:$N391)"),142338.52)</f>
        <v>142338.52</v>
      </c>
      <c r="Q391" s="92">
        <f t="shared" si="1"/>
        <v>0.48</v>
      </c>
      <c r="R391" s="91">
        <f t="array" ref="R391">IFERROR(INDEX('Fund YTD Target Values'!$1:$1000, MATCH($C391,'Fund YTD Target Values'!$A:$A,0), MATCH($A391,'Fund YTD Target Values'!$1:$1,0)),0)</f>
        <v>152305.9597</v>
      </c>
      <c r="S391" s="91">
        <f>IFERROR(__xludf.DUMMYFUNCTION("IFERROR(sum(FILTER('Fund Investment Data'!$V:$V, 'Fund Investment Data'!$C:$C = $C391, 'Fund Investment Data'!$A:$A &lt; $A391)),0) + IFERROR(sum(FILTER('Fund Investment Data'!$V:$V, 'Fund Investment Data'!$C:$C = $C391, 'Fund Investment Data'!$A:$A = $A391,"&amp;" 'Fund Investment Data'!$B:$B &lt;= $B391)),0)"),129703.74)</f>
        <v>129703.74</v>
      </c>
      <c r="T391" s="93">
        <v>129723.0</v>
      </c>
      <c r="U391" s="32">
        <f t="shared" si="3"/>
        <v>-19.26</v>
      </c>
      <c r="V391" s="32">
        <f>IFERROR(__xludf.DUMMYFUNCTION("$D391 - IFERROR(FILTER($D:$D,$C:$C = $C391, $A:$A = $A391, $B:$B = $B391 - 1),0)"),0.0)</f>
        <v>0</v>
      </c>
      <c r="W391" s="93">
        <f>IFERROR(__xludf.DUMMYFUNCTION("$E391 - IFERROR(FILTER($E:$E,$C:$C = $C391, $A:$A = $A391, $B:$B = $B391 - 1),0)"),-5000.0)</f>
        <v>-5000</v>
      </c>
      <c r="X391" s="93"/>
      <c r="Y391" s="93"/>
      <c r="Z391" s="93">
        <v>0.0</v>
      </c>
      <c r="AA391" s="93">
        <v>0.0</v>
      </c>
      <c r="AB391" s="93">
        <v>0.0</v>
      </c>
      <c r="AC391" s="93"/>
      <c r="AD391" s="93">
        <v>0.0</v>
      </c>
      <c r="AE391" s="32">
        <f t="shared" si="2"/>
        <v>-5000</v>
      </c>
      <c r="AF391" s="93">
        <v>0.0</v>
      </c>
    </row>
    <row r="392">
      <c r="A392" s="86">
        <v>2015.0</v>
      </c>
      <c r="B392" s="87">
        <v>12.0</v>
      </c>
      <c r="C392" s="88" t="s">
        <v>51</v>
      </c>
      <c r="D392" s="93">
        <v>2500.0</v>
      </c>
      <c r="E392" s="32"/>
      <c r="F392" s="93"/>
      <c r="G392" s="93">
        <v>-2527.38</v>
      </c>
      <c r="H392" s="93">
        <v>9528.5</v>
      </c>
      <c r="I392" s="32"/>
      <c r="J392" s="93">
        <v>-17689.91</v>
      </c>
      <c r="K392" s="32"/>
      <c r="L392" s="32"/>
      <c r="M392" s="32"/>
      <c r="N392" s="32"/>
      <c r="O392" s="93">
        <v>408611.0</v>
      </c>
      <c r="P392" s="91">
        <f>IFERROR(__xludf.DUMMYFUNCTION("IFERROR(sum(FILTER($D:$N,$C:$C = $C392,$A:$A &lt; $A392,$B:$B = 12)),0) + sum($D392:$N392)"),408611.28)</f>
        <v>408611.28</v>
      </c>
      <c r="Q392" s="92">
        <f t="shared" si="1"/>
        <v>-0.28</v>
      </c>
      <c r="R392" s="91">
        <f t="array" ref="R392">IFERROR(INDEX('Fund YTD Target Values'!$1:$1000, MATCH($C392,'Fund YTD Target Values'!$A:$A,0), MATCH($A392,'Fund YTD Target Values'!$1:$1,0)),0)</f>
        <v>417695.4572</v>
      </c>
      <c r="S392" s="91">
        <f>IFERROR(__xludf.DUMMYFUNCTION("IFERROR(sum(FILTER('Fund Investment Data'!$V:$V, 'Fund Investment Data'!$C:$C = $C392, 'Fund Investment Data'!$A:$A &lt; $A392)),0) + IFERROR(sum(FILTER('Fund Investment Data'!$V:$V, 'Fund Investment Data'!$C:$C = $C392, 'Fund Investment Data'!$A:$A = $A392,"&amp;" 'Fund Investment Data'!$B:$B &lt;= $B392)),0)"),410623.55)</f>
        <v>410623.55</v>
      </c>
      <c r="T392" s="93">
        <v>411140.0</v>
      </c>
      <c r="U392" s="32">
        <f t="shared" si="3"/>
        <v>-516.45</v>
      </c>
      <c r="V392" s="32">
        <f>IFERROR(__xludf.DUMMYFUNCTION("$D392 - IFERROR(FILTER($D:$D,$C:$C = $C392, $A:$A = $A392, $B:$B = $B392 - 1),0)"),2500.0)</f>
        <v>2500</v>
      </c>
      <c r="W392" s="93">
        <f>IFERROR(__xludf.DUMMYFUNCTION("$E392 - IFERROR(FILTER($E:$E,$C:$C = $C392, $A:$A = $A392, $B:$B = $B392 - 1),0)"),0.0)</f>
        <v>0</v>
      </c>
      <c r="X392" s="93"/>
      <c r="Y392" s="93"/>
      <c r="Z392" s="93">
        <v>0.0</v>
      </c>
      <c r="AA392" s="93">
        <v>0.0</v>
      </c>
      <c r="AB392" s="93">
        <v>0.0</v>
      </c>
      <c r="AC392" s="93"/>
      <c r="AD392" s="93">
        <v>0.0</v>
      </c>
      <c r="AE392" s="32">
        <f t="shared" si="2"/>
        <v>0</v>
      </c>
      <c r="AF392" s="93">
        <v>0.0</v>
      </c>
    </row>
    <row r="393">
      <c r="A393" s="86">
        <v>2015.0</v>
      </c>
      <c r="B393" s="87">
        <v>12.0</v>
      </c>
      <c r="C393" s="88" t="s">
        <v>48</v>
      </c>
      <c r="D393" s="32"/>
      <c r="E393" s="93">
        <v>-65000.0</v>
      </c>
      <c r="F393" s="93"/>
      <c r="G393" s="93">
        <v>-7326.14</v>
      </c>
      <c r="H393" s="93">
        <v>28785.36</v>
      </c>
      <c r="I393" s="93">
        <v>11251.61</v>
      </c>
      <c r="J393" s="93">
        <v>-63355.39</v>
      </c>
      <c r="K393" s="32"/>
      <c r="L393" s="32"/>
      <c r="M393" s="32"/>
      <c r="N393" s="32"/>
      <c r="O393" s="93">
        <v>1144903.0</v>
      </c>
      <c r="P393" s="91">
        <f>IFERROR(__xludf.DUMMYFUNCTION("IFERROR(sum(FILTER($D:$N,$C:$C = $C393,$A:$A &lt; $A393,$B:$B = 12)),0) + sum($D393:$N393)"),1144901.5799999994)</f>
        <v>1144901.58</v>
      </c>
      <c r="Q393" s="92">
        <f t="shared" si="1"/>
        <v>1.420000001</v>
      </c>
      <c r="R393" s="91">
        <f t="array" ref="R393">IFERROR(INDEX('Fund YTD Target Values'!$1:$1000, MATCH($C393,'Fund YTD Target Values'!$A:$A,0), MATCH($A393,'Fund YTD Target Values'!$1:$1,0)),0)</f>
        <v>1789839.81</v>
      </c>
      <c r="S393" s="91">
        <f>IFERROR(__xludf.DUMMYFUNCTION("IFERROR(sum(FILTER('Fund Investment Data'!$V:$V, 'Fund Investment Data'!$C:$C = $C393, 'Fund Investment Data'!$A:$A &lt; $A393)),0) + IFERROR(sum(FILTER('Fund Investment Data'!$V:$V, 'Fund Investment Data'!$C:$C = $C393, 'Fund Investment Data'!$A:$A = $A393,"&amp;" 'Fund Investment Data'!$B:$B &lt;= $B393)),0)"),1183929.39)</f>
        <v>1183929.39</v>
      </c>
      <c r="T393" s="93">
        <v>1140040.0</v>
      </c>
      <c r="U393" s="32">
        <f t="shared" si="3"/>
        <v>43889.39</v>
      </c>
      <c r="V393" s="32">
        <f>IFERROR(__xludf.DUMMYFUNCTION("$D393 - IFERROR(FILTER($D:$D,$C:$C = $C393, $A:$A = $A393, $B:$B = $B393 - 1),0)"),0.0)</f>
        <v>0</v>
      </c>
      <c r="W393" s="93">
        <f>IFERROR(__xludf.DUMMYFUNCTION("$E393 - IFERROR(FILTER($E:$E,$C:$C = $C393, $A:$A = $A393, $B:$B = $B393 - 1),0)"),-65000.0)</f>
        <v>-65000</v>
      </c>
      <c r="X393" s="93"/>
      <c r="Y393" s="93"/>
      <c r="Z393" s="93">
        <v>0.0</v>
      </c>
      <c r="AA393" s="93">
        <v>0.0</v>
      </c>
      <c r="AB393" s="93">
        <v>0.0</v>
      </c>
      <c r="AC393" s="93"/>
      <c r="AD393" s="93">
        <v>0.0</v>
      </c>
      <c r="AE393" s="32">
        <f t="shared" si="2"/>
        <v>-65000</v>
      </c>
      <c r="AF393" s="93">
        <v>0.0</v>
      </c>
    </row>
    <row r="394">
      <c r="A394" s="86">
        <v>2015.0</v>
      </c>
      <c r="B394" s="87">
        <v>12.0</v>
      </c>
      <c r="C394" s="88" t="s">
        <v>49</v>
      </c>
      <c r="D394" s="32"/>
      <c r="E394" s="93">
        <v>-30000.0</v>
      </c>
      <c r="F394" s="93"/>
      <c r="G394" s="93">
        <v>-3128.54</v>
      </c>
      <c r="H394" s="93">
        <v>12300.8</v>
      </c>
      <c r="I394" s="93">
        <v>5833.12</v>
      </c>
      <c r="J394" s="93">
        <v>-27898.55</v>
      </c>
      <c r="K394" s="32"/>
      <c r="L394" s="32"/>
      <c r="M394" s="32"/>
      <c r="N394" s="32"/>
      <c r="O394" s="93">
        <v>487970.0</v>
      </c>
      <c r="P394" s="91">
        <f>IFERROR(__xludf.DUMMYFUNCTION("IFERROR(sum(FILTER($D:$N,$C:$C = $C394,$A:$A &lt; $A394,$B:$B = 12)),0) + sum($D394:$N394)"),487969.9299999999)</f>
        <v>487969.93</v>
      </c>
      <c r="Q394" s="92">
        <f t="shared" si="1"/>
        <v>0.07000000012</v>
      </c>
      <c r="R394" s="91">
        <f t="array" ref="R394">IFERROR(INDEX('Fund YTD Target Values'!$1:$1000, MATCH($C394,'Fund YTD Target Values'!$A:$A,0), MATCH($A394,'Fund YTD Target Values'!$1:$1,0)),0)</f>
        <v>662015.9044</v>
      </c>
      <c r="S394" s="91">
        <f>IFERROR(__xludf.DUMMYFUNCTION("IFERROR(sum(FILTER('Fund Investment Data'!$V:$V, 'Fund Investment Data'!$C:$C = $C394, 'Fund Investment Data'!$A:$A &lt; $A394)),0) + IFERROR(sum(FILTER('Fund Investment Data'!$V:$V, 'Fund Investment Data'!$C:$C = $C394, 'Fund Investment Data'!$A:$A = $A394,"&amp;" 'Fund Investment Data'!$B:$B &lt;= $B394)),0)"),500000.0)</f>
        <v>500000</v>
      </c>
      <c r="T394" s="93">
        <v>500000.0</v>
      </c>
      <c r="U394" s="32">
        <f t="shared" si="3"/>
        <v>0</v>
      </c>
      <c r="V394" s="32">
        <f>IFERROR(__xludf.DUMMYFUNCTION("$D394 - IFERROR(FILTER($D:$D,$C:$C = $C394, $A:$A = $A394, $B:$B = $B394 - 1),0)"),0.0)</f>
        <v>0</v>
      </c>
      <c r="W394" s="93">
        <f>IFERROR(__xludf.DUMMYFUNCTION("$E394 - IFERROR(FILTER($E:$E,$C:$C = $C394, $A:$A = $A394, $B:$B = $B394 - 1),0)"),-30000.0)</f>
        <v>-30000</v>
      </c>
      <c r="X394" s="93"/>
      <c r="Y394" s="93"/>
      <c r="Z394" s="93">
        <v>0.0</v>
      </c>
      <c r="AA394" s="93">
        <v>0.0</v>
      </c>
      <c r="AB394" s="93">
        <v>0.0</v>
      </c>
      <c r="AC394" s="93"/>
      <c r="AD394" s="93">
        <v>0.0</v>
      </c>
      <c r="AE394" s="32">
        <f t="shared" si="2"/>
        <v>-30000</v>
      </c>
      <c r="AF394" s="93">
        <v>0.0</v>
      </c>
    </row>
    <row r="395">
      <c r="A395" s="86">
        <v>2015.0</v>
      </c>
      <c r="B395" s="87">
        <v>12.0</v>
      </c>
      <c r="C395" s="88" t="s">
        <v>41</v>
      </c>
      <c r="D395" s="32"/>
      <c r="E395" s="93">
        <v>-27815.0</v>
      </c>
      <c r="F395" s="93"/>
      <c r="G395" s="93">
        <v>-3657.85</v>
      </c>
      <c r="H395" s="93">
        <v>14281.26</v>
      </c>
      <c r="I395" s="93">
        <v>118.25</v>
      </c>
      <c r="J395" s="93">
        <v>-26298.24</v>
      </c>
      <c r="K395" s="32"/>
      <c r="L395" s="32"/>
      <c r="M395" s="32"/>
      <c r="N395" s="32"/>
      <c r="O395" s="93">
        <v>566487.0</v>
      </c>
      <c r="P395" s="91">
        <f>IFERROR(__xludf.DUMMYFUNCTION("IFERROR(sum(FILTER($D:$N,$C:$C = $C395,$A:$A &lt; $A395,$B:$B = 12)),0) + sum($D395:$N395)"),566488.04)</f>
        <v>566488.04</v>
      </c>
      <c r="Q395" s="92">
        <f t="shared" si="1"/>
        <v>-1.04</v>
      </c>
      <c r="R395" s="91">
        <f t="array" ref="R395">IFERROR(INDEX('Fund YTD Target Values'!$1:$1000, MATCH($C395,'Fund YTD Target Values'!$A:$A,0), MATCH($A395,'Fund YTD Target Values'!$1:$1,0)),0)</f>
        <v>554966.734</v>
      </c>
      <c r="S395" s="91">
        <f>IFERROR(__xludf.DUMMYFUNCTION("IFERROR(sum(FILTER('Fund Investment Data'!$V:$V, 'Fund Investment Data'!$C:$C = $C395, 'Fund Investment Data'!$A:$A &lt; $A395)),0) + IFERROR(sum(FILTER('Fund Investment Data'!$V:$V, 'Fund Investment Data'!$C:$C = $C395, 'Fund Investment Data'!$A:$A = $A395,"&amp;" 'Fund Investment Data'!$B:$B &lt;= $B395)),0)"),433755.86)</f>
        <v>433755.86</v>
      </c>
      <c r="T395" s="93">
        <v>434291.0</v>
      </c>
      <c r="U395" s="32">
        <f t="shared" si="3"/>
        <v>-535.14</v>
      </c>
      <c r="V395" s="32">
        <f>IFERROR(__xludf.DUMMYFUNCTION("$D395 - IFERROR(FILTER($D:$D,$C:$C = $C395, $A:$A = $A395, $B:$B = $B395 - 1),0)"),0.0)</f>
        <v>0</v>
      </c>
      <c r="W395" s="93">
        <f>IFERROR(__xludf.DUMMYFUNCTION("$E395 - IFERROR(FILTER($E:$E,$C:$C = $C395, $A:$A = $A395, $B:$B = $B395 - 1),0)"),-27815.0)</f>
        <v>-27815</v>
      </c>
      <c r="X395" s="93"/>
      <c r="Y395" s="93"/>
      <c r="Z395" s="93">
        <v>0.0</v>
      </c>
      <c r="AA395" s="93">
        <v>0.0</v>
      </c>
      <c r="AB395" s="93">
        <v>0.0</v>
      </c>
      <c r="AC395" s="93"/>
      <c r="AD395" s="93">
        <v>0.0</v>
      </c>
      <c r="AE395" s="32">
        <f t="shared" si="2"/>
        <v>-27815</v>
      </c>
      <c r="AF395" s="93">
        <v>0.0</v>
      </c>
    </row>
    <row r="396">
      <c r="A396" s="86">
        <v>2015.0</v>
      </c>
      <c r="B396" s="87">
        <v>12.0</v>
      </c>
      <c r="C396" s="88" t="s">
        <v>25</v>
      </c>
      <c r="D396" s="32"/>
      <c r="E396" s="93">
        <v>-5000.0</v>
      </c>
      <c r="F396" s="93"/>
      <c r="G396" s="93">
        <v>-591.85</v>
      </c>
      <c r="H396" s="93">
        <v>2313.92</v>
      </c>
      <c r="I396" s="93">
        <v>76.25</v>
      </c>
      <c r="J396" s="93">
        <v>-4243.6</v>
      </c>
      <c r="K396" s="32"/>
      <c r="L396" s="32"/>
      <c r="M396" s="32"/>
      <c r="N396" s="32"/>
      <c r="O396" s="93">
        <v>92646.0</v>
      </c>
      <c r="P396" s="91">
        <f>IFERROR(__xludf.DUMMYFUNCTION("IFERROR(sum(FILTER($D:$N,$C:$C = $C396,$A:$A &lt; $A396,$B:$B = 12)),0) + sum($D396:$N396)"),92646.18000000001)</f>
        <v>92646.18</v>
      </c>
      <c r="Q396" s="92">
        <f t="shared" si="1"/>
        <v>-0.18</v>
      </c>
      <c r="R396" s="91">
        <f t="array" ref="R396">IFERROR(INDEX('Fund YTD Target Values'!$1:$1000, MATCH($C396,'Fund YTD Target Values'!$A:$A,0), MATCH($A396,'Fund YTD Target Values'!$1:$1,0)),0)</f>
        <v>103047.4388</v>
      </c>
      <c r="S396" s="91">
        <f>IFERROR(__xludf.DUMMYFUNCTION("IFERROR(sum(FILTER('Fund Investment Data'!$V:$V, 'Fund Investment Data'!$C:$C = $C396, 'Fund Investment Data'!$A:$A &lt; $A396)),0) + IFERROR(sum(FILTER('Fund Investment Data'!$V:$V, 'Fund Investment Data'!$C:$C = $C396, 'Fund Investment Data'!$A:$A = $A396,"&amp;" 'Fund Investment Data'!$B:$B &lt;= $B396)),0)"),81000.0)</f>
        <v>81000</v>
      </c>
      <c r="T396" s="93">
        <v>81000.0</v>
      </c>
      <c r="U396" s="32">
        <f t="shared" si="3"/>
        <v>0</v>
      </c>
      <c r="V396" s="32">
        <f>IFERROR(__xludf.DUMMYFUNCTION("$D396 - IFERROR(FILTER($D:$D,$C:$C = $C396, $A:$A = $A396, $B:$B = $B396 - 1),0)"),0.0)</f>
        <v>0</v>
      </c>
      <c r="W396" s="93">
        <f>IFERROR(__xludf.DUMMYFUNCTION("$E396 - IFERROR(FILTER($E:$E,$C:$C = $C396, $A:$A = $A396, $B:$B = $B396 - 1),0)"),-5000.0)</f>
        <v>-5000</v>
      </c>
      <c r="X396" s="93"/>
      <c r="Y396" s="93"/>
      <c r="Z396" s="93">
        <v>0.0</v>
      </c>
      <c r="AA396" s="93">
        <v>0.0</v>
      </c>
      <c r="AB396" s="93">
        <v>0.0</v>
      </c>
      <c r="AC396" s="93"/>
      <c r="AD396" s="93">
        <v>0.0</v>
      </c>
      <c r="AE396" s="32">
        <f t="shared" si="2"/>
        <v>-5000</v>
      </c>
      <c r="AF396" s="93">
        <v>0.0</v>
      </c>
    </row>
    <row r="397">
      <c r="A397" s="86">
        <v>2015.0</v>
      </c>
      <c r="B397" s="87">
        <v>12.0</v>
      </c>
      <c r="C397" s="88" t="s">
        <v>42</v>
      </c>
      <c r="D397" s="32"/>
      <c r="E397" s="93">
        <v>-1625.0</v>
      </c>
      <c r="F397" s="93"/>
      <c r="G397" s="93">
        <v>-1574.3</v>
      </c>
      <c r="H397" s="93">
        <v>6044.55</v>
      </c>
      <c r="I397" s="32"/>
      <c r="J397" s="93">
        <v>-11240.86</v>
      </c>
      <c r="K397" s="32"/>
      <c r="L397" s="32"/>
      <c r="M397" s="32"/>
      <c r="N397" s="32"/>
      <c r="O397" s="93">
        <v>252241.0</v>
      </c>
      <c r="P397" s="91">
        <f>IFERROR(__xludf.DUMMYFUNCTION("IFERROR(sum(FILTER($D:$N,$C:$C = $C397,$A:$A &lt; $A397,$B:$B = 12)),0) + sum($D397:$N397)"),252240.04000000004)</f>
        <v>252240.04</v>
      </c>
      <c r="Q397" s="92">
        <f t="shared" si="1"/>
        <v>0.96</v>
      </c>
      <c r="R397" s="91">
        <f t="array" ref="R397">IFERROR(INDEX('Fund YTD Target Values'!$1:$1000, MATCH($C397,'Fund YTD Target Values'!$A:$A,0), MATCH($A397,'Fund YTD Target Values'!$1:$1,0)),0)</f>
        <v>226704.5306</v>
      </c>
      <c r="S397" s="91">
        <f>IFERROR(__xludf.DUMMYFUNCTION("IFERROR(sum(FILTER('Fund Investment Data'!$V:$V, 'Fund Investment Data'!$C:$C = $C397, 'Fund Investment Data'!$A:$A &lt; $A397)),0) + IFERROR(sum(FILTER('Fund Investment Data'!$V:$V, 'Fund Investment Data'!$C:$C = $C397, 'Fund Investment Data'!$A:$A = $A397,"&amp;" 'Fund Investment Data'!$B:$B &lt;= $B397)),0)"),194469.0)</f>
        <v>194469</v>
      </c>
      <c r="T397" s="93">
        <v>194469.0</v>
      </c>
      <c r="U397" s="32">
        <f t="shared" si="3"/>
        <v>0</v>
      </c>
      <c r="V397" s="32">
        <f>IFERROR(__xludf.DUMMYFUNCTION("$D397 - IFERROR(FILTER($D:$D,$C:$C = $C397, $A:$A = $A397, $B:$B = $B397 - 1),0)"),0.0)</f>
        <v>0</v>
      </c>
      <c r="W397" s="93">
        <f>IFERROR(__xludf.DUMMYFUNCTION("$E397 - IFERROR(FILTER($E:$E,$C:$C = $C397, $A:$A = $A397, $B:$B = $B397 - 1),0)"),-1625.0)</f>
        <v>-1625</v>
      </c>
      <c r="X397" s="93"/>
      <c r="Y397" s="93"/>
      <c r="Z397" s="93">
        <v>0.0</v>
      </c>
      <c r="AA397" s="93">
        <v>0.0</v>
      </c>
      <c r="AB397" s="93">
        <v>0.0</v>
      </c>
      <c r="AC397" s="93"/>
      <c r="AD397" s="93">
        <v>0.0</v>
      </c>
      <c r="AE397" s="32">
        <f t="shared" si="2"/>
        <v>-1625</v>
      </c>
      <c r="AF397" s="93">
        <v>0.0</v>
      </c>
    </row>
    <row r="398">
      <c r="A398" s="86">
        <v>2015.0</v>
      </c>
      <c r="B398" s="87">
        <v>12.0</v>
      </c>
      <c r="C398" s="88" t="s">
        <v>43</v>
      </c>
      <c r="D398" s="32"/>
      <c r="E398" s="93">
        <v>-2000.0</v>
      </c>
      <c r="F398" s="93"/>
      <c r="G398" s="93">
        <v>-703.43</v>
      </c>
      <c r="H398" s="93">
        <v>2726.83</v>
      </c>
      <c r="I398" s="32"/>
      <c r="J398" s="93">
        <v>-5075.32</v>
      </c>
      <c r="K398" s="32"/>
      <c r="L398" s="32"/>
      <c r="M398" s="32"/>
      <c r="N398" s="32"/>
      <c r="O398" s="93">
        <v>112030.0</v>
      </c>
      <c r="P398" s="91">
        <f>IFERROR(__xludf.DUMMYFUNCTION("IFERROR(sum(FILTER($D:$N,$C:$C = $C398,$A:$A &lt; $A398,$B:$B = 12)),0) + sum($D398:$N398)"),112029.55000000002)</f>
        <v>112029.55</v>
      </c>
      <c r="Q398" s="92">
        <f t="shared" si="1"/>
        <v>0.45</v>
      </c>
      <c r="R398" s="91">
        <f t="array" ref="R398">IFERROR(INDEX('Fund YTD Target Values'!$1:$1000, MATCH($C398,'Fund YTD Target Values'!$A:$A,0), MATCH($A398,'Fund YTD Target Values'!$1:$1,0)),0)</f>
        <v>123361.305</v>
      </c>
      <c r="S398" s="91">
        <f>IFERROR(__xludf.DUMMYFUNCTION("IFERROR(sum(FILTER('Fund Investment Data'!$V:$V, 'Fund Investment Data'!$C:$C = $C398, 'Fund Investment Data'!$A:$A &lt; $A398)),0) + IFERROR(sum(FILTER('Fund Investment Data'!$V:$V, 'Fund Investment Data'!$C:$C = $C398, 'Fund Investment Data'!$A:$A = $A398,"&amp;" 'Fund Investment Data'!$B:$B &lt;= $B398)),0)"),100000.0)</f>
        <v>100000</v>
      </c>
      <c r="T398" s="93">
        <v>100000.0</v>
      </c>
      <c r="U398" s="32">
        <f t="shared" si="3"/>
        <v>0</v>
      </c>
      <c r="V398" s="32">
        <f>IFERROR(__xludf.DUMMYFUNCTION("$D398 - IFERROR(FILTER($D:$D,$C:$C = $C398, $A:$A = $A398, $B:$B = $B398 - 1),0)"),0.0)</f>
        <v>0</v>
      </c>
      <c r="W398" s="93">
        <f>IFERROR(__xludf.DUMMYFUNCTION("$E398 - IFERROR(FILTER($E:$E,$C:$C = $C398, $A:$A = $A398, $B:$B = $B398 - 1),0)"),-2000.0)</f>
        <v>-2000</v>
      </c>
      <c r="X398" s="93"/>
      <c r="Y398" s="93"/>
      <c r="Z398" s="93">
        <v>0.0</v>
      </c>
      <c r="AA398" s="93">
        <v>0.0</v>
      </c>
      <c r="AB398" s="93">
        <v>0.0</v>
      </c>
      <c r="AC398" s="93"/>
      <c r="AD398" s="93">
        <v>0.0</v>
      </c>
      <c r="AE398" s="32">
        <f t="shared" si="2"/>
        <v>-2000</v>
      </c>
      <c r="AF398" s="93">
        <v>0.0</v>
      </c>
    </row>
    <row r="399">
      <c r="A399" s="86">
        <v>2015.0</v>
      </c>
      <c r="B399" s="87">
        <v>12.0</v>
      </c>
      <c r="C399" s="88" t="s">
        <v>52</v>
      </c>
      <c r="D399" s="93">
        <v>501000.0</v>
      </c>
      <c r="E399" s="32"/>
      <c r="F399" s="93"/>
      <c r="G399" s="93">
        <v>-3412.08</v>
      </c>
      <c r="H399" s="93">
        <v>11664.71</v>
      </c>
      <c r="I399" s="32"/>
      <c r="J399" s="93">
        <v>-21676.7</v>
      </c>
      <c r="K399" s="32"/>
      <c r="L399" s="32"/>
      <c r="M399" s="32"/>
      <c r="N399" s="32"/>
      <c r="O399" s="93">
        <v>993148.0</v>
      </c>
      <c r="P399" s="91">
        <f>IFERROR(__xludf.DUMMYFUNCTION("IFERROR(sum(FILTER($D:$N,$C:$C = $C399,$A:$A &lt; $A399,$B:$B = 12)),0) + sum($D399:$N399)"),993148.1)</f>
        <v>993148.1</v>
      </c>
      <c r="Q399" s="92">
        <f t="shared" si="1"/>
        <v>-0.09999999998</v>
      </c>
      <c r="R399" s="91">
        <f t="array" ref="R399">IFERROR(INDEX('Fund YTD Target Values'!$1:$1000, MATCH($C399,'Fund YTD Target Values'!$A:$A,0), MATCH($A399,'Fund YTD Target Values'!$1:$1,0)),0)</f>
        <v>1009327.082</v>
      </c>
      <c r="S399" s="91">
        <f>IFERROR(__xludf.DUMMYFUNCTION("IFERROR(sum(FILTER('Fund Investment Data'!$V:$V, 'Fund Investment Data'!$C:$C = $C399, 'Fund Investment Data'!$A:$A &lt; $A399)),0) + IFERROR(sum(FILTER('Fund Investment Data'!$V:$V, 'Fund Investment Data'!$C:$C = $C399, 'Fund Investment Data'!$A:$A = $A399,"&amp;" 'Fund Investment Data'!$B:$B &lt;= $B399)),0)"),1000636.0)</f>
        <v>1000636</v>
      </c>
      <c r="T399" s="93">
        <v>1000813.0</v>
      </c>
      <c r="U399" s="32">
        <f t="shared" si="3"/>
        <v>-177</v>
      </c>
      <c r="V399" s="32">
        <f>IFERROR(__xludf.DUMMYFUNCTION("$D399 - IFERROR(FILTER($D:$D,$C:$C = $C399, $A:$A = $A399, $B:$B = $B399 - 1),0)"),501000.0)</f>
        <v>501000</v>
      </c>
      <c r="W399" s="93">
        <f>IFERROR(__xludf.DUMMYFUNCTION("$E399 - IFERROR(FILTER($E:$E,$C:$C = $C399, $A:$A = $A399, $B:$B = $B399 - 1),0)"),0.0)</f>
        <v>0</v>
      </c>
      <c r="X399" s="93"/>
      <c r="Y399" s="93"/>
      <c r="Z399" s="93">
        <v>0.0</v>
      </c>
      <c r="AA399" s="93">
        <v>0.0</v>
      </c>
      <c r="AB399" s="93">
        <v>0.0</v>
      </c>
      <c r="AC399" s="93"/>
      <c r="AD399" s="93">
        <v>0.0</v>
      </c>
      <c r="AE399" s="32">
        <f t="shared" si="2"/>
        <v>0</v>
      </c>
      <c r="AF399" s="93">
        <v>0.0</v>
      </c>
    </row>
    <row r="400">
      <c r="A400" s="86">
        <v>2015.0</v>
      </c>
      <c r="B400" s="87">
        <v>12.0</v>
      </c>
      <c r="C400" s="88" t="s">
        <v>33</v>
      </c>
      <c r="D400" s="32"/>
      <c r="E400" s="93">
        <v>-41000.0</v>
      </c>
      <c r="F400" s="93"/>
      <c r="G400" s="93">
        <v>-2301.37</v>
      </c>
      <c r="H400" s="93">
        <v>9062.65</v>
      </c>
      <c r="I400" s="93">
        <v>8521.22</v>
      </c>
      <c r="J400" s="93">
        <v>-24717.48</v>
      </c>
      <c r="K400" s="32"/>
      <c r="L400" s="32"/>
      <c r="M400" s="32"/>
      <c r="N400" s="32"/>
      <c r="O400" s="93">
        <v>344325.0</v>
      </c>
      <c r="P400" s="91">
        <f>IFERROR(__xludf.DUMMYFUNCTION("IFERROR(sum(FILTER($D:$N,$C:$C = $C400,$A:$A &lt; $A400,$B:$B = 12)),0) + sum($D400:$N400)"),344325.0199999997)</f>
        <v>344325.02</v>
      </c>
      <c r="Q400" s="92">
        <f t="shared" si="1"/>
        <v>-0.01999999973</v>
      </c>
      <c r="R400" s="91">
        <f t="array" ref="R400">IFERROR(INDEX('Fund YTD Target Values'!$1:$1000, MATCH($C400,'Fund YTD Target Values'!$A:$A,0), MATCH($A400,'Fund YTD Target Values'!$1:$1,0)),0)</f>
        <v>484138.8186</v>
      </c>
      <c r="S400" s="91">
        <f>IFERROR(__xludf.DUMMYFUNCTION("IFERROR(sum(FILTER('Fund Investment Data'!$V:$V, 'Fund Investment Data'!$C:$C = $C400, 'Fund Investment Data'!$A:$A &lt; $A400)),0) + IFERROR(sum(FILTER('Fund Investment Data'!$V:$V, 'Fund Investment Data'!$C:$C = $C400, 'Fund Investment Data'!$A:$A = $A400,"&amp;" 'Fund Investment Data'!$B:$B &lt;= $B400)),0)"),325871.6399999999)</f>
        <v>325871.64</v>
      </c>
      <c r="T400" s="93">
        <v>326032.0</v>
      </c>
      <c r="U400" s="32">
        <f t="shared" si="3"/>
        <v>-160.36</v>
      </c>
      <c r="V400" s="32">
        <f>IFERROR(__xludf.DUMMYFUNCTION("$D400 - IFERROR(FILTER($D:$D,$C:$C = $C400, $A:$A = $A400, $B:$B = $B400 - 1),0)"),0.0)</f>
        <v>0</v>
      </c>
      <c r="W400" s="93">
        <f>IFERROR(__xludf.DUMMYFUNCTION("$E400 - IFERROR(FILTER($E:$E,$C:$C = $C400, $A:$A = $A400, $B:$B = $B400 - 1),0)"),-41000.0)</f>
        <v>-41000</v>
      </c>
      <c r="X400" s="93"/>
      <c r="Y400" s="93"/>
      <c r="Z400" s="93">
        <v>0.0</v>
      </c>
      <c r="AA400" s="93">
        <v>0.0</v>
      </c>
      <c r="AB400" s="93">
        <v>0.0</v>
      </c>
      <c r="AC400" s="93"/>
      <c r="AD400" s="93">
        <v>0.0</v>
      </c>
      <c r="AE400" s="32">
        <f t="shared" si="2"/>
        <v>-41000</v>
      </c>
      <c r="AF400" s="93">
        <v>0.0</v>
      </c>
    </row>
    <row r="401">
      <c r="A401" s="86">
        <v>2015.0</v>
      </c>
      <c r="B401" s="87">
        <v>12.0</v>
      </c>
      <c r="C401" s="88" t="s">
        <v>53</v>
      </c>
      <c r="D401" s="32"/>
      <c r="E401" s="93">
        <v>-66700.0</v>
      </c>
      <c r="F401" s="93"/>
      <c r="G401" s="93">
        <v>-12865.76</v>
      </c>
      <c r="H401" s="93">
        <v>50428.61</v>
      </c>
      <c r="I401" s="32"/>
      <c r="J401" s="93">
        <v>-92933.98</v>
      </c>
      <c r="K401" s="32"/>
      <c r="L401" s="93">
        <v>-388.86</v>
      </c>
      <c r="M401" s="32"/>
      <c r="N401" s="32"/>
      <c r="O401" s="93">
        <v>2023639.0</v>
      </c>
      <c r="P401" s="91">
        <f>IFERROR(__xludf.DUMMYFUNCTION("IFERROR(sum(FILTER($D:$N,$C:$C = $C401,$A:$A &lt; $A401,$B:$B = 12)),0) + sum($D401:$N401)"),2023639.3099999998)</f>
        <v>2023639.31</v>
      </c>
      <c r="Q401" s="92">
        <f t="shared" si="1"/>
        <v>-0.3099999998</v>
      </c>
      <c r="R401" s="91">
        <f t="array" ref="R401">IFERROR(INDEX('Fund YTD Target Values'!$1:$1000, MATCH($C401,'Fund YTD Target Values'!$A:$A,0), MATCH($A401,'Fund YTD Target Values'!$1:$1,0)),0)</f>
        <v>2099883.326</v>
      </c>
      <c r="S401" s="91">
        <f>IFERROR(__xludf.DUMMYFUNCTION("IFERROR(sum(FILTER('Fund Investment Data'!$V:$V, 'Fund Investment Data'!$C:$C = $C401, 'Fund Investment Data'!$A:$A &lt; $A401)),0) + IFERROR(sum(FILTER('Fund Investment Data'!$V:$V, 'Fund Investment Data'!$C:$C = $C401, 'Fund Investment Data'!$A:$A = $A401,"&amp;" 'Fund Investment Data'!$B:$B &lt;= $B401)),0)"),2005500.0)</f>
        <v>2005500</v>
      </c>
      <c r="T401" s="93">
        <v>2005500.0</v>
      </c>
      <c r="U401" s="32">
        <f t="shared" si="3"/>
        <v>0</v>
      </c>
      <c r="V401" s="32">
        <f>IFERROR(__xludf.DUMMYFUNCTION("$D401 - IFERROR(FILTER($D:$D,$C:$C = $C401, $A:$A = $A401, $B:$B = $B401 - 1),0)"),0.0)</f>
        <v>0</v>
      </c>
      <c r="W401" s="93">
        <f>IFERROR(__xludf.DUMMYFUNCTION("$E401 - IFERROR(FILTER($E:$E,$C:$C = $C401, $A:$A = $A401, $B:$B = $B401 - 1),0)"),-66700.0)</f>
        <v>-66700</v>
      </c>
      <c r="X401" s="93"/>
      <c r="Y401" s="93"/>
      <c r="Z401" s="93">
        <v>0.0</v>
      </c>
      <c r="AA401" s="93">
        <v>0.0</v>
      </c>
      <c r="AB401" s="93">
        <v>0.0</v>
      </c>
      <c r="AC401" s="93"/>
      <c r="AD401" s="93">
        <v>0.0</v>
      </c>
      <c r="AE401" s="32">
        <f t="shared" si="2"/>
        <v>-66700</v>
      </c>
      <c r="AF401" s="93">
        <v>0.0</v>
      </c>
    </row>
    <row r="402">
      <c r="A402" s="86">
        <v>2015.0</v>
      </c>
      <c r="B402" s="87">
        <v>12.0</v>
      </c>
      <c r="C402" s="88" t="s">
        <v>34</v>
      </c>
      <c r="D402" s="93">
        <v>5000.0</v>
      </c>
      <c r="E402" s="93">
        <v>-2000.0</v>
      </c>
      <c r="F402" s="93"/>
      <c r="G402" s="93">
        <v>-703.16</v>
      </c>
      <c r="H402" s="93">
        <v>2640.64</v>
      </c>
      <c r="I402" s="32"/>
      <c r="J402" s="93">
        <v>-4901.64</v>
      </c>
      <c r="K402" s="32"/>
      <c r="L402" s="32"/>
      <c r="M402" s="32"/>
      <c r="N402" s="32"/>
      <c r="O402" s="93">
        <v>117119.0</v>
      </c>
      <c r="P402" s="91">
        <f>IFERROR(__xludf.DUMMYFUNCTION("IFERROR(sum(FILTER($D:$N,$C:$C = $C402,$A:$A &lt; $A402,$B:$B = 12)),0) + sum($D402:$N402)"),117118.87)</f>
        <v>117118.87</v>
      </c>
      <c r="Q402" s="92">
        <f t="shared" si="1"/>
        <v>0.13</v>
      </c>
      <c r="R402" s="91">
        <f t="array" ref="R402">IFERROR(INDEX('Fund YTD Target Values'!$1:$1000, MATCH($C402,'Fund YTD Target Values'!$A:$A,0), MATCH($A402,'Fund YTD Target Values'!$1:$1,0)),0)</f>
        <v>113240.2726</v>
      </c>
      <c r="S402" s="91">
        <f>IFERROR(__xludf.DUMMYFUNCTION("IFERROR(sum(FILTER('Fund Investment Data'!$V:$V, 'Fund Investment Data'!$C:$C = $C402, 'Fund Investment Data'!$A:$A &lt; $A402)),0) + IFERROR(sum(FILTER('Fund Investment Data'!$V:$V, 'Fund Investment Data'!$C:$C = $C402, 'Fund Investment Data'!$A:$A = $A402,"&amp;" 'Fund Investment Data'!$B:$B &lt;= $B402)),0)"),110000.0)</f>
        <v>110000</v>
      </c>
      <c r="T402" s="93">
        <v>110886.0</v>
      </c>
      <c r="U402" s="32">
        <f t="shared" si="3"/>
        <v>-886</v>
      </c>
      <c r="V402" s="32">
        <f>IFERROR(__xludf.DUMMYFUNCTION("$D402 - IFERROR(FILTER($D:$D,$C:$C = $C402, $A:$A = $A402, $B:$B = $B402 - 1),0)"),5000.0)</f>
        <v>5000</v>
      </c>
      <c r="W402" s="93">
        <f>IFERROR(__xludf.DUMMYFUNCTION("$E402 - IFERROR(FILTER($E:$E,$C:$C = $C402, $A:$A = $A402, $B:$B = $B402 - 1),0)"),-2000.0)</f>
        <v>-2000</v>
      </c>
      <c r="X402" s="93"/>
      <c r="Y402" s="93"/>
      <c r="Z402" s="93">
        <v>0.0</v>
      </c>
      <c r="AA402" s="93">
        <v>0.0</v>
      </c>
      <c r="AB402" s="93">
        <v>0.0</v>
      </c>
      <c r="AC402" s="93"/>
      <c r="AD402" s="93">
        <v>0.0</v>
      </c>
      <c r="AE402" s="32">
        <f t="shared" si="2"/>
        <v>-2000</v>
      </c>
      <c r="AF402" s="93">
        <v>0.0</v>
      </c>
    </row>
    <row r="403">
      <c r="A403" s="86">
        <v>2015.0</v>
      </c>
      <c r="B403" s="87">
        <v>12.0</v>
      </c>
      <c r="C403" s="88" t="s">
        <v>54</v>
      </c>
      <c r="D403" s="93">
        <v>1361.0</v>
      </c>
      <c r="E403" s="32"/>
      <c r="F403" s="93"/>
      <c r="G403" s="93">
        <v>-846.92</v>
      </c>
      <c r="H403" s="93">
        <v>3267.98</v>
      </c>
      <c r="I403" s="32"/>
      <c r="J403" s="93">
        <v>-6080.57</v>
      </c>
      <c r="K403" s="32"/>
      <c r="L403" s="32"/>
      <c r="M403" s="32"/>
      <c r="N403" s="32"/>
      <c r="O403" s="93">
        <v>136392.0</v>
      </c>
      <c r="P403" s="91">
        <f>IFERROR(__xludf.DUMMYFUNCTION("IFERROR(sum(FILTER($D:$N,$C:$C = $C403,$A:$A &lt; $A403,$B:$B = 12)),0) + sum($D403:$N403)"),136392.93999999994)</f>
        <v>136392.94</v>
      </c>
      <c r="Q403" s="92">
        <f t="shared" si="1"/>
        <v>-0.9399999999</v>
      </c>
      <c r="R403" s="91">
        <f t="array" ref="R403">IFERROR(INDEX('Fund YTD Target Values'!$1:$1000, MATCH($C403,'Fund YTD Target Values'!$A:$A,0), MATCH($A403,'Fund YTD Target Values'!$1:$1,0)),0)</f>
        <v>132551.2874</v>
      </c>
      <c r="S403" s="91">
        <f>IFERROR(__xludf.DUMMYFUNCTION("IFERROR(sum(FILTER('Fund Investment Data'!$V:$V, 'Fund Investment Data'!$C:$C = $C403, 'Fund Investment Data'!$A:$A &lt; $A403)),0) + IFERROR(sum(FILTER('Fund Investment Data'!$V:$V, 'Fund Investment Data'!$C:$C = $C403, 'Fund Investment Data'!$A:$A = $A403,"&amp;" 'Fund Investment Data'!$B:$B &lt;= $B403)),0)"),98351.10999999999)</f>
        <v>98351.11</v>
      </c>
      <c r="T403" s="93">
        <v>94435.0</v>
      </c>
      <c r="U403" s="32">
        <f t="shared" si="3"/>
        <v>3916.11</v>
      </c>
      <c r="V403" s="32">
        <f>IFERROR(__xludf.DUMMYFUNCTION("$D403 - IFERROR(FILTER($D:$D,$C:$C = $C403, $A:$A = $A403, $B:$B = $B403 - 1),0)"),1361.0)</f>
        <v>1361</v>
      </c>
      <c r="W403" s="93">
        <f>IFERROR(__xludf.DUMMYFUNCTION("$E403 - IFERROR(FILTER($E:$E,$C:$C = $C403, $A:$A = $A403, $B:$B = $B403 - 1),0)"),0.0)</f>
        <v>0</v>
      </c>
      <c r="X403" s="93"/>
      <c r="Y403" s="93"/>
      <c r="Z403" s="93">
        <v>0.0</v>
      </c>
      <c r="AA403" s="93">
        <v>0.0</v>
      </c>
      <c r="AB403" s="93">
        <v>0.0</v>
      </c>
      <c r="AC403" s="93"/>
      <c r="AD403" s="93">
        <v>0.0</v>
      </c>
      <c r="AE403" s="32">
        <f t="shared" si="2"/>
        <v>0</v>
      </c>
      <c r="AF403" s="93">
        <v>0.0</v>
      </c>
    </row>
    <row r="404">
      <c r="A404" s="86">
        <v>2015.0</v>
      </c>
      <c r="B404" s="87">
        <v>12.0</v>
      </c>
      <c r="C404" s="88" t="s">
        <v>55</v>
      </c>
      <c r="D404" s="93">
        <v>70000.0</v>
      </c>
      <c r="E404" s="32"/>
      <c r="F404" s="93"/>
      <c r="G404" s="93">
        <v>-46.88</v>
      </c>
      <c r="H404" s="93">
        <v>100.32</v>
      </c>
      <c r="I404" s="32"/>
      <c r="J404" s="93">
        <v>-2146.5</v>
      </c>
      <c r="K404" s="32"/>
      <c r="L404" s="32"/>
      <c r="M404" s="32"/>
      <c r="N404" s="32"/>
      <c r="O404" s="93">
        <v>67907.0</v>
      </c>
      <c r="P404" s="91">
        <f>IFERROR(__xludf.DUMMYFUNCTION("IFERROR(sum(FILTER($D:$N,$C:$C = $C404,$A:$A &lt; $A404,$B:$B = 12)),0) + sum($D404:$N404)"),67906.94)</f>
        <v>67906.94</v>
      </c>
      <c r="Q404" s="92">
        <f t="shared" si="1"/>
        <v>0.06</v>
      </c>
      <c r="R404" s="91">
        <f t="array" ref="R404">IFERROR(INDEX('Fund YTD Target Values'!$1:$1000, MATCH($C404,'Fund YTD Target Values'!$A:$A,0), MATCH($A404,'Fund YTD Target Values'!$1:$1,0)),0)</f>
        <v>70000</v>
      </c>
      <c r="S404" s="91">
        <f>IFERROR(__xludf.DUMMYFUNCTION("IFERROR(sum(FILTER('Fund Investment Data'!$V:$V, 'Fund Investment Data'!$C:$C = $C404, 'Fund Investment Data'!$A:$A &lt; $A404)),0) + IFERROR(sum(FILTER('Fund Investment Data'!$V:$V, 'Fund Investment Data'!$C:$C = $C404, 'Fund Investment Data'!$A:$A = $A404,"&amp;" 'Fund Investment Data'!$B:$B &lt;= $B404)),0)"),70000.0)</f>
        <v>70000</v>
      </c>
      <c r="T404" s="93">
        <v>85154.0</v>
      </c>
      <c r="U404" s="32">
        <f t="shared" si="3"/>
        <v>-15154</v>
      </c>
      <c r="V404" s="32">
        <f>IFERROR(__xludf.DUMMYFUNCTION("$D404 - IFERROR(FILTER($D:$D,$C:$C = $C404, $A:$A = $A404, $B:$B = $B404 - 1),0)"),70000.0)</f>
        <v>70000</v>
      </c>
      <c r="W404" s="93">
        <f>IFERROR(__xludf.DUMMYFUNCTION("$E404 - IFERROR(FILTER($E:$E,$C:$C = $C404, $A:$A = $A404, $B:$B = $B404 - 1),0)"),0.0)</f>
        <v>0</v>
      </c>
      <c r="X404" s="93"/>
      <c r="Y404" s="93"/>
      <c r="Z404" s="93">
        <v>0.0</v>
      </c>
      <c r="AA404" s="93">
        <v>0.0</v>
      </c>
      <c r="AB404" s="93">
        <v>0.0</v>
      </c>
      <c r="AC404" s="93"/>
      <c r="AD404" s="93">
        <v>0.0</v>
      </c>
      <c r="AE404" s="32">
        <f t="shared" si="2"/>
        <v>0</v>
      </c>
      <c r="AF404" s="93">
        <v>0.0</v>
      </c>
    </row>
    <row r="405">
      <c r="A405" s="86">
        <v>2015.0</v>
      </c>
      <c r="B405" s="87">
        <v>12.0</v>
      </c>
      <c r="C405" s="88" t="s">
        <v>44</v>
      </c>
      <c r="D405" s="32"/>
      <c r="E405" s="93">
        <v>-27000.0</v>
      </c>
      <c r="F405" s="93"/>
      <c r="G405" s="93">
        <v>-1821.15</v>
      </c>
      <c r="H405" s="93">
        <v>7158.81</v>
      </c>
      <c r="I405" s="93">
        <v>2438.53</v>
      </c>
      <c r="J405" s="93">
        <v>-15522.86</v>
      </c>
      <c r="K405" s="32"/>
      <c r="L405" s="32"/>
      <c r="M405" s="32"/>
      <c r="N405" s="32"/>
      <c r="O405" s="93">
        <v>275066.0</v>
      </c>
      <c r="P405" s="91">
        <f>IFERROR(__xludf.DUMMYFUNCTION("IFERROR(sum(FILTER($D:$N,$C:$C = $C405,$A:$A &lt; $A405,$B:$B = 12)),0) + sum($D405:$N405)"),275066.71000000014)</f>
        <v>275066.71</v>
      </c>
      <c r="Q405" s="92">
        <f t="shared" si="1"/>
        <v>-0.7100000001</v>
      </c>
      <c r="R405" s="91">
        <f t="array" ref="R405">IFERROR(INDEX('Fund YTD Target Values'!$1:$1000, MATCH($C405,'Fund YTD Target Values'!$A:$A,0), MATCH($A405,'Fund YTD Target Values'!$1:$1,0)),0)</f>
        <v>303536.4924</v>
      </c>
      <c r="S405" s="91">
        <f>IFERROR(__xludf.DUMMYFUNCTION("IFERROR(sum(FILTER('Fund Investment Data'!$V:$V, 'Fund Investment Data'!$C:$C = $C405, 'Fund Investment Data'!$A:$A &lt; $A405)),0) + IFERROR(sum(FILTER('Fund Investment Data'!$V:$V, 'Fund Investment Data'!$C:$C = $C405, 'Fund Investment Data'!$A:$A = $A405,"&amp;" 'Fund Investment Data'!$B:$B &lt;= $B405)),0)"),250000.0)</f>
        <v>250000</v>
      </c>
      <c r="T405" s="93">
        <v>250000.0</v>
      </c>
      <c r="U405" s="32">
        <f t="shared" si="3"/>
        <v>0</v>
      </c>
      <c r="V405" s="32">
        <f>IFERROR(__xludf.DUMMYFUNCTION("$D405 - IFERROR(FILTER($D:$D,$C:$C = $C405, $A:$A = $A405, $B:$B = $B405 - 1),0)"),0.0)</f>
        <v>0</v>
      </c>
      <c r="W405" s="93">
        <f>IFERROR(__xludf.DUMMYFUNCTION("$E405 - IFERROR(FILTER($E:$E,$C:$C = $C405, $A:$A = $A405, $B:$B = $B405 - 1),0)"),-27000.0)</f>
        <v>-27000</v>
      </c>
      <c r="X405" s="93"/>
      <c r="Y405" s="93"/>
      <c r="Z405" s="93">
        <v>0.0</v>
      </c>
      <c r="AA405" s="93">
        <v>0.0</v>
      </c>
      <c r="AB405" s="93">
        <v>0.0</v>
      </c>
      <c r="AC405" s="93"/>
      <c r="AD405" s="93">
        <v>0.0</v>
      </c>
      <c r="AE405" s="32">
        <f t="shared" si="2"/>
        <v>-27000</v>
      </c>
      <c r="AF405" s="93">
        <v>0.0</v>
      </c>
    </row>
    <row r="406">
      <c r="A406" s="86">
        <v>2015.0</v>
      </c>
      <c r="B406" s="87">
        <v>12.0</v>
      </c>
      <c r="C406" s="88" t="s">
        <v>45</v>
      </c>
      <c r="D406" s="32"/>
      <c r="E406" s="32"/>
      <c r="F406" s="93"/>
      <c r="G406" s="93">
        <v>-786.58</v>
      </c>
      <c r="H406" s="93">
        <v>3049.56</v>
      </c>
      <c r="I406" s="32"/>
      <c r="J406" s="93">
        <v>-5676.53</v>
      </c>
      <c r="K406" s="32"/>
      <c r="L406" s="32"/>
      <c r="M406" s="32"/>
      <c r="N406" s="32"/>
      <c r="O406" s="93">
        <v>126389.0</v>
      </c>
      <c r="P406" s="91">
        <f>IFERROR(__xludf.DUMMYFUNCTION("IFERROR(sum(FILTER($D:$N,$C:$C = $C406,$A:$A &lt; $A406,$B:$B = 12)),0) + sum($D406:$N406)"),126389.27999999998)</f>
        <v>126389.28</v>
      </c>
      <c r="Q406" s="92">
        <f t="shared" si="1"/>
        <v>-0.28</v>
      </c>
      <c r="R406" s="91">
        <f t="array" ref="R406">IFERROR(INDEX('Fund YTD Target Values'!$1:$1000, MATCH($C406,'Fund YTD Target Values'!$A:$A,0), MATCH($A406,'Fund YTD Target Values'!$1:$1,0)),0)</f>
        <v>114437.0334</v>
      </c>
      <c r="S406" s="91">
        <f>IFERROR(__xludf.DUMMYFUNCTION("IFERROR(sum(FILTER('Fund Investment Data'!$V:$V, 'Fund Investment Data'!$C:$C = $C406, 'Fund Investment Data'!$A:$A &lt; $A406)),0) + IFERROR(sum(FILTER('Fund Investment Data'!$V:$V, 'Fund Investment Data'!$C:$C = $C406, 'Fund Investment Data'!$A:$A = $A406,"&amp;" 'Fund Investment Data'!$B:$B &lt;= $B406)),0)"),100000.0)</f>
        <v>100000</v>
      </c>
      <c r="T406" s="93">
        <v>100000.0</v>
      </c>
      <c r="U406" s="32">
        <f t="shared" si="3"/>
        <v>0</v>
      </c>
      <c r="V406" s="32">
        <f>IFERROR(__xludf.DUMMYFUNCTION("$D406 - IFERROR(FILTER($D:$D,$C:$C = $C406, $A:$A = $A406, $B:$B = $B406 - 1),0)"),0.0)</f>
        <v>0</v>
      </c>
      <c r="W406" s="93">
        <f>IFERROR(__xludf.DUMMYFUNCTION("$E406 - IFERROR(FILTER($E:$E,$C:$C = $C406, $A:$A = $A406, $B:$B = $B406 - 1),0)"),0.0)</f>
        <v>0</v>
      </c>
      <c r="X406" s="93"/>
      <c r="Y406" s="93"/>
      <c r="Z406" s="93">
        <v>0.0</v>
      </c>
      <c r="AA406" s="93">
        <v>0.0</v>
      </c>
      <c r="AB406" s="93">
        <v>0.0</v>
      </c>
      <c r="AC406" s="93"/>
      <c r="AD406" s="93">
        <v>0.0</v>
      </c>
      <c r="AE406" s="32">
        <f t="shared" si="2"/>
        <v>0</v>
      </c>
      <c r="AF406" s="93">
        <v>0.0</v>
      </c>
    </row>
    <row r="407">
      <c r="A407" s="86">
        <v>2015.0</v>
      </c>
      <c r="B407" s="87">
        <v>12.0</v>
      </c>
      <c r="C407" s="88" t="s">
        <v>35</v>
      </c>
      <c r="D407" s="93">
        <v>5000.0</v>
      </c>
      <c r="E407" s="93">
        <v>-70795.0</v>
      </c>
      <c r="F407" s="93"/>
      <c r="G407" s="93">
        <v>-8515.99</v>
      </c>
      <c r="H407" s="93">
        <v>33344.76</v>
      </c>
      <c r="I407" s="93">
        <v>4598.36</v>
      </c>
      <c r="J407" s="93">
        <v>-66056.75</v>
      </c>
      <c r="K407" s="32"/>
      <c r="L407" s="32"/>
      <c r="M407" s="32"/>
      <c r="N407" s="32"/>
      <c r="O407" s="93">
        <v>1325012.0</v>
      </c>
      <c r="P407" s="91">
        <f>IFERROR(__xludf.DUMMYFUNCTION("IFERROR(sum(FILTER($D:$N,$C:$C = $C407,$A:$A &lt; $A407,$B:$B = 12)),0) + sum($D407:$N407)"),1325010.7400000002)</f>
        <v>1325010.74</v>
      </c>
      <c r="Q407" s="92">
        <f t="shared" si="1"/>
        <v>1.26</v>
      </c>
      <c r="R407" s="91">
        <f t="array" ref="R407">IFERROR(INDEX('Fund YTD Target Values'!$1:$1000, MATCH($C407,'Fund YTD Target Values'!$A:$A,0), MATCH($A407,'Fund YTD Target Values'!$1:$1,0)),0)</f>
        <v>1490607.084</v>
      </c>
      <c r="S407" s="91">
        <f>IFERROR(__xludf.DUMMYFUNCTION("IFERROR(sum(FILTER('Fund Investment Data'!$V:$V, 'Fund Investment Data'!$C:$C = $C407, 'Fund Investment Data'!$A:$A &lt; $A407)),0) + IFERROR(sum(FILTER('Fund Investment Data'!$V:$V, 'Fund Investment Data'!$C:$C = $C407, 'Fund Investment Data'!$A:$A = $A407,"&amp;" 'Fund Investment Data'!$B:$B &lt;= $B407)),0)"),1086625.0)</f>
        <v>1086625</v>
      </c>
      <c r="T407" s="93">
        <v>1071625.0</v>
      </c>
      <c r="U407" s="32">
        <f t="shared" si="3"/>
        <v>15000</v>
      </c>
      <c r="V407" s="32">
        <f>IFERROR(__xludf.DUMMYFUNCTION("$D407 - IFERROR(FILTER($D:$D,$C:$C = $C407, $A:$A = $A407, $B:$B = $B407 - 1),0)"),5000.0)</f>
        <v>5000</v>
      </c>
      <c r="W407" s="93">
        <f>IFERROR(__xludf.DUMMYFUNCTION("$E407 - IFERROR(FILTER($E:$E,$C:$C = $C407, $A:$A = $A407, $B:$B = $B407 - 1),0)"),-70795.0)</f>
        <v>-70795</v>
      </c>
      <c r="X407" s="93"/>
      <c r="Y407" s="93"/>
      <c r="Z407" s="93">
        <v>0.0</v>
      </c>
      <c r="AA407" s="93">
        <v>0.0</v>
      </c>
      <c r="AB407" s="93">
        <v>0.0</v>
      </c>
      <c r="AC407" s="93"/>
      <c r="AD407" s="93">
        <v>0.0</v>
      </c>
      <c r="AE407" s="32">
        <f t="shared" si="2"/>
        <v>-70795</v>
      </c>
      <c r="AF407" s="93">
        <v>0.0</v>
      </c>
    </row>
    <row r="408">
      <c r="A408" s="86">
        <v>2015.0</v>
      </c>
      <c r="B408" s="87">
        <v>12.0</v>
      </c>
      <c r="C408" s="88" t="s">
        <v>56</v>
      </c>
      <c r="D408" s="32"/>
      <c r="E408" s="32"/>
      <c r="F408" s="93"/>
      <c r="G408" s="93">
        <v>-5870.81</v>
      </c>
      <c r="H408" s="93">
        <v>22761.04</v>
      </c>
      <c r="I408" s="32"/>
      <c r="J408" s="93">
        <v>-42367.99</v>
      </c>
      <c r="K408" s="32"/>
      <c r="L408" s="32"/>
      <c r="M408" s="32"/>
      <c r="N408" s="32"/>
      <c r="O408" s="93">
        <v>943326.0</v>
      </c>
      <c r="P408" s="91">
        <f>IFERROR(__xludf.DUMMYFUNCTION("IFERROR(sum(FILTER($D:$N,$C:$C = $C408,$A:$A &lt; $A408,$B:$B = 12)),0) + sum($D408:$N408)"),943326.23)</f>
        <v>943326.23</v>
      </c>
      <c r="Q408" s="92">
        <f t="shared" si="1"/>
        <v>-0.23</v>
      </c>
      <c r="R408" s="91">
        <f t="array" ref="R408">IFERROR(INDEX('Fund YTD Target Values'!$1:$1000, MATCH($C408,'Fund YTD Target Values'!$A:$A,0), MATCH($A408,'Fund YTD Target Values'!$1:$1,0)),0)</f>
        <v>1001188.996</v>
      </c>
      <c r="S408" s="91">
        <f>IFERROR(__xludf.DUMMYFUNCTION("IFERROR(sum(FILTER('Fund Investment Data'!$V:$V, 'Fund Investment Data'!$C:$C = $C408, 'Fund Investment Data'!$A:$A &lt; $A408)),0) + IFERROR(sum(FILTER('Fund Investment Data'!$V:$V, 'Fund Investment Data'!$C:$C = $C408, 'Fund Investment Data'!$A:$A = $A408,"&amp;" 'Fund Investment Data'!$B:$B &lt;= $B408)),0)"),1000000.0)</f>
        <v>1000000</v>
      </c>
      <c r="T408" s="93">
        <v>1000000.0</v>
      </c>
      <c r="U408" s="32">
        <f t="shared" si="3"/>
        <v>0</v>
      </c>
      <c r="V408" s="32">
        <f>IFERROR(__xludf.DUMMYFUNCTION("$D408 - IFERROR(FILTER($D:$D,$C:$C = $C408, $A:$A = $A408, $B:$B = $B408 - 1),0)"),0.0)</f>
        <v>0</v>
      </c>
      <c r="W408" s="93">
        <f>IFERROR(__xludf.DUMMYFUNCTION("$E408 - IFERROR(FILTER($E:$E,$C:$C = $C408, $A:$A = $A408, $B:$B = $B408 - 1),0)"),0.0)</f>
        <v>0</v>
      </c>
      <c r="X408" s="93"/>
      <c r="Y408" s="93"/>
      <c r="Z408" s="93">
        <v>0.0</v>
      </c>
      <c r="AA408" s="93">
        <v>0.0</v>
      </c>
      <c r="AB408" s="93">
        <v>0.0</v>
      </c>
      <c r="AC408" s="93"/>
      <c r="AD408" s="93">
        <v>0.0</v>
      </c>
      <c r="AE408" s="32">
        <f t="shared" si="2"/>
        <v>0</v>
      </c>
      <c r="AF408" s="93">
        <v>0.0</v>
      </c>
    </row>
    <row r="409">
      <c r="A409" s="86">
        <v>2016.0</v>
      </c>
      <c r="B409" s="87">
        <v>12.0</v>
      </c>
      <c r="C409" s="88" t="s">
        <v>26</v>
      </c>
      <c r="D409" s="93">
        <v>11045.0</v>
      </c>
      <c r="E409" s="93">
        <v>-25000.0</v>
      </c>
      <c r="F409" s="93"/>
      <c r="G409" s="93">
        <v>-1722.37</v>
      </c>
      <c r="H409" s="93">
        <v>6224.39</v>
      </c>
      <c r="I409" s="32"/>
      <c r="J409" s="93">
        <v>12546.57</v>
      </c>
      <c r="K409" s="32"/>
      <c r="L409" s="93">
        <v>-40.91</v>
      </c>
      <c r="M409" s="32"/>
      <c r="N409" s="32"/>
      <c r="O409" s="93">
        <v>288484.0</v>
      </c>
      <c r="P409" s="91">
        <f>IFERROR(__xludf.DUMMYFUNCTION("IFERROR(sum(FILTER($D:$N,$C:$C = $C409,$A:$A &lt; $A409,$B:$B = 12)),0) + sum($D409:$N409)"),288482.6899999999)</f>
        <v>288482.69</v>
      </c>
      <c r="Q409" s="92">
        <f t="shared" si="1"/>
        <v>1.31</v>
      </c>
      <c r="R409" s="91">
        <f t="array" ref="R409">IFERROR(INDEX('Fund YTD Target Values'!$1:$1000, MATCH($C409,'Fund YTD Target Values'!$A:$A,0), MATCH($A409,'Fund YTD Target Values'!$1:$1,0)),0)</f>
        <v>334124.5497</v>
      </c>
      <c r="S409" s="91">
        <f>IFERROR(__xludf.DUMMYFUNCTION("IFERROR(sum(FILTER('Fund Investment Data'!$V:$V, 'Fund Investment Data'!$C:$C = $C409, 'Fund Investment Data'!$A:$A &lt; $A409)),0) + IFERROR(sum(FILTER('Fund Investment Data'!$V:$V, 'Fund Investment Data'!$C:$C = $C409, 'Fund Investment Data'!$A:$A = $A409,"&amp;" 'Fund Investment Data'!$B:$B &lt;= $B409)),0)"),281967.0)</f>
        <v>281967</v>
      </c>
      <c r="T409" s="93">
        <v>281968.0</v>
      </c>
      <c r="U409" s="32">
        <f t="shared" si="3"/>
        <v>-1</v>
      </c>
      <c r="V409" s="32">
        <f>IFERROR(__xludf.DUMMYFUNCTION("$D409 - IFERROR(FILTER($D:$D,$C:$C = $C409, $A:$A = $A409, $B:$B = $B409 - 1),0)"),11045.0)</f>
        <v>11045</v>
      </c>
      <c r="W409" s="93">
        <f>IFERROR(__xludf.DUMMYFUNCTION("$E409 - IFERROR(FILTER($E:$E,$C:$C = $C409, $A:$A = $A409, $B:$B = $B409 - 1),0)"),-25000.0)</f>
        <v>-25000</v>
      </c>
      <c r="X409" s="93"/>
      <c r="Y409" s="93"/>
      <c r="Z409" s="93">
        <v>0.0</v>
      </c>
      <c r="AA409" s="93">
        <v>0.0</v>
      </c>
      <c r="AB409" s="93">
        <v>0.0</v>
      </c>
      <c r="AC409" s="93"/>
      <c r="AD409" s="93">
        <v>0.0</v>
      </c>
      <c r="AE409" s="32">
        <f t="shared" si="2"/>
        <v>-25000</v>
      </c>
      <c r="AF409" s="93">
        <v>0.0</v>
      </c>
    </row>
    <row r="410">
      <c r="A410" s="86">
        <v>2016.0</v>
      </c>
      <c r="B410" s="87">
        <v>12.0</v>
      </c>
      <c r="C410" s="88" t="s">
        <v>27</v>
      </c>
      <c r="D410" s="32"/>
      <c r="E410" s="93">
        <v>-31000.0</v>
      </c>
      <c r="F410" s="93"/>
      <c r="G410" s="93">
        <v>-1742.97</v>
      </c>
      <c r="H410" s="93">
        <v>6392.61</v>
      </c>
      <c r="I410" s="93">
        <v>6455.43</v>
      </c>
      <c r="J410" s="93">
        <v>6555.07</v>
      </c>
      <c r="K410" s="32"/>
      <c r="L410" s="32"/>
      <c r="M410" s="32"/>
      <c r="N410" s="32"/>
      <c r="O410" s="93">
        <v>281513.0</v>
      </c>
      <c r="P410" s="91">
        <f>IFERROR(__xludf.DUMMYFUNCTION("IFERROR(sum(FILTER($D:$N,$C:$C = $C410,$A:$A &lt; $A410,$B:$B = 12)),0) + sum($D410:$N410)"),281513.1600000001)</f>
        <v>281513.16</v>
      </c>
      <c r="Q410" s="92">
        <f t="shared" si="1"/>
        <v>-0.1600000001</v>
      </c>
      <c r="R410" s="91">
        <f t="array" ref="R410">IFERROR(INDEX('Fund YTD Target Values'!$1:$1000, MATCH($C410,'Fund YTD Target Values'!$A:$A,0), MATCH($A410,'Fund YTD Target Values'!$1:$1,0)),0)</f>
        <v>375906.7519</v>
      </c>
      <c r="S410" s="91">
        <f>IFERROR(__xludf.DUMMYFUNCTION("IFERROR(sum(FILTER('Fund Investment Data'!$V:$V, 'Fund Investment Data'!$C:$C = $C410, 'Fund Investment Data'!$A:$A &lt; $A410)),0) + IFERROR(sum(FILTER('Fund Investment Data'!$V:$V, 'Fund Investment Data'!$C:$C = $C410, 'Fund Investment Data'!$A:$A = $A410,"&amp;" 'Fund Investment Data'!$B:$B &lt;= $B410)),0)"),276213.69999999995)</f>
        <v>276213.7</v>
      </c>
      <c r="T410" s="93">
        <v>272248.0</v>
      </c>
      <c r="U410" s="32">
        <f t="shared" si="3"/>
        <v>3965.7</v>
      </c>
      <c r="V410" s="32">
        <f>IFERROR(__xludf.DUMMYFUNCTION("$D410 - IFERROR(FILTER($D:$D,$C:$C = $C410, $A:$A = $A410, $B:$B = $B410 - 1),0)"),0.0)</f>
        <v>0</v>
      </c>
      <c r="W410" s="93">
        <f>IFERROR(__xludf.DUMMYFUNCTION("$E410 - IFERROR(FILTER($E:$E,$C:$C = $C410, $A:$A = $A410, $B:$B = $B410 - 1),0)"),-31000.0)</f>
        <v>-31000</v>
      </c>
      <c r="X410" s="93"/>
      <c r="Y410" s="93"/>
      <c r="Z410" s="93">
        <v>0.0</v>
      </c>
      <c r="AA410" s="93">
        <v>0.0</v>
      </c>
      <c r="AB410" s="93">
        <v>0.0</v>
      </c>
      <c r="AC410" s="93"/>
      <c r="AD410" s="93">
        <v>0.0</v>
      </c>
      <c r="AE410" s="32">
        <f t="shared" si="2"/>
        <v>-31000</v>
      </c>
      <c r="AF410" s="93">
        <v>0.0</v>
      </c>
    </row>
    <row r="411">
      <c r="A411" s="86">
        <v>2016.0</v>
      </c>
      <c r="B411" s="87">
        <v>12.0</v>
      </c>
      <c r="C411" s="88" t="s">
        <v>28</v>
      </c>
      <c r="D411" s="32"/>
      <c r="E411" s="93">
        <v>-201245.0</v>
      </c>
      <c r="F411" s="93"/>
      <c r="G411" s="93">
        <v>-18584.36</v>
      </c>
      <c r="H411" s="93">
        <v>67994.24</v>
      </c>
      <c r="I411" s="93">
        <v>35208.71</v>
      </c>
      <c r="J411" s="93">
        <v>102572.87</v>
      </c>
      <c r="K411" s="32"/>
      <c r="L411" s="32"/>
      <c r="M411" s="32"/>
      <c r="N411" s="32"/>
      <c r="O411" s="93">
        <v>3058634.0</v>
      </c>
      <c r="P411" s="91">
        <f>IFERROR(__xludf.DUMMYFUNCTION("IFERROR(sum(FILTER($D:$N,$C:$C = $C411,$A:$A &lt; $A411,$B:$B = 12)),0) + sum($D411:$N411)"),3058633.2799999993)</f>
        <v>3058633.28</v>
      </c>
      <c r="Q411" s="92">
        <f t="shared" si="1"/>
        <v>0.7200000007</v>
      </c>
      <c r="R411" s="91">
        <f t="array" ref="R411">IFERROR(INDEX('Fund YTD Target Values'!$1:$1000, MATCH($C411,'Fund YTD Target Values'!$A:$A,0), MATCH($A411,'Fund YTD Target Values'!$1:$1,0)),0)</f>
        <v>3670668.859</v>
      </c>
      <c r="S411" s="91">
        <f>IFERROR(__xludf.DUMMYFUNCTION("IFERROR(sum(FILTER('Fund Investment Data'!$V:$V, 'Fund Investment Data'!$C:$C = $C411, 'Fund Investment Data'!$A:$A &lt; $A411)),0) + IFERROR(sum(FILTER('Fund Investment Data'!$V:$V, 'Fund Investment Data'!$C:$C = $C411, 'Fund Investment Data'!$A:$A = $A411,"&amp;" 'Fund Investment Data'!$B:$B &lt;= $B411)),0)"),2960091.25)</f>
        <v>2960091.25</v>
      </c>
      <c r="T411" s="93">
        <v>3009816.0</v>
      </c>
      <c r="U411" s="32">
        <f t="shared" si="3"/>
        <v>-49724.75</v>
      </c>
      <c r="V411" s="32">
        <f>IFERROR(__xludf.DUMMYFUNCTION("$D411 - IFERROR(FILTER($D:$D,$C:$C = $C411, $A:$A = $A411, $B:$B = $B411 - 1),0)"),0.0)</f>
        <v>0</v>
      </c>
      <c r="W411" s="93">
        <f>IFERROR(__xludf.DUMMYFUNCTION("$E411 - IFERROR(FILTER($E:$E,$C:$C = $C411, $A:$A = $A411, $B:$B = $B411 - 1),0)"),-201245.0)</f>
        <v>-201245</v>
      </c>
      <c r="X411" s="93"/>
      <c r="Y411" s="93"/>
      <c r="Z411" s="93">
        <v>0.0</v>
      </c>
      <c r="AA411" s="93">
        <v>0.0</v>
      </c>
      <c r="AB411" s="93">
        <v>0.0</v>
      </c>
      <c r="AC411" s="93"/>
      <c r="AD411" s="93">
        <v>0.0</v>
      </c>
      <c r="AE411" s="32">
        <f t="shared" si="2"/>
        <v>-201245</v>
      </c>
      <c r="AF411" s="93">
        <v>0.0</v>
      </c>
    </row>
    <row r="412">
      <c r="A412" s="86">
        <v>2016.0</v>
      </c>
      <c r="B412" s="87">
        <v>12.0</v>
      </c>
      <c r="C412" s="88" t="s">
        <v>46</v>
      </c>
      <c r="D412" s="32"/>
      <c r="E412" s="93">
        <v>-19000.0</v>
      </c>
      <c r="F412" s="93"/>
      <c r="G412" s="93">
        <v>-2292.15</v>
      </c>
      <c r="H412" s="93">
        <v>8365.4</v>
      </c>
      <c r="I412" s="93">
        <v>3107.25</v>
      </c>
      <c r="J412" s="93">
        <v>13851.6</v>
      </c>
      <c r="K412" s="32"/>
      <c r="L412" s="32"/>
      <c r="M412" s="32"/>
      <c r="N412" s="32"/>
      <c r="O412" s="93">
        <v>381880.0</v>
      </c>
      <c r="P412" s="91">
        <f>IFERROR(__xludf.DUMMYFUNCTION("IFERROR(sum(FILTER($D:$N,$C:$C = $C412,$A:$A &lt; $A412,$B:$B = 12)),0) + sum($D412:$N412)"),381880.55000000005)</f>
        <v>381880.55</v>
      </c>
      <c r="Q412" s="92">
        <f t="shared" si="1"/>
        <v>-0.55</v>
      </c>
      <c r="R412" s="91">
        <f t="array" ref="R412">IFERROR(INDEX('Fund YTD Target Values'!$1:$1000, MATCH($C412,'Fund YTD Target Values'!$A:$A,0), MATCH($A412,'Fund YTD Target Values'!$1:$1,0)),0)</f>
        <v>436359.3746</v>
      </c>
      <c r="S412" s="91">
        <f>IFERROR(__xludf.DUMMYFUNCTION("IFERROR(sum(FILTER('Fund Investment Data'!$V:$V, 'Fund Investment Data'!$C:$C = $C412, 'Fund Investment Data'!$A:$A &lt; $A412)),0) + IFERROR(sum(FILTER('Fund Investment Data'!$V:$V, 'Fund Investment Data'!$C:$C = $C412, 'Fund Investment Data'!$A:$A = $A412,"&amp;" 'Fund Investment Data'!$B:$B &lt;= $B412)),0)"),366400.0)</f>
        <v>366400</v>
      </c>
      <c r="T412" s="93">
        <v>366400.0</v>
      </c>
      <c r="U412" s="32">
        <f t="shared" si="3"/>
        <v>0</v>
      </c>
      <c r="V412" s="32">
        <f>IFERROR(__xludf.DUMMYFUNCTION("$D412 - IFERROR(FILTER($D:$D,$C:$C = $C412, $A:$A = $A412, $B:$B = $B412 - 1),0)"),0.0)</f>
        <v>0</v>
      </c>
      <c r="W412" s="93">
        <f>IFERROR(__xludf.DUMMYFUNCTION("$E412 - IFERROR(FILTER($E:$E,$C:$C = $C412, $A:$A = $A412, $B:$B = $B412 - 1),0)"),-19000.0)</f>
        <v>-19000</v>
      </c>
      <c r="X412" s="93"/>
      <c r="Y412" s="93"/>
      <c r="Z412" s="93">
        <v>0.0</v>
      </c>
      <c r="AA412" s="93">
        <v>0.0</v>
      </c>
      <c r="AB412" s="93">
        <v>0.0</v>
      </c>
      <c r="AC412" s="93"/>
      <c r="AD412" s="93">
        <v>0.0</v>
      </c>
      <c r="AE412" s="32">
        <f t="shared" si="2"/>
        <v>-19000</v>
      </c>
      <c r="AF412" s="93">
        <v>0.0</v>
      </c>
    </row>
    <row r="413">
      <c r="A413" s="86">
        <v>2016.0</v>
      </c>
      <c r="B413" s="87">
        <v>12.0</v>
      </c>
      <c r="C413" s="88" t="s">
        <v>36</v>
      </c>
      <c r="D413" s="32"/>
      <c r="E413" s="93">
        <v>-25000.0</v>
      </c>
      <c r="F413" s="93"/>
      <c r="G413" s="93">
        <v>-2532.51</v>
      </c>
      <c r="H413" s="93">
        <v>9210.1</v>
      </c>
      <c r="I413" s="93">
        <v>4623.47</v>
      </c>
      <c r="J413" s="93">
        <v>14208.38</v>
      </c>
      <c r="K413" s="32"/>
      <c r="L413" s="32"/>
      <c r="M413" s="32"/>
      <c r="N413" s="32"/>
      <c r="O413" s="93">
        <v>418411.0</v>
      </c>
      <c r="P413" s="91">
        <f>IFERROR(__xludf.DUMMYFUNCTION("IFERROR(sum(FILTER($D:$N,$C:$C = $C413,$A:$A &lt; $A413,$B:$B = 12)),0) + sum($D413:$N413)"),418410.4200000001)</f>
        <v>418410.42</v>
      </c>
      <c r="Q413" s="92">
        <f t="shared" si="1"/>
        <v>0.5799999999</v>
      </c>
      <c r="R413" s="91">
        <f t="array" ref="R413">IFERROR(INDEX('Fund YTD Target Values'!$1:$1000, MATCH($C413,'Fund YTD Target Values'!$A:$A,0), MATCH($A413,'Fund YTD Target Values'!$1:$1,0)),0)</f>
        <v>607386.6986</v>
      </c>
      <c r="S413" s="91">
        <f>IFERROR(__xludf.DUMMYFUNCTION("IFERROR(sum(FILTER('Fund Investment Data'!$V:$V, 'Fund Investment Data'!$C:$C = $C413, 'Fund Investment Data'!$A:$A &lt; $A413)),0) + IFERROR(sum(FILTER('Fund Investment Data'!$V:$V, 'Fund Investment Data'!$C:$C = $C413, 'Fund Investment Data'!$A:$A = $A413,"&amp;" 'Fund Investment Data'!$B:$B &lt;= $B413)),0)"),429067.24)</f>
        <v>429067.24</v>
      </c>
      <c r="T413" s="93">
        <v>413959.0</v>
      </c>
      <c r="U413" s="32">
        <f t="shared" si="3"/>
        <v>15108.24</v>
      </c>
      <c r="V413" s="32">
        <f>IFERROR(__xludf.DUMMYFUNCTION("$D413 - IFERROR(FILTER($D:$D,$C:$C = $C413, $A:$A = $A413, $B:$B = $B413 - 1),0)"),0.0)</f>
        <v>0</v>
      </c>
      <c r="W413" s="93">
        <f>IFERROR(__xludf.DUMMYFUNCTION("$E413 - IFERROR(FILTER($E:$E,$C:$C = $C413, $A:$A = $A413, $B:$B = $B413 - 1),0)"),-25000.0)</f>
        <v>-25000</v>
      </c>
      <c r="X413" s="93"/>
      <c r="Y413" s="93"/>
      <c r="Z413" s="93">
        <v>0.0</v>
      </c>
      <c r="AA413" s="93">
        <v>0.0</v>
      </c>
      <c r="AB413" s="93">
        <v>0.0</v>
      </c>
      <c r="AC413" s="93"/>
      <c r="AD413" s="93">
        <v>0.0</v>
      </c>
      <c r="AE413" s="32">
        <f t="shared" si="2"/>
        <v>-25000</v>
      </c>
      <c r="AF413" s="93">
        <v>0.0</v>
      </c>
    </row>
    <row r="414">
      <c r="A414" s="86">
        <v>2016.0</v>
      </c>
      <c r="B414" s="87">
        <v>12.0</v>
      </c>
      <c r="C414" s="88" t="s">
        <v>37</v>
      </c>
      <c r="D414" s="32"/>
      <c r="E414" s="93">
        <v>-65200.0</v>
      </c>
      <c r="F414" s="93"/>
      <c r="G414" s="93">
        <v>-4854.04</v>
      </c>
      <c r="H414" s="93">
        <v>17732.46</v>
      </c>
      <c r="I414" s="93">
        <v>8092.46</v>
      </c>
      <c r="J414" s="93">
        <v>27742.01</v>
      </c>
      <c r="K414" s="32"/>
      <c r="L414" s="32"/>
      <c r="M414" s="32"/>
      <c r="N414" s="32"/>
      <c r="O414" s="93">
        <v>786371.0</v>
      </c>
      <c r="P414" s="91">
        <f>IFERROR(__xludf.DUMMYFUNCTION("IFERROR(sum(FILTER($D:$N,$C:$C = $C414,$A:$A &lt; $A414,$B:$B = 12)),0) + sum($D414:$N414)"),786371.0100000001)</f>
        <v>786371.01</v>
      </c>
      <c r="Q414" s="92">
        <f t="shared" si="1"/>
        <v>-0.01000000013</v>
      </c>
      <c r="R414" s="91">
        <f t="array" ref="R414">IFERROR(INDEX('Fund YTD Target Values'!$1:$1000, MATCH($C414,'Fund YTD Target Values'!$A:$A,0), MATCH($A414,'Fund YTD Target Values'!$1:$1,0)),0)</f>
        <v>808229.683</v>
      </c>
      <c r="S414" s="91">
        <f>IFERROR(__xludf.DUMMYFUNCTION("IFERROR(sum(FILTER('Fund Investment Data'!$V:$V, 'Fund Investment Data'!$C:$C = $C414, 'Fund Investment Data'!$A:$A &lt; $A414)),0) + IFERROR(sum(FILTER('Fund Investment Data'!$V:$V, 'Fund Investment Data'!$C:$C = $C414, 'Fund Investment Data'!$A:$A = $A414,"&amp;" 'Fund Investment Data'!$B:$B &lt;= $B414)),0)"),758137.86)</f>
        <v>758137.86</v>
      </c>
      <c r="T414" s="93">
        <v>742866.0</v>
      </c>
      <c r="U414" s="32">
        <f t="shared" si="3"/>
        <v>15271.86</v>
      </c>
      <c r="V414" s="32">
        <f>IFERROR(__xludf.DUMMYFUNCTION("$D414 - IFERROR(FILTER($D:$D,$C:$C = $C414, $A:$A = $A414, $B:$B = $B414 - 1),0)"),0.0)</f>
        <v>0</v>
      </c>
      <c r="W414" s="93">
        <f>IFERROR(__xludf.DUMMYFUNCTION("$E414 - IFERROR(FILTER($E:$E,$C:$C = $C414, $A:$A = $A414, $B:$B = $B414 - 1),0)"),-65200.0)</f>
        <v>-65200</v>
      </c>
      <c r="X414" s="93"/>
      <c r="Y414" s="93"/>
      <c r="Z414" s="93">
        <v>0.0</v>
      </c>
      <c r="AA414" s="93">
        <v>0.0</v>
      </c>
      <c r="AB414" s="93">
        <v>0.0</v>
      </c>
      <c r="AC414" s="93"/>
      <c r="AD414" s="93">
        <v>0.0</v>
      </c>
      <c r="AE414" s="32">
        <f t="shared" si="2"/>
        <v>-65200</v>
      </c>
      <c r="AF414" s="93">
        <v>0.0</v>
      </c>
    </row>
    <row r="415">
      <c r="A415" s="86">
        <v>2016.0</v>
      </c>
      <c r="B415" s="87">
        <v>12.0</v>
      </c>
      <c r="C415" s="88" t="s">
        <v>29</v>
      </c>
      <c r="D415" s="32"/>
      <c r="E415" s="93">
        <v>-3700.0</v>
      </c>
      <c r="F415" s="93"/>
      <c r="G415" s="93">
        <v>-323.23</v>
      </c>
      <c r="H415" s="93">
        <v>1177.15</v>
      </c>
      <c r="I415" s="93">
        <v>680.02</v>
      </c>
      <c r="J415" s="93">
        <v>1733.68</v>
      </c>
      <c r="K415" s="32"/>
      <c r="L415" s="32"/>
      <c r="M415" s="32"/>
      <c r="N415" s="32"/>
      <c r="O415" s="93">
        <v>53213.0</v>
      </c>
      <c r="P415" s="91">
        <f>IFERROR(__xludf.DUMMYFUNCTION("IFERROR(sum(FILTER($D:$N,$C:$C = $C415,$A:$A &lt; $A415,$B:$B = 12)),0) + sum($D415:$N415)"),53213.08999999993)</f>
        <v>53213.09</v>
      </c>
      <c r="Q415" s="92">
        <f t="shared" si="1"/>
        <v>-0.08999999993</v>
      </c>
      <c r="R415" s="91">
        <f t="array" ref="R415">IFERROR(INDEX('Fund YTD Target Values'!$1:$1000, MATCH($C415,'Fund YTD Target Values'!$A:$A,0), MATCH($A415,'Fund YTD Target Values'!$1:$1,0)),0)</f>
        <v>73648.68149</v>
      </c>
      <c r="S415" s="91">
        <f>IFERROR(__xludf.DUMMYFUNCTION("IFERROR(sum(FILTER('Fund Investment Data'!$V:$V, 'Fund Investment Data'!$C:$C = $C415, 'Fund Investment Data'!$A:$A &lt; $A415)),0) + IFERROR(sum(FILTER('Fund Investment Data'!$V:$V, 'Fund Investment Data'!$C:$C = $C415, 'Fund Investment Data'!$A:$A = $A415,"&amp;" 'Fund Investment Data'!$B:$B &lt;= $B415)),0)"),50000.0)</f>
        <v>50000</v>
      </c>
      <c r="T415" s="93">
        <v>50000.0</v>
      </c>
      <c r="U415" s="32">
        <f t="shared" si="3"/>
        <v>0</v>
      </c>
      <c r="V415" s="32">
        <f>IFERROR(__xludf.DUMMYFUNCTION("$D415 - IFERROR(FILTER($D:$D,$C:$C = $C415, $A:$A = $A415, $B:$B = $B415 - 1),0)"),0.0)</f>
        <v>0</v>
      </c>
      <c r="W415" s="93">
        <f>IFERROR(__xludf.DUMMYFUNCTION("$E415 - IFERROR(FILTER($E:$E,$C:$C = $C415, $A:$A = $A415, $B:$B = $B415 - 1),0)"),-3700.0)</f>
        <v>-3700</v>
      </c>
      <c r="X415" s="93"/>
      <c r="Y415" s="93"/>
      <c r="Z415" s="93">
        <v>0.0</v>
      </c>
      <c r="AA415" s="93">
        <v>0.0</v>
      </c>
      <c r="AB415" s="93">
        <v>0.0</v>
      </c>
      <c r="AC415" s="93"/>
      <c r="AD415" s="93">
        <v>0.0</v>
      </c>
      <c r="AE415" s="32">
        <f t="shared" si="2"/>
        <v>-3700</v>
      </c>
      <c r="AF415" s="93">
        <v>0.0</v>
      </c>
    </row>
    <row r="416">
      <c r="A416" s="86">
        <v>2016.0</v>
      </c>
      <c r="B416" s="87">
        <v>12.0</v>
      </c>
      <c r="C416" s="88" t="s">
        <v>38</v>
      </c>
      <c r="D416" s="32"/>
      <c r="E416" s="93">
        <v>-20495.0</v>
      </c>
      <c r="F416" s="93"/>
      <c r="G416" s="93">
        <v>-4253.83</v>
      </c>
      <c r="H416" s="93">
        <v>15519.6</v>
      </c>
      <c r="I416" s="93">
        <v>116.0</v>
      </c>
      <c r="J416" s="93">
        <v>31077.4</v>
      </c>
      <c r="K416" s="32"/>
      <c r="L416" s="32"/>
      <c r="M416" s="32"/>
      <c r="N416" s="32"/>
      <c r="O416" s="93">
        <v>717652.0</v>
      </c>
      <c r="P416" s="91">
        <f>IFERROR(__xludf.DUMMYFUNCTION("IFERROR(sum(FILTER($D:$N,$C:$C = $C416,$A:$A &lt; $A416,$B:$B = 12)),0) + sum($D416:$N416)"),717650.9699999999)</f>
        <v>717650.97</v>
      </c>
      <c r="Q416" s="92">
        <f t="shared" si="1"/>
        <v>1.03</v>
      </c>
      <c r="R416" s="91">
        <f t="array" ref="R416">IFERROR(INDEX('Fund YTD Target Values'!$1:$1000, MATCH($C416,'Fund YTD Target Values'!$A:$A,0), MATCH($A416,'Fund YTD Target Values'!$1:$1,0)),0)</f>
        <v>671451.1771</v>
      </c>
      <c r="S416" s="91">
        <f>IFERROR(__xludf.DUMMYFUNCTION("IFERROR(sum(FILTER('Fund Investment Data'!$V:$V, 'Fund Investment Data'!$C:$C = $C416, 'Fund Investment Data'!$A:$A &lt; $A416)),0) + IFERROR(sum(FILTER('Fund Investment Data'!$V:$V, 'Fund Investment Data'!$C:$C = $C416, 'Fund Investment Data'!$A:$A = $A416,"&amp;" 'Fund Investment Data'!$B:$B &lt;= $B416)),0)"),556601.64)</f>
        <v>556601.64</v>
      </c>
      <c r="T416" s="93">
        <v>558656.0</v>
      </c>
      <c r="U416" s="32">
        <f t="shared" si="3"/>
        <v>-2054.36</v>
      </c>
      <c r="V416" s="32">
        <f>IFERROR(__xludf.DUMMYFUNCTION("$D416 - IFERROR(FILTER($D:$D,$C:$C = $C416, $A:$A = $A416, $B:$B = $B416 - 1),0)"),0.0)</f>
        <v>0</v>
      </c>
      <c r="W416" s="93">
        <f>IFERROR(__xludf.DUMMYFUNCTION("$E416 - IFERROR(FILTER($E:$E,$C:$C = $C416, $A:$A = $A416, $B:$B = $B416 - 1),0)"),-20495.0)</f>
        <v>-20495</v>
      </c>
      <c r="X416" s="93"/>
      <c r="Y416" s="93"/>
      <c r="Z416" s="93">
        <v>0.0</v>
      </c>
      <c r="AA416" s="93">
        <v>0.0</v>
      </c>
      <c r="AB416" s="93">
        <v>0.0</v>
      </c>
      <c r="AC416" s="93"/>
      <c r="AD416" s="93">
        <v>0.0</v>
      </c>
      <c r="AE416" s="32">
        <f t="shared" si="2"/>
        <v>-20495</v>
      </c>
      <c r="AF416" s="93">
        <v>0.0</v>
      </c>
    </row>
    <row r="417">
      <c r="A417" s="86">
        <v>2016.0</v>
      </c>
      <c r="B417" s="87">
        <v>12.0</v>
      </c>
      <c r="C417" s="88" t="s">
        <v>30</v>
      </c>
      <c r="D417" s="32"/>
      <c r="E417" s="32"/>
      <c r="F417" s="93"/>
      <c r="G417" s="93">
        <v>-88.38</v>
      </c>
      <c r="H417" s="93">
        <v>309.55</v>
      </c>
      <c r="I417" s="32"/>
      <c r="J417" s="93">
        <v>620.16</v>
      </c>
      <c r="K417" s="32"/>
      <c r="L417" s="32"/>
      <c r="M417" s="32"/>
      <c r="N417" s="32"/>
      <c r="O417" s="93">
        <v>15199.0</v>
      </c>
      <c r="P417" s="91">
        <f>IFERROR(__xludf.DUMMYFUNCTION("IFERROR(sum(FILTER($D:$N,$C:$C = $C417,$A:$A &lt; $A417,$B:$B = 12)),0) + sum($D417:$N417)"),15197.289999999988)</f>
        <v>15197.29</v>
      </c>
      <c r="Q417" s="92">
        <f t="shared" si="1"/>
        <v>1.71</v>
      </c>
      <c r="R417" s="91">
        <f t="array" ref="R417">IFERROR(INDEX('Fund YTD Target Values'!$1:$1000, MATCH($C417,'Fund YTD Target Values'!$A:$A,0), MATCH($A417,'Fund YTD Target Values'!$1:$1,0)),0)</f>
        <v>17667.22037</v>
      </c>
      <c r="S417" s="91">
        <f>IFERROR(__xludf.DUMMYFUNCTION("IFERROR(sum(FILTER('Fund Investment Data'!$V:$V, 'Fund Investment Data'!$C:$C = $C417, 'Fund Investment Data'!$A:$A &lt; $A417)),0) + IFERROR(sum(FILTER('Fund Investment Data'!$V:$V, 'Fund Investment Data'!$C:$C = $C417, 'Fund Investment Data'!$A:$A = $A417,"&amp;" 'Fund Investment Data'!$B:$B &lt;= $B417)),0)"),11540.75)</f>
        <v>11540.75</v>
      </c>
      <c r="T417" s="93">
        <v>10000.0</v>
      </c>
      <c r="U417" s="32">
        <f t="shared" si="3"/>
        <v>1540.75</v>
      </c>
      <c r="V417" s="32">
        <f>IFERROR(__xludf.DUMMYFUNCTION("$D417 - IFERROR(FILTER($D:$D,$C:$C = $C417, $A:$A = $A417, $B:$B = $B417 - 1),0)"),0.0)</f>
        <v>0</v>
      </c>
      <c r="W417" s="93">
        <f>IFERROR(__xludf.DUMMYFUNCTION("$E417 - IFERROR(FILTER($E:$E,$C:$C = $C417, $A:$A = $A417, $B:$B = $B417 - 1),0)"),0.0)</f>
        <v>0</v>
      </c>
      <c r="X417" s="93"/>
      <c r="Y417" s="93"/>
      <c r="Z417" s="93">
        <v>0.0</v>
      </c>
      <c r="AA417" s="93">
        <v>0.0</v>
      </c>
      <c r="AB417" s="93">
        <v>0.0</v>
      </c>
      <c r="AC417" s="93"/>
      <c r="AD417" s="93">
        <v>0.0</v>
      </c>
      <c r="AE417" s="32">
        <f t="shared" si="2"/>
        <v>0</v>
      </c>
      <c r="AF417" s="93">
        <v>0.0</v>
      </c>
    </row>
    <row r="418">
      <c r="A418" s="86">
        <v>2016.0</v>
      </c>
      <c r="B418" s="87">
        <v>12.0</v>
      </c>
      <c r="C418" s="88" t="s">
        <v>47</v>
      </c>
      <c r="D418" s="32"/>
      <c r="E418" s="93">
        <v>-40000.0</v>
      </c>
      <c r="F418" s="93"/>
      <c r="G418" s="93">
        <v>-8147.81</v>
      </c>
      <c r="H418" s="93">
        <v>29596.67</v>
      </c>
      <c r="I418" s="93">
        <v>4684.37</v>
      </c>
      <c r="J418" s="93">
        <v>55149.94</v>
      </c>
      <c r="K418" s="32"/>
      <c r="L418" s="32"/>
      <c r="M418" s="32"/>
      <c r="N418" s="32"/>
      <c r="O418" s="93">
        <v>1374206.0</v>
      </c>
      <c r="P418" s="91">
        <f>IFERROR(__xludf.DUMMYFUNCTION("IFERROR(sum(FILTER($D:$N,$C:$C = $C418,$A:$A &lt; $A418,$B:$B = 12)),0) + sum($D418:$N418)"),1374205.3299999996)</f>
        <v>1374205.33</v>
      </c>
      <c r="Q418" s="92">
        <f t="shared" si="1"/>
        <v>0.6700000004</v>
      </c>
      <c r="R418" s="91">
        <f t="array" ref="R418">IFERROR(INDEX('Fund YTD Target Values'!$1:$1000, MATCH($C418,'Fund YTD Target Values'!$A:$A,0), MATCH($A418,'Fund YTD Target Values'!$1:$1,0)),0)</f>
        <v>1900558.128</v>
      </c>
      <c r="S418" s="91">
        <f>IFERROR(__xludf.DUMMYFUNCTION("IFERROR(sum(FILTER('Fund Investment Data'!$V:$V, 'Fund Investment Data'!$C:$C = $C418, 'Fund Investment Data'!$A:$A &lt; $A418)),0) + IFERROR(sum(FILTER('Fund Investment Data'!$V:$V, 'Fund Investment Data'!$C:$C = $C418, 'Fund Investment Data'!$A:$A = $A418,"&amp;" 'Fund Investment Data'!$B:$B &lt;= $B418)),0)"),1446367.46)</f>
        <v>1446367.46</v>
      </c>
      <c r="T418" s="93">
        <v>1348955.0</v>
      </c>
      <c r="U418" s="32">
        <f t="shared" si="3"/>
        <v>97412.46</v>
      </c>
      <c r="V418" s="32">
        <f>IFERROR(__xludf.DUMMYFUNCTION("$D418 - IFERROR(FILTER($D:$D,$C:$C = $C418, $A:$A = $A418, $B:$B = $B418 - 1),0)"),0.0)</f>
        <v>0</v>
      </c>
      <c r="W418" s="93">
        <f>IFERROR(__xludf.DUMMYFUNCTION("$E418 - IFERROR(FILTER($E:$E,$C:$C = $C418, $A:$A = $A418, $B:$B = $B418 - 1),0)"),-40000.0)</f>
        <v>-40000</v>
      </c>
      <c r="X418" s="93"/>
      <c r="Y418" s="93"/>
      <c r="Z418" s="93">
        <v>0.0</v>
      </c>
      <c r="AA418" s="93">
        <v>0.0</v>
      </c>
      <c r="AB418" s="93">
        <v>0.0</v>
      </c>
      <c r="AC418" s="93"/>
      <c r="AD418" s="93">
        <v>0.0</v>
      </c>
      <c r="AE418" s="32">
        <f t="shared" si="2"/>
        <v>-40000</v>
      </c>
      <c r="AF418" s="93">
        <v>0.0</v>
      </c>
    </row>
    <row r="419">
      <c r="A419" s="86">
        <v>2016.0</v>
      </c>
      <c r="B419" s="87">
        <v>12.0</v>
      </c>
      <c r="C419" s="88" t="s">
        <v>31</v>
      </c>
      <c r="D419" s="93">
        <v>1750.0</v>
      </c>
      <c r="E419" s="93">
        <v>-12000.0</v>
      </c>
      <c r="F419" s="93">
        <v>-1250.0</v>
      </c>
      <c r="G419" s="93">
        <v>-1044.68</v>
      </c>
      <c r="H419" s="93">
        <v>3818.49</v>
      </c>
      <c r="I419" s="93">
        <v>2124.24</v>
      </c>
      <c r="J419" s="93">
        <v>5645.82</v>
      </c>
      <c r="K419" s="32"/>
      <c r="L419" s="32"/>
      <c r="M419" s="32"/>
      <c r="N419" s="32"/>
      <c r="O419" s="93">
        <v>172245.0</v>
      </c>
      <c r="P419" s="91">
        <f>IFERROR(__xludf.DUMMYFUNCTION("IFERROR(sum(FILTER($D:$N,$C:$C = $C419,$A:$A &lt; $A419,$B:$B = 12)),0) + sum($D419:$N419)"),172244.54000000004)</f>
        <v>172244.54</v>
      </c>
      <c r="Q419" s="92">
        <f t="shared" si="1"/>
        <v>0.46</v>
      </c>
      <c r="R419" s="91">
        <f t="array" ref="R419">IFERROR(INDEX('Fund YTD Target Values'!$1:$1000, MATCH($C419,'Fund YTD Target Values'!$A:$A,0), MATCH($A419,'Fund YTD Target Values'!$1:$1,0)),0)</f>
        <v>200020.9272</v>
      </c>
      <c r="S419" s="91">
        <f>IFERROR(__xludf.DUMMYFUNCTION("IFERROR(sum(FILTER('Fund Investment Data'!$V:$V, 'Fund Investment Data'!$C:$C = $C419, 'Fund Investment Data'!$A:$A &lt; $A419)),0) + IFERROR(sum(FILTER('Fund Investment Data'!$V:$V, 'Fund Investment Data'!$C:$C = $C419, 'Fund Investment Data'!$A:$A = $A419,"&amp;" 'Fund Investment Data'!$B:$B &lt;= $B419)),0)"),156850.0)</f>
        <v>156850</v>
      </c>
      <c r="T419" s="93">
        <v>156850.0</v>
      </c>
      <c r="U419" s="32">
        <f t="shared" si="3"/>
        <v>0</v>
      </c>
      <c r="V419" s="32">
        <f>IFERROR(__xludf.DUMMYFUNCTION("$D419 - IFERROR(FILTER($D:$D,$C:$C = $C419, $A:$A = $A419, $B:$B = $B419 - 1),0)"),1750.0)</f>
        <v>1750</v>
      </c>
      <c r="W419" s="93">
        <f>IFERROR(__xludf.DUMMYFUNCTION("$E419 - IFERROR(FILTER($E:$E,$C:$C = $C419, $A:$A = $A419, $B:$B = $B419 - 1),0)"),-12000.0)</f>
        <v>-12000</v>
      </c>
      <c r="X419" s="93"/>
      <c r="Y419" s="93"/>
      <c r="Z419" s="93">
        <v>0.0</v>
      </c>
      <c r="AA419" s="93">
        <v>0.0</v>
      </c>
      <c r="AB419" s="93">
        <v>0.0</v>
      </c>
      <c r="AC419" s="93"/>
      <c r="AD419" s="93">
        <v>0.0</v>
      </c>
      <c r="AE419" s="32">
        <f t="shared" si="2"/>
        <v>-12000</v>
      </c>
      <c r="AF419" s="93">
        <v>0.0</v>
      </c>
    </row>
    <row r="420">
      <c r="A420" s="86">
        <v>2016.0</v>
      </c>
      <c r="B420" s="87">
        <v>12.0</v>
      </c>
      <c r="C420" s="88" t="s">
        <v>39</v>
      </c>
      <c r="D420" s="93">
        <v>15000.0</v>
      </c>
      <c r="E420" s="93">
        <v>-4000.0</v>
      </c>
      <c r="F420" s="93"/>
      <c r="G420" s="93">
        <v>-803.45</v>
      </c>
      <c r="H420" s="93">
        <v>2904.54</v>
      </c>
      <c r="I420" s="93">
        <v>71.79</v>
      </c>
      <c r="J420" s="93">
        <v>5807.22</v>
      </c>
      <c r="K420" s="32"/>
      <c r="L420" s="32"/>
      <c r="M420" s="32"/>
      <c r="N420" s="32"/>
      <c r="O420" s="93">
        <v>149532.0</v>
      </c>
      <c r="P420" s="91">
        <f>IFERROR(__xludf.DUMMYFUNCTION("IFERROR(sum(FILTER($D:$N,$C:$C = $C420,$A:$A &lt; $A420,$B:$B = 12)),0) + sum($D420:$N420)"),149531.54000000004)</f>
        <v>149531.54</v>
      </c>
      <c r="Q420" s="92">
        <f t="shared" si="1"/>
        <v>0.46</v>
      </c>
      <c r="R420" s="91">
        <f t="array" ref="R420">IFERROR(INDEX('Fund YTD Target Values'!$1:$1000, MATCH($C420,'Fund YTD Target Values'!$A:$A,0), MATCH($A420,'Fund YTD Target Values'!$1:$1,0)),0)</f>
        <v>147684.6786</v>
      </c>
      <c r="S420" s="91">
        <f>IFERROR(__xludf.DUMMYFUNCTION("IFERROR(sum(FILTER('Fund Investment Data'!$V:$V, 'Fund Investment Data'!$C:$C = $C420, 'Fund Investment Data'!$A:$A &lt; $A420)),0) + IFERROR(sum(FILTER('Fund Investment Data'!$V:$V, 'Fund Investment Data'!$C:$C = $C420, 'Fund Investment Data'!$A:$A = $A420,"&amp;" 'Fund Investment Data'!$B:$B &lt;= $B420)),0)"),140000.0)</f>
        <v>140000</v>
      </c>
      <c r="T420" s="93">
        <v>140000.0</v>
      </c>
      <c r="U420" s="32">
        <f t="shared" si="3"/>
        <v>0</v>
      </c>
      <c r="V420" s="32">
        <f>IFERROR(__xludf.DUMMYFUNCTION("$D420 - IFERROR(FILTER($D:$D,$C:$C = $C420, $A:$A = $A420, $B:$B = $B420 - 1),0)"),15000.0)</f>
        <v>15000</v>
      </c>
      <c r="W420" s="93">
        <f>IFERROR(__xludf.DUMMYFUNCTION("$E420 - IFERROR(FILTER($E:$E,$C:$C = $C420, $A:$A = $A420, $B:$B = $B420 - 1),0)"),-4000.0)</f>
        <v>-4000</v>
      </c>
      <c r="X420" s="93"/>
      <c r="Y420" s="93"/>
      <c r="Z420" s="93">
        <v>0.0</v>
      </c>
      <c r="AA420" s="93">
        <v>0.0</v>
      </c>
      <c r="AB420" s="93">
        <v>0.0</v>
      </c>
      <c r="AC420" s="93"/>
      <c r="AD420" s="93">
        <v>0.0</v>
      </c>
      <c r="AE420" s="32">
        <f t="shared" si="2"/>
        <v>-4000</v>
      </c>
      <c r="AF420" s="93">
        <v>0.0</v>
      </c>
    </row>
    <row r="421">
      <c r="A421" s="86">
        <v>2016.0</v>
      </c>
      <c r="B421" s="87">
        <v>12.0</v>
      </c>
      <c r="C421" s="88" t="s">
        <v>50</v>
      </c>
      <c r="D421" s="93">
        <v>20000.0</v>
      </c>
      <c r="E421" s="93">
        <v>-5000.0</v>
      </c>
      <c r="F421" s="93"/>
      <c r="G421" s="93">
        <v>-1063.81</v>
      </c>
      <c r="H421" s="93">
        <v>3500.99</v>
      </c>
      <c r="I421" s="32"/>
      <c r="J421" s="93">
        <v>6994.99</v>
      </c>
      <c r="K421" s="32"/>
      <c r="L421" s="32"/>
      <c r="M421" s="32"/>
      <c r="N421" s="32"/>
      <c r="O421" s="93">
        <v>198882.0</v>
      </c>
      <c r="P421" s="91">
        <f>IFERROR(__xludf.DUMMYFUNCTION("IFERROR(sum(FILTER($D:$N,$C:$C = $C421,$A:$A &lt; $A421,$B:$B = 12)),0) + sum($D421:$N421)"),198881.57)</f>
        <v>198881.57</v>
      </c>
      <c r="Q421" s="92">
        <f t="shared" si="1"/>
        <v>0.43</v>
      </c>
      <c r="R421" s="91">
        <f t="array" ref="R421">IFERROR(INDEX('Fund YTD Target Values'!$1:$1000, MATCH($C421,'Fund YTD Target Values'!$A:$A,0), MATCH($A421,'Fund YTD Target Values'!$1:$1,0)),0)</f>
        <v>208039.0238</v>
      </c>
      <c r="S421" s="91">
        <f>IFERROR(__xludf.DUMMYFUNCTION("IFERROR(sum(FILTER('Fund Investment Data'!$V:$V, 'Fund Investment Data'!$C:$C = $C421, 'Fund Investment Data'!$A:$A &lt; $A421)),0) + IFERROR(sum(FILTER('Fund Investment Data'!$V:$V, 'Fund Investment Data'!$C:$C = $C421, 'Fund Investment Data'!$A:$A = $A421,"&amp;" 'Fund Investment Data'!$B:$B &lt;= $B421)),0)"),185189.56)</f>
        <v>185189.56</v>
      </c>
      <c r="T421" s="93">
        <v>190241.0</v>
      </c>
      <c r="U421" s="32">
        <f t="shared" si="3"/>
        <v>-5051.44</v>
      </c>
      <c r="V421" s="32">
        <f>IFERROR(__xludf.DUMMYFUNCTION("$D421 - IFERROR(FILTER($D:$D,$C:$C = $C421, $A:$A = $A421, $B:$B = $B421 - 1),0)"),20000.0)</f>
        <v>20000</v>
      </c>
      <c r="W421" s="93">
        <f>IFERROR(__xludf.DUMMYFUNCTION("$E421 - IFERROR(FILTER($E:$E,$C:$C = $C421, $A:$A = $A421, $B:$B = $B421 - 1),0)"),-5000.0)</f>
        <v>-5000</v>
      </c>
      <c r="X421" s="93"/>
      <c r="Y421" s="93"/>
      <c r="Z421" s="93">
        <v>0.0</v>
      </c>
      <c r="AA421" s="93">
        <v>0.0</v>
      </c>
      <c r="AB421" s="93">
        <v>0.0</v>
      </c>
      <c r="AC421" s="93"/>
      <c r="AD421" s="93">
        <v>0.0</v>
      </c>
      <c r="AE421" s="32">
        <f t="shared" si="2"/>
        <v>-5000</v>
      </c>
      <c r="AF421" s="93">
        <v>0.0</v>
      </c>
    </row>
    <row r="422">
      <c r="A422" s="86">
        <v>2016.0</v>
      </c>
      <c r="B422" s="87">
        <v>12.0</v>
      </c>
      <c r="C422" s="88" t="s">
        <v>32</v>
      </c>
      <c r="D422" s="32"/>
      <c r="E422" s="32"/>
      <c r="F422" s="93"/>
      <c r="G422" s="93">
        <v>-271.06</v>
      </c>
      <c r="H422" s="93">
        <v>965.97</v>
      </c>
      <c r="I422" s="32"/>
      <c r="J422" s="93">
        <v>1938.75</v>
      </c>
      <c r="K422" s="32"/>
      <c r="L422" s="32"/>
      <c r="M422" s="32"/>
      <c r="N422" s="32"/>
      <c r="O422" s="93">
        <v>46647.0</v>
      </c>
      <c r="P422" s="91">
        <f>IFERROR(__xludf.DUMMYFUNCTION("IFERROR(sum(FILTER($D:$N,$C:$C = $C422,$A:$A &lt; $A422,$B:$B = 12)),0) + sum($D422:$N422)"),46647.090000000026)</f>
        <v>46647.09</v>
      </c>
      <c r="Q422" s="92">
        <f t="shared" si="1"/>
        <v>-0.09000000003</v>
      </c>
      <c r="R422" s="91">
        <f t="array" ref="R422">IFERROR(INDEX('Fund YTD Target Values'!$1:$1000, MATCH($C422,'Fund YTD Target Values'!$A:$A,0), MATCH($A422,'Fund YTD Target Values'!$1:$1,0)),0)</f>
        <v>75677.97303</v>
      </c>
      <c r="S422" s="91">
        <f>IFERROR(__xludf.DUMMYFUNCTION("IFERROR(sum(FILTER('Fund Investment Data'!$V:$V, 'Fund Investment Data'!$C:$C = $C422, 'Fund Investment Data'!$A:$A &lt; $A422)),0) + IFERROR(sum(FILTER('Fund Investment Data'!$V:$V, 'Fund Investment Data'!$C:$C = $C422, 'Fund Investment Data'!$A:$A = $A422,"&amp;" 'Fund Investment Data'!$B:$B &lt;= $B422)),0)"),49449.04)</f>
        <v>49449.04</v>
      </c>
      <c r="T422" s="93">
        <v>39268.0</v>
      </c>
      <c r="U422" s="32">
        <f t="shared" si="3"/>
        <v>10181.04</v>
      </c>
      <c r="V422" s="32">
        <f>IFERROR(__xludf.DUMMYFUNCTION("$D422 - IFERROR(FILTER($D:$D,$C:$C = $C422, $A:$A = $A422, $B:$B = $B422 - 1),0)"),0.0)</f>
        <v>0</v>
      </c>
      <c r="W422" s="93">
        <f>IFERROR(__xludf.DUMMYFUNCTION("$E422 - IFERROR(FILTER($E:$E,$C:$C = $C422, $A:$A = $A422, $B:$B = $B422 - 1),0)"),0.0)</f>
        <v>0</v>
      </c>
      <c r="X422" s="93"/>
      <c r="Y422" s="93"/>
      <c r="Z422" s="93">
        <v>0.0</v>
      </c>
      <c r="AA422" s="93">
        <v>0.0</v>
      </c>
      <c r="AB422" s="93">
        <v>0.0</v>
      </c>
      <c r="AC422" s="93"/>
      <c r="AD422" s="93">
        <v>0.0</v>
      </c>
      <c r="AE422" s="32">
        <f t="shared" si="2"/>
        <v>0</v>
      </c>
      <c r="AF422" s="93">
        <v>0.0</v>
      </c>
    </row>
    <row r="423">
      <c r="A423" s="86">
        <v>2016.0</v>
      </c>
      <c r="B423" s="87">
        <v>12.0</v>
      </c>
      <c r="C423" s="88" t="s">
        <v>40</v>
      </c>
      <c r="D423" s="32"/>
      <c r="E423" s="93">
        <v>-12000.0</v>
      </c>
      <c r="F423" s="93"/>
      <c r="G423" s="93">
        <v>-851.5</v>
      </c>
      <c r="H423" s="93">
        <v>3109.55</v>
      </c>
      <c r="I423" s="93">
        <v>1632.05</v>
      </c>
      <c r="J423" s="93">
        <v>4779.08</v>
      </c>
      <c r="K423" s="32"/>
      <c r="L423" s="32"/>
      <c r="M423" s="32"/>
      <c r="N423" s="32"/>
      <c r="O423" s="93">
        <v>139008.0</v>
      </c>
      <c r="P423" s="91">
        <f>IFERROR(__xludf.DUMMYFUNCTION("IFERROR(sum(FILTER($D:$N,$C:$C = $C423,$A:$A &lt; $A423,$B:$B = 12)),0) + sum($D423:$N423)"),139007.69999999998)</f>
        <v>139007.7</v>
      </c>
      <c r="Q423" s="92">
        <f t="shared" si="1"/>
        <v>0.3</v>
      </c>
      <c r="R423" s="91">
        <f t="array" ref="R423">IFERROR(INDEX('Fund YTD Target Values'!$1:$1000, MATCH($C423,'Fund YTD Target Values'!$A:$A,0), MATCH($A423,'Fund YTD Target Values'!$1:$1,0)),0)</f>
        <v>154227.8231</v>
      </c>
      <c r="S423" s="91">
        <f>IFERROR(__xludf.DUMMYFUNCTION("IFERROR(sum(FILTER('Fund Investment Data'!$V:$V, 'Fund Investment Data'!$C:$C = $C423, 'Fund Investment Data'!$A:$A &lt; $A423)),0) + IFERROR(sum(FILTER('Fund Investment Data'!$V:$V, 'Fund Investment Data'!$C:$C = $C423, 'Fund Investment Data'!$A:$A = $A423,"&amp;" 'Fund Investment Data'!$B:$B &lt;= $B423)),0)"),129703.74)</f>
        <v>129703.74</v>
      </c>
      <c r="T423" s="93">
        <v>129723.0</v>
      </c>
      <c r="U423" s="32">
        <f t="shared" si="3"/>
        <v>-19.26</v>
      </c>
      <c r="V423" s="32">
        <f>IFERROR(__xludf.DUMMYFUNCTION("$D423 - IFERROR(FILTER($D:$D,$C:$C = $C423, $A:$A = $A423, $B:$B = $B423 - 1),0)"),0.0)</f>
        <v>0</v>
      </c>
      <c r="W423" s="93">
        <f>IFERROR(__xludf.DUMMYFUNCTION("$E423 - IFERROR(FILTER($E:$E,$C:$C = $C423, $A:$A = $A423, $B:$B = $B423 - 1),0)"),-12000.0)</f>
        <v>-12000</v>
      </c>
      <c r="X423" s="93"/>
      <c r="Y423" s="93"/>
      <c r="Z423" s="93">
        <v>0.0</v>
      </c>
      <c r="AA423" s="93">
        <v>0.0</v>
      </c>
      <c r="AB423" s="93">
        <v>0.0</v>
      </c>
      <c r="AC423" s="93"/>
      <c r="AD423" s="93">
        <v>0.0</v>
      </c>
      <c r="AE423" s="32">
        <f t="shared" si="2"/>
        <v>-12000</v>
      </c>
      <c r="AF423" s="93">
        <v>0.0</v>
      </c>
    </row>
    <row r="424">
      <c r="A424" s="86">
        <v>2016.0</v>
      </c>
      <c r="B424" s="87">
        <v>12.0</v>
      </c>
      <c r="C424" s="88" t="s">
        <v>51</v>
      </c>
      <c r="D424" s="93">
        <v>2500.0</v>
      </c>
      <c r="E424" s="93">
        <v>-11200.0</v>
      </c>
      <c r="F424" s="93"/>
      <c r="G424" s="93">
        <v>-2501.39</v>
      </c>
      <c r="H424" s="93">
        <v>8683.56</v>
      </c>
      <c r="I424" s="32"/>
      <c r="J424" s="93">
        <v>17443.45</v>
      </c>
      <c r="K424" s="32"/>
      <c r="L424" s="32"/>
      <c r="M424" s="32"/>
      <c r="N424" s="32"/>
      <c r="O424" s="93">
        <v>423537.0</v>
      </c>
      <c r="P424" s="91">
        <f>IFERROR(__xludf.DUMMYFUNCTION("IFERROR(sum(FILTER($D:$N,$C:$C = $C424,$A:$A &lt; $A424,$B:$B = 12)),0) + sum($D424:$N424)"),423536.9)</f>
        <v>423536.9</v>
      </c>
      <c r="Q424" s="92">
        <f t="shared" si="1"/>
        <v>0.09999999998</v>
      </c>
      <c r="R424" s="91">
        <f t="array" ref="R424">IFERROR(INDEX('Fund YTD Target Values'!$1:$1000, MATCH($C424,'Fund YTD Target Values'!$A:$A,0), MATCH($A424,'Fund YTD Target Values'!$1:$1,0)),0)</f>
        <v>425466.1216</v>
      </c>
      <c r="S424" s="91">
        <f>IFERROR(__xludf.DUMMYFUNCTION("IFERROR(sum(FILTER('Fund Investment Data'!$V:$V, 'Fund Investment Data'!$C:$C = $C424, 'Fund Investment Data'!$A:$A &lt; $A424)),0) + IFERROR(sum(FILTER('Fund Investment Data'!$V:$V, 'Fund Investment Data'!$C:$C = $C424, 'Fund Investment Data'!$A:$A = $A424,"&amp;" 'Fund Investment Data'!$B:$B &lt;= $B424)),0)"),413123.55)</f>
        <v>413123.55</v>
      </c>
      <c r="T424" s="93">
        <v>413980.0</v>
      </c>
      <c r="U424" s="32">
        <f t="shared" si="3"/>
        <v>-856.45</v>
      </c>
      <c r="V424" s="32">
        <f>IFERROR(__xludf.DUMMYFUNCTION("$D424 - IFERROR(FILTER($D:$D,$C:$C = $C424, $A:$A = $A424, $B:$B = $B424 - 1),0)"),2500.0)</f>
        <v>2500</v>
      </c>
      <c r="W424" s="93">
        <f>IFERROR(__xludf.DUMMYFUNCTION("$E424 - IFERROR(FILTER($E:$E,$C:$C = $C424, $A:$A = $A424, $B:$B = $B424 - 1),0)"),-11200.0)</f>
        <v>-11200</v>
      </c>
      <c r="X424" s="93"/>
      <c r="Y424" s="93"/>
      <c r="Z424" s="93">
        <v>0.0</v>
      </c>
      <c r="AA424" s="93">
        <v>0.0</v>
      </c>
      <c r="AB424" s="93">
        <v>0.0</v>
      </c>
      <c r="AC424" s="93"/>
      <c r="AD424" s="93">
        <v>0.0</v>
      </c>
      <c r="AE424" s="32">
        <f t="shared" si="2"/>
        <v>-11200</v>
      </c>
      <c r="AF424" s="93">
        <v>0.0</v>
      </c>
    </row>
    <row r="425">
      <c r="A425" s="86">
        <v>2016.0</v>
      </c>
      <c r="B425" s="87">
        <v>12.0</v>
      </c>
      <c r="C425" s="88" t="s">
        <v>48</v>
      </c>
      <c r="D425" s="32"/>
      <c r="E425" s="93">
        <v>-72000.0</v>
      </c>
      <c r="F425" s="93"/>
      <c r="G425" s="93">
        <v>-6942.72</v>
      </c>
      <c r="H425" s="93">
        <v>25257.14</v>
      </c>
      <c r="I425" s="93">
        <v>13219.9</v>
      </c>
      <c r="J425" s="93">
        <v>38376.85</v>
      </c>
      <c r="K425" s="32"/>
      <c r="L425" s="32"/>
      <c r="M425" s="32"/>
      <c r="N425" s="32"/>
      <c r="O425" s="93">
        <v>1142814.0</v>
      </c>
      <c r="P425" s="91">
        <f>IFERROR(__xludf.DUMMYFUNCTION("IFERROR(sum(FILTER($D:$N,$C:$C = $C425,$A:$A &lt; $A425,$B:$B = 12)),0) + sum($D425:$N425)"),1142812.7499999998)</f>
        <v>1142812.75</v>
      </c>
      <c r="Q425" s="92">
        <f t="shared" si="1"/>
        <v>1.25</v>
      </c>
      <c r="R425" s="91">
        <f t="array" ref="R425">IFERROR(INDEX('Fund YTD Target Values'!$1:$1000, MATCH($C425,'Fund YTD Target Values'!$A:$A,0), MATCH($A425,'Fund YTD Target Values'!$1:$1,0)),0)</f>
        <v>1812424.793</v>
      </c>
      <c r="S425" s="91">
        <f>IFERROR(__xludf.DUMMYFUNCTION("IFERROR(sum(FILTER('Fund Investment Data'!$V:$V, 'Fund Investment Data'!$C:$C = $C425, 'Fund Investment Data'!$A:$A &lt; $A425)),0) + IFERROR(sum(FILTER('Fund Investment Data'!$V:$V, 'Fund Investment Data'!$C:$C = $C425, 'Fund Investment Data'!$A:$A = $A425,"&amp;" 'Fund Investment Data'!$B:$B &lt;= $B425)),0)"),1183929.39)</f>
        <v>1183929.39</v>
      </c>
      <c r="T425" s="93">
        <v>1140040.0</v>
      </c>
      <c r="U425" s="32">
        <f t="shared" si="3"/>
        <v>43889.39</v>
      </c>
      <c r="V425" s="32">
        <f>IFERROR(__xludf.DUMMYFUNCTION("$D425 - IFERROR(FILTER($D:$D,$C:$C = $C425, $A:$A = $A425, $B:$B = $B425 - 1),0)"),0.0)</f>
        <v>0</v>
      </c>
      <c r="W425" s="93">
        <f>IFERROR(__xludf.DUMMYFUNCTION("$E425 - IFERROR(FILTER($E:$E,$C:$C = $C425, $A:$A = $A425, $B:$B = $B425 - 1),0)"),-72000.0)</f>
        <v>-72000</v>
      </c>
      <c r="X425" s="93"/>
      <c r="Y425" s="93"/>
      <c r="Z425" s="93">
        <v>0.0</v>
      </c>
      <c r="AA425" s="93">
        <v>0.0</v>
      </c>
      <c r="AB425" s="93">
        <v>0.0</v>
      </c>
      <c r="AC425" s="93"/>
      <c r="AD425" s="93">
        <v>0.0</v>
      </c>
      <c r="AE425" s="32">
        <f t="shared" si="2"/>
        <v>-72000</v>
      </c>
      <c r="AF425" s="93">
        <v>0.0</v>
      </c>
    </row>
    <row r="426">
      <c r="A426" s="86">
        <v>2016.0</v>
      </c>
      <c r="B426" s="87">
        <v>12.0</v>
      </c>
      <c r="C426" s="88" t="s">
        <v>49</v>
      </c>
      <c r="D426" s="32"/>
      <c r="E426" s="93">
        <v>-15000.0</v>
      </c>
      <c r="F426" s="93"/>
      <c r="G426" s="93">
        <v>-2984.11</v>
      </c>
      <c r="H426" s="93">
        <v>10831.31</v>
      </c>
      <c r="I426" s="93">
        <v>1765.52</v>
      </c>
      <c r="J426" s="93">
        <v>20133.35</v>
      </c>
      <c r="K426" s="32"/>
      <c r="L426" s="32"/>
      <c r="M426" s="32"/>
      <c r="N426" s="32"/>
      <c r="O426" s="93">
        <v>502716.0</v>
      </c>
      <c r="P426" s="91">
        <f>IFERROR(__xludf.DUMMYFUNCTION("IFERROR(sum(FILTER($D:$N,$C:$C = $C426,$A:$A &lt; $A426,$B:$B = 12)),0) + sum($D426:$N426)"),502715.9999999999)</f>
        <v>502716</v>
      </c>
      <c r="Q426" s="92">
        <f t="shared" si="1"/>
        <v>0.0000000001164153218</v>
      </c>
      <c r="R426" s="91">
        <f t="array" ref="R426">IFERROR(INDEX('Fund YTD Target Values'!$1:$1000, MATCH($C426,'Fund YTD Target Values'!$A:$A,0), MATCH($A426,'Fund YTD Target Values'!$1:$1,0)),0)</f>
        <v>670369.5113</v>
      </c>
      <c r="S426" s="91">
        <f>IFERROR(__xludf.DUMMYFUNCTION("IFERROR(sum(FILTER('Fund Investment Data'!$V:$V, 'Fund Investment Data'!$C:$C = $C426, 'Fund Investment Data'!$A:$A &lt; $A426)),0) + IFERROR(sum(FILTER('Fund Investment Data'!$V:$V, 'Fund Investment Data'!$C:$C = $C426, 'Fund Investment Data'!$A:$A = $A426,"&amp;" 'Fund Investment Data'!$B:$B &lt;= $B426)),0)"),500000.0)</f>
        <v>500000</v>
      </c>
      <c r="T426" s="93">
        <v>500000.0</v>
      </c>
      <c r="U426" s="32">
        <f t="shared" si="3"/>
        <v>0</v>
      </c>
      <c r="V426" s="32">
        <f>IFERROR(__xludf.DUMMYFUNCTION("$D426 - IFERROR(FILTER($D:$D,$C:$C = $C426, $A:$A = $A426, $B:$B = $B426 - 1),0)"),0.0)</f>
        <v>0</v>
      </c>
      <c r="W426" s="93">
        <f>IFERROR(__xludf.DUMMYFUNCTION("$E426 - IFERROR(FILTER($E:$E,$C:$C = $C426, $A:$A = $A426, $B:$B = $B426 - 1),0)"),-15000.0)</f>
        <v>-15000</v>
      </c>
      <c r="X426" s="93"/>
      <c r="Y426" s="93"/>
      <c r="Z426" s="93">
        <v>0.0</v>
      </c>
      <c r="AA426" s="93">
        <v>0.0</v>
      </c>
      <c r="AB426" s="93">
        <v>0.0</v>
      </c>
      <c r="AC426" s="93"/>
      <c r="AD426" s="93">
        <v>0.0</v>
      </c>
      <c r="AE426" s="32">
        <f t="shared" si="2"/>
        <v>-15000</v>
      </c>
      <c r="AF426" s="93">
        <v>0.0</v>
      </c>
    </row>
    <row r="427">
      <c r="A427" s="86">
        <v>2016.0</v>
      </c>
      <c r="B427" s="87">
        <v>12.0</v>
      </c>
      <c r="C427" s="88" t="s">
        <v>41</v>
      </c>
      <c r="D427" s="32"/>
      <c r="E427" s="93">
        <v>-6625.0</v>
      </c>
      <c r="F427" s="93"/>
      <c r="G427" s="93">
        <v>-3473.24</v>
      </c>
      <c r="H427" s="93">
        <v>12650.91</v>
      </c>
      <c r="I427" s="93">
        <v>0.83</v>
      </c>
      <c r="J427" s="93">
        <v>25443.5</v>
      </c>
      <c r="K427" s="32"/>
      <c r="L427" s="32"/>
      <c r="M427" s="32"/>
      <c r="N427" s="32"/>
      <c r="O427" s="93">
        <v>594484.0</v>
      </c>
      <c r="P427" s="91">
        <f>IFERROR(__xludf.DUMMYFUNCTION("IFERROR(sum(FILTER($D:$N,$C:$C = $C427,$A:$A &lt; $A427,$B:$B = 12)),0) + sum($D427:$N427)"),594485.04)</f>
        <v>594485.04</v>
      </c>
      <c r="Q427" s="92">
        <f t="shared" si="1"/>
        <v>-1.04</v>
      </c>
      <c r="R427" s="91">
        <f t="array" ref="R427">IFERROR(INDEX('Fund YTD Target Values'!$1:$1000, MATCH($C427,'Fund YTD Target Values'!$A:$A,0), MATCH($A427,'Fund YTD Target Values'!$1:$1,0)),0)</f>
        <v>561969.5476</v>
      </c>
      <c r="S427" s="91">
        <f>IFERROR(__xludf.DUMMYFUNCTION("IFERROR(sum(FILTER('Fund Investment Data'!$V:$V, 'Fund Investment Data'!$C:$C = $C427, 'Fund Investment Data'!$A:$A &lt; $A427)),0) + IFERROR(sum(FILTER('Fund Investment Data'!$V:$V, 'Fund Investment Data'!$C:$C = $C427, 'Fund Investment Data'!$A:$A = $A427,"&amp;" 'Fund Investment Data'!$B:$B &lt;= $B427)),0)"),433755.86)</f>
        <v>433755.86</v>
      </c>
      <c r="T427" s="93">
        <v>434291.0</v>
      </c>
      <c r="U427" s="32">
        <f t="shared" si="3"/>
        <v>-535.14</v>
      </c>
      <c r="V427" s="32">
        <f>IFERROR(__xludf.DUMMYFUNCTION("$D427 - IFERROR(FILTER($D:$D,$C:$C = $C427, $A:$A = $A427, $B:$B = $B427 - 1),0)"),0.0)</f>
        <v>0</v>
      </c>
      <c r="W427" s="93">
        <f>IFERROR(__xludf.DUMMYFUNCTION("$E427 - IFERROR(FILTER($E:$E,$C:$C = $C427, $A:$A = $A427, $B:$B = $B427 - 1),0)"),-6625.0)</f>
        <v>-6625</v>
      </c>
      <c r="X427" s="93"/>
      <c r="Y427" s="93"/>
      <c r="Z427" s="93">
        <v>0.0</v>
      </c>
      <c r="AA427" s="93">
        <v>0.0</v>
      </c>
      <c r="AB427" s="93">
        <v>0.0</v>
      </c>
      <c r="AC427" s="93"/>
      <c r="AD427" s="93">
        <v>0.0</v>
      </c>
      <c r="AE427" s="32">
        <f t="shared" si="2"/>
        <v>-6625</v>
      </c>
      <c r="AF427" s="93">
        <v>0.0</v>
      </c>
    </row>
    <row r="428">
      <c r="A428" s="86">
        <v>2016.0</v>
      </c>
      <c r="B428" s="87">
        <v>12.0</v>
      </c>
      <c r="C428" s="88" t="s">
        <v>25</v>
      </c>
      <c r="D428" s="32"/>
      <c r="E428" s="93">
        <v>-6000.0</v>
      </c>
      <c r="F428" s="93"/>
      <c r="G428" s="93">
        <v>-561.84</v>
      </c>
      <c r="H428" s="93">
        <v>2036.41</v>
      </c>
      <c r="I428" s="93">
        <v>52.92</v>
      </c>
      <c r="J428" s="93">
        <v>4114.34</v>
      </c>
      <c r="K428" s="32"/>
      <c r="L428" s="32"/>
      <c r="M428" s="32"/>
      <c r="N428" s="32"/>
      <c r="O428" s="93">
        <v>92288.0</v>
      </c>
      <c r="P428" s="91">
        <f>IFERROR(__xludf.DUMMYFUNCTION("IFERROR(sum(FILTER($D:$N,$C:$C = $C428,$A:$A &lt; $A428,$B:$B = 12)),0) + sum($D428:$N428)"),92288.01)</f>
        <v>92288.01</v>
      </c>
      <c r="Q428" s="92">
        <f t="shared" si="1"/>
        <v>-0.009999999995</v>
      </c>
      <c r="R428" s="91">
        <f t="array" ref="R428">IFERROR(INDEX('Fund YTD Target Values'!$1:$1000, MATCH($C428,'Fund YTD Target Values'!$A:$A,0), MATCH($A428,'Fund YTD Target Values'!$1:$1,0)),0)</f>
        <v>104347.7365</v>
      </c>
      <c r="S428" s="91">
        <f>IFERROR(__xludf.DUMMYFUNCTION("IFERROR(sum(FILTER('Fund Investment Data'!$V:$V, 'Fund Investment Data'!$C:$C = $C428, 'Fund Investment Data'!$A:$A &lt; $A428)),0) + IFERROR(sum(FILTER('Fund Investment Data'!$V:$V, 'Fund Investment Data'!$C:$C = $C428, 'Fund Investment Data'!$A:$A = $A428,"&amp;" 'Fund Investment Data'!$B:$B &lt;= $B428)),0)"),81000.0)</f>
        <v>81000</v>
      </c>
      <c r="T428" s="93">
        <v>81000.0</v>
      </c>
      <c r="U428" s="32">
        <f t="shared" si="3"/>
        <v>0</v>
      </c>
      <c r="V428" s="32">
        <f>IFERROR(__xludf.DUMMYFUNCTION("$D428 - IFERROR(FILTER($D:$D,$C:$C = $C428, $A:$A = $A428, $B:$B = $B428 - 1),0)"),0.0)</f>
        <v>0</v>
      </c>
      <c r="W428" s="93">
        <f>IFERROR(__xludf.DUMMYFUNCTION("$E428 - IFERROR(FILTER($E:$E,$C:$C = $C428, $A:$A = $A428, $B:$B = $B428 - 1),0)"),-6000.0)</f>
        <v>-6000</v>
      </c>
      <c r="X428" s="93"/>
      <c r="Y428" s="93"/>
      <c r="Z428" s="93">
        <v>0.0</v>
      </c>
      <c r="AA428" s="93">
        <v>0.0</v>
      </c>
      <c r="AB428" s="93">
        <v>0.0</v>
      </c>
      <c r="AC428" s="93"/>
      <c r="AD428" s="93">
        <v>0.0</v>
      </c>
      <c r="AE428" s="32">
        <f t="shared" si="2"/>
        <v>-6000</v>
      </c>
      <c r="AF428" s="93">
        <v>0.0</v>
      </c>
    </row>
    <row r="429">
      <c r="A429" s="86">
        <v>2016.0</v>
      </c>
      <c r="B429" s="87">
        <v>12.0</v>
      </c>
      <c r="C429" s="88" t="s">
        <v>42</v>
      </c>
      <c r="D429" s="32"/>
      <c r="E429" s="93">
        <v>-2070.0</v>
      </c>
      <c r="F429" s="93"/>
      <c r="G429" s="93">
        <v>-1553.05</v>
      </c>
      <c r="H429" s="93">
        <v>5497.78</v>
      </c>
      <c r="I429" s="32"/>
      <c r="J429" s="93">
        <v>11043.5</v>
      </c>
      <c r="K429" s="32"/>
      <c r="L429" s="32"/>
      <c r="M429" s="32"/>
      <c r="N429" s="32"/>
      <c r="O429" s="93">
        <v>265159.0</v>
      </c>
      <c r="P429" s="91">
        <f>IFERROR(__xludf.DUMMYFUNCTION("IFERROR(sum(FILTER($D:$N,$C:$C = $C429,$A:$A &lt; $A429,$B:$B = 12)),0) + sum($D429:$N429)"),265158.2700000001)</f>
        <v>265158.27</v>
      </c>
      <c r="Q429" s="92">
        <f t="shared" si="1"/>
        <v>0.7299999999</v>
      </c>
      <c r="R429" s="91">
        <f t="array" ref="R429">IFERROR(INDEX('Fund YTD Target Values'!$1:$1000, MATCH($C429,'Fund YTD Target Values'!$A:$A,0), MATCH($A429,'Fund YTD Target Values'!$1:$1,0)),0)</f>
        <v>229565.1878</v>
      </c>
      <c r="S429" s="91">
        <f>IFERROR(__xludf.DUMMYFUNCTION("IFERROR(sum(FILTER('Fund Investment Data'!$V:$V, 'Fund Investment Data'!$C:$C = $C429, 'Fund Investment Data'!$A:$A &lt; $A429)),0) + IFERROR(sum(FILTER('Fund Investment Data'!$V:$V, 'Fund Investment Data'!$C:$C = $C429, 'Fund Investment Data'!$A:$A = $A429,"&amp;" 'Fund Investment Data'!$B:$B &lt;= $B429)),0)"),194469.0)</f>
        <v>194469</v>
      </c>
      <c r="T429" s="93">
        <v>194469.0</v>
      </c>
      <c r="U429" s="32">
        <f t="shared" si="3"/>
        <v>0</v>
      </c>
      <c r="V429" s="32">
        <f>IFERROR(__xludf.DUMMYFUNCTION("$D429 - IFERROR(FILTER($D:$D,$C:$C = $C429, $A:$A = $A429, $B:$B = $B429 - 1),0)"),0.0)</f>
        <v>0</v>
      </c>
      <c r="W429" s="93">
        <f>IFERROR(__xludf.DUMMYFUNCTION("$E429 - IFERROR(FILTER($E:$E,$C:$C = $C429, $A:$A = $A429, $B:$B = $B429 - 1),0)"),-2070.0)</f>
        <v>-2070</v>
      </c>
      <c r="X429" s="93"/>
      <c r="Y429" s="93"/>
      <c r="Z429" s="93">
        <v>0.0</v>
      </c>
      <c r="AA429" s="93">
        <v>0.0</v>
      </c>
      <c r="AB429" s="93">
        <v>0.0</v>
      </c>
      <c r="AC429" s="93"/>
      <c r="AD429" s="93">
        <v>0.0</v>
      </c>
      <c r="AE429" s="32">
        <f t="shared" si="2"/>
        <v>-2070</v>
      </c>
      <c r="AF429" s="93">
        <v>0.0</v>
      </c>
    </row>
    <row r="430">
      <c r="A430" s="86">
        <v>2016.0</v>
      </c>
      <c r="B430" s="87">
        <v>12.0</v>
      </c>
      <c r="C430" s="88" t="s">
        <v>43</v>
      </c>
      <c r="D430" s="32"/>
      <c r="E430" s="93">
        <v>-7900.0</v>
      </c>
      <c r="F430" s="93"/>
      <c r="G430" s="93">
        <v>-681.24</v>
      </c>
      <c r="H430" s="93">
        <v>2464.44</v>
      </c>
      <c r="I430" s="93">
        <v>975.24</v>
      </c>
      <c r="J430" s="93">
        <v>3968.22</v>
      </c>
      <c r="K430" s="32"/>
      <c r="L430" s="32"/>
      <c r="M430" s="32"/>
      <c r="N430" s="32"/>
      <c r="O430" s="93">
        <v>110857.0</v>
      </c>
      <c r="P430" s="91">
        <f>IFERROR(__xludf.DUMMYFUNCTION("IFERROR(sum(FILTER($D:$N,$C:$C = $C430,$A:$A &lt; $A430,$B:$B = 12)),0) + sum($D430:$N430)"),110856.21000000002)</f>
        <v>110856.21</v>
      </c>
      <c r="Q430" s="92">
        <f t="shared" si="1"/>
        <v>0.79</v>
      </c>
      <c r="R430" s="91">
        <f t="array" ref="R430">IFERROR(INDEX('Fund YTD Target Values'!$1:$1000, MATCH($C430,'Fund YTD Target Values'!$A:$A,0), MATCH($A430,'Fund YTD Target Values'!$1:$1,0)),0)</f>
        <v>124917.932</v>
      </c>
      <c r="S430" s="91">
        <f>IFERROR(__xludf.DUMMYFUNCTION("IFERROR(sum(FILTER('Fund Investment Data'!$V:$V, 'Fund Investment Data'!$C:$C = $C430, 'Fund Investment Data'!$A:$A &lt; $A430)),0) + IFERROR(sum(FILTER('Fund Investment Data'!$V:$V, 'Fund Investment Data'!$C:$C = $C430, 'Fund Investment Data'!$A:$A = $A430,"&amp;" 'Fund Investment Data'!$B:$B &lt;= $B430)),0)"),100000.0)</f>
        <v>100000</v>
      </c>
      <c r="T430" s="93">
        <v>100000.0</v>
      </c>
      <c r="U430" s="32">
        <f t="shared" si="3"/>
        <v>0</v>
      </c>
      <c r="V430" s="32">
        <f>IFERROR(__xludf.DUMMYFUNCTION("$D430 - IFERROR(FILTER($D:$D,$C:$C = $C430, $A:$A = $A430, $B:$B = $B430 - 1),0)"),0.0)</f>
        <v>0</v>
      </c>
      <c r="W430" s="93">
        <f>IFERROR(__xludf.DUMMYFUNCTION("$E430 - IFERROR(FILTER($E:$E,$C:$C = $C430, $A:$A = $A430, $B:$B = $B430 - 1),0)"),-7900.0)</f>
        <v>-7900</v>
      </c>
      <c r="X430" s="93"/>
      <c r="Y430" s="93"/>
      <c r="Z430" s="93">
        <v>0.0</v>
      </c>
      <c r="AA430" s="93">
        <v>0.0</v>
      </c>
      <c r="AB430" s="93">
        <v>0.0</v>
      </c>
      <c r="AC430" s="93"/>
      <c r="AD430" s="93">
        <v>0.0</v>
      </c>
      <c r="AE430" s="32">
        <f t="shared" si="2"/>
        <v>-7900</v>
      </c>
      <c r="AF430" s="93">
        <v>0.0</v>
      </c>
    </row>
    <row r="431">
      <c r="A431" s="86">
        <v>2016.0</v>
      </c>
      <c r="B431" s="87">
        <v>12.0</v>
      </c>
      <c r="C431" s="88" t="s">
        <v>52</v>
      </c>
      <c r="D431" s="93">
        <v>1000.0</v>
      </c>
      <c r="E431" s="93">
        <v>-25000.0</v>
      </c>
      <c r="F431" s="93"/>
      <c r="G431" s="93">
        <v>-6418.25</v>
      </c>
      <c r="H431" s="93">
        <v>18394.39</v>
      </c>
      <c r="I431" s="32"/>
      <c r="J431" s="93">
        <v>43723.7</v>
      </c>
      <c r="K431" s="32"/>
      <c r="L431" s="32"/>
      <c r="M431" s="32"/>
      <c r="N431" s="32"/>
      <c r="O431" s="93">
        <v>1024848.0</v>
      </c>
      <c r="P431" s="91">
        <f>IFERROR(__xludf.DUMMYFUNCTION("IFERROR(sum(FILTER($D:$N,$C:$C = $C431,$A:$A &lt; $A431,$B:$B = 12)),0) + sum($D431:$N431)"),1024847.94)</f>
        <v>1024847.94</v>
      </c>
      <c r="Q431" s="92">
        <f t="shared" si="1"/>
        <v>0.06000000006</v>
      </c>
      <c r="R431" s="91">
        <f t="array" ref="R431">IFERROR(INDEX('Fund YTD Target Values'!$1:$1000, MATCH($C431,'Fund YTD Target Values'!$A:$A,0), MATCH($A431,'Fund YTD Target Values'!$1:$1,0)),0)</f>
        <v>1023063.214</v>
      </c>
      <c r="S431" s="91">
        <f>IFERROR(__xludf.DUMMYFUNCTION("IFERROR(sum(FILTER('Fund Investment Data'!$V:$V, 'Fund Investment Data'!$C:$C = $C431, 'Fund Investment Data'!$A:$A &lt; $A431)),0) + IFERROR(sum(FILTER('Fund Investment Data'!$V:$V, 'Fund Investment Data'!$C:$C = $C431, 'Fund Investment Data'!$A:$A = $A431,"&amp;" 'Fund Investment Data'!$B:$B &lt;= $B431)),0)"),1001636.0)</f>
        <v>1001636</v>
      </c>
      <c r="T431" s="93">
        <v>1001948.0</v>
      </c>
      <c r="U431" s="32">
        <f t="shared" si="3"/>
        <v>-312</v>
      </c>
      <c r="V431" s="32">
        <f>IFERROR(__xludf.DUMMYFUNCTION("$D431 - IFERROR(FILTER($D:$D,$C:$C = $C431, $A:$A = $A431, $B:$B = $B431 - 1),0)"),1000.0)</f>
        <v>1000</v>
      </c>
      <c r="W431" s="93">
        <f>IFERROR(__xludf.DUMMYFUNCTION("$E431 - IFERROR(FILTER($E:$E,$C:$C = $C431, $A:$A = $A431, $B:$B = $B431 - 1),0)"),-25000.0)</f>
        <v>-25000</v>
      </c>
      <c r="X431" s="93"/>
      <c r="Y431" s="93"/>
      <c r="Z431" s="93">
        <v>0.0</v>
      </c>
      <c r="AA431" s="93">
        <v>0.0</v>
      </c>
      <c r="AB431" s="93">
        <v>0.0</v>
      </c>
      <c r="AC431" s="93"/>
      <c r="AD431" s="93">
        <v>0.0</v>
      </c>
      <c r="AE431" s="32">
        <f t="shared" si="2"/>
        <v>-25000</v>
      </c>
      <c r="AF431" s="93">
        <v>0.0</v>
      </c>
    </row>
    <row r="432">
      <c r="A432" s="86">
        <v>2016.0</v>
      </c>
      <c r="B432" s="87">
        <v>12.0</v>
      </c>
      <c r="C432" s="88" t="s">
        <v>33</v>
      </c>
      <c r="D432" s="32"/>
      <c r="E432" s="93">
        <v>-19500.0</v>
      </c>
      <c r="F432" s="93"/>
      <c r="G432" s="93">
        <v>-2081.57</v>
      </c>
      <c r="H432" s="93">
        <v>7610.23</v>
      </c>
      <c r="I432" s="93">
        <v>3363.78</v>
      </c>
      <c r="J432" s="93">
        <v>12067.51</v>
      </c>
      <c r="K432" s="32"/>
      <c r="L432" s="32"/>
      <c r="M432" s="32"/>
      <c r="N432" s="32"/>
      <c r="O432" s="93">
        <v>345785.0</v>
      </c>
      <c r="P432" s="91">
        <f>IFERROR(__xludf.DUMMYFUNCTION("IFERROR(sum(FILTER($D:$N,$C:$C = $C432,$A:$A &lt; $A432,$B:$B = 12)),0) + sum($D432:$N432)"),345784.96999999974)</f>
        <v>345784.97</v>
      </c>
      <c r="Q432" s="92">
        <f t="shared" si="1"/>
        <v>0.03000000026</v>
      </c>
      <c r="R432" s="91">
        <f t="array" ref="R432">IFERROR(INDEX('Fund YTD Target Values'!$1:$1000, MATCH($C432,'Fund YTD Target Values'!$A:$A,0), MATCH($A432,'Fund YTD Target Values'!$1:$1,0)),0)</f>
        <v>490247.8944</v>
      </c>
      <c r="S432" s="91">
        <f>IFERROR(__xludf.DUMMYFUNCTION("IFERROR(sum(FILTER('Fund Investment Data'!$V:$V, 'Fund Investment Data'!$C:$C = $C432, 'Fund Investment Data'!$A:$A &lt; $A432)),0) + IFERROR(sum(FILTER('Fund Investment Data'!$V:$V, 'Fund Investment Data'!$C:$C = $C432, 'Fund Investment Data'!$A:$A = $A432,"&amp;" 'Fund Investment Data'!$B:$B &lt;= $B432)),0)"),325871.6399999999)</f>
        <v>325871.64</v>
      </c>
      <c r="T432" s="93">
        <v>326032.0</v>
      </c>
      <c r="U432" s="32">
        <f t="shared" si="3"/>
        <v>-160.36</v>
      </c>
      <c r="V432" s="32">
        <f>IFERROR(__xludf.DUMMYFUNCTION("$D432 - IFERROR(FILTER($D:$D,$C:$C = $C432, $A:$A = $A432, $B:$B = $B432 - 1),0)"),0.0)</f>
        <v>0</v>
      </c>
      <c r="W432" s="93">
        <f>IFERROR(__xludf.DUMMYFUNCTION("$E432 - IFERROR(FILTER($E:$E,$C:$C = $C432, $A:$A = $A432, $B:$B = $B432 - 1),0)"),-19500.0)</f>
        <v>-19500</v>
      </c>
      <c r="X432" s="93"/>
      <c r="Y432" s="93"/>
      <c r="Z432" s="93">
        <v>0.0</v>
      </c>
      <c r="AA432" s="93">
        <v>0.0</v>
      </c>
      <c r="AB432" s="93">
        <v>0.0</v>
      </c>
      <c r="AC432" s="93"/>
      <c r="AD432" s="93">
        <v>0.0</v>
      </c>
      <c r="AE432" s="32">
        <f t="shared" si="2"/>
        <v>-19500</v>
      </c>
      <c r="AF432" s="93">
        <v>0.0</v>
      </c>
    </row>
    <row r="433">
      <c r="A433" s="86">
        <v>2016.0</v>
      </c>
      <c r="B433" s="87">
        <v>12.0</v>
      </c>
      <c r="C433" s="88" t="s">
        <v>53</v>
      </c>
      <c r="D433" s="32"/>
      <c r="E433" s="93">
        <v>-112600.0</v>
      </c>
      <c r="F433" s="93"/>
      <c r="G433" s="93">
        <v>-12256.57</v>
      </c>
      <c r="H433" s="93">
        <v>44847.56</v>
      </c>
      <c r="I433" s="93">
        <v>1050.21</v>
      </c>
      <c r="J433" s="93">
        <v>89232.77</v>
      </c>
      <c r="K433" s="32"/>
      <c r="L433" s="32"/>
      <c r="M433" s="32"/>
      <c r="N433" s="32"/>
      <c r="O433" s="93">
        <v>2033913.0</v>
      </c>
      <c r="P433" s="91">
        <f>IFERROR(__xludf.DUMMYFUNCTION("IFERROR(sum(FILTER($D:$N,$C:$C = $C433,$A:$A &lt; $A433,$B:$B = 12)),0) + sum($D433:$N433)"),2033913.2799999998)</f>
        <v>2033913.28</v>
      </c>
      <c r="Q433" s="92">
        <f t="shared" si="1"/>
        <v>-0.2799999998</v>
      </c>
      <c r="R433" s="91">
        <f t="array" ref="R433">IFERROR(INDEX('Fund YTD Target Values'!$1:$1000, MATCH($C433,'Fund YTD Target Values'!$A:$A,0), MATCH($A433,'Fund YTD Target Values'!$1:$1,0)),0)</f>
        <v>2126380.574</v>
      </c>
      <c r="S433" s="91">
        <f>IFERROR(__xludf.DUMMYFUNCTION("IFERROR(sum(FILTER('Fund Investment Data'!$V:$V, 'Fund Investment Data'!$C:$C = $C433, 'Fund Investment Data'!$A:$A &lt; $A433)),0) + IFERROR(sum(FILTER('Fund Investment Data'!$V:$V, 'Fund Investment Data'!$C:$C = $C433, 'Fund Investment Data'!$A:$A = $A433,"&amp;" 'Fund Investment Data'!$B:$B &lt;= $B433)),0)"),2005500.0)</f>
        <v>2005500</v>
      </c>
      <c r="T433" s="93">
        <v>2005500.0</v>
      </c>
      <c r="U433" s="32">
        <f t="shared" si="3"/>
        <v>0</v>
      </c>
      <c r="V433" s="32">
        <f>IFERROR(__xludf.DUMMYFUNCTION("$D433 - IFERROR(FILTER($D:$D,$C:$C = $C433, $A:$A = $A433, $B:$B = $B433 - 1),0)"),0.0)</f>
        <v>0</v>
      </c>
      <c r="W433" s="93">
        <f>IFERROR(__xludf.DUMMYFUNCTION("$E433 - IFERROR(FILTER($E:$E,$C:$C = $C433, $A:$A = $A433, $B:$B = $B433 - 1),0)"),-112600.0)</f>
        <v>-112600</v>
      </c>
      <c r="X433" s="93"/>
      <c r="Y433" s="93"/>
      <c r="Z433" s="93">
        <v>0.0</v>
      </c>
      <c r="AA433" s="93">
        <v>0.0</v>
      </c>
      <c r="AB433" s="93">
        <v>0.0</v>
      </c>
      <c r="AC433" s="93"/>
      <c r="AD433" s="93">
        <v>0.0</v>
      </c>
      <c r="AE433" s="32">
        <f t="shared" si="2"/>
        <v>-112600</v>
      </c>
      <c r="AF433" s="93">
        <v>0.0</v>
      </c>
    </row>
    <row r="434">
      <c r="A434" s="86">
        <v>2016.0</v>
      </c>
      <c r="B434" s="87">
        <v>12.0</v>
      </c>
      <c r="C434" s="88" t="s">
        <v>34</v>
      </c>
      <c r="D434" s="93">
        <v>5000.0</v>
      </c>
      <c r="E434" s="93">
        <v>-3000.0</v>
      </c>
      <c r="F434" s="93"/>
      <c r="G434" s="93">
        <v>-734.41</v>
      </c>
      <c r="H434" s="93">
        <v>2437.05</v>
      </c>
      <c r="I434" s="32"/>
      <c r="J434" s="93">
        <v>4875.0</v>
      </c>
      <c r="K434" s="32"/>
      <c r="L434" s="32"/>
      <c r="M434" s="32"/>
      <c r="N434" s="32"/>
      <c r="O434" s="93">
        <v>125697.0</v>
      </c>
      <c r="P434" s="91">
        <f>IFERROR(__xludf.DUMMYFUNCTION("IFERROR(sum(FILTER($D:$N,$C:$C = $C434,$A:$A &lt; $A434,$B:$B = 12)),0) + sum($D434:$N434)"),125696.51)</f>
        <v>125696.51</v>
      </c>
      <c r="Q434" s="92">
        <f t="shared" si="1"/>
        <v>0.49</v>
      </c>
      <c r="R434" s="91">
        <f t="array" ref="R434">IFERROR(INDEX('Fund YTD Target Values'!$1:$1000, MATCH($C434,'Fund YTD Target Values'!$A:$A,0), MATCH($A434,'Fund YTD Target Values'!$1:$1,0)),0)</f>
        <v>119669.188</v>
      </c>
      <c r="S434" s="91">
        <f>IFERROR(__xludf.DUMMYFUNCTION("IFERROR(sum(FILTER('Fund Investment Data'!$V:$V, 'Fund Investment Data'!$C:$C = $C434, 'Fund Investment Data'!$A:$A &lt; $A434)),0) + IFERROR(sum(FILTER('Fund Investment Data'!$V:$V, 'Fund Investment Data'!$C:$C = $C434, 'Fund Investment Data'!$A:$A = $A434,"&amp;" 'Fund Investment Data'!$B:$B &lt;= $B434)),0)"),115000.0)</f>
        <v>115000</v>
      </c>
      <c r="T434" s="93">
        <v>116567.0</v>
      </c>
      <c r="U434" s="32">
        <f t="shared" si="3"/>
        <v>-1567</v>
      </c>
      <c r="V434" s="32">
        <f>IFERROR(__xludf.DUMMYFUNCTION("$D434 - IFERROR(FILTER($D:$D,$C:$C = $C434, $A:$A = $A434, $B:$B = $B434 - 1),0)"),5000.0)</f>
        <v>5000</v>
      </c>
      <c r="W434" s="93">
        <f>IFERROR(__xludf.DUMMYFUNCTION("$E434 - IFERROR(FILTER($E:$E,$C:$C = $C434, $A:$A = $A434, $B:$B = $B434 - 1),0)"),-3000.0)</f>
        <v>-3000</v>
      </c>
      <c r="X434" s="93"/>
      <c r="Y434" s="93"/>
      <c r="Z434" s="93">
        <v>0.0</v>
      </c>
      <c r="AA434" s="93">
        <v>0.0</v>
      </c>
      <c r="AB434" s="93">
        <v>0.0</v>
      </c>
      <c r="AC434" s="93"/>
      <c r="AD434" s="93">
        <v>0.0</v>
      </c>
      <c r="AE434" s="32">
        <f t="shared" si="2"/>
        <v>-3000</v>
      </c>
      <c r="AF434" s="93">
        <v>0.0</v>
      </c>
    </row>
    <row r="435">
      <c r="A435" s="86">
        <v>2016.0</v>
      </c>
      <c r="B435" s="87">
        <v>12.0</v>
      </c>
      <c r="C435" s="88" t="s">
        <v>54</v>
      </c>
      <c r="D435" s="93">
        <v>12994.0</v>
      </c>
      <c r="E435" s="93">
        <v>-7000.0</v>
      </c>
      <c r="F435" s="93"/>
      <c r="G435" s="93">
        <v>-825.07</v>
      </c>
      <c r="H435" s="93">
        <v>2961.63</v>
      </c>
      <c r="I435" s="93">
        <v>5.04</v>
      </c>
      <c r="J435" s="93">
        <v>5926.57</v>
      </c>
      <c r="K435" s="32"/>
      <c r="L435" s="32"/>
      <c r="M435" s="32"/>
      <c r="N435" s="32"/>
      <c r="O435" s="93">
        <v>150454.0</v>
      </c>
      <c r="P435" s="91">
        <f>IFERROR(__xludf.DUMMYFUNCTION("IFERROR(sum(FILTER($D:$N,$C:$C = $C435,$A:$A &lt; $A435,$B:$B = 12)),0) + sum($D435:$N435)"),150455.10999999996)</f>
        <v>150455.11</v>
      </c>
      <c r="Q435" s="92">
        <f t="shared" si="1"/>
        <v>-1.11</v>
      </c>
      <c r="R435" s="91">
        <f t="array" ref="R435">IFERROR(INDEX('Fund YTD Target Values'!$1:$1000, MATCH($C435,'Fund YTD Target Values'!$A:$A,0), MATCH($A435,'Fund YTD Target Values'!$1:$1,0)),0)</f>
        <v>147217.8777</v>
      </c>
      <c r="S435" s="91">
        <f>IFERROR(__xludf.DUMMYFUNCTION("IFERROR(sum(FILTER('Fund Investment Data'!$V:$V, 'Fund Investment Data'!$C:$C = $C435, 'Fund Investment Data'!$A:$A &lt; $A435)),0) + IFERROR(sum(FILTER('Fund Investment Data'!$V:$V, 'Fund Investment Data'!$C:$C = $C435, 'Fund Investment Data'!$A:$A = $A435,"&amp;" 'Fund Investment Data'!$B:$B &lt;= $B435)),0)"),111345.10999999999)</f>
        <v>111345.11</v>
      </c>
      <c r="T435" s="93">
        <v>108079.0</v>
      </c>
      <c r="U435" s="32">
        <f t="shared" si="3"/>
        <v>3266.11</v>
      </c>
      <c r="V435" s="32">
        <f>IFERROR(__xludf.DUMMYFUNCTION("$D435 - IFERROR(FILTER($D:$D,$C:$C = $C435, $A:$A = $A435, $B:$B = $B435 - 1),0)"),12994.0)</f>
        <v>12994</v>
      </c>
      <c r="W435" s="93">
        <f>IFERROR(__xludf.DUMMYFUNCTION("$E435 - IFERROR(FILTER($E:$E,$C:$C = $C435, $A:$A = $A435, $B:$B = $B435 - 1),0)"),-7000.0)</f>
        <v>-7000</v>
      </c>
      <c r="X435" s="93"/>
      <c r="Y435" s="93"/>
      <c r="Z435" s="93">
        <v>0.0</v>
      </c>
      <c r="AA435" s="93">
        <v>0.0</v>
      </c>
      <c r="AB435" s="93">
        <v>0.0</v>
      </c>
      <c r="AC435" s="93"/>
      <c r="AD435" s="93">
        <v>0.0</v>
      </c>
      <c r="AE435" s="32">
        <f t="shared" si="2"/>
        <v>-7000</v>
      </c>
      <c r="AF435" s="93">
        <v>0.0</v>
      </c>
    </row>
    <row r="436">
      <c r="A436" s="86">
        <v>2016.0</v>
      </c>
      <c r="B436" s="87">
        <v>12.0</v>
      </c>
      <c r="C436" s="88" t="s">
        <v>55</v>
      </c>
      <c r="D436" s="93">
        <v>70000.0</v>
      </c>
      <c r="E436" s="32"/>
      <c r="F436" s="93"/>
      <c r="G436" s="93">
        <v>-611.6</v>
      </c>
      <c r="H436" s="93">
        <v>1528.83</v>
      </c>
      <c r="I436" s="32"/>
      <c r="J436" s="93">
        <v>3051.12</v>
      </c>
      <c r="K436" s="32"/>
      <c r="L436" s="32"/>
      <c r="M436" s="32"/>
      <c r="N436" s="32"/>
      <c r="O436" s="93">
        <v>141875.0</v>
      </c>
      <c r="P436" s="91">
        <f>IFERROR(__xludf.DUMMYFUNCTION("IFERROR(sum(FILTER($D:$N,$C:$C = $C436,$A:$A &lt; $A436,$B:$B = 12)),0) + sum($D436:$N436)"),141875.28999999998)</f>
        <v>141875.29</v>
      </c>
      <c r="Q436" s="92">
        <f t="shared" si="1"/>
        <v>-0.29</v>
      </c>
      <c r="R436" s="91">
        <f t="array" ref="R436">IFERROR(INDEX('Fund YTD Target Values'!$1:$1000, MATCH($C436,'Fund YTD Target Values'!$A:$A,0), MATCH($A436,'Fund YTD Target Values'!$1:$1,0)),0)</f>
        <v>140883.2907</v>
      </c>
      <c r="S436" s="91">
        <f>IFERROR(__xludf.DUMMYFUNCTION("IFERROR(sum(FILTER('Fund Investment Data'!$V:$V, 'Fund Investment Data'!$C:$C = $C436, 'Fund Investment Data'!$A:$A &lt; $A436)),0) + IFERROR(sum(FILTER('Fund Investment Data'!$V:$V, 'Fund Investment Data'!$C:$C = $C436, 'Fund Investment Data'!$A:$A = $A436,"&amp;" 'Fund Investment Data'!$B:$B &lt;= $B436)),0)"),140000.0)</f>
        <v>140000</v>
      </c>
      <c r="T436" s="93">
        <v>167565.0</v>
      </c>
      <c r="U436" s="32">
        <f t="shared" si="3"/>
        <v>-27565</v>
      </c>
      <c r="V436" s="32">
        <f>IFERROR(__xludf.DUMMYFUNCTION("$D436 - IFERROR(FILTER($D:$D,$C:$C = $C436, $A:$A = $A436, $B:$B = $B436 - 1),0)"),70000.0)</f>
        <v>70000</v>
      </c>
      <c r="W436" s="93">
        <f>IFERROR(__xludf.DUMMYFUNCTION("$E436 - IFERROR(FILTER($E:$E,$C:$C = $C436, $A:$A = $A436, $B:$B = $B436 - 1),0)"),0.0)</f>
        <v>0</v>
      </c>
      <c r="X436" s="93"/>
      <c r="Y436" s="93"/>
      <c r="Z436" s="93">
        <v>0.0</v>
      </c>
      <c r="AA436" s="93">
        <v>0.0</v>
      </c>
      <c r="AB436" s="93">
        <v>0.0</v>
      </c>
      <c r="AC436" s="93"/>
      <c r="AD436" s="93">
        <v>0.0</v>
      </c>
      <c r="AE436" s="32">
        <f t="shared" si="2"/>
        <v>0</v>
      </c>
      <c r="AF436" s="93">
        <v>0.0</v>
      </c>
    </row>
    <row r="437">
      <c r="A437" s="86">
        <v>2016.0</v>
      </c>
      <c r="B437" s="87">
        <v>12.0</v>
      </c>
      <c r="C437" s="88" t="s">
        <v>44</v>
      </c>
      <c r="D437" s="32"/>
      <c r="E437" s="93">
        <v>-25000.0</v>
      </c>
      <c r="F437" s="93"/>
      <c r="G437" s="93">
        <v>-1659.95</v>
      </c>
      <c r="H437" s="93">
        <v>6038.67</v>
      </c>
      <c r="I437" s="93">
        <v>5116.05</v>
      </c>
      <c r="J437" s="93">
        <v>7289.67</v>
      </c>
      <c r="K437" s="32"/>
      <c r="L437" s="32"/>
      <c r="M437" s="32"/>
      <c r="N437" s="32"/>
      <c r="O437" s="93">
        <v>266850.0</v>
      </c>
      <c r="P437" s="91">
        <f>IFERROR(__xludf.DUMMYFUNCTION("IFERROR(sum(FILTER($D:$N,$C:$C = $C437,$A:$A &lt; $A437,$B:$B = 12)),0) + sum($D437:$N437)"),266851.15000000014)</f>
        <v>266851.15</v>
      </c>
      <c r="Q437" s="92">
        <f t="shared" si="1"/>
        <v>-1.15</v>
      </c>
      <c r="R437" s="91">
        <f t="array" ref="R437">IFERROR(INDEX('Fund YTD Target Values'!$1:$1000, MATCH($C437,'Fund YTD Target Values'!$A:$A,0), MATCH($A437,'Fund YTD Target Values'!$1:$1,0)),0)</f>
        <v>307366.6489</v>
      </c>
      <c r="S437" s="91">
        <f>IFERROR(__xludf.DUMMYFUNCTION("IFERROR(sum(FILTER('Fund Investment Data'!$V:$V, 'Fund Investment Data'!$C:$C = $C437, 'Fund Investment Data'!$A:$A &lt; $A437)),0) + IFERROR(sum(FILTER('Fund Investment Data'!$V:$V, 'Fund Investment Data'!$C:$C = $C437, 'Fund Investment Data'!$A:$A = $A437,"&amp;" 'Fund Investment Data'!$B:$B &lt;= $B437)),0)"),250000.0)</f>
        <v>250000</v>
      </c>
      <c r="T437" s="93">
        <v>250000.0</v>
      </c>
      <c r="U437" s="32">
        <f t="shared" si="3"/>
        <v>0</v>
      </c>
      <c r="V437" s="32">
        <f>IFERROR(__xludf.DUMMYFUNCTION("$D437 - IFERROR(FILTER($D:$D,$C:$C = $C437, $A:$A = $A437, $B:$B = $B437 - 1),0)"),0.0)</f>
        <v>0</v>
      </c>
      <c r="W437" s="93">
        <f>IFERROR(__xludf.DUMMYFUNCTION("$E437 - IFERROR(FILTER($E:$E,$C:$C = $C437, $A:$A = $A437, $B:$B = $B437 - 1),0)"),-25000.0)</f>
        <v>-25000</v>
      </c>
      <c r="X437" s="93"/>
      <c r="Y437" s="93"/>
      <c r="Z437" s="93">
        <v>0.0</v>
      </c>
      <c r="AA437" s="93">
        <v>0.0</v>
      </c>
      <c r="AB437" s="93">
        <v>0.0</v>
      </c>
      <c r="AC437" s="93"/>
      <c r="AD437" s="93">
        <v>0.0</v>
      </c>
      <c r="AE437" s="32">
        <f t="shared" si="2"/>
        <v>-25000</v>
      </c>
      <c r="AF437" s="93">
        <v>0.0</v>
      </c>
    </row>
    <row r="438">
      <c r="A438" s="86">
        <v>2016.0</v>
      </c>
      <c r="B438" s="87">
        <v>12.0</v>
      </c>
      <c r="C438" s="88" t="s">
        <v>45</v>
      </c>
      <c r="D438" s="32"/>
      <c r="E438" s="32"/>
      <c r="F438" s="93"/>
      <c r="G438" s="93">
        <v>-778.36</v>
      </c>
      <c r="H438" s="93">
        <v>2771.58</v>
      </c>
      <c r="I438" s="32"/>
      <c r="J438" s="93">
        <v>5562.33</v>
      </c>
      <c r="K438" s="32"/>
      <c r="L438" s="32"/>
      <c r="M438" s="32"/>
      <c r="N438" s="32"/>
      <c r="O438" s="93">
        <v>133945.0</v>
      </c>
      <c r="P438" s="91">
        <f>IFERROR(__xludf.DUMMYFUNCTION("IFERROR(sum(FILTER($D:$N,$C:$C = $C438,$A:$A &lt; $A438,$B:$B = 12)),0) + sum($D438:$N438)"),133944.83)</f>
        <v>133944.83</v>
      </c>
      <c r="Q438" s="92">
        <f t="shared" si="1"/>
        <v>0.17</v>
      </c>
      <c r="R438" s="91">
        <f t="array" ref="R438">IFERROR(INDEX('Fund YTD Target Values'!$1:$1000, MATCH($C438,'Fund YTD Target Values'!$A:$A,0), MATCH($A438,'Fund YTD Target Values'!$1:$1,0)),0)</f>
        <v>115881.0501</v>
      </c>
      <c r="S438" s="91">
        <f>IFERROR(__xludf.DUMMYFUNCTION("IFERROR(sum(FILTER('Fund Investment Data'!$V:$V, 'Fund Investment Data'!$C:$C = $C438, 'Fund Investment Data'!$A:$A &lt; $A438)),0) + IFERROR(sum(FILTER('Fund Investment Data'!$V:$V, 'Fund Investment Data'!$C:$C = $C438, 'Fund Investment Data'!$A:$A = $A438,"&amp;" 'Fund Investment Data'!$B:$B &lt;= $B438)),0)"),100000.0)</f>
        <v>100000</v>
      </c>
      <c r="T438" s="93">
        <v>100000.0</v>
      </c>
      <c r="U438" s="32">
        <f t="shared" si="3"/>
        <v>0</v>
      </c>
      <c r="V438" s="32">
        <f>IFERROR(__xludf.DUMMYFUNCTION("$D438 - IFERROR(FILTER($D:$D,$C:$C = $C438, $A:$A = $A438, $B:$B = $B438 - 1),0)"),0.0)</f>
        <v>0</v>
      </c>
      <c r="W438" s="93">
        <f>IFERROR(__xludf.DUMMYFUNCTION("$E438 - IFERROR(FILTER($E:$E,$C:$C = $C438, $A:$A = $A438, $B:$B = $B438 - 1),0)"),0.0)</f>
        <v>0</v>
      </c>
      <c r="X438" s="93"/>
      <c r="Y438" s="93"/>
      <c r="Z438" s="93">
        <v>0.0</v>
      </c>
      <c r="AA438" s="93">
        <v>0.0</v>
      </c>
      <c r="AB438" s="93">
        <v>0.0</v>
      </c>
      <c r="AC438" s="93"/>
      <c r="AD438" s="93">
        <v>0.0</v>
      </c>
      <c r="AE438" s="32">
        <f t="shared" si="2"/>
        <v>0</v>
      </c>
      <c r="AF438" s="93">
        <v>0.0</v>
      </c>
    </row>
    <row r="439">
      <c r="A439" s="86">
        <v>2016.0</v>
      </c>
      <c r="B439" s="87">
        <v>12.0</v>
      </c>
      <c r="C439" s="88" t="s">
        <v>35</v>
      </c>
      <c r="D439" s="32"/>
      <c r="E439" s="93">
        <v>-64465.0</v>
      </c>
      <c r="F439" s="93"/>
      <c r="G439" s="93">
        <v>-8039.76</v>
      </c>
      <c r="H439" s="93">
        <v>29392.31</v>
      </c>
      <c r="I439" s="93">
        <v>10506.71</v>
      </c>
      <c r="J439" s="93">
        <v>48452.67</v>
      </c>
      <c r="K439" s="32"/>
      <c r="L439" s="32"/>
      <c r="M439" s="32"/>
      <c r="N439" s="32"/>
      <c r="O439" s="93">
        <v>1340858.0</v>
      </c>
      <c r="P439" s="91">
        <f>IFERROR(__xludf.DUMMYFUNCTION("IFERROR(sum(FILTER($D:$N,$C:$C = $C439,$A:$A &lt; $A439,$B:$B = 12)),0) + sum($D439:$N439)"),1340857.6700000004)</f>
        <v>1340857.67</v>
      </c>
      <c r="Q439" s="92">
        <f t="shared" si="1"/>
        <v>0.3299999996</v>
      </c>
      <c r="R439" s="91">
        <f t="array" ref="R439">IFERROR(INDEX('Fund YTD Target Values'!$1:$1000, MATCH($C439,'Fund YTD Target Values'!$A:$A,0), MATCH($A439,'Fund YTD Target Values'!$1:$1,0)),0)</f>
        <v>1509416.218</v>
      </c>
      <c r="S439" s="91">
        <f>IFERROR(__xludf.DUMMYFUNCTION("IFERROR(sum(FILTER('Fund Investment Data'!$V:$V, 'Fund Investment Data'!$C:$C = $C439, 'Fund Investment Data'!$A:$A &lt; $A439)),0) + IFERROR(sum(FILTER('Fund Investment Data'!$V:$V, 'Fund Investment Data'!$C:$C = $C439, 'Fund Investment Data'!$A:$A = $A439,"&amp;" 'Fund Investment Data'!$B:$B &lt;= $B439)),0)"),1086625.0)</f>
        <v>1086625</v>
      </c>
      <c r="T439" s="93">
        <v>1071625.0</v>
      </c>
      <c r="U439" s="32">
        <f t="shared" si="3"/>
        <v>15000</v>
      </c>
      <c r="V439" s="32">
        <f>IFERROR(__xludf.DUMMYFUNCTION("$D439 - IFERROR(FILTER($D:$D,$C:$C = $C439, $A:$A = $A439, $B:$B = $B439 - 1),0)"),0.0)</f>
        <v>0</v>
      </c>
      <c r="W439" s="93">
        <f>IFERROR(__xludf.DUMMYFUNCTION("$E439 - IFERROR(FILTER($E:$E,$C:$C = $C439, $A:$A = $A439, $B:$B = $B439 - 1),0)"),-64465.0)</f>
        <v>-64465</v>
      </c>
      <c r="X439" s="93"/>
      <c r="Y439" s="93"/>
      <c r="Z439" s="93">
        <v>0.0</v>
      </c>
      <c r="AA439" s="93">
        <v>0.0</v>
      </c>
      <c r="AB439" s="93">
        <v>0.0</v>
      </c>
      <c r="AC439" s="93"/>
      <c r="AD439" s="93">
        <v>0.0</v>
      </c>
      <c r="AE439" s="32">
        <f t="shared" si="2"/>
        <v>-64465</v>
      </c>
      <c r="AF439" s="93">
        <v>0.0</v>
      </c>
    </row>
    <row r="440">
      <c r="A440" s="86">
        <v>2016.0</v>
      </c>
      <c r="B440" s="87">
        <v>12.0</v>
      </c>
      <c r="C440" s="88" t="s">
        <v>56</v>
      </c>
      <c r="D440" s="32"/>
      <c r="E440" s="32"/>
      <c r="F440" s="93"/>
      <c r="G440" s="93">
        <v>-5809.31</v>
      </c>
      <c r="H440" s="93">
        <v>20686.13</v>
      </c>
      <c r="I440" s="32"/>
      <c r="J440" s="93">
        <v>41515.57</v>
      </c>
      <c r="K440" s="32"/>
      <c r="L440" s="32"/>
      <c r="M440" s="32"/>
      <c r="N440" s="32"/>
      <c r="O440" s="93">
        <v>999719.0</v>
      </c>
      <c r="P440" s="91">
        <f>IFERROR(__xludf.DUMMYFUNCTION("IFERROR(sum(FILTER($D:$N,$C:$C = $C440,$A:$A &lt; $A440,$B:$B = 12)),0) + sum($D440:$N440)"),999718.62)</f>
        <v>999718.62</v>
      </c>
      <c r="Q440" s="92">
        <f t="shared" si="1"/>
        <v>0.38</v>
      </c>
      <c r="R440" s="91">
        <f t="array" ref="R440">IFERROR(INDEX('Fund YTD Target Values'!$1:$1000, MATCH($C440,'Fund YTD Target Values'!$A:$A,0), MATCH($A440,'Fund YTD Target Values'!$1:$1,0)),0)</f>
        <v>1013822.437</v>
      </c>
      <c r="S440" s="91">
        <f>IFERROR(__xludf.DUMMYFUNCTION("IFERROR(sum(FILTER('Fund Investment Data'!$V:$V, 'Fund Investment Data'!$C:$C = $C440, 'Fund Investment Data'!$A:$A &lt; $A440)),0) + IFERROR(sum(FILTER('Fund Investment Data'!$V:$V, 'Fund Investment Data'!$C:$C = $C440, 'Fund Investment Data'!$A:$A = $A440,"&amp;" 'Fund Investment Data'!$B:$B &lt;= $B440)),0)"),1000000.0)</f>
        <v>1000000</v>
      </c>
      <c r="T440" s="93">
        <v>1000000.0</v>
      </c>
      <c r="U440" s="32">
        <f t="shared" si="3"/>
        <v>0</v>
      </c>
      <c r="V440" s="32">
        <f>IFERROR(__xludf.DUMMYFUNCTION("$D440 - IFERROR(FILTER($D:$D,$C:$C = $C440, $A:$A = $A440, $B:$B = $B440 - 1),0)"),0.0)</f>
        <v>0</v>
      </c>
      <c r="W440" s="93">
        <f>IFERROR(__xludf.DUMMYFUNCTION("$E440 - IFERROR(FILTER($E:$E,$C:$C = $C440, $A:$A = $A440, $B:$B = $B440 - 1),0)"),0.0)</f>
        <v>0</v>
      </c>
      <c r="X440" s="93"/>
      <c r="Y440" s="93"/>
      <c r="Z440" s="93">
        <v>0.0</v>
      </c>
      <c r="AA440" s="93">
        <v>0.0</v>
      </c>
      <c r="AB440" s="93">
        <v>0.0</v>
      </c>
      <c r="AC440" s="93"/>
      <c r="AD440" s="93">
        <v>0.0</v>
      </c>
      <c r="AE440" s="32">
        <f t="shared" si="2"/>
        <v>0</v>
      </c>
      <c r="AF440" s="93">
        <v>0.0</v>
      </c>
    </row>
    <row r="441">
      <c r="A441" s="86">
        <v>2017.0</v>
      </c>
      <c r="B441" s="87">
        <v>1.0</v>
      </c>
      <c r="C441" s="88" t="s">
        <v>26</v>
      </c>
      <c r="D441" s="93">
        <v>9843.0</v>
      </c>
      <c r="E441" s="32"/>
      <c r="F441" s="32"/>
      <c r="G441" s="93">
        <v>-144.24</v>
      </c>
      <c r="H441" s="93">
        <v>2192.91</v>
      </c>
      <c r="I441" s="32"/>
      <c r="J441" s="93">
        <v>4560.07</v>
      </c>
      <c r="K441" s="32"/>
      <c r="L441" s="32"/>
      <c r="M441" s="32"/>
      <c r="N441" s="32"/>
      <c r="O441" s="93">
        <v>304935.0</v>
      </c>
      <c r="P441" s="91">
        <f>IFERROR(__xludf.DUMMYFUNCTION("IFERROR(sum(FILTER($D:$N,$C:$C = $C441,$A:$A &lt; $A441,$B:$B = 12)),0) + sum($D441:$N441)"),304934.42999999993)</f>
        <v>304934.43</v>
      </c>
      <c r="Q441" s="92">
        <f t="shared" si="1"/>
        <v>0.5700000001</v>
      </c>
      <c r="R441" s="91">
        <f t="array" ref="R441">IFERROR(INDEX('Fund YTD Target Values'!$1:$1000, MATCH($C441,'Fund YTD Target Values'!$A:$A,0), MATCH($A441,'Fund YTD Target Values'!$1:$1,0)),0)</f>
        <v>351339.7985</v>
      </c>
      <c r="S441" s="91">
        <f>IFERROR(__xludf.DUMMYFUNCTION("IFERROR(sum(FILTER('Fund Investment Data'!$V:$V, 'Fund Investment Data'!$C:$C = $C441, 'Fund Investment Data'!$A:$A &lt; $A441)),0) + IFERROR(sum(FILTER('Fund Investment Data'!$V:$V, 'Fund Investment Data'!$C:$C = $C441, 'Fund Investment Data'!$A:$A = $A441,"&amp;" 'Fund Investment Data'!$B:$B &lt;= $B441)),0)"),291810.0)</f>
        <v>291810</v>
      </c>
      <c r="T441" s="93">
        <v>291811.0</v>
      </c>
      <c r="U441" s="32">
        <f t="shared" si="3"/>
        <v>-1</v>
      </c>
      <c r="V441" s="32">
        <f>IFERROR(__xludf.DUMMYFUNCTION("$D441 - IFERROR(FILTER($D:$D,$C:$C = $C441, $A:$A = $A441, $B:$B = $B441 - 1),0)"),9843.0)</f>
        <v>9843</v>
      </c>
      <c r="W441" s="93">
        <f>IFERROR(__xludf.DUMMYFUNCTION("$E441 - IFERROR(FILTER($E:$E,$C:$C = $C441, $A:$A = $A441, $B:$B = $B441 - 1),0)"),0.0)</f>
        <v>0</v>
      </c>
      <c r="X441" s="93"/>
      <c r="Y441" s="93"/>
      <c r="Z441" s="93">
        <v>0.0</v>
      </c>
      <c r="AA441" s="93">
        <v>0.0</v>
      </c>
      <c r="AB441" s="93">
        <v>0.0</v>
      </c>
      <c r="AC441" s="93"/>
      <c r="AD441" s="93">
        <v>0.0</v>
      </c>
      <c r="AE441" s="32">
        <f t="shared" si="2"/>
        <v>0</v>
      </c>
      <c r="AF441" s="93">
        <v>0.0</v>
      </c>
    </row>
    <row r="442">
      <c r="A442" s="86">
        <v>2017.0</v>
      </c>
      <c r="B442" s="87">
        <v>1.0</v>
      </c>
      <c r="C442" s="88" t="s">
        <v>27</v>
      </c>
      <c r="D442" s="32"/>
      <c r="E442" s="32"/>
      <c r="F442" s="32"/>
      <c r="G442" s="93">
        <v>-140.75</v>
      </c>
      <c r="H442" s="93">
        <v>2136.41</v>
      </c>
      <c r="I442" s="32"/>
      <c r="J442" s="93">
        <v>4442.41</v>
      </c>
      <c r="K442" s="32"/>
      <c r="L442" s="32"/>
      <c r="M442" s="32"/>
      <c r="N442" s="32"/>
      <c r="O442" s="93">
        <v>287951.0</v>
      </c>
      <c r="P442" s="91">
        <f>IFERROR(__xludf.DUMMYFUNCTION("IFERROR(sum(FILTER($D:$N,$C:$C = $C442,$A:$A &lt; $A442,$B:$B = 12)),0) + sum($D442:$N442)"),287951.2300000001)</f>
        <v>287951.23</v>
      </c>
      <c r="Q442" s="92">
        <f t="shared" si="1"/>
        <v>-0.2300000001</v>
      </c>
      <c r="R442" s="91">
        <f t="array" ref="R442">IFERROR(INDEX('Fund YTD Target Values'!$1:$1000, MATCH($C442,'Fund YTD Target Values'!$A:$A,0), MATCH($A442,'Fund YTD Target Values'!$1:$1,0)),0)</f>
        <v>383919.6363</v>
      </c>
      <c r="S442" s="91">
        <f>IFERROR(__xludf.DUMMYFUNCTION("IFERROR(sum(FILTER('Fund Investment Data'!$V:$V, 'Fund Investment Data'!$C:$C = $C442, 'Fund Investment Data'!$A:$A &lt; $A442)),0) + IFERROR(sum(FILTER('Fund Investment Data'!$V:$V, 'Fund Investment Data'!$C:$C = $C442, 'Fund Investment Data'!$A:$A = $A442,"&amp;" 'Fund Investment Data'!$B:$B &lt;= $B442)),0)"),276213.69999999995)</f>
        <v>276213.7</v>
      </c>
      <c r="T442" s="93">
        <v>272248.0</v>
      </c>
      <c r="U442" s="32">
        <f t="shared" si="3"/>
        <v>3965.7</v>
      </c>
      <c r="V442" s="32">
        <f>IFERROR(__xludf.DUMMYFUNCTION("$D442 - IFERROR(FILTER($D:$D,$C:$C = $C442, $A:$A = $A442, $B:$B = $B442 - 1),0)"),0.0)</f>
        <v>0</v>
      </c>
      <c r="W442" s="93">
        <f>IFERROR(__xludf.DUMMYFUNCTION("$E442 - IFERROR(FILTER($E:$E,$C:$C = $C442, $A:$A = $A442, $B:$B = $B442 - 1),0)"),0.0)</f>
        <v>0</v>
      </c>
      <c r="X442" s="93"/>
      <c r="Y442" s="93"/>
      <c r="Z442" s="93">
        <v>0.0</v>
      </c>
      <c r="AA442" s="93">
        <v>0.0</v>
      </c>
      <c r="AB442" s="93">
        <v>0.0</v>
      </c>
      <c r="AC442" s="93"/>
      <c r="AD442" s="93">
        <v>0.0</v>
      </c>
      <c r="AE442" s="32">
        <f t="shared" si="2"/>
        <v>0</v>
      </c>
      <c r="AF442" s="93">
        <v>0.0</v>
      </c>
    </row>
    <row r="443">
      <c r="A443" s="94">
        <v>2017.0</v>
      </c>
      <c r="B443" s="95">
        <v>1.0</v>
      </c>
      <c r="C443" s="88" t="s">
        <v>28</v>
      </c>
      <c r="D443" s="32"/>
      <c r="E443" s="32"/>
      <c r="F443" s="32"/>
      <c r="G443" s="93">
        <v>-1529.32</v>
      </c>
      <c r="H443" s="93">
        <v>23272.18</v>
      </c>
      <c r="I443" s="32"/>
      <c r="J443" s="93">
        <v>48393.17</v>
      </c>
      <c r="K443" s="32"/>
      <c r="L443" s="32"/>
      <c r="M443" s="32"/>
      <c r="N443" s="32"/>
      <c r="O443" s="93">
        <v>3128770.0</v>
      </c>
      <c r="P443" s="91">
        <f>IFERROR(__xludf.DUMMYFUNCTION("IFERROR(sum(FILTER($D:$N,$C:$C = $C443,$A:$A &lt; $A443,$B:$B = 12)),0) + sum($D443:$N443)"),3128769.3099999996)</f>
        <v>3128769.31</v>
      </c>
      <c r="Q443" s="92">
        <f t="shared" si="1"/>
        <v>0.6900000004</v>
      </c>
      <c r="R443" s="91">
        <f t="array" ref="R443">IFERROR(INDEX('Fund YTD Target Values'!$1:$1000, MATCH($C443,'Fund YTD Target Values'!$A:$A,0), MATCH($A443,'Fund YTD Target Values'!$1:$1,0)),0)</f>
        <v>3748913.384</v>
      </c>
      <c r="S443" s="91">
        <f>IFERROR(__xludf.DUMMYFUNCTION("IFERROR(sum(FILTER('Fund Investment Data'!$V:$V, 'Fund Investment Data'!$C:$C = $C443, 'Fund Investment Data'!$A:$A &lt; $A443)),0) + IFERROR(sum(FILTER('Fund Investment Data'!$V:$V, 'Fund Investment Data'!$C:$C = $C443, 'Fund Investment Data'!$A:$A = $A443,"&amp;" 'Fund Investment Data'!$B:$B &lt;= $B443)),0)"),2960091.25)</f>
        <v>2960091.25</v>
      </c>
      <c r="T443" s="93">
        <v>3009816.0</v>
      </c>
      <c r="U443" s="32">
        <f t="shared" si="3"/>
        <v>-49724.75</v>
      </c>
      <c r="V443" s="32">
        <f>IFERROR(__xludf.DUMMYFUNCTION("$D443 - IFERROR(FILTER($D:$D,$C:$C = $C443, $A:$A = $A443, $B:$B = $B443 - 1),0)"),0.0)</f>
        <v>0</v>
      </c>
      <c r="W443" s="93">
        <f>IFERROR(__xludf.DUMMYFUNCTION("$E443 - IFERROR(FILTER($E:$E,$C:$C = $C443, $A:$A = $A443, $B:$B = $B443 - 1),0)"),0.0)</f>
        <v>0</v>
      </c>
      <c r="X443" s="93"/>
      <c r="Y443" s="93"/>
      <c r="Z443" s="93">
        <v>0.0</v>
      </c>
      <c r="AA443" s="93">
        <v>0.0</v>
      </c>
      <c r="AB443" s="93">
        <v>0.0</v>
      </c>
      <c r="AC443" s="93"/>
      <c r="AD443" s="93">
        <v>0.0</v>
      </c>
      <c r="AE443" s="32">
        <f t="shared" si="2"/>
        <v>0</v>
      </c>
      <c r="AF443" s="93">
        <v>0.0</v>
      </c>
    </row>
    <row r="444">
      <c r="A444" s="94">
        <v>2017.0</v>
      </c>
      <c r="B444" s="95">
        <v>1.0</v>
      </c>
      <c r="C444" s="88" t="s">
        <v>46</v>
      </c>
      <c r="D444" s="32"/>
      <c r="E444" s="32"/>
      <c r="F444" s="32"/>
      <c r="G444" s="93">
        <v>-190.94</v>
      </c>
      <c r="H444" s="93">
        <v>2902.86</v>
      </c>
      <c r="I444" s="32"/>
      <c r="J444" s="93">
        <v>6036.37</v>
      </c>
      <c r="K444" s="32"/>
      <c r="L444" s="32"/>
      <c r="M444" s="32"/>
      <c r="N444" s="32"/>
      <c r="O444" s="93">
        <v>390628.0</v>
      </c>
      <c r="P444" s="91">
        <f>IFERROR(__xludf.DUMMYFUNCTION("IFERROR(sum(FILTER($D:$N,$C:$C = $C444,$A:$A &lt; $A444,$B:$B = 12)),0) + sum($D444:$N444)"),390628.84)</f>
        <v>390628.84</v>
      </c>
      <c r="Q444" s="92">
        <f t="shared" si="1"/>
        <v>-0.84</v>
      </c>
      <c r="R444" s="91">
        <f t="array" ref="R444">IFERROR(INDEX('Fund YTD Target Values'!$1:$1000, MATCH($C444,'Fund YTD Target Values'!$A:$A,0), MATCH($A444,'Fund YTD Target Values'!$1:$1,0)),0)</f>
        <v>445660.8761</v>
      </c>
      <c r="S444" s="91">
        <f>IFERROR(__xludf.DUMMYFUNCTION("IFERROR(sum(FILTER('Fund Investment Data'!$V:$V, 'Fund Investment Data'!$C:$C = $C444, 'Fund Investment Data'!$A:$A &lt; $A444)),0) + IFERROR(sum(FILTER('Fund Investment Data'!$V:$V, 'Fund Investment Data'!$C:$C = $C444, 'Fund Investment Data'!$A:$A = $A444,"&amp;" 'Fund Investment Data'!$B:$B &lt;= $B444)),0)"),366400.0)</f>
        <v>366400</v>
      </c>
      <c r="T444" s="93">
        <v>366400.0</v>
      </c>
      <c r="U444" s="32">
        <f t="shared" si="3"/>
        <v>0</v>
      </c>
      <c r="V444" s="32">
        <f>IFERROR(__xludf.DUMMYFUNCTION("$D444 - IFERROR(FILTER($D:$D,$C:$C = $C444, $A:$A = $A444, $B:$B = $B444 - 1),0)"),0.0)</f>
        <v>0</v>
      </c>
      <c r="W444" s="93">
        <f>IFERROR(__xludf.DUMMYFUNCTION("$E444 - IFERROR(FILTER($E:$E,$C:$C = $C444, $A:$A = $A444, $B:$B = $B444 - 1),0)"),0.0)</f>
        <v>0</v>
      </c>
      <c r="X444" s="93"/>
      <c r="Y444" s="93"/>
      <c r="Z444" s="93">
        <v>0.0</v>
      </c>
      <c r="AA444" s="93">
        <v>0.0</v>
      </c>
      <c r="AB444" s="93">
        <v>0.0</v>
      </c>
      <c r="AC444" s="93"/>
      <c r="AD444" s="93">
        <v>0.0</v>
      </c>
      <c r="AE444" s="32">
        <f t="shared" si="2"/>
        <v>0</v>
      </c>
      <c r="AF444" s="93">
        <v>0.0</v>
      </c>
    </row>
    <row r="445">
      <c r="A445" s="94">
        <v>2017.0</v>
      </c>
      <c r="B445" s="95">
        <v>1.0</v>
      </c>
      <c r="C445" s="88" t="s">
        <v>36</v>
      </c>
      <c r="D445" s="32"/>
      <c r="E445" s="32"/>
      <c r="F445" s="32"/>
      <c r="G445" s="93">
        <v>-209.21</v>
      </c>
      <c r="H445" s="93">
        <v>3175.34</v>
      </c>
      <c r="I445" s="32"/>
      <c r="J445" s="93">
        <v>6602.74</v>
      </c>
      <c r="K445" s="32"/>
      <c r="L445" s="32"/>
      <c r="M445" s="32"/>
      <c r="N445" s="32"/>
      <c r="O445" s="93">
        <v>427980.0</v>
      </c>
      <c r="P445" s="91">
        <f>IFERROR(__xludf.DUMMYFUNCTION("IFERROR(sum(FILTER($D:$N,$C:$C = $C445,$A:$A &lt; $A445,$B:$B = 12)),0) + sum($D445:$N445)"),427979.29000000004)</f>
        <v>427979.29</v>
      </c>
      <c r="Q445" s="92">
        <f t="shared" si="1"/>
        <v>0.71</v>
      </c>
      <c r="R445" s="91">
        <f t="array" ref="R445">IFERROR(INDEX('Fund YTD Target Values'!$1:$1000, MATCH($C445,'Fund YTD Target Values'!$A:$A,0), MATCH($A445,'Fund YTD Target Values'!$1:$1,0)),0)</f>
        <v>620333.8441</v>
      </c>
      <c r="S445" s="91">
        <f>IFERROR(__xludf.DUMMYFUNCTION("IFERROR(sum(FILTER('Fund Investment Data'!$V:$V, 'Fund Investment Data'!$C:$C = $C445, 'Fund Investment Data'!$A:$A &lt; $A445)),0) + IFERROR(sum(FILTER('Fund Investment Data'!$V:$V, 'Fund Investment Data'!$C:$C = $C445, 'Fund Investment Data'!$A:$A = $A445,"&amp;" 'Fund Investment Data'!$B:$B &lt;= $B445)),0)"),429067.24)</f>
        <v>429067.24</v>
      </c>
      <c r="T445" s="93">
        <v>413959.0</v>
      </c>
      <c r="U445" s="32">
        <f t="shared" si="3"/>
        <v>15108.24</v>
      </c>
      <c r="V445" s="32">
        <f>IFERROR(__xludf.DUMMYFUNCTION("$D445 - IFERROR(FILTER($D:$D,$C:$C = $C445, $A:$A = $A445, $B:$B = $B445 - 1),0)"),0.0)</f>
        <v>0</v>
      </c>
      <c r="W445" s="93">
        <f>IFERROR(__xludf.DUMMYFUNCTION("$E445 - IFERROR(FILTER($E:$E,$C:$C = $C445, $A:$A = $A445, $B:$B = $B445 - 1),0)"),0.0)</f>
        <v>0</v>
      </c>
      <c r="X445" s="93"/>
      <c r="Y445" s="93"/>
      <c r="Z445" s="93">
        <v>0.0</v>
      </c>
      <c r="AA445" s="93">
        <v>0.0</v>
      </c>
      <c r="AB445" s="93">
        <v>0.0</v>
      </c>
      <c r="AC445" s="93"/>
      <c r="AD445" s="93">
        <v>0.0</v>
      </c>
      <c r="AE445" s="32">
        <f t="shared" si="2"/>
        <v>0</v>
      </c>
      <c r="AF445" s="93">
        <v>0.0</v>
      </c>
    </row>
    <row r="446">
      <c r="A446" s="86">
        <v>2017.0</v>
      </c>
      <c r="B446" s="87">
        <v>1.0</v>
      </c>
      <c r="C446" s="88" t="s">
        <v>37</v>
      </c>
      <c r="D446" s="32"/>
      <c r="E446" s="32"/>
      <c r="F446" s="32"/>
      <c r="G446" s="93">
        <v>-393.19</v>
      </c>
      <c r="H446" s="93">
        <v>5983.47</v>
      </c>
      <c r="I446" s="32"/>
      <c r="J446" s="93">
        <v>12441.85</v>
      </c>
      <c r="K446" s="32"/>
      <c r="L446" s="32"/>
      <c r="M446" s="32"/>
      <c r="N446" s="32"/>
      <c r="O446" s="93">
        <v>804403.0</v>
      </c>
      <c r="P446" s="91">
        <f>IFERROR(__xludf.DUMMYFUNCTION("IFERROR(sum(FILTER($D:$N,$C:$C = $C446,$A:$A &lt; $A446,$B:$B = 12)),0) + sum($D446:$N446)"),804403.14)</f>
        <v>804403.14</v>
      </c>
      <c r="Q446" s="92">
        <f t="shared" si="1"/>
        <v>-0.14</v>
      </c>
      <c r="R446" s="91">
        <f t="array" ref="R446">IFERROR(INDEX('Fund YTD Target Values'!$1:$1000, MATCH($C446,'Fund YTD Target Values'!$A:$A,0), MATCH($A446,'Fund YTD Target Values'!$1:$1,0)),0)</f>
        <v>825458.0276</v>
      </c>
      <c r="S446" s="91">
        <f>IFERROR(__xludf.DUMMYFUNCTION("IFERROR(sum(FILTER('Fund Investment Data'!$V:$V, 'Fund Investment Data'!$C:$C = $C446, 'Fund Investment Data'!$A:$A &lt; $A446)),0) + IFERROR(sum(FILTER('Fund Investment Data'!$V:$V, 'Fund Investment Data'!$C:$C = $C446, 'Fund Investment Data'!$A:$A = $A446,"&amp;" 'Fund Investment Data'!$B:$B &lt;= $B446)),0)"),758137.86)</f>
        <v>758137.86</v>
      </c>
      <c r="T446" s="93">
        <v>742866.0</v>
      </c>
      <c r="U446" s="32">
        <f t="shared" si="3"/>
        <v>15271.86</v>
      </c>
      <c r="V446" s="32">
        <f>IFERROR(__xludf.DUMMYFUNCTION("$D446 - IFERROR(FILTER($D:$D,$C:$C = $C446, $A:$A = $A446, $B:$B = $B446 - 1),0)"),0.0)</f>
        <v>0</v>
      </c>
      <c r="W446" s="93">
        <f>IFERROR(__xludf.DUMMYFUNCTION("$E446 - IFERROR(FILTER($E:$E,$C:$C = $C446, $A:$A = $A446, $B:$B = $B446 - 1),0)"),0.0)</f>
        <v>0</v>
      </c>
      <c r="X446" s="93"/>
      <c r="Y446" s="93"/>
      <c r="Z446" s="93">
        <v>0.0</v>
      </c>
      <c r="AA446" s="93">
        <v>0.0</v>
      </c>
      <c r="AB446" s="93">
        <v>0.0</v>
      </c>
      <c r="AC446" s="93"/>
      <c r="AD446" s="93">
        <v>0.0</v>
      </c>
      <c r="AE446" s="32">
        <f t="shared" si="2"/>
        <v>0</v>
      </c>
      <c r="AF446" s="93">
        <v>0.0</v>
      </c>
    </row>
    <row r="447">
      <c r="A447" s="94">
        <v>2017.0</v>
      </c>
      <c r="B447" s="95">
        <v>1.0</v>
      </c>
      <c r="C447" s="88" t="s">
        <v>29</v>
      </c>
      <c r="D447" s="32"/>
      <c r="E447" s="32"/>
      <c r="F447" s="32"/>
      <c r="G447" s="93">
        <v>-26.6</v>
      </c>
      <c r="H447" s="93">
        <v>403.84</v>
      </c>
      <c r="I447" s="32"/>
      <c r="J447" s="93">
        <v>839.73</v>
      </c>
      <c r="K447" s="32"/>
      <c r="L447" s="32"/>
      <c r="M447" s="32"/>
      <c r="N447" s="32"/>
      <c r="O447" s="93">
        <v>54430.0</v>
      </c>
      <c r="P447" s="91">
        <f>IFERROR(__xludf.DUMMYFUNCTION("IFERROR(sum(FILTER($D:$N,$C:$C = $C447,$A:$A &lt; $A447,$B:$B = 12)),0) + sum($D447:$N447)"),54430.059999999925)</f>
        <v>54430.06</v>
      </c>
      <c r="Q447" s="92">
        <f t="shared" si="1"/>
        <v>-0.05999999992</v>
      </c>
      <c r="R447" s="91">
        <f t="array" ref="R447">IFERROR(INDEX('Fund YTD Target Values'!$1:$1000, MATCH($C447,'Fund YTD Target Values'!$A:$A,0), MATCH($A447,'Fund YTD Target Values'!$1:$1,0)),0)</f>
        <v>75218.58778</v>
      </c>
      <c r="S447" s="91">
        <f>IFERROR(__xludf.DUMMYFUNCTION("IFERROR(sum(FILTER('Fund Investment Data'!$V:$V, 'Fund Investment Data'!$C:$C = $C447, 'Fund Investment Data'!$A:$A &lt; $A447)),0) + IFERROR(sum(FILTER('Fund Investment Data'!$V:$V, 'Fund Investment Data'!$C:$C = $C447, 'Fund Investment Data'!$A:$A = $A447,"&amp;" 'Fund Investment Data'!$B:$B &lt;= $B447)),0)"),50000.0)</f>
        <v>50000</v>
      </c>
      <c r="T447" s="93">
        <v>50000.0</v>
      </c>
      <c r="U447" s="32">
        <f t="shared" si="3"/>
        <v>0</v>
      </c>
      <c r="V447" s="32">
        <f>IFERROR(__xludf.DUMMYFUNCTION("$D447 - IFERROR(FILTER($D:$D,$C:$C = $C447, $A:$A = $A447, $B:$B = $B447 - 1),0)"),0.0)</f>
        <v>0</v>
      </c>
      <c r="W447" s="93">
        <f>IFERROR(__xludf.DUMMYFUNCTION("$E447 - IFERROR(FILTER($E:$E,$C:$C = $C447, $A:$A = $A447, $B:$B = $B447 - 1),0)"),0.0)</f>
        <v>0</v>
      </c>
      <c r="X447" s="93"/>
      <c r="Y447" s="93"/>
      <c r="Z447" s="93">
        <v>0.0</v>
      </c>
      <c r="AA447" s="93">
        <v>0.0</v>
      </c>
      <c r="AB447" s="93">
        <v>0.0</v>
      </c>
      <c r="AC447" s="93"/>
      <c r="AD447" s="93">
        <v>0.0</v>
      </c>
      <c r="AE447" s="32">
        <f t="shared" si="2"/>
        <v>0</v>
      </c>
      <c r="AF447" s="93">
        <v>0.0</v>
      </c>
    </row>
    <row r="448">
      <c r="A448" s="94">
        <v>2017.0</v>
      </c>
      <c r="B448" s="95">
        <v>1.0</v>
      </c>
      <c r="C448" s="88" t="s">
        <v>38</v>
      </c>
      <c r="D448" s="32"/>
      <c r="E448" s="32"/>
      <c r="F448" s="32"/>
      <c r="G448" s="93">
        <v>-358.82</v>
      </c>
      <c r="H448" s="93">
        <v>5460.34</v>
      </c>
      <c r="I448" s="32"/>
      <c r="J448" s="93">
        <v>11354.56</v>
      </c>
      <c r="K448" s="32"/>
      <c r="L448" s="32"/>
      <c r="M448" s="32"/>
      <c r="N448" s="32"/>
      <c r="O448" s="93">
        <v>734108.0</v>
      </c>
      <c r="P448" s="91">
        <f>IFERROR(__xludf.DUMMYFUNCTION("IFERROR(sum(FILTER($D:$N,$C:$C = $C448,$A:$A &lt; $A448,$B:$B = 12)),0) + sum($D448:$N448)"),734107.0499999998)</f>
        <v>734107.05</v>
      </c>
      <c r="Q448" s="92">
        <f t="shared" si="1"/>
        <v>0.9500000002</v>
      </c>
      <c r="R448" s="91">
        <f t="array" ref="R448">IFERROR(INDEX('Fund YTD Target Values'!$1:$1000, MATCH($C448,'Fund YTD Target Values'!$A:$A,0), MATCH($A448,'Fund YTD Target Values'!$1:$1,0)),0)</f>
        <v>685763.9306</v>
      </c>
      <c r="S448" s="91">
        <f>IFERROR(__xludf.DUMMYFUNCTION("IFERROR(sum(FILTER('Fund Investment Data'!$V:$V, 'Fund Investment Data'!$C:$C = $C448, 'Fund Investment Data'!$A:$A &lt; $A448)),0) + IFERROR(sum(FILTER('Fund Investment Data'!$V:$V, 'Fund Investment Data'!$C:$C = $C448, 'Fund Investment Data'!$A:$A = $A448,"&amp;" 'Fund Investment Data'!$B:$B &lt;= $B448)),0)"),556601.64)</f>
        <v>556601.64</v>
      </c>
      <c r="T448" s="93">
        <v>558656.0</v>
      </c>
      <c r="U448" s="32">
        <f t="shared" si="3"/>
        <v>-2054.36</v>
      </c>
      <c r="V448" s="32">
        <f>IFERROR(__xludf.DUMMYFUNCTION("$D448 - IFERROR(FILTER($D:$D,$C:$C = $C448, $A:$A = $A448, $B:$B = $B448 - 1),0)"),0.0)</f>
        <v>0</v>
      </c>
      <c r="W448" s="93">
        <f>IFERROR(__xludf.DUMMYFUNCTION("$E448 - IFERROR(FILTER($E:$E,$C:$C = $C448, $A:$A = $A448, $B:$B = $B448 - 1),0)"),0.0)</f>
        <v>0</v>
      </c>
      <c r="X448" s="93"/>
      <c r="Y448" s="93"/>
      <c r="Z448" s="93">
        <v>0.0</v>
      </c>
      <c r="AA448" s="93">
        <v>0.0</v>
      </c>
      <c r="AB448" s="93">
        <v>0.0</v>
      </c>
      <c r="AC448" s="93"/>
      <c r="AD448" s="93">
        <v>0.0</v>
      </c>
      <c r="AE448" s="32">
        <f t="shared" si="2"/>
        <v>0</v>
      </c>
      <c r="AF448" s="93">
        <v>0.0</v>
      </c>
    </row>
    <row r="449">
      <c r="A449" s="86">
        <v>2017.0</v>
      </c>
      <c r="B449" s="87">
        <v>1.0</v>
      </c>
      <c r="C449" s="88" t="s">
        <v>30</v>
      </c>
      <c r="D449" s="32"/>
      <c r="E449" s="32"/>
      <c r="F449" s="32"/>
      <c r="G449" s="93">
        <v>-7.6</v>
      </c>
      <c r="H449" s="93">
        <v>109.89</v>
      </c>
      <c r="I449" s="32"/>
      <c r="J449" s="93">
        <v>228.23</v>
      </c>
      <c r="K449" s="32"/>
      <c r="L449" s="32"/>
      <c r="M449" s="32"/>
      <c r="N449" s="32"/>
      <c r="O449" s="93">
        <v>15529.0</v>
      </c>
      <c r="P449" s="91">
        <f>IFERROR(__xludf.DUMMYFUNCTION("IFERROR(sum(FILTER($D:$N,$C:$C = $C449,$A:$A &lt; $A449,$B:$B = 12)),0) + sum($D449:$N449)"),15527.809999999989)</f>
        <v>15527.81</v>
      </c>
      <c r="Q449" s="92">
        <f t="shared" si="1"/>
        <v>1.19</v>
      </c>
      <c r="R449" s="91">
        <f t="array" ref="R449">IFERROR(INDEX('Fund YTD Target Values'!$1:$1000, MATCH($C449,'Fund YTD Target Values'!$A:$A,0), MATCH($A449,'Fund YTD Target Values'!$1:$1,0)),0)</f>
        <v>18043.81747</v>
      </c>
      <c r="S449" s="91">
        <f>IFERROR(__xludf.DUMMYFUNCTION("IFERROR(sum(FILTER('Fund Investment Data'!$V:$V, 'Fund Investment Data'!$C:$C = $C449, 'Fund Investment Data'!$A:$A &lt; $A449)),0) + IFERROR(sum(FILTER('Fund Investment Data'!$V:$V, 'Fund Investment Data'!$C:$C = $C449, 'Fund Investment Data'!$A:$A = $A449,"&amp;" 'Fund Investment Data'!$B:$B &lt;= $B449)),0)"),11540.75)</f>
        <v>11540.75</v>
      </c>
      <c r="T449" s="93">
        <v>10000.0</v>
      </c>
      <c r="U449" s="32">
        <f t="shared" si="3"/>
        <v>1540.75</v>
      </c>
      <c r="V449" s="32">
        <f>IFERROR(__xludf.DUMMYFUNCTION("$D449 - IFERROR(FILTER($D:$D,$C:$C = $C449, $A:$A = $A449, $B:$B = $B449 - 1),0)"),0.0)</f>
        <v>0</v>
      </c>
      <c r="W449" s="93">
        <f>IFERROR(__xludf.DUMMYFUNCTION("$E449 - IFERROR(FILTER($E:$E,$C:$C = $C449, $A:$A = $A449, $B:$B = $B449 - 1),0)"),0.0)</f>
        <v>0</v>
      </c>
      <c r="X449" s="93"/>
      <c r="Y449" s="93"/>
      <c r="Z449" s="93">
        <v>0.0</v>
      </c>
      <c r="AA449" s="93">
        <v>0.0</v>
      </c>
      <c r="AB449" s="93">
        <v>0.0</v>
      </c>
      <c r="AC449" s="93"/>
      <c r="AD449" s="93">
        <v>0.0</v>
      </c>
      <c r="AE449" s="32">
        <f t="shared" si="2"/>
        <v>0</v>
      </c>
      <c r="AF449" s="93">
        <v>0.0</v>
      </c>
    </row>
    <row r="450">
      <c r="A450" s="94">
        <v>2017.0</v>
      </c>
      <c r="B450" s="95">
        <v>1.0</v>
      </c>
      <c r="C450" s="88" t="s">
        <v>47</v>
      </c>
      <c r="D450" s="32"/>
      <c r="E450" s="32"/>
      <c r="F450" s="32"/>
      <c r="G450" s="93">
        <v>-687.1</v>
      </c>
      <c r="H450" s="93">
        <v>10428.91</v>
      </c>
      <c r="I450" s="32"/>
      <c r="J450" s="93">
        <v>21685.65</v>
      </c>
      <c r="K450" s="32"/>
      <c r="L450" s="32"/>
      <c r="M450" s="32"/>
      <c r="N450" s="32"/>
      <c r="O450" s="93">
        <v>1405633.0</v>
      </c>
      <c r="P450" s="91">
        <f>IFERROR(__xludf.DUMMYFUNCTION("IFERROR(sum(FILTER($D:$N,$C:$C = $C450,$A:$A &lt; $A450,$B:$B = 12)),0) + sum($D450:$N450)"),1405632.7899999996)</f>
        <v>1405632.79</v>
      </c>
      <c r="Q450" s="92">
        <f t="shared" si="1"/>
        <v>0.2100000004</v>
      </c>
      <c r="R450" s="91">
        <f t="array" ref="R450">IFERROR(INDEX('Fund YTD Target Values'!$1:$1000, MATCH($C450,'Fund YTD Target Values'!$A:$A,0), MATCH($A450,'Fund YTD Target Values'!$1:$1,0)),0)</f>
        <v>1951070.709</v>
      </c>
      <c r="S450" s="91">
        <f>IFERROR(__xludf.DUMMYFUNCTION("IFERROR(sum(FILTER('Fund Investment Data'!$V:$V, 'Fund Investment Data'!$C:$C = $C450, 'Fund Investment Data'!$A:$A &lt; $A450)),0) + IFERROR(sum(FILTER('Fund Investment Data'!$V:$V, 'Fund Investment Data'!$C:$C = $C450, 'Fund Investment Data'!$A:$A = $A450,"&amp;" 'Fund Investment Data'!$B:$B &lt;= $B450)),0)"),1446367.46)</f>
        <v>1446367.46</v>
      </c>
      <c r="T450" s="93">
        <v>1348955.0</v>
      </c>
      <c r="U450" s="32">
        <f t="shared" si="3"/>
        <v>97412.46</v>
      </c>
      <c r="V450" s="32">
        <f>IFERROR(__xludf.DUMMYFUNCTION("$D450 - IFERROR(FILTER($D:$D,$C:$C = $C450, $A:$A = $A450, $B:$B = $B450 - 1),0)"),0.0)</f>
        <v>0</v>
      </c>
      <c r="W450" s="93">
        <f>IFERROR(__xludf.DUMMYFUNCTION("$E450 - IFERROR(FILTER($E:$E,$C:$C = $C450, $A:$A = $A450, $B:$B = $B450 - 1),0)"),0.0)</f>
        <v>0</v>
      </c>
      <c r="X450" s="93"/>
      <c r="Y450" s="93"/>
      <c r="Z450" s="93">
        <v>0.0</v>
      </c>
      <c r="AA450" s="93">
        <v>0.0</v>
      </c>
      <c r="AB450" s="93">
        <v>0.0</v>
      </c>
      <c r="AC450" s="93"/>
      <c r="AD450" s="93">
        <v>0.0</v>
      </c>
      <c r="AE450" s="32">
        <f t="shared" si="2"/>
        <v>0</v>
      </c>
      <c r="AF450" s="93">
        <v>0.0</v>
      </c>
    </row>
    <row r="451">
      <c r="A451" s="86">
        <v>2017.0</v>
      </c>
      <c r="B451" s="87">
        <v>1.0</v>
      </c>
      <c r="C451" s="88" t="s">
        <v>31</v>
      </c>
      <c r="D451" s="93">
        <v>750.0</v>
      </c>
      <c r="E451" s="32"/>
      <c r="F451" s="32"/>
      <c r="G451" s="93">
        <v>-86.12</v>
      </c>
      <c r="H451" s="93">
        <v>1309.31</v>
      </c>
      <c r="I451" s="32"/>
      <c r="J451" s="93">
        <v>2722.65</v>
      </c>
      <c r="K451" s="32"/>
      <c r="L451" s="32"/>
      <c r="M451" s="32"/>
      <c r="N451" s="32"/>
      <c r="O451" s="93">
        <v>176940.0</v>
      </c>
      <c r="P451" s="91">
        <f>IFERROR(__xludf.DUMMYFUNCTION("IFERROR(sum(FILTER($D:$N,$C:$C = $C451,$A:$A &lt; $A451,$B:$B = 12)),0) + sum($D451:$N451)"),176940.38000000003)</f>
        <v>176940.38</v>
      </c>
      <c r="Q451" s="92">
        <f t="shared" si="1"/>
        <v>-0.38</v>
      </c>
      <c r="R451" s="91">
        <f t="array" ref="R451">IFERROR(INDEX('Fund YTD Target Values'!$1:$1000, MATCH($C451,'Fund YTD Target Values'!$A:$A,0), MATCH($A451,'Fund YTD Target Values'!$1:$1,0)),0)</f>
        <v>205534.6031</v>
      </c>
      <c r="S451" s="91">
        <f>IFERROR(__xludf.DUMMYFUNCTION("IFERROR(sum(FILTER('Fund Investment Data'!$V:$V, 'Fund Investment Data'!$C:$C = $C451, 'Fund Investment Data'!$A:$A &lt; $A451)),0) + IFERROR(sum(FILTER('Fund Investment Data'!$V:$V, 'Fund Investment Data'!$C:$C = $C451, 'Fund Investment Data'!$A:$A = $A451,"&amp;" 'Fund Investment Data'!$B:$B &lt;= $B451)),0)"),157600.0)</f>
        <v>157600</v>
      </c>
      <c r="T451" s="93">
        <v>156850.0</v>
      </c>
      <c r="U451" s="32">
        <f t="shared" si="3"/>
        <v>750</v>
      </c>
      <c r="V451" s="32">
        <f>IFERROR(__xludf.DUMMYFUNCTION("$D451 - IFERROR(FILTER($D:$D,$C:$C = $C451, $A:$A = $A451, $B:$B = $B451 - 1),0)"),750.0)</f>
        <v>750</v>
      </c>
      <c r="W451" s="93">
        <f>IFERROR(__xludf.DUMMYFUNCTION("$E451 - IFERROR(FILTER($E:$E,$C:$C = $C451, $A:$A = $A451, $B:$B = $B451 - 1),0)"),0.0)</f>
        <v>0</v>
      </c>
      <c r="X451" s="93"/>
      <c r="Y451" s="93"/>
      <c r="Z451" s="93">
        <v>0.0</v>
      </c>
      <c r="AA451" s="93">
        <v>0.0</v>
      </c>
      <c r="AB451" s="93">
        <v>0.0</v>
      </c>
      <c r="AC451" s="93"/>
      <c r="AD451" s="93">
        <v>0.0</v>
      </c>
      <c r="AE451" s="32">
        <f t="shared" si="2"/>
        <v>0</v>
      </c>
      <c r="AF451" s="93">
        <v>0.0</v>
      </c>
    </row>
    <row r="452">
      <c r="A452" s="86">
        <v>2017.0</v>
      </c>
      <c r="B452" s="87">
        <v>1.0</v>
      </c>
      <c r="C452" s="88" t="s">
        <v>39</v>
      </c>
      <c r="D452" s="32"/>
      <c r="E452" s="32"/>
      <c r="F452" s="32"/>
      <c r="G452" s="93">
        <v>-74.77</v>
      </c>
      <c r="H452" s="93">
        <v>1023.55</v>
      </c>
      <c r="I452" s="32"/>
      <c r="J452" s="93">
        <v>2123.07</v>
      </c>
      <c r="K452" s="32"/>
      <c r="L452" s="32"/>
      <c r="M452" s="32"/>
      <c r="N452" s="32"/>
      <c r="O452" s="93">
        <v>152603.0</v>
      </c>
      <c r="P452" s="91">
        <f>IFERROR(__xludf.DUMMYFUNCTION("IFERROR(sum(FILTER($D:$N,$C:$C = $C452,$A:$A &lt; $A452,$B:$B = 12)),0) + sum($D452:$N452)"),152603.39000000004)</f>
        <v>152603.39</v>
      </c>
      <c r="Q452" s="92">
        <f t="shared" si="1"/>
        <v>-0.39</v>
      </c>
      <c r="R452" s="91">
        <f t="array" ref="R452">IFERROR(INDEX('Fund YTD Target Values'!$1:$1000, MATCH($C452,'Fund YTD Target Values'!$A:$A,0), MATCH($A452,'Fund YTD Target Values'!$1:$1,0)),0)</f>
        <v>165832.7472</v>
      </c>
      <c r="S452" s="91">
        <f>IFERROR(__xludf.DUMMYFUNCTION("IFERROR(sum(FILTER('Fund Investment Data'!$V:$V, 'Fund Investment Data'!$C:$C = $C452, 'Fund Investment Data'!$A:$A &lt; $A452)),0) + IFERROR(sum(FILTER('Fund Investment Data'!$V:$V, 'Fund Investment Data'!$C:$C = $C452, 'Fund Investment Data'!$A:$A = $A452,"&amp;" 'Fund Investment Data'!$B:$B &lt;= $B452)),0)"),140000.0)</f>
        <v>140000</v>
      </c>
      <c r="T452" s="93">
        <v>140000.0</v>
      </c>
      <c r="U452" s="32">
        <f t="shared" si="3"/>
        <v>0</v>
      </c>
      <c r="V452" s="32">
        <f>IFERROR(__xludf.DUMMYFUNCTION("$D452 - IFERROR(FILTER($D:$D,$C:$C = $C452, $A:$A = $A452, $B:$B = $B452 - 1),0)"),0.0)</f>
        <v>0</v>
      </c>
      <c r="W452" s="93">
        <f>IFERROR(__xludf.DUMMYFUNCTION("$E452 - IFERROR(FILTER($E:$E,$C:$C = $C452, $A:$A = $A452, $B:$B = $B452 - 1),0)"),0.0)</f>
        <v>0</v>
      </c>
      <c r="X452" s="93"/>
      <c r="Y452" s="93"/>
      <c r="Z452" s="93">
        <v>0.0</v>
      </c>
      <c r="AA452" s="93">
        <v>0.0</v>
      </c>
      <c r="AB452" s="93">
        <v>0.0</v>
      </c>
      <c r="AC452" s="93"/>
      <c r="AD452" s="93">
        <v>0.0</v>
      </c>
      <c r="AE452" s="32">
        <f t="shared" si="2"/>
        <v>0</v>
      </c>
      <c r="AF452" s="93">
        <v>0.0</v>
      </c>
    </row>
    <row r="453">
      <c r="A453" s="86">
        <v>2017.0</v>
      </c>
      <c r="B453" s="87">
        <v>1.0</v>
      </c>
      <c r="C453" s="88" t="s">
        <v>50</v>
      </c>
      <c r="D453" s="32"/>
      <c r="E453" s="32"/>
      <c r="F453" s="32"/>
      <c r="G453" s="93">
        <v>-99.44</v>
      </c>
      <c r="H453" s="93">
        <v>1345.39</v>
      </c>
      <c r="I453" s="32"/>
      <c r="J453" s="93">
        <v>2796.3</v>
      </c>
      <c r="K453" s="32"/>
      <c r="L453" s="32"/>
      <c r="M453" s="32"/>
      <c r="N453" s="32"/>
      <c r="O453" s="93">
        <v>202924.0</v>
      </c>
      <c r="P453" s="91">
        <f>IFERROR(__xludf.DUMMYFUNCTION("IFERROR(sum(FILTER($D:$N,$C:$C = $C453,$A:$A &lt; $A453,$B:$B = 12)),0) + sum($D453:$N453)"),202923.81999999998)</f>
        <v>202923.82</v>
      </c>
      <c r="Q453" s="92">
        <f t="shared" si="1"/>
        <v>0.18</v>
      </c>
      <c r="R453" s="91">
        <f t="array" ref="R453">IFERROR(INDEX('Fund YTD Target Values'!$1:$1000, MATCH($C453,'Fund YTD Target Values'!$A:$A,0), MATCH($A453,'Fund YTD Target Values'!$1:$1,0)),0)</f>
        <v>212473.6146</v>
      </c>
      <c r="S453" s="91">
        <f>IFERROR(__xludf.DUMMYFUNCTION("IFERROR(sum(FILTER('Fund Investment Data'!$V:$V, 'Fund Investment Data'!$C:$C = $C453, 'Fund Investment Data'!$A:$A &lt; $A453)),0) + IFERROR(sum(FILTER('Fund Investment Data'!$V:$V, 'Fund Investment Data'!$C:$C = $C453, 'Fund Investment Data'!$A:$A = $A453,"&amp;" 'Fund Investment Data'!$B:$B &lt;= $B453)),0)"),185189.56)</f>
        <v>185189.56</v>
      </c>
      <c r="T453" s="93">
        <v>190241.0</v>
      </c>
      <c r="U453" s="32">
        <f t="shared" si="3"/>
        <v>-5051.44</v>
      </c>
      <c r="V453" s="32">
        <f>IFERROR(__xludf.DUMMYFUNCTION("$D453 - IFERROR(FILTER($D:$D,$C:$C = $C453, $A:$A = $A453, $B:$B = $B453 - 1),0)"),0.0)</f>
        <v>0</v>
      </c>
      <c r="W453" s="93">
        <f>IFERROR(__xludf.DUMMYFUNCTION("$E453 - IFERROR(FILTER($E:$E,$C:$C = $C453, $A:$A = $A453, $B:$B = $B453 - 1),0)"),0.0)</f>
        <v>0</v>
      </c>
      <c r="X453" s="93"/>
      <c r="Y453" s="93"/>
      <c r="Z453" s="93">
        <v>0.0</v>
      </c>
      <c r="AA453" s="93">
        <v>0.0</v>
      </c>
      <c r="AB453" s="93">
        <v>0.0</v>
      </c>
      <c r="AC453" s="93"/>
      <c r="AD453" s="93">
        <v>0.0</v>
      </c>
      <c r="AE453" s="32">
        <f t="shared" si="2"/>
        <v>0</v>
      </c>
      <c r="AF453" s="93">
        <v>0.0</v>
      </c>
    </row>
    <row r="454">
      <c r="A454" s="86">
        <v>2017.0</v>
      </c>
      <c r="B454" s="87">
        <v>1.0</v>
      </c>
      <c r="C454" s="88" t="s">
        <v>32</v>
      </c>
      <c r="D454" s="32"/>
      <c r="E454" s="32"/>
      <c r="F454" s="32"/>
      <c r="G454" s="93">
        <v>-23.32</v>
      </c>
      <c r="H454" s="93">
        <v>343.37</v>
      </c>
      <c r="I454" s="32"/>
      <c r="J454" s="93">
        <v>713.5</v>
      </c>
      <c r="K454" s="32"/>
      <c r="L454" s="32"/>
      <c r="M454" s="32"/>
      <c r="N454" s="32"/>
      <c r="O454" s="93">
        <v>47681.0</v>
      </c>
      <c r="P454" s="91">
        <f>IFERROR(__xludf.DUMMYFUNCTION("IFERROR(sum(FILTER($D:$N,$C:$C = $C454,$A:$A &lt; $A454,$B:$B = 12)),0) + sum($D454:$N454)"),47680.64000000003)</f>
        <v>47680.64</v>
      </c>
      <c r="Q454" s="92">
        <f t="shared" si="1"/>
        <v>0.36</v>
      </c>
      <c r="R454" s="91">
        <f t="array" ref="R454">IFERROR(INDEX('Fund YTD Target Values'!$1:$1000, MATCH($C454,'Fund YTD Target Values'!$A:$A,0), MATCH($A454,'Fund YTD Target Values'!$1:$1,0)),0)</f>
        <v>77291.136</v>
      </c>
      <c r="S454" s="91">
        <f>IFERROR(__xludf.DUMMYFUNCTION("IFERROR(sum(FILTER('Fund Investment Data'!$V:$V, 'Fund Investment Data'!$C:$C = $C454, 'Fund Investment Data'!$A:$A &lt; $A454)),0) + IFERROR(sum(FILTER('Fund Investment Data'!$V:$V, 'Fund Investment Data'!$C:$C = $C454, 'Fund Investment Data'!$A:$A = $A454,"&amp;" 'Fund Investment Data'!$B:$B &lt;= $B454)),0)"),49449.04)</f>
        <v>49449.04</v>
      </c>
      <c r="T454" s="93">
        <v>39268.0</v>
      </c>
      <c r="U454" s="32">
        <f t="shared" si="3"/>
        <v>10181.04</v>
      </c>
      <c r="V454" s="32">
        <f>IFERROR(__xludf.DUMMYFUNCTION("$D454 - IFERROR(FILTER($D:$D,$C:$C = $C454, $A:$A = $A454, $B:$B = $B454 - 1),0)"),0.0)</f>
        <v>0</v>
      </c>
      <c r="W454" s="93">
        <f>IFERROR(__xludf.DUMMYFUNCTION("$E454 - IFERROR(FILTER($E:$E,$C:$C = $C454, $A:$A = $A454, $B:$B = $B454 - 1),0)"),0.0)</f>
        <v>0</v>
      </c>
      <c r="X454" s="93"/>
      <c r="Y454" s="93"/>
      <c r="Z454" s="93">
        <v>0.0</v>
      </c>
      <c r="AA454" s="93">
        <v>0.0</v>
      </c>
      <c r="AB454" s="93">
        <v>0.0</v>
      </c>
      <c r="AC454" s="93"/>
      <c r="AD454" s="93">
        <v>0.0</v>
      </c>
      <c r="AE454" s="32">
        <f t="shared" si="2"/>
        <v>0</v>
      </c>
      <c r="AF454" s="93">
        <v>0.0</v>
      </c>
    </row>
    <row r="455">
      <c r="A455" s="86">
        <v>2017.0</v>
      </c>
      <c r="B455" s="87">
        <v>1.0</v>
      </c>
      <c r="C455" s="88" t="s">
        <v>40</v>
      </c>
      <c r="D455" s="32"/>
      <c r="E455" s="32"/>
      <c r="F455" s="32"/>
      <c r="G455" s="93">
        <v>-69.5</v>
      </c>
      <c r="H455" s="93">
        <v>1054.94</v>
      </c>
      <c r="I455" s="32"/>
      <c r="J455" s="93">
        <v>2193.61</v>
      </c>
      <c r="K455" s="32"/>
      <c r="L455" s="32"/>
      <c r="M455" s="32"/>
      <c r="N455" s="32"/>
      <c r="O455" s="93">
        <v>142187.0</v>
      </c>
      <c r="P455" s="91">
        <f>IFERROR(__xludf.DUMMYFUNCTION("IFERROR(sum(FILTER($D:$N,$C:$C = $C455,$A:$A &lt; $A455,$B:$B = 12)),0) + sum($D455:$N455)"),142186.74999999994)</f>
        <v>142186.75</v>
      </c>
      <c r="Q455" s="92">
        <f t="shared" si="1"/>
        <v>0.2500000001</v>
      </c>
      <c r="R455" s="91">
        <f t="array" ref="R455">IFERROR(INDEX('Fund YTD Target Values'!$1:$1000, MATCH($C455,'Fund YTD Target Values'!$A:$A,0), MATCH($A455,'Fund YTD Target Values'!$1:$1,0)),0)</f>
        <v>157515.3664</v>
      </c>
      <c r="S455" s="91">
        <f>IFERROR(__xludf.DUMMYFUNCTION("IFERROR(sum(FILTER('Fund Investment Data'!$V:$V, 'Fund Investment Data'!$C:$C = $C455, 'Fund Investment Data'!$A:$A &lt; $A455)),0) + IFERROR(sum(FILTER('Fund Investment Data'!$V:$V, 'Fund Investment Data'!$C:$C = $C455, 'Fund Investment Data'!$A:$A = $A455,"&amp;" 'Fund Investment Data'!$B:$B &lt;= $B455)),0)"),129703.74)</f>
        <v>129703.74</v>
      </c>
      <c r="T455" s="93">
        <v>129723.0</v>
      </c>
      <c r="U455" s="32">
        <f t="shared" si="3"/>
        <v>-19.26</v>
      </c>
      <c r="V455" s="32">
        <f>IFERROR(__xludf.DUMMYFUNCTION("$D455 - IFERROR(FILTER($D:$D,$C:$C = $C455, $A:$A = $A455, $B:$B = $B455 - 1),0)"),0.0)</f>
        <v>0</v>
      </c>
      <c r="W455" s="93">
        <f>IFERROR(__xludf.DUMMYFUNCTION("$E455 - IFERROR(FILTER($E:$E,$C:$C = $C455, $A:$A = $A455, $B:$B = $B455 - 1),0)"),0.0)</f>
        <v>0</v>
      </c>
      <c r="X455" s="93"/>
      <c r="Y455" s="93"/>
      <c r="Z455" s="93">
        <v>0.0</v>
      </c>
      <c r="AA455" s="93">
        <v>0.0</v>
      </c>
      <c r="AB455" s="93">
        <v>0.0</v>
      </c>
      <c r="AC455" s="93"/>
      <c r="AD455" s="93">
        <v>0.0</v>
      </c>
      <c r="AE455" s="32">
        <f t="shared" si="2"/>
        <v>0</v>
      </c>
      <c r="AF455" s="93">
        <v>0.0</v>
      </c>
    </row>
    <row r="456">
      <c r="A456" s="94">
        <v>2017.0</v>
      </c>
      <c r="B456" s="95">
        <v>1.0</v>
      </c>
      <c r="C456" s="88" t="s">
        <v>51</v>
      </c>
      <c r="D456" s="32"/>
      <c r="E456" s="32"/>
      <c r="F456" s="32"/>
      <c r="G456" s="93">
        <v>-211.77</v>
      </c>
      <c r="H456" s="93">
        <v>3213.67</v>
      </c>
      <c r="I456" s="32"/>
      <c r="J456" s="93">
        <v>6681.85</v>
      </c>
      <c r="K456" s="32"/>
      <c r="L456" s="32"/>
      <c r="M456" s="32"/>
      <c r="N456" s="32"/>
      <c r="O456" s="93">
        <v>433221.0</v>
      </c>
      <c r="P456" s="91">
        <f>IFERROR(__xludf.DUMMYFUNCTION("IFERROR(sum(FILTER($D:$N,$C:$C = $C456,$A:$A &lt; $A456,$B:$B = 12)),0) + sum($D456:$N456)"),433220.65)</f>
        <v>433220.65</v>
      </c>
      <c r="Q456" s="92">
        <f t="shared" si="1"/>
        <v>0.35</v>
      </c>
      <c r="R456" s="91">
        <f t="array" ref="R456">IFERROR(INDEX('Fund YTD Target Values'!$1:$1000, MATCH($C456,'Fund YTD Target Values'!$A:$A,0), MATCH($A456,'Fund YTD Target Values'!$1:$1,0)),0)</f>
        <v>437835.4209</v>
      </c>
      <c r="S456" s="91">
        <f>IFERROR(__xludf.DUMMYFUNCTION("IFERROR(sum(FILTER('Fund Investment Data'!$V:$V, 'Fund Investment Data'!$C:$C = $C456, 'Fund Investment Data'!$A:$A &lt; $A456)),0) + IFERROR(sum(FILTER('Fund Investment Data'!$V:$V, 'Fund Investment Data'!$C:$C = $C456, 'Fund Investment Data'!$A:$A = $A456,"&amp;" 'Fund Investment Data'!$B:$B &lt;= $B456)),0)"),413123.55)</f>
        <v>413123.55</v>
      </c>
      <c r="T456" s="93">
        <v>413980.0</v>
      </c>
      <c r="U456" s="32">
        <f t="shared" si="3"/>
        <v>-856.45</v>
      </c>
      <c r="V456" s="32">
        <f>IFERROR(__xludf.DUMMYFUNCTION("$D456 - IFERROR(FILTER($D:$D,$C:$C = $C456, $A:$A = $A456, $B:$B = $B456 - 1),0)"),0.0)</f>
        <v>0</v>
      </c>
      <c r="W456" s="93">
        <f>IFERROR(__xludf.DUMMYFUNCTION("$E456 - IFERROR(FILTER($E:$E,$C:$C = $C456, $A:$A = $A456, $B:$B = $B456 - 1),0)"),0.0)</f>
        <v>0</v>
      </c>
      <c r="X456" s="93"/>
      <c r="Y456" s="93"/>
      <c r="Z456" s="93">
        <v>0.0</v>
      </c>
      <c r="AA456" s="93">
        <v>0.0</v>
      </c>
      <c r="AB456" s="93">
        <v>0.0</v>
      </c>
      <c r="AC456" s="93"/>
      <c r="AD456" s="93">
        <v>0.0</v>
      </c>
      <c r="AE456" s="32">
        <f t="shared" si="2"/>
        <v>0</v>
      </c>
      <c r="AF456" s="93">
        <v>0.0</v>
      </c>
    </row>
    <row r="457">
      <c r="A457" s="94">
        <v>2017.0</v>
      </c>
      <c r="B457" s="95">
        <v>1.0</v>
      </c>
      <c r="C457" s="88" t="s">
        <v>48</v>
      </c>
      <c r="D457" s="32"/>
      <c r="E457" s="32"/>
      <c r="F457" s="32"/>
      <c r="G457" s="93">
        <v>-571.41</v>
      </c>
      <c r="H457" s="93">
        <v>8687.13</v>
      </c>
      <c r="I457" s="32"/>
      <c r="J457" s="93">
        <v>18064.53</v>
      </c>
      <c r="K457" s="32"/>
      <c r="L457" s="32"/>
      <c r="M457" s="32"/>
      <c r="N457" s="32"/>
      <c r="O457" s="93">
        <v>1168994.0</v>
      </c>
      <c r="P457" s="91">
        <f>IFERROR(__xludf.DUMMYFUNCTION("IFERROR(sum(FILTER($D:$N,$C:$C = $C457,$A:$A &lt; $A457,$B:$B = 12)),0) + sum($D457:$N457)"),1168992.9999999998)</f>
        <v>1168993</v>
      </c>
      <c r="Q457" s="92">
        <f t="shared" si="1"/>
        <v>1</v>
      </c>
      <c r="R457" s="91">
        <f t="array" ref="R457">IFERROR(INDEX('Fund YTD Target Values'!$1:$1000, MATCH($C457,'Fund YTD Target Values'!$A:$A,0), MATCH($A457,'Fund YTD Target Values'!$1:$1,0)),0)</f>
        <v>1851058.71</v>
      </c>
      <c r="S457" s="91">
        <f>IFERROR(__xludf.DUMMYFUNCTION("IFERROR(sum(FILTER('Fund Investment Data'!$V:$V, 'Fund Investment Data'!$C:$C = $C457, 'Fund Investment Data'!$A:$A &lt; $A457)),0) + IFERROR(sum(FILTER('Fund Investment Data'!$V:$V, 'Fund Investment Data'!$C:$C = $C457, 'Fund Investment Data'!$A:$A = $A457,"&amp;" 'Fund Investment Data'!$B:$B &lt;= $B457)),0)"),1183929.39)</f>
        <v>1183929.39</v>
      </c>
      <c r="T457" s="93">
        <v>1140040.0</v>
      </c>
      <c r="U457" s="32">
        <f t="shared" si="3"/>
        <v>43889.39</v>
      </c>
      <c r="V457" s="32">
        <f>IFERROR(__xludf.DUMMYFUNCTION("$D457 - IFERROR(FILTER($D:$D,$C:$C = $C457, $A:$A = $A457, $B:$B = $B457 - 1),0)"),0.0)</f>
        <v>0</v>
      </c>
      <c r="W457" s="93">
        <f>IFERROR(__xludf.DUMMYFUNCTION("$E457 - IFERROR(FILTER($E:$E,$C:$C = $C457, $A:$A = $A457, $B:$B = $B457 - 1),0)"),0.0)</f>
        <v>0</v>
      </c>
      <c r="X457" s="93"/>
      <c r="Y457" s="93"/>
      <c r="Z457" s="93">
        <v>0.0</v>
      </c>
      <c r="AA457" s="93">
        <v>0.0</v>
      </c>
      <c r="AB457" s="93">
        <v>0.0</v>
      </c>
      <c r="AC457" s="93"/>
      <c r="AD457" s="93">
        <v>0.0</v>
      </c>
      <c r="AE457" s="32">
        <f t="shared" si="2"/>
        <v>0</v>
      </c>
      <c r="AF457" s="93">
        <v>0.0</v>
      </c>
    </row>
    <row r="458">
      <c r="A458" s="94">
        <v>2017.0</v>
      </c>
      <c r="B458" s="95">
        <v>1.0</v>
      </c>
      <c r="C458" s="88" t="s">
        <v>49</v>
      </c>
      <c r="D458" s="32"/>
      <c r="E458" s="32"/>
      <c r="F458" s="32"/>
      <c r="G458" s="93">
        <v>-251.36</v>
      </c>
      <c r="H458" s="93">
        <v>3815.14</v>
      </c>
      <c r="I458" s="32"/>
      <c r="J458" s="93">
        <v>7933.12</v>
      </c>
      <c r="K458" s="32"/>
      <c r="L458" s="32"/>
      <c r="M458" s="32"/>
      <c r="N458" s="32"/>
      <c r="O458" s="93">
        <v>514213.0</v>
      </c>
      <c r="P458" s="91">
        <f>IFERROR(__xludf.DUMMYFUNCTION("IFERROR(sum(FILTER($D:$N,$C:$C = $C458,$A:$A &lt; $A458,$B:$B = 12)),0) + sum($D458:$N458)"),514212.8999999999)</f>
        <v>514212.9</v>
      </c>
      <c r="Q458" s="92">
        <f t="shared" si="1"/>
        <v>0.1000000001</v>
      </c>
      <c r="R458" s="91">
        <f t="array" ref="R458">IFERROR(INDEX('Fund YTD Target Values'!$1:$1000, MATCH($C458,'Fund YTD Target Values'!$A:$A,0), MATCH($A458,'Fund YTD Target Values'!$1:$1,0)),0)</f>
        <v>684659.2079</v>
      </c>
      <c r="S458" s="91">
        <f>IFERROR(__xludf.DUMMYFUNCTION("IFERROR(sum(FILTER('Fund Investment Data'!$V:$V, 'Fund Investment Data'!$C:$C = $C458, 'Fund Investment Data'!$A:$A &lt; $A458)),0) + IFERROR(sum(FILTER('Fund Investment Data'!$V:$V, 'Fund Investment Data'!$C:$C = $C458, 'Fund Investment Data'!$A:$A = $A458,"&amp;" 'Fund Investment Data'!$B:$B &lt;= $B458)),0)"),500000.0)</f>
        <v>500000</v>
      </c>
      <c r="T458" s="93">
        <v>500000.0</v>
      </c>
      <c r="U458" s="32">
        <f t="shared" si="3"/>
        <v>0</v>
      </c>
      <c r="V458" s="32">
        <f>IFERROR(__xludf.DUMMYFUNCTION("$D458 - IFERROR(FILTER($D:$D,$C:$C = $C458, $A:$A = $A458, $B:$B = $B458 - 1),0)"),0.0)</f>
        <v>0</v>
      </c>
      <c r="W458" s="93">
        <f>IFERROR(__xludf.DUMMYFUNCTION("$E458 - IFERROR(FILTER($E:$E,$C:$C = $C458, $A:$A = $A458, $B:$B = $B458 - 1),0)"),0.0)</f>
        <v>0</v>
      </c>
      <c r="X458" s="93"/>
      <c r="Y458" s="93"/>
      <c r="Z458" s="93">
        <v>0.0</v>
      </c>
      <c r="AA458" s="93">
        <v>0.0</v>
      </c>
      <c r="AB458" s="93">
        <v>0.0</v>
      </c>
      <c r="AC458" s="93"/>
      <c r="AD458" s="93">
        <v>0.0</v>
      </c>
      <c r="AE458" s="32">
        <f t="shared" si="2"/>
        <v>0</v>
      </c>
      <c r="AF458" s="93">
        <v>0.0</v>
      </c>
    </row>
    <row r="459">
      <c r="A459" s="86">
        <v>2017.0</v>
      </c>
      <c r="B459" s="87">
        <v>1.0</v>
      </c>
      <c r="C459" s="88" t="s">
        <v>41</v>
      </c>
      <c r="D459" s="32"/>
      <c r="E459" s="32"/>
      <c r="F459" s="32"/>
      <c r="G459" s="93">
        <v>-297.24</v>
      </c>
      <c r="H459" s="93">
        <v>4502.27</v>
      </c>
      <c r="I459" s="32"/>
      <c r="J459" s="93">
        <v>9361.49</v>
      </c>
      <c r="K459" s="32"/>
      <c r="L459" s="32"/>
      <c r="M459" s="32"/>
      <c r="N459" s="32"/>
      <c r="O459" s="93">
        <v>608051.0</v>
      </c>
      <c r="P459" s="91">
        <f>IFERROR(__xludf.DUMMYFUNCTION("IFERROR(sum(FILTER($D:$N,$C:$C = $C459,$A:$A &lt; $A459,$B:$B = 12)),0) + sum($D459:$N459)"),608051.56)</f>
        <v>608051.56</v>
      </c>
      <c r="Q459" s="92">
        <f t="shared" si="1"/>
        <v>-0.5600000001</v>
      </c>
      <c r="R459" s="91">
        <f t="array" ref="R459">IFERROR(INDEX('Fund YTD Target Values'!$1:$1000, MATCH($C459,'Fund YTD Target Values'!$A:$A,0), MATCH($A459,'Fund YTD Target Values'!$1:$1,0)),0)</f>
        <v>573948.5743</v>
      </c>
      <c r="S459" s="91">
        <f>IFERROR(__xludf.DUMMYFUNCTION("IFERROR(sum(FILTER('Fund Investment Data'!$V:$V, 'Fund Investment Data'!$C:$C = $C459, 'Fund Investment Data'!$A:$A &lt; $A459)),0) + IFERROR(sum(FILTER('Fund Investment Data'!$V:$V, 'Fund Investment Data'!$C:$C = $C459, 'Fund Investment Data'!$A:$A = $A459,"&amp;" 'Fund Investment Data'!$B:$B &lt;= $B459)),0)"),433755.86)</f>
        <v>433755.86</v>
      </c>
      <c r="T459" s="93">
        <v>434291.0</v>
      </c>
      <c r="U459" s="32">
        <f t="shared" si="3"/>
        <v>-535.14</v>
      </c>
      <c r="V459" s="32">
        <f>IFERROR(__xludf.DUMMYFUNCTION("$D459 - IFERROR(FILTER($D:$D,$C:$C = $C459, $A:$A = $A459, $B:$B = $B459 - 1),0)"),0.0)</f>
        <v>0</v>
      </c>
      <c r="W459" s="93">
        <f>IFERROR(__xludf.DUMMYFUNCTION("$E459 - IFERROR(FILTER($E:$E,$C:$C = $C459, $A:$A = $A459, $B:$B = $B459 - 1),0)"),0.0)</f>
        <v>0</v>
      </c>
      <c r="X459" s="93"/>
      <c r="Y459" s="93"/>
      <c r="Z459" s="93">
        <v>0.0</v>
      </c>
      <c r="AA459" s="93">
        <v>0.0</v>
      </c>
      <c r="AB459" s="93">
        <v>0.0</v>
      </c>
      <c r="AC459" s="93"/>
      <c r="AD459" s="93">
        <v>0.0</v>
      </c>
      <c r="AE459" s="32">
        <f t="shared" si="2"/>
        <v>0</v>
      </c>
      <c r="AF459" s="93">
        <v>0.0</v>
      </c>
    </row>
    <row r="460">
      <c r="A460" s="86">
        <v>2017.0</v>
      </c>
      <c r="B460" s="87">
        <v>1.0</v>
      </c>
      <c r="C460" s="88" t="s">
        <v>25</v>
      </c>
      <c r="D460" s="32"/>
      <c r="E460" s="32"/>
      <c r="F460" s="32"/>
      <c r="G460" s="93">
        <v>-46.15</v>
      </c>
      <c r="H460" s="93">
        <v>700.38</v>
      </c>
      <c r="I460" s="32"/>
      <c r="J460" s="93">
        <v>1456.37</v>
      </c>
      <c r="K460" s="32"/>
      <c r="L460" s="32"/>
      <c r="M460" s="32"/>
      <c r="N460" s="32"/>
      <c r="O460" s="93">
        <v>94399.0</v>
      </c>
      <c r="P460" s="91">
        <f>IFERROR(__xludf.DUMMYFUNCTION("IFERROR(sum(FILTER($D:$N,$C:$C = $C460,$A:$A &lt; $A460,$B:$B = 12)),0) + sum($D460:$N460)"),94398.61)</f>
        <v>94398.61</v>
      </c>
      <c r="Q460" s="92">
        <f t="shared" si="1"/>
        <v>0.39</v>
      </c>
      <c r="R460" s="91">
        <f t="array" ref="R460">IFERROR(INDEX('Fund YTD Target Values'!$1:$1000, MATCH($C460,'Fund YTD Target Values'!$A:$A,0), MATCH($A460,'Fund YTD Target Values'!$1:$1,0)),0)</f>
        <v>106572.0284</v>
      </c>
      <c r="S460" s="91">
        <f>IFERROR(__xludf.DUMMYFUNCTION("IFERROR(sum(FILTER('Fund Investment Data'!$V:$V, 'Fund Investment Data'!$C:$C = $C460, 'Fund Investment Data'!$A:$A &lt; $A460)),0) + IFERROR(sum(FILTER('Fund Investment Data'!$V:$V, 'Fund Investment Data'!$C:$C = $C460, 'Fund Investment Data'!$A:$A = $A460,"&amp;" 'Fund Investment Data'!$B:$B &lt;= $B460)),0)"),81000.0)</f>
        <v>81000</v>
      </c>
      <c r="T460" s="93">
        <v>81000.0</v>
      </c>
      <c r="U460" s="32">
        <f t="shared" si="3"/>
        <v>0</v>
      </c>
      <c r="V460" s="32">
        <f>IFERROR(__xludf.DUMMYFUNCTION("$D460 - IFERROR(FILTER($D:$D,$C:$C = $C460, $A:$A = $A460, $B:$B = $B460 - 1),0)"),0.0)</f>
        <v>0</v>
      </c>
      <c r="W460" s="93">
        <f>IFERROR(__xludf.DUMMYFUNCTION("$E460 - IFERROR(FILTER($E:$E,$C:$C = $C460, $A:$A = $A460, $B:$B = $B460 - 1),0)"),0.0)</f>
        <v>0</v>
      </c>
      <c r="X460" s="93"/>
      <c r="Y460" s="93"/>
      <c r="Z460" s="93">
        <v>0.0</v>
      </c>
      <c r="AA460" s="93">
        <v>0.0</v>
      </c>
      <c r="AB460" s="93">
        <v>0.0</v>
      </c>
      <c r="AC460" s="93"/>
      <c r="AD460" s="93">
        <v>0.0</v>
      </c>
      <c r="AE460" s="32">
        <f t="shared" si="2"/>
        <v>0</v>
      </c>
      <c r="AF460" s="93">
        <v>0.0</v>
      </c>
    </row>
    <row r="461">
      <c r="A461" s="94">
        <v>2017.0</v>
      </c>
      <c r="B461" s="95">
        <v>1.0</v>
      </c>
      <c r="C461" s="88" t="s">
        <v>42</v>
      </c>
      <c r="D461" s="32"/>
      <c r="E461" s="32"/>
      <c r="F461" s="32"/>
      <c r="G461" s="93">
        <v>-132.58</v>
      </c>
      <c r="H461" s="93">
        <v>1988.36</v>
      </c>
      <c r="I461" s="32"/>
      <c r="J461" s="93">
        <v>4133.25</v>
      </c>
      <c r="K461" s="32"/>
      <c r="L461" s="32"/>
      <c r="M461" s="32"/>
      <c r="N461" s="32"/>
      <c r="O461" s="93">
        <v>271148.0</v>
      </c>
      <c r="P461" s="91">
        <f>IFERROR(__xludf.DUMMYFUNCTION("IFERROR(sum(FILTER($D:$N,$C:$C = $C461,$A:$A &lt; $A461,$B:$B = 12)),0) + sum($D461:$N461)"),271147.30000000016)</f>
        <v>271147.3</v>
      </c>
      <c r="Q461" s="92">
        <f t="shared" si="1"/>
        <v>0.6999999998</v>
      </c>
      <c r="R461" s="91">
        <f t="array" ref="R461">IFERROR(INDEX('Fund YTD Target Values'!$1:$1000, MATCH($C461,'Fund YTD Target Values'!$A:$A,0), MATCH($A461,'Fund YTD Target Values'!$1:$1,0)),0)</f>
        <v>234458.6336</v>
      </c>
      <c r="S461" s="91">
        <f>IFERROR(__xludf.DUMMYFUNCTION("IFERROR(sum(FILTER('Fund Investment Data'!$V:$V, 'Fund Investment Data'!$C:$C = $C461, 'Fund Investment Data'!$A:$A &lt; $A461)),0) + IFERROR(sum(FILTER('Fund Investment Data'!$V:$V, 'Fund Investment Data'!$C:$C = $C461, 'Fund Investment Data'!$A:$A = $A461,"&amp;" 'Fund Investment Data'!$B:$B &lt;= $B461)),0)"),194469.0)</f>
        <v>194469</v>
      </c>
      <c r="T461" s="93">
        <v>194469.0</v>
      </c>
      <c r="U461" s="32">
        <f t="shared" si="3"/>
        <v>0</v>
      </c>
      <c r="V461" s="32">
        <f>IFERROR(__xludf.DUMMYFUNCTION("$D461 - IFERROR(FILTER($D:$D,$C:$C = $C461, $A:$A = $A461, $B:$B = $B461 - 1),0)"),0.0)</f>
        <v>0</v>
      </c>
      <c r="W461" s="93">
        <f>IFERROR(__xludf.DUMMYFUNCTION("$E461 - IFERROR(FILTER($E:$E,$C:$C = $C461, $A:$A = $A461, $B:$B = $B461 - 1),0)"),0.0)</f>
        <v>0</v>
      </c>
      <c r="X461" s="93"/>
      <c r="Y461" s="93"/>
      <c r="Z461" s="93">
        <v>0.0</v>
      </c>
      <c r="AA461" s="93">
        <v>0.0</v>
      </c>
      <c r="AB461" s="93">
        <v>0.0</v>
      </c>
      <c r="AC461" s="93"/>
      <c r="AD461" s="93">
        <v>0.0</v>
      </c>
      <c r="AE461" s="32">
        <f t="shared" si="2"/>
        <v>0</v>
      </c>
      <c r="AF461" s="93">
        <v>0.0</v>
      </c>
    </row>
    <row r="462">
      <c r="A462" s="94">
        <v>2017.0</v>
      </c>
      <c r="B462" s="95">
        <v>1.0</v>
      </c>
      <c r="C462" s="88" t="s">
        <v>43</v>
      </c>
      <c r="D462" s="32"/>
      <c r="E462" s="32"/>
      <c r="F462" s="32"/>
      <c r="G462" s="93">
        <v>-55.43</v>
      </c>
      <c r="H462" s="93">
        <v>842.67</v>
      </c>
      <c r="I462" s="32"/>
      <c r="J462" s="93">
        <v>1752.27</v>
      </c>
      <c r="K462" s="32"/>
      <c r="L462" s="32"/>
      <c r="M462" s="32"/>
      <c r="N462" s="32"/>
      <c r="O462" s="93">
        <v>113397.0</v>
      </c>
      <c r="P462" s="91">
        <f>IFERROR(__xludf.DUMMYFUNCTION("IFERROR(sum(FILTER($D:$N,$C:$C = $C462,$A:$A &lt; $A462,$B:$B = 12)),0) + sum($D462:$N462)"),113395.72000000002)</f>
        <v>113395.72</v>
      </c>
      <c r="Q462" s="92">
        <f t="shared" si="1"/>
        <v>1.28</v>
      </c>
      <c r="R462" s="91">
        <f t="array" ref="R462">IFERROR(INDEX('Fund YTD Target Values'!$1:$1000, MATCH($C462,'Fund YTD Target Values'!$A:$A,0), MATCH($A462,'Fund YTD Target Values'!$1:$1,0)),0)</f>
        <v>127580.7013</v>
      </c>
      <c r="S462" s="91">
        <f>IFERROR(__xludf.DUMMYFUNCTION("IFERROR(sum(FILTER('Fund Investment Data'!$V:$V, 'Fund Investment Data'!$C:$C = $C462, 'Fund Investment Data'!$A:$A &lt; $A462)),0) + IFERROR(sum(FILTER('Fund Investment Data'!$V:$V, 'Fund Investment Data'!$C:$C = $C462, 'Fund Investment Data'!$A:$A = $A462,"&amp;" 'Fund Investment Data'!$B:$B &lt;= $B462)),0)"),100000.0)</f>
        <v>100000</v>
      </c>
      <c r="T462" s="93">
        <v>100000.0</v>
      </c>
      <c r="U462" s="32">
        <f t="shared" si="3"/>
        <v>0</v>
      </c>
      <c r="V462" s="32">
        <f>IFERROR(__xludf.DUMMYFUNCTION("$D462 - IFERROR(FILTER($D:$D,$C:$C = $C462, $A:$A = $A462, $B:$B = $B462 - 1),0)"),0.0)</f>
        <v>0</v>
      </c>
      <c r="W462" s="93">
        <f>IFERROR(__xludf.DUMMYFUNCTION("$E462 - IFERROR(FILTER($E:$E,$C:$C = $C462, $A:$A = $A462, $B:$B = $B462 - 1),0)"),0.0)</f>
        <v>0</v>
      </c>
      <c r="X462" s="93"/>
      <c r="Y462" s="93"/>
      <c r="Z462" s="93">
        <v>0.0</v>
      </c>
      <c r="AA462" s="93">
        <v>0.0</v>
      </c>
      <c r="AB462" s="93">
        <v>0.0</v>
      </c>
      <c r="AC462" s="93"/>
      <c r="AD462" s="93">
        <v>0.0</v>
      </c>
      <c r="AE462" s="32">
        <f t="shared" si="2"/>
        <v>0</v>
      </c>
      <c r="AF462" s="93">
        <v>0.0</v>
      </c>
    </row>
    <row r="463">
      <c r="A463" s="86">
        <v>2017.0</v>
      </c>
      <c r="B463" s="87">
        <v>1.0</v>
      </c>
      <c r="C463" s="88" t="s">
        <v>52</v>
      </c>
      <c r="D463" s="32"/>
      <c r="E463" s="32"/>
      <c r="F463" s="32"/>
      <c r="G463" s="93">
        <v>-541.59</v>
      </c>
      <c r="H463" s="93">
        <v>7739.71</v>
      </c>
      <c r="I463" s="32"/>
      <c r="J463" s="93">
        <v>16091.11</v>
      </c>
      <c r="K463" s="32"/>
      <c r="L463" s="32"/>
      <c r="M463" s="32"/>
      <c r="N463" s="32"/>
      <c r="O463" s="93">
        <v>1048137.0</v>
      </c>
      <c r="P463" s="91">
        <f>IFERROR(__xludf.DUMMYFUNCTION("IFERROR(sum(FILTER($D:$N,$C:$C = $C463,$A:$A &lt; $A463,$B:$B = 12)),0) + sum($D463:$N463)"),1048137.1699999999)</f>
        <v>1048137.17</v>
      </c>
      <c r="Q463" s="92">
        <f t="shared" si="1"/>
        <v>-0.1699999999</v>
      </c>
      <c r="R463" s="91">
        <f t="array" ref="R463">IFERROR(INDEX('Fund YTD Target Values'!$1:$1000, MATCH($C463,'Fund YTD Target Values'!$A:$A,0), MATCH($A463,'Fund YTD Target Values'!$1:$1,0)),0)</f>
        <v>1048370.982</v>
      </c>
      <c r="S463" s="91">
        <f>IFERROR(__xludf.DUMMYFUNCTION("IFERROR(sum(FILTER('Fund Investment Data'!$V:$V, 'Fund Investment Data'!$C:$C = $C463, 'Fund Investment Data'!$A:$A &lt; $A463)),0) + IFERROR(sum(FILTER('Fund Investment Data'!$V:$V, 'Fund Investment Data'!$C:$C = $C463, 'Fund Investment Data'!$A:$A = $A463,"&amp;" 'Fund Investment Data'!$B:$B &lt;= $B463)),0)"),1001636.0)</f>
        <v>1001636</v>
      </c>
      <c r="T463" s="93">
        <v>1001949.0</v>
      </c>
      <c r="U463" s="32">
        <f t="shared" si="3"/>
        <v>-313</v>
      </c>
      <c r="V463" s="32">
        <f>IFERROR(__xludf.DUMMYFUNCTION("$D463 - IFERROR(FILTER($D:$D,$C:$C = $C463, $A:$A = $A463, $B:$B = $B463 - 1),0)"),0.0)</f>
        <v>0</v>
      </c>
      <c r="W463" s="93">
        <f>IFERROR(__xludf.DUMMYFUNCTION("$E463 - IFERROR(FILTER($E:$E,$C:$C = $C463, $A:$A = $A463, $B:$B = $B463 - 1),0)"),0.0)</f>
        <v>0</v>
      </c>
      <c r="X463" s="93"/>
      <c r="Y463" s="93"/>
      <c r="Z463" s="93">
        <v>0.0</v>
      </c>
      <c r="AA463" s="93">
        <v>0.0</v>
      </c>
      <c r="AB463" s="93">
        <v>0.0</v>
      </c>
      <c r="AC463" s="93"/>
      <c r="AD463" s="93">
        <v>0.0</v>
      </c>
      <c r="AE463" s="32">
        <f t="shared" si="2"/>
        <v>0</v>
      </c>
      <c r="AF463" s="93">
        <v>0.0</v>
      </c>
    </row>
    <row r="464">
      <c r="A464" s="86">
        <v>2017.0</v>
      </c>
      <c r="B464" s="87">
        <v>1.0</v>
      </c>
      <c r="C464" s="88" t="s">
        <v>33</v>
      </c>
      <c r="D464" s="32"/>
      <c r="E464" s="32"/>
      <c r="F464" s="32"/>
      <c r="G464" s="93">
        <v>-172.89</v>
      </c>
      <c r="H464" s="93">
        <v>2628.48</v>
      </c>
      <c r="I464" s="32"/>
      <c r="J464" s="93">
        <v>5465.8</v>
      </c>
      <c r="K464" s="32"/>
      <c r="L464" s="32"/>
      <c r="M464" s="32"/>
      <c r="N464" s="32"/>
      <c r="O464" s="93">
        <v>353706.0</v>
      </c>
      <c r="P464" s="91">
        <f>IFERROR(__xludf.DUMMYFUNCTION("IFERROR(sum(FILTER($D:$N,$C:$C = $C464,$A:$A &lt; $A464,$B:$B = 12)),0) + sum($D464:$N464)"),353706.35999999975)</f>
        <v>353706.36</v>
      </c>
      <c r="Q464" s="92">
        <f t="shared" si="1"/>
        <v>-0.3599999998</v>
      </c>
      <c r="R464" s="91">
        <f t="array" ref="R464">IFERROR(INDEX('Fund YTD Target Values'!$1:$1000, MATCH($C464,'Fund YTD Target Values'!$A:$A,0), MATCH($A464,'Fund YTD Target Values'!$1:$1,0)),0)</f>
        <v>500698.0917</v>
      </c>
      <c r="S464" s="91">
        <f>IFERROR(__xludf.DUMMYFUNCTION("IFERROR(sum(FILTER('Fund Investment Data'!$V:$V, 'Fund Investment Data'!$C:$C = $C464, 'Fund Investment Data'!$A:$A &lt; $A464)),0) + IFERROR(sum(FILTER('Fund Investment Data'!$V:$V, 'Fund Investment Data'!$C:$C = $C464, 'Fund Investment Data'!$A:$A = $A464,"&amp;" 'Fund Investment Data'!$B:$B &lt;= $B464)),0)"),325871.6399999999)</f>
        <v>325871.64</v>
      </c>
      <c r="T464" s="93">
        <v>326032.0</v>
      </c>
      <c r="U464" s="32">
        <f t="shared" si="3"/>
        <v>-160.36</v>
      </c>
      <c r="V464" s="32">
        <f>IFERROR(__xludf.DUMMYFUNCTION("$D464 - IFERROR(FILTER($D:$D,$C:$C = $C464, $A:$A = $A464, $B:$B = $B464 - 1),0)"),0.0)</f>
        <v>0</v>
      </c>
      <c r="W464" s="93">
        <f>IFERROR(__xludf.DUMMYFUNCTION("$E464 - IFERROR(FILTER($E:$E,$C:$C = $C464, $A:$A = $A464, $B:$B = $B464 - 1),0)"),0.0)</f>
        <v>0</v>
      </c>
      <c r="X464" s="93"/>
      <c r="Y464" s="93"/>
      <c r="Z464" s="93">
        <v>0.0</v>
      </c>
      <c r="AA464" s="93">
        <v>0.0</v>
      </c>
      <c r="AB464" s="93">
        <v>0.0</v>
      </c>
      <c r="AC464" s="93"/>
      <c r="AD464" s="93">
        <v>0.0</v>
      </c>
      <c r="AE464" s="32">
        <f t="shared" si="2"/>
        <v>0</v>
      </c>
      <c r="AF464" s="93">
        <v>0.0</v>
      </c>
    </row>
    <row r="465">
      <c r="A465" s="94">
        <v>2017.0</v>
      </c>
      <c r="B465" s="95">
        <v>1.0</v>
      </c>
      <c r="C465" s="88" t="s">
        <v>53</v>
      </c>
      <c r="D465" s="32"/>
      <c r="E465" s="32"/>
      <c r="F465" s="32"/>
      <c r="G465" s="93">
        <v>-1016.96</v>
      </c>
      <c r="H465" s="93">
        <v>15475.19</v>
      </c>
      <c r="I465" s="32"/>
      <c r="J465" s="93">
        <v>32180.19</v>
      </c>
      <c r="K465" s="32"/>
      <c r="L465" s="32"/>
      <c r="M465" s="32"/>
      <c r="N465" s="32"/>
      <c r="O465" s="93">
        <v>2080552.0</v>
      </c>
      <c r="P465" s="91">
        <f>IFERROR(__xludf.DUMMYFUNCTION("IFERROR(sum(FILTER($D:$N,$C:$C = $C465,$A:$A &lt; $A465,$B:$B = 12)),0) + sum($D465:$N465)"),2080551.6999999997)</f>
        <v>2080551.7</v>
      </c>
      <c r="Q465" s="92">
        <f t="shared" si="1"/>
        <v>0.3000000003</v>
      </c>
      <c r="R465" s="91">
        <f t="array" ref="R465">IFERROR(INDEX('Fund YTD Target Values'!$1:$1000, MATCH($C465,'Fund YTD Target Values'!$A:$A,0), MATCH($A465,'Fund YTD Target Values'!$1:$1,0)),0)</f>
        <v>2171706.82</v>
      </c>
      <c r="S465" s="91">
        <f>IFERROR(__xludf.DUMMYFUNCTION("IFERROR(sum(FILTER('Fund Investment Data'!$V:$V, 'Fund Investment Data'!$C:$C = $C465, 'Fund Investment Data'!$A:$A &lt; $A465)),0) + IFERROR(sum(FILTER('Fund Investment Data'!$V:$V, 'Fund Investment Data'!$C:$C = $C465, 'Fund Investment Data'!$A:$A = $A465,"&amp;" 'Fund Investment Data'!$B:$B &lt;= $B465)),0)"),2005500.0)</f>
        <v>2005500</v>
      </c>
      <c r="T465" s="93">
        <v>2005500.0</v>
      </c>
      <c r="U465" s="32">
        <f t="shared" si="3"/>
        <v>0</v>
      </c>
      <c r="V465" s="32">
        <f>IFERROR(__xludf.DUMMYFUNCTION("$D465 - IFERROR(FILTER($D:$D,$C:$C = $C465, $A:$A = $A465, $B:$B = $B465 - 1),0)"),0.0)</f>
        <v>0</v>
      </c>
      <c r="W465" s="93">
        <f>IFERROR(__xludf.DUMMYFUNCTION("$E465 - IFERROR(FILTER($E:$E,$C:$C = $C465, $A:$A = $A465, $B:$B = $B465 - 1),0)"),0.0)</f>
        <v>0</v>
      </c>
      <c r="X465" s="93"/>
      <c r="Y465" s="93"/>
      <c r="Z465" s="93">
        <v>0.0</v>
      </c>
      <c r="AA465" s="93">
        <v>0.0</v>
      </c>
      <c r="AB465" s="93">
        <v>0.0</v>
      </c>
      <c r="AC465" s="93"/>
      <c r="AD465" s="93">
        <v>0.0</v>
      </c>
      <c r="AE465" s="32">
        <f t="shared" si="2"/>
        <v>0</v>
      </c>
      <c r="AF465" s="93">
        <v>0.0</v>
      </c>
    </row>
    <row r="466">
      <c r="A466" s="94">
        <v>2017.0</v>
      </c>
      <c r="B466" s="95">
        <v>1.0</v>
      </c>
      <c r="C466" s="88" t="s">
        <v>34</v>
      </c>
      <c r="D466" s="32"/>
      <c r="E466" s="32"/>
      <c r="F466" s="32"/>
      <c r="G466" s="93">
        <v>-62.85</v>
      </c>
      <c r="H466" s="93">
        <v>940.75</v>
      </c>
      <c r="I466" s="32"/>
      <c r="J466" s="93">
        <v>1955.53</v>
      </c>
      <c r="K466" s="32"/>
      <c r="L466" s="32"/>
      <c r="M466" s="32"/>
      <c r="N466" s="32"/>
      <c r="O466" s="93">
        <v>128530.0</v>
      </c>
      <c r="P466" s="91">
        <f>IFERROR(__xludf.DUMMYFUNCTION("IFERROR(sum(FILTER($D:$N,$C:$C = $C466,$A:$A &lt; $A466,$B:$B = 12)),0) + sum($D466:$N466)"),128529.93999999999)</f>
        <v>128529.94</v>
      </c>
      <c r="Q466" s="92">
        <f t="shared" si="1"/>
        <v>0.06000000001</v>
      </c>
      <c r="R466" s="91">
        <f t="array" ref="R466">IFERROR(INDEX('Fund YTD Target Values'!$1:$1000, MATCH($C466,'Fund YTD Target Values'!$A:$A,0), MATCH($A466,'Fund YTD Target Values'!$1:$1,0)),0)</f>
        <v>127220.0742</v>
      </c>
      <c r="S466" s="91">
        <f>IFERROR(__xludf.DUMMYFUNCTION("IFERROR(sum(FILTER('Fund Investment Data'!$V:$V, 'Fund Investment Data'!$C:$C = $C466, 'Fund Investment Data'!$A:$A &lt; $A466)),0) + IFERROR(sum(FILTER('Fund Investment Data'!$V:$V, 'Fund Investment Data'!$C:$C = $C466, 'Fund Investment Data'!$A:$A = $A466,"&amp;" 'Fund Investment Data'!$B:$B &lt;= $B466)),0)"),115000.0)</f>
        <v>115000</v>
      </c>
      <c r="T466" s="93">
        <v>116567.0</v>
      </c>
      <c r="U466" s="32">
        <f t="shared" si="3"/>
        <v>-1567</v>
      </c>
      <c r="V466" s="32">
        <f>IFERROR(__xludf.DUMMYFUNCTION("$D466 - IFERROR(FILTER($D:$D,$C:$C = $C466, $A:$A = $A466, $B:$B = $B466 - 1),0)"),0.0)</f>
        <v>0</v>
      </c>
      <c r="W466" s="93">
        <f>IFERROR(__xludf.DUMMYFUNCTION("$E466 - IFERROR(FILTER($E:$E,$C:$C = $C466, $A:$A = $A466, $B:$B = $B466 - 1),0)"),0.0)</f>
        <v>0</v>
      </c>
      <c r="X466" s="93"/>
      <c r="Y466" s="93"/>
      <c r="Z466" s="93">
        <v>0.0</v>
      </c>
      <c r="AA466" s="93">
        <v>0.0</v>
      </c>
      <c r="AB466" s="93">
        <v>0.0</v>
      </c>
      <c r="AC466" s="93"/>
      <c r="AD466" s="93">
        <v>0.0</v>
      </c>
      <c r="AE466" s="32">
        <f t="shared" si="2"/>
        <v>0</v>
      </c>
      <c r="AF466" s="93">
        <v>0.0</v>
      </c>
    </row>
    <row r="467">
      <c r="A467" s="94">
        <v>2017.0</v>
      </c>
      <c r="B467" s="95">
        <v>1.0</v>
      </c>
      <c r="C467" s="88" t="s">
        <v>54</v>
      </c>
      <c r="D467" s="32"/>
      <c r="E467" s="32"/>
      <c r="F467" s="32"/>
      <c r="G467" s="93">
        <v>-75.23</v>
      </c>
      <c r="H467" s="93">
        <v>1081.13</v>
      </c>
      <c r="I467" s="32"/>
      <c r="J467" s="93">
        <v>2245.3</v>
      </c>
      <c r="K467" s="32"/>
      <c r="L467" s="32"/>
      <c r="M467" s="32"/>
      <c r="N467" s="32"/>
      <c r="O467" s="93">
        <v>153705.0</v>
      </c>
      <c r="P467" s="91">
        <f>IFERROR(__xludf.DUMMYFUNCTION("IFERROR(sum(FILTER($D:$N,$C:$C = $C467,$A:$A &lt; $A467,$B:$B = 12)),0) + sum($D467:$N467)"),153706.30999999997)</f>
        <v>153706.31</v>
      </c>
      <c r="Q467" s="92">
        <f t="shared" si="1"/>
        <v>-1.31</v>
      </c>
      <c r="R467" s="91">
        <f t="array" ref="R467">IFERROR(INDEX('Fund YTD Target Values'!$1:$1000, MATCH($C467,'Fund YTD Target Values'!$A:$A,0), MATCH($A467,'Fund YTD Target Values'!$1:$1,0)),0)</f>
        <v>151442.9959</v>
      </c>
      <c r="S467" s="91">
        <f>IFERROR(__xludf.DUMMYFUNCTION("IFERROR(sum(FILTER('Fund Investment Data'!$V:$V, 'Fund Investment Data'!$C:$C = $C467, 'Fund Investment Data'!$A:$A &lt; $A467)),0) + IFERROR(sum(FILTER('Fund Investment Data'!$V:$V, 'Fund Investment Data'!$C:$C = $C467, 'Fund Investment Data'!$A:$A = $A467,"&amp;" 'Fund Investment Data'!$B:$B &lt;= $B467)),0)"),111345.10999999999)</f>
        <v>111345.11</v>
      </c>
      <c r="T467" s="93">
        <v>108079.0</v>
      </c>
      <c r="U467" s="32">
        <f t="shared" si="3"/>
        <v>3266.11</v>
      </c>
      <c r="V467" s="32">
        <f>IFERROR(__xludf.DUMMYFUNCTION("$D467 - IFERROR(FILTER($D:$D,$C:$C = $C467, $A:$A = $A467, $B:$B = $B467 - 1),0)"),0.0)</f>
        <v>0</v>
      </c>
      <c r="W467" s="93">
        <f>IFERROR(__xludf.DUMMYFUNCTION("$E467 - IFERROR(FILTER($E:$E,$C:$C = $C467, $A:$A = $A467, $B:$B = $B467 - 1),0)"),0.0)</f>
        <v>0</v>
      </c>
      <c r="X467" s="93"/>
      <c r="Y467" s="93"/>
      <c r="Z467" s="93">
        <v>0.0</v>
      </c>
      <c r="AA467" s="93">
        <v>0.0</v>
      </c>
      <c r="AB467" s="93">
        <v>0.0</v>
      </c>
      <c r="AC467" s="93"/>
      <c r="AD467" s="93">
        <v>0.0</v>
      </c>
      <c r="AE467" s="32">
        <f t="shared" si="2"/>
        <v>0</v>
      </c>
      <c r="AF467" s="93">
        <v>0.0</v>
      </c>
    </row>
    <row r="468">
      <c r="A468" s="86">
        <v>2017.0</v>
      </c>
      <c r="B468" s="87">
        <v>1.0</v>
      </c>
      <c r="C468" s="88" t="s">
        <v>55</v>
      </c>
      <c r="D468" s="32"/>
      <c r="E468" s="32"/>
      <c r="F468" s="32"/>
      <c r="G468" s="93">
        <v>-95.77</v>
      </c>
      <c r="H468" s="93">
        <v>551.98</v>
      </c>
      <c r="I468" s="32"/>
      <c r="J468" s="93">
        <v>1122.87</v>
      </c>
      <c r="K468" s="32"/>
      <c r="L468" s="32"/>
      <c r="M468" s="32"/>
      <c r="N468" s="32"/>
      <c r="O468" s="93">
        <v>143454.0</v>
      </c>
      <c r="P468" s="91">
        <f>IFERROR(__xludf.DUMMYFUNCTION("IFERROR(sum(FILTER($D:$N,$C:$C = $C468,$A:$A &lt; $A468,$B:$B = 12)),0) + sum($D468:$N468)"),143454.36999999997)</f>
        <v>143454.37</v>
      </c>
      <c r="Q468" s="92">
        <f t="shared" si="1"/>
        <v>-0.37</v>
      </c>
      <c r="R468" s="91">
        <f t="array" ref="R468">IFERROR(INDEX('Fund YTD Target Values'!$1:$1000, MATCH($C468,'Fund YTD Target Values'!$A:$A,0), MATCH($A468,'Fund YTD Target Values'!$1:$1,0)),0)</f>
        <v>213886.3799</v>
      </c>
      <c r="S468" s="91">
        <f>IFERROR(__xludf.DUMMYFUNCTION("IFERROR(sum(FILTER('Fund Investment Data'!$V:$V, 'Fund Investment Data'!$C:$C = $C468, 'Fund Investment Data'!$A:$A &lt; $A468)),0) + IFERROR(sum(FILTER('Fund Investment Data'!$V:$V, 'Fund Investment Data'!$C:$C = $C468, 'Fund Investment Data'!$A:$A = $A468,"&amp;" 'Fund Investment Data'!$B:$B &lt;= $B468)),0)"),140000.0)</f>
        <v>140000</v>
      </c>
      <c r="T468" s="93">
        <v>167565.0</v>
      </c>
      <c r="U468" s="32">
        <f t="shared" si="3"/>
        <v>-27565</v>
      </c>
      <c r="V468" s="32">
        <f>IFERROR(__xludf.DUMMYFUNCTION("$D468 - IFERROR(FILTER($D:$D,$C:$C = $C468, $A:$A = $A468, $B:$B = $B468 - 1),0)"),0.0)</f>
        <v>0</v>
      </c>
      <c r="W468" s="93">
        <f>IFERROR(__xludf.DUMMYFUNCTION("$E468 - IFERROR(FILTER($E:$E,$C:$C = $C468, $A:$A = $A468, $B:$B = $B468 - 1),0)"),0.0)</f>
        <v>0</v>
      </c>
      <c r="X468" s="93"/>
      <c r="Y468" s="93"/>
      <c r="Z468" s="93">
        <v>0.0</v>
      </c>
      <c r="AA468" s="93">
        <v>0.0</v>
      </c>
      <c r="AB468" s="93">
        <v>0.0</v>
      </c>
      <c r="AC468" s="93"/>
      <c r="AD468" s="93">
        <v>0.0</v>
      </c>
      <c r="AE468" s="32">
        <f t="shared" si="2"/>
        <v>0</v>
      </c>
      <c r="AF468" s="93">
        <v>0.0</v>
      </c>
    </row>
    <row r="469">
      <c r="A469" s="94">
        <v>2017.0</v>
      </c>
      <c r="B469" s="95">
        <v>1.0</v>
      </c>
      <c r="C469" s="88" t="s">
        <v>44</v>
      </c>
      <c r="D469" s="32"/>
      <c r="E469" s="32"/>
      <c r="F469" s="32"/>
      <c r="G469" s="93">
        <v>-133.43</v>
      </c>
      <c r="H469" s="93">
        <v>2028.46</v>
      </c>
      <c r="I469" s="32"/>
      <c r="J469" s="93">
        <v>4218.08</v>
      </c>
      <c r="K469" s="32"/>
      <c r="L469" s="32"/>
      <c r="M469" s="32"/>
      <c r="N469" s="32"/>
      <c r="O469" s="93">
        <v>272963.0</v>
      </c>
      <c r="P469" s="91">
        <f>IFERROR(__xludf.DUMMYFUNCTION("IFERROR(sum(FILTER($D:$N,$C:$C = $C469,$A:$A &lt; $A469,$B:$B = 12)),0) + sum($D469:$N469)"),272964.2600000001)</f>
        <v>272964.26</v>
      </c>
      <c r="Q469" s="92">
        <f t="shared" si="1"/>
        <v>-1.26</v>
      </c>
      <c r="R469" s="91">
        <f t="array" ref="R469">IFERROR(INDEX('Fund YTD Target Values'!$1:$1000, MATCH($C469,'Fund YTD Target Values'!$A:$A,0), MATCH($A469,'Fund YTD Target Values'!$1:$1,0)),0)</f>
        <v>313918.5223</v>
      </c>
      <c r="S469" s="91">
        <f>IFERROR(__xludf.DUMMYFUNCTION("IFERROR(sum(FILTER('Fund Investment Data'!$V:$V, 'Fund Investment Data'!$C:$C = $C469, 'Fund Investment Data'!$A:$A &lt; $A469)),0) + IFERROR(sum(FILTER('Fund Investment Data'!$V:$V, 'Fund Investment Data'!$C:$C = $C469, 'Fund Investment Data'!$A:$A = $A469,"&amp;" 'Fund Investment Data'!$B:$B &lt;= $B469)),0)"),250000.0)</f>
        <v>250000</v>
      </c>
      <c r="T469" s="93">
        <v>250000.0</v>
      </c>
      <c r="U469" s="32">
        <f t="shared" si="3"/>
        <v>0</v>
      </c>
      <c r="V469" s="32">
        <f>IFERROR(__xludf.DUMMYFUNCTION("$D469 - IFERROR(FILTER($D:$D,$C:$C = $C469, $A:$A = $A469, $B:$B = $B469 - 1),0)"),0.0)</f>
        <v>0</v>
      </c>
      <c r="W469" s="93">
        <f>IFERROR(__xludf.DUMMYFUNCTION("$E469 - IFERROR(FILTER($E:$E,$C:$C = $C469, $A:$A = $A469, $B:$B = $B469 - 1),0)"),0.0)</f>
        <v>0</v>
      </c>
      <c r="X469" s="93"/>
      <c r="Y469" s="93"/>
      <c r="Z469" s="93">
        <v>0.0</v>
      </c>
      <c r="AA469" s="93">
        <v>0.0</v>
      </c>
      <c r="AB469" s="93">
        <v>0.0</v>
      </c>
      <c r="AC469" s="93"/>
      <c r="AD469" s="93">
        <v>0.0</v>
      </c>
      <c r="AE469" s="32">
        <f t="shared" si="2"/>
        <v>0</v>
      </c>
      <c r="AF469" s="93">
        <v>0.0</v>
      </c>
    </row>
    <row r="470">
      <c r="A470" s="86">
        <v>2017.0</v>
      </c>
      <c r="B470" s="87">
        <v>1.0</v>
      </c>
      <c r="C470" s="88" t="s">
        <v>45</v>
      </c>
      <c r="D470" s="32"/>
      <c r="E470" s="32"/>
      <c r="F470" s="32"/>
      <c r="G470" s="93">
        <v>-66.97</v>
      </c>
      <c r="H470" s="93">
        <v>985.17</v>
      </c>
      <c r="I470" s="32"/>
      <c r="J470" s="93">
        <v>2047.03</v>
      </c>
      <c r="K470" s="32"/>
      <c r="L470" s="32"/>
      <c r="M470" s="32"/>
      <c r="N470" s="32"/>
      <c r="O470" s="93">
        <v>136910.0</v>
      </c>
      <c r="P470" s="91">
        <f>IFERROR(__xludf.DUMMYFUNCTION("IFERROR(sum(FILTER($D:$N,$C:$C = $C470,$A:$A &lt; $A470,$B:$B = 12)),0) + sum($D470:$N470)"),136910.06)</f>
        <v>136910.06</v>
      </c>
      <c r="Q470" s="92">
        <f t="shared" si="1"/>
        <v>-0.06</v>
      </c>
      <c r="R470" s="91">
        <f t="array" ref="R470">IFERROR(INDEX('Fund YTD Target Values'!$1:$1000, MATCH($C470,'Fund YTD Target Values'!$A:$A,0), MATCH($A470,'Fund YTD Target Values'!$1:$1,0)),0)</f>
        <v>118351.1878</v>
      </c>
      <c r="S470" s="91">
        <f>IFERROR(__xludf.DUMMYFUNCTION("IFERROR(sum(FILTER('Fund Investment Data'!$V:$V, 'Fund Investment Data'!$C:$C = $C470, 'Fund Investment Data'!$A:$A &lt; $A470)),0) + IFERROR(sum(FILTER('Fund Investment Data'!$V:$V, 'Fund Investment Data'!$C:$C = $C470, 'Fund Investment Data'!$A:$A = $A470,"&amp;" 'Fund Investment Data'!$B:$B &lt;= $B470)),0)"),100000.0)</f>
        <v>100000</v>
      </c>
      <c r="T470" s="93">
        <v>100000.0</v>
      </c>
      <c r="U470" s="32">
        <f t="shared" si="3"/>
        <v>0</v>
      </c>
      <c r="V470" s="32">
        <f>IFERROR(__xludf.DUMMYFUNCTION("$D470 - IFERROR(FILTER($D:$D,$C:$C = $C470, $A:$A = $A470, $B:$B = $B470 - 1),0)"),0.0)</f>
        <v>0</v>
      </c>
      <c r="W470" s="93">
        <f>IFERROR(__xludf.DUMMYFUNCTION("$E470 - IFERROR(FILTER($E:$E,$C:$C = $C470, $A:$A = $A470, $B:$B = $B470 - 1),0)"),0.0)</f>
        <v>0</v>
      </c>
      <c r="X470" s="93"/>
      <c r="Y470" s="93"/>
      <c r="Z470" s="93">
        <v>0.0</v>
      </c>
      <c r="AA470" s="93">
        <v>0.0</v>
      </c>
      <c r="AB470" s="93">
        <v>0.0</v>
      </c>
      <c r="AC470" s="93"/>
      <c r="AD470" s="93">
        <v>0.0</v>
      </c>
      <c r="AE470" s="32">
        <f t="shared" si="2"/>
        <v>0</v>
      </c>
      <c r="AF470" s="93">
        <v>0.0</v>
      </c>
    </row>
    <row r="471">
      <c r="A471" s="86">
        <v>2017.0</v>
      </c>
      <c r="B471" s="87">
        <v>1.0</v>
      </c>
      <c r="C471" s="88" t="s">
        <v>35</v>
      </c>
      <c r="D471" s="32"/>
      <c r="E471" s="32"/>
      <c r="F471" s="32"/>
      <c r="G471" s="93">
        <v>-670.43</v>
      </c>
      <c r="H471" s="93">
        <v>10202.33</v>
      </c>
      <c r="I471" s="32"/>
      <c r="J471" s="93">
        <v>21214.85</v>
      </c>
      <c r="K471" s="32"/>
      <c r="L471" s="32"/>
      <c r="M471" s="32"/>
      <c r="N471" s="32"/>
      <c r="O471" s="93">
        <v>1371605.0</v>
      </c>
      <c r="P471" s="91">
        <f>IFERROR(__xludf.DUMMYFUNCTION("IFERROR(sum(FILTER($D:$N,$C:$C = $C471,$A:$A &lt; $A471,$B:$B = 12)),0) + sum($D471:$N471)"),1371604.4200000004)</f>
        <v>1371604.42</v>
      </c>
      <c r="Q471" s="92">
        <f t="shared" si="1"/>
        <v>0.5799999996</v>
      </c>
      <c r="R471" s="91">
        <f t="array" ref="R471">IFERROR(INDEX('Fund YTD Target Values'!$1:$1000, MATCH($C471,'Fund YTD Target Values'!$A:$A,0), MATCH($A471,'Fund YTD Target Values'!$1:$1,0)),0)</f>
        <v>1541591.16</v>
      </c>
      <c r="S471" s="91">
        <f>IFERROR(__xludf.DUMMYFUNCTION("IFERROR(sum(FILTER('Fund Investment Data'!$V:$V, 'Fund Investment Data'!$C:$C = $C471, 'Fund Investment Data'!$A:$A &lt; $A471)),0) + IFERROR(sum(FILTER('Fund Investment Data'!$V:$V, 'Fund Investment Data'!$C:$C = $C471, 'Fund Investment Data'!$A:$A = $A471,"&amp;" 'Fund Investment Data'!$B:$B &lt;= $B471)),0)"),1086625.0)</f>
        <v>1086625</v>
      </c>
      <c r="T471" s="93">
        <v>1071625.0</v>
      </c>
      <c r="U471" s="32">
        <f t="shared" si="3"/>
        <v>15000</v>
      </c>
      <c r="V471" s="32">
        <f>IFERROR(__xludf.DUMMYFUNCTION("$D471 - IFERROR(FILTER($D:$D,$C:$C = $C471, $A:$A = $A471, $B:$B = $B471 - 1),0)"),0.0)</f>
        <v>0</v>
      </c>
      <c r="W471" s="93">
        <f>IFERROR(__xludf.DUMMYFUNCTION("$E471 - IFERROR(FILTER($E:$E,$C:$C = $C471, $A:$A = $A471, $B:$B = $B471 - 1),0)"),0.0)</f>
        <v>0</v>
      </c>
      <c r="X471" s="93"/>
      <c r="Y471" s="93"/>
      <c r="Z471" s="93">
        <v>0.0</v>
      </c>
      <c r="AA471" s="93">
        <v>0.0</v>
      </c>
      <c r="AB471" s="93">
        <v>0.0</v>
      </c>
      <c r="AC471" s="93"/>
      <c r="AD471" s="93">
        <v>0.0</v>
      </c>
      <c r="AE471" s="32">
        <f t="shared" si="2"/>
        <v>0</v>
      </c>
      <c r="AF471" s="93">
        <v>0.0</v>
      </c>
    </row>
    <row r="472">
      <c r="A472" s="94">
        <v>2017.0</v>
      </c>
      <c r="B472" s="95">
        <v>1.0</v>
      </c>
      <c r="C472" s="88" t="s">
        <v>56</v>
      </c>
      <c r="D472" s="32"/>
      <c r="E472" s="32"/>
      <c r="F472" s="32"/>
      <c r="G472" s="93">
        <v>-499.86</v>
      </c>
      <c r="H472" s="93">
        <v>7352.95</v>
      </c>
      <c r="I472" s="32"/>
      <c r="J472" s="93">
        <v>15278.48</v>
      </c>
      <c r="K472" s="32"/>
      <c r="L472" s="32"/>
      <c r="M472" s="32"/>
      <c r="N472" s="32"/>
      <c r="O472" s="93">
        <v>1021850.0</v>
      </c>
      <c r="P472" s="91">
        <f>IFERROR(__xludf.DUMMYFUNCTION("IFERROR(sum(FILTER($D:$N,$C:$C = $C472,$A:$A &lt; $A472,$B:$B = 12)),0) + sum($D472:$N472)"),1021850.1899999998)</f>
        <v>1021850.19</v>
      </c>
      <c r="Q472" s="92">
        <f t="shared" si="1"/>
        <v>-0.1899999998</v>
      </c>
      <c r="R472" s="91">
        <f t="array" ref="R472">IFERROR(INDEX('Fund YTD Target Values'!$1:$1000, MATCH($C472,'Fund YTD Target Values'!$A:$A,0), MATCH($A472,'Fund YTD Target Values'!$1:$1,0)),0)</f>
        <v>1035433.228</v>
      </c>
      <c r="S472" s="91">
        <f>IFERROR(__xludf.DUMMYFUNCTION("IFERROR(sum(FILTER('Fund Investment Data'!$V:$V, 'Fund Investment Data'!$C:$C = $C472, 'Fund Investment Data'!$A:$A &lt; $A472)),0) + IFERROR(sum(FILTER('Fund Investment Data'!$V:$V, 'Fund Investment Data'!$C:$C = $C472, 'Fund Investment Data'!$A:$A = $A472,"&amp;" 'Fund Investment Data'!$B:$B &lt;= $B472)),0)"),1000000.0)</f>
        <v>1000000</v>
      </c>
      <c r="T472" s="93">
        <v>1000000.0</v>
      </c>
      <c r="U472" s="32">
        <f t="shared" si="3"/>
        <v>0</v>
      </c>
      <c r="V472" s="32">
        <f>IFERROR(__xludf.DUMMYFUNCTION("$D472 - IFERROR(FILTER($D:$D,$C:$C = $C472, $A:$A = $A472, $B:$B = $B472 - 1),0)"),0.0)</f>
        <v>0</v>
      </c>
      <c r="W472" s="93">
        <f>IFERROR(__xludf.DUMMYFUNCTION("$E472 - IFERROR(FILTER($E:$E,$C:$C = $C472, $A:$A = $A472, $B:$B = $B472 - 1),0)"),0.0)</f>
        <v>0</v>
      </c>
      <c r="X472" s="93"/>
      <c r="Y472" s="93"/>
      <c r="Z472" s="93">
        <v>0.0</v>
      </c>
      <c r="AA472" s="93">
        <v>0.0</v>
      </c>
      <c r="AB472" s="93">
        <v>0.0</v>
      </c>
      <c r="AC472" s="93"/>
      <c r="AD472" s="93">
        <v>0.0</v>
      </c>
      <c r="AE472" s="32">
        <f t="shared" si="2"/>
        <v>0</v>
      </c>
      <c r="AF472" s="93">
        <v>0.0</v>
      </c>
    </row>
    <row r="473">
      <c r="A473" s="86">
        <v>2017.0</v>
      </c>
      <c r="B473" s="87">
        <v>2.0</v>
      </c>
      <c r="C473" s="88" t="s">
        <v>26</v>
      </c>
      <c r="D473" s="93">
        <v>9843.0</v>
      </c>
      <c r="E473" s="32"/>
      <c r="F473" s="32"/>
      <c r="G473" s="93">
        <v>-296.71</v>
      </c>
      <c r="H473" s="93">
        <v>2401.63</v>
      </c>
      <c r="I473" s="32"/>
      <c r="J473" s="93">
        <v>10431.03</v>
      </c>
      <c r="K473" s="32"/>
      <c r="L473" s="32"/>
      <c r="M473" s="32"/>
      <c r="N473" s="32"/>
      <c r="O473" s="93">
        <v>310863.0</v>
      </c>
      <c r="P473" s="91">
        <f>IFERROR(__xludf.DUMMYFUNCTION("IFERROR(sum(FILTER($D:$N,$C:$C = $C473,$A:$A &lt; $A473,$B:$B = 12)),0) + sum($D473:$N473)"),310861.63999999996)</f>
        <v>310861.64</v>
      </c>
      <c r="Q473" s="92">
        <f t="shared" si="1"/>
        <v>1.36</v>
      </c>
      <c r="R473" s="91">
        <f t="array" ref="R473">IFERROR(INDEX('Fund YTD Target Values'!$1:$1000, MATCH($C473,'Fund YTD Target Values'!$A:$A,0), MATCH($A473,'Fund YTD Target Values'!$1:$1,0)),0)</f>
        <v>351339.7985</v>
      </c>
      <c r="S473" s="91">
        <f>IFERROR(__xludf.DUMMYFUNCTION("IFERROR(sum(FILTER('Fund Investment Data'!$V:$V, 'Fund Investment Data'!$C:$C = $C473, 'Fund Investment Data'!$A:$A &lt; $A473)),0) + IFERROR(sum(FILTER('Fund Investment Data'!$V:$V, 'Fund Investment Data'!$C:$C = $C473, 'Fund Investment Data'!$A:$A = $A473,"&amp;" 'Fund Investment Data'!$B:$B &lt;= $B473)),0)"),291810.0)</f>
        <v>291810</v>
      </c>
      <c r="T473" s="93">
        <v>291811.0</v>
      </c>
      <c r="U473" s="32">
        <f t="shared" si="3"/>
        <v>-1</v>
      </c>
      <c r="V473" s="32">
        <f>IFERROR(__xludf.DUMMYFUNCTION("$D473 - IFERROR(FILTER($D:$D,$C:$C = $C473, $A:$A = $A473, $B:$B = $B473 - 1),0)"),0.0)</f>
        <v>0</v>
      </c>
      <c r="W473" s="93">
        <f>IFERROR(__xludf.DUMMYFUNCTION("$E473 - IFERROR(FILTER($E:$E,$C:$C = $C473, $A:$A = $A473, $B:$B = $B473 - 1),0)"),0.0)</f>
        <v>0</v>
      </c>
      <c r="X473" s="93"/>
      <c r="Y473" s="93"/>
      <c r="Z473" s="93">
        <v>0.0</v>
      </c>
      <c r="AA473" s="93">
        <v>0.0</v>
      </c>
      <c r="AB473" s="93">
        <v>0.0</v>
      </c>
      <c r="AC473" s="93"/>
      <c r="AD473" s="93">
        <v>0.0</v>
      </c>
      <c r="AE473" s="32">
        <f t="shared" si="2"/>
        <v>0</v>
      </c>
      <c r="AF473" s="93">
        <v>0.0</v>
      </c>
    </row>
    <row r="474">
      <c r="A474" s="86">
        <v>2017.0</v>
      </c>
      <c r="B474" s="87">
        <v>2.0</v>
      </c>
      <c r="C474" s="88" t="s">
        <v>27</v>
      </c>
      <c r="D474" s="32"/>
      <c r="E474" s="32"/>
      <c r="F474" s="32"/>
      <c r="G474" s="93">
        <v>-284.73</v>
      </c>
      <c r="H474" s="93">
        <v>2339.31</v>
      </c>
      <c r="I474" s="32"/>
      <c r="J474" s="93">
        <v>10161.89</v>
      </c>
      <c r="K474" s="32"/>
      <c r="L474" s="32"/>
      <c r="M474" s="32"/>
      <c r="N474" s="32"/>
      <c r="O474" s="93">
        <v>293729.0</v>
      </c>
      <c r="P474" s="91">
        <f>IFERROR(__xludf.DUMMYFUNCTION("IFERROR(sum(FILTER($D:$N,$C:$C = $C474,$A:$A &lt; $A474,$B:$B = 12)),0) + sum($D474:$N474)"),293729.63000000006)</f>
        <v>293729.63</v>
      </c>
      <c r="Q474" s="92">
        <f t="shared" si="1"/>
        <v>-0.6300000001</v>
      </c>
      <c r="R474" s="91">
        <f t="array" ref="R474">IFERROR(INDEX('Fund YTD Target Values'!$1:$1000, MATCH($C474,'Fund YTD Target Values'!$A:$A,0), MATCH($A474,'Fund YTD Target Values'!$1:$1,0)),0)</f>
        <v>383919.6363</v>
      </c>
      <c r="S474" s="91">
        <f>IFERROR(__xludf.DUMMYFUNCTION("IFERROR(sum(FILTER('Fund Investment Data'!$V:$V, 'Fund Investment Data'!$C:$C = $C474, 'Fund Investment Data'!$A:$A &lt; $A474)),0) + IFERROR(sum(FILTER('Fund Investment Data'!$V:$V, 'Fund Investment Data'!$C:$C = $C474, 'Fund Investment Data'!$A:$A = $A474,"&amp;" 'Fund Investment Data'!$B:$B &lt;= $B474)),0)"),276213.69999999995)</f>
        <v>276213.7</v>
      </c>
      <c r="T474" s="93">
        <v>272248.0</v>
      </c>
      <c r="U474" s="32">
        <f t="shared" si="3"/>
        <v>3965.7</v>
      </c>
      <c r="V474" s="32">
        <f>IFERROR(__xludf.DUMMYFUNCTION("$D474 - IFERROR(FILTER($D:$D,$C:$C = $C474, $A:$A = $A474, $B:$B = $B474 - 1),0)"),0.0)</f>
        <v>0</v>
      </c>
      <c r="W474" s="93">
        <f>IFERROR(__xludf.DUMMYFUNCTION("$E474 - IFERROR(FILTER($E:$E,$C:$C = $C474, $A:$A = $A474, $B:$B = $B474 - 1),0)"),0.0)</f>
        <v>0</v>
      </c>
      <c r="X474" s="93"/>
      <c r="Y474" s="93"/>
      <c r="Z474" s="93">
        <v>0.0</v>
      </c>
      <c r="AA474" s="93">
        <v>0.0</v>
      </c>
      <c r="AB474" s="93">
        <v>0.0</v>
      </c>
      <c r="AC474" s="93"/>
      <c r="AD474" s="93">
        <v>0.0</v>
      </c>
      <c r="AE474" s="32">
        <f t="shared" si="2"/>
        <v>0</v>
      </c>
      <c r="AF474" s="93">
        <v>0.0</v>
      </c>
    </row>
    <row r="475">
      <c r="A475" s="94">
        <v>2017.0</v>
      </c>
      <c r="B475" s="95">
        <v>2.0</v>
      </c>
      <c r="C475" s="88" t="s">
        <v>28</v>
      </c>
      <c r="D475" s="32"/>
      <c r="E475" s="32"/>
      <c r="F475" s="32"/>
      <c r="G475" s="93">
        <v>-3093.71</v>
      </c>
      <c r="H475" s="93">
        <v>25480.48</v>
      </c>
      <c r="I475" s="32"/>
      <c r="J475" s="93">
        <v>110697.95</v>
      </c>
      <c r="K475" s="32"/>
      <c r="L475" s="32"/>
      <c r="M475" s="32"/>
      <c r="N475" s="32"/>
      <c r="O475" s="93">
        <v>3191719.0</v>
      </c>
      <c r="P475" s="91">
        <f>IFERROR(__xludf.DUMMYFUNCTION("IFERROR(sum(FILTER($D:$N,$C:$C = $C475,$A:$A &lt; $A475,$B:$B = 12)),0) + sum($D475:$N475)"),3191718.0)</f>
        <v>3191718</v>
      </c>
      <c r="Q475" s="92">
        <f t="shared" si="1"/>
        <v>1</v>
      </c>
      <c r="R475" s="91">
        <f t="array" ref="R475">IFERROR(INDEX('Fund YTD Target Values'!$1:$1000, MATCH($C475,'Fund YTD Target Values'!$A:$A,0), MATCH($A475,'Fund YTD Target Values'!$1:$1,0)),0)</f>
        <v>3748913.384</v>
      </c>
      <c r="S475" s="91">
        <f>IFERROR(__xludf.DUMMYFUNCTION("IFERROR(sum(FILTER('Fund Investment Data'!$V:$V, 'Fund Investment Data'!$C:$C = $C475, 'Fund Investment Data'!$A:$A &lt; $A475)),0) + IFERROR(sum(FILTER('Fund Investment Data'!$V:$V, 'Fund Investment Data'!$C:$C = $C475, 'Fund Investment Data'!$A:$A = $A475,"&amp;" 'Fund Investment Data'!$B:$B &lt;= $B475)),0)"),2960091.25)</f>
        <v>2960091.25</v>
      </c>
      <c r="T475" s="93">
        <v>3009816.0</v>
      </c>
      <c r="U475" s="32">
        <f t="shared" si="3"/>
        <v>-49724.75</v>
      </c>
      <c r="V475" s="32">
        <f>IFERROR(__xludf.DUMMYFUNCTION("$D475 - IFERROR(FILTER($D:$D,$C:$C = $C475, $A:$A = $A475, $B:$B = $B475 - 1),0)"),0.0)</f>
        <v>0</v>
      </c>
      <c r="W475" s="93">
        <f>IFERROR(__xludf.DUMMYFUNCTION("$E475 - IFERROR(FILTER($E:$E,$C:$C = $C475, $A:$A = $A475, $B:$B = $B475 - 1),0)"),0.0)</f>
        <v>0</v>
      </c>
      <c r="X475" s="93"/>
      <c r="Y475" s="93"/>
      <c r="Z475" s="93">
        <v>0.0</v>
      </c>
      <c r="AA475" s="93">
        <v>0.0</v>
      </c>
      <c r="AB475" s="93">
        <v>0.0</v>
      </c>
      <c r="AC475" s="93"/>
      <c r="AD475" s="93">
        <v>0.0</v>
      </c>
      <c r="AE475" s="32">
        <f t="shared" si="2"/>
        <v>0</v>
      </c>
      <c r="AF475" s="93">
        <v>0.0</v>
      </c>
    </row>
    <row r="476">
      <c r="A476" s="94">
        <v>2017.0</v>
      </c>
      <c r="B476" s="95">
        <v>2.0</v>
      </c>
      <c r="C476" s="88" t="s">
        <v>46</v>
      </c>
      <c r="D476" s="32"/>
      <c r="E476" s="32"/>
      <c r="F476" s="32"/>
      <c r="G476" s="93">
        <v>-386.25</v>
      </c>
      <c r="H476" s="93">
        <v>3178.4</v>
      </c>
      <c r="I476" s="32"/>
      <c r="J476" s="93">
        <v>13808.02</v>
      </c>
      <c r="K476" s="32"/>
      <c r="L476" s="32"/>
      <c r="M476" s="32"/>
      <c r="N476" s="32"/>
      <c r="O476" s="93">
        <v>398480.0</v>
      </c>
      <c r="P476" s="91">
        <f>IFERROR(__xludf.DUMMYFUNCTION("IFERROR(sum(FILTER($D:$N,$C:$C = $C476,$A:$A &lt; $A476,$B:$B = 12)),0) + sum($D476:$N476)"),398480.72000000003)</f>
        <v>398480.72</v>
      </c>
      <c r="Q476" s="92">
        <f t="shared" si="1"/>
        <v>-0.72</v>
      </c>
      <c r="R476" s="91">
        <f t="array" ref="R476">IFERROR(INDEX('Fund YTD Target Values'!$1:$1000, MATCH($C476,'Fund YTD Target Values'!$A:$A,0), MATCH($A476,'Fund YTD Target Values'!$1:$1,0)),0)</f>
        <v>445660.8761</v>
      </c>
      <c r="S476" s="91">
        <f>IFERROR(__xludf.DUMMYFUNCTION("IFERROR(sum(FILTER('Fund Investment Data'!$V:$V, 'Fund Investment Data'!$C:$C = $C476, 'Fund Investment Data'!$A:$A &lt; $A476)),0) + IFERROR(sum(FILTER('Fund Investment Data'!$V:$V, 'Fund Investment Data'!$C:$C = $C476, 'Fund Investment Data'!$A:$A = $A476,"&amp;" 'Fund Investment Data'!$B:$B &lt;= $B476)),0)"),366400.0)</f>
        <v>366400</v>
      </c>
      <c r="T476" s="93">
        <v>366400.0</v>
      </c>
      <c r="U476" s="32">
        <f t="shared" si="3"/>
        <v>0</v>
      </c>
      <c r="V476" s="32">
        <f>IFERROR(__xludf.DUMMYFUNCTION("$D476 - IFERROR(FILTER($D:$D,$C:$C = $C476, $A:$A = $A476, $B:$B = $B476 - 1),0)"),0.0)</f>
        <v>0</v>
      </c>
      <c r="W476" s="93">
        <f>IFERROR(__xludf.DUMMYFUNCTION("$E476 - IFERROR(FILTER($E:$E,$C:$C = $C476, $A:$A = $A476, $B:$B = $B476 - 1),0)"),0.0)</f>
        <v>0</v>
      </c>
      <c r="X476" s="93"/>
      <c r="Y476" s="93"/>
      <c r="Z476" s="93">
        <v>0.0</v>
      </c>
      <c r="AA476" s="93">
        <v>0.0</v>
      </c>
      <c r="AB476" s="93">
        <v>0.0</v>
      </c>
      <c r="AC476" s="93"/>
      <c r="AD476" s="93">
        <v>0.0</v>
      </c>
      <c r="AE476" s="32">
        <f t="shared" si="2"/>
        <v>0</v>
      </c>
      <c r="AF476" s="93">
        <v>0.0</v>
      </c>
    </row>
    <row r="477">
      <c r="A477" s="94">
        <v>2017.0</v>
      </c>
      <c r="B477" s="95">
        <v>2.0</v>
      </c>
      <c r="C477" s="88" t="s">
        <v>36</v>
      </c>
      <c r="D477" s="32"/>
      <c r="E477" s="32"/>
      <c r="F477" s="32"/>
      <c r="G477" s="93">
        <v>-423.2</v>
      </c>
      <c r="H477" s="93">
        <v>3476.9</v>
      </c>
      <c r="I477" s="32"/>
      <c r="J477" s="93">
        <v>15103.56</v>
      </c>
      <c r="K477" s="32"/>
      <c r="L477" s="32"/>
      <c r="M477" s="32"/>
      <c r="N477" s="32"/>
      <c r="O477" s="93">
        <v>436568.0</v>
      </c>
      <c r="P477" s="91">
        <f>IFERROR(__xludf.DUMMYFUNCTION("IFERROR(sum(FILTER($D:$N,$C:$C = $C477,$A:$A &lt; $A477,$B:$B = 12)),0) + sum($D477:$N477)"),436567.68000000005)</f>
        <v>436567.68</v>
      </c>
      <c r="Q477" s="92">
        <f t="shared" si="1"/>
        <v>0.3199999999</v>
      </c>
      <c r="R477" s="91">
        <f t="array" ref="R477">IFERROR(INDEX('Fund YTD Target Values'!$1:$1000, MATCH($C477,'Fund YTD Target Values'!$A:$A,0), MATCH($A477,'Fund YTD Target Values'!$1:$1,0)),0)</f>
        <v>620333.8441</v>
      </c>
      <c r="S477" s="91">
        <f>IFERROR(__xludf.DUMMYFUNCTION("IFERROR(sum(FILTER('Fund Investment Data'!$V:$V, 'Fund Investment Data'!$C:$C = $C477, 'Fund Investment Data'!$A:$A &lt; $A477)),0) + IFERROR(sum(FILTER('Fund Investment Data'!$V:$V, 'Fund Investment Data'!$C:$C = $C477, 'Fund Investment Data'!$A:$A = $A477,"&amp;" 'Fund Investment Data'!$B:$B &lt;= $B477)),0)"),429067.24)</f>
        <v>429067.24</v>
      </c>
      <c r="T477" s="93">
        <v>413959.0</v>
      </c>
      <c r="U477" s="32">
        <f t="shared" si="3"/>
        <v>15108.24</v>
      </c>
      <c r="V477" s="32">
        <f>IFERROR(__xludf.DUMMYFUNCTION("$D477 - IFERROR(FILTER($D:$D,$C:$C = $C477, $A:$A = $A477, $B:$B = $B477 - 1),0)"),0.0)</f>
        <v>0</v>
      </c>
      <c r="W477" s="93">
        <f>IFERROR(__xludf.DUMMYFUNCTION("$E477 - IFERROR(FILTER($E:$E,$C:$C = $C477, $A:$A = $A477, $B:$B = $B477 - 1),0)"),0.0)</f>
        <v>0</v>
      </c>
      <c r="X477" s="93"/>
      <c r="Y477" s="93"/>
      <c r="Z477" s="93">
        <v>0.0</v>
      </c>
      <c r="AA477" s="93">
        <v>0.0</v>
      </c>
      <c r="AB477" s="93">
        <v>0.0</v>
      </c>
      <c r="AC477" s="93"/>
      <c r="AD477" s="93">
        <v>0.0</v>
      </c>
      <c r="AE477" s="32">
        <f t="shared" si="2"/>
        <v>0</v>
      </c>
      <c r="AF477" s="93">
        <v>0.0</v>
      </c>
    </row>
    <row r="478">
      <c r="A478" s="86">
        <v>2017.0</v>
      </c>
      <c r="B478" s="87">
        <v>2.0</v>
      </c>
      <c r="C478" s="88" t="s">
        <v>37</v>
      </c>
      <c r="D478" s="32"/>
      <c r="E478" s="32"/>
      <c r="F478" s="32"/>
      <c r="G478" s="93">
        <v>-795.39</v>
      </c>
      <c r="H478" s="93">
        <v>6551.22</v>
      </c>
      <c r="I478" s="32"/>
      <c r="J478" s="93">
        <v>28460.37</v>
      </c>
      <c r="K478" s="32"/>
      <c r="L478" s="32"/>
      <c r="M478" s="32"/>
      <c r="N478" s="32"/>
      <c r="O478" s="93">
        <v>820587.21</v>
      </c>
      <c r="P478" s="91">
        <f>IFERROR(__xludf.DUMMYFUNCTION("IFERROR(sum(FILTER($D:$N,$C:$C = $C478,$A:$A &lt; $A478,$B:$B = 12)),0) + sum($D478:$N478)"),820587.21)</f>
        <v>820587.21</v>
      </c>
      <c r="Q478" s="92">
        <f t="shared" si="1"/>
        <v>0</v>
      </c>
      <c r="R478" s="91">
        <f t="array" ref="R478">IFERROR(INDEX('Fund YTD Target Values'!$1:$1000, MATCH($C478,'Fund YTD Target Values'!$A:$A,0), MATCH($A478,'Fund YTD Target Values'!$1:$1,0)),0)</f>
        <v>825458.0276</v>
      </c>
      <c r="S478" s="91">
        <f>IFERROR(__xludf.DUMMYFUNCTION("IFERROR(sum(FILTER('Fund Investment Data'!$V:$V, 'Fund Investment Data'!$C:$C = $C478, 'Fund Investment Data'!$A:$A &lt; $A478)),0) + IFERROR(sum(FILTER('Fund Investment Data'!$V:$V, 'Fund Investment Data'!$C:$C = $C478, 'Fund Investment Data'!$A:$A = $A478,"&amp;" 'Fund Investment Data'!$B:$B &lt;= $B478)),0)"),758137.86)</f>
        <v>758137.86</v>
      </c>
      <c r="T478" s="93">
        <v>742866.0</v>
      </c>
      <c r="U478" s="32">
        <f t="shared" si="3"/>
        <v>15271.86</v>
      </c>
      <c r="V478" s="32">
        <f>IFERROR(__xludf.DUMMYFUNCTION("$D478 - IFERROR(FILTER($D:$D,$C:$C = $C478, $A:$A = $A478, $B:$B = $B478 - 1),0)"),0.0)</f>
        <v>0</v>
      </c>
      <c r="W478" s="93">
        <f>IFERROR(__xludf.DUMMYFUNCTION("$E478 - IFERROR(FILTER($E:$E,$C:$C = $C478, $A:$A = $A478, $B:$B = $B478 - 1),0)"),0.0)</f>
        <v>0</v>
      </c>
      <c r="X478" s="93"/>
      <c r="Y478" s="93"/>
      <c r="Z478" s="93">
        <v>0.0</v>
      </c>
      <c r="AA478" s="93">
        <v>0.0</v>
      </c>
      <c r="AB478" s="93">
        <v>0.0</v>
      </c>
      <c r="AC478" s="93"/>
      <c r="AD478" s="93">
        <v>0.0</v>
      </c>
      <c r="AE478" s="32">
        <f t="shared" si="2"/>
        <v>0</v>
      </c>
      <c r="AF478" s="93">
        <v>0.0</v>
      </c>
    </row>
    <row r="479">
      <c r="A479" s="94">
        <v>2017.0</v>
      </c>
      <c r="B479" s="95">
        <v>2.0</v>
      </c>
      <c r="C479" s="88" t="s">
        <v>29</v>
      </c>
      <c r="D479" s="32"/>
      <c r="E479" s="32"/>
      <c r="F479" s="32"/>
      <c r="G479" s="93">
        <v>-53.82</v>
      </c>
      <c r="H479" s="93">
        <v>442.19</v>
      </c>
      <c r="I479" s="32"/>
      <c r="J479" s="93">
        <v>1920.86</v>
      </c>
      <c r="K479" s="32"/>
      <c r="L479" s="32"/>
      <c r="M479" s="32"/>
      <c r="N479" s="32"/>
      <c r="O479" s="93">
        <v>55522.0</v>
      </c>
      <c r="P479" s="91">
        <f>IFERROR(__xludf.DUMMYFUNCTION("IFERROR(sum(FILTER($D:$N,$C:$C = $C479,$A:$A &lt; $A479,$B:$B = 12)),0) + sum($D479:$N479)"),55522.31999999993)</f>
        <v>55522.32</v>
      </c>
      <c r="Q479" s="92">
        <f t="shared" si="1"/>
        <v>-0.3199999999</v>
      </c>
      <c r="R479" s="91">
        <f t="array" ref="R479">IFERROR(INDEX('Fund YTD Target Values'!$1:$1000, MATCH($C479,'Fund YTD Target Values'!$A:$A,0), MATCH($A479,'Fund YTD Target Values'!$1:$1,0)),0)</f>
        <v>75218.58778</v>
      </c>
      <c r="S479" s="91">
        <f>IFERROR(__xludf.DUMMYFUNCTION("IFERROR(sum(FILTER('Fund Investment Data'!$V:$V, 'Fund Investment Data'!$C:$C = $C479, 'Fund Investment Data'!$A:$A &lt; $A479)),0) + IFERROR(sum(FILTER('Fund Investment Data'!$V:$V, 'Fund Investment Data'!$C:$C = $C479, 'Fund Investment Data'!$A:$A = $A479,"&amp;" 'Fund Investment Data'!$B:$B &lt;= $B479)),0)"),50000.0)</f>
        <v>50000</v>
      </c>
      <c r="T479" s="93">
        <v>50000.0</v>
      </c>
      <c r="U479" s="32">
        <f t="shared" si="3"/>
        <v>0</v>
      </c>
      <c r="V479" s="32">
        <f>IFERROR(__xludf.DUMMYFUNCTION("$D479 - IFERROR(FILTER($D:$D,$C:$C = $C479, $A:$A = $A479, $B:$B = $B479 - 1),0)"),0.0)</f>
        <v>0</v>
      </c>
      <c r="W479" s="93">
        <f>IFERROR(__xludf.DUMMYFUNCTION("$E479 - IFERROR(FILTER($E:$E,$C:$C = $C479, $A:$A = $A479, $B:$B = $B479 - 1),0)"),0.0)</f>
        <v>0</v>
      </c>
      <c r="X479" s="93"/>
      <c r="Y479" s="93"/>
      <c r="Z479" s="93">
        <v>0.0</v>
      </c>
      <c r="AA479" s="93">
        <v>0.0</v>
      </c>
      <c r="AB479" s="93">
        <v>0.0</v>
      </c>
      <c r="AC479" s="93"/>
      <c r="AD479" s="93">
        <v>0.0</v>
      </c>
      <c r="AE479" s="32">
        <f t="shared" si="2"/>
        <v>0</v>
      </c>
      <c r="AF479" s="93">
        <v>0.0</v>
      </c>
    </row>
    <row r="480">
      <c r="A480" s="94">
        <v>2017.0</v>
      </c>
      <c r="B480" s="95">
        <v>2.0</v>
      </c>
      <c r="C480" s="88" t="s">
        <v>38</v>
      </c>
      <c r="D480" s="32"/>
      <c r="E480" s="32"/>
      <c r="F480" s="32"/>
      <c r="G480" s="93">
        <v>-725.88</v>
      </c>
      <c r="H480" s="93">
        <v>5978.47</v>
      </c>
      <c r="I480" s="32"/>
      <c r="J480" s="93">
        <v>25973.22</v>
      </c>
      <c r="K480" s="32"/>
      <c r="L480" s="32"/>
      <c r="M480" s="32"/>
      <c r="N480" s="32"/>
      <c r="O480" s="93">
        <v>748878.0</v>
      </c>
      <c r="P480" s="91">
        <f>IFERROR(__xludf.DUMMYFUNCTION("IFERROR(sum(FILTER($D:$N,$C:$C = $C480,$A:$A &lt; $A480,$B:$B = 12)),0) + sum($D480:$N480)"),748876.7799999999)</f>
        <v>748876.78</v>
      </c>
      <c r="Q480" s="92">
        <f t="shared" si="1"/>
        <v>1.22</v>
      </c>
      <c r="R480" s="91">
        <f t="array" ref="R480">IFERROR(INDEX('Fund YTD Target Values'!$1:$1000, MATCH($C480,'Fund YTD Target Values'!$A:$A,0), MATCH($A480,'Fund YTD Target Values'!$1:$1,0)),0)</f>
        <v>685763.9306</v>
      </c>
      <c r="S480" s="91">
        <f>IFERROR(__xludf.DUMMYFUNCTION("IFERROR(sum(FILTER('Fund Investment Data'!$V:$V, 'Fund Investment Data'!$C:$C = $C480, 'Fund Investment Data'!$A:$A &lt; $A480)),0) + IFERROR(sum(FILTER('Fund Investment Data'!$V:$V, 'Fund Investment Data'!$C:$C = $C480, 'Fund Investment Data'!$A:$A = $A480,"&amp;" 'Fund Investment Data'!$B:$B &lt;= $B480)),0)"),556601.64)</f>
        <v>556601.64</v>
      </c>
      <c r="T480" s="93">
        <v>558656.0</v>
      </c>
      <c r="U480" s="32">
        <f t="shared" si="3"/>
        <v>-2054.36</v>
      </c>
      <c r="V480" s="32">
        <f>IFERROR(__xludf.DUMMYFUNCTION("$D480 - IFERROR(FILTER($D:$D,$C:$C = $C480, $A:$A = $A480, $B:$B = $B480 - 1),0)"),0.0)</f>
        <v>0</v>
      </c>
      <c r="W480" s="93">
        <f>IFERROR(__xludf.DUMMYFUNCTION("$E480 - IFERROR(FILTER($E:$E,$C:$C = $C480, $A:$A = $A480, $B:$B = $B480 - 1),0)"),0.0)</f>
        <v>0</v>
      </c>
      <c r="X480" s="93"/>
      <c r="Y480" s="93"/>
      <c r="Z480" s="93">
        <v>0.0</v>
      </c>
      <c r="AA480" s="93">
        <v>0.0</v>
      </c>
      <c r="AB480" s="93">
        <v>0.0</v>
      </c>
      <c r="AC480" s="93"/>
      <c r="AD480" s="93">
        <v>0.0</v>
      </c>
      <c r="AE480" s="32">
        <f t="shared" si="2"/>
        <v>0</v>
      </c>
      <c r="AF480" s="93">
        <v>0.0</v>
      </c>
    </row>
    <row r="481">
      <c r="A481" s="86">
        <v>2017.0</v>
      </c>
      <c r="B481" s="87">
        <v>2.0</v>
      </c>
      <c r="C481" s="88" t="s">
        <v>30</v>
      </c>
      <c r="D481" s="32"/>
      <c r="E481" s="32"/>
      <c r="F481" s="32"/>
      <c r="G481" s="93">
        <v>-15.36</v>
      </c>
      <c r="H481" s="93">
        <v>120.5</v>
      </c>
      <c r="I481" s="32"/>
      <c r="J481" s="93">
        <v>522.06</v>
      </c>
      <c r="K481" s="32"/>
      <c r="L481" s="32"/>
      <c r="M481" s="32"/>
      <c r="N481" s="32"/>
      <c r="O481" s="93">
        <v>15826.0</v>
      </c>
      <c r="P481" s="91">
        <f>IFERROR(__xludf.DUMMYFUNCTION("IFERROR(sum(FILTER($D:$N,$C:$C = $C481,$A:$A &lt; $A481,$B:$B = 12)),0) + sum($D481:$N481)"),15824.489999999989)</f>
        <v>15824.49</v>
      </c>
      <c r="Q481" s="92">
        <f t="shared" si="1"/>
        <v>1.51</v>
      </c>
      <c r="R481" s="91">
        <f t="array" ref="R481">IFERROR(INDEX('Fund YTD Target Values'!$1:$1000, MATCH($C481,'Fund YTD Target Values'!$A:$A,0), MATCH($A481,'Fund YTD Target Values'!$1:$1,0)),0)</f>
        <v>18043.81747</v>
      </c>
      <c r="S481" s="91">
        <f>IFERROR(__xludf.DUMMYFUNCTION("IFERROR(sum(FILTER('Fund Investment Data'!$V:$V, 'Fund Investment Data'!$C:$C = $C481, 'Fund Investment Data'!$A:$A &lt; $A481)),0) + IFERROR(sum(FILTER('Fund Investment Data'!$V:$V, 'Fund Investment Data'!$C:$C = $C481, 'Fund Investment Data'!$A:$A = $A481,"&amp;" 'Fund Investment Data'!$B:$B &lt;= $B481)),0)"),11540.75)</f>
        <v>11540.75</v>
      </c>
      <c r="T481" s="93">
        <v>10000.0</v>
      </c>
      <c r="U481" s="32">
        <f t="shared" si="3"/>
        <v>1540.75</v>
      </c>
      <c r="V481" s="32">
        <f>IFERROR(__xludf.DUMMYFUNCTION("$D481 - IFERROR(FILTER($D:$D,$C:$C = $C481, $A:$A = $A481, $B:$B = $B481 - 1),0)"),0.0)</f>
        <v>0</v>
      </c>
      <c r="W481" s="93">
        <f>IFERROR(__xludf.DUMMYFUNCTION("$E481 - IFERROR(FILTER($E:$E,$C:$C = $C481, $A:$A = $A481, $B:$B = $B481 - 1),0)"),0.0)</f>
        <v>0</v>
      </c>
      <c r="X481" s="93"/>
      <c r="Y481" s="93"/>
      <c r="Z481" s="93">
        <v>0.0</v>
      </c>
      <c r="AA481" s="93">
        <v>0.0</v>
      </c>
      <c r="AB481" s="93">
        <v>0.0</v>
      </c>
      <c r="AC481" s="93"/>
      <c r="AD481" s="93">
        <v>0.0</v>
      </c>
      <c r="AE481" s="32">
        <f t="shared" si="2"/>
        <v>0</v>
      </c>
      <c r="AF481" s="93">
        <v>0.0</v>
      </c>
    </row>
    <row r="482">
      <c r="A482" s="94">
        <v>2017.0</v>
      </c>
      <c r="B482" s="95">
        <v>2.0</v>
      </c>
      <c r="C482" s="88" t="s">
        <v>47</v>
      </c>
      <c r="D482" s="32"/>
      <c r="E482" s="32"/>
      <c r="F482" s="32"/>
      <c r="G482" s="93">
        <v>-1389.92</v>
      </c>
      <c r="H482" s="93">
        <v>11419.35</v>
      </c>
      <c r="I482" s="32"/>
      <c r="J482" s="93">
        <v>49605.28</v>
      </c>
      <c r="K482" s="32"/>
      <c r="L482" s="32"/>
      <c r="M482" s="32"/>
      <c r="N482" s="32"/>
      <c r="O482" s="93">
        <v>1433840.0</v>
      </c>
      <c r="P482" s="91">
        <f>IFERROR(__xludf.DUMMYFUNCTION("IFERROR(sum(FILTER($D:$N,$C:$C = $C482,$A:$A &lt; $A482,$B:$B = 12)),0) + sum($D482:$N482)"),1433840.0399999996)</f>
        <v>1433840.04</v>
      </c>
      <c r="Q482" s="92">
        <f t="shared" si="1"/>
        <v>-0.03999999957</v>
      </c>
      <c r="R482" s="91">
        <f t="array" ref="R482">IFERROR(INDEX('Fund YTD Target Values'!$1:$1000, MATCH($C482,'Fund YTD Target Values'!$A:$A,0), MATCH($A482,'Fund YTD Target Values'!$1:$1,0)),0)</f>
        <v>1951070.709</v>
      </c>
      <c r="S482" s="91">
        <f>IFERROR(__xludf.DUMMYFUNCTION("IFERROR(sum(FILTER('Fund Investment Data'!$V:$V, 'Fund Investment Data'!$C:$C = $C482, 'Fund Investment Data'!$A:$A &lt; $A482)),0) + IFERROR(sum(FILTER('Fund Investment Data'!$V:$V, 'Fund Investment Data'!$C:$C = $C482, 'Fund Investment Data'!$A:$A = $A482,"&amp;" 'Fund Investment Data'!$B:$B &lt;= $B482)),0)"),1446367.46)</f>
        <v>1446367.46</v>
      </c>
      <c r="T482" s="93">
        <v>1348955.0</v>
      </c>
      <c r="U482" s="32">
        <f t="shared" si="3"/>
        <v>97412.46</v>
      </c>
      <c r="V482" s="32">
        <f>IFERROR(__xludf.DUMMYFUNCTION("$D482 - IFERROR(FILTER($D:$D,$C:$C = $C482, $A:$A = $A482, $B:$B = $B482 - 1),0)"),0.0)</f>
        <v>0</v>
      </c>
      <c r="W482" s="93">
        <f>IFERROR(__xludf.DUMMYFUNCTION("$E482 - IFERROR(FILTER($E:$E,$C:$C = $C482, $A:$A = $A482, $B:$B = $B482 - 1),0)"),0.0)</f>
        <v>0</v>
      </c>
      <c r="X482" s="93"/>
      <c r="Y482" s="93"/>
      <c r="Z482" s="93">
        <v>0.0</v>
      </c>
      <c r="AA482" s="93">
        <v>0.0</v>
      </c>
      <c r="AB482" s="93">
        <v>0.0</v>
      </c>
      <c r="AC482" s="93"/>
      <c r="AD482" s="93">
        <v>0.0</v>
      </c>
      <c r="AE482" s="32">
        <f t="shared" si="2"/>
        <v>0</v>
      </c>
      <c r="AF482" s="93">
        <v>0.0</v>
      </c>
    </row>
    <row r="483">
      <c r="A483" s="86">
        <v>2017.0</v>
      </c>
      <c r="B483" s="87">
        <v>2.0</v>
      </c>
      <c r="C483" s="88" t="s">
        <v>31</v>
      </c>
      <c r="D483" s="93">
        <v>1250.0</v>
      </c>
      <c r="E483" s="32"/>
      <c r="F483" s="32"/>
      <c r="G483" s="93">
        <v>-174.59</v>
      </c>
      <c r="H483" s="93">
        <v>1433.75</v>
      </c>
      <c r="I483" s="32"/>
      <c r="J483" s="93">
        <v>6228.0</v>
      </c>
      <c r="K483" s="32"/>
      <c r="L483" s="32"/>
      <c r="M483" s="32"/>
      <c r="N483" s="32"/>
      <c r="O483" s="93">
        <v>180982.0</v>
      </c>
      <c r="P483" s="91">
        <f>IFERROR(__xludf.DUMMYFUNCTION("IFERROR(sum(FILTER($D:$N,$C:$C = $C483,$A:$A &lt; $A483,$B:$B = 12)),0) + sum($D483:$N483)"),180981.70000000004)</f>
        <v>180981.7</v>
      </c>
      <c r="Q483" s="92">
        <f t="shared" si="1"/>
        <v>0.3</v>
      </c>
      <c r="R483" s="91">
        <f t="array" ref="R483">IFERROR(INDEX('Fund YTD Target Values'!$1:$1000, MATCH($C483,'Fund YTD Target Values'!$A:$A,0), MATCH($A483,'Fund YTD Target Values'!$1:$1,0)),0)</f>
        <v>205534.6031</v>
      </c>
      <c r="S483" s="91">
        <f>IFERROR(__xludf.DUMMYFUNCTION("IFERROR(sum(FILTER('Fund Investment Data'!$V:$V, 'Fund Investment Data'!$C:$C = $C483, 'Fund Investment Data'!$A:$A &lt; $A483)),0) + IFERROR(sum(FILTER('Fund Investment Data'!$V:$V, 'Fund Investment Data'!$C:$C = $C483, 'Fund Investment Data'!$A:$A = $A483,"&amp;" 'Fund Investment Data'!$B:$B &lt;= $B483)),0)"),158100.0)</f>
        <v>158100</v>
      </c>
      <c r="T483" s="93">
        <v>156850.0</v>
      </c>
      <c r="U483" s="32">
        <f t="shared" si="3"/>
        <v>1250</v>
      </c>
      <c r="V483" s="32">
        <f>IFERROR(__xludf.DUMMYFUNCTION("$D483 - IFERROR(FILTER($D:$D,$C:$C = $C483, $A:$A = $A483, $B:$B = $B483 - 1),0)"),500.0)</f>
        <v>500</v>
      </c>
      <c r="W483" s="93">
        <f>IFERROR(__xludf.DUMMYFUNCTION("$E483 - IFERROR(FILTER($E:$E,$C:$C = $C483, $A:$A = $A483, $B:$B = $B483 - 1),0)"),0.0)</f>
        <v>0</v>
      </c>
      <c r="X483" s="93"/>
      <c r="Y483" s="93"/>
      <c r="Z483" s="93">
        <v>0.0</v>
      </c>
      <c r="AA483" s="93">
        <v>0.0</v>
      </c>
      <c r="AB483" s="93">
        <v>0.0</v>
      </c>
      <c r="AC483" s="93"/>
      <c r="AD483" s="93">
        <v>0.0</v>
      </c>
      <c r="AE483" s="32">
        <f t="shared" si="2"/>
        <v>0</v>
      </c>
      <c r="AF483" s="93">
        <v>0.0</v>
      </c>
    </row>
    <row r="484">
      <c r="A484" s="86">
        <v>2017.0</v>
      </c>
      <c r="B484" s="87">
        <v>2.0</v>
      </c>
      <c r="C484" s="88" t="s">
        <v>39</v>
      </c>
      <c r="D484" s="32"/>
      <c r="E484" s="32"/>
      <c r="F484" s="32"/>
      <c r="G484" s="93">
        <v>-151.07</v>
      </c>
      <c r="H484" s="93">
        <v>1124.18</v>
      </c>
      <c r="I484" s="32"/>
      <c r="J484" s="93">
        <v>4856.47</v>
      </c>
      <c r="K484" s="32"/>
      <c r="L484" s="32"/>
      <c r="M484" s="32"/>
      <c r="N484" s="32"/>
      <c r="O484" s="93">
        <v>155361.0</v>
      </c>
      <c r="P484" s="91">
        <f>IFERROR(__xludf.DUMMYFUNCTION("IFERROR(sum(FILTER($D:$N,$C:$C = $C484,$A:$A &lt; $A484,$B:$B = 12)),0) + sum($D484:$N484)"),155361.12000000002)</f>
        <v>155361.12</v>
      </c>
      <c r="Q484" s="92">
        <f t="shared" si="1"/>
        <v>-0.12</v>
      </c>
      <c r="R484" s="91">
        <f t="array" ref="R484">IFERROR(INDEX('Fund YTD Target Values'!$1:$1000, MATCH($C484,'Fund YTD Target Values'!$A:$A,0), MATCH($A484,'Fund YTD Target Values'!$1:$1,0)),0)</f>
        <v>165832.7472</v>
      </c>
      <c r="S484" s="91">
        <f>IFERROR(__xludf.DUMMYFUNCTION("IFERROR(sum(FILTER('Fund Investment Data'!$V:$V, 'Fund Investment Data'!$C:$C = $C484, 'Fund Investment Data'!$A:$A &lt; $A484)),0) + IFERROR(sum(FILTER('Fund Investment Data'!$V:$V, 'Fund Investment Data'!$C:$C = $C484, 'Fund Investment Data'!$A:$A = $A484,"&amp;" 'Fund Investment Data'!$B:$B &lt;= $B484)),0)"),140000.0)</f>
        <v>140000</v>
      </c>
      <c r="T484" s="93">
        <v>140000.0</v>
      </c>
      <c r="U484" s="32">
        <f t="shared" si="3"/>
        <v>0</v>
      </c>
      <c r="V484" s="32">
        <f>IFERROR(__xludf.DUMMYFUNCTION("$D484 - IFERROR(FILTER($D:$D,$C:$C = $C484, $A:$A = $A484, $B:$B = $B484 - 1),0)"),0.0)</f>
        <v>0</v>
      </c>
      <c r="W484" s="93">
        <f>IFERROR(__xludf.DUMMYFUNCTION("$E484 - IFERROR(FILTER($E:$E,$C:$C = $C484, $A:$A = $A484, $B:$B = $B484 - 1),0)"),0.0)</f>
        <v>0</v>
      </c>
      <c r="X484" s="93"/>
      <c r="Y484" s="93"/>
      <c r="Z484" s="93">
        <v>0.0</v>
      </c>
      <c r="AA484" s="93">
        <v>0.0</v>
      </c>
      <c r="AB484" s="93">
        <v>0.0</v>
      </c>
      <c r="AC484" s="93"/>
      <c r="AD484" s="93">
        <v>0.0</v>
      </c>
      <c r="AE484" s="32">
        <f t="shared" si="2"/>
        <v>0</v>
      </c>
      <c r="AF484" s="93">
        <v>0.0</v>
      </c>
    </row>
    <row r="485">
      <c r="A485" s="86">
        <v>2017.0</v>
      </c>
      <c r="B485" s="87">
        <v>2.0</v>
      </c>
      <c r="C485" s="88" t="s">
        <v>50</v>
      </c>
      <c r="D485" s="32"/>
      <c r="E485" s="32"/>
      <c r="F485" s="32"/>
      <c r="G485" s="93">
        <v>-200.9</v>
      </c>
      <c r="H485" s="93">
        <v>1478.42</v>
      </c>
      <c r="I485" s="32"/>
      <c r="J485" s="93">
        <v>6396.46</v>
      </c>
      <c r="K485" s="32"/>
      <c r="L485" s="32"/>
      <c r="M485" s="32"/>
      <c r="N485" s="32"/>
      <c r="O485" s="93">
        <v>206556.0</v>
      </c>
      <c r="P485" s="91">
        <f>IFERROR(__xludf.DUMMYFUNCTION("IFERROR(sum(FILTER($D:$N,$C:$C = $C485,$A:$A &lt; $A485,$B:$B = 12)),0) + sum($D485:$N485)"),206555.55)</f>
        <v>206555.55</v>
      </c>
      <c r="Q485" s="92">
        <f t="shared" si="1"/>
        <v>0.45</v>
      </c>
      <c r="R485" s="91">
        <f t="array" ref="R485">IFERROR(INDEX('Fund YTD Target Values'!$1:$1000, MATCH($C485,'Fund YTD Target Values'!$A:$A,0), MATCH($A485,'Fund YTD Target Values'!$1:$1,0)),0)</f>
        <v>212473.6146</v>
      </c>
      <c r="S485" s="91">
        <f>IFERROR(__xludf.DUMMYFUNCTION("IFERROR(sum(FILTER('Fund Investment Data'!$V:$V, 'Fund Investment Data'!$C:$C = $C485, 'Fund Investment Data'!$A:$A &lt; $A485)),0) + IFERROR(sum(FILTER('Fund Investment Data'!$V:$V, 'Fund Investment Data'!$C:$C = $C485, 'Fund Investment Data'!$A:$A = $A485,"&amp;" 'Fund Investment Data'!$B:$B &lt;= $B485)),0)"),185189.56)</f>
        <v>185189.56</v>
      </c>
      <c r="T485" s="93">
        <v>190241.0</v>
      </c>
      <c r="U485" s="32">
        <f t="shared" si="3"/>
        <v>-5051.44</v>
      </c>
      <c r="V485" s="32">
        <f>IFERROR(__xludf.DUMMYFUNCTION("$D485 - IFERROR(FILTER($D:$D,$C:$C = $C485, $A:$A = $A485, $B:$B = $B485 - 1),0)"),0.0)</f>
        <v>0</v>
      </c>
      <c r="W485" s="93">
        <f>IFERROR(__xludf.DUMMYFUNCTION("$E485 - IFERROR(FILTER($E:$E,$C:$C = $C485, $A:$A = $A485, $B:$B = $B485 - 1),0)"),0.0)</f>
        <v>0</v>
      </c>
      <c r="X485" s="93"/>
      <c r="Y485" s="93"/>
      <c r="Z485" s="93">
        <v>0.0</v>
      </c>
      <c r="AA485" s="93">
        <v>0.0</v>
      </c>
      <c r="AB485" s="93">
        <v>0.0</v>
      </c>
      <c r="AC485" s="93"/>
      <c r="AD485" s="93">
        <v>0.0</v>
      </c>
      <c r="AE485" s="32">
        <f t="shared" si="2"/>
        <v>0</v>
      </c>
      <c r="AF485" s="93">
        <v>0.0</v>
      </c>
    </row>
    <row r="486">
      <c r="A486" s="86">
        <v>2017.0</v>
      </c>
      <c r="B486" s="87">
        <v>2.0</v>
      </c>
      <c r="C486" s="88" t="s">
        <v>32</v>
      </c>
      <c r="D486" s="32"/>
      <c r="E486" s="32"/>
      <c r="F486" s="32"/>
      <c r="G486" s="93">
        <v>-47.16</v>
      </c>
      <c r="H486" s="93">
        <v>376.31</v>
      </c>
      <c r="I486" s="32"/>
      <c r="J486" s="93">
        <v>1632.11</v>
      </c>
      <c r="K486" s="32"/>
      <c r="L486" s="32"/>
      <c r="M486" s="32"/>
      <c r="N486" s="32"/>
      <c r="O486" s="93">
        <v>48609.0</v>
      </c>
      <c r="P486" s="91">
        <f>IFERROR(__xludf.DUMMYFUNCTION("IFERROR(sum(FILTER($D:$N,$C:$C = $C486,$A:$A &lt; $A486,$B:$B = 12)),0) + sum($D486:$N486)"),48608.35000000003)</f>
        <v>48608.35</v>
      </c>
      <c r="Q486" s="92">
        <f t="shared" si="1"/>
        <v>0.65</v>
      </c>
      <c r="R486" s="91">
        <f t="array" ref="R486">IFERROR(INDEX('Fund YTD Target Values'!$1:$1000, MATCH($C486,'Fund YTD Target Values'!$A:$A,0), MATCH($A486,'Fund YTD Target Values'!$1:$1,0)),0)</f>
        <v>77291.136</v>
      </c>
      <c r="S486" s="91">
        <f>IFERROR(__xludf.DUMMYFUNCTION("IFERROR(sum(FILTER('Fund Investment Data'!$V:$V, 'Fund Investment Data'!$C:$C = $C486, 'Fund Investment Data'!$A:$A &lt; $A486)),0) + IFERROR(sum(FILTER('Fund Investment Data'!$V:$V, 'Fund Investment Data'!$C:$C = $C486, 'Fund Investment Data'!$A:$A = $A486,"&amp;" 'Fund Investment Data'!$B:$B &lt;= $B486)),0)"),49449.04)</f>
        <v>49449.04</v>
      </c>
      <c r="T486" s="93">
        <v>39268.0</v>
      </c>
      <c r="U486" s="32">
        <f t="shared" si="3"/>
        <v>10181.04</v>
      </c>
      <c r="V486" s="32">
        <f>IFERROR(__xludf.DUMMYFUNCTION("$D486 - IFERROR(FILTER($D:$D,$C:$C = $C486, $A:$A = $A486, $B:$B = $B486 - 1),0)"),0.0)</f>
        <v>0</v>
      </c>
      <c r="W486" s="93">
        <f>IFERROR(__xludf.DUMMYFUNCTION("$E486 - IFERROR(FILTER($E:$E,$C:$C = $C486, $A:$A = $A486, $B:$B = $B486 - 1),0)"),0.0)</f>
        <v>0</v>
      </c>
      <c r="X486" s="93"/>
      <c r="Y486" s="93"/>
      <c r="Z486" s="93">
        <v>0.0</v>
      </c>
      <c r="AA486" s="93">
        <v>0.0</v>
      </c>
      <c r="AB486" s="93">
        <v>0.0</v>
      </c>
      <c r="AC486" s="93"/>
      <c r="AD486" s="93">
        <v>0.0</v>
      </c>
      <c r="AE486" s="32">
        <f t="shared" si="2"/>
        <v>0</v>
      </c>
      <c r="AF486" s="93">
        <v>0.0</v>
      </c>
    </row>
    <row r="487">
      <c r="A487" s="86">
        <v>2017.0</v>
      </c>
      <c r="B487" s="87">
        <v>2.0</v>
      </c>
      <c r="C487" s="88" t="s">
        <v>40</v>
      </c>
      <c r="D487" s="32"/>
      <c r="E487" s="32"/>
      <c r="F487" s="32"/>
      <c r="G487" s="93">
        <v>-140.59</v>
      </c>
      <c r="H487" s="93">
        <v>1155.13</v>
      </c>
      <c r="I487" s="32"/>
      <c r="J487" s="93">
        <v>5017.82</v>
      </c>
      <c r="K487" s="32"/>
      <c r="L487" s="32"/>
      <c r="M487" s="32"/>
      <c r="N487" s="32"/>
      <c r="O487" s="93">
        <v>145040.0</v>
      </c>
      <c r="P487" s="91">
        <f>IFERROR(__xludf.DUMMYFUNCTION("IFERROR(sum(FILTER($D:$N,$C:$C = $C487,$A:$A &lt; $A487,$B:$B = 12)),0) + sum($D487:$N487)"),145040.05999999994)</f>
        <v>145040.06</v>
      </c>
      <c r="Q487" s="92">
        <f t="shared" si="1"/>
        <v>-0.05999999994</v>
      </c>
      <c r="R487" s="91">
        <f t="array" ref="R487">IFERROR(INDEX('Fund YTD Target Values'!$1:$1000, MATCH($C487,'Fund YTD Target Values'!$A:$A,0), MATCH($A487,'Fund YTD Target Values'!$1:$1,0)),0)</f>
        <v>157515.3664</v>
      </c>
      <c r="S487" s="91">
        <f>IFERROR(__xludf.DUMMYFUNCTION("IFERROR(sum(FILTER('Fund Investment Data'!$V:$V, 'Fund Investment Data'!$C:$C = $C487, 'Fund Investment Data'!$A:$A &lt; $A487)),0) + IFERROR(sum(FILTER('Fund Investment Data'!$V:$V, 'Fund Investment Data'!$C:$C = $C487, 'Fund Investment Data'!$A:$A = $A487,"&amp;" 'Fund Investment Data'!$B:$B &lt;= $B487)),0)"),129703.74)</f>
        <v>129703.74</v>
      </c>
      <c r="T487" s="93">
        <v>129723.0</v>
      </c>
      <c r="U487" s="32">
        <f t="shared" si="3"/>
        <v>-19.26</v>
      </c>
      <c r="V487" s="32">
        <f>IFERROR(__xludf.DUMMYFUNCTION("$D487 - IFERROR(FILTER($D:$D,$C:$C = $C487, $A:$A = $A487, $B:$B = $B487 - 1),0)"),0.0)</f>
        <v>0</v>
      </c>
      <c r="W487" s="93">
        <f>IFERROR(__xludf.DUMMYFUNCTION("$E487 - IFERROR(FILTER($E:$E,$C:$C = $C487, $A:$A = $A487, $B:$B = $B487 - 1),0)"),0.0)</f>
        <v>0</v>
      </c>
      <c r="X487" s="93"/>
      <c r="Y487" s="93"/>
      <c r="Z487" s="93">
        <v>0.0</v>
      </c>
      <c r="AA487" s="93">
        <v>0.0</v>
      </c>
      <c r="AB487" s="93">
        <v>0.0</v>
      </c>
      <c r="AC487" s="93"/>
      <c r="AD487" s="93">
        <v>0.0</v>
      </c>
      <c r="AE487" s="32">
        <f t="shared" si="2"/>
        <v>0</v>
      </c>
      <c r="AF487" s="93">
        <v>0.0</v>
      </c>
    </row>
    <row r="488">
      <c r="A488" s="94">
        <v>2017.0</v>
      </c>
      <c r="B488" s="95">
        <v>2.0</v>
      </c>
      <c r="C488" s="88" t="s">
        <v>51</v>
      </c>
      <c r="D488" s="32"/>
      <c r="E488" s="32"/>
      <c r="F488" s="32"/>
      <c r="G488" s="93">
        <v>-428.38</v>
      </c>
      <c r="H488" s="93">
        <v>3518.88</v>
      </c>
      <c r="I488" s="32"/>
      <c r="J488" s="93">
        <v>15284.53</v>
      </c>
      <c r="K488" s="32"/>
      <c r="L488" s="32"/>
      <c r="M488" s="32"/>
      <c r="N488" s="32"/>
      <c r="O488" s="93">
        <v>441912.0</v>
      </c>
      <c r="P488" s="91">
        <f>IFERROR(__xludf.DUMMYFUNCTION("IFERROR(sum(FILTER($D:$N,$C:$C = $C488,$A:$A &lt; $A488,$B:$B = 12)),0) + sum($D488:$N488)"),441911.93000000005)</f>
        <v>441911.93</v>
      </c>
      <c r="Q488" s="92">
        <f t="shared" si="1"/>
        <v>0.06999999995</v>
      </c>
      <c r="R488" s="91">
        <f t="array" ref="R488">IFERROR(INDEX('Fund YTD Target Values'!$1:$1000, MATCH($C488,'Fund YTD Target Values'!$A:$A,0), MATCH($A488,'Fund YTD Target Values'!$1:$1,0)),0)</f>
        <v>437835.4209</v>
      </c>
      <c r="S488" s="91">
        <f>IFERROR(__xludf.DUMMYFUNCTION("IFERROR(sum(FILTER('Fund Investment Data'!$V:$V, 'Fund Investment Data'!$C:$C = $C488, 'Fund Investment Data'!$A:$A &lt; $A488)),0) + IFERROR(sum(FILTER('Fund Investment Data'!$V:$V, 'Fund Investment Data'!$C:$C = $C488, 'Fund Investment Data'!$A:$A = $A488,"&amp;" 'Fund Investment Data'!$B:$B &lt;= $B488)),0)"),413123.55)</f>
        <v>413123.55</v>
      </c>
      <c r="T488" s="93">
        <v>413980.0</v>
      </c>
      <c r="U488" s="32">
        <f t="shared" si="3"/>
        <v>-856.45</v>
      </c>
      <c r="V488" s="32">
        <f>IFERROR(__xludf.DUMMYFUNCTION("$D488 - IFERROR(FILTER($D:$D,$C:$C = $C488, $A:$A = $A488, $B:$B = $B488 - 1),0)"),0.0)</f>
        <v>0</v>
      </c>
      <c r="W488" s="93">
        <f>IFERROR(__xludf.DUMMYFUNCTION("$E488 - IFERROR(FILTER($E:$E,$C:$C = $C488, $A:$A = $A488, $B:$B = $B488 - 1),0)"),0.0)</f>
        <v>0</v>
      </c>
      <c r="X488" s="93"/>
      <c r="Y488" s="93"/>
      <c r="Z488" s="93">
        <v>0.0</v>
      </c>
      <c r="AA488" s="93">
        <v>0.0</v>
      </c>
      <c r="AB488" s="93">
        <v>0.0</v>
      </c>
      <c r="AC488" s="93"/>
      <c r="AD488" s="93">
        <v>0.0</v>
      </c>
      <c r="AE488" s="32">
        <f t="shared" si="2"/>
        <v>0</v>
      </c>
      <c r="AF488" s="93">
        <v>0.0</v>
      </c>
    </row>
    <row r="489">
      <c r="A489" s="94">
        <v>2017.0</v>
      </c>
      <c r="B489" s="95">
        <v>2.0</v>
      </c>
      <c r="C489" s="88" t="s">
        <v>48</v>
      </c>
      <c r="D489" s="32"/>
      <c r="E489" s="32"/>
      <c r="F489" s="32"/>
      <c r="G489" s="93">
        <v>-1155.91</v>
      </c>
      <c r="H489" s="93">
        <v>9511.72</v>
      </c>
      <c r="I489" s="32"/>
      <c r="J489" s="93">
        <v>41322.07</v>
      </c>
      <c r="K489" s="32"/>
      <c r="L489" s="32"/>
      <c r="M489" s="32"/>
      <c r="N489" s="32"/>
      <c r="O489" s="93">
        <v>1192492.0</v>
      </c>
      <c r="P489" s="91">
        <f>IFERROR(__xludf.DUMMYFUNCTION("IFERROR(sum(FILTER($D:$N,$C:$C = $C489,$A:$A &lt; $A489,$B:$B = 12)),0) + sum($D489:$N489)"),1192490.6299999997)</f>
        <v>1192490.63</v>
      </c>
      <c r="Q489" s="92">
        <f t="shared" si="1"/>
        <v>1.37</v>
      </c>
      <c r="R489" s="91">
        <f t="array" ref="R489">IFERROR(INDEX('Fund YTD Target Values'!$1:$1000, MATCH($C489,'Fund YTD Target Values'!$A:$A,0), MATCH($A489,'Fund YTD Target Values'!$1:$1,0)),0)</f>
        <v>1851058.71</v>
      </c>
      <c r="S489" s="91">
        <f>IFERROR(__xludf.DUMMYFUNCTION("IFERROR(sum(FILTER('Fund Investment Data'!$V:$V, 'Fund Investment Data'!$C:$C = $C489, 'Fund Investment Data'!$A:$A &lt; $A489)),0) + IFERROR(sum(FILTER('Fund Investment Data'!$V:$V, 'Fund Investment Data'!$C:$C = $C489, 'Fund Investment Data'!$A:$A = $A489,"&amp;" 'Fund Investment Data'!$B:$B &lt;= $B489)),0)"),1183929.39)</f>
        <v>1183929.39</v>
      </c>
      <c r="T489" s="93">
        <v>1140040.0</v>
      </c>
      <c r="U489" s="32">
        <f t="shared" si="3"/>
        <v>43889.39</v>
      </c>
      <c r="V489" s="32">
        <f>IFERROR(__xludf.DUMMYFUNCTION("$D489 - IFERROR(FILTER($D:$D,$C:$C = $C489, $A:$A = $A489, $B:$B = $B489 - 1),0)"),0.0)</f>
        <v>0</v>
      </c>
      <c r="W489" s="93">
        <f>IFERROR(__xludf.DUMMYFUNCTION("$E489 - IFERROR(FILTER($E:$E,$C:$C = $C489, $A:$A = $A489, $B:$B = $B489 - 1),0)"),0.0)</f>
        <v>0</v>
      </c>
      <c r="X489" s="93"/>
      <c r="Y489" s="93"/>
      <c r="Z489" s="93">
        <v>0.0</v>
      </c>
      <c r="AA489" s="93">
        <v>0.0</v>
      </c>
      <c r="AB489" s="93">
        <v>0.0</v>
      </c>
      <c r="AC489" s="93"/>
      <c r="AD489" s="93">
        <v>0.0</v>
      </c>
      <c r="AE489" s="32">
        <f t="shared" si="2"/>
        <v>0</v>
      </c>
      <c r="AF489" s="93">
        <v>0.0</v>
      </c>
    </row>
    <row r="490">
      <c r="A490" s="94">
        <v>2017.0</v>
      </c>
      <c r="B490" s="95">
        <v>2.0</v>
      </c>
      <c r="C490" s="88" t="s">
        <v>49</v>
      </c>
      <c r="D490" s="32"/>
      <c r="E490" s="32"/>
      <c r="F490" s="32"/>
      <c r="G490" s="93">
        <v>-508.47</v>
      </c>
      <c r="H490" s="93">
        <v>4177.47</v>
      </c>
      <c r="I490" s="32"/>
      <c r="J490" s="93">
        <v>18146.79</v>
      </c>
      <c r="K490" s="32"/>
      <c r="L490" s="32"/>
      <c r="M490" s="32"/>
      <c r="N490" s="32"/>
      <c r="O490" s="93">
        <v>524531.0</v>
      </c>
      <c r="P490" s="91">
        <f>IFERROR(__xludf.DUMMYFUNCTION("IFERROR(sum(FILTER($D:$N,$C:$C = $C490,$A:$A &lt; $A490,$B:$B = 12)),0) + sum($D490:$N490)"),524531.7899999999)</f>
        <v>524531.79</v>
      </c>
      <c r="Q490" s="92">
        <f t="shared" si="1"/>
        <v>-0.7899999999</v>
      </c>
      <c r="R490" s="91">
        <f t="array" ref="R490">IFERROR(INDEX('Fund YTD Target Values'!$1:$1000, MATCH($C490,'Fund YTD Target Values'!$A:$A,0), MATCH($A490,'Fund YTD Target Values'!$1:$1,0)),0)</f>
        <v>684659.2079</v>
      </c>
      <c r="S490" s="91">
        <f>IFERROR(__xludf.DUMMYFUNCTION("IFERROR(sum(FILTER('Fund Investment Data'!$V:$V, 'Fund Investment Data'!$C:$C = $C490, 'Fund Investment Data'!$A:$A &lt; $A490)),0) + IFERROR(sum(FILTER('Fund Investment Data'!$V:$V, 'Fund Investment Data'!$C:$C = $C490, 'Fund Investment Data'!$A:$A = $A490,"&amp;" 'Fund Investment Data'!$B:$B &lt;= $B490)),0)"),500000.0)</f>
        <v>500000</v>
      </c>
      <c r="T490" s="93">
        <v>500000.0</v>
      </c>
      <c r="U490" s="32">
        <f t="shared" si="3"/>
        <v>0</v>
      </c>
      <c r="V490" s="32">
        <f>IFERROR(__xludf.DUMMYFUNCTION("$D490 - IFERROR(FILTER($D:$D,$C:$C = $C490, $A:$A = $A490, $B:$B = $B490 - 1),0)"),0.0)</f>
        <v>0</v>
      </c>
      <c r="W490" s="93">
        <f>IFERROR(__xludf.DUMMYFUNCTION("$E490 - IFERROR(FILTER($E:$E,$C:$C = $C490, $A:$A = $A490, $B:$B = $B490 - 1),0)"),0.0)</f>
        <v>0</v>
      </c>
      <c r="X490" s="93"/>
      <c r="Y490" s="93"/>
      <c r="Z490" s="93">
        <v>0.0</v>
      </c>
      <c r="AA490" s="93">
        <v>0.0</v>
      </c>
      <c r="AB490" s="93">
        <v>0.0</v>
      </c>
      <c r="AC490" s="93"/>
      <c r="AD490" s="93">
        <v>0.0</v>
      </c>
      <c r="AE490" s="32">
        <f t="shared" si="2"/>
        <v>0</v>
      </c>
      <c r="AF490" s="93">
        <v>0.0</v>
      </c>
    </row>
    <row r="491">
      <c r="A491" s="86">
        <v>2017.0</v>
      </c>
      <c r="B491" s="87">
        <v>2.0</v>
      </c>
      <c r="C491" s="88" t="s">
        <v>41</v>
      </c>
      <c r="D491" s="32"/>
      <c r="E491" s="32"/>
      <c r="F491" s="32"/>
      <c r="G491" s="93">
        <v>-601.27</v>
      </c>
      <c r="H491" s="93">
        <v>4930.14</v>
      </c>
      <c r="I491" s="32"/>
      <c r="J491" s="93">
        <v>21414.12</v>
      </c>
      <c r="K491" s="32"/>
      <c r="L491" s="32"/>
      <c r="M491" s="32"/>
      <c r="N491" s="32"/>
      <c r="O491" s="93">
        <v>620227.0</v>
      </c>
      <c r="P491" s="91">
        <f>IFERROR(__xludf.DUMMYFUNCTION("IFERROR(sum(FILTER($D:$N,$C:$C = $C491,$A:$A &lt; $A491,$B:$B = 12)),0) + sum($D491:$N491)"),620228.03)</f>
        <v>620228.03</v>
      </c>
      <c r="Q491" s="92">
        <f t="shared" si="1"/>
        <v>-1.03</v>
      </c>
      <c r="R491" s="91">
        <f t="array" ref="R491">IFERROR(INDEX('Fund YTD Target Values'!$1:$1000, MATCH($C491,'Fund YTD Target Values'!$A:$A,0), MATCH($A491,'Fund YTD Target Values'!$1:$1,0)),0)</f>
        <v>573948.5743</v>
      </c>
      <c r="S491" s="91">
        <f>IFERROR(__xludf.DUMMYFUNCTION("IFERROR(sum(FILTER('Fund Investment Data'!$V:$V, 'Fund Investment Data'!$C:$C = $C491, 'Fund Investment Data'!$A:$A &lt; $A491)),0) + IFERROR(sum(FILTER('Fund Investment Data'!$V:$V, 'Fund Investment Data'!$C:$C = $C491, 'Fund Investment Data'!$A:$A = $A491,"&amp;" 'Fund Investment Data'!$B:$B &lt;= $B491)),0)"),433755.86)</f>
        <v>433755.86</v>
      </c>
      <c r="T491" s="93">
        <v>434291.0</v>
      </c>
      <c r="U491" s="32">
        <f t="shared" si="3"/>
        <v>-535.14</v>
      </c>
      <c r="V491" s="32">
        <f>IFERROR(__xludf.DUMMYFUNCTION("$D491 - IFERROR(FILTER($D:$D,$C:$C = $C491, $A:$A = $A491, $B:$B = $B491 - 1),0)"),0.0)</f>
        <v>0</v>
      </c>
      <c r="W491" s="93">
        <f>IFERROR(__xludf.DUMMYFUNCTION("$E491 - IFERROR(FILTER($E:$E,$C:$C = $C491, $A:$A = $A491, $B:$B = $B491 - 1),0)"),0.0)</f>
        <v>0</v>
      </c>
      <c r="X491" s="93"/>
      <c r="Y491" s="93"/>
      <c r="Z491" s="93">
        <v>0.0</v>
      </c>
      <c r="AA491" s="93">
        <v>0.0</v>
      </c>
      <c r="AB491" s="93">
        <v>0.0</v>
      </c>
      <c r="AC491" s="93"/>
      <c r="AD491" s="93">
        <v>0.0</v>
      </c>
      <c r="AE491" s="32">
        <f t="shared" si="2"/>
        <v>0</v>
      </c>
      <c r="AF491" s="93">
        <v>0.0</v>
      </c>
    </row>
    <row r="492">
      <c r="A492" s="86">
        <v>2017.0</v>
      </c>
      <c r="B492" s="87">
        <v>2.0</v>
      </c>
      <c r="C492" s="88" t="s">
        <v>25</v>
      </c>
      <c r="D492" s="32"/>
      <c r="E492" s="32"/>
      <c r="F492" s="32"/>
      <c r="G492" s="93">
        <v>-93.35</v>
      </c>
      <c r="H492" s="93">
        <v>766.89</v>
      </c>
      <c r="I492" s="32"/>
      <c r="J492" s="93">
        <v>3331.39</v>
      </c>
      <c r="K492" s="32"/>
      <c r="L492" s="32"/>
      <c r="M492" s="32"/>
      <c r="N492" s="32"/>
      <c r="O492" s="93">
        <v>96292.95</v>
      </c>
      <c r="P492" s="91">
        <f>IFERROR(__xludf.DUMMYFUNCTION("IFERROR(sum(FILTER($D:$N,$C:$C = $C492,$A:$A &lt; $A492,$B:$B = 12)),0) + sum($D492:$N492)"),96292.93999999999)</f>
        <v>96292.94</v>
      </c>
      <c r="Q492" s="92">
        <f t="shared" si="1"/>
        <v>0.01000000001</v>
      </c>
      <c r="R492" s="91">
        <f t="array" ref="R492">IFERROR(INDEX('Fund YTD Target Values'!$1:$1000, MATCH($C492,'Fund YTD Target Values'!$A:$A,0), MATCH($A492,'Fund YTD Target Values'!$1:$1,0)),0)</f>
        <v>106572.0284</v>
      </c>
      <c r="S492" s="91">
        <f>IFERROR(__xludf.DUMMYFUNCTION("IFERROR(sum(FILTER('Fund Investment Data'!$V:$V, 'Fund Investment Data'!$C:$C = $C492, 'Fund Investment Data'!$A:$A &lt; $A492)),0) + IFERROR(sum(FILTER('Fund Investment Data'!$V:$V, 'Fund Investment Data'!$C:$C = $C492, 'Fund Investment Data'!$A:$A = $A492,"&amp;" 'Fund Investment Data'!$B:$B &lt;= $B492)),0)"),81000.0)</f>
        <v>81000</v>
      </c>
      <c r="T492" s="93">
        <v>81000.0</v>
      </c>
      <c r="U492" s="32">
        <f t="shared" si="3"/>
        <v>0</v>
      </c>
      <c r="V492" s="32">
        <f>IFERROR(__xludf.DUMMYFUNCTION("$D492 - IFERROR(FILTER($D:$D,$C:$C = $C492, $A:$A = $A492, $B:$B = $B492 - 1),0)"),0.0)</f>
        <v>0</v>
      </c>
      <c r="W492" s="93">
        <f>IFERROR(__xludf.DUMMYFUNCTION("$E492 - IFERROR(FILTER($E:$E,$C:$C = $C492, $A:$A = $A492, $B:$B = $B492 - 1),0)"),0.0)</f>
        <v>0</v>
      </c>
      <c r="X492" s="93"/>
      <c r="Y492" s="93"/>
      <c r="Z492" s="93">
        <v>0.0</v>
      </c>
      <c r="AA492" s="93">
        <v>0.0</v>
      </c>
      <c r="AB492" s="93">
        <v>0.0</v>
      </c>
      <c r="AC492" s="93"/>
      <c r="AD492" s="93">
        <v>0.0</v>
      </c>
      <c r="AE492" s="32">
        <f t="shared" si="2"/>
        <v>0</v>
      </c>
      <c r="AF492" s="93">
        <v>0.0</v>
      </c>
    </row>
    <row r="493">
      <c r="A493" s="94">
        <v>2017.0</v>
      </c>
      <c r="B493" s="95">
        <v>2.0</v>
      </c>
      <c r="C493" s="88" t="s">
        <v>42</v>
      </c>
      <c r="D493" s="32"/>
      <c r="E493" s="32"/>
      <c r="F493" s="32"/>
      <c r="G493" s="93">
        <v>-268.16</v>
      </c>
      <c r="H493" s="93">
        <v>2177.93</v>
      </c>
      <c r="I493" s="32"/>
      <c r="J493" s="93">
        <v>9454.69</v>
      </c>
      <c r="K493" s="32"/>
      <c r="L493" s="32"/>
      <c r="M493" s="32"/>
      <c r="N493" s="32"/>
      <c r="O493" s="93">
        <v>276523.0</v>
      </c>
      <c r="P493" s="91">
        <f>IFERROR(__xludf.DUMMYFUNCTION("IFERROR(sum(FILTER($D:$N,$C:$C = $C493,$A:$A &lt; $A493,$B:$B = 12)),0) + sum($D493:$N493)"),276522.73000000016)</f>
        <v>276522.73</v>
      </c>
      <c r="Q493" s="92">
        <f t="shared" si="1"/>
        <v>0.2699999998</v>
      </c>
      <c r="R493" s="91">
        <f t="array" ref="R493">IFERROR(INDEX('Fund YTD Target Values'!$1:$1000, MATCH($C493,'Fund YTD Target Values'!$A:$A,0), MATCH($A493,'Fund YTD Target Values'!$1:$1,0)),0)</f>
        <v>234458.6336</v>
      </c>
      <c r="S493" s="91">
        <f>IFERROR(__xludf.DUMMYFUNCTION("IFERROR(sum(FILTER('Fund Investment Data'!$V:$V, 'Fund Investment Data'!$C:$C = $C493, 'Fund Investment Data'!$A:$A &lt; $A493)),0) + IFERROR(sum(FILTER('Fund Investment Data'!$V:$V, 'Fund Investment Data'!$C:$C = $C493, 'Fund Investment Data'!$A:$A = $A493,"&amp;" 'Fund Investment Data'!$B:$B &lt;= $B493)),0)"),194469.0)</f>
        <v>194469</v>
      </c>
      <c r="T493" s="93">
        <v>194469.0</v>
      </c>
      <c r="U493" s="32">
        <f t="shared" si="3"/>
        <v>0</v>
      </c>
      <c r="V493" s="32">
        <f>IFERROR(__xludf.DUMMYFUNCTION("$D493 - IFERROR(FILTER($D:$D,$C:$C = $C493, $A:$A = $A493, $B:$B = $B493 - 1),0)"),0.0)</f>
        <v>0</v>
      </c>
      <c r="W493" s="93">
        <f>IFERROR(__xludf.DUMMYFUNCTION("$E493 - IFERROR(FILTER($E:$E,$C:$C = $C493, $A:$A = $A493, $B:$B = $B493 - 1),0)"),0.0)</f>
        <v>0</v>
      </c>
      <c r="X493" s="93"/>
      <c r="Y493" s="93"/>
      <c r="Z493" s="93">
        <v>0.0</v>
      </c>
      <c r="AA493" s="93">
        <v>0.0</v>
      </c>
      <c r="AB493" s="93">
        <v>0.0</v>
      </c>
      <c r="AC493" s="93"/>
      <c r="AD493" s="93">
        <v>0.0</v>
      </c>
      <c r="AE493" s="32">
        <f t="shared" si="2"/>
        <v>0</v>
      </c>
      <c r="AF493" s="93">
        <v>0.0</v>
      </c>
    </row>
    <row r="494">
      <c r="A494" s="94">
        <v>2017.0</v>
      </c>
      <c r="B494" s="95">
        <v>2.0</v>
      </c>
      <c r="C494" s="88" t="s">
        <v>43</v>
      </c>
      <c r="D494" s="32"/>
      <c r="E494" s="32"/>
      <c r="F494" s="32"/>
      <c r="G494" s="93">
        <v>-112.13</v>
      </c>
      <c r="H494" s="93">
        <v>922.66</v>
      </c>
      <c r="I494" s="32"/>
      <c r="J494" s="93">
        <v>4008.28</v>
      </c>
      <c r="K494" s="32"/>
      <c r="L494" s="32"/>
      <c r="M494" s="32"/>
      <c r="N494" s="32"/>
      <c r="O494" s="93">
        <v>115676.0</v>
      </c>
      <c r="P494" s="91">
        <f>IFERROR(__xludf.DUMMYFUNCTION("IFERROR(sum(FILTER($D:$N,$C:$C = $C494,$A:$A &lt; $A494,$B:$B = 12)),0) + sum($D494:$N494)"),115675.02000000002)</f>
        <v>115675.02</v>
      </c>
      <c r="Q494" s="92">
        <f t="shared" si="1"/>
        <v>0.98</v>
      </c>
      <c r="R494" s="91">
        <f t="array" ref="R494">IFERROR(INDEX('Fund YTD Target Values'!$1:$1000, MATCH($C494,'Fund YTD Target Values'!$A:$A,0), MATCH($A494,'Fund YTD Target Values'!$1:$1,0)),0)</f>
        <v>127580.7013</v>
      </c>
      <c r="S494" s="91">
        <f>IFERROR(__xludf.DUMMYFUNCTION("IFERROR(sum(FILTER('Fund Investment Data'!$V:$V, 'Fund Investment Data'!$C:$C = $C494, 'Fund Investment Data'!$A:$A &lt; $A494)),0) + IFERROR(sum(FILTER('Fund Investment Data'!$V:$V, 'Fund Investment Data'!$C:$C = $C494, 'Fund Investment Data'!$A:$A = $A494,"&amp;" 'Fund Investment Data'!$B:$B &lt;= $B494)),0)"),100000.0)</f>
        <v>100000</v>
      </c>
      <c r="T494" s="93">
        <v>100000.0</v>
      </c>
      <c r="U494" s="32">
        <f t="shared" si="3"/>
        <v>0</v>
      </c>
      <c r="V494" s="32">
        <f>IFERROR(__xludf.DUMMYFUNCTION("$D494 - IFERROR(FILTER($D:$D,$C:$C = $C494, $A:$A = $A494, $B:$B = $B494 - 1),0)"),0.0)</f>
        <v>0</v>
      </c>
      <c r="W494" s="93">
        <f>IFERROR(__xludf.DUMMYFUNCTION("$E494 - IFERROR(FILTER($E:$E,$C:$C = $C494, $A:$A = $A494, $B:$B = $B494 - 1),0)"),0.0)</f>
        <v>0</v>
      </c>
      <c r="X494" s="93"/>
      <c r="Y494" s="93"/>
      <c r="Z494" s="93">
        <v>0.0</v>
      </c>
      <c r="AA494" s="93">
        <v>0.0</v>
      </c>
      <c r="AB494" s="93">
        <v>0.0</v>
      </c>
      <c r="AC494" s="93"/>
      <c r="AD494" s="93">
        <v>0.0</v>
      </c>
      <c r="AE494" s="32">
        <f t="shared" si="2"/>
        <v>0</v>
      </c>
      <c r="AF494" s="93">
        <v>0.0</v>
      </c>
    </row>
    <row r="495">
      <c r="A495" s="86">
        <v>2017.0</v>
      </c>
      <c r="B495" s="87">
        <v>2.0</v>
      </c>
      <c r="C495" s="88" t="s">
        <v>52</v>
      </c>
      <c r="D495" s="32"/>
      <c r="E495" s="32"/>
      <c r="F495" s="32"/>
      <c r="G495" s="93">
        <v>-1094.83</v>
      </c>
      <c r="H495" s="93">
        <v>8475.9</v>
      </c>
      <c r="I495" s="32"/>
      <c r="J495" s="93">
        <v>36807.94</v>
      </c>
      <c r="K495" s="32"/>
      <c r="L495" s="32"/>
      <c r="M495" s="32"/>
      <c r="N495" s="32"/>
      <c r="O495" s="93">
        <v>1069037.0</v>
      </c>
      <c r="P495" s="91">
        <f>IFERROR(__xludf.DUMMYFUNCTION("IFERROR(sum(FILTER($D:$N,$C:$C = $C495,$A:$A &lt; $A495,$B:$B = 12)),0) + sum($D495:$N495)"),1069036.95)</f>
        <v>1069036.95</v>
      </c>
      <c r="Q495" s="92">
        <f t="shared" si="1"/>
        <v>0.05000000005</v>
      </c>
      <c r="R495" s="91">
        <f t="array" ref="R495">IFERROR(INDEX('Fund YTD Target Values'!$1:$1000, MATCH($C495,'Fund YTD Target Values'!$A:$A,0), MATCH($A495,'Fund YTD Target Values'!$1:$1,0)),0)</f>
        <v>1048370.982</v>
      </c>
      <c r="S495" s="91">
        <f>IFERROR(__xludf.DUMMYFUNCTION("IFERROR(sum(FILTER('Fund Investment Data'!$V:$V, 'Fund Investment Data'!$C:$C = $C495, 'Fund Investment Data'!$A:$A &lt; $A495)),0) + IFERROR(sum(FILTER('Fund Investment Data'!$V:$V, 'Fund Investment Data'!$C:$C = $C495, 'Fund Investment Data'!$A:$A = $A495,"&amp;" 'Fund Investment Data'!$B:$B &lt;= $B495)),0)"),1001636.0)</f>
        <v>1001636</v>
      </c>
      <c r="T495" s="93">
        <v>1001949.0</v>
      </c>
      <c r="U495" s="32">
        <f t="shared" si="3"/>
        <v>-313</v>
      </c>
      <c r="V495" s="32">
        <f>IFERROR(__xludf.DUMMYFUNCTION("$D495 - IFERROR(FILTER($D:$D,$C:$C = $C495, $A:$A = $A495, $B:$B = $B495 - 1),0)"),0.0)</f>
        <v>0</v>
      </c>
      <c r="W495" s="93">
        <f>IFERROR(__xludf.DUMMYFUNCTION("$E495 - IFERROR(FILTER($E:$E,$C:$C = $C495, $A:$A = $A495, $B:$B = $B495 - 1),0)"),0.0)</f>
        <v>0</v>
      </c>
      <c r="X495" s="93"/>
      <c r="Y495" s="93"/>
      <c r="Z495" s="93">
        <v>0.0</v>
      </c>
      <c r="AA495" s="93">
        <v>0.0</v>
      </c>
      <c r="AB495" s="93">
        <v>0.0</v>
      </c>
      <c r="AC495" s="93"/>
      <c r="AD495" s="93">
        <v>0.0</v>
      </c>
      <c r="AE495" s="32">
        <f t="shared" si="2"/>
        <v>0</v>
      </c>
      <c r="AF495" s="93">
        <v>0.0</v>
      </c>
    </row>
    <row r="496">
      <c r="A496" s="86">
        <v>2017.0</v>
      </c>
      <c r="B496" s="87">
        <v>2.0</v>
      </c>
      <c r="C496" s="88" t="s">
        <v>33</v>
      </c>
      <c r="D496" s="32"/>
      <c r="E496" s="32"/>
      <c r="F496" s="32"/>
      <c r="G496" s="93">
        <v>-349.75</v>
      </c>
      <c r="H496" s="93">
        <v>2877.99</v>
      </c>
      <c r="I496" s="32"/>
      <c r="J496" s="93">
        <v>12502.85</v>
      </c>
      <c r="K496" s="32"/>
      <c r="L496" s="32"/>
      <c r="M496" s="32"/>
      <c r="N496" s="32"/>
      <c r="O496" s="93">
        <v>360816.0</v>
      </c>
      <c r="P496" s="91">
        <f>IFERROR(__xludf.DUMMYFUNCTION("IFERROR(sum(FILTER($D:$N,$C:$C = $C496,$A:$A &lt; $A496,$B:$B = 12)),0) + sum($D496:$N496)"),360816.05999999976)</f>
        <v>360816.06</v>
      </c>
      <c r="Q496" s="92">
        <f t="shared" si="1"/>
        <v>-0.05999999976</v>
      </c>
      <c r="R496" s="91">
        <f t="array" ref="R496">IFERROR(INDEX('Fund YTD Target Values'!$1:$1000, MATCH($C496,'Fund YTD Target Values'!$A:$A,0), MATCH($A496,'Fund YTD Target Values'!$1:$1,0)),0)</f>
        <v>500698.0917</v>
      </c>
      <c r="S496" s="91">
        <f>IFERROR(__xludf.DUMMYFUNCTION("IFERROR(sum(FILTER('Fund Investment Data'!$V:$V, 'Fund Investment Data'!$C:$C = $C496, 'Fund Investment Data'!$A:$A &lt; $A496)),0) + IFERROR(sum(FILTER('Fund Investment Data'!$V:$V, 'Fund Investment Data'!$C:$C = $C496, 'Fund Investment Data'!$A:$A = $A496,"&amp;" 'Fund Investment Data'!$B:$B &lt;= $B496)),0)"),325871.6399999999)</f>
        <v>325871.64</v>
      </c>
      <c r="T496" s="93">
        <v>326032.0</v>
      </c>
      <c r="U496" s="32">
        <f t="shared" si="3"/>
        <v>-160.36</v>
      </c>
      <c r="V496" s="32">
        <f>IFERROR(__xludf.DUMMYFUNCTION("$D496 - IFERROR(FILTER($D:$D,$C:$C = $C496, $A:$A = $A496, $B:$B = $B496 - 1),0)"),0.0)</f>
        <v>0</v>
      </c>
      <c r="W496" s="93">
        <f>IFERROR(__xludf.DUMMYFUNCTION("$E496 - IFERROR(FILTER($E:$E,$C:$C = $C496, $A:$A = $A496, $B:$B = $B496 - 1),0)"),0.0)</f>
        <v>0</v>
      </c>
      <c r="X496" s="93"/>
      <c r="Y496" s="93"/>
      <c r="Z496" s="93">
        <v>0.0</v>
      </c>
      <c r="AA496" s="93">
        <v>0.0</v>
      </c>
      <c r="AB496" s="93">
        <v>0.0</v>
      </c>
      <c r="AC496" s="93"/>
      <c r="AD496" s="93">
        <v>0.0</v>
      </c>
      <c r="AE496" s="32">
        <f t="shared" si="2"/>
        <v>0</v>
      </c>
      <c r="AF496" s="93">
        <v>0.0</v>
      </c>
    </row>
    <row r="497">
      <c r="A497" s="94">
        <v>2017.0</v>
      </c>
      <c r="B497" s="95">
        <v>2.0</v>
      </c>
      <c r="C497" s="88" t="s">
        <v>53</v>
      </c>
      <c r="D497" s="32"/>
      <c r="E497" s="32"/>
      <c r="F497" s="32"/>
      <c r="G497" s="93">
        <v>-2057.23</v>
      </c>
      <c r="H497" s="93">
        <v>16943.66</v>
      </c>
      <c r="I497" s="32"/>
      <c r="J497" s="93">
        <v>73611.24</v>
      </c>
      <c r="K497" s="32"/>
      <c r="L497" s="32"/>
      <c r="M497" s="32"/>
      <c r="N497" s="32"/>
      <c r="O497" s="93">
        <v>2122411.0</v>
      </c>
      <c r="P497" s="91">
        <f>IFERROR(__xludf.DUMMYFUNCTION("IFERROR(sum(FILTER($D:$N,$C:$C = $C497,$A:$A &lt; $A497,$B:$B = 12)),0) + sum($D497:$N497)"),2122410.9499999997)</f>
        <v>2122410.95</v>
      </c>
      <c r="Q497" s="92">
        <f t="shared" si="1"/>
        <v>0.05000000028</v>
      </c>
      <c r="R497" s="91">
        <f t="array" ref="R497">IFERROR(INDEX('Fund YTD Target Values'!$1:$1000, MATCH($C497,'Fund YTD Target Values'!$A:$A,0), MATCH($A497,'Fund YTD Target Values'!$1:$1,0)),0)</f>
        <v>2171706.82</v>
      </c>
      <c r="S497" s="91">
        <f>IFERROR(__xludf.DUMMYFUNCTION("IFERROR(sum(FILTER('Fund Investment Data'!$V:$V, 'Fund Investment Data'!$C:$C = $C497, 'Fund Investment Data'!$A:$A &lt; $A497)),0) + IFERROR(sum(FILTER('Fund Investment Data'!$V:$V, 'Fund Investment Data'!$C:$C = $C497, 'Fund Investment Data'!$A:$A = $A497,"&amp;" 'Fund Investment Data'!$B:$B &lt;= $B497)),0)"),2005500.0)</f>
        <v>2005500</v>
      </c>
      <c r="T497" s="93">
        <v>2005500.0</v>
      </c>
      <c r="U497" s="32">
        <f t="shared" si="3"/>
        <v>0</v>
      </c>
      <c r="V497" s="32">
        <f>IFERROR(__xludf.DUMMYFUNCTION("$D497 - IFERROR(FILTER($D:$D,$C:$C = $C497, $A:$A = $A497, $B:$B = $B497 - 1),0)"),0.0)</f>
        <v>0</v>
      </c>
      <c r="W497" s="93">
        <f>IFERROR(__xludf.DUMMYFUNCTION("$E497 - IFERROR(FILTER($E:$E,$C:$C = $C497, $A:$A = $A497, $B:$B = $B497 - 1),0)"),0.0)</f>
        <v>0</v>
      </c>
      <c r="X497" s="93"/>
      <c r="Y497" s="93"/>
      <c r="Z497" s="93">
        <v>0.0</v>
      </c>
      <c r="AA497" s="93">
        <v>0.0</v>
      </c>
      <c r="AB497" s="93">
        <v>0.0</v>
      </c>
      <c r="AC497" s="93"/>
      <c r="AD497" s="93">
        <v>0.0</v>
      </c>
      <c r="AE497" s="32">
        <f t="shared" si="2"/>
        <v>0</v>
      </c>
      <c r="AF497" s="93">
        <v>0.0</v>
      </c>
    </row>
    <row r="498">
      <c r="A498" s="94">
        <v>2017.0</v>
      </c>
      <c r="B498" s="95">
        <v>2.0</v>
      </c>
      <c r="C498" s="88" t="s">
        <v>34</v>
      </c>
      <c r="D498" s="32"/>
      <c r="E498" s="32"/>
      <c r="F498" s="32"/>
      <c r="G498" s="93">
        <v>-127.12</v>
      </c>
      <c r="H498" s="93">
        <v>1030.51</v>
      </c>
      <c r="I498" s="32"/>
      <c r="J498" s="93">
        <v>4473.23</v>
      </c>
      <c r="K498" s="32"/>
      <c r="L498" s="32"/>
      <c r="M498" s="32"/>
      <c r="N498" s="32"/>
      <c r="O498" s="93">
        <v>131073.0</v>
      </c>
      <c r="P498" s="91">
        <f>IFERROR(__xludf.DUMMYFUNCTION("IFERROR(sum(FILTER($D:$N,$C:$C = $C498,$A:$A &lt; $A498,$B:$B = 12)),0) + sum($D498:$N498)"),131073.13)</f>
        <v>131073.13</v>
      </c>
      <c r="Q498" s="92">
        <f t="shared" si="1"/>
        <v>-0.13</v>
      </c>
      <c r="R498" s="91">
        <f t="array" ref="R498">IFERROR(INDEX('Fund YTD Target Values'!$1:$1000, MATCH($C498,'Fund YTD Target Values'!$A:$A,0), MATCH($A498,'Fund YTD Target Values'!$1:$1,0)),0)</f>
        <v>127220.0742</v>
      </c>
      <c r="S498" s="91">
        <f>IFERROR(__xludf.DUMMYFUNCTION("IFERROR(sum(FILTER('Fund Investment Data'!$V:$V, 'Fund Investment Data'!$C:$C = $C498, 'Fund Investment Data'!$A:$A &lt; $A498)),0) + IFERROR(sum(FILTER('Fund Investment Data'!$V:$V, 'Fund Investment Data'!$C:$C = $C498, 'Fund Investment Data'!$A:$A = $A498,"&amp;" 'Fund Investment Data'!$B:$B &lt;= $B498)),0)"),115000.0)</f>
        <v>115000</v>
      </c>
      <c r="T498" s="93">
        <v>116567.0</v>
      </c>
      <c r="U498" s="32">
        <f t="shared" si="3"/>
        <v>-1567</v>
      </c>
      <c r="V498" s="32">
        <f>IFERROR(__xludf.DUMMYFUNCTION("$D498 - IFERROR(FILTER($D:$D,$C:$C = $C498, $A:$A = $A498, $B:$B = $B498 - 1),0)"),0.0)</f>
        <v>0</v>
      </c>
      <c r="W498" s="93">
        <f>IFERROR(__xludf.DUMMYFUNCTION("$E498 - IFERROR(FILTER($E:$E,$C:$C = $C498, $A:$A = $A498, $B:$B = $B498 - 1),0)"),0.0)</f>
        <v>0</v>
      </c>
      <c r="X498" s="93"/>
      <c r="Y498" s="93"/>
      <c r="Z498" s="93">
        <v>0.0</v>
      </c>
      <c r="AA498" s="93">
        <v>0.0</v>
      </c>
      <c r="AB498" s="93">
        <v>0.0</v>
      </c>
      <c r="AC498" s="93"/>
      <c r="AD498" s="93">
        <v>0.0</v>
      </c>
      <c r="AE498" s="32">
        <f t="shared" si="2"/>
        <v>0</v>
      </c>
      <c r="AF498" s="93">
        <v>0.0</v>
      </c>
    </row>
    <row r="499">
      <c r="A499" s="94">
        <v>2017.0</v>
      </c>
      <c r="B499" s="95">
        <v>2.0</v>
      </c>
      <c r="C499" s="88" t="s">
        <v>54</v>
      </c>
      <c r="D499" s="93">
        <v>650.0</v>
      </c>
      <c r="E499" s="32"/>
      <c r="F499" s="32"/>
      <c r="G499" s="93">
        <v>-152.08</v>
      </c>
      <c r="H499" s="93">
        <v>1185.68</v>
      </c>
      <c r="I499" s="32"/>
      <c r="J499" s="93">
        <v>5136.06</v>
      </c>
      <c r="K499" s="32"/>
      <c r="L499" s="32"/>
      <c r="M499" s="32"/>
      <c r="N499" s="32"/>
      <c r="O499" s="93">
        <v>157274.0</v>
      </c>
      <c r="P499" s="91">
        <f>IFERROR(__xludf.DUMMYFUNCTION("IFERROR(sum(FILTER($D:$N,$C:$C = $C499,$A:$A &lt; $A499,$B:$B = 12)),0) + sum($D499:$N499)"),157274.76999999996)</f>
        <v>157274.77</v>
      </c>
      <c r="Q499" s="92">
        <f t="shared" si="1"/>
        <v>-0.77</v>
      </c>
      <c r="R499" s="91">
        <f t="array" ref="R499">IFERROR(INDEX('Fund YTD Target Values'!$1:$1000, MATCH($C499,'Fund YTD Target Values'!$A:$A,0), MATCH($A499,'Fund YTD Target Values'!$1:$1,0)),0)</f>
        <v>151442.9959</v>
      </c>
      <c r="S499" s="91">
        <f>IFERROR(__xludf.DUMMYFUNCTION("IFERROR(sum(FILTER('Fund Investment Data'!$V:$V, 'Fund Investment Data'!$C:$C = $C499, 'Fund Investment Data'!$A:$A &lt; $A499)),0) + IFERROR(sum(FILTER('Fund Investment Data'!$V:$V, 'Fund Investment Data'!$C:$C = $C499, 'Fund Investment Data'!$A:$A = $A499,"&amp;" 'Fund Investment Data'!$B:$B &lt;= $B499)),0)"),111995.10999999999)</f>
        <v>111995.11</v>
      </c>
      <c r="T499" s="93">
        <v>108079.0</v>
      </c>
      <c r="U499" s="32">
        <f t="shared" si="3"/>
        <v>3916.11</v>
      </c>
      <c r="V499" s="32">
        <f>IFERROR(__xludf.DUMMYFUNCTION("$D499 - IFERROR(FILTER($D:$D,$C:$C = $C499, $A:$A = $A499, $B:$B = $B499 - 1),0)"),650.0)</f>
        <v>650</v>
      </c>
      <c r="W499" s="93">
        <f>IFERROR(__xludf.DUMMYFUNCTION("$E499 - IFERROR(FILTER($E:$E,$C:$C = $C499, $A:$A = $A499, $B:$B = $B499 - 1),0)"),0.0)</f>
        <v>0</v>
      </c>
      <c r="X499" s="93"/>
      <c r="Y499" s="93"/>
      <c r="Z499" s="93">
        <v>0.0</v>
      </c>
      <c r="AA499" s="93">
        <v>0.0</v>
      </c>
      <c r="AB499" s="93">
        <v>0.0</v>
      </c>
      <c r="AC499" s="93"/>
      <c r="AD499" s="93">
        <v>0.0</v>
      </c>
      <c r="AE499" s="32">
        <f t="shared" si="2"/>
        <v>0</v>
      </c>
      <c r="AF499" s="93">
        <v>0.0</v>
      </c>
    </row>
    <row r="500">
      <c r="A500" s="86">
        <v>2017.0</v>
      </c>
      <c r="B500" s="87">
        <v>2.0</v>
      </c>
      <c r="C500" s="88" t="s">
        <v>55</v>
      </c>
      <c r="D500" s="32"/>
      <c r="E500" s="32"/>
      <c r="F500" s="32"/>
      <c r="G500" s="93">
        <v>-192.6</v>
      </c>
      <c r="H500" s="93">
        <v>620.58</v>
      </c>
      <c r="I500" s="32"/>
      <c r="J500" s="93">
        <v>2568.52</v>
      </c>
      <c r="K500" s="32"/>
      <c r="L500" s="32"/>
      <c r="M500" s="32"/>
      <c r="N500" s="32"/>
      <c r="O500" s="93">
        <v>144872.0</v>
      </c>
      <c r="P500" s="91">
        <f>IFERROR(__xludf.DUMMYFUNCTION("IFERROR(sum(FILTER($D:$N,$C:$C = $C500,$A:$A &lt; $A500,$B:$B = 12)),0) + sum($D500:$N500)"),144871.78999999998)</f>
        <v>144871.79</v>
      </c>
      <c r="Q500" s="92">
        <f t="shared" si="1"/>
        <v>0.21</v>
      </c>
      <c r="R500" s="91">
        <f t="array" ref="R500">IFERROR(INDEX('Fund YTD Target Values'!$1:$1000, MATCH($C500,'Fund YTD Target Values'!$A:$A,0), MATCH($A500,'Fund YTD Target Values'!$1:$1,0)),0)</f>
        <v>213886.3799</v>
      </c>
      <c r="S500" s="91">
        <f>IFERROR(__xludf.DUMMYFUNCTION("IFERROR(sum(FILTER('Fund Investment Data'!$V:$V, 'Fund Investment Data'!$C:$C = $C500, 'Fund Investment Data'!$A:$A &lt; $A500)),0) + IFERROR(sum(FILTER('Fund Investment Data'!$V:$V, 'Fund Investment Data'!$C:$C = $C500, 'Fund Investment Data'!$A:$A = $A500,"&amp;" 'Fund Investment Data'!$B:$B &lt;= $B500)),0)"),140000.0)</f>
        <v>140000</v>
      </c>
      <c r="T500" s="93">
        <v>167565.0</v>
      </c>
      <c r="U500" s="32">
        <f t="shared" si="3"/>
        <v>-27565</v>
      </c>
      <c r="V500" s="32">
        <f>IFERROR(__xludf.DUMMYFUNCTION("$D500 - IFERROR(FILTER($D:$D,$C:$C = $C500, $A:$A = $A500, $B:$B = $B500 - 1),0)"),0.0)</f>
        <v>0</v>
      </c>
      <c r="W500" s="93">
        <f>IFERROR(__xludf.DUMMYFUNCTION("$E500 - IFERROR(FILTER($E:$E,$C:$C = $C500, $A:$A = $A500, $B:$B = $B500 - 1),0)"),0.0)</f>
        <v>0</v>
      </c>
      <c r="X500" s="93"/>
      <c r="Y500" s="93"/>
      <c r="Z500" s="93">
        <v>0.0</v>
      </c>
      <c r="AA500" s="93">
        <v>0.0</v>
      </c>
      <c r="AB500" s="93">
        <v>0.0</v>
      </c>
      <c r="AC500" s="93"/>
      <c r="AD500" s="93">
        <v>0.0</v>
      </c>
      <c r="AE500" s="32">
        <f t="shared" si="2"/>
        <v>0</v>
      </c>
      <c r="AF500" s="93">
        <v>0.0</v>
      </c>
    </row>
    <row r="501">
      <c r="A501" s="94">
        <v>2017.0</v>
      </c>
      <c r="B501" s="95">
        <v>2.0</v>
      </c>
      <c r="C501" s="88" t="s">
        <v>44</v>
      </c>
      <c r="D501" s="32"/>
      <c r="E501" s="32"/>
      <c r="F501" s="32"/>
      <c r="G501" s="93">
        <v>-269.91</v>
      </c>
      <c r="H501" s="93">
        <v>2221.01</v>
      </c>
      <c r="I501" s="32"/>
      <c r="J501" s="93">
        <v>9648.74</v>
      </c>
      <c r="K501" s="32"/>
      <c r="L501" s="32"/>
      <c r="M501" s="32"/>
      <c r="N501" s="32"/>
      <c r="O501" s="93">
        <v>278450.0</v>
      </c>
      <c r="P501" s="91">
        <f>IFERROR(__xludf.DUMMYFUNCTION("IFERROR(sum(FILTER($D:$N,$C:$C = $C501,$A:$A &lt; $A501,$B:$B = 12)),0) + sum($D501:$N501)"),278450.99000000017)</f>
        <v>278450.99</v>
      </c>
      <c r="Q501" s="92">
        <f t="shared" si="1"/>
        <v>-0.9900000002</v>
      </c>
      <c r="R501" s="91">
        <f t="array" ref="R501">IFERROR(INDEX('Fund YTD Target Values'!$1:$1000, MATCH($C501,'Fund YTD Target Values'!$A:$A,0), MATCH($A501,'Fund YTD Target Values'!$1:$1,0)),0)</f>
        <v>313918.5223</v>
      </c>
      <c r="S501" s="91">
        <f>IFERROR(__xludf.DUMMYFUNCTION("IFERROR(sum(FILTER('Fund Investment Data'!$V:$V, 'Fund Investment Data'!$C:$C = $C501, 'Fund Investment Data'!$A:$A &lt; $A501)),0) + IFERROR(sum(FILTER('Fund Investment Data'!$V:$V, 'Fund Investment Data'!$C:$C = $C501, 'Fund Investment Data'!$A:$A = $A501,"&amp;" 'Fund Investment Data'!$B:$B &lt;= $B501)),0)"),250000.0)</f>
        <v>250000</v>
      </c>
      <c r="T501" s="93">
        <v>250000.0</v>
      </c>
      <c r="U501" s="32">
        <f t="shared" si="3"/>
        <v>0</v>
      </c>
      <c r="V501" s="32">
        <f>IFERROR(__xludf.DUMMYFUNCTION("$D501 - IFERROR(FILTER($D:$D,$C:$C = $C501, $A:$A = $A501, $B:$B = $B501 - 1),0)"),0.0)</f>
        <v>0</v>
      </c>
      <c r="W501" s="93">
        <f>IFERROR(__xludf.DUMMYFUNCTION("$E501 - IFERROR(FILTER($E:$E,$C:$C = $C501, $A:$A = $A501, $B:$B = $B501 - 1),0)"),0.0)</f>
        <v>0</v>
      </c>
      <c r="X501" s="93"/>
      <c r="Y501" s="93"/>
      <c r="Z501" s="93">
        <v>0.0</v>
      </c>
      <c r="AA501" s="93">
        <v>0.0</v>
      </c>
      <c r="AB501" s="93">
        <v>0.0</v>
      </c>
      <c r="AC501" s="93"/>
      <c r="AD501" s="93">
        <v>0.0</v>
      </c>
      <c r="AE501" s="32">
        <f t="shared" si="2"/>
        <v>0</v>
      </c>
      <c r="AF501" s="93">
        <v>0.0</v>
      </c>
    </row>
    <row r="502">
      <c r="A502" s="86">
        <v>2017.0</v>
      </c>
      <c r="B502" s="87">
        <v>2.0</v>
      </c>
      <c r="C502" s="88" t="s">
        <v>45</v>
      </c>
      <c r="D502" s="32"/>
      <c r="E502" s="32"/>
      <c r="F502" s="32"/>
      <c r="G502" s="93">
        <v>-135.42</v>
      </c>
      <c r="H502" s="93">
        <v>1079.7</v>
      </c>
      <c r="I502" s="32"/>
      <c r="J502" s="93">
        <v>4682.53</v>
      </c>
      <c r="K502" s="32"/>
      <c r="L502" s="32"/>
      <c r="M502" s="32"/>
      <c r="N502" s="32"/>
      <c r="O502" s="93">
        <v>139571.0</v>
      </c>
      <c r="P502" s="91">
        <f>IFERROR(__xludf.DUMMYFUNCTION("IFERROR(sum(FILTER($D:$N,$C:$C = $C502,$A:$A &lt; $A502,$B:$B = 12)),0) + sum($D502:$N502)"),139571.63999999998)</f>
        <v>139571.64</v>
      </c>
      <c r="Q502" s="92">
        <f t="shared" si="1"/>
        <v>-0.64</v>
      </c>
      <c r="R502" s="91">
        <f t="array" ref="R502">IFERROR(INDEX('Fund YTD Target Values'!$1:$1000, MATCH($C502,'Fund YTD Target Values'!$A:$A,0), MATCH($A502,'Fund YTD Target Values'!$1:$1,0)),0)</f>
        <v>118351.1878</v>
      </c>
      <c r="S502" s="91">
        <f>IFERROR(__xludf.DUMMYFUNCTION("IFERROR(sum(FILTER('Fund Investment Data'!$V:$V, 'Fund Investment Data'!$C:$C = $C502, 'Fund Investment Data'!$A:$A &lt; $A502)),0) + IFERROR(sum(FILTER('Fund Investment Data'!$V:$V, 'Fund Investment Data'!$C:$C = $C502, 'Fund Investment Data'!$A:$A = $A502,"&amp;" 'Fund Investment Data'!$B:$B &lt;= $B502)),0)"),100000.0)</f>
        <v>100000</v>
      </c>
      <c r="T502" s="93">
        <v>100000.0</v>
      </c>
      <c r="U502" s="32">
        <f t="shared" si="3"/>
        <v>0</v>
      </c>
      <c r="V502" s="32">
        <f>IFERROR(__xludf.DUMMYFUNCTION("$D502 - IFERROR(FILTER($D:$D,$C:$C = $C502, $A:$A = $A502, $B:$B = $B502 - 1),0)"),0.0)</f>
        <v>0</v>
      </c>
      <c r="W502" s="93">
        <f>IFERROR(__xludf.DUMMYFUNCTION("$E502 - IFERROR(FILTER($E:$E,$C:$C = $C502, $A:$A = $A502, $B:$B = $B502 - 1),0)"),0.0)</f>
        <v>0</v>
      </c>
      <c r="X502" s="93"/>
      <c r="Y502" s="93"/>
      <c r="Z502" s="93">
        <v>0.0</v>
      </c>
      <c r="AA502" s="93">
        <v>0.0</v>
      </c>
      <c r="AB502" s="93">
        <v>0.0</v>
      </c>
      <c r="AC502" s="93"/>
      <c r="AD502" s="93">
        <v>0.0</v>
      </c>
      <c r="AE502" s="32">
        <f t="shared" si="2"/>
        <v>0</v>
      </c>
      <c r="AF502" s="93">
        <v>0.0</v>
      </c>
    </row>
    <row r="503">
      <c r="A503" s="86">
        <v>2017.0</v>
      </c>
      <c r="B503" s="87">
        <v>2.0</v>
      </c>
      <c r="C503" s="88" t="s">
        <v>35</v>
      </c>
      <c r="D503" s="32"/>
      <c r="E503" s="32"/>
      <c r="F503" s="32"/>
      <c r="G503" s="93">
        <v>-1356.23</v>
      </c>
      <c r="H503" s="93">
        <v>11170.41</v>
      </c>
      <c r="I503" s="32"/>
      <c r="J503" s="93">
        <v>48528.34</v>
      </c>
      <c r="K503" s="32"/>
      <c r="L503" s="32"/>
      <c r="M503" s="32"/>
      <c r="N503" s="32"/>
      <c r="O503" s="93">
        <v>1399201.0</v>
      </c>
      <c r="P503" s="91">
        <f>IFERROR(__xludf.DUMMYFUNCTION("IFERROR(sum(FILTER($D:$N,$C:$C = $C503,$A:$A &lt; $A503,$B:$B = 12)),0) + sum($D503:$N503)"),1399200.1900000004)</f>
        <v>1399200.19</v>
      </c>
      <c r="Q503" s="92">
        <f t="shared" si="1"/>
        <v>0.8099999996</v>
      </c>
      <c r="R503" s="91">
        <f t="array" ref="R503">IFERROR(INDEX('Fund YTD Target Values'!$1:$1000, MATCH($C503,'Fund YTD Target Values'!$A:$A,0), MATCH($A503,'Fund YTD Target Values'!$1:$1,0)),0)</f>
        <v>1541591.16</v>
      </c>
      <c r="S503" s="91">
        <f>IFERROR(__xludf.DUMMYFUNCTION("IFERROR(sum(FILTER('Fund Investment Data'!$V:$V, 'Fund Investment Data'!$C:$C = $C503, 'Fund Investment Data'!$A:$A &lt; $A503)),0) + IFERROR(sum(FILTER('Fund Investment Data'!$V:$V, 'Fund Investment Data'!$C:$C = $C503, 'Fund Investment Data'!$A:$A = $A503,"&amp;" 'Fund Investment Data'!$B:$B &lt;= $B503)),0)"),1086625.0)</f>
        <v>1086625</v>
      </c>
      <c r="T503" s="93">
        <v>1071625.0</v>
      </c>
      <c r="U503" s="32">
        <f t="shared" si="3"/>
        <v>15000</v>
      </c>
      <c r="V503" s="32">
        <f>IFERROR(__xludf.DUMMYFUNCTION("$D503 - IFERROR(FILTER($D:$D,$C:$C = $C503, $A:$A = $A503, $B:$B = $B503 - 1),0)"),0.0)</f>
        <v>0</v>
      </c>
      <c r="W503" s="93">
        <f>IFERROR(__xludf.DUMMYFUNCTION("$E503 - IFERROR(FILTER($E:$E,$C:$C = $C503, $A:$A = $A503, $B:$B = $B503 - 1),0)"),0.0)</f>
        <v>0</v>
      </c>
      <c r="X503" s="93"/>
      <c r="Y503" s="93"/>
      <c r="Z503" s="93">
        <v>0.0</v>
      </c>
      <c r="AA503" s="93">
        <v>0.0</v>
      </c>
      <c r="AB503" s="93">
        <v>0.0</v>
      </c>
      <c r="AC503" s="93"/>
      <c r="AD503" s="93">
        <v>0.0</v>
      </c>
      <c r="AE503" s="32">
        <f t="shared" si="2"/>
        <v>0</v>
      </c>
      <c r="AF503" s="93">
        <v>0.0</v>
      </c>
    </row>
    <row r="504">
      <c r="A504" s="94">
        <v>2017.0</v>
      </c>
      <c r="B504" s="95">
        <v>2.0</v>
      </c>
      <c r="C504" s="88" t="s">
        <v>56</v>
      </c>
      <c r="D504" s="32"/>
      <c r="E504" s="32"/>
      <c r="F504" s="32"/>
      <c r="G504" s="93">
        <v>-1010.78</v>
      </c>
      <c r="H504" s="93">
        <v>8058.49</v>
      </c>
      <c r="I504" s="32"/>
      <c r="J504" s="93">
        <v>34949.07</v>
      </c>
      <c r="K504" s="32"/>
      <c r="L504" s="32"/>
      <c r="M504" s="32"/>
      <c r="N504" s="32"/>
      <c r="O504" s="93">
        <v>1041715.0</v>
      </c>
      <c r="P504" s="91">
        <f>IFERROR(__xludf.DUMMYFUNCTION("IFERROR(sum(FILTER($D:$N,$C:$C = $C504,$A:$A &lt; $A504,$B:$B = 12)),0) + sum($D504:$N504)"),1041715.3999999999)</f>
        <v>1041715.4</v>
      </c>
      <c r="Q504" s="92">
        <f t="shared" si="1"/>
        <v>-0.3999999999</v>
      </c>
      <c r="R504" s="91">
        <f t="array" ref="R504">IFERROR(INDEX('Fund YTD Target Values'!$1:$1000, MATCH($C504,'Fund YTD Target Values'!$A:$A,0), MATCH($A504,'Fund YTD Target Values'!$1:$1,0)),0)</f>
        <v>1035433.228</v>
      </c>
      <c r="S504" s="91">
        <f>IFERROR(__xludf.DUMMYFUNCTION("IFERROR(sum(FILTER('Fund Investment Data'!$V:$V, 'Fund Investment Data'!$C:$C = $C504, 'Fund Investment Data'!$A:$A &lt; $A504)),0) + IFERROR(sum(FILTER('Fund Investment Data'!$V:$V, 'Fund Investment Data'!$C:$C = $C504, 'Fund Investment Data'!$A:$A = $A504,"&amp;" 'Fund Investment Data'!$B:$B &lt;= $B504)),0)"),1000000.0)</f>
        <v>1000000</v>
      </c>
      <c r="T504" s="93">
        <v>1000000.0</v>
      </c>
      <c r="U504" s="32">
        <f t="shared" si="3"/>
        <v>0</v>
      </c>
      <c r="V504" s="32">
        <f>IFERROR(__xludf.DUMMYFUNCTION("$D504 - IFERROR(FILTER($D:$D,$C:$C = $C504, $A:$A = $A504, $B:$B = $B504 - 1),0)"),0.0)</f>
        <v>0</v>
      </c>
      <c r="W504" s="93">
        <f>IFERROR(__xludf.DUMMYFUNCTION("$E504 - IFERROR(FILTER($E:$E,$C:$C = $C504, $A:$A = $A504, $B:$B = $B504 - 1),0)"),0.0)</f>
        <v>0</v>
      </c>
      <c r="X504" s="93"/>
      <c r="Y504" s="93"/>
      <c r="Z504" s="93">
        <v>0.0</v>
      </c>
      <c r="AA504" s="93">
        <v>0.0</v>
      </c>
      <c r="AB504" s="93">
        <v>0.0</v>
      </c>
      <c r="AC504" s="93"/>
      <c r="AD504" s="93">
        <v>0.0</v>
      </c>
      <c r="AE504" s="32">
        <f t="shared" si="2"/>
        <v>0</v>
      </c>
      <c r="AF504" s="93">
        <v>0.0</v>
      </c>
    </row>
    <row r="505">
      <c r="A505" s="86">
        <v>2017.0</v>
      </c>
      <c r="B505" s="87">
        <v>3.0</v>
      </c>
      <c r="C505" s="88" t="s">
        <v>26</v>
      </c>
      <c r="D505" s="93">
        <v>9843.0</v>
      </c>
      <c r="E505" s="32"/>
      <c r="F505" s="32"/>
      <c r="G505" s="93">
        <v>-452.14</v>
      </c>
      <c r="H505" s="93">
        <v>2606.98</v>
      </c>
      <c r="I505" s="32"/>
      <c r="J505" s="93">
        <v>11509.06</v>
      </c>
      <c r="K505" s="32"/>
      <c r="L505" s="32"/>
      <c r="M505" s="32"/>
      <c r="N505" s="32"/>
      <c r="O505" s="93">
        <v>311991.0</v>
      </c>
      <c r="P505" s="91">
        <f>IFERROR(__xludf.DUMMYFUNCTION("IFERROR(sum(FILTER($D:$N,$C:$C = $C505,$A:$A &lt; $A505,$B:$B = 12)),0) + sum($D505:$N505)"),311989.58999999997)</f>
        <v>311989.59</v>
      </c>
      <c r="Q505" s="92">
        <f t="shared" si="1"/>
        <v>1.41</v>
      </c>
      <c r="R505" s="91">
        <f t="array" ref="R505">IFERROR(INDEX('Fund YTD Target Values'!$1:$1000, MATCH($C505,'Fund YTD Target Values'!$A:$A,0), MATCH($A505,'Fund YTD Target Values'!$1:$1,0)),0)</f>
        <v>351339.7985</v>
      </c>
      <c r="S505" s="91">
        <f>IFERROR(__xludf.DUMMYFUNCTION("IFERROR(sum(FILTER('Fund Investment Data'!$V:$V, 'Fund Investment Data'!$C:$C = $C505, 'Fund Investment Data'!$A:$A &lt; $A505)),0) + IFERROR(sum(FILTER('Fund Investment Data'!$V:$V, 'Fund Investment Data'!$C:$C = $C505, 'Fund Investment Data'!$A:$A = $A505,"&amp;" 'Fund Investment Data'!$B:$B &lt;= $B505)),0)"),291810.0)</f>
        <v>291810</v>
      </c>
      <c r="T505" s="93">
        <v>291811.0</v>
      </c>
      <c r="U505" s="32">
        <f t="shared" si="3"/>
        <v>-1</v>
      </c>
      <c r="V505" s="32">
        <f>IFERROR(__xludf.DUMMYFUNCTION("$D505 - IFERROR(FILTER($D:$D,$C:$C = $C505, $A:$A = $A505, $B:$B = $B505 - 1),0)"),0.0)</f>
        <v>0</v>
      </c>
      <c r="W505" s="93">
        <f>IFERROR(__xludf.DUMMYFUNCTION("$E505 - IFERROR(FILTER($E:$E,$C:$C = $C505, $A:$A = $A505, $B:$B = $B505 - 1),0)"),0.0)</f>
        <v>0</v>
      </c>
      <c r="X505" s="93"/>
      <c r="Y505" s="93"/>
      <c r="Z505" s="93">
        <v>0.0</v>
      </c>
      <c r="AA505" s="93">
        <v>0.0</v>
      </c>
      <c r="AB505" s="93">
        <v>0.0</v>
      </c>
      <c r="AC505" s="93"/>
      <c r="AD505" s="93">
        <v>0.0</v>
      </c>
      <c r="AE505" s="32">
        <f t="shared" si="2"/>
        <v>0</v>
      </c>
      <c r="AF505" s="93">
        <v>0.0</v>
      </c>
    </row>
    <row r="506">
      <c r="A506" s="86">
        <v>2017.0</v>
      </c>
      <c r="B506" s="87">
        <v>3.0</v>
      </c>
      <c r="C506" s="88" t="s">
        <v>27</v>
      </c>
      <c r="D506" s="32"/>
      <c r="E506" s="32"/>
      <c r="F506" s="32"/>
      <c r="G506" s="93">
        <v>-431.59</v>
      </c>
      <c r="H506" s="93">
        <v>2536.24</v>
      </c>
      <c r="I506" s="32"/>
      <c r="J506" s="93">
        <v>11212.1</v>
      </c>
      <c r="K506" s="32"/>
      <c r="L506" s="32"/>
      <c r="M506" s="32"/>
      <c r="N506" s="32"/>
      <c r="O506" s="93">
        <v>294830.0</v>
      </c>
      <c r="P506" s="91">
        <f>IFERROR(__xludf.DUMMYFUNCTION("IFERROR(sum(FILTER($D:$N,$C:$C = $C506,$A:$A &lt; $A506,$B:$B = 12)),0) + sum($D506:$N506)"),294829.9100000001)</f>
        <v>294829.91</v>
      </c>
      <c r="Q506" s="92">
        <f t="shared" si="1"/>
        <v>0.08999999991</v>
      </c>
      <c r="R506" s="91">
        <f t="array" ref="R506">IFERROR(INDEX('Fund YTD Target Values'!$1:$1000, MATCH($C506,'Fund YTD Target Values'!$A:$A,0), MATCH($A506,'Fund YTD Target Values'!$1:$1,0)),0)</f>
        <v>383919.6363</v>
      </c>
      <c r="S506" s="91">
        <f>IFERROR(__xludf.DUMMYFUNCTION("IFERROR(sum(FILTER('Fund Investment Data'!$V:$V, 'Fund Investment Data'!$C:$C = $C506, 'Fund Investment Data'!$A:$A &lt; $A506)),0) + IFERROR(sum(FILTER('Fund Investment Data'!$V:$V, 'Fund Investment Data'!$C:$C = $C506, 'Fund Investment Data'!$A:$A = $A506,"&amp;" 'Fund Investment Data'!$B:$B &lt;= $B506)),0)"),276213.69999999995)</f>
        <v>276213.7</v>
      </c>
      <c r="T506" s="93">
        <v>272248.0</v>
      </c>
      <c r="U506" s="32">
        <f t="shared" si="3"/>
        <v>3965.7</v>
      </c>
      <c r="V506" s="32">
        <f>IFERROR(__xludf.DUMMYFUNCTION("$D506 - IFERROR(FILTER($D:$D,$C:$C = $C506, $A:$A = $A506, $B:$B = $B506 - 1),0)"),0.0)</f>
        <v>0</v>
      </c>
      <c r="W506" s="93">
        <f>IFERROR(__xludf.DUMMYFUNCTION("$E506 - IFERROR(FILTER($E:$E,$C:$C = $C506, $A:$A = $A506, $B:$B = $B506 - 1),0)"),0.0)</f>
        <v>0</v>
      </c>
      <c r="X506" s="93"/>
      <c r="Y506" s="93"/>
      <c r="Z506" s="93">
        <v>0.0</v>
      </c>
      <c r="AA506" s="93">
        <v>0.0</v>
      </c>
      <c r="AB506" s="93">
        <v>0.0</v>
      </c>
      <c r="AC506" s="93"/>
      <c r="AD506" s="93">
        <v>0.0</v>
      </c>
      <c r="AE506" s="32">
        <f t="shared" si="2"/>
        <v>0</v>
      </c>
      <c r="AF506" s="93">
        <v>0.0</v>
      </c>
    </row>
    <row r="507">
      <c r="A507" s="86">
        <v>2017.0</v>
      </c>
      <c r="B507" s="87">
        <v>3.0</v>
      </c>
      <c r="C507" s="88" t="s">
        <v>28</v>
      </c>
      <c r="D507" s="32"/>
      <c r="E507" s="32"/>
      <c r="F507" s="32"/>
      <c r="G507" s="93">
        <v>-4689.57</v>
      </c>
      <c r="H507" s="93">
        <v>27623.0</v>
      </c>
      <c r="I507" s="32"/>
      <c r="J507" s="93">
        <v>122138.42</v>
      </c>
      <c r="K507" s="32"/>
      <c r="L507" s="32"/>
      <c r="M507" s="32"/>
      <c r="N507" s="32"/>
      <c r="O507" s="93">
        <v>3203706.0</v>
      </c>
      <c r="P507" s="91">
        <f>IFERROR(__xludf.DUMMYFUNCTION("IFERROR(sum(FILTER($D:$N,$C:$C = $C507,$A:$A &lt; $A507,$B:$B = 12)),0) + sum($D507:$N507)"),3203705.13)</f>
        <v>3203705.13</v>
      </c>
      <c r="Q507" s="92">
        <f t="shared" si="1"/>
        <v>0.8700000001</v>
      </c>
      <c r="R507" s="91">
        <f t="array" ref="R507">IFERROR(INDEX('Fund YTD Target Values'!$1:$1000, MATCH($C507,'Fund YTD Target Values'!$A:$A,0), MATCH($A507,'Fund YTD Target Values'!$1:$1,0)),0)</f>
        <v>3748913.384</v>
      </c>
      <c r="S507" s="91">
        <f>IFERROR(__xludf.DUMMYFUNCTION("IFERROR(sum(FILTER('Fund Investment Data'!$V:$V, 'Fund Investment Data'!$C:$C = $C507, 'Fund Investment Data'!$A:$A &lt; $A507)),0) + IFERROR(sum(FILTER('Fund Investment Data'!$V:$V, 'Fund Investment Data'!$C:$C = $C507, 'Fund Investment Data'!$A:$A = $A507,"&amp;" 'Fund Investment Data'!$B:$B &lt;= $B507)),0)"),2960091.25)</f>
        <v>2960091.25</v>
      </c>
      <c r="T507" s="93">
        <v>3009816.0</v>
      </c>
      <c r="U507" s="32">
        <f t="shared" si="3"/>
        <v>-49724.75</v>
      </c>
      <c r="V507" s="32">
        <f>IFERROR(__xludf.DUMMYFUNCTION("$D507 - IFERROR(FILTER($D:$D,$C:$C = $C507, $A:$A = $A507, $B:$B = $B507 - 1),0)"),0.0)</f>
        <v>0</v>
      </c>
      <c r="W507" s="93">
        <f>IFERROR(__xludf.DUMMYFUNCTION("$E507 - IFERROR(FILTER($E:$E,$C:$C = $C507, $A:$A = $A507, $B:$B = $B507 - 1),0)"),0.0)</f>
        <v>0</v>
      </c>
      <c r="X507" s="93"/>
      <c r="Y507" s="93"/>
      <c r="Z507" s="93">
        <v>0.0</v>
      </c>
      <c r="AA507" s="93">
        <v>0.0</v>
      </c>
      <c r="AB507" s="93">
        <v>0.0</v>
      </c>
      <c r="AC507" s="93"/>
      <c r="AD507" s="93">
        <v>0.0</v>
      </c>
      <c r="AE507" s="32">
        <f t="shared" si="2"/>
        <v>0</v>
      </c>
      <c r="AF507" s="93">
        <v>0.0</v>
      </c>
    </row>
    <row r="508">
      <c r="A508" s="86">
        <v>2017.0</v>
      </c>
      <c r="B508" s="87">
        <v>3.0</v>
      </c>
      <c r="C508" s="88" t="s">
        <v>46</v>
      </c>
      <c r="D508" s="32"/>
      <c r="E508" s="32"/>
      <c r="F508" s="32"/>
      <c r="G508" s="93">
        <v>-585.49</v>
      </c>
      <c r="H508" s="93">
        <v>3445.47</v>
      </c>
      <c r="I508" s="32"/>
      <c r="J508" s="93">
        <v>15235.06</v>
      </c>
      <c r="K508" s="32"/>
      <c r="L508" s="32"/>
      <c r="M508" s="32"/>
      <c r="N508" s="32"/>
      <c r="O508" s="93">
        <v>399975.0</v>
      </c>
      <c r="P508" s="91">
        <f>IFERROR(__xludf.DUMMYFUNCTION("IFERROR(sum(FILTER($D:$N,$C:$C = $C508,$A:$A &lt; $A508,$B:$B = 12)),0) + sum($D508:$N508)"),399975.59)</f>
        <v>399975.59</v>
      </c>
      <c r="Q508" s="92">
        <f t="shared" si="1"/>
        <v>-0.59</v>
      </c>
      <c r="R508" s="91">
        <f t="array" ref="R508">IFERROR(INDEX('Fund YTD Target Values'!$1:$1000, MATCH($C508,'Fund YTD Target Values'!$A:$A,0), MATCH($A508,'Fund YTD Target Values'!$1:$1,0)),0)</f>
        <v>445660.8761</v>
      </c>
      <c r="S508" s="91">
        <f>IFERROR(__xludf.DUMMYFUNCTION("IFERROR(sum(FILTER('Fund Investment Data'!$V:$V, 'Fund Investment Data'!$C:$C = $C508, 'Fund Investment Data'!$A:$A &lt; $A508)),0) + IFERROR(sum(FILTER('Fund Investment Data'!$V:$V, 'Fund Investment Data'!$C:$C = $C508, 'Fund Investment Data'!$A:$A = $A508,"&amp;" 'Fund Investment Data'!$B:$B &lt;= $B508)),0)"),366400.0)</f>
        <v>366400</v>
      </c>
      <c r="T508" s="93">
        <v>366400.0</v>
      </c>
      <c r="U508" s="32">
        <f t="shared" si="3"/>
        <v>0</v>
      </c>
      <c r="V508" s="32">
        <f>IFERROR(__xludf.DUMMYFUNCTION("$D508 - IFERROR(FILTER($D:$D,$C:$C = $C508, $A:$A = $A508, $B:$B = $B508 - 1),0)"),0.0)</f>
        <v>0</v>
      </c>
      <c r="W508" s="93">
        <f>IFERROR(__xludf.DUMMYFUNCTION("$E508 - IFERROR(FILTER($E:$E,$C:$C = $C508, $A:$A = $A508, $B:$B = $B508 - 1),0)"),0.0)</f>
        <v>0</v>
      </c>
      <c r="X508" s="93"/>
      <c r="Y508" s="93"/>
      <c r="Z508" s="93">
        <v>0.0</v>
      </c>
      <c r="AA508" s="93">
        <v>0.0</v>
      </c>
      <c r="AB508" s="93">
        <v>0.0</v>
      </c>
      <c r="AC508" s="93"/>
      <c r="AD508" s="93">
        <v>0.0</v>
      </c>
      <c r="AE508" s="32">
        <f t="shared" si="2"/>
        <v>0</v>
      </c>
      <c r="AF508" s="93">
        <v>0.0</v>
      </c>
    </row>
    <row r="509">
      <c r="A509" s="86">
        <v>2017.0</v>
      </c>
      <c r="B509" s="87">
        <v>3.0</v>
      </c>
      <c r="C509" s="88" t="s">
        <v>36</v>
      </c>
      <c r="D509" s="32"/>
      <c r="E509" s="32"/>
      <c r="F509" s="32"/>
      <c r="G509" s="93">
        <v>-641.49</v>
      </c>
      <c r="H509" s="93">
        <v>3769.61</v>
      </c>
      <c r="I509" s="32"/>
      <c r="J509" s="93">
        <v>16664.49</v>
      </c>
      <c r="K509" s="32"/>
      <c r="L509" s="32"/>
      <c r="M509" s="32"/>
      <c r="N509" s="32"/>
      <c r="O509" s="93">
        <v>438203.0</v>
      </c>
      <c r="P509" s="91">
        <f>IFERROR(__xludf.DUMMYFUNCTION("IFERROR(sum(FILTER($D:$N,$C:$C = $C509,$A:$A &lt; $A509,$B:$B = 12)),0) + sum($D509:$N509)"),438203.03)</f>
        <v>438203.03</v>
      </c>
      <c r="Q509" s="92">
        <f t="shared" si="1"/>
        <v>-0.03000000003</v>
      </c>
      <c r="R509" s="91">
        <f t="array" ref="R509">IFERROR(INDEX('Fund YTD Target Values'!$1:$1000, MATCH($C509,'Fund YTD Target Values'!$A:$A,0), MATCH($A509,'Fund YTD Target Values'!$1:$1,0)),0)</f>
        <v>620333.8441</v>
      </c>
      <c r="S509" s="91">
        <f>IFERROR(__xludf.DUMMYFUNCTION("IFERROR(sum(FILTER('Fund Investment Data'!$V:$V, 'Fund Investment Data'!$C:$C = $C509, 'Fund Investment Data'!$A:$A &lt; $A509)),0) + IFERROR(sum(FILTER('Fund Investment Data'!$V:$V, 'Fund Investment Data'!$C:$C = $C509, 'Fund Investment Data'!$A:$A = $A509,"&amp;" 'Fund Investment Data'!$B:$B &lt;= $B509)),0)"),429067.24)</f>
        <v>429067.24</v>
      </c>
      <c r="T509" s="93">
        <v>413959.0</v>
      </c>
      <c r="U509" s="32">
        <f t="shared" si="3"/>
        <v>15108.24</v>
      </c>
      <c r="V509" s="32">
        <f>IFERROR(__xludf.DUMMYFUNCTION("$D509 - IFERROR(FILTER($D:$D,$C:$C = $C509, $A:$A = $A509, $B:$B = $B509 - 1),0)"),0.0)</f>
        <v>0</v>
      </c>
      <c r="W509" s="93">
        <f>IFERROR(__xludf.DUMMYFUNCTION("$E509 - IFERROR(FILTER($E:$E,$C:$C = $C509, $A:$A = $A509, $B:$B = $B509 - 1),0)"),0.0)</f>
        <v>0</v>
      </c>
      <c r="X509" s="93"/>
      <c r="Y509" s="93"/>
      <c r="Z509" s="93">
        <v>0.0</v>
      </c>
      <c r="AA509" s="93">
        <v>0.0</v>
      </c>
      <c r="AB509" s="93">
        <v>0.0</v>
      </c>
      <c r="AC509" s="93"/>
      <c r="AD509" s="93">
        <v>0.0</v>
      </c>
      <c r="AE509" s="32">
        <f t="shared" si="2"/>
        <v>0</v>
      </c>
      <c r="AF509" s="93">
        <v>0.0</v>
      </c>
    </row>
    <row r="510">
      <c r="A510" s="86">
        <v>2017.0</v>
      </c>
      <c r="B510" s="87">
        <v>3.0</v>
      </c>
      <c r="C510" s="88" t="s">
        <v>37</v>
      </c>
      <c r="D510" s="32"/>
      <c r="E510" s="32"/>
      <c r="F510" s="32"/>
      <c r="G510" s="93">
        <v>-1205.68</v>
      </c>
      <c r="H510" s="93">
        <v>7102.05</v>
      </c>
      <c r="I510" s="32"/>
      <c r="J510" s="93">
        <v>31401.7</v>
      </c>
      <c r="K510" s="32"/>
      <c r="L510" s="32"/>
      <c r="M510" s="32"/>
      <c r="N510" s="32"/>
      <c r="O510" s="93">
        <v>823669.0</v>
      </c>
      <c r="P510" s="91">
        <f>IFERROR(__xludf.DUMMYFUNCTION("IFERROR(sum(FILTER($D:$N,$C:$C = $C510,$A:$A &lt; $A510,$B:$B = 12)),0) + sum($D510:$N510)"),823669.08)</f>
        <v>823669.08</v>
      </c>
      <c r="Q510" s="92">
        <f t="shared" si="1"/>
        <v>-0.07999999996</v>
      </c>
      <c r="R510" s="91">
        <f t="array" ref="R510">IFERROR(INDEX('Fund YTD Target Values'!$1:$1000, MATCH($C510,'Fund YTD Target Values'!$A:$A,0), MATCH($A510,'Fund YTD Target Values'!$1:$1,0)),0)</f>
        <v>825458.0276</v>
      </c>
      <c r="S510" s="91">
        <f>IFERROR(__xludf.DUMMYFUNCTION("IFERROR(sum(FILTER('Fund Investment Data'!$V:$V, 'Fund Investment Data'!$C:$C = $C510, 'Fund Investment Data'!$A:$A &lt; $A510)),0) + IFERROR(sum(FILTER('Fund Investment Data'!$V:$V, 'Fund Investment Data'!$C:$C = $C510, 'Fund Investment Data'!$A:$A = $A510,"&amp;" 'Fund Investment Data'!$B:$B &lt;= $B510)),0)"),758137.86)</f>
        <v>758137.86</v>
      </c>
      <c r="T510" s="93">
        <v>742866.0</v>
      </c>
      <c r="U510" s="32">
        <f t="shared" si="3"/>
        <v>15271.86</v>
      </c>
      <c r="V510" s="32">
        <f>IFERROR(__xludf.DUMMYFUNCTION("$D510 - IFERROR(FILTER($D:$D,$C:$C = $C510, $A:$A = $A510, $B:$B = $B510 - 1),0)"),0.0)</f>
        <v>0</v>
      </c>
      <c r="W510" s="93">
        <f>IFERROR(__xludf.DUMMYFUNCTION("$E510 - IFERROR(FILTER($E:$E,$C:$C = $C510, $A:$A = $A510, $B:$B = $B510 - 1),0)"),0.0)</f>
        <v>0</v>
      </c>
      <c r="X510" s="93"/>
      <c r="Y510" s="93"/>
      <c r="Z510" s="93">
        <v>0.0</v>
      </c>
      <c r="AA510" s="93">
        <v>0.0</v>
      </c>
      <c r="AB510" s="93">
        <v>0.0</v>
      </c>
      <c r="AC510" s="93"/>
      <c r="AD510" s="93">
        <v>0.0</v>
      </c>
      <c r="AE510" s="32">
        <f t="shared" si="2"/>
        <v>0</v>
      </c>
      <c r="AF510" s="93">
        <v>0.0</v>
      </c>
    </row>
    <row r="511">
      <c r="A511" s="86">
        <v>2017.0</v>
      </c>
      <c r="B511" s="87">
        <v>3.0</v>
      </c>
      <c r="C511" s="88" t="s">
        <v>29</v>
      </c>
      <c r="D511" s="32"/>
      <c r="E511" s="32"/>
      <c r="F511" s="32"/>
      <c r="G511" s="93">
        <v>-81.58</v>
      </c>
      <c r="H511" s="93">
        <v>479.42</v>
      </c>
      <c r="I511" s="32"/>
      <c r="J511" s="93">
        <v>2119.38</v>
      </c>
      <c r="K511" s="32"/>
      <c r="L511" s="32"/>
      <c r="M511" s="32"/>
      <c r="N511" s="32"/>
      <c r="O511" s="93">
        <v>55730.0</v>
      </c>
      <c r="P511" s="91">
        <f>IFERROR(__xludf.DUMMYFUNCTION("IFERROR(sum(FILTER($D:$N,$C:$C = $C511,$A:$A &lt; $A511,$B:$B = 12)),0) + sum($D511:$N511)"),55730.309999999925)</f>
        <v>55730.31</v>
      </c>
      <c r="Q511" s="92">
        <f t="shared" si="1"/>
        <v>-0.3099999999</v>
      </c>
      <c r="R511" s="91">
        <f t="array" ref="R511">IFERROR(INDEX('Fund YTD Target Values'!$1:$1000, MATCH($C511,'Fund YTD Target Values'!$A:$A,0), MATCH($A511,'Fund YTD Target Values'!$1:$1,0)),0)</f>
        <v>75218.58778</v>
      </c>
      <c r="S511" s="91">
        <f>IFERROR(__xludf.DUMMYFUNCTION("IFERROR(sum(FILTER('Fund Investment Data'!$V:$V, 'Fund Investment Data'!$C:$C = $C511, 'Fund Investment Data'!$A:$A &lt; $A511)),0) + IFERROR(sum(FILTER('Fund Investment Data'!$V:$V, 'Fund Investment Data'!$C:$C = $C511, 'Fund Investment Data'!$A:$A = $A511,"&amp;" 'Fund Investment Data'!$B:$B &lt;= $B511)),0)"),50000.0)</f>
        <v>50000</v>
      </c>
      <c r="T511" s="93">
        <v>50000.0</v>
      </c>
      <c r="U511" s="32">
        <f t="shared" si="3"/>
        <v>0</v>
      </c>
      <c r="V511" s="32">
        <f>IFERROR(__xludf.DUMMYFUNCTION("$D511 - IFERROR(FILTER($D:$D,$C:$C = $C511, $A:$A = $A511, $B:$B = $B511 - 1),0)"),0.0)</f>
        <v>0</v>
      </c>
      <c r="W511" s="93">
        <f>IFERROR(__xludf.DUMMYFUNCTION("$E511 - IFERROR(FILTER($E:$E,$C:$C = $C511, $A:$A = $A511, $B:$B = $B511 - 1),0)"),0.0)</f>
        <v>0</v>
      </c>
      <c r="X511" s="93"/>
      <c r="Y511" s="93"/>
      <c r="Z511" s="93">
        <v>0.0</v>
      </c>
      <c r="AA511" s="93">
        <v>0.0</v>
      </c>
      <c r="AB511" s="93">
        <v>0.0</v>
      </c>
      <c r="AC511" s="93"/>
      <c r="AD511" s="93">
        <v>0.0</v>
      </c>
      <c r="AE511" s="32">
        <f t="shared" si="2"/>
        <v>0</v>
      </c>
      <c r="AF511" s="93">
        <v>0.0</v>
      </c>
    </row>
    <row r="512">
      <c r="A512" s="86">
        <v>2017.0</v>
      </c>
      <c r="B512" s="87">
        <v>3.0</v>
      </c>
      <c r="C512" s="88" t="s">
        <v>38</v>
      </c>
      <c r="D512" s="32"/>
      <c r="E512" s="32"/>
      <c r="F512" s="32"/>
      <c r="G512" s="93">
        <v>-1100.32</v>
      </c>
      <c r="H512" s="93">
        <v>6481.17</v>
      </c>
      <c r="I512" s="32"/>
      <c r="J512" s="93">
        <v>28657.52</v>
      </c>
      <c r="K512" s="32"/>
      <c r="L512" s="32"/>
      <c r="M512" s="32"/>
      <c r="N512" s="32"/>
      <c r="O512" s="93">
        <v>751690.0</v>
      </c>
      <c r="P512" s="91">
        <f>IFERROR(__xludf.DUMMYFUNCTION("IFERROR(sum(FILTER($D:$N,$C:$C = $C512,$A:$A &lt; $A512,$B:$B = 12)),0) + sum($D512:$N512)"),751689.3399999999)</f>
        <v>751689.34</v>
      </c>
      <c r="Q512" s="92">
        <f t="shared" si="1"/>
        <v>0.6600000001</v>
      </c>
      <c r="R512" s="91">
        <f t="array" ref="R512">IFERROR(INDEX('Fund YTD Target Values'!$1:$1000, MATCH($C512,'Fund YTD Target Values'!$A:$A,0), MATCH($A512,'Fund YTD Target Values'!$1:$1,0)),0)</f>
        <v>685763.9306</v>
      </c>
      <c r="S512" s="91">
        <f>IFERROR(__xludf.DUMMYFUNCTION("IFERROR(sum(FILTER('Fund Investment Data'!$V:$V, 'Fund Investment Data'!$C:$C = $C512, 'Fund Investment Data'!$A:$A &lt; $A512)),0) + IFERROR(sum(FILTER('Fund Investment Data'!$V:$V, 'Fund Investment Data'!$C:$C = $C512, 'Fund Investment Data'!$A:$A = $A512,"&amp;" 'Fund Investment Data'!$B:$B &lt;= $B512)),0)"),556601.64)</f>
        <v>556601.64</v>
      </c>
      <c r="T512" s="93">
        <v>558656.0</v>
      </c>
      <c r="U512" s="32">
        <f t="shared" si="3"/>
        <v>-2054.36</v>
      </c>
      <c r="V512" s="32">
        <f>IFERROR(__xludf.DUMMYFUNCTION("$D512 - IFERROR(FILTER($D:$D,$C:$C = $C512, $A:$A = $A512, $B:$B = $B512 - 1),0)"),0.0)</f>
        <v>0</v>
      </c>
      <c r="W512" s="93">
        <f>IFERROR(__xludf.DUMMYFUNCTION("$E512 - IFERROR(FILTER($E:$E,$C:$C = $C512, $A:$A = $A512, $B:$B = $B512 - 1),0)"),0.0)</f>
        <v>0</v>
      </c>
      <c r="X512" s="93"/>
      <c r="Y512" s="93"/>
      <c r="Z512" s="93">
        <v>0.0</v>
      </c>
      <c r="AA512" s="93">
        <v>0.0</v>
      </c>
      <c r="AB512" s="93">
        <v>0.0</v>
      </c>
      <c r="AC512" s="93"/>
      <c r="AD512" s="93">
        <v>0.0</v>
      </c>
      <c r="AE512" s="32">
        <f t="shared" si="2"/>
        <v>0</v>
      </c>
      <c r="AF512" s="93">
        <v>0.0</v>
      </c>
    </row>
    <row r="513">
      <c r="A513" s="86">
        <v>2017.0</v>
      </c>
      <c r="B513" s="87">
        <v>3.0</v>
      </c>
      <c r="C513" s="88" t="s">
        <v>30</v>
      </c>
      <c r="D513" s="32"/>
      <c r="E513" s="32"/>
      <c r="F513" s="32"/>
      <c r="G513" s="93">
        <v>-23.27</v>
      </c>
      <c r="H513" s="93">
        <v>130.88</v>
      </c>
      <c r="I513" s="32"/>
      <c r="J513" s="93">
        <v>576.02</v>
      </c>
      <c r="K513" s="32"/>
      <c r="L513" s="32"/>
      <c r="M513" s="32"/>
      <c r="N513" s="32"/>
      <c r="O513" s="93">
        <v>15883.0</v>
      </c>
      <c r="P513" s="91">
        <f>IFERROR(__xludf.DUMMYFUNCTION("IFERROR(sum(FILTER($D:$N,$C:$C = $C513,$A:$A &lt; $A513,$B:$B = 12)),0) + sum($D513:$N513)"),15880.919999999987)</f>
        <v>15880.92</v>
      </c>
      <c r="Q513" s="92">
        <f t="shared" si="1"/>
        <v>2.08</v>
      </c>
      <c r="R513" s="91">
        <f t="array" ref="R513">IFERROR(INDEX('Fund YTD Target Values'!$1:$1000, MATCH($C513,'Fund YTD Target Values'!$A:$A,0), MATCH($A513,'Fund YTD Target Values'!$1:$1,0)),0)</f>
        <v>18043.81747</v>
      </c>
      <c r="S513" s="91">
        <f>IFERROR(__xludf.DUMMYFUNCTION("IFERROR(sum(FILTER('Fund Investment Data'!$V:$V, 'Fund Investment Data'!$C:$C = $C513, 'Fund Investment Data'!$A:$A &lt; $A513)),0) + IFERROR(sum(FILTER('Fund Investment Data'!$V:$V, 'Fund Investment Data'!$C:$C = $C513, 'Fund Investment Data'!$A:$A = $A513,"&amp;" 'Fund Investment Data'!$B:$B &lt;= $B513)),0)"),11540.75)</f>
        <v>11540.75</v>
      </c>
      <c r="T513" s="93">
        <v>10000.0</v>
      </c>
      <c r="U513" s="32">
        <f t="shared" si="3"/>
        <v>1540.75</v>
      </c>
      <c r="V513" s="32">
        <f>IFERROR(__xludf.DUMMYFUNCTION("$D513 - IFERROR(FILTER($D:$D,$C:$C = $C513, $A:$A = $A513, $B:$B = $B513 - 1),0)"),0.0)</f>
        <v>0</v>
      </c>
      <c r="W513" s="93">
        <f>IFERROR(__xludf.DUMMYFUNCTION("$E513 - IFERROR(FILTER($E:$E,$C:$C = $C513, $A:$A = $A513, $B:$B = $B513 - 1),0)"),0.0)</f>
        <v>0</v>
      </c>
      <c r="X513" s="93"/>
      <c r="Y513" s="93"/>
      <c r="Z513" s="93">
        <v>0.0</v>
      </c>
      <c r="AA513" s="93">
        <v>0.0</v>
      </c>
      <c r="AB513" s="93">
        <v>0.0</v>
      </c>
      <c r="AC513" s="93"/>
      <c r="AD513" s="93">
        <v>0.0</v>
      </c>
      <c r="AE513" s="32">
        <f t="shared" si="2"/>
        <v>0</v>
      </c>
      <c r="AF513" s="93">
        <v>0.0</v>
      </c>
    </row>
    <row r="514">
      <c r="A514" s="86">
        <v>2017.0</v>
      </c>
      <c r="B514" s="87">
        <v>3.0</v>
      </c>
      <c r="C514" s="88" t="s">
        <v>47</v>
      </c>
      <c r="D514" s="32"/>
      <c r="E514" s="32"/>
      <c r="F514" s="32"/>
      <c r="G514" s="93">
        <v>-2106.84</v>
      </c>
      <c r="H514" s="93">
        <v>12380.67</v>
      </c>
      <c r="I514" s="32"/>
      <c r="J514" s="93">
        <v>54731.91</v>
      </c>
      <c r="K514" s="32"/>
      <c r="L514" s="32"/>
      <c r="M514" s="32"/>
      <c r="N514" s="32"/>
      <c r="O514" s="93">
        <v>1439211.0</v>
      </c>
      <c r="P514" s="91">
        <f>IFERROR(__xludf.DUMMYFUNCTION("IFERROR(sum(FILTER($D:$N,$C:$C = $C514,$A:$A &lt; $A514,$B:$B = 12)),0) + sum($D514:$N514)"),1439211.0699999996)</f>
        <v>1439211.07</v>
      </c>
      <c r="Q514" s="92">
        <f t="shared" si="1"/>
        <v>-0.0699999996</v>
      </c>
      <c r="R514" s="91">
        <f t="array" ref="R514">IFERROR(INDEX('Fund YTD Target Values'!$1:$1000, MATCH($C514,'Fund YTD Target Values'!$A:$A,0), MATCH($A514,'Fund YTD Target Values'!$1:$1,0)),0)</f>
        <v>1951070.709</v>
      </c>
      <c r="S514" s="91">
        <f>IFERROR(__xludf.DUMMYFUNCTION("IFERROR(sum(FILTER('Fund Investment Data'!$V:$V, 'Fund Investment Data'!$C:$C = $C514, 'Fund Investment Data'!$A:$A &lt; $A514)),0) + IFERROR(sum(FILTER('Fund Investment Data'!$V:$V, 'Fund Investment Data'!$C:$C = $C514, 'Fund Investment Data'!$A:$A = $A514,"&amp;" 'Fund Investment Data'!$B:$B &lt;= $B514)),0)"),1446367.46)</f>
        <v>1446367.46</v>
      </c>
      <c r="T514" s="93">
        <v>1348955.0</v>
      </c>
      <c r="U514" s="32">
        <f t="shared" si="3"/>
        <v>97412.46</v>
      </c>
      <c r="V514" s="32">
        <f>IFERROR(__xludf.DUMMYFUNCTION("$D514 - IFERROR(FILTER($D:$D,$C:$C = $C514, $A:$A = $A514, $B:$B = $B514 - 1),0)"),0.0)</f>
        <v>0</v>
      </c>
      <c r="W514" s="93">
        <f>IFERROR(__xludf.DUMMYFUNCTION("$E514 - IFERROR(FILTER($E:$E,$C:$C = $C514, $A:$A = $A514, $B:$B = $B514 - 1),0)"),0.0)</f>
        <v>0</v>
      </c>
      <c r="X514" s="93"/>
      <c r="Y514" s="93"/>
      <c r="Z514" s="93">
        <v>0.0</v>
      </c>
      <c r="AA514" s="93">
        <v>0.0</v>
      </c>
      <c r="AB514" s="93">
        <v>0.0</v>
      </c>
      <c r="AC514" s="93"/>
      <c r="AD514" s="93">
        <v>0.0</v>
      </c>
      <c r="AE514" s="32">
        <f t="shared" si="2"/>
        <v>0</v>
      </c>
      <c r="AF514" s="93">
        <v>0.0</v>
      </c>
    </row>
    <row r="515">
      <c r="A515" s="86">
        <v>2017.0</v>
      </c>
      <c r="B515" s="87">
        <v>3.0</v>
      </c>
      <c r="C515" s="88" t="s">
        <v>31</v>
      </c>
      <c r="D515" s="93">
        <v>1250.0</v>
      </c>
      <c r="E515" s="32"/>
      <c r="F515" s="32"/>
      <c r="G515" s="93">
        <v>-265.08</v>
      </c>
      <c r="H515" s="93">
        <v>1554.77</v>
      </c>
      <c r="I515" s="32"/>
      <c r="J515" s="93">
        <v>6871.65</v>
      </c>
      <c r="K515" s="32"/>
      <c r="L515" s="32"/>
      <c r="M515" s="32"/>
      <c r="N515" s="32"/>
      <c r="O515" s="93">
        <v>181656.0</v>
      </c>
      <c r="P515" s="91">
        <f>IFERROR(__xludf.DUMMYFUNCTION("IFERROR(sum(FILTER($D:$N,$C:$C = $C515,$A:$A &lt; $A515,$B:$B = 12)),0) + sum($D515:$N515)"),181655.88000000003)</f>
        <v>181655.88</v>
      </c>
      <c r="Q515" s="92">
        <f t="shared" si="1"/>
        <v>0.12</v>
      </c>
      <c r="R515" s="91">
        <f t="array" ref="R515">IFERROR(INDEX('Fund YTD Target Values'!$1:$1000, MATCH($C515,'Fund YTD Target Values'!$A:$A,0), MATCH($A515,'Fund YTD Target Values'!$1:$1,0)),0)</f>
        <v>205534.6031</v>
      </c>
      <c r="S515" s="91">
        <f>IFERROR(__xludf.DUMMYFUNCTION("IFERROR(sum(FILTER('Fund Investment Data'!$V:$V, 'Fund Investment Data'!$C:$C = $C515, 'Fund Investment Data'!$A:$A &lt; $A515)),0) + IFERROR(sum(FILTER('Fund Investment Data'!$V:$V, 'Fund Investment Data'!$C:$C = $C515, 'Fund Investment Data'!$A:$A = $A515,"&amp;" 'Fund Investment Data'!$B:$B &lt;= $B515)),0)"),158100.0)</f>
        <v>158100</v>
      </c>
      <c r="T515" s="93">
        <v>156850.0</v>
      </c>
      <c r="U515" s="32">
        <f t="shared" si="3"/>
        <v>1250</v>
      </c>
      <c r="V515" s="32">
        <f>IFERROR(__xludf.DUMMYFUNCTION("$D515 - IFERROR(FILTER($D:$D,$C:$C = $C515, $A:$A = $A515, $B:$B = $B515 - 1),0)"),0.0)</f>
        <v>0</v>
      </c>
      <c r="W515" s="93">
        <f>IFERROR(__xludf.DUMMYFUNCTION("$E515 - IFERROR(FILTER($E:$E,$C:$C = $C515, $A:$A = $A515, $B:$B = $B515 - 1),0)"),0.0)</f>
        <v>0</v>
      </c>
      <c r="X515" s="93"/>
      <c r="Y515" s="93"/>
      <c r="Z515" s="93">
        <v>0.0</v>
      </c>
      <c r="AA515" s="93">
        <v>0.0</v>
      </c>
      <c r="AB515" s="93">
        <v>0.0</v>
      </c>
      <c r="AC515" s="93"/>
      <c r="AD515" s="93">
        <v>0.0</v>
      </c>
      <c r="AE515" s="32">
        <f t="shared" si="2"/>
        <v>0</v>
      </c>
      <c r="AF515" s="93">
        <v>0.0</v>
      </c>
    </row>
    <row r="516">
      <c r="A516" s="86">
        <v>2017.0</v>
      </c>
      <c r="B516" s="87">
        <v>3.0</v>
      </c>
      <c r="C516" s="88" t="s">
        <v>39</v>
      </c>
      <c r="D516" s="32"/>
      <c r="E516" s="32"/>
      <c r="F516" s="32"/>
      <c r="G516" s="93">
        <v>-228.75</v>
      </c>
      <c r="H516" s="93">
        <v>1223.42</v>
      </c>
      <c r="I516" s="32"/>
      <c r="J516" s="93">
        <v>5358.37</v>
      </c>
      <c r="K516" s="32"/>
      <c r="L516" s="32"/>
      <c r="M516" s="32"/>
      <c r="N516" s="32"/>
      <c r="O516" s="93">
        <v>155885.0</v>
      </c>
      <c r="P516" s="91">
        <f>IFERROR(__xludf.DUMMYFUNCTION("IFERROR(sum(FILTER($D:$N,$C:$C = $C516,$A:$A &lt; $A516,$B:$B = 12)),0) + sum($D516:$N516)"),155884.58000000005)</f>
        <v>155884.58</v>
      </c>
      <c r="Q516" s="92">
        <f t="shared" si="1"/>
        <v>0.42</v>
      </c>
      <c r="R516" s="91">
        <f t="array" ref="R516">IFERROR(INDEX('Fund YTD Target Values'!$1:$1000, MATCH($C516,'Fund YTD Target Values'!$A:$A,0), MATCH($A516,'Fund YTD Target Values'!$1:$1,0)),0)</f>
        <v>165832.7472</v>
      </c>
      <c r="S516" s="91">
        <f>IFERROR(__xludf.DUMMYFUNCTION("IFERROR(sum(FILTER('Fund Investment Data'!$V:$V, 'Fund Investment Data'!$C:$C = $C516, 'Fund Investment Data'!$A:$A &lt; $A516)),0) + IFERROR(sum(FILTER('Fund Investment Data'!$V:$V, 'Fund Investment Data'!$C:$C = $C516, 'Fund Investment Data'!$A:$A = $A516,"&amp;" 'Fund Investment Data'!$B:$B &lt;= $B516)),0)"),140000.0)</f>
        <v>140000</v>
      </c>
      <c r="T516" s="93">
        <v>140000.0</v>
      </c>
      <c r="U516" s="32">
        <f t="shared" si="3"/>
        <v>0</v>
      </c>
      <c r="V516" s="32">
        <f>IFERROR(__xludf.DUMMYFUNCTION("$D516 - IFERROR(FILTER($D:$D,$C:$C = $C516, $A:$A = $A516, $B:$B = $B516 - 1),0)"),0.0)</f>
        <v>0</v>
      </c>
      <c r="W516" s="93">
        <f>IFERROR(__xludf.DUMMYFUNCTION("$E516 - IFERROR(FILTER($E:$E,$C:$C = $C516, $A:$A = $A516, $B:$B = $B516 - 1),0)"),0.0)</f>
        <v>0</v>
      </c>
      <c r="X516" s="93"/>
      <c r="Y516" s="93"/>
      <c r="Z516" s="93">
        <v>0.0</v>
      </c>
      <c r="AA516" s="93">
        <v>0.0</v>
      </c>
      <c r="AB516" s="93">
        <v>0.0</v>
      </c>
      <c r="AC516" s="93"/>
      <c r="AD516" s="93">
        <v>0.0</v>
      </c>
      <c r="AE516" s="32">
        <f t="shared" si="2"/>
        <v>0</v>
      </c>
      <c r="AF516" s="93">
        <v>0.0</v>
      </c>
    </row>
    <row r="517">
      <c r="A517" s="86">
        <v>2017.0</v>
      </c>
      <c r="B517" s="87">
        <v>3.0</v>
      </c>
      <c r="C517" s="88" t="s">
        <v>50</v>
      </c>
      <c r="D517" s="32"/>
      <c r="E517" s="32"/>
      <c r="F517" s="32"/>
      <c r="G517" s="93">
        <v>-304.18</v>
      </c>
      <c r="H517" s="93">
        <v>1609.79</v>
      </c>
      <c r="I517" s="32"/>
      <c r="J517" s="93">
        <v>7057.52</v>
      </c>
      <c r="K517" s="32"/>
      <c r="L517" s="32"/>
      <c r="M517" s="32"/>
      <c r="N517" s="32"/>
      <c r="O517" s="93">
        <v>207245.0</v>
      </c>
      <c r="P517" s="91">
        <f>IFERROR(__xludf.DUMMYFUNCTION("IFERROR(sum(FILTER($D:$N,$C:$C = $C517,$A:$A &lt; $A517,$B:$B = 12)),0) + sum($D517:$N517)"),207244.69999999998)</f>
        <v>207244.7</v>
      </c>
      <c r="Q517" s="92">
        <f t="shared" si="1"/>
        <v>0.3</v>
      </c>
      <c r="R517" s="91">
        <f t="array" ref="R517">IFERROR(INDEX('Fund YTD Target Values'!$1:$1000, MATCH($C517,'Fund YTD Target Values'!$A:$A,0), MATCH($A517,'Fund YTD Target Values'!$1:$1,0)),0)</f>
        <v>212473.6146</v>
      </c>
      <c r="S517" s="91">
        <f>IFERROR(__xludf.DUMMYFUNCTION("IFERROR(sum(FILTER('Fund Investment Data'!$V:$V, 'Fund Investment Data'!$C:$C = $C517, 'Fund Investment Data'!$A:$A &lt; $A517)),0) + IFERROR(sum(FILTER('Fund Investment Data'!$V:$V, 'Fund Investment Data'!$C:$C = $C517, 'Fund Investment Data'!$A:$A = $A517,"&amp;" 'Fund Investment Data'!$B:$B &lt;= $B517)),0)"),185189.56)</f>
        <v>185189.56</v>
      </c>
      <c r="T517" s="93">
        <v>190241.0</v>
      </c>
      <c r="U517" s="32">
        <f t="shared" si="3"/>
        <v>-5051.44</v>
      </c>
      <c r="V517" s="32">
        <f>IFERROR(__xludf.DUMMYFUNCTION("$D517 - IFERROR(FILTER($D:$D,$C:$C = $C517, $A:$A = $A517, $B:$B = $B517 - 1),0)"),0.0)</f>
        <v>0</v>
      </c>
      <c r="W517" s="93">
        <f>IFERROR(__xludf.DUMMYFUNCTION("$E517 - IFERROR(FILTER($E:$E,$C:$C = $C517, $A:$A = $A517, $B:$B = $B517 - 1),0)"),0.0)</f>
        <v>0</v>
      </c>
      <c r="X517" s="93"/>
      <c r="Y517" s="93"/>
      <c r="Z517" s="93">
        <v>0.0</v>
      </c>
      <c r="AA517" s="93">
        <v>0.0</v>
      </c>
      <c r="AB517" s="93">
        <v>0.0</v>
      </c>
      <c r="AC517" s="93"/>
      <c r="AD517" s="93">
        <v>0.0</v>
      </c>
      <c r="AE517" s="32">
        <f t="shared" si="2"/>
        <v>0</v>
      </c>
      <c r="AF517" s="93">
        <v>0.0</v>
      </c>
    </row>
    <row r="518">
      <c r="A518" s="86">
        <v>2017.0</v>
      </c>
      <c r="B518" s="87">
        <v>3.0</v>
      </c>
      <c r="C518" s="88" t="s">
        <v>32</v>
      </c>
      <c r="D518" s="32"/>
      <c r="E518" s="32"/>
      <c r="F518" s="32"/>
      <c r="G518" s="93">
        <v>-71.47</v>
      </c>
      <c r="H518" s="93">
        <v>408.43</v>
      </c>
      <c r="I518" s="32"/>
      <c r="J518" s="93">
        <v>1800.78</v>
      </c>
      <c r="K518" s="32"/>
      <c r="L518" s="32"/>
      <c r="M518" s="32"/>
      <c r="N518" s="32"/>
      <c r="O518" s="93">
        <v>48785.0</v>
      </c>
      <c r="P518" s="91">
        <f>IFERROR(__xludf.DUMMYFUNCTION("IFERROR(sum(FILTER($D:$N,$C:$C = $C518,$A:$A &lt; $A518,$B:$B = 12)),0) + sum($D518:$N518)"),48784.83000000002)</f>
        <v>48784.83</v>
      </c>
      <c r="Q518" s="92">
        <f t="shared" si="1"/>
        <v>0.17</v>
      </c>
      <c r="R518" s="91">
        <f t="array" ref="R518">IFERROR(INDEX('Fund YTD Target Values'!$1:$1000, MATCH($C518,'Fund YTD Target Values'!$A:$A,0), MATCH($A518,'Fund YTD Target Values'!$1:$1,0)),0)</f>
        <v>77291.136</v>
      </c>
      <c r="S518" s="91">
        <f>IFERROR(__xludf.DUMMYFUNCTION("IFERROR(sum(FILTER('Fund Investment Data'!$V:$V, 'Fund Investment Data'!$C:$C = $C518, 'Fund Investment Data'!$A:$A &lt; $A518)),0) + IFERROR(sum(FILTER('Fund Investment Data'!$V:$V, 'Fund Investment Data'!$C:$C = $C518, 'Fund Investment Data'!$A:$A = $A518,"&amp;" 'Fund Investment Data'!$B:$B &lt;= $B518)),0)"),49449.04)</f>
        <v>49449.04</v>
      </c>
      <c r="T518" s="93">
        <v>39268.0</v>
      </c>
      <c r="U518" s="32">
        <f t="shared" si="3"/>
        <v>10181.04</v>
      </c>
      <c r="V518" s="32">
        <f>IFERROR(__xludf.DUMMYFUNCTION("$D518 - IFERROR(FILTER($D:$D,$C:$C = $C518, $A:$A = $A518, $B:$B = $B518 - 1),0)"),0.0)</f>
        <v>0</v>
      </c>
      <c r="W518" s="93">
        <f>IFERROR(__xludf.DUMMYFUNCTION("$E518 - IFERROR(FILTER($E:$E,$C:$C = $C518, $A:$A = $A518, $B:$B = $B518 - 1),0)"),0.0)</f>
        <v>0</v>
      </c>
      <c r="X518" s="93"/>
      <c r="Y518" s="93"/>
      <c r="Z518" s="93">
        <v>0.0</v>
      </c>
      <c r="AA518" s="93">
        <v>0.0</v>
      </c>
      <c r="AB518" s="93">
        <v>0.0</v>
      </c>
      <c r="AC518" s="93"/>
      <c r="AD518" s="93">
        <v>0.0</v>
      </c>
      <c r="AE518" s="32">
        <f t="shared" si="2"/>
        <v>0</v>
      </c>
      <c r="AF518" s="93">
        <v>0.0</v>
      </c>
    </row>
    <row r="519">
      <c r="A519" s="86">
        <v>2017.0</v>
      </c>
      <c r="B519" s="87">
        <v>3.0</v>
      </c>
      <c r="C519" s="88" t="s">
        <v>40</v>
      </c>
      <c r="D519" s="32"/>
      <c r="E519" s="32"/>
      <c r="F519" s="32"/>
      <c r="G519" s="93">
        <v>-213.11</v>
      </c>
      <c r="H519" s="93">
        <v>1252.38</v>
      </c>
      <c r="I519" s="32"/>
      <c r="J519" s="93">
        <v>5536.41</v>
      </c>
      <c r="K519" s="32"/>
      <c r="L519" s="32"/>
      <c r="M519" s="32"/>
      <c r="N519" s="32"/>
      <c r="O519" s="93">
        <v>145583.0</v>
      </c>
      <c r="P519" s="91">
        <f>IFERROR(__xludf.DUMMYFUNCTION("IFERROR(sum(FILTER($D:$N,$C:$C = $C519,$A:$A &lt; $A519,$B:$B = 12)),0) + sum($D519:$N519)"),145583.37999999995)</f>
        <v>145583.38</v>
      </c>
      <c r="Q519" s="92">
        <f t="shared" si="1"/>
        <v>-0.3799999999</v>
      </c>
      <c r="R519" s="91">
        <f t="array" ref="R519">IFERROR(INDEX('Fund YTD Target Values'!$1:$1000, MATCH($C519,'Fund YTD Target Values'!$A:$A,0), MATCH($A519,'Fund YTD Target Values'!$1:$1,0)),0)</f>
        <v>157515.3664</v>
      </c>
      <c r="S519" s="91">
        <f>IFERROR(__xludf.DUMMYFUNCTION("IFERROR(sum(FILTER('Fund Investment Data'!$V:$V, 'Fund Investment Data'!$C:$C = $C519, 'Fund Investment Data'!$A:$A &lt; $A519)),0) + IFERROR(sum(FILTER('Fund Investment Data'!$V:$V, 'Fund Investment Data'!$C:$C = $C519, 'Fund Investment Data'!$A:$A = $A519,"&amp;" 'Fund Investment Data'!$B:$B &lt;= $B519)),0)"),129703.74)</f>
        <v>129703.74</v>
      </c>
      <c r="T519" s="93">
        <v>129723.0</v>
      </c>
      <c r="U519" s="32">
        <f t="shared" si="3"/>
        <v>-19.26</v>
      </c>
      <c r="V519" s="32">
        <f>IFERROR(__xludf.DUMMYFUNCTION("$D519 - IFERROR(FILTER($D:$D,$C:$C = $C519, $A:$A = $A519, $B:$B = $B519 - 1),0)"),0.0)</f>
        <v>0</v>
      </c>
      <c r="W519" s="93">
        <f>IFERROR(__xludf.DUMMYFUNCTION("$E519 - IFERROR(FILTER($E:$E,$C:$C = $C519, $A:$A = $A519, $B:$B = $B519 - 1),0)"),0.0)</f>
        <v>0</v>
      </c>
      <c r="X519" s="93"/>
      <c r="Y519" s="93"/>
      <c r="Z519" s="93">
        <v>0.0</v>
      </c>
      <c r="AA519" s="93">
        <v>0.0</v>
      </c>
      <c r="AB519" s="93">
        <v>0.0</v>
      </c>
      <c r="AC519" s="93"/>
      <c r="AD519" s="93">
        <v>0.0</v>
      </c>
      <c r="AE519" s="32">
        <f t="shared" si="2"/>
        <v>0</v>
      </c>
      <c r="AF519" s="93">
        <v>0.0</v>
      </c>
    </row>
    <row r="520">
      <c r="A520" s="86">
        <v>2017.0</v>
      </c>
      <c r="B520" s="87">
        <v>3.0</v>
      </c>
      <c r="C520" s="88" t="s">
        <v>51</v>
      </c>
      <c r="D520" s="32"/>
      <c r="E520" s="32"/>
      <c r="F520" s="32"/>
      <c r="G520" s="93">
        <v>-649.34</v>
      </c>
      <c r="H520" s="93">
        <v>3815.12</v>
      </c>
      <c r="I520" s="32"/>
      <c r="J520" s="93">
        <v>16864.16</v>
      </c>
      <c r="K520" s="32"/>
      <c r="L520" s="32"/>
      <c r="M520" s="32"/>
      <c r="N520" s="32"/>
      <c r="O520" s="93">
        <v>443567.0</v>
      </c>
      <c r="P520" s="91">
        <f>IFERROR(__xludf.DUMMYFUNCTION("IFERROR(sum(FILTER($D:$N,$C:$C = $C520,$A:$A &lt; $A520,$B:$B = 12)),0) + sum($D520:$N520)"),443566.84)</f>
        <v>443566.84</v>
      </c>
      <c r="Q520" s="92">
        <f t="shared" si="1"/>
        <v>0.16</v>
      </c>
      <c r="R520" s="91">
        <f t="array" ref="R520">IFERROR(INDEX('Fund YTD Target Values'!$1:$1000, MATCH($C520,'Fund YTD Target Values'!$A:$A,0), MATCH($A520,'Fund YTD Target Values'!$1:$1,0)),0)</f>
        <v>437835.4209</v>
      </c>
      <c r="S520" s="91">
        <f>IFERROR(__xludf.DUMMYFUNCTION("IFERROR(sum(FILTER('Fund Investment Data'!$V:$V, 'Fund Investment Data'!$C:$C = $C520, 'Fund Investment Data'!$A:$A &lt; $A520)),0) + IFERROR(sum(FILTER('Fund Investment Data'!$V:$V, 'Fund Investment Data'!$C:$C = $C520, 'Fund Investment Data'!$A:$A = $A520,"&amp;" 'Fund Investment Data'!$B:$B &lt;= $B520)),0)"),413123.55)</f>
        <v>413123.55</v>
      </c>
      <c r="T520" s="93">
        <v>413980.0</v>
      </c>
      <c r="U520" s="32">
        <f t="shared" si="3"/>
        <v>-856.45</v>
      </c>
      <c r="V520" s="32">
        <f>IFERROR(__xludf.DUMMYFUNCTION("$D520 - IFERROR(FILTER($D:$D,$C:$C = $C520, $A:$A = $A520, $B:$B = $B520 - 1),0)"),0.0)</f>
        <v>0</v>
      </c>
      <c r="W520" s="93">
        <f>IFERROR(__xludf.DUMMYFUNCTION("$E520 - IFERROR(FILTER($E:$E,$C:$C = $C520, $A:$A = $A520, $B:$B = $B520 - 1),0)"),0.0)</f>
        <v>0</v>
      </c>
      <c r="X520" s="93"/>
      <c r="Y520" s="93"/>
      <c r="Z520" s="93">
        <v>0.0</v>
      </c>
      <c r="AA520" s="93">
        <v>0.0</v>
      </c>
      <c r="AB520" s="93">
        <v>0.0</v>
      </c>
      <c r="AC520" s="93"/>
      <c r="AD520" s="93">
        <v>0.0</v>
      </c>
      <c r="AE520" s="32">
        <f t="shared" si="2"/>
        <v>0</v>
      </c>
      <c r="AF520" s="93">
        <v>0.0</v>
      </c>
    </row>
    <row r="521">
      <c r="A521" s="86">
        <v>2017.0</v>
      </c>
      <c r="B521" s="87">
        <v>3.0</v>
      </c>
      <c r="C521" s="88" t="s">
        <v>48</v>
      </c>
      <c r="D521" s="32"/>
      <c r="E521" s="32"/>
      <c r="F521" s="32"/>
      <c r="G521" s="93">
        <v>-1752.15</v>
      </c>
      <c r="H521" s="93">
        <v>10311.86</v>
      </c>
      <c r="I521" s="32"/>
      <c r="J521" s="93">
        <v>45592.64</v>
      </c>
      <c r="K521" s="32"/>
      <c r="L521" s="32"/>
      <c r="M521" s="32"/>
      <c r="N521" s="32"/>
      <c r="O521" s="93">
        <v>1196966.0</v>
      </c>
      <c r="P521" s="91">
        <f>IFERROR(__xludf.DUMMYFUNCTION("IFERROR(sum(FILTER($D:$N,$C:$C = $C521,$A:$A &lt; $A521,$B:$B = 12)),0) + sum($D521:$N521)"),1196965.0999999999)</f>
        <v>1196965.1</v>
      </c>
      <c r="Q521" s="92">
        <f t="shared" si="1"/>
        <v>0.9000000001</v>
      </c>
      <c r="R521" s="91">
        <f t="array" ref="R521">IFERROR(INDEX('Fund YTD Target Values'!$1:$1000, MATCH($C521,'Fund YTD Target Values'!$A:$A,0), MATCH($A521,'Fund YTD Target Values'!$1:$1,0)),0)</f>
        <v>1851058.71</v>
      </c>
      <c r="S521" s="91">
        <f>IFERROR(__xludf.DUMMYFUNCTION("IFERROR(sum(FILTER('Fund Investment Data'!$V:$V, 'Fund Investment Data'!$C:$C = $C521, 'Fund Investment Data'!$A:$A &lt; $A521)),0) + IFERROR(sum(FILTER('Fund Investment Data'!$V:$V, 'Fund Investment Data'!$C:$C = $C521, 'Fund Investment Data'!$A:$A = $A521,"&amp;" 'Fund Investment Data'!$B:$B &lt;= $B521)),0)"),1183929.39)</f>
        <v>1183929.39</v>
      </c>
      <c r="T521" s="93">
        <v>1140040.0</v>
      </c>
      <c r="U521" s="32">
        <f t="shared" si="3"/>
        <v>43889.39</v>
      </c>
      <c r="V521" s="32">
        <f>IFERROR(__xludf.DUMMYFUNCTION("$D521 - IFERROR(FILTER($D:$D,$C:$C = $C521, $A:$A = $A521, $B:$B = $B521 - 1),0)"),0.0)</f>
        <v>0</v>
      </c>
      <c r="W521" s="93">
        <f>IFERROR(__xludf.DUMMYFUNCTION("$E521 - IFERROR(FILTER($E:$E,$C:$C = $C521, $A:$A = $A521, $B:$B = $B521 - 1),0)"),0.0)</f>
        <v>0</v>
      </c>
      <c r="X521" s="93"/>
      <c r="Y521" s="93"/>
      <c r="Z521" s="93">
        <v>0.0</v>
      </c>
      <c r="AA521" s="93">
        <v>0.0</v>
      </c>
      <c r="AB521" s="93">
        <v>0.0</v>
      </c>
      <c r="AC521" s="93"/>
      <c r="AD521" s="93">
        <v>0.0</v>
      </c>
      <c r="AE521" s="32">
        <f t="shared" si="2"/>
        <v>0</v>
      </c>
      <c r="AF521" s="93">
        <v>0.0</v>
      </c>
    </row>
    <row r="522">
      <c r="A522" s="86">
        <v>2017.0</v>
      </c>
      <c r="B522" s="87">
        <v>3.0</v>
      </c>
      <c r="C522" s="88" t="s">
        <v>49</v>
      </c>
      <c r="D522" s="32"/>
      <c r="E522" s="32"/>
      <c r="F522" s="32"/>
      <c r="G522" s="93">
        <v>-770.74</v>
      </c>
      <c r="H522" s="93">
        <v>4529.14</v>
      </c>
      <c r="I522" s="32"/>
      <c r="J522" s="93">
        <v>20022.23</v>
      </c>
      <c r="K522" s="32"/>
      <c r="L522" s="32"/>
      <c r="M522" s="32"/>
      <c r="N522" s="32"/>
      <c r="O522" s="93">
        <v>526496.0</v>
      </c>
      <c r="P522" s="91">
        <f>IFERROR(__xludf.DUMMYFUNCTION("IFERROR(sum(FILTER($D:$N,$C:$C = $C522,$A:$A &lt; $A522,$B:$B = 12)),0) + sum($D522:$N522)"),526496.6299999999)</f>
        <v>526496.63</v>
      </c>
      <c r="Q522" s="92">
        <f t="shared" si="1"/>
        <v>-0.6299999999</v>
      </c>
      <c r="R522" s="91">
        <f t="array" ref="R522">IFERROR(INDEX('Fund YTD Target Values'!$1:$1000, MATCH($C522,'Fund YTD Target Values'!$A:$A,0), MATCH($A522,'Fund YTD Target Values'!$1:$1,0)),0)</f>
        <v>684659.2079</v>
      </c>
      <c r="S522" s="91">
        <f>IFERROR(__xludf.DUMMYFUNCTION("IFERROR(sum(FILTER('Fund Investment Data'!$V:$V, 'Fund Investment Data'!$C:$C = $C522, 'Fund Investment Data'!$A:$A &lt; $A522)),0) + IFERROR(sum(FILTER('Fund Investment Data'!$V:$V, 'Fund Investment Data'!$C:$C = $C522, 'Fund Investment Data'!$A:$A = $A522,"&amp;" 'Fund Investment Data'!$B:$B &lt;= $B522)),0)"),500000.0)</f>
        <v>500000</v>
      </c>
      <c r="T522" s="93">
        <v>500000.0</v>
      </c>
      <c r="U522" s="32">
        <f t="shared" si="3"/>
        <v>0</v>
      </c>
      <c r="V522" s="32">
        <f>IFERROR(__xludf.DUMMYFUNCTION("$D522 - IFERROR(FILTER($D:$D,$C:$C = $C522, $A:$A = $A522, $B:$B = $B522 - 1),0)"),0.0)</f>
        <v>0</v>
      </c>
      <c r="W522" s="93">
        <f>IFERROR(__xludf.DUMMYFUNCTION("$E522 - IFERROR(FILTER($E:$E,$C:$C = $C522, $A:$A = $A522, $B:$B = $B522 - 1),0)"),0.0)</f>
        <v>0</v>
      </c>
      <c r="X522" s="93"/>
      <c r="Y522" s="93"/>
      <c r="Z522" s="93">
        <v>0.0</v>
      </c>
      <c r="AA522" s="93">
        <v>0.0</v>
      </c>
      <c r="AB522" s="93">
        <v>0.0</v>
      </c>
      <c r="AC522" s="93"/>
      <c r="AD522" s="93">
        <v>0.0</v>
      </c>
      <c r="AE522" s="32">
        <f t="shared" si="2"/>
        <v>0</v>
      </c>
      <c r="AF522" s="93">
        <v>0.0</v>
      </c>
    </row>
    <row r="523">
      <c r="A523" s="86">
        <v>2017.0</v>
      </c>
      <c r="B523" s="87">
        <v>3.0</v>
      </c>
      <c r="C523" s="88" t="s">
        <v>41</v>
      </c>
      <c r="D523" s="32"/>
      <c r="E523" s="32"/>
      <c r="F523" s="32"/>
      <c r="G523" s="93">
        <v>-911.39</v>
      </c>
      <c r="H523" s="93">
        <v>5345.57</v>
      </c>
      <c r="I523" s="32"/>
      <c r="J523" s="93">
        <v>23627.24</v>
      </c>
      <c r="K523" s="32"/>
      <c r="L523" s="32"/>
      <c r="M523" s="32"/>
      <c r="N523" s="32"/>
      <c r="O523" s="93">
        <v>622546.0</v>
      </c>
      <c r="P523" s="91">
        <f>IFERROR(__xludf.DUMMYFUNCTION("IFERROR(sum(FILTER($D:$N,$C:$C = $C523,$A:$A &lt; $A523,$B:$B = 12)),0) + sum($D523:$N523)"),622546.4600000001)</f>
        <v>622546.46</v>
      </c>
      <c r="Q523" s="92">
        <f t="shared" si="1"/>
        <v>-0.4600000001</v>
      </c>
      <c r="R523" s="91">
        <f t="array" ref="R523">IFERROR(INDEX('Fund YTD Target Values'!$1:$1000, MATCH($C523,'Fund YTD Target Values'!$A:$A,0), MATCH($A523,'Fund YTD Target Values'!$1:$1,0)),0)</f>
        <v>573948.5743</v>
      </c>
      <c r="S523" s="91">
        <f>IFERROR(__xludf.DUMMYFUNCTION("IFERROR(sum(FILTER('Fund Investment Data'!$V:$V, 'Fund Investment Data'!$C:$C = $C523, 'Fund Investment Data'!$A:$A &lt; $A523)),0) + IFERROR(sum(FILTER('Fund Investment Data'!$V:$V, 'Fund Investment Data'!$C:$C = $C523, 'Fund Investment Data'!$A:$A = $A523,"&amp;" 'Fund Investment Data'!$B:$B &lt;= $B523)),0)"),433755.86)</f>
        <v>433755.86</v>
      </c>
      <c r="T523" s="93">
        <v>434291.0</v>
      </c>
      <c r="U523" s="32">
        <f t="shared" si="3"/>
        <v>-535.14</v>
      </c>
      <c r="V523" s="32">
        <f>IFERROR(__xludf.DUMMYFUNCTION("$D523 - IFERROR(FILTER($D:$D,$C:$C = $C523, $A:$A = $A523, $B:$B = $B523 - 1),0)"),0.0)</f>
        <v>0</v>
      </c>
      <c r="W523" s="93">
        <f>IFERROR(__xludf.DUMMYFUNCTION("$E523 - IFERROR(FILTER($E:$E,$C:$C = $C523, $A:$A = $A523, $B:$B = $B523 - 1),0)"),0.0)</f>
        <v>0</v>
      </c>
      <c r="X523" s="93"/>
      <c r="Y523" s="93"/>
      <c r="Z523" s="93">
        <v>0.0</v>
      </c>
      <c r="AA523" s="93">
        <v>0.0</v>
      </c>
      <c r="AB523" s="93">
        <v>0.0</v>
      </c>
      <c r="AC523" s="93"/>
      <c r="AD523" s="93">
        <v>0.0</v>
      </c>
      <c r="AE523" s="32">
        <f t="shared" si="2"/>
        <v>0</v>
      </c>
      <c r="AF523" s="93">
        <v>0.0</v>
      </c>
    </row>
    <row r="524">
      <c r="A524" s="86">
        <v>2017.0</v>
      </c>
      <c r="B524" s="87">
        <v>3.0</v>
      </c>
      <c r="C524" s="88" t="s">
        <v>25</v>
      </c>
      <c r="D524" s="32"/>
      <c r="E524" s="32"/>
      <c r="F524" s="32"/>
      <c r="G524" s="93">
        <v>-141.49</v>
      </c>
      <c r="H524" s="93">
        <v>831.45</v>
      </c>
      <c r="I524" s="32"/>
      <c r="J524" s="93">
        <v>3675.68</v>
      </c>
      <c r="K524" s="32"/>
      <c r="L524" s="32"/>
      <c r="M524" s="32"/>
      <c r="N524" s="32"/>
      <c r="O524" s="93">
        <v>96654.0</v>
      </c>
      <c r="P524" s="91">
        <f>IFERROR(__xludf.DUMMYFUNCTION("IFERROR(sum(FILTER($D:$N,$C:$C = $C524,$A:$A &lt; $A524,$B:$B = 12)),0) + sum($D524:$N524)"),96653.65)</f>
        <v>96653.65</v>
      </c>
      <c r="Q524" s="92">
        <f t="shared" si="1"/>
        <v>0.35</v>
      </c>
      <c r="R524" s="91">
        <f t="array" ref="R524">IFERROR(INDEX('Fund YTD Target Values'!$1:$1000, MATCH($C524,'Fund YTD Target Values'!$A:$A,0), MATCH($A524,'Fund YTD Target Values'!$1:$1,0)),0)</f>
        <v>106572.0284</v>
      </c>
      <c r="S524" s="91">
        <f>IFERROR(__xludf.DUMMYFUNCTION("IFERROR(sum(FILTER('Fund Investment Data'!$V:$V, 'Fund Investment Data'!$C:$C = $C524, 'Fund Investment Data'!$A:$A &lt; $A524)),0) + IFERROR(sum(FILTER('Fund Investment Data'!$V:$V, 'Fund Investment Data'!$C:$C = $C524, 'Fund Investment Data'!$A:$A = $A524,"&amp;" 'Fund Investment Data'!$B:$B &lt;= $B524)),0)"),81000.0)</f>
        <v>81000</v>
      </c>
      <c r="T524" s="93">
        <v>81000.0</v>
      </c>
      <c r="U524" s="32">
        <f t="shared" si="3"/>
        <v>0</v>
      </c>
      <c r="V524" s="32">
        <f>IFERROR(__xludf.DUMMYFUNCTION("$D524 - IFERROR(FILTER($D:$D,$C:$C = $C524, $A:$A = $A524, $B:$B = $B524 - 1),0)"),0.0)</f>
        <v>0</v>
      </c>
      <c r="W524" s="93">
        <f>IFERROR(__xludf.DUMMYFUNCTION("$E524 - IFERROR(FILTER($E:$E,$C:$C = $C524, $A:$A = $A524, $B:$B = $B524 - 1),0)"),0.0)</f>
        <v>0</v>
      </c>
      <c r="X524" s="93"/>
      <c r="Y524" s="93"/>
      <c r="Z524" s="93">
        <v>0.0</v>
      </c>
      <c r="AA524" s="93">
        <v>0.0</v>
      </c>
      <c r="AB524" s="93">
        <v>0.0</v>
      </c>
      <c r="AC524" s="93"/>
      <c r="AD524" s="93">
        <v>0.0</v>
      </c>
      <c r="AE524" s="32">
        <f t="shared" si="2"/>
        <v>0</v>
      </c>
      <c r="AF524" s="93">
        <v>0.0</v>
      </c>
    </row>
    <row r="525">
      <c r="A525" s="86">
        <v>2017.0</v>
      </c>
      <c r="B525" s="87">
        <v>3.0</v>
      </c>
      <c r="C525" s="88" t="s">
        <v>42</v>
      </c>
      <c r="D525" s="32"/>
      <c r="E525" s="32"/>
      <c r="F525" s="32"/>
      <c r="G525" s="93">
        <v>-406.42</v>
      </c>
      <c r="H525" s="93">
        <v>2362.27</v>
      </c>
      <c r="I525" s="32"/>
      <c r="J525" s="93">
        <v>10431.81</v>
      </c>
      <c r="K525" s="32"/>
      <c r="L525" s="32"/>
      <c r="M525" s="32"/>
      <c r="N525" s="32"/>
      <c r="O525" s="93">
        <v>277546.0</v>
      </c>
      <c r="P525" s="91">
        <f>IFERROR(__xludf.DUMMYFUNCTION("IFERROR(sum(FILTER($D:$N,$C:$C = $C525,$A:$A &lt; $A525,$B:$B = 12)),0) + sum($D525:$N525)"),277545.9300000001)</f>
        <v>277545.93</v>
      </c>
      <c r="Q525" s="92">
        <f t="shared" si="1"/>
        <v>0.06999999989</v>
      </c>
      <c r="R525" s="91">
        <f t="array" ref="R525">IFERROR(INDEX('Fund YTD Target Values'!$1:$1000, MATCH($C525,'Fund YTD Target Values'!$A:$A,0), MATCH($A525,'Fund YTD Target Values'!$1:$1,0)),0)</f>
        <v>234458.6336</v>
      </c>
      <c r="S525" s="91">
        <f>IFERROR(__xludf.DUMMYFUNCTION("IFERROR(sum(FILTER('Fund Investment Data'!$V:$V, 'Fund Investment Data'!$C:$C = $C525, 'Fund Investment Data'!$A:$A &lt; $A525)),0) + IFERROR(sum(FILTER('Fund Investment Data'!$V:$V, 'Fund Investment Data'!$C:$C = $C525, 'Fund Investment Data'!$A:$A = $A525,"&amp;" 'Fund Investment Data'!$B:$B &lt;= $B525)),0)"),194469.0)</f>
        <v>194469</v>
      </c>
      <c r="T525" s="93">
        <v>194469.0</v>
      </c>
      <c r="U525" s="32">
        <f t="shared" si="3"/>
        <v>0</v>
      </c>
      <c r="V525" s="32">
        <f>IFERROR(__xludf.DUMMYFUNCTION("$D525 - IFERROR(FILTER($D:$D,$C:$C = $C525, $A:$A = $A525, $B:$B = $B525 - 1),0)"),0.0)</f>
        <v>0</v>
      </c>
      <c r="W525" s="93">
        <f>IFERROR(__xludf.DUMMYFUNCTION("$E525 - IFERROR(FILTER($E:$E,$C:$C = $C525, $A:$A = $A525, $B:$B = $B525 - 1),0)"),0.0)</f>
        <v>0</v>
      </c>
      <c r="X525" s="93"/>
      <c r="Y525" s="93"/>
      <c r="Z525" s="93">
        <v>0.0</v>
      </c>
      <c r="AA525" s="93">
        <v>0.0</v>
      </c>
      <c r="AB525" s="93">
        <v>0.0</v>
      </c>
      <c r="AC525" s="93"/>
      <c r="AD525" s="93">
        <v>0.0</v>
      </c>
      <c r="AE525" s="32">
        <f t="shared" si="2"/>
        <v>0</v>
      </c>
      <c r="AF525" s="93">
        <v>0.0</v>
      </c>
    </row>
    <row r="526">
      <c r="A526" s="86">
        <v>2017.0</v>
      </c>
      <c r="B526" s="87">
        <v>3.0</v>
      </c>
      <c r="C526" s="88" t="s">
        <v>43</v>
      </c>
      <c r="D526" s="32"/>
      <c r="E526" s="32"/>
      <c r="F526" s="32"/>
      <c r="G526" s="93">
        <v>-169.97</v>
      </c>
      <c r="H526" s="93">
        <v>1000.28</v>
      </c>
      <c r="I526" s="32"/>
      <c r="J526" s="93">
        <v>4422.53</v>
      </c>
      <c r="K526" s="32"/>
      <c r="L526" s="32"/>
      <c r="M526" s="32"/>
      <c r="N526" s="32"/>
      <c r="O526" s="93">
        <v>116110.0</v>
      </c>
      <c r="P526" s="91">
        <f>IFERROR(__xludf.DUMMYFUNCTION("IFERROR(sum(FILTER($D:$N,$C:$C = $C526,$A:$A &lt; $A526,$B:$B = 12)),0) + sum($D526:$N526)"),116109.05000000002)</f>
        <v>116109.05</v>
      </c>
      <c r="Q526" s="92">
        <f t="shared" si="1"/>
        <v>0.95</v>
      </c>
      <c r="R526" s="91">
        <f t="array" ref="R526">IFERROR(INDEX('Fund YTD Target Values'!$1:$1000, MATCH($C526,'Fund YTD Target Values'!$A:$A,0), MATCH($A526,'Fund YTD Target Values'!$1:$1,0)),0)</f>
        <v>127580.7013</v>
      </c>
      <c r="S526" s="91">
        <f>IFERROR(__xludf.DUMMYFUNCTION("IFERROR(sum(FILTER('Fund Investment Data'!$V:$V, 'Fund Investment Data'!$C:$C = $C526, 'Fund Investment Data'!$A:$A &lt; $A526)),0) + IFERROR(sum(FILTER('Fund Investment Data'!$V:$V, 'Fund Investment Data'!$C:$C = $C526, 'Fund Investment Data'!$A:$A = $A526,"&amp;" 'Fund Investment Data'!$B:$B &lt;= $B526)),0)"),100000.0)</f>
        <v>100000</v>
      </c>
      <c r="T526" s="93">
        <v>100000.0</v>
      </c>
      <c r="U526" s="32">
        <f t="shared" si="3"/>
        <v>0</v>
      </c>
      <c r="V526" s="32">
        <f>IFERROR(__xludf.DUMMYFUNCTION("$D526 - IFERROR(FILTER($D:$D,$C:$C = $C526, $A:$A = $A526, $B:$B = $B526 - 1),0)"),0.0)</f>
        <v>0</v>
      </c>
      <c r="W526" s="93">
        <f>IFERROR(__xludf.DUMMYFUNCTION("$E526 - IFERROR(FILTER($E:$E,$C:$C = $C526, $A:$A = $A526, $B:$B = $B526 - 1),0)"),0.0)</f>
        <v>0</v>
      </c>
      <c r="X526" s="93"/>
      <c r="Y526" s="93"/>
      <c r="Z526" s="93">
        <v>0.0</v>
      </c>
      <c r="AA526" s="93">
        <v>0.0</v>
      </c>
      <c r="AB526" s="93">
        <v>0.0</v>
      </c>
      <c r="AC526" s="93"/>
      <c r="AD526" s="93">
        <v>0.0</v>
      </c>
      <c r="AE526" s="32">
        <f t="shared" si="2"/>
        <v>0</v>
      </c>
      <c r="AF526" s="93">
        <v>0.0</v>
      </c>
    </row>
    <row r="527">
      <c r="A527" s="86">
        <v>2017.0</v>
      </c>
      <c r="B527" s="87">
        <v>3.0</v>
      </c>
      <c r="C527" s="88" t="s">
        <v>52</v>
      </c>
      <c r="D527" s="32"/>
      <c r="E527" s="32"/>
      <c r="F527" s="32"/>
      <c r="G527" s="93">
        <v>-1658.52</v>
      </c>
      <c r="H527" s="93">
        <v>9190.98</v>
      </c>
      <c r="I527" s="32"/>
      <c r="J527" s="93">
        <v>40611.98</v>
      </c>
      <c r="K527" s="32"/>
      <c r="L527" s="32"/>
      <c r="M527" s="32"/>
      <c r="N527" s="32"/>
      <c r="O527" s="93">
        <v>1072993.0</v>
      </c>
      <c r="P527" s="91">
        <f>IFERROR(__xludf.DUMMYFUNCTION("IFERROR(sum(FILTER($D:$N,$C:$C = $C527,$A:$A &lt; $A527,$B:$B = 12)),0) + sum($D527:$N527)"),1072992.38)</f>
        <v>1072992.38</v>
      </c>
      <c r="Q527" s="92">
        <f t="shared" si="1"/>
        <v>0.6200000001</v>
      </c>
      <c r="R527" s="91">
        <f t="array" ref="R527">IFERROR(INDEX('Fund YTD Target Values'!$1:$1000, MATCH($C527,'Fund YTD Target Values'!$A:$A,0), MATCH($A527,'Fund YTD Target Values'!$1:$1,0)),0)</f>
        <v>1048370.982</v>
      </c>
      <c r="S527" s="91">
        <f>IFERROR(__xludf.DUMMYFUNCTION("IFERROR(sum(FILTER('Fund Investment Data'!$V:$V, 'Fund Investment Data'!$C:$C = $C527, 'Fund Investment Data'!$A:$A &lt; $A527)),0) + IFERROR(sum(FILTER('Fund Investment Data'!$V:$V, 'Fund Investment Data'!$C:$C = $C527, 'Fund Investment Data'!$A:$A = $A527,"&amp;" 'Fund Investment Data'!$B:$B &lt;= $B527)),0)"),1001636.0)</f>
        <v>1001636</v>
      </c>
      <c r="T527" s="93">
        <v>1001949.0</v>
      </c>
      <c r="U527" s="32">
        <f t="shared" si="3"/>
        <v>-313</v>
      </c>
      <c r="V527" s="32">
        <f>IFERROR(__xludf.DUMMYFUNCTION("$D527 - IFERROR(FILTER($D:$D,$C:$C = $C527, $A:$A = $A527, $B:$B = $B527 - 1),0)"),0.0)</f>
        <v>0</v>
      </c>
      <c r="W527" s="93">
        <f>IFERROR(__xludf.DUMMYFUNCTION("$E527 - IFERROR(FILTER($E:$E,$C:$C = $C527, $A:$A = $A527, $B:$B = $B527 - 1),0)"),0.0)</f>
        <v>0</v>
      </c>
      <c r="X527" s="93"/>
      <c r="Y527" s="93"/>
      <c r="Z527" s="93">
        <v>0.0</v>
      </c>
      <c r="AA527" s="93">
        <v>0.0</v>
      </c>
      <c r="AB527" s="93">
        <v>0.0</v>
      </c>
      <c r="AC527" s="93"/>
      <c r="AD527" s="93">
        <v>0.0</v>
      </c>
      <c r="AE527" s="32">
        <f t="shared" si="2"/>
        <v>0</v>
      </c>
      <c r="AF527" s="93">
        <v>0.0</v>
      </c>
    </row>
    <row r="528">
      <c r="A528" s="86">
        <v>2017.0</v>
      </c>
      <c r="B528" s="87">
        <v>3.0</v>
      </c>
      <c r="C528" s="88" t="s">
        <v>33</v>
      </c>
      <c r="D528" s="32"/>
      <c r="E528" s="32"/>
      <c r="F528" s="32"/>
      <c r="G528" s="93">
        <v>-530.16</v>
      </c>
      <c r="H528" s="93">
        <v>3120.1</v>
      </c>
      <c r="I528" s="32"/>
      <c r="J528" s="93">
        <v>13795.0</v>
      </c>
      <c r="K528" s="32"/>
      <c r="L528" s="32"/>
      <c r="M528" s="32"/>
      <c r="N528" s="32"/>
      <c r="O528" s="93">
        <v>362170.0</v>
      </c>
      <c r="P528" s="91">
        <f>IFERROR(__xludf.DUMMYFUNCTION("IFERROR(sum(FILTER($D:$N,$C:$C = $C528,$A:$A &lt; $A528,$B:$B = 12)),0) + sum($D528:$N528)"),362169.90999999974)</f>
        <v>362169.91</v>
      </c>
      <c r="Q528" s="92">
        <f t="shared" si="1"/>
        <v>0.09000000026</v>
      </c>
      <c r="R528" s="91">
        <f t="array" ref="R528">IFERROR(INDEX('Fund YTD Target Values'!$1:$1000, MATCH($C528,'Fund YTD Target Values'!$A:$A,0), MATCH($A528,'Fund YTD Target Values'!$1:$1,0)),0)</f>
        <v>500698.0917</v>
      </c>
      <c r="S528" s="91">
        <f>IFERROR(__xludf.DUMMYFUNCTION("IFERROR(sum(FILTER('Fund Investment Data'!$V:$V, 'Fund Investment Data'!$C:$C = $C528, 'Fund Investment Data'!$A:$A &lt; $A528)),0) + IFERROR(sum(FILTER('Fund Investment Data'!$V:$V, 'Fund Investment Data'!$C:$C = $C528, 'Fund Investment Data'!$A:$A = $A528,"&amp;" 'Fund Investment Data'!$B:$B &lt;= $B528)),0)"),325871.6399999999)</f>
        <v>325871.64</v>
      </c>
      <c r="T528" s="93">
        <v>326032.0</v>
      </c>
      <c r="U528" s="32">
        <f t="shared" si="3"/>
        <v>-160.36</v>
      </c>
      <c r="V528" s="32">
        <f>IFERROR(__xludf.DUMMYFUNCTION("$D528 - IFERROR(FILTER($D:$D,$C:$C = $C528, $A:$A = $A528, $B:$B = $B528 - 1),0)"),0.0)</f>
        <v>0</v>
      </c>
      <c r="W528" s="93">
        <f>IFERROR(__xludf.DUMMYFUNCTION("$E528 - IFERROR(FILTER($E:$E,$C:$C = $C528, $A:$A = $A528, $B:$B = $B528 - 1),0)"),0.0)</f>
        <v>0</v>
      </c>
      <c r="X528" s="93"/>
      <c r="Y528" s="93"/>
      <c r="Z528" s="93">
        <v>0.0</v>
      </c>
      <c r="AA528" s="93">
        <v>0.0</v>
      </c>
      <c r="AB528" s="93">
        <v>0.0</v>
      </c>
      <c r="AC528" s="93"/>
      <c r="AD528" s="93">
        <v>0.0</v>
      </c>
      <c r="AE528" s="32">
        <f t="shared" si="2"/>
        <v>0</v>
      </c>
      <c r="AF528" s="93">
        <v>0.0</v>
      </c>
    </row>
    <row r="529">
      <c r="A529" s="86">
        <v>2017.0</v>
      </c>
      <c r="B529" s="87">
        <v>3.0</v>
      </c>
      <c r="C529" s="88" t="s">
        <v>53</v>
      </c>
      <c r="D529" s="32"/>
      <c r="E529" s="32"/>
      <c r="F529" s="32"/>
      <c r="G529" s="93">
        <v>-3118.44</v>
      </c>
      <c r="H529" s="93">
        <v>18368.38</v>
      </c>
      <c r="I529" s="32"/>
      <c r="J529" s="93">
        <v>81218.85</v>
      </c>
      <c r="K529" s="32"/>
      <c r="L529" s="32"/>
      <c r="M529" s="32"/>
      <c r="N529" s="32"/>
      <c r="O529" s="93">
        <v>2130382.0</v>
      </c>
      <c r="P529" s="91">
        <f>IFERROR(__xludf.DUMMYFUNCTION("IFERROR(sum(FILTER($D:$N,$C:$C = $C529,$A:$A &lt; $A529,$B:$B = 12)),0) + sum($D529:$N529)"),2130382.07)</f>
        <v>2130382.07</v>
      </c>
      <c r="Q529" s="92">
        <f t="shared" si="1"/>
        <v>-0.06999999983</v>
      </c>
      <c r="R529" s="91">
        <f t="array" ref="R529">IFERROR(INDEX('Fund YTD Target Values'!$1:$1000, MATCH($C529,'Fund YTD Target Values'!$A:$A,0), MATCH($A529,'Fund YTD Target Values'!$1:$1,0)),0)</f>
        <v>2171706.82</v>
      </c>
      <c r="S529" s="91">
        <f>IFERROR(__xludf.DUMMYFUNCTION("IFERROR(sum(FILTER('Fund Investment Data'!$V:$V, 'Fund Investment Data'!$C:$C = $C529, 'Fund Investment Data'!$A:$A &lt; $A529)),0) + IFERROR(sum(FILTER('Fund Investment Data'!$V:$V, 'Fund Investment Data'!$C:$C = $C529, 'Fund Investment Data'!$A:$A = $A529,"&amp;" 'Fund Investment Data'!$B:$B &lt;= $B529)),0)"),2005500.0)</f>
        <v>2005500</v>
      </c>
      <c r="T529" s="93">
        <v>2005500.0</v>
      </c>
      <c r="U529" s="32">
        <f t="shared" si="3"/>
        <v>0</v>
      </c>
      <c r="V529" s="32">
        <f>IFERROR(__xludf.DUMMYFUNCTION("$D529 - IFERROR(FILTER($D:$D,$C:$C = $C529, $A:$A = $A529, $B:$B = $B529 - 1),0)"),0.0)</f>
        <v>0</v>
      </c>
      <c r="W529" s="93">
        <f>IFERROR(__xludf.DUMMYFUNCTION("$E529 - IFERROR(FILTER($E:$E,$C:$C = $C529, $A:$A = $A529, $B:$B = $B529 - 1),0)"),0.0)</f>
        <v>0</v>
      </c>
      <c r="X529" s="93"/>
      <c r="Y529" s="93"/>
      <c r="Z529" s="93">
        <v>0.0</v>
      </c>
      <c r="AA529" s="93">
        <v>0.0</v>
      </c>
      <c r="AB529" s="93">
        <v>0.0</v>
      </c>
      <c r="AC529" s="93"/>
      <c r="AD529" s="93">
        <v>0.0</v>
      </c>
      <c r="AE529" s="32">
        <f t="shared" si="2"/>
        <v>0</v>
      </c>
      <c r="AF529" s="93">
        <v>0.0</v>
      </c>
    </row>
    <row r="530">
      <c r="A530" s="86">
        <v>2017.0</v>
      </c>
      <c r="B530" s="87">
        <v>3.0</v>
      </c>
      <c r="C530" s="88" t="s">
        <v>34</v>
      </c>
      <c r="D530" s="93">
        <v>5000.0</v>
      </c>
      <c r="E530" s="32"/>
      <c r="F530" s="32"/>
      <c r="G530" s="93">
        <v>-192.66</v>
      </c>
      <c r="H530" s="93">
        <v>1117.8</v>
      </c>
      <c r="I530" s="32"/>
      <c r="J530" s="93">
        <v>4935.53</v>
      </c>
      <c r="K530" s="32"/>
      <c r="L530" s="32"/>
      <c r="M530" s="32"/>
      <c r="N530" s="32"/>
      <c r="O530" s="93">
        <v>136557.0</v>
      </c>
      <c r="P530" s="91">
        <f>IFERROR(__xludf.DUMMYFUNCTION("IFERROR(sum(FILTER($D:$N,$C:$C = $C530,$A:$A &lt; $A530,$B:$B = 12)),0) + sum($D530:$N530)"),136557.18)</f>
        <v>136557.18</v>
      </c>
      <c r="Q530" s="92">
        <f t="shared" si="1"/>
        <v>-0.18</v>
      </c>
      <c r="R530" s="91">
        <f t="array" ref="R530">IFERROR(INDEX('Fund YTD Target Values'!$1:$1000, MATCH($C530,'Fund YTD Target Values'!$A:$A,0), MATCH($A530,'Fund YTD Target Values'!$1:$1,0)),0)</f>
        <v>127220.0742</v>
      </c>
      <c r="S530" s="91">
        <f>IFERROR(__xludf.DUMMYFUNCTION("IFERROR(sum(FILTER('Fund Investment Data'!$V:$V, 'Fund Investment Data'!$C:$C = $C530, 'Fund Investment Data'!$A:$A &lt; $A530)),0) + IFERROR(sum(FILTER('Fund Investment Data'!$V:$V, 'Fund Investment Data'!$C:$C = $C530, 'Fund Investment Data'!$A:$A = $A530,"&amp;" 'Fund Investment Data'!$B:$B &lt;= $B530)),0)"),120000.0)</f>
        <v>120000</v>
      </c>
      <c r="T530" s="93">
        <v>121567.0</v>
      </c>
      <c r="U530" s="32">
        <f t="shared" si="3"/>
        <v>-1567</v>
      </c>
      <c r="V530" s="32">
        <f>IFERROR(__xludf.DUMMYFUNCTION("$D530 - IFERROR(FILTER($D:$D,$C:$C = $C530, $A:$A = $A530, $B:$B = $B530 - 1),0)"),5000.0)</f>
        <v>5000</v>
      </c>
      <c r="W530" s="93">
        <f>IFERROR(__xludf.DUMMYFUNCTION("$E530 - IFERROR(FILTER($E:$E,$C:$C = $C530, $A:$A = $A530, $B:$B = $B530 - 1),0)"),0.0)</f>
        <v>0</v>
      </c>
      <c r="X530" s="93"/>
      <c r="Y530" s="93"/>
      <c r="Z530" s="93">
        <v>0.0</v>
      </c>
      <c r="AA530" s="93">
        <v>0.0</v>
      </c>
      <c r="AB530" s="93">
        <v>0.0</v>
      </c>
      <c r="AC530" s="93"/>
      <c r="AD530" s="93">
        <v>0.0</v>
      </c>
      <c r="AE530" s="32">
        <f t="shared" si="2"/>
        <v>0</v>
      </c>
      <c r="AF530" s="93">
        <v>0.0</v>
      </c>
    </row>
    <row r="531">
      <c r="A531" s="86">
        <v>2017.0</v>
      </c>
      <c r="B531" s="87">
        <v>3.0</v>
      </c>
      <c r="C531" s="88" t="s">
        <v>54</v>
      </c>
      <c r="D531" s="93">
        <v>791.0</v>
      </c>
      <c r="E531" s="32"/>
      <c r="F531" s="32"/>
      <c r="G531" s="93">
        <v>-230.72</v>
      </c>
      <c r="H531" s="93">
        <v>1288.22</v>
      </c>
      <c r="I531" s="32"/>
      <c r="J531" s="93">
        <v>5666.86</v>
      </c>
      <c r="K531" s="32"/>
      <c r="L531" s="32"/>
      <c r="M531" s="32"/>
      <c r="N531" s="32"/>
      <c r="O531" s="93">
        <v>157969.0</v>
      </c>
      <c r="P531" s="91">
        <f>IFERROR(__xludf.DUMMYFUNCTION("IFERROR(sum(FILTER($D:$N,$C:$C = $C531,$A:$A &lt; $A531,$B:$B = 12)),0) + sum($D531:$N531)"),157970.46999999994)</f>
        <v>157970.47</v>
      </c>
      <c r="Q531" s="92">
        <f t="shared" si="1"/>
        <v>-1.47</v>
      </c>
      <c r="R531" s="91">
        <f t="array" ref="R531">IFERROR(INDEX('Fund YTD Target Values'!$1:$1000, MATCH($C531,'Fund YTD Target Values'!$A:$A,0), MATCH($A531,'Fund YTD Target Values'!$1:$1,0)),0)</f>
        <v>151442.9959</v>
      </c>
      <c r="S531" s="91">
        <f>IFERROR(__xludf.DUMMYFUNCTION("IFERROR(sum(FILTER('Fund Investment Data'!$V:$V, 'Fund Investment Data'!$C:$C = $C531, 'Fund Investment Data'!$A:$A &lt; $A531)),0) + IFERROR(sum(FILTER('Fund Investment Data'!$V:$V, 'Fund Investment Data'!$C:$C = $C531, 'Fund Investment Data'!$A:$A = $A531,"&amp;" 'Fund Investment Data'!$B:$B &lt;= $B531)),0)"),112136.10999999999)</f>
        <v>112136.11</v>
      </c>
      <c r="T531" s="93">
        <v>108220.0</v>
      </c>
      <c r="U531" s="32">
        <f t="shared" si="3"/>
        <v>3916.11</v>
      </c>
      <c r="V531" s="32">
        <f>IFERROR(__xludf.DUMMYFUNCTION("$D531 - IFERROR(FILTER($D:$D,$C:$C = $C531, $A:$A = $A531, $B:$B = $B531 - 1),0)"),141.0)</f>
        <v>141</v>
      </c>
      <c r="W531" s="93">
        <f>IFERROR(__xludf.DUMMYFUNCTION("$E531 - IFERROR(FILTER($E:$E,$C:$C = $C531, $A:$A = $A531, $B:$B = $B531 - 1),0)"),0.0)</f>
        <v>0</v>
      </c>
      <c r="X531" s="93"/>
      <c r="Y531" s="93"/>
      <c r="Z531" s="93">
        <v>0.0</v>
      </c>
      <c r="AA531" s="93">
        <v>0.0</v>
      </c>
      <c r="AB531" s="93">
        <v>0.0</v>
      </c>
      <c r="AC531" s="93"/>
      <c r="AD531" s="93">
        <v>0.0</v>
      </c>
      <c r="AE531" s="32">
        <f t="shared" si="2"/>
        <v>0</v>
      </c>
      <c r="AF531" s="93">
        <v>0.0</v>
      </c>
    </row>
    <row r="532">
      <c r="A532" s="86">
        <v>2017.0</v>
      </c>
      <c r="B532" s="87">
        <v>3.0</v>
      </c>
      <c r="C532" s="88" t="s">
        <v>55</v>
      </c>
      <c r="D532" s="32"/>
      <c r="E532" s="32"/>
      <c r="F532" s="32"/>
      <c r="G532" s="93">
        <v>-290.39</v>
      </c>
      <c r="H532" s="93">
        <v>694.54</v>
      </c>
      <c r="I532" s="32"/>
      <c r="J532" s="93">
        <v>2833.98</v>
      </c>
      <c r="K532" s="32"/>
      <c r="L532" s="32"/>
      <c r="M532" s="32"/>
      <c r="N532" s="32"/>
      <c r="O532" s="93">
        <v>145113.0</v>
      </c>
      <c r="P532" s="91">
        <f>IFERROR(__xludf.DUMMYFUNCTION("IFERROR(sum(FILTER($D:$N,$C:$C = $C532,$A:$A &lt; $A532,$B:$B = 12)),0) + sum($D532:$N532)"),145113.41999999998)</f>
        <v>145113.42</v>
      </c>
      <c r="Q532" s="92">
        <f t="shared" si="1"/>
        <v>-0.42</v>
      </c>
      <c r="R532" s="91">
        <f t="array" ref="R532">IFERROR(INDEX('Fund YTD Target Values'!$1:$1000, MATCH($C532,'Fund YTD Target Values'!$A:$A,0), MATCH($A532,'Fund YTD Target Values'!$1:$1,0)),0)</f>
        <v>213886.3799</v>
      </c>
      <c r="S532" s="91">
        <f>IFERROR(__xludf.DUMMYFUNCTION("IFERROR(sum(FILTER('Fund Investment Data'!$V:$V, 'Fund Investment Data'!$C:$C = $C532, 'Fund Investment Data'!$A:$A &lt; $A532)),0) + IFERROR(sum(FILTER('Fund Investment Data'!$V:$V, 'Fund Investment Data'!$C:$C = $C532, 'Fund Investment Data'!$A:$A = $A532,"&amp;" 'Fund Investment Data'!$B:$B &lt;= $B532)),0)"),140000.0)</f>
        <v>140000</v>
      </c>
      <c r="T532" s="93">
        <v>167565.0</v>
      </c>
      <c r="U532" s="32">
        <f t="shared" si="3"/>
        <v>-27565</v>
      </c>
      <c r="V532" s="32">
        <f>IFERROR(__xludf.DUMMYFUNCTION("$D532 - IFERROR(FILTER($D:$D,$C:$C = $C532, $A:$A = $A532, $B:$B = $B532 - 1),0)"),0.0)</f>
        <v>0</v>
      </c>
      <c r="W532" s="93">
        <f>IFERROR(__xludf.DUMMYFUNCTION("$E532 - IFERROR(FILTER($E:$E,$C:$C = $C532, $A:$A = $A532, $B:$B = $B532 - 1),0)"),0.0)</f>
        <v>0</v>
      </c>
      <c r="X532" s="93"/>
      <c r="Y532" s="93"/>
      <c r="Z532" s="93">
        <v>0.0</v>
      </c>
      <c r="AA532" s="93">
        <v>0.0</v>
      </c>
      <c r="AB532" s="93">
        <v>0.0</v>
      </c>
      <c r="AC532" s="93"/>
      <c r="AD532" s="93">
        <v>0.0</v>
      </c>
      <c r="AE532" s="32">
        <f t="shared" si="2"/>
        <v>0</v>
      </c>
      <c r="AF532" s="93">
        <v>0.0</v>
      </c>
    </row>
    <row r="533">
      <c r="A533" s="86">
        <v>2017.0</v>
      </c>
      <c r="B533" s="87">
        <v>3.0</v>
      </c>
      <c r="C533" s="88" t="s">
        <v>44</v>
      </c>
      <c r="D533" s="32"/>
      <c r="E533" s="32"/>
      <c r="F533" s="32"/>
      <c r="G533" s="93">
        <v>-409.13</v>
      </c>
      <c r="H533" s="93">
        <v>2407.85</v>
      </c>
      <c r="I533" s="32"/>
      <c r="J533" s="93">
        <v>10645.92</v>
      </c>
      <c r="K533" s="32"/>
      <c r="L533" s="32"/>
      <c r="M533" s="32"/>
      <c r="N533" s="32"/>
      <c r="O533" s="93">
        <v>279495.0</v>
      </c>
      <c r="P533" s="91">
        <f>IFERROR(__xludf.DUMMYFUNCTION("IFERROR(sum(FILTER($D:$N,$C:$C = $C533,$A:$A &lt; $A533,$B:$B = 12)),0) + sum($D533:$N533)"),279495.79000000015)</f>
        <v>279495.79</v>
      </c>
      <c r="Q533" s="92">
        <f t="shared" si="1"/>
        <v>-0.7900000002</v>
      </c>
      <c r="R533" s="91">
        <f t="array" ref="R533">IFERROR(INDEX('Fund YTD Target Values'!$1:$1000, MATCH($C533,'Fund YTD Target Values'!$A:$A,0), MATCH($A533,'Fund YTD Target Values'!$1:$1,0)),0)</f>
        <v>313918.5223</v>
      </c>
      <c r="S533" s="91">
        <f>IFERROR(__xludf.DUMMYFUNCTION("IFERROR(sum(FILTER('Fund Investment Data'!$V:$V, 'Fund Investment Data'!$C:$C = $C533, 'Fund Investment Data'!$A:$A &lt; $A533)),0) + IFERROR(sum(FILTER('Fund Investment Data'!$V:$V, 'Fund Investment Data'!$C:$C = $C533, 'Fund Investment Data'!$A:$A = $A533,"&amp;" 'Fund Investment Data'!$B:$B &lt;= $B533)),0)"),250000.0)</f>
        <v>250000</v>
      </c>
      <c r="T533" s="93">
        <v>250000.0</v>
      </c>
      <c r="U533" s="32">
        <f t="shared" si="3"/>
        <v>0</v>
      </c>
      <c r="V533" s="32">
        <f>IFERROR(__xludf.DUMMYFUNCTION("$D533 - IFERROR(FILTER($D:$D,$C:$C = $C533, $A:$A = $A533, $B:$B = $B533 - 1),0)"),0.0)</f>
        <v>0</v>
      </c>
      <c r="W533" s="93">
        <f>IFERROR(__xludf.DUMMYFUNCTION("$E533 - IFERROR(FILTER($E:$E,$C:$C = $C533, $A:$A = $A533, $B:$B = $B533 - 1),0)"),0.0)</f>
        <v>0</v>
      </c>
      <c r="X533" s="93"/>
      <c r="Y533" s="93"/>
      <c r="Z533" s="93">
        <v>0.0</v>
      </c>
      <c r="AA533" s="93">
        <v>0.0</v>
      </c>
      <c r="AB533" s="93">
        <v>0.0</v>
      </c>
      <c r="AC533" s="93"/>
      <c r="AD533" s="93">
        <v>0.0</v>
      </c>
      <c r="AE533" s="32">
        <f t="shared" si="2"/>
        <v>0</v>
      </c>
      <c r="AF533" s="93">
        <v>0.0</v>
      </c>
    </row>
    <row r="534">
      <c r="A534" s="86">
        <v>2017.0</v>
      </c>
      <c r="B534" s="87">
        <v>3.0</v>
      </c>
      <c r="C534" s="88" t="s">
        <v>45</v>
      </c>
      <c r="D534" s="32"/>
      <c r="E534" s="32"/>
      <c r="F534" s="32"/>
      <c r="G534" s="93">
        <v>-205.21</v>
      </c>
      <c r="H534" s="93">
        <v>1171.89</v>
      </c>
      <c r="I534" s="32"/>
      <c r="J534" s="93">
        <v>5166.47</v>
      </c>
      <c r="K534" s="32"/>
      <c r="L534" s="32"/>
      <c r="M534" s="32"/>
      <c r="N534" s="32"/>
      <c r="O534" s="93">
        <v>140078.0</v>
      </c>
      <c r="P534" s="91">
        <f>IFERROR(__xludf.DUMMYFUNCTION("IFERROR(sum(FILTER($D:$N,$C:$C = $C534,$A:$A &lt; $A534,$B:$B = 12)),0) + sum($D534:$N534)"),140077.97999999998)</f>
        <v>140077.98</v>
      </c>
      <c r="Q534" s="92">
        <f t="shared" si="1"/>
        <v>0.02000000002</v>
      </c>
      <c r="R534" s="91">
        <f t="array" ref="R534">IFERROR(INDEX('Fund YTD Target Values'!$1:$1000, MATCH($C534,'Fund YTD Target Values'!$A:$A,0), MATCH($A534,'Fund YTD Target Values'!$1:$1,0)),0)</f>
        <v>118351.1878</v>
      </c>
      <c r="S534" s="91">
        <f>IFERROR(__xludf.DUMMYFUNCTION("IFERROR(sum(FILTER('Fund Investment Data'!$V:$V, 'Fund Investment Data'!$C:$C = $C534, 'Fund Investment Data'!$A:$A &lt; $A534)),0) + IFERROR(sum(FILTER('Fund Investment Data'!$V:$V, 'Fund Investment Data'!$C:$C = $C534, 'Fund Investment Data'!$A:$A = $A534,"&amp;" 'Fund Investment Data'!$B:$B &lt;= $B534)),0)"),100000.0)</f>
        <v>100000</v>
      </c>
      <c r="T534" s="93">
        <v>100000.0</v>
      </c>
      <c r="U534" s="32">
        <f t="shared" si="3"/>
        <v>0</v>
      </c>
      <c r="V534" s="32">
        <f>IFERROR(__xludf.DUMMYFUNCTION("$D534 - IFERROR(FILTER($D:$D,$C:$C = $C534, $A:$A = $A534, $B:$B = $B534 - 1),0)"),0.0)</f>
        <v>0</v>
      </c>
      <c r="W534" s="93">
        <f>IFERROR(__xludf.DUMMYFUNCTION("$E534 - IFERROR(FILTER($E:$E,$C:$C = $C534, $A:$A = $A534, $B:$B = $B534 - 1),0)"),0.0)</f>
        <v>0</v>
      </c>
      <c r="X534" s="93"/>
      <c r="Y534" s="93"/>
      <c r="Z534" s="93">
        <v>0.0</v>
      </c>
      <c r="AA534" s="93">
        <v>0.0</v>
      </c>
      <c r="AB534" s="93">
        <v>0.0</v>
      </c>
      <c r="AC534" s="93"/>
      <c r="AD534" s="93">
        <v>0.0</v>
      </c>
      <c r="AE534" s="32">
        <f t="shared" si="2"/>
        <v>0</v>
      </c>
      <c r="AF534" s="93">
        <v>0.0</v>
      </c>
    </row>
    <row r="535">
      <c r="A535" s="86">
        <v>2017.0</v>
      </c>
      <c r="B535" s="87">
        <v>3.0</v>
      </c>
      <c r="C535" s="88" t="s">
        <v>35</v>
      </c>
      <c r="D535" s="32"/>
      <c r="E535" s="32"/>
      <c r="F535" s="32"/>
      <c r="G535" s="93">
        <v>-2055.83</v>
      </c>
      <c r="H535" s="93">
        <v>12109.67</v>
      </c>
      <c r="I535" s="32"/>
      <c r="J535" s="93">
        <v>53543.67</v>
      </c>
      <c r="K535" s="32"/>
      <c r="L535" s="32"/>
      <c r="M535" s="32"/>
      <c r="N535" s="32"/>
      <c r="O535" s="93">
        <v>1404456.0</v>
      </c>
      <c r="P535" s="91">
        <f>IFERROR(__xludf.DUMMYFUNCTION("IFERROR(sum(FILTER($D:$N,$C:$C = $C535,$A:$A &lt; $A535,$B:$B = 12)),0) + sum($D535:$N535)"),1404455.1800000004)</f>
        <v>1404455.18</v>
      </c>
      <c r="Q535" s="92">
        <f t="shared" si="1"/>
        <v>0.8199999996</v>
      </c>
      <c r="R535" s="91">
        <f t="array" ref="R535">IFERROR(INDEX('Fund YTD Target Values'!$1:$1000, MATCH($C535,'Fund YTD Target Values'!$A:$A,0), MATCH($A535,'Fund YTD Target Values'!$1:$1,0)),0)</f>
        <v>1541591.16</v>
      </c>
      <c r="S535" s="91">
        <f>IFERROR(__xludf.DUMMYFUNCTION("IFERROR(sum(FILTER('Fund Investment Data'!$V:$V, 'Fund Investment Data'!$C:$C = $C535, 'Fund Investment Data'!$A:$A &lt; $A535)),0) + IFERROR(sum(FILTER('Fund Investment Data'!$V:$V, 'Fund Investment Data'!$C:$C = $C535, 'Fund Investment Data'!$A:$A = $A535,"&amp;" 'Fund Investment Data'!$B:$B &lt;= $B535)),0)"),1086625.0)</f>
        <v>1086625</v>
      </c>
      <c r="T535" s="93">
        <v>1071625.0</v>
      </c>
      <c r="U535" s="32">
        <f t="shared" si="3"/>
        <v>15000</v>
      </c>
      <c r="V535" s="32">
        <f>IFERROR(__xludf.DUMMYFUNCTION("$D535 - IFERROR(FILTER($D:$D,$C:$C = $C535, $A:$A = $A535, $B:$B = $B535 - 1),0)"),0.0)</f>
        <v>0</v>
      </c>
      <c r="W535" s="93">
        <f>IFERROR(__xludf.DUMMYFUNCTION("$E535 - IFERROR(FILTER($E:$E,$C:$C = $C535, $A:$A = $A535, $B:$B = $B535 - 1),0)"),0.0)</f>
        <v>0</v>
      </c>
      <c r="X535" s="93"/>
      <c r="Y535" s="93"/>
      <c r="Z535" s="93">
        <v>0.0</v>
      </c>
      <c r="AA535" s="93">
        <v>0.0</v>
      </c>
      <c r="AB535" s="93">
        <v>0.0</v>
      </c>
      <c r="AC535" s="93"/>
      <c r="AD535" s="93">
        <v>0.0</v>
      </c>
      <c r="AE535" s="32">
        <f t="shared" si="2"/>
        <v>0</v>
      </c>
      <c r="AF535" s="93">
        <v>0.0</v>
      </c>
    </row>
    <row r="536">
      <c r="A536" s="86">
        <v>2017.0</v>
      </c>
      <c r="B536" s="87">
        <v>3.0</v>
      </c>
      <c r="C536" s="88" t="s">
        <v>56</v>
      </c>
      <c r="D536" s="32"/>
      <c r="E536" s="32"/>
      <c r="F536" s="32"/>
      <c r="G536" s="93">
        <v>-1531.64</v>
      </c>
      <c r="H536" s="93">
        <v>8746.58</v>
      </c>
      <c r="I536" s="32"/>
      <c r="J536" s="93">
        <v>38561.01</v>
      </c>
      <c r="K536" s="32"/>
      <c r="L536" s="32"/>
      <c r="M536" s="32"/>
      <c r="N536" s="32"/>
      <c r="O536" s="93">
        <v>1045495.0</v>
      </c>
      <c r="P536" s="91">
        <f>IFERROR(__xludf.DUMMYFUNCTION("IFERROR(sum(FILTER($D:$N,$C:$C = $C536,$A:$A &lt; $A536,$B:$B = 12)),0) + sum($D536:$N536)"),1045494.5699999998)</f>
        <v>1045494.57</v>
      </c>
      <c r="Q536" s="92">
        <f t="shared" si="1"/>
        <v>0.4300000002</v>
      </c>
      <c r="R536" s="91">
        <f t="array" ref="R536">IFERROR(INDEX('Fund YTD Target Values'!$1:$1000, MATCH($C536,'Fund YTD Target Values'!$A:$A,0), MATCH($A536,'Fund YTD Target Values'!$1:$1,0)),0)</f>
        <v>1035433.228</v>
      </c>
      <c r="S536" s="91">
        <f>IFERROR(__xludf.DUMMYFUNCTION("IFERROR(sum(FILTER('Fund Investment Data'!$V:$V, 'Fund Investment Data'!$C:$C = $C536, 'Fund Investment Data'!$A:$A &lt; $A536)),0) + IFERROR(sum(FILTER('Fund Investment Data'!$V:$V, 'Fund Investment Data'!$C:$C = $C536, 'Fund Investment Data'!$A:$A = $A536,"&amp;" 'Fund Investment Data'!$B:$B &lt;= $B536)),0)"),1000000.0)</f>
        <v>1000000</v>
      </c>
      <c r="T536" s="93">
        <v>1000000.0</v>
      </c>
      <c r="U536" s="32">
        <f t="shared" si="3"/>
        <v>0</v>
      </c>
      <c r="V536" s="32">
        <f>IFERROR(__xludf.DUMMYFUNCTION("$D536 - IFERROR(FILTER($D:$D,$C:$C = $C536, $A:$A = $A536, $B:$B = $B536 - 1),0)"),0.0)</f>
        <v>0</v>
      </c>
      <c r="W536" s="93">
        <f>IFERROR(__xludf.DUMMYFUNCTION("$E536 - IFERROR(FILTER($E:$E,$C:$C = $C536, $A:$A = $A536, $B:$B = $B536 - 1),0)"),0.0)</f>
        <v>0</v>
      </c>
      <c r="X536" s="93"/>
      <c r="Y536" s="93"/>
      <c r="Z536" s="93">
        <v>0.0</v>
      </c>
      <c r="AA536" s="93">
        <v>0.0</v>
      </c>
      <c r="AB536" s="93">
        <v>0.0</v>
      </c>
      <c r="AC536" s="93"/>
      <c r="AD536" s="93">
        <v>0.0</v>
      </c>
      <c r="AE536" s="32">
        <f t="shared" si="2"/>
        <v>0</v>
      </c>
      <c r="AF536" s="93">
        <v>0.0</v>
      </c>
    </row>
    <row r="537">
      <c r="A537" s="86">
        <v>2017.0</v>
      </c>
      <c r="B537" s="87">
        <v>4.0</v>
      </c>
      <c r="C537" s="88" t="s">
        <v>26</v>
      </c>
      <c r="D537" s="93">
        <v>9843.0</v>
      </c>
      <c r="E537" s="32"/>
      <c r="F537" s="32"/>
      <c r="G537" s="93">
        <v>-608.13</v>
      </c>
      <c r="H537" s="93">
        <v>3447.83</v>
      </c>
      <c r="I537" s="32"/>
      <c r="J537" s="93">
        <v>14574.98</v>
      </c>
      <c r="K537" s="32"/>
      <c r="L537" s="32"/>
      <c r="M537" s="32"/>
      <c r="N537" s="32"/>
      <c r="O537" s="93">
        <v>315741.0</v>
      </c>
      <c r="P537" s="91">
        <f>IFERROR(__xludf.DUMMYFUNCTION("IFERROR(sum(FILTER($D:$N,$C:$C = $C537,$A:$A &lt; $A537,$B:$B = 12)),0) + sum($D537:$N537)"),315740.36999999994)</f>
        <v>315740.37</v>
      </c>
      <c r="Q537" s="92">
        <f t="shared" si="1"/>
        <v>0.6300000001</v>
      </c>
      <c r="R537" s="91">
        <f t="array" ref="R537">IFERROR(INDEX('Fund YTD Target Values'!$1:$1000, MATCH($C537,'Fund YTD Target Values'!$A:$A,0), MATCH($A537,'Fund YTD Target Values'!$1:$1,0)),0)</f>
        <v>351339.7985</v>
      </c>
      <c r="S537" s="91">
        <f>IFERROR(__xludf.DUMMYFUNCTION("IFERROR(sum(FILTER('Fund Investment Data'!$V:$V, 'Fund Investment Data'!$C:$C = $C537, 'Fund Investment Data'!$A:$A &lt; $A537)),0) + IFERROR(sum(FILTER('Fund Investment Data'!$V:$V, 'Fund Investment Data'!$C:$C = $C537, 'Fund Investment Data'!$A:$A = $A537,"&amp;" 'Fund Investment Data'!$B:$B &lt;= $B537)),0)"),291810.0)</f>
        <v>291810</v>
      </c>
      <c r="T537" s="93">
        <v>291811.0</v>
      </c>
      <c r="U537" s="32">
        <f t="shared" si="3"/>
        <v>-1</v>
      </c>
      <c r="V537" s="32">
        <f>IFERROR(__xludf.DUMMYFUNCTION("$D537 - IFERROR(FILTER($D:$D,$C:$C = $C537, $A:$A = $A537, $B:$B = $B537 - 1),0)"),0.0)</f>
        <v>0</v>
      </c>
      <c r="W537" s="93">
        <f>IFERROR(__xludf.DUMMYFUNCTION("$E537 - IFERROR(FILTER($E:$E,$C:$C = $C537, $A:$A = $A537, $B:$B = $B537 - 1),0)"),0.0)</f>
        <v>0</v>
      </c>
      <c r="X537" s="93"/>
      <c r="Y537" s="93"/>
      <c r="Z537" s="93">
        <v>0.0</v>
      </c>
      <c r="AA537" s="93">
        <v>0.0</v>
      </c>
      <c r="AB537" s="93">
        <v>0.0</v>
      </c>
      <c r="AC537" s="93"/>
      <c r="AD537" s="93">
        <v>0.0</v>
      </c>
      <c r="AE537" s="32">
        <f t="shared" si="2"/>
        <v>0</v>
      </c>
      <c r="AF537" s="93">
        <v>0.0</v>
      </c>
    </row>
    <row r="538">
      <c r="A538" s="86">
        <v>2017.0</v>
      </c>
      <c r="B538" s="87">
        <v>4.0</v>
      </c>
      <c r="C538" s="88" t="s">
        <v>27</v>
      </c>
      <c r="D538" s="32"/>
      <c r="E538" s="32"/>
      <c r="F538" s="32"/>
      <c r="G538" s="93">
        <v>-579.0</v>
      </c>
      <c r="H538" s="93">
        <v>3351.5</v>
      </c>
      <c r="I538" s="32"/>
      <c r="J538" s="93">
        <v>14198.92</v>
      </c>
      <c r="K538" s="32"/>
      <c r="L538" s="32"/>
      <c r="M538" s="32"/>
      <c r="N538" s="32"/>
      <c r="O538" s="93">
        <v>298484.0</v>
      </c>
      <c r="P538" s="91">
        <f>IFERROR(__xludf.DUMMYFUNCTION("IFERROR(sum(FILTER($D:$N,$C:$C = $C538,$A:$A &lt; $A538,$B:$B = 12)),0) + sum($D538:$N538)"),298484.5800000001)</f>
        <v>298484.58</v>
      </c>
      <c r="Q538" s="92">
        <f t="shared" si="1"/>
        <v>-0.5800000001</v>
      </c>
      <c r="R538" s="91">
        <f t="array" ref="R538">IFERROR(INDEX('Fund YTD Target Values'!$1:$1000, MATCH($C538,'Fund YTD Target Values'!$A:$A,0), MATCH($A538,'Fund YTD Target Values'!$1:$1,0)),0)</f>
        <v>383919.6363</v>
      </c>
      <c r="S538" s="91">
        <f>IFERROR(__xludf.DUMMYFUNCTION("IFERROR(sum(FILTER('Fund Investment Data'!$V:$V, 'Fund Investment Data'!$C:$C = $C538, 'Fund Investment Data'!$A:$A &lt; $A538)),0) + IFERROR(sum(FILTER('Fund Investment Data'!$V:$V, 'Fund Investment Data'!$C:$C = $C538, 'Fund Investment Data'!$A:$A = $A538,"&amp;" 'Fund Investment Data'!$B:$B &lt;= $B538)),0)"),276213.69999999995)</f>
        <v>276213.7</v>
      </c>
      <c r="T538" s="93">
        <v>272248.0</v>
      </c>
      <c r="U538" s="32">
        <f t="shared" si="3"/>
        <v>3965.7</v>
      </c>
      <c r="V538" s="32">
        <f>IFERROR(__xludf.DUMMYFUNCTION("$D538 - IFERROR(FILTER($D:$D,$C:$C = $C538, $A:$A = $A538, $B:$B = $B538 - 1),0)"),0.0)</f>
        <v>0</v>
      </c>
      <c r="W538" s="93">
        <f>IFERROR(__xludf.DUMMYFUNCTION("$E538 - IFERROR(FILTER($E:$E,$C:$C = $C538, $A:$A = $A538, $B:$B = $B538 - 1),0)"),0.0)</f>
        <v>0</v>
      </c>
      <c r="X538" s="93"/>
      <c r="Y538" s="93"/>
      <c r="Z538" s="93">
        <v>0.0</v>
      </c>
      <c r="AA538" s="93">
        <v>0.0</v>
      </c>
      <c r="AB538" s="93">
        <v>0.0</v>
      </c>
      <c r="AC538" s="93"/>
      <c r="AD538" s="93">
        <v>0.0</v>
      </c>
      <c r="AE538" s="32">
        <f t="shared" si="2"/>
        <v>0</v>
      </c>
      <c r="AF538" s="93">
        <v>0.0</v>
      </c>
    </row>
    <row r="539">
      <c r="A539" s="86">
        <v>2017.0</v>
      </c>
      <c r="B539" s="87">
        <v>4.0</v>
      </c>
      <c r="C539" s="88" t="s">
        <v>28</v>
      </c>
      <c r="D539" s="32"/>
      <c r="E539" s="32"/>
      <c r="F539" s="32"/>
      <c r="G539" s="93">
        <v>-6291.43</v>
      </c>
      <c r="H539" s="93">
        <v>36500.5</v>
      </c>
      <c r="I539" s="32"/>
      <c r="J539" s="93">
        <v>154675.11</v>
      </c>
      <c r="K539" s="32"/>
      <c r="L539" s="32"/>
      <c r="M539" s="32"/>
      <c r="N539" s="32"/>
      <c r="O539" s="93">
        <v>3243518.0</v>
      </c>
      <c r="P539" s="91">
        <f>IFERROR(__xludf.DUMMYFUNCTION("IFERROR(sum(FILTER($D:$N,$C:$C = $C539,$A:$A &lt; $A539,$B:$B = 12)),0) + sum($D539:$N539)"),3243517.46)</f>
        <v>3243517.46</v>
      </c>
      <c r="Q539" s="92">
        <f t="shared" si="1"/>
        <v>0.54</v>
      </c>
      <c r="R539" s="91">
        <f t="array" ref="R539">IFERROR(INDEX('Fund YTD Target Values'!$1:$1000, MATCH($C539,'Fund YTD Target Values'!$A:$A,0), MATCH($A539,'Fund YTD Target Values'!$1:$1,0)),0)</f>
        <v>3748913.384</v>
      </c>
      <c r="S539" s="91">
        <f>IFERROR(__xludf.DUMMYFUNCTION("IFERROR(sum(FILTER('Fund Investment Data'!$V:$V, 'Fund Investment Data'!$C:$C = $C539, 'Fund Investment Data'!$A:$A &lt; $A539)),0) + IFERROR(sum(FILTER('Fund Investment Data'!$V:$V, 'Fund Investment Data'!$C:$C = $C539, 'Fund Investment Data'!$A:$A = $A539,"&amp;" 'Fund Investment Data'!$B:$B &lt;= $B539)),0)"),2960091.25)</f>
        <v>2960091.25</v>
      </c>
      <c r="T539" s="93">
        <v>3009816.0</v>
      </c>
      <c r="U539" s="32">
        <f t="shared" si="3"/>
        <v>-49724.75</v>
      </c>
      <c r="V539" s="32">
        <f>IFERROR(__xludf.DUMMYFUNCTION("$D539 - IFERROR(FILTER($D:$D,$C:$C = $C539, $A:$A = $A539, $B:$B = $B539 - 1),0)"),0.0)</f>
        <v>0</v>
      </c>
      <c r="W539" s="93">
        <f>IFERROR(__xludf.DUMMYFUNCTION("$E539 - IFERROR(FILTER($E:$E,$C:$C = $C539, $A:$A = $A539, $B:$B = $B539 - 1),0)"),0.0)</f>
        <v>0</v>
      </c>
      <c r="X539" s="93"/>
      <c r="Y539" s="93"/>
      <c r="Z539" s="93">
        <v>0.0</v>
      </c>
      <c r="AA539" s="93">
        <v>0.0</v>
      </c>
      <c r="AB539" s="93">
        <v>0.0</v>
      </c>
      <c r="AC539" s="93"/>
      <c r="AD539" s="93">
        <v>0.0</v>
      </c>
      <c r="AE539" s="32">
        <f t="shared" si="2"/>
        <v>0</v>
      </c>
      <c r="AF539" s="93">
        <v>0.0</v>
      </c>
    </row>
    <row r="540">
      <c r="A540" s="86">
        <v>2017.0</v>
      </c>
      <c r="B540" s="87">
        <v>4.0</v>
      </c>
      <c r="C540" s="88" t="s">
        <v>46</v>
      </c>
      <c r="D540" s="32"/>
      <c r="E540" s="32"/>
      <c r="F540" s="32"/>
      <c r="G540" s="93">
        <v>-785.48</v>
      </c>
      <c r="H540" s="93">
        <v>4553.27</v>
      </c>
      <c r="I540" s="32"/>
      <c r="J540" s="93">
        <v>19293.56</v>
      </c>
      <c r="K540" s="32"/>
      <c r="L540" s="32"/>
      <c r="M540" s="32"/>
      <c r="N540" s="32"/>
      <c r="O540" s="93">
        <v>404941.0</v>
      </c>
      <c r="P540" s="91">
        <f>IFERROR(__xludf.DUMMYFUNCTION("IFERROR(sum(FILTER($D:$N,$C:$C = $C540,$A:$A &lt; $A540,$B:$B = 12)),0) + sum($D540:$N540)"),404941.9)</f>
        <v>404941.9</v>
      </c>
      <c r="Q540" s="92">
        <f t="shared" si="1"/>
        <v>-0.9</v>
      </c>
      <c r="R540" s="91">
        <f t="array" ref="R540">IFERROR(INDEX('Fund YTD Target Values'!$1:$1000, MATCH($C540,'Fund YTD Target Values'!$A:$A,0), MATCH($A540,'Fund YTD Target Values'!$1:$1,0)),0)</f>
        <v>445660.8761</v>
      </c>
      <c r="S540" s="91">
        <f>IFERROR(__xludf.DUMMYFUNCTION("IFERROR(sum(FILTER('Fund Investment Data'!$V:$V, 'Fund Investment Data'!$C:$C = $C540, 'Fund Investment Data'!$A:$A &lt; $A540)),0) + IFERROR(sum(FILTER('Fund Investment Data'!$V:$V, 'Fund Investment Data'!$C:$C = $C540, 'Fund Investment Data'!$A:$A = $A540,"&amp;" 'Fund Investment Data'!$B:$B &lt;= $B540)),0)"),366400.0)</f>
        <v>366400</v>
      </c>
      <c r="T540" s="93">
        <v>366400.0</v>
      </c>
      <c r="U540" s="32">
        <f t="shared" si="3"/>
        <v>0</v>
      </c>
      <c r="V540" s="32">
        <f>IFERROR(__xludf.DUMMYFUNCTION("$D540 - IFERROR(FILTER($D:$D,$C:$C = $C540, $A:$A = $A540, $B:$B = $B540 - 1),0)"),0.0)</f>
        <v>0</v>
      </c>
      <c r="W540" s="93">
        <f>IFERROR(__xludf.DUMMYFUNCTION("$E540 - IFERROR(FILTER($E:$E,$C:$C = $C540, $A:$A = $A540, $B:$B = $B540 - 1),0)"),0.0)</f>
        <v>0</v>
      </c>
      <c r="X540" s="93"/>
      <c r="Y540" s="93"/>
      <c r="Z540" s="93">
        <v>0.0</v>
      </c>
      <c r="AA540" s="93">
        <v>0.0</v>
      </c>
      <c r="AB540" s="93">
        <v>0.0</v>
      </c>
      <c r="AC540" s="93"/>
      <c r="AD540" s="93">
        <v>0.0</v>
      </c>
      <c r="AE540" s="32">
        <f t="shared" si="2"/>
        <v>0</v>
      </c>
      <c r="AF540" s="93">
        <v>0.0</v>
      </c>
    </row>
    <row r="541">
      <c r="A541" s="86">
        <v>2017.0</v>
      </c>
      <c r="B541" s="87">
        <v>4.0</v>
      </c>
      <c r="C541" s="88" t="s">
        <v>36</v>
      </c>
      <c r="D541" s="32"/>
      <c r="E541" s="32"/>
      <c r="F541" s="32"/>
      <c r="G541" s="93">
        <v>-860.59</v>
      </c>
      <c r="H541" s="93">
        <v>4981.32</v>
      </c>
      <c r="I541" s="32"/>
      <c r="J541" s="93">
        <v>21103.78</v>
      </c>
      <c r="K541" s="32"/>
      <c r="L541" s="32"/>
      <c r="M541" s="32"/>
      <c r="N541" s="32"/>
      <c r="O541" s="93">
        <v>443635.0</v>
      </c>
      <c r="P541" s="91">
        <f>IFERROR(__xludf.DUMMYFUNCTION("IFERROR(sum(FILTER($D:$N,$C:$C = $C541,$A:$A &lt; $A541,$B:$B = 12)),0) + sum($D541:$N541)"),443634.93000000005)</f>
        <v>443634.93</v>
      </c>
      <c r="Q541" s="92">
        <f t="shared" si="1"/>
        <v>0.06999999995</v>
      </c>
      <c r="R541" s="91">
        <f t="array" ref="R541">IFERROR(INDEX('Fund YTD Target Values'!$1:$1000, MATCH($C541,'Fund YTD Target Values'!$A:$A,0), MATCH($A541,'Fund YTD Target Values'!$1:$1,0)),0)</f>
        <v>620333.8441</v>
      </c>
      <c r="S541" s="91">
        <f>IFERROR(__xludf.DUMMYFUNCTION("IFERROR(sum(FILTER('Fund Investment Data'!$V:$V, 'Fund Investment Data'!$C:$C = $C541, 'Fund Investment Data'!$A:$A &lt; $A541)),0) + IFERROR(sum(FILTER('Fund Investment Data'!$V:$V, 'Fund Investment Data'!$C:$C = $C541, 'Fund Investment Data'!$A:$A = $A541,"&amp;" 'Fund Investment Data'!$B:$B &lt;= $B541)),0)"),429067.24)</f>
        <v>429067.24</v>
      </c>
      <c r="T541" s="93">
        <v>413959.0</v>
      </c>
      <c r="U541" s="32">
        <f t="shared" si="3"/>
        <v>15108.24</v>
      </c>
      <c r="V541" s="32">
        <f>IFERROR(__xludf.DUMMYFUNCTION("$D541 - IFERROR(FILTER($D:$D,$C:$C = $C541, $A:$A = $A541, $B:$B = $B541 - 1),0)"),0.0)</f>
        <v>0</v>
      </c>
      <c r="W541" s="93">
        <f>IFERROR(__xludf.DUMMYFUNCTION("$E541 - IFERROR(FILTER($E:$E,$C:$C = $C541, $A:$A = $A541, $B:$B = $B541 - 1),0)"),0.0)</f>
        <v>0</v>
      </c>
      <c r="X541" s="93"/>
      <c r="Y541" s="93"/>
      <c r="Z541" s="93">
        <v>0.0</v>
      </c>
      <c r="AA541" s="93">
        <v>0.0</v>
      </c>
      <c r="AB541" s="93">
        <v>0.0</v>
      </c>
      <c r="AC541" s="93"/>
      <c r="AD541" s="93">
        <v>0.0</v>
      </c>
      <c r="AE541" s="32">
        <f t="shared" si="2"/>
        <v>0</v>
      </c>
      <c r="AF541" s="93">
        <v>0.0</v>
      </c>
    </row>
    <row r="542">
      <c r="A542" s="86">
        <v>2017.0</v>
      </c>
      <c r="B542" s="87">
        <v>4.0</v>
      </c>
      <c r="C542" s="88" t="s">
        <v>37</v>
      </c>
      <c r="D542" s="32"/>
      <c r="E542" s="32"/>
      <c r="F542" s="32"/>
      <c r="G542" s="93">
        <v>-1617.51</v>
      </c>
      <c r="H542" s="93">
        <v>9384.45</v>
      </c>
      <c r="I542" s="32"/>
      <c r="J542" s="93">
        <v>39766.86</v>
      </c>
      <c r="K542" s="32"/>
      <c r="L542" s="32"/>
      <c r="M542" s="32"/>
      <c r="N542" s="32"/>
      <c r="O542" s="93">
        <v>833905.0</v>
      </c>
      <c r="P542" s="91">
        <f>IFERROR(__xludf.DUMMYFUNCTION("IFERROR(sum(FILTER($D:$N,$C:$C = $C542,$A:$A &lt; $A542,$B:$B = 12)),0) + sum($D542:$N542)"),833904.81)</f>
        <v>833904.81</v>
      </c>
      <c r="Q542" s="92">
        <f t="shared" si="1"/>
        <v>0.1899999999</v>
      </c>
      <c r="R542" s="91">
        <f t="array" ref="R542">IFERROR(INDEX('Fund YTD Target Values'!$1:$1000, MATCH($C542,'Fund YTD Target Values'!$A:$A,0), MATCH($A542,'Fund YTD Target Values'!$1:$1,0)),0)</f>
        <v>825458.0276</v>
      </c>
      <c r="S542" s="91">
        <f>IFERROR(__xludf.DUMMYFUNCTION("IFERROR(sum(FILTER('Fund Investment Data'!$V:$V, 'Fund Investment Data'!$C:$C = $C542, 'Fund Investment Data'!$A:$A &lt; $A542)),0) + IFERROR(sum(FILTER('Fund Investment Data'!$V:$V, 'Fund Investment Data'!$C:$C = $C542, 'Fund Investment Data'!$A:$A = $A542,"&amp;" 'Fund Investment Data'!$B:$B &lt;= $B542)),0)"),758137.86)</f>
        <v>758137.86</v>
      </c>
      <c r="T542" s="93">
        <v>742866.0</v>
      </c>
      <c r="U542" s="32">
        <f t="shared" si="3"/>
        <v>15271.86</v>
      </c>
      <c r="V542" s="32">
        <f>IFERROR(__xludf.DUMMYFUNCTION("$D542 - IFERROR(FILTER($D:$D,$C:$C = $C542, $A:$A = $A542, $B:$B = $B542 - 1),0)"),0.0)</f>
        <v>0</v>
      </c>
      <c r="W542" s="93">
        <f>IFERROR(__xludf.DUMMYFUNCTION("$E542 - IFERROR(FILTER($E:$E,$C:$C = $C542, $A:$A = $A542, $B:$B = $B542 - 1),0)"),0.0)</f>
        <v>0</v>
      </c>
      <c r="X542" s="93"/>
      <c r="Y542" s="93"/>
      <c r="Z542" s="93">
        <v>0.0</v>
      </c>
      <c r="AA542" s="93">
        <v>0.0</v>
      </c>
      <c r="AB542" s="93">
        <v>0.0</v>
      </c>
      <c r="AC542" s="93"/>
      <c r="AD542" s="93">
        <v>0.0</v>
      </c>
      <c r="AE542" s="32">
        <f t="shared" si="2"/>
        <v>0</v>
      </c>
      <c r="AF542" s="93">
        <v>0.0</v>
      </c>
    </row>
    <row r="543">
      <c r="A543" s="86">
        <v>2017.0</v>
      </c>
      <c r="B543" s="87">
        <v>4.0</v>
      </c>
      <c r="C543" s="88" t="s">
        <v>29</v>
      </c>
      <c r="D543" s="32"/>
      <c r="E543" s="32"/>
      <c r="F543" s="32"/>
      <c r="G543" s="93">
        <v>-109.44</v>
      </c>
      <c r="H543" s="93">
        <v>633.52</v>
      </c>
      <c r="I543" s="32"/>
      <c r="J543" s="93">
        <v>2683.96</v>
      </c>
      <c r="K543" s="32"/>
      <c r="L543" s="32"/>
      <c r="M543" s="32"/>
      <c r="N543" s="32"/>
      <c r="O543" s="93">
        <v>56421.0</v>
      </c>
      <c r="P543" s="91">
        <f>IFERROR(__xludf.DUMMYFUNCTION("IFERROR(sum(FILTER($D:$N,$C:$C = $C543,$A:$A &lt; $A543,$B:$B = 12)),0) + sum($D543:$N543)"),56421.129999999925)</f>
        <v>56421.13</v>
      </c>
      <c r="Q543" s="92">
        <f t="shared" si="1"/>
        <v>-0.1299999999</v>
      </c>
      <c r="R543" s="91">
        <f t="array" ref="R543">IFERROR(INDEX('Fund YTD Target Values'!$1:$1000, MATCH($C543,'Fund YTD Target Values'!$A:$A,0), MATCH($A543,'Fund YTD Target Values'!$1:$1,0)),0)</f>
        <v>75218.58778</v>
      </c>
      <c r="S543" s="91">
        <f>IFERROR(__xludf.DUMMYFUNCTION("IFERROR(sum(FILTER('Fund Investment Data'!$V:$V, 'Fund Investment Data'!$C:$C = $C543, 'Fund Investment Data'!$A:$A &lt; $A543)),0) + IFERROR(sum(FILTER('Fund Investment Data'!$V:$V, 'Fund Investment Data'!$C:$C = $C543, 'Fund Investment Data'!$A:$A = $A543,"&amp;" 'Fund Investment Data'!$B:$B &lt;= $B543)),0)"),50000.0)</f>
        <v>50000</v>
      </c>
      <c r="T543" s="93">
        <v>50000.0</v>
      </c>
      <c r="U543" s="32">
        <f t="shared" si="3"/>
        <v>0</v>
      </c>
      <c r="V543" s="32">
        <f>IFERROR(__xludf.DUMMYFUNCTION("$D543 - IFERROR(FILTER($D:$D,$C:$C = $C543, $A:$A = $A543, $B:$B = $B543 - 1),0)"),0.0)</f>
        <v>0</v>
      </c>
      <c r="W543" s="93">
        <f>IFERROR(__xludf.DUMMYFUNCTION("$E543 - IFERROR(FILTER($E:$E,$C:$C = $C543, $A:$A = $A543, $B:$B = $B543 - 1),0)"),0.0)</f>
        <v>0</v>
      </c>
      <c r="X543" s="93"/>
      <c r="Y543" s="93"/>
      <c r="Z543" s="93">
        <v>0.0</v>
      </c>
      <c r="AA543" s="93">
        <v>0.0</v>
      </c>
      <c r="AB543" s="93">
        <v>0.0</v>
      </c>
      <c r="AC543" s="93"/>
      <c r="AD543" s="93">
        <v>0.0</v>
      </c>
      <c r="AE543" s="32">
        <f t="shared" si="2"/>
        <v>0</v>
      </c>
      <c r="AF543" s="93">
        <v>0.0</v>
      </c>
    </row>
    <row r="544">
      <c r="A544" s="86">
        <v>2017.0</v>
      </c>
      <c r="B544" s="87">
        <v>4.0</v>
      </c>
      <c r="C544" s="88" t="s">
        <v>38</v>
      </c>
      <c r="D544" s="32"/>
      <c r="E544" s="32"/>
      <c r="F544" s="32"/>
      <c r="G544" s="93">
        <v>-1476.17</v>
      </c>
      <c r="H544" s="93">
        <v>8564.11</v>
      </c>
      <c r="I544" s="32"/>
      <c r="J544" s="93">
        <v>36291.65</v>
      </c>
      <c r="K544" s="32"/>
      <c r="L544" s="32"/>
      <c r="M544" s="32"/>
      <c r="N544" s="32"/>
      <c r="O544" s="93">
        <v>761032.0</v>
      </c>
      <c r="P544" s="91">
        <f>IFERROR(__xludf.DUMMYFUNCTION("IFERROR(sum(FILTER($D:$N,$C:$C = $C544,$A:$A &lt; $A544,$B:$B = 12)),0) + sum($D544:$N544)"),761030.5599999998)</f>
        <v>761030.56</v>
      </c>
      <c r="Q544" s="92">
        <f t="shared" si="1"/>
        <v>1.44</v>
      </c>
      <c r="R544" s="91">
        <f t="array" ref="R544">IFERROR(INDEX('Fund YTD Target Values'!$1:$1000, MATCH($C544,'Fund YTD Target Values'!$A:$A,0), MATCH($A544,'Fund YTD Target Values'!$1:$1,0)),0)</f>
        <v>685763.9306</v>
      </c>
      <c r="S544" s="91">
        <f>IFERROR(__xludf.DUMMYFUNCTION("IFERROR(sum(FILTER('Fund Investment Data'!$V:$V, 'Fund Investment Data'!$C:$C = $C544, 'Fund Investment Data'!$A:$A &lt; $A544)),0) + IFERROR(sum(FILTER('Fund Investment Data'!$V:$V, 'Fund Investment Data'!$C:$C = $C544, 'Fund Investment Data'!$A:$A = $A544,"&amp;" 'Fund Investment Data'!$B:$B &lt;= $B544)),0)"),556601.64)</f>
        <v>556601.64</v>
      </c>
      <c r="T544" s="93">
        <v>558656.0</v>
      </c>
      <c r="U544" s="32">
        <f t="shared" si="3"/>
        <v>-2054.36</v>
      </c>
      <c r="V544" s="32">
        <f>IFERROR(__xludf.DUMMYFUNCTION("$D544 - IFERROR(FILTER($D:$D,$C:$C = $C544, $A:$A = $A544, $B:$B = $B544 - 1),0)"),0.0)</f>
        <v>0</v>
      </c>
      <c r="W544" s="93">
        <f>IFERROR(__xludf.DUMMYFUNCTION("$E544 - IFERROR(FILTER($E:$E,$C:$C = $C544, $A:$A = $A544, $B:$B = $B544 - 1),0)"),0.0)</f>
        <v>0</v>
      </c>
      <c r="X544" s="93"/>
      <c r="Y544" s="93"/>
      <c r="Z544" s="93">
        <v>0.0</v>
      </c>
      <c r="AA544" s="93">
        <v>0.0</v>
      </c>
      <c r="AB544" s="93">
        <v>0.0</v>
      </c>
      <c r="AC544" s="93"/>
      <c r="AD544" s="93">
        <v>0.0</v>
      </c>
      <c r="AE544" s="32">
        <f t="shared" si="2"/>
        <v>0</v>
      </c>
      <c r="AF544" s="93">
        <v>0.0</v>
      </c>
    </row>
    <row r="545">
      <c r="A545" s="86">
        <v>2017.0</v>
      </c>
      <c r="B545" s="87">
        <v>4.0</v>
      </c>
      <c r="C545" s="88" t="s">
        <v>30</v>
      </c>
      <c r="D545" s="32"/>
      <c r="E545" s="32"/>
      <c r="F545" s="32"/>
      <c r="G545" s="93">
        <v>-31.21</v>
      </c>
      <c r="H545" s="93">
        <v>173.07</v>
      </c>
      <c r="I545" s="32"/>
      <c r="J545" s="93">
        <v>729.47</v>
      </c>
      <c r="K545" s="32"/>
      <c r="L545" s="32"/>
      <c r="M545" s="32"/>
      <c r="N545" s="32"/>
      <c r="O545" s="93">
        <v>16070.0</v>
      </c>
      <c r="P545" s="91">
        <f>IFERROR(__xludf.DUMMYFUNCTION("IFERROR(sum(FILTER($D:$N,$C:$C = $C545,$A:$A &lt; $A545,$B:$B = 12)),0) + sum($D545:$N545)"),16068.619999999988)</f>
        <v>16068.62</v>
      </c>
      <c r="Q545" s="92">
        <f t="shared" si="1"/>
        <v>1.38</v>
      </c>
      <c r="R545" s="91">
        <f t="array" ref="R545">IFERROR(INDEX('Fund YTD Target Values'!$1:$1000, MATCH($C545,'Fund YTD Target Values'!$A:$A,0), MATCH($A545,'Fund YTD Target Values'!$1:$1,0)),0)</f>
        <v>18043.81747</v>
      </c>
      <c r="S545" s="91">
        <f>IFERROR(__xludf.DUMMYFUNCTION("IFERROR(sum(FILTER('Fund Investment Data'!$V:$V, 'Fund Investment Data'!$C:$C = $C545, 'Fund Investment Data'!$A:$A &lt; $A545)),0) + IFERROR(sum(FILTER('Fund Investment Data'!$V:$V, 'Fund Investment Data'!$C:$C = $C545, 'Fund Investment Data'!$A:$A = $A545,"&amp;" 'Fund Investment Data'!$B:$B &lt;= $B545)),0)"),11540.75)</f>
        <v>11540.75</v>
      </c>
      <c r="T545" s="93">
        <v>10000.0</v>
      </c>
      <c r="U545" s="32">
        <f t="shared" si="3"/>
        <v>1540.75</v>
      </c>
      <c r="V545" s="32">
        <f>IFERROR(__xludf.DUMMYFUNCTION("$D545 - IFERROR(FILTER($D:$D,$C:$C = $C545, $A:$A = $A545, $B:$B = $B545 - 1),0)"),0.0)</f>
        <v>0</v>
      </c>
      <c r="W545" s="93">
        <f>IFERROR(__xludf.DUMMYFUNCTION("$E545 - IFERROR(FILTER($E:$E,$C:$C = $C545, $A:$A = $A545, $B:$B = $B545 - 1),0)"),0.0)</f>
        <v>0</v>
      </c>
      <c r="X545" s="93"/>
      <c r="Y545" s="93"/>
      <c r="Z545" s="93">
        <v>0.0</v>
      </c>
      <c r="AA545" s="93">
        <v>0.0</v>
      </c>
      <c r="AB545" s="93">
        <v>0.0</v>
      </c>
      <c r="AC545" s="93"/>
      <c r="AD545" s="93">
        <v>0.0</v>
      </c>
      <c r="AE545" s="32">
        <f t="shared" si="2"/>
        <v>0</v>
      </c>
      <c r="AF545" s="93">
        <v>0.0</v>
      </c>
    </row>
    <row r="546">
      <c r="A546" s="86">
        <v>2017.0</v>
      </c>
      <c r="B546" s="87">
        <v>4.0</v>
      </c>
      <c r="C546" s="88" t="s">
        <v>47</v>
      </c>
      <c r="D546" s="32"/>
      <c r="E546" s="32"/>
      <c r="F546" s="32"/>
      <c r="G546" s="93">
        <v>-2826.44</v>
      </c>
      <c r="H546" s="93">
        <v>16360.34</v>
      </c>
      <c r="I546" s="32"/>
      <c r="J546" s="93">
        <v>69312.05</v>
      </c>
      <c r="K546" s="32"/>
      <c r="L546" s="32"/>
      <c r="M546" s="32"/>
      <c r="N546" s="32"/>
      <c r="O546" s="93">
        <v>1457052.0</v>
      </c>
      <c r="P546" s="91">
        <f>IFERROR(__xludf.DUMMYFUNCTION("IFERROR(sum(FILTER($D:$N,$C:$C = $C546,$A:$A &lt; $A546,$B:$B = 12)),0) + sum($D546:$N546)"),1457051.2799999996)</f>
        <v>1457051.28</v>
      </c>
      <c r="Q546" s="92">
        <f t="shared" si="1"/>
        <v>0.7200000004</v>
      </c>
      <c r="R546" s="91">
        <f t="array" ref="R546">IFERROR(INDEX('Fund YTD Target Values'!$1:$1000, MATCH($C546,'Fund YTD Target Values'!$A:$A,0), MATCH($A546,'Fund YTD Target Values'!$1:$1,0)),0)</f>
        <v>1951070.709</v>
      </c>
      <c r="S546" s="91">
        <f>IFERROR(__xludf.DUMMYFUNCTION("IFERROR(sum(FILTER('Fund Investment Data'!$V:$V, 'Fund Investment Data'!$C:$C = $C546, 'Fund Investment Data'!$A:$A &lt; $A546)),0) + IFERROR(sum(FILTER('Fund Investment Data'!$V:$V, 'Fund Investment Data'!$C:$C = $C546, 'Fund Investment Data'!$A:$A = $A546,"&amp;" 'Fund Investment Data'!$B:$B &lt;= $B546)),0)"),1446367.46)</f>
        <v>1446367.46</v>
      </c>
      <c r="T546" s="93">
        <v>1348955.0</v>
      </c>
      <c r="U546" s="32">
        <f t="shared" si="3"/>
        <v>97412.46</v>
      </c>
      <c r="V546" s="32">
        <f>IFERROR(__xludf.DUMMYFUNCTION("$D546 - IFERROR(FILTER($D:$D,$C:$C = $C546, $A:$A = $A546, $B:$B = $B546 - 1),0)"),0.0)</f>
        <v>0</v>
      </c>
      <c r="W546" s="93">
        <f>IFERROR(__xludf.DUMMYFUNCTION("$E546 - IFERROR(FILTER($E:$E,$C:$C = $C546, $A:$A = $A546, $B:$B = $B546 - 1),0)"),0.0)</f>
        <v>0</v>
      </c>
      <c r="X546" s="93"/>
      <c r="Y546" s="93"/>
      <c r="Z546" s="93">
        <v>0.0</v>
      </c>
      <c r="AA546" s="93">
        <v>0.0</v>
      </c>
      <c r="AB546" s="93">
        <v>0.0</v>
      </c>
      <c r="AC546" s="93"/>
      <c r="AD546" s="93">
        <v>0.0</v>
      </c>
      <c r="AE546" s="32">
        <f t="shared" si="2"/>
        <v>0</v>
      </c>
      <c r="AF546" s="93">
        <v>0.0</v>
      </c>
    </row>
    <row r="547">
      <c r="A547" s="86">
        <v>2017.0</v>
      </c>
      <c r="B547" s="87">
        <v>4.0</v>
      </c>
      <c r="C547" s="88" t="s">
        <v>31</v>
      </c>
      <c r="D547" s="93">
        <v>1250.0</v>
      </c>
      <c r="E547" s="32"/>
      <c r="F547" s="32"/>
      <c r="G547" s="93">
        <v>-355.91</v>
      </c>
      <c r="H547" s="93">
        <v>2054.83</v>
      </c>
      <c r="I547" s="32"/>
      <c r="J547" s="93">
        <v>8702.2</v>
      </c>
      <c r="K547" s="32"/>
      <c r="L547" s="32"/>
      <c r="M547" s="32"/>
      <c r="N547" s="32"/>
      <c r="O547" s="93">
        <v>183896.0</v>
      </c>
      <c r="P547" s="91">
        <f>IFERROR(__xludf.DUMMYFUNCTION("IFERROR(sum(FILTER($D:$N,$C:$C = $C547,$A:$A &lt; $A547,$B:$B = 12)),0) + sum($D547:$N547)"),183895.66000000003)</f>
        <v>183895.66</v>
      </c>
      <c r="Q547" s="92">
        <f t="shared" si="1"/>
        <v>0.34</v>
      </c>
      <c r="R547" s="91">
        <f t="array" ref="R547">IFERROR(INDEX('Fund YTD Target Values'!$1:$1000, MATCH($C547,'Fund YTD Target Values'!$A:$A,0), MATCH($A547,'Fund YTD Target Values'!$1:$1,0)),0)</f>
        <v>205534.6031</v>
      </c>
      <c r="S547" s="91">
        <f>IFERROR(__xludf.DUMMYFUNCTION("IFERROR(sum(FILTER('Fund Investment Data'!$V:$V, 'Fund Investment Data'!$C:$C = $C547, 'Fund Investment Data'!$A:$A &lt; $A547)),0) + IFERROR(sum(FILTER('Fund Investment Data'!$V:$V, 'Fund Investment Data'!$C:$C = $C547, 'Fund Investment Data'!$A:$A = $A547,"&amp;" 'Fund Investment Data'!$B:$B &lt;= $B547)),0)"),158100.0)</f>
        <v>158100</v>
      </c>
      <c r="T547" s="93">
        <v>156850.0</v>
      </c>
      <c r="U547" s="32">
        <f t="shared" si="3"/>
        <v>1250</v>
      </c>
      <c r="V547" s="32">
        <f>IFERROR(__xludf.DUMMYFUNCTION("$D547 - IFERROR(FILTER($D:$D,$C:$C = $C547, $A:$A = $A547, $B:$B = $B547 - 1),0)"),0.0)</f>
        <v>0</v>
      </c>
      <c r="W547" s="93">
        <f>IFERROR(__xludf.DUMMYFUNCTION("$E547 - IFERROR(FILTER($E:$E,$C:$C = $C547, $A:$A = $A547, $B:$B = $B547 - 1),0)"),0.0)</f>
        <v>0</v>
      </c>
      <c r="X547" s="93"/>
      <c r="Y547" s="93"/>
      <c r="Z547" s="93">
        <v>0.0</v>
      </c>
      <c r="AA547" s="93">
        <v>0.0</v>
      </c>
      <c r="AB547" s="93">
        <v>0.0</v>
      </c>
      <c r="AC547" s="93"/>
      <c r="AD547" s="93">
        <v>0.0</v>
      </c>
      <c r="AE547" s="32">
        <f t="shared" si="2"/>
        <v>0</v>
      </c>
      <c r="AF547" s="93">
        <v>0.0</v>
      </c>
    </row>
    <row r="548">
      <c r="A548" s="86">
        <v>2017.0</v>
      </c>
      <c r="B548" s="87">
        <v>4.0</v>
      </c>
      <c r="C548" s="88" t="s">
        <v>39</v>
      </c>
      <c r="D548" s="32"/>
      <c r="E548" s="32"/>
      <c r="F548" s="32"/>
      <c r="G548" s="93">
        <v>-306.69</v>
      </c>
      <c r="H548" s="93">
        <v>1619.46</v>
      </c>
      <c r="I548" s="32"/>
      <c r="J548" s="93">
        <v>6785.8</v>
      </c>
      <c r="K548" s="32"/>
      <c r="L548" s="32"/>
      <c r="M548" s="32"/>
      <c r="N548" s="32"/>
      <c r="O548" s="93">
        <v>157630.0</v>
      </c>
      <c r="P548" s="91">
        <f>IFERROR(__xludf.DUMMYFUNCTION("IFERROR(sum(FILTER($D:$N,$C:$C = $C548,$A:$A &lt; $A548,$B:$B = 12)),0) + sum($D548:$N548)"),157630.11000000004)</f>
        <v>157630.11</v>
      </c>
      <c r="Q548" s="92">
        <f t="shared" si="1"/>
        <v>-0.11</v>
      </c>
      <c r="R548" s="91">
        <f t="array" ref="R548">IFERROR(INDEX('Fund YTD Target Values'!$1:$1000, MATCH($C548,'Fund YTD Target Values'!$A:$A,0), MATCH($A548,'Fund YTD Target Values'!$1:$1,0)),0)</f>
        <v>165832.7472</v>
      </c>
      <c r="S548" s="91">
        <f>IFERROR(__xludf.DUMMYFUNCTION("IFERROR(sum(FILTER('Fund Investment Data'!$V:$V, 'Fund Investment Data'!$C:$C = $C548, 'Fund Investment Data'!$A:$A &lt; $A548)),0) + IFERROR(sum(FILTER('Fund Investment Data'!$V:$V, 'Fund Investment Data'!$C:$C = $C548, 'Fund Investment Data'!$A:$A = $A548,"&amp;" 'Fund Investment Data'!$B:$B &lt;= $B548)),0)"),140000.0)</f>
        <v>140000</v>
      </c>
      <c r="T548" s="93">
        <v>140000.0</v>
      </c>
      <c r="U548" s="32">
        <f t="shared" si="3"/>
        <v>0</v>
      </c>
      <c r="V548" s="32">
        <f>IFERROR(__xludf.DUMMYFUNCTION("$D548 - IFERROR(FILTER($D:$D,$C:$C = $C548, $A:$A = $A548, $B:$B = $B548 - 1),0)"),0.0)</f>
        <v>0</v>
      </c>
      <c r="W548" s="93">
        <f>IFERROR(__xludf.DUMMYFUNCTION("$E548 - IFERROR(FILTER($E:$E,$C:$C = $C548, $A:$A = $A548, $B:$B = $B548 - 1),0)"),0.0)</f>
        <v>0</v>
      </c>
      <c r="X548" s="93"/>
      <c r="Y548" s="93"/>
      <c r="Z548" s="93">
        <v>0.0</v>
      </c>
      <c r="AA548" s="93">
        <v>0.0</v>
      </c>
      <c r="AB548" s="93">
        <v>0.0</v>
      </c>
      <c r="AC548" s="93"/>
      <c r="AD548" s="93">
        <v>0.0</v>
      </c>
      <c r="AE548" s="32">
        <f t="shared" si="2"/>
        <v>0</v>
      </c>
      <c r="AF548" s="93">
        <v>0.0</v>
      </c>
    </row>
    <row r="549">
      <c r="A549" s="86">
        <v>2017.0</v>
      </c>
      <c r="B549" s="87">
        <v>4.0</v>
      </c>
      <c r="C549" s="88" t="s">
        <v>50</v>
      </c>
      <c r="D549" s="32"/>
      <c r="E549" s="32"/>
      <c r="F549" s="32"/>
      <c r="G549" s="93">
        <v>-407.8</v>
      </c>
      <c r="H549" s="93">
        <v>2132.25</v>
      </c>
      <c r="I549" s="32"/>
      <c r="J549" s="93">
        <v>8937.59</v>
      </c>
      <c r="K549" s="32"/>
      <c r="L549" s="32"/>
      <c r="M549" s="32"/>
      <c r="N549" s="32"/>
      <c r="O549" s="93">
        <v>209544.0</v>
      </c>
      <c r="P549" s="91">
        <f>IFERROR(__xludf.DUMMYFUNCTION("IFERROR(sum(FILTER($D:$N,$C:$C = $C549,$A:$A &lt; $A549,$B:$B = 12)),0) + sum($D549:$N549)"),209543.61)</f>
        <v>209543.61</v>
      </c>
      <c r="Q549" s="92">
        <f t="shared" si="1"/>
        <v>0.39</v>
      </c>
      <c r="R549" s="91">
        <f t="array" ref="R549">IFERROR(INDEX('Fund YTD Target Values'!$1:$1000, MATCH($C549,'Fund YTD Target Values'!$A:$A,0), MATCH($A549,'Fund YTD Target Values'!$1:$1,0)),0)</f>
        <v>212473.6146</v>
      </c>
      <c r="S549" s="91">
        <f>IFERROR(__xludf.DUMMYFUNCTION("IFERROR(sum(FILTER('Fund Investment Data'!$V:$V, 'Fund Investment Data'!$C:$C = $C549, 'Fund Investment Data'!$A:$A &lt; $A549)),0) + IFERROR(sum(FILTER('Fund Investment Data'!$V:$V, 'Fund Investment Data'!$C:$C = $C549, 'Fund Investment Data'!$A:$A = $A549,"&amp;" 'Fund Investment Data'!$B:$B &lt;= $B549)),0)"),185189.56)</f>
        <v>185189.56</v>
      </c>
      <c r="T549" s="93">
        <v>190241.0</v>
      </c>
      <c r="U549" s="32">
        <f t="shared" si="3"/>
        <v>-5051.44</v>
      </c>
      <c r="V549" s="32">
        <f>IFERROR(__xludf.DUMMYFUNCTION("$D549 - IFERROR(FILTER($D:$D,$C:$C = $C549, $A:$A = $A549, $B:$B = $B549 - 1),0)"),0.0)</f>
        <v>0</v>
      </c>
      <c r="W549" s="93">
        <f>IFERROR(__xludf.DUMMYFUNCTION("$E549 - IFERROR(FILTER($E:$E,$C:$C = $C549, $A:$A = $A549, $B:$B = $B549 - 1),0)"),0.0)</f>
        <v>0</v>
      </c>
      <c r="X549" s="93"/>
      <c r="Y549" s="93"/>
      <c r="Z549" s="93">
        <v>0.0</v>
      </c>
      <c r="AA549" s="93">
        <v>0.0</v>
      </c>
      <c r="AB549" s="93">
        <v>0.0</v>
      </c>
      <c r="AC549" s="93"/>
      <c r="AD549" s="93">
        <v>0.0</v>
      </c>
      <c r="AE549" s="32">
        <f t="shared" si="2"/>
        <v>0</v>
      </c>
      <c r="AF549" s="93">
        <v>0.0</v>
      </c>
    </row>
    <row r="550">
      <c r="A550" s="86">
        <v>2017.0</v>
      </c>
      <c r="B550" s="87">
        <v>4.0</v>
      </c>
      <c r="C550" s="88" t="s">
        <v>32</v>
      </c>
      <c r="D550" s="32"/>
      <c r="E550" s="32"/>
      <c r="F550" s="32"/>
      <c r="G550" s="93">
        <v>-95.86</v>
      </c>
      <c r="H550" s="93">
        <v>539.98</v>
      </c>
      <c r="I550" s="32"/>
      <c r="J550" s="93">
        <v>2280.49</v>
      </c>
      <c r="K550" s="32"/>
      <c r="L550" s="32"/>
      <c r="M550" s="32"/>
      <c r="N550" s="32"/>
      <c r="O550" s="93">
        <v>49372.0</v>
      </c>
      <c r="P550" s="91">
        <f>IFERROR(__xludf.DUMMYFUNCTION("IFERROR(sum(FILTER($D:$N,$C:$C = $C550,$A:$A &lt; $A550,$B:$B = 12)),0) + sum($D550:$N550)"),49371.700000000026)</f>
        <v>49371.7</v>
      </c>
      <c r="Q550" s="92">
        <f t="shared" si="1"/>
        <v>0.3</v>
      </c>
      <c r="R550" s="91">
        <f t="array" ref="R550">IFERROR(INDEX('Fund YTD Target Values'!$1:$1000, MATCH($C550,'Fund YTD Target Values'!$A:$A,0), MATCH($A550,'Fund YTD Target Values'!$1:$1,0)),0)</f>
        <v>77291.136</v>
      </c>
      <c r="S550" s="91">
        <f>IFERROR(__xludf.DUMMYFUNCTION("IFERROR(sum(FILTER('Fund Investment Data'!$V:$V, 'Fund Investment Data'!$C:$C = $C550, 'Fund Investment Data'!$A:$A &lt; $A550)),0) + IFERROR(sum(FILTER('Fund Investment Data'!$V:$V, 'Fund Investment Data'!$C:$C = $C550, 'Fund Investment Data'!$A:$A = $A550,"&amp;" 'Fund Investment Data'!$B:$B &lt;= $B550)),0)"),49449.04)</f>
        <v>49449.04</v>
      </c>
      <c r="T550" s="93">
        <v>39268.0</v>
      </c>
      <c r="U550" s="32">
        <f t="shared" si="3"/>
        <v>10181.04</v>
      </c>
      <c r="V550" s="32">
        <f>IFERROR(__xludf.DUMMYFUNCTION("$D550 - IFERROR(FILTER($D:$D,$C:$C = $C550, $A:$A = $A550, $B:$B = $B550 - 1),0)"),0.0)</f>
        <v>0</v>
      </c>
      <c r="W550" s="93">
        <f>IFERROR(__xludf.DUMMYFUNCTION("$E550 - IFERROR(FILTER($E:$E,$C:$C = $C550, $A:$A = $A550, $B:$B = $B550 - 1),0)"),0.0)</f>
        <v>0</v>
      </c>
      <c r="X550" s="93"/>
      <c r="Y550" s="93"/>
      <c r="Z550" s="93">
        <v>0.0</v>
      </c>
      <c r="AA550" s="93">
        <v>0.0</v>
      </c>
      <c r="AB550" s="93">
        <v>0.0</v>
      </c>
      <c r="AC550" s="93"/>
      <c r="AD550" s="93">
        <v>0.0</v>
      </c>
      <c r="AE550" s="32">
        <f t="shared" si="2"/>
        <v>0</v>
      </c>
      <c r="AF550" s="93">
        <v>0.0</v>
      </c>
    </row>
    <row r="551">
      <c r="A551" s="86">
        <v>2017.0</v>
      </c>
      <c r="B551" s="87">
        <v>4.0</v>
      </c>
      <c r="C551" s="88" t="s">
        <v>40</v>
      </c>
      <c r="D551" s="32"/>
      <c r="E551" s="32"/>
      <c r="F551" s="32"/>
      <c r="G551" s="93">
        <v>-285.9</v>
      </c>
      <c r="H551" s="93">
        <v>1654.95</v>
      </c>
      <c r="I551" s="32"/>
      <c r="J551" s="93">
        <v>7011.26</v>
      </c>
      <c r="K551" s="32"/>
      <c r="L551" s="32"/>
      <c r="M551" s="32"/>
      <c r="N551" s="32"/>
      <c r="O551" s="93">
        <v>147388.0</v>
      </c>
      <c r="P551" s="91">
        <f>IFERROR(__xludf.DUMMYFUNCTION("IFERROR(sum(FILTER($D:$N,$C:$C = $C551,$A:$A &lt; $A551,$B:$B = 12)),0) + sum($D551:$N551)"),147388.00999999995)</f>
        <v>147388.01</v>
      </c>
      <c r="Q551" s="92">
        <f t="shared" si="1"/>
        <v>-0.009999999951</v>
      </c>
      <c r="R551" s="91">
        <f t="array" ref="R551">IFERROR(INDEX('Fund YTD Target Values'!$1:$1000, MATCH($C551,'Fund YTD Target Values'!$A:$A,0), MATCH($A551,'Fund YTD Target Values'!$1:$1,0)),0)</f>
        <v>157515.3664</v>
      </c>
      <c r="S551" s="91">
        <f>IFERROR(__xludf.DUMMYFUNCTION("IFERROR(sum(FILTER('Fund Investment Data'!$V:$V, 'Fund Investment Data'!$C:$C = $C551, 'Fund Investment Data'!$A:$A &lt; $A551)),0) + IFERROR(sum(FILTER('Fund Investment Data'!$V:$V, 'Fund Investment Data'!$C:$C = $C551, 'Fund Investment Data'!$A:$A = $A551,"&amp;" 'Fund Investment Data'!$B:$B &lt;= $B551)),0)"),129703.74)</f>
        <v>129703.74</v>
      </c>
      <c r="T551" s="93">
        <v>129723.0</v>
      </c>
      <c r="U551" s="32">
        <f t="shared" si="3"/>
        <v>-19.26</v>
      </c>
      <c r="V551" s="32">
        <f>IFERROR(__xludf.DUMMYFUNCTION("$D551 - IFERROR(FILTER($D:$D,$C:$C = $C551, $A:$A = $A551, $B:$B = $B551 - 1),0)"),0.0)</f>
        <v>0</v>
      </c>
      <c r="W551" s="93">
        <f>IFERROR(__xludf.DUMMYFUNCTION("$E551 - IFERROR(FILTER($E:$E,$C:$C = $C551, $A:$A = $A551, $B:$B = $B551 - 1),0)"),0.0)</f>
        <v>0</v>
      </c>
      <c r="X551" s="93"/>
      <c r="Y551" s="93"/>
      <c r="Z551" s="93">
        <v>0.0</v>
      </c>
      <c r="AA551" s="93">
        <v>0.0</v>
      </c>
      <c r="AB551" s="93">
        <v>0.0</v>
      </c>
      <c r="AC551" s="93"/>
      <c r="AD551" s="93">
        <v>0.0</v>
      </c>
      <c r="AE551" s="32">
        <f t="shared" si="2"/>
        <v>0</v>
      </c>
      <c r="AF551" s="93">
        <v>0.0</v>
      </c>
    </row>
    <row r="552">
      <c r="A552" s="86">
        <v>2017.0</v>
      </c>
      <c r="B552" s="87">
        <v>4.0</v>
      </c>
      <c r="C552" s="88" t="s">
        <v>51</v>
      </c>
      <c r="D552" s="32"/>
      <c r="E552" s="32"/>
      <c r="F552" s="32"/>
      <c r="G552" s="93">
        <v>-871.12</v>
      </c>
      <c r="H552" s="93">
        <v>5041.4</v>
      </c>
      <c r="I552" s="32"/>
      <c r="J552" s="93">
        <v>21356.64</v>
      </c>
      <c r="K552" s="32"/>
      <c r="L552" s="32"/>
      <c r="M552" s="32"/>
      <c r="N552" s="32"/>
      <c r="O552" s="93">
        <v>449064.0</v>
      </c>
      <c r="P552" s="91">
        <f>IFERROR(__xludf.DUMMYFUNCTION("IFERROR(sum(FILTER($D:$N,$C:$C = $C552,$A:$A &lt; $A552,$B:$B = 12)),0) + sum($D552:$N552)"),449063.82)</f>
        <v>449063.82</v>
      </c>
      <c r="Q552" s="92">
        <f t="shared" si="1"/>
        <v>0.18</v>
      </c>
      <c r="R552" s="91">
        <f t="array" ref="R552">IFERROR(INDEX('Fund YTD Target Values'!$1:$1000, MATCH($C552,'Fund YTD Target Values'!$A:$A,0), MATCH($A552,'Fund YTD Target Values'!$1:$1,0)),0)</f>
        <v>437835.4209</v>
      </c>
      <c r="S552" s="91">
        <f>IFERROR(__xludf.DUMMYFUNCTION("IFERROR(sum(FILTER('Fund Investment Data'!$V:$V, 'Fund Investment Data'!$C:$C = $C552, 'Fund Investment Data'!$A:$A &lt; $A552)),0) + IFERROR(sum(FILTER('Fund Investment Data'!$V:$V, 'Fund Investment Data'!$C:$C = $C552, 'Fund Investment Data'!$A:$A = $A552,"&amp;" 'Fund Investment Data'!$B:$B &lt;= $B552)),0)"),413123.55)</f>
        <v>413123.55</v>
      </c>
      <c r="T552" s="93">
        <v>413980.0</v>
      </c>
      <c r="U552" s="32">
        <f t="shared" si="3"/>
        <v>-856.45</v>
      </c>
      <c r="V552" s="32">
        <f>IFERROR(__xludf.DUMMYFUNCTION("$D552 - IFERROR(FILTER($D:$D,$C:$C = $C552, $A:$A = $A552, $B:$B = $B552 - 1),0)"),0.0)</f>
        <v>0</v>
      </c>
      <c r="W552" s="93">
        <f>IFERROR(__xludf.DUMMYFUNCTION("$E552 - IFERROR(FILTER($E:$E,$C:$C = $C552, $A:$A = $A552, $B:$B = $B552 - 1),0)"),0.0)</f>
        <v>0</v>
      </c>
      <c r="X552" s="93"/>
      <c r="Y552" s="93"/>
      <c r="Z552" s="93">
        <v>0.0</v>
      </c>
      <c r="AA552" s="93">
        <v>0.0</v>
      </c>
      <c r="AB552" s="93">
        <v>0.0</v>
      </c>
      <c r="AC552" s="93"/>
      <c r="AD552" s="93">
        <v>0.0</v>
      </c>
      <c r="AE552" s="32">
        <f t="shared" si="2"/>
        <v>0</v>
      </c>
      <c r="AF552" s="93">
        <v>0.0</v>
      </c>
    </row>
    <row r="553">
      <c r="A553" s="86">
        <v>2017.0</v>
      </c>
      <c r="B553" s="87">
        <v>4.0</v>
      </c>
      <c r="C553" s="88" t="s">
        <v>48</v>
      </c>
      <c r="D553" s="32"/>
      <c r="E553" s="32"/>
      <c r="F553" s="32"/>
      <c r="G553" s="93">
        <v>-2350.63</v>
      </c>
      <c r="H553" s="93">
        <v>13626.17</v>
      </c>
      <c r="I553" s="32"/>
      <c r="J553" s="93">
        <v>57738.16</v>
      </c>
      <c r="K553" s="32"/>
      <c r="L553" s="32"/>
      <c r="M553" s="32"/>
      <c r="N553" s="32"/>
      <c r="O553" s="93">
        <v>1211828.0</v>
      </c>
      <c r="P553" s="91">
        <f>IFERROR(__xludf.DUMMYFUNCTION("IFERROR(sum(FILTER($D:$N,$C:$C = $C553,$A:$A &lt; $A553,$B:$B = 12)),0) + sum($D553:$N553)"),1211826.4499999997)</f>
        <v>1211826.45</v>
      </c>
      <c r="Q553" s="92">
        <f t="shared" si="1"/>
        <v>1.55</v>
      </c>
      <c r="R553" s="91">
        <f t="array" ref="R553">IFERROR(INDEX('Fund YTD Target Values'!$1:$1000, MATCH($C553,'Fund YTD Target Values'!$A:$A,0), MATCH($A553,'Fund YTD Target Values'!$1:$1,0)),0)</f>
        <v>1851058.71</v>
      </c>
      <c r="S553" s="91">
        <f>IFERROR(__xludf.DUMMYFUNCTION("IFERROR(sum(FILTER('Fund Investment Data'!$V:$V, 'Fund Investment Data'!$C:$C = $C553, 'Fund Investment Data'!$A:$A &lt; $A553)),0) + IFERROR(sum(FILTER('Fund Investment Data'!$V:$V, 'Fund Investment Data'!$C:$C = $C553, 'Fund Investment Data'!$A:$A = $A553,"&amp;" 'Fund Investment Data'!$B:$B &lt;= $B553)),0)"),1183929.39)</f>
        <v>1183929.39</v>
      </c>
      <c r="T553" s="93">
        <v>1140040.0</v>
      </c>
      <c r="U553" s="32">
        <f t="shared" si="3"/>
        <v>43889.39</v>
      </c>
      <c r="V553" s="32">
        <f>IFERROR(__xludf.DUMMYFUNCTION("$D553 - IFERROR(FILTER($D:$D,$C:$C = $C553, $A:$A = $A553, $B:$B = $B553 - 1),0)"),0.0)</f>
        <v>0</v>
      </c>
      <c r="W553" s="93">
        <f>IFERROR(__xludf.DUMMYFUNCTION("$E553 - IFERROR(FILTER($E:$E,$C:$C = $C553, $A:$A = $A553, $B:$B = $B553 - 1),0)"),0.0)</f>
        <v>0</v>
      </c>
      <c r="X553" s="93"/>
      <c r="Y553" s="93"/>
      <c r="Z553" s="93">
        <v>0.0</v>
      </c>
      <c r="AA553" s="93">
        <v>0.0</v>
      </c>
      <c r="AB553" s="93">
        <v>0.0</v>
      </c>
      <c r="AC553" s="93"/>
      <c r="AD553" s="93">
        <v>0.0</v>
      </c>
      <c r="AE553" s="32">
        <f t="shared" si="2"/>
        <v>0</v>
      </c>
      <c r="AF553" s="93">
        <v>0.0</v>
      </c>
    </row>
    <row r="554">
      <c r="A554" s="86">
        <v>2017.0</v>
      </c>
      <c r="B554" s="87">
        <v>4.0</v>
      </c>
      <c r="C554" s="88" t="s">
        <v>49</v>
      </c>
      <c r="D554" s="32"/>
      <c r="E554" s="32"/>
      <c r="F554" s="32"/>
      <c r="G554" s="93">
        <v>-1033.99</v>
      </c>
      <c r="H554" s="93">
        <v>5985.0</v>
      </c>
      <c r="I554" s="32"/>
      <c r="J554" s="93">
        <v>25355.99</v>
      </c>
      <c r="K554" s="32"/>
      <c r="L554" s="32"/>
      <c r="M554" s="32"/>
      <c r="N554" s="32"/>
      <c r="O554" s="93">
        <v>533023.0</v>
      </c>
      <c r="P554" s="91">
        <f>IFERROR(__xludf.DUMMYFUNCTION("IFERROR(sum(FILTER($D:$N,$C:$C = $C554,$A:$A &lt; $A554,$B:$B = 12)),0) + sum($D554:$N554)"),533022.9999999999)</f>
        <v>533023</v>
      </c>
      <c r="Q554" s="92">
        <f t="shared" si="1"/>
        <v>0.0000000001164153218</v>
      </c>
      <c r="R554" s="91">
        <f t="array" ref="R554">IFERROR(INDEX('Fund YTD Target Values'!$1:$1000, MATCH($C554,'Fund YTD Target Values'!$A:$A,0), MATCH($A554,'Fund YTD Target Values'!$1:$1,0)),0)</f>
        <v>684659.2079</v>
      </c>
      <c r="S554" s="91">
        <f>IFERROR(__xludf.DUMMYFUNCTION("IFERROR(sum(FILTER('Fund Investment Data'!$V:$V, 'Fund Investment Data'!$C:$C = $C554, 'Fund Investment Data'!$A:$A &lt; $A554)),0) + IFERROR(sum(FILTER('Fund Investment Data'!$V:$V, 'Fund Investment Data'!$C:$C = $C554, 'Fund Investment Data'!$A:$A = $A554,"&amp;" 'Fund Investment Data'!$B:$B &lt;= $B554)),0)"),500000.0)</f>
        <v>500000</v>
      </c>
      <c r="T554" s="93">
        <v>500000.0</v>
      </c>
      <c r="U554" s="32">
        <f t="shared" si="3"/>
        <v>0</v>
      </c>
      <c r="V554" s="32">
        <f>IFERROR(__xludf.DUMMYFUNCTION("$D554 - IFERROR(FILTER($D:$D,$C:$C = $C554, $A:$A = $A554, $B:$B = $B554 - 1),0)"),0.0)</f>
        <v>0</v>
      </c>
      <c r="W554" s="93">
        <f>IFERROR(__xludf.DUMMYFUNCTION("$E554 - IFERROR(FILTER($E:$E,$C:$C = $C554, $A:$A = $A554, $B:$B = $B554 - 1),0)"),0.0)</f>
        <v>0</v>
      </c>
      <c r="X554" s="93"/>
      <c r="Y554" s="93"/>
      <c r="Z554" s="93">
        <v>0.0</v>
      </c>
      <c r="AA554" s="93">
        <v>0.0</v>
      </c>
      <c r="AB554" s="93">
        <v>0.0</v>
      </c>
      <c r="AC554" s="93"/>
      <c r="AD554" s="93">
        <v>0.0</v>
      </c>
      <c r="AE554" s="32">
        <f t="shared" si="2"/>
        <v>0</v>
      </c>
      <c r="AF554" s="93">
        <v>0.0</v>
      </c>
    </row>
    <row r="555">
      <c r="A555" s="86">
        <v>2017.0</v>
      </c>
      <c r="B555" s="87">
        <v>4.0</v>
      </c>
      <c r="C555" s="88" t="s">
        <v>41</v>
      </c>
      <c r="D555" s="32"/>
      <c r="E555" s="32"/>
      <c r="F555" s="32"/>
      <c r="G555" s="93">
        <v>-1222.66</v>
      </c>
      <c r="H555" s="93">
        <v>7064.09</v>
      </c>
      <c r="I555" s="32"/>
      <c r="J555" s="93">
        <v>29921.35</v>
      </c>
      <c r="K555" s="32"/>
      <c r="L555" s="32"/>
      <c r="M555" s="32"/>
      <c r="N555" s="32"/>
      <c r="O555" s="93">
        <v>630247.0</v>
      </c>
      <c r="P555" s="91">
        <f>IFERROR(__xludf.DUMMYFUNCTION("IFERROR(sum(FILTER($D:$N,$C:$C = $C555,$A:$A &lt; $A555,$B:$B = 12)),0) + sum($D555:$N555)"),630247.8200000001)</f>
        <v>630247.82</v>
      </c>
      <c r="Q555" s="92">
        <f t="shared" si="1"/>
        <v>-0.8200000001</v>
      </c>
      <c r="R555" s="91">
        <f t="array" ref="R555">IFERROR(INDEX('Fund YTD Target Values'!$1:$1000, MATCH($C555,'Fund YTD Target Values'!$A:$A,0), MATCH($A555,'Fund YTD Target Values'!$1:$1,0)),0)</f>
        <v>573948.5743</v>
      </c>
      <c r="S555" s="91">
        <f>IFERROR(__xludf.DUMMYFUNCTION("IFERROR(sum(FILTER('Fund Investment Data'!$V:$V, 'Fund Investment Data'!$C:$C = $C555, 'Fund Investment Data'!$A:$A &lt; $A555)),0) + IFERROR(sum(FILTER('Fund Investment Data'!$V:$V, 'Fund Investment Data'!$C:$C = $C555, 'Fund Investment Data'!$A:$A = $A555,"&amp;" 'Fund Investment Data'!$B:$B &lt;= $B555)),0)"),433755.86)</f>
        <v>433755.86</v>
      </c>
      <c r="T555" s="93">
        <v>434291.0</v>
      </c>
      <c r="U555" s="32">
        <f t="shared" si="3"/>
        <v>-535.14</v>
      </c>
      <c r="V555" s="32">
        <f>IFERROR(__xludf.DUMMYFUNCTION("$D555 - IFERROR(FILTER($D:$D,$C:$C = $C555, $A:$A = $A555, $B:$B = $B555 - 1),0)"),0.0)</f>
        <v>0</v>
      </c>
      <c r="W555" s="93">
        <f>IFERROR(__xludf.DUMMYFUNCTION("$E555 - IFERROR(FILTER($E:$E,$C:$C = $C555, $A:$A = $A555, $B:$B = $B555 - 1),0)"),0.0)</f>
        <v>0</v>
      </c>
      <c r="X555" s="93"/>
      <c r="Y555" s="93"/>
      <c r="Z555" s="93">
        <v>0.0</v>
      </c>
      <c r="AA555" s="93">
        <v>0.0</v>
      </c>
      <c r="AB555" s="93">
        <v>0.0</v>
      </c>
      <c r="AC555" s="93"/>
      <c r="AD555" s="93">
        <v>0.0</v>
      </c>
      <c r="AE555" s="32">
        <f t="shared" si="2"/>
        <v>0</v>
      </c>
      <c r="AF555" s="93">
        <v>0.0</v>
      </c>
    </row>
    <row r="556">
      <c r="A556" s="86">
        <v>2017.0</v>
      </c>
      <c r="B556" s="87">
        <v>4.0</v>
      </c>
      <c r="C556" s="88" t="s">
        <v>25</v>
      </c>
      <c r="D556" s="32"/>
      <c r="E556" s="32"/>
      <c r="F556" s="32"/>
      <c r="G556" s="93">
        <v>-189.81</v>
      </c>
      <c r="H556" s="93">
        <v>1098.72</v>
      </c>
      <c r="I556" s="32"/>
      <c r="J556" s="93">
        <v>4654.86</v>
      </c>
      <c r="K556" s="32"/>
      <c r="L556" s="32"/>
      <c r="M556" s="32"/>
      <c r="N556" s="32"/>
      <c r="O556" s="93">
        <v>97852.0</v>
      </c>
      <c r="P556" s="91">
        <f>IFERROR(__xludf.DUMMYFUNCTION("IFERROR(sum(FILTER($D:$N,$C:$C = $C556,$A:$A &lt; $A556,$B:$B = 12)),0) + sum($D556:$N556)"),97851.78)</f>
        <v>97851.78</v>
      </c>
      <c r="Q556" s="92">
        <f t="shared" si="1"/>
        <v>0.22</v>
      </c>
      <c r="R556" s="91">
        <f t="array" ref="R556">IFERROR(INDEX('Fund YTD Target Values'!$1:$1000, MATCH($C556,'Fund YTD Target Values'!$A:$A,0), MATCH($A556,'Fund YTD Target Values'!$1:$1,0)),0)</f>
        <v>106572.0284</v>
      </c>
      <c r="S556" s="91">
        <f>IFERROR(__xludf.DUMMYFUNCTION("IFERROR(sum(FILTER('Fund Investment Data'!$V:$V, 'Fund Investment Data'!$C:$C = $C556, 'Fund Investment Data'!$A:$A &lt; $A556)),0) + IFERROR(sum(FILTER('Fund Investment Data'!$V:$V, 'Fund Investment Data'!$C:$C = $C556, 'Fund Investment Data'!$A:$A = $A556,"&amp;" 'Fund Investment Data'!$B:$B &lt;= $B556)),0)"),81000.0)</f>
        <v>81000</v>
      </c>
      <c r="T556" s="93">
        <v>81000.0</v>
      </c>
      <c r="U556" s="32">
        <f t="shared" si="3"/>
        <v>0</v>
      </c>
      <c r="V556" s="32">
        <f>IFERROR(__xludf.DUMMYFUNCTION("$D556 - IFERROR(FILTER($D:$D,$C:$C = $C556, $A:$A = $A556, $B:$B = $B556 - 1),0)"),0.0)</f>
        <v>0</v>
      </c>
      <c r="W556" s="93">
        <f>IFERROR(__xludf.DUMMYFUNCTION("$E556 - IFERROR(FILTER($E:$E,$C:$C = $C556, $A:$A = $A556, $B:$B = $B556 - 1),0)"),0.0)</f>
        <v>0</v>
      </c>
      <c r="X556" s="93"/>
      <c r="Y556" s="93"/>
      <c r="Z556" s="93">
        <v>0.0</v>
      </c>
      <c r="AA556" s="93">
        <v>0.0</v>
      </c>
      <c r="AB556" s="93">
        <v>0.0</v>
      </c>
      <c r="AC556" s="93"/>
      <c r="AD556" s="93">
        <v>0.0</v>
      </c>
      <c r="AE556" s="32">
        <f t="shared" si="2"/>
        <v>0</v>
      </c>
      <c r="AF556" s="93">
        <v>0.0</v>
      </c>
    </row>
    <row r="557">
      <c r="A557" s="86">
        <v>2017.0</v>
      </c>
      <c r="B557" s="87">
        <v>4.0</v>
      </c>
      <c r="C557" s="88" t="s">
        <v>42</v>
      </c>
      <c r="D557" s="32"/>
      <c r="E557" s="32"/>
      <c r="F557" s="32"/>
      <c r="G557" s="93">
        <v>-545.19</v>
      </c>
      <c r="H557" s="93">
        <v>3122.17</v>
      </c>
      <c r="I557" s="32"/>
      <c r="J557" s="93">
        <v>13210.76</v>
      </c>
      <c r="K557" s="32"/>
      <c r="L557" s="32"/>
      <c r="M557" s="32"/>
      <c r="N557" s="32"/>
      <c r="O557" s="93">
        <v>280947.0</v>
      </c>
      <c r="P557" s="91">
        <f>IFERROR(__xludf.DUMMYFUNCTION("IFERROR(sum(FILTER($D:$N,$C:$C = $C557,$A:$A &lt; $A557,$B:$B = 12)),0) + sum($D557:$N557)"),280946.0100000001)</f>
        <v>280946.01</v>
      </c>
      <c r="Q557" s="92">
        <f t="shared" si="1"/>
        <v>0.9899999999</v>
      </c>
      <c r="R557" s="91">
        <f t="array" ref="R557">IFERROR(INDEX('Fund YTD Target Values'!$1:$1000, MATCH($C557,'Fund YTD Target Values'!$A:$A,0), MATCH($A557,'Fund YTD Target Values'!$1:$1,0)),0)</f>
        <v>234458.6336</v>
      </c>
      <c r="S557" s="91">
        <f>IFERROR(__xludf.DUMMYFUNCTION("IFERROR(sum(FILTER('Fund Investment Data'!$V:$V, 'Fund Investment Data'!$C:$C = $C557, 'Fund Investment Data'!$A:$A &lt; $A557)),0) + IFERROR(sum(FILTER('Fund Investment Data'!$V:$V, 'Fund Investment Data'!$C:$C = $C557, 'Fund Investment Data'!$A:$A = $A557,"&amp;" 'Fund Investment Data'!$B:$B &lt;= $B557)),0)"),194469.0)</f>
        <v>194469</v>
      </c>
      <c r="T557" s="93">
        <v>194469.0</v>
      </c>
      <c r="U557" s="32">
        <f t="shared" si="3"/>
        <v>0</v>
      </c>
      <c r="V557" s="32">
        <f>IFERROR(__xludf.DUMMYFUNCTION("$D557 - IFERROR(FILTER($D:$D,$C:$C = $C557, $A:$A = $A557, $B:$B = $B557 - 1),0)"),0.0)</f>
        <v>0</v>
      </c>
      <c r="W557" s="93">
        <f>IFERROR(__xludf.DUMMYFUNCTION("$E557 - IFERROR(FILTER($E:$E,$C:$C = $C557, $A:$A = $A557, $B:$B = $B557 - 1),0)"),0.0)</f>
        <v>0</v>
      </c>
      <c r="X557" s="93"/>
      <c r="Y557" s="93"/>
      <c r="Z557" s="93">
        <v>0.0</v>
      </c>
      <c r="AA557" s="93">
        <v>0.0</v>
      </c>
      <c r="AB557" s="93">
        <v>0.0</v>
      </c>
      <c r="AC557" s="93"/>
      <c r="AD557" s="93">
        <v>0.0</v>
      </c>
      <c r="AE557" s="32">
        <f t="shared" si="2"/>
        <v>0</v>
      </c>
      <c r="AF557" s="93">
        <v>0.0</v>
      </c>
    </row>
    <row r="558">
      <c r="A558" s="86">
        <v>2017.0</v>
      </c>
      <c r="B558" s="87">
        <v>4.0</v>
      </c>
      <c r="C558" s="88" t="s">
        <v>43</v>
      </c>
      <c r="D558" s="32"/>
      <c r="E558" s="32"/>
      <c r="F558" s="32"/>
      <c r="G558" s="93">
        <v>-228.03</v>
      </c>
      <c r="H558" s="93">
        <v>1321.77</v>
      </c>
      <c r="I558" s="32"/>
      <c r="J558" s="93">
        <v>5600.66</v>
      </c>
      <c r="K558" s="32"/>
      <c r="L558" s="32"/>
      <c r="M558" s="32"/>
      <c r="N558" s="32"/>
      <c r="O558" s="93">
        <v>117551.0</v>
      </c>
      <c r="P558" s="91">
        <f>IFERROR(__xludf.DUMMYFUNCTION("IFERROR(sum(FILTER($D:$N,$C:$C = $C558,$A:$A &lt; $A558,$B:$B = 12)),0) + sum($D558:$N558)"),117550.61000000002)</f>
        <v>117550.61</v>
      </c>
      <c r="Q558" s="92">
        <f t="shared" si="1"/>
        <v>0.39</v>
      </c>
      <c r="R558" s="91">
        <f t="array" ref="R558">IFERROR(INDEX('Fund YTD Target Values'!$1:$1000, MATCH($C558,'Fund YTD Target Values'!$A:$A,0), MATCH($A558,'Fund YTD Target Values'!$1:$1,0)),0)</f>
        <v>127580.7013</v>
      </c>
      <c r="S558" s="91">
        <f>IFERROR(__xludf.DUMMYFUNCTION("IFERROR(sum(FILTER('Fund Investment Data'!$V:$V, 'Fund Investment Data'!$C:$C = $C558, 'Fund Investment Data'!$A:$A &lt; $A558)),0) + IFERROR(sum(FILTER('Fund Investment Data'!$V:$V, 'Fund Investment Data'!$C:$C = $C558, 'Fund Investment Data'!$A:$A = $A558,"&amp;" 'Fund Investment Data'!$B:$B &lt;= $B558)),0)"),100000.0)</f>
        <v>100000</v>
      </c>
      <c r="T558" s="93">
        <v>100000.0</v>
      </c>
      <c r="U558" s="32">
        <f t="shared" si="3"/>
        <v>0</v>
      </c>
      <c r="V558" s="32">
        <f>IFERROR(__xludf.DUMMYFUNCTION("$D558 - IFERROR(FILTER($D:$D,$C:$C = $C558, $A:$A = $A558, $B:$B = $B558 - 1),0)"),0.0)</f>
        <v>0</v>
      </c>
      <c r="W558" s="93">
        <f>IFERROR(__xludf.DUMMYFUNCTION("$E558 - IFERROR(FILTER($E:$E,$C:$C = $C558, $A:$A = $A558, $B:$B = $B558 - 1),0)"),0.0)</f>
        <v>0</v>
      </c>
      <c r="X558" s="93"/>
      <c r="Y558" s="93"/>
      <c r="Z558" s="93">
        <v>0.0</v>
      </c>
      <c r="AA558" s="93">
        <v>0.0</v>
      </c>
      <c r="AB558" s="93">
        <v>0.0</v>
      </c>
      <c r="AC558" s="93"/>
      <c r="AD558" s="93">
        <v>0.0</v>
      </c>
      <c r="AE558" s="32">
        <f t="shared" si="2"/>
        <v>0</v>
      </c>
      <c r="AF558" s="93">
        <v>0.0</v>
      </c>
    </row>
    <row r="559">
      <c r="A559" s="86">
        <v>2017.0</v>
      </c>
      <c r="B559" s="87">
        <v>4.0</v>
      </c>
      <c r="C559" s="88" t="s">
        <v>52</v>
      </c>
      <c r="D559" s="32"/>
      <c r="E559" s="32"/>
      <c r="F559" s="32"/>
      <c r="G559" s="93">
        <v>-2224.19</v>
      </c>
      <c r="H559" s="93">
        <v>12146.14</v>
      </c>
      <c r="I559" s="32"/>
      <c r="J559" s="93">
        <v>51430.68</v>
      </c>
      <c r="K559" s="32"/>
      <c r="L559" s="32"/>
      <c r="M559" s="32"/>
      <c r="N559" s="32"/>
      <c r="O559" s="93">
        <v>1086201.0</v>
      </c>
      <c r="P559" s="91">
        <f>IFERROR(__xludf.DUMMYFUNCTION("IFERROR(sum(FILTER($D:$N,$C:$C = $C559,$A:$A &lt; $A559,$B:$B = 12)),0) + sum($D559:$N559)"),1086200.5699999998)</f>
        <v>1086200.57</v>
      </c>
      <c r="Q559" s="92">
        <f t="shared" si="1"/>
        <v>0.4300000002</v>
      </c>
      <c r="R559" s="91">
        <f t="array" ref="R559">IFERROR(INDEX('Fund YTD Target Values'!$1:$1000, MATCH($C559,'Fund YTD Target Values'!$A:$A,0), MATCH($A559,'Fund YTD Target Values'!$1:$1,0)),0)</f>
        <v>1048370.982</v>
      </c>
      <c r="S559" s="91">
        <f>IFERROR(__xludf.DUMMYFUNCTION("IFERROR(sum(FILTER('Fund Investment Data'!$V:$V, 'Fund Investment Data'!$C:$C = $C559, 'Fund Investment Data'!$A:$A &lt; $A559)),0) + IFERROR(sum(FILTER('Fund Investment Data'!$V:$V, 'Fund Investment Data'!$C:$C = $C559, 'Fund Investment Data'!$A:$A = $A559,"&amp;" 'Fund Investment Data'!$B:$B &lt;= $B559)),0)"),1001636.0)</f>
        <v>1001636</v>
      </c>
      <c r="T559" s="93">
        <v>1001949.0</v>
      </c>
      <c r="U559" s="32">
        <f t="shared" si="3"/>
        <v>-313</v>
      </c>
      <c r="V559" s="32">
        <f>IFERROR(__xludf.DUMMYFUNCTION("$D559 - IFERROR(FILTER($D:$D,$C:$C = $C559, $A:$A = $A559, $B:$B = $B559 - 1),0)"),0.0)</f>
        <v>0</v>
      </c>
      <c r="W559" s="93">
        <f>IFERROR(__xludf.DUMMYFUNCTION("$E559 - IFERROR(FILTER($E:$E,$C:$C = $C559, $A:$A = $A559, $B:$B = $B559 - 1),0)"),0.0)</f>
        <v>0</v>
      </c>
      <c r="X559" s="93"/>
      <c r="Y559" s="93"/>
      <c r="Z559" s="93">
        <v>0.0</v>
      </c>
      <c r="AA559" s="93">
        <v>0.0</v>
      </c>
      <c r="AB559" s="93">
        <v>0.0</v>
      </c>
      <c r="AC559" s="93"/>
      <c r="AD559" s="93">
        <v>0.0</v>
      </c>
      <c r="AE559" s="32">
        <f t="shared" si="2"/>
        <v>0</v>
      </c>
      <c r="AF559" s="93">
        <v>0.0</v>
      </c>
    </row>
    <row r="560">
      <c r="A560" s="86">
        <v>2017.0</v>
      </c>
      <c r="B560" s="87">
        <v>4.0</v>
      </c>
      <c r="C560" s="88" t="s">
        <v>33</v>
      </c>
      <c r="D560" s="32"/>
      <c r="E560" s="32"/>
      <c r="F560" s="32"/>
      <c r="G560" s="93">
        <v>-711.25</v>
      </c>
      <c r="H560" s="93">
        <v>4122.91</v>
      </c>
      <c r="I560" s="32"/>
      <c r="J560" s="93">
        <v>17469.88</v>
      </c>
      <c r="K560" s="32"/>
      <c r="L560" s="32"/>
      <c r="M560" s="32"/>
      <c r="N560" s="32"/>
      <c r="O560" s="93">
        <v>366666.0</v>
      </c>
      <c r="P560" s="91">
        <f>IFERROR(__xludf.DUMMYFUNCTION("IFERROR(sum(FILTER($D:$N,$C:$C = $C560,$A:$A &lt; $A560,$B:$B = 12)),0) + sum($D560:$N560)"),366666.5099999997)</f>
        <v>366666.51</v>
      </c>
      <c r="Q560" s="92">
        <f t="shared" si="1"/>
        <v>-0.5099999997</v>
      </c>
      <c r="R560" s="91">
        <f t="array" ref="R560">IFERROR(INDEX('Fund YTD Target Values'!$1:$1000, MATCH($C560,'Fund YTD Target Values'!$A:$A,0), MATCH($A560,'Fund YTD Target Values'!$1:$1,0)),0)</f>
        <v>500698.0917</v>
      </c>
      <c r="S560" s="91">
        <f>IFERROR(__xludf.DUMMYFUNCTION("IFERROR(sum(FILTER('Fund Investment Data'!$V:$V, 'Fund Investment Data'!$C:$C = $C560, 'Fund Investment Data'!$A:$A &lt; $A560)),0) + IFERROR(sum(FILTER('Fund Investment Data'!$V:$V, 'Fund Investment Data'!$C:$C = $C560, 'Fund Investment Data'!$A:$A = $A560,"&amp;" 'Fund Investment Data'!$B:$B &lt;= $B560)),0)"),325871.6399999999)</f>
        <v>325871.64</v>
      </c>
      <c r="T560" s="93">
        <v>326032.0</v>
      </c>
      <c r="U560" s="32">
        <f t="shared" si="3"/>
        <v>-160.36</v>
      </c>
      <c r="V560" s="32">
        <f>IFERROR(__xludf.DUMMYFUNCTION("$D560 - IFERROR(FILTER($D:$D,$C:$C = $C560, $A:$A = $A560, $B:$B = $B560 - 1),0)"),0.0)</f>
        <v>0</v>
      </c>
      <c r="W560" s="93">
        <f>IFERROR(__xludf.DUMMYFUNCTION("$E560 - IFERROR(FILTER($E:$E,$C:$C = $C560, $A:$A = $A560, $B:$B = $B560 - 1),0)"),0.0)</f>
        <v>0</v>
      </c>
      <c r="X560" s="93"/>
      <c r="Y560" s="93"/>
      <c r="Z560" s="93">
        <v>0.0</v>
      </c>
      <c r="AA560" s="93">
        <v>0.0</v>
      </c>
      <c r="AB560" s="93">
        <v>0.0</v>
      </c>
      <c r="AC560" s="93"/>
      <c r="AD560" s="93">
        <v>0.0</v>
      </c>
      <c r="AE560" s="32">
        <f t="shared" si="2"/>
        <v>0</v>
      </c>
      <c r="AF560" s="93">
        <v>0.0</v>
      </c>
    </row>
    <row r="561">
      <c r="A561" s="86">
        <v>2017.0</v>
      </c>
      <c r="B561" s="87">
        <v>4.0</v>
      </c>
      <c r="C561" s="88" t="s">
        <v>53</v>
      </c>
      <c r="D561" s="32"/>
      <c r="E561" s="32"/>
      <c r="F561" s="32"/>
      <c r="G561" s="93">
        <v>-4183.63</v>
      </c>
      <c r="H561" s="93">
        <v>24271.69</v>
      </c>
      <c r="I561" s="32"/>
      <c r="J561" s="93">
        <v>102854.89</v>
      </c>
      <c r="K561" s="32"/>
      <c r="L561" s="32"/>
      <c r="M561" s="32"/>
      <c r="N561" s="32"/>
      <c r="O561" s="93">
        <v>2156856.0</v>
      </c>
      <c r="P561" s="91">
        <f>IFERROR(__xludf.DUMMYFUNCTION("IFERROR(sum(FILTER($D:$N,$C:$C = $C561,$A:$A &lt; $A561,$B:$B = 12)),0) + sum($D561:$N561)"),2156856.23)</f>
        <v>2156856.23</v>
      </c>
      <c r="Q561" s="92">
        <f t="shared" si="1"/>
        <v>-0.23</v>
      </c>
      <c r="R561" s="91">
        <f t="array" ref="R561">IFERROR(INDEX('Fund YTD Target Values'!$1:$1000, MATCH($C561,'Fund YTD Target Values'!$A:$A,0), MATCH($A561,'Fund YTD Target Values'!$1:$1,0)),0)</f>
        <v>2171706.82</v>
      </c>
      <c r="S561" s="91">
        <f>IFERROR(__xludf.DUMMYFUNCTION("IFERROR(sum(FILTER('Fund Investment Data'!$V:$V, 'Fund Investment Data'!$C:$C = $C561, 'Fund Investment Data'!$A:$A &lt; $A561)),0) + IFERROR(sum(FILTER('Fund Investment Data'!$V:$V, 'Fund Investment Data'!$C:$C = $C561, 'Fund Investment Data'!$A:$A = $A561,"&amp;" 'Fund Investment Data'!$B:$B &lt;= $B561)),0)"),2005500.0)</f>
        <v>2005500</v>
      </c>
      <c r="T561" s="93">
        <v>2005500.0</v>
      </c>
      <c r="U561" s="32">
        <f t="shared" si="3"/>
        <v>0</v>
      </c>
      <c r="V561" s="32">
        <f>IFERROR(__xludf.DUMMYFUNCTION("$D561 - IFERROR(FILTER($D:$D,$C:$C = $C561, $A:$A = $A561, $B:$B = $B561 - 1),0)"),0.0)</f>
        <v>0</v>
      </c>
      <c r="W561" s="93">
        <f>IFERROR(__xludf.DUMMYFUNCTION("$E561 - IFERROR(FILTER($E:$E,$C:$C = $C561, $A:$A = $A561, $B:$B = $B561 - 1),0)"),0.0)</f>
        <v>0</v>
      </c>
      <c r="X561" s="93"/>
      <c r="Y561" s="93"/>
      <c r="Z561" s="93">
        <v>0.0</v>
      </c>
      <c r="AA561" s="93">
        <v>0.0</v>
      </c>
      <c r="AB561" s="93">
        <v>0.0</v>
      </c>
      <c r="AC561" s="93"/>
      <c r="AD561" s="93">
        <v>0.0</v>
      </c>
      <c r="AE561" s="32">
        <f t="shared" si="2"/>
        <v>0</v>
      </c>
      <c r="AF561" s="93">
        <v>0.0</v>
      </c>
    </row>
    <row r="562">
      <c r="A562" s="86">
        <v>2017.0</v>
      </c>
      <c r="B562" s="87">
        <v>4.0</v>
      </c>
      <c r="C562" s="88" t="s">
        <v>34</v>
      </c>
      <c r="D562" s="93">
        <v>5000.0</v>
      </c>
      <c r="E562" s="32"/>
      <c r="F562" s="32"/>
      <c r="G562" s="93">
        <v>-260.94</v>
      </c>
      <c r="H562" s="93">
        <v>1478.34</v>
      </c>
      <c r="I562" s="32"/>
      <c r="J562" s="93">
        <v>6250.32</v>
      </c>
      <c r="K562" s="32"/>
      <c r="L562" s="32"/>
      <c r="M562" s="32"/>
      <c r="N562" s="32"/>
      <c r="O562" s="93">
        <v>138164.0</v>
      </c>
      <c r="P562" s="91">
        <f>IFERROR(__xludf.DUMMYFUNCTION("IFERROR(sum(FILTER($D:$N,$C:$C = $C562,$A:$A &lt; $A562,$B:$B = 12)),0) + sum($D562:$N562)"),138164.22999999998)</f>
        <v>138164.23</v>
      </c>
      <c r="Q562" s="92">
        <f t="shared" si="1"/>
        <v>-0.23</v>
      </c>
      <c r="R562" s="91">
        <f t="array" ref="R562">IFERROR(INDEX('Fund YTD Target Values'!$1:$1000, MATCH($C562,'Fund YTD Target Values'!$A:$A,0), MATCH($A562,'Fund YTD Target Values'!$1:$1,0)),0)</f>
        <v>127220.0742</v>
      </c>
      <c r="S562" s="91">
        <f>IFERROR(__xludf.DUMMYFUNCTION("IFERROR(sum(FILTER('Fund Investment Data'!$V:$V, 'Fund Investment Data'!$C:$C = $C562, 'Fund Investment Data'!$A:$A &lt; $A562)),0) + IFERROR(sum(FILTER('Fund Investment Data'!$V:$V, 'Fund Investment Data'!$C:$C = $C562, 'Fund Investment Data'!$A:$A = $A562,"&amp;" 'Fund Investment Data'!$B:$B &lt;= $B562)),0)"),120000.0)</f>
        <v>120000</v>
      </c>
      <c r="T562" s="93">
        <v>121567.0</v>
      </c>
      <c r="U562" s="32">
        <f t="shared" si="3"/>
        <v>-1567</v>
      </c>
      <c r="V562" s="32">
        <f>IFERROR(__xludf.DUMMYFUNCTION("$D562 - IFERROR(FILTER($D:$D,$C:$C = $C562, $A:$A = $A562, $B:$B = $B562 - 1),0)"),0.0)</f>
        <v>0</v>
      </c>
      <c r="W562" s="93">
        <f>IFERROR(__xludf.DUMMYFUNCTION("$E562 - IFERROR(FILTER($E:$E,$C:$C = $C562, $A:$A = $A562, $B:$B = $B562 - 1),0)"),0.0)</f>
        <v>0</v>
      </c>
      <c r="X562" s="93"/>
      <c r="Y562" s="93"/>
      <c r="Z562" s="93">
        <v>0.0</v>
      </c>
      <c r="AA562" s="93">
        <v>0.0</v>
      </c>
      <c r="AB562" s="93">
        <v>0.0</v>
      </c>
      <c r="AC562" s="93"/>
      <c r="AD562" s="93">
        <v>0.0</v>
      </c>
      <c r="AE562" s="32">
        <f t="shared" si="2"/>
        <v>0</v>
      </c>
      <c r="AF562" s="93">
        <v>0.0</v>
      </c>
    </row>
    <row r="563">
      <c r="A563" s="86">
        <v>2017.0</v>
      </c>
      <c r="B563" s="87">
        <v>4.0</v>
      </c>
      <c r="C563" s="88" t="s">
        <v>54</v>
      </c>
      <c r="D563" s="93">
        <v>791.0</v>
      </c>
      <c r="E563" s="32"/>
      <c r="F563" s="32"/>
      <c r="G563" s="93">
        <v>-389.61</v>
      </c>
      <c r="H563" s="93">
        <v>1806.41</v>
      </c>
      <c r="I563" s="32"/>
      <c r="J563" s="93">
        <v>8877.17</v>
      </c>
      <c r="K563" s="32"/>
      <c r="L563" s="32"/>
      <c r="M563" s="32"/>
      <c r="N563" s="32"/>
      <c r="O563" s="93">
        <v>161538.0</v>
      </c>
      <c r="P563" s="91">
        <f>IFERROR(__xludf.DUMMYFUNCTION("IFERROR(sum(FILTER($D:$N,$C:$C = $C563,$A:$A &lt; $A563,$B:$B = 12)),0) + sum($D563:$N563)"),161540.07999999996)</f>
        <v>161540.08</v>
      </c>
      <c r="Q563" s="92">
        <f t="shared" si="1"/>
        <v>-2.08</v>
      </c>
      <c r="R563" s="91">
        <f t="array" ref="R563">IFERROR(INDEX('Fund YTD Target Values'!$1:$1000, MATCH($C563,'Fund YTD Target Values'!$A:$A,0), MATCH($A563,'Fund YTD Target Values'!$1:$1,0)),0)</f>
        <v>151442.9959</v>
      </c>
      <c r="S563" s="91">
        <f>IFERROR(__xludf.DUMMYFUNCTION("IFERROR(sum(FILTER('Fund Investment Data'!$V:$V, 'Fund Investment Data'!$C:$C = $C563, 'Fund Investment Data'!$A:$A &lt; $A563)),0) + IFERROR(sum(FILTER('Fund Investment Data'!$V:$V, 'Fund Investment Data'!$C:$C = $C563, 'Fund Investment Data'!$A:$A = $A563,"&amp;" 'Fund Investment Data'!$B:$B &lt;= $B563)),0)"),112136.10999999999)</f>
        <v>112136.11</v>
      </c>
      <c r="T563" s="93">
        <v>108220.0</v>
      </c>
      <c r="U563" s="32">
        <f t="shared" si="3"/>
        <v>3916.11</v>
      </c>
      <c r="V563" s="32">
        <f>IFERROR(__xludf.DUMMYFUNCTION("$D563 - IFERROR(FILTER($D:$D,$C:$C = $C563, $A:$A = $A563, $B:$B = $B563 - 1),0)"),0.0)</f>
        <v>0</v>
      </c>
      <c r="W563" s="93">
        <f>IFERROR(__xludf.DUMMYFUNCTION("$E563 - IFERROR(FILTER($E:$E,$C:$C = $C563, $A:$A = $A563, $B:$B = $B563 - 1),0)"),0.0)</f>
        <v>0</v>
      </c>
      <c r="X563" s="93"/>
      <c r="Y563" s="93"/>
      <c r="Z563" s="93">
        <v>0.0</v>
      </c>
      <c r="AA563" s="93">
        <v>0.0</v>
      </c>
      <c r="AB563" s="93">
        <v>0.0</v>
      </c>
      <c r="AC563" s="93"/>
      <c r="AD563" s="93">
        <v>0.0</v>
      </c>
      <c r="AE563" s="32">
        <f t="shared" si="2"/>
        <v>0</v>
      </c>
      <c r="AF563" s="93">
        <v>0.0</v>
      </c>
    </row>
    <row r="564">
      <c r="A564" s="86">
        <v>2017.0</v>
      </c>
      <c r="B564" s="87">
        <v>4.0</v>
      </c>
      <c r="C564" s="88" t="s">
        <v>55</v>
      </c>
      <c r="D564" s="32"/>
      <c r="E564" s="32"/>
      <c r="F564" s="32"/>
      <c r="G564" s="93">
        <v>-388.34</v>
      </c>
      <c r="H564" s="93">
        <v>930.88</v>
      </c>
      <c r="I564" s="32"/>
      <c r="J564" s="93">
        <v>4546.27</v>
      </c>
      <c r="K564" s="32"/>
      <c r="L564" s="32"/>
      <c r="M564" s="32"/>
      <c r="N564" s="32"/>
      <c r="O564" s="93">
        <v>146964.0</v>
      </c>
      <c r="P564" s="91">
        <f>IFERROR(__xludf.DUMMYFUNCTION("IFERROR(sum(FILTER($D:$N,$C:$C = $C564,$A:$A &lt; $A564,$B:$B = 12)),0) + sum($D564:$N564)"),146964.09999999998)</f>
        <v>146964.1</v>
      </c>
      <c r="Q564" s="92">
        <f t="shared" si="1"/>
        <v>-0.09999999998</v>
      </c>
      <c r="R564" s="91">
        <f t="array" ref="R564">IFERROR(INDEX('Fund YTD Target Values'!$1:$1000, MATCH($C564,'Fund YTD Target Values'!$A:$A,0), MATCH($A564,'Fund YTD Target Values'!$1:$1,0)),0)</f>
        <v>213886.3799</v>
      </c>
      <c r="S564" s="91">
        <f>IFERROR(__xludf.DUMMYFUNCTION("IFERROR(sum(FILTER('Fund Investment Data'!$V:$V, 'Fund Investment Data'!$C:$C = $C564, 'Fund Investment Data'!$A:$A &lt; $A564)),0) + IFERROR(sum(FILTER('Fund Investment Data'!$V:$V, 'Fund Investment Data'!$C:$C = $C564, 'Fund Investment Data'!$A:$A = $A564,"&amp;" 'Fund Investment Data'!$B:$B &lt;= $B564)),0)"),140000.0)</f>
        <v>140000</v>
      </c>
      <c r="T564" s="93">
        <v>167565.0</v>
      </c>
      <c r="U564" s="32">
        <f t="shared" si="3"/>
        <v>-27565</v>
      </c>
      <c r="V564" s="32">
        <f>IFERROR(__xludf.DUMMYFUNCTION("$D564 - IFERROR(FILTER($D:$D,$C:$C = $C564, $A:$A = $A564, $B:$B = $B564 - 1),0)"),0.0)</f>
        <v>0</v>
      </c>
      <c r="W564" s="93">
        <f>IFERROR(__xludf.DUMMYFUNCTION("$E564 - IFERROR(FILTER($E:$E,$C:$C = $C564, $A:$A = $A564, $B:$B = $B564 - 1),0)"),0.0)</f>
        <v>0</v>
      </c>
      <c r="X564" s="93"/>
      <c r="Y564" s="93"/>
      <c r="Z564" s="93">
        <v>0.0</v>
      </c>
      <c r="AA564" s="93">
        <v>0.0</v>
      </c>
      <c r="AB564" s="93">
        <v>0.0</v>
      </c>
      <c r="AC564" s="93"/>
      <c r="AD564" s="93">
        <v>0.0</v>
      </c>
      <c r="AE564" s="32">
        <f t="shared" si="2"/>
        <v>0</v>
      </c>
      <c r="AF564" s="93">
        <v>0.0</v>
      </c>
    </row>
    <row r="565">
      <c r="A565" s="86">
        <v>2017.0</v>
      </c>
      <c r="B565" s="87">
        <v>4.0</v>
      </c>
      <c r="C565" s="88" t="s">
        <v>44</v>
      </c>
      <c r="D565" s="32"/>
      <c r="E565" s="32"/>
      <c r="F565" s="32"/>
      <c r="G565" s="93">
        <v>-548.88</v>
      </c>
      <c r="H565" s="93">
        <v>3181.75</v>
      </c>
      <c r="I565" s="32"/>
      <c r="J565" s="93">
        <v>13481.91</v>
      </c>
      <c r="K565" s="32"/>
      <c r="L565" s="32"/>
      <c r="M565" s="32"/>
      <c r="N565" s="32"/>
      <c r="O565" s="93">
        <v>282965.0</v>
      </c>
      <c r="P565" s="91">
        <f>IFERROR(__xludf.DUMMYFUNCTION("IFERROR(sum(FILTER($D:$N,$C:$C = $C565,$A:$A &lt; $A565,$B:$B = 12)),0) + sum($D565:$N565)"),282965.93000000017)</f>
        <v>282965.93</v>
      </c>
      <c r="Q565" s="92">
        <f t="shared" si="1"/>
        <v>-0.9300000002</v>
      </c>
      <c r="R565" s="91">
        <f t="array" ref="R565">IFERROR(INDEX('Fund YTD Target Values'!$1:$1000, MATCH($C565,'Fund YTD Target Values'!$A:$A,0), MATCH($A565,'Fund YTD Target Values'!$1:$1,0)),0)</f>
        <v>313918.5223</v>
      </c>
      <c r="S565" s="91">
        <f>IFERROR(__xludf.DUMMYFUNCTION("IFERROR(sum(FILTER('Fund Investment Data'!$V:$V, 'Fund Investment Data'!$C:$C = $C565, 'Fund Investment Data'!$A:$A &lt; $A565)),0) + IFERROR(sum(FILTER('Fund Investment Data'!$V:$V, 'Fund Investment Data'!$C:$C = $C565, 'Fund Investment Data'!$A:$A = $A565,"&amp;" 'Fund Investment Data'!$B:$B &lt;= $B565)),0)"),250000.0)</f>
        <v>250000</v>
      </c>
      <c r="T565" s="93">
        <v>250000.0</v>
      </c>
      <c r="U565" s="32">
        <f t="shared" si="3"/>
        <v>0</v>
      </c>
      <c r="V565" s="32">
        <f>IFERROR(__xludf.DUMMYFUNCTION("$D565 - IFERROR(FILTER($D:$D,$C:$C = $C565, $A:$A = $A565, $B:$B = $B565 - 1),0)"),0.0)</f>
        <v>0</v>
      </c>
      <c r="W565" s="93">
        <f>IFERROR(__xludf.DUMMYFUNCTION("$E565 - IFERROR(FILTER($E:$E,$C:$C = $C565, $A:$A = $A565, $B:$B = $B565 - 1),0)"),0.0)</f>
        <v>0</v>
      </c>
      <c r="X565" s="93"/>
      <c r="Y565" s="93"/>
      <c r="Z565" s="93">
        <v>0.0</v>
      </c>
      <c r="AA565" s="93">
        <v>0.0</v>
      </c>
      <c r="AB565" s="93">
        <v>0.0</v>
      </c>
      <c r="AC565" s="93"/>
      <c r="AD565" s="93">
        <v>0.0</v>
      </c>
      <c r="AE565" s="32">
        <f t="shared" si="2"/>
        <v>0</v>
      </c>
      <c r="AF565" s="93">
        <v>0.0</v>
      </c>
    </row>
    <row r="566">
      <c r="A566" s="86">
        <v>2017.0</v>
      </c>
      <c r="B566" s="87">
        <v>4.0</v>
      </c>
      <c r="C566" s="88" t="s">
        <v>45</v>
      </c>
      <c r="D566" s="32"/>
      <c r="E566" s="32"/>
      <c r="F566" s="32"/>
      <c r="G566" s="93">
        <v>-275.25</v>
      </c>
      <c r="H566" s="93">
        <v>1549.36</v>
      </c>
      <c r="I566" s="32"/>
      <c r="J566" s="93">
        <v>6542.77</v>
      </c>
      <c r="K566" s="32"/>
      <c r="L566" s="32"/>
      <c r="M566" s="32"/>
      <c r="N566" s="32"/>
      <c r="O566" s="93">
        <v>141762.0</v>
      </c>
      <c r="P566" s="91">
        <f>IFERROR(__xludf.DUMMYFUNCTION("IFERROR(sum(FILTER($D:$N,$C:$C = $C566,$A:$A &lt; $A566,$B:$B = 12)),0) + sum($D566:$N566)"),141761.71)</f>
        <v>141761.71</v>
      </c>
      <c r="Q566" s="92">
        <f t="shared" si="1"/>
        <v>0.29</v>
      </c>
      <c r="R566" s="91">
        <f t="array" ref="R566">IFERROR(INDEX('Fund YTD Target Values'!$1:$1000, MATCH($C566,'Fund YTD Target Values'!$A:$A,0), MATCH($A566,'Fund YTD Target Values'!$1:$1,0)),0)</f>
        <v>118351.1878</v>
      </c>
      <c r="S566" s="91">
        <f>IFERROR(__xludf.DUMMYFUNCTION("IFERROR(sum(FILTER('Fund Investment Data'!$V:$V, 'Fund Investment Data'!$C:$C = $C566, 'Fund Investment Data'!$A:$A &lt; $A566)),0) + IFERROR(sum(FILTER('Fund Investment Data'!$V:$V, 'Fund Investment Data'!$C:$C = $C566, 'Fund Investment Data'!$A:$A = $A566,"&amp;" 'Fund Investment Data'!$B:$B &lt;= $B566)),0)"),100000.0)</f>
        <v>100000</v>
      </c>
      <c r="T566" s="93">
        <v>100000.0</v>
      </c>
      <c r="U566" s="32">
        <f t="shared" si="3"/>
        <v>0</v>
      </c>
      <c r="V566" s="32">
        <f>IFERROR(__xludf.DUMMYFUNCTION("$D566 - IFERROR(FILTER($D:$D,$C:$C = $C566, $A:$A = $A566, $B:$B = $B566 - 1),0)"),0.0)</f>
        <v>0</v>
      </c>
      <c r="W566" s="93">
        <f>IFERROR(__xludf.DUMMYFUNCTION("$E566 - IFERROR(FILTER($E:$E,$C:$C = $C566, $A:$A = $A566, $B:$B = $B566 - 1),0)"),0.0)</f>
        <v>0</v>
      </c>
      <c r="X566" s="93"/>
      <c r="Y566" s="93"/>
      <c r="Z566" s="93">
        <v>0.0</v>
      </c>
      <c r="AA566" s="93">
        <v>0.0</v>
      </c>
      <c r="AB566" s="93">
        <v>0.0</v>
      </c>
      <c r="AC566" s="93"/>
      <c r="AD566" s="93">
        <v>0.0</v>
      </c>
      <c r="AE566" s="32">
        <f t="shared" si="2"/>
        <v>0</v>
      </c>
      <c r="AF566" s="93">
        <v>0.0</v>
      </c>
    </row>
    <row r="567">
      <c r="A567" s="86">
        <v>2017.0</v>
      </c>
      <c r="B567" s="87">
        <v>4.0</v>
      </c>
      <c r="C567" s="88" t="s">
        <v>35</v>
      </c>
      <c r="D567" s="32"/>
      <c r="E567" s="32"/>
      <c r="F567" s="32"/>
      <c r="G567" s="93">
        <v>-2758.06</v>
      </c>
      <c r="H567" s="93">
        <v>16001.44</v>
      </c>
      <c r="I567" s="32"/>
      <c r="J567" s="93">
        <v>67807.27</v>
      </c>
      <c r="K567" s="32"/>
      <c r="L567" s="32"/>
      <c r="M567" s="32"/>
      <c r="N567" s="32"/>
      <c r="O567" s="93">
        <v>1421909.0</v>
      </c>
      <c r="P567" s="91">
        <f>IFERROR(__xludf.DUMMYFUNCTION("IFERROR(sum(FILTER($D:$N,$C:$C = $C567,$A:$A &lt; $A567,$B:$B = 12)),0) + sum($D567:$N567)"),1421908.3200000003)</f>
        <v>1421908.32</v>
      </c>
      <c r="Q567" s="92">
        <f t="shared" si="1"/>
        <v>0.6799999997</v>
      </c>
      <c r="R567" s="91">
        <f t="array" ref="R567">IFERROR(INDEX('Fund YTD Target Values'!$1:$1000, MATCH($C567,'Fund YTD Target Values'!$A:$A,0), MATCH($A567,'Fund YTD Target Values'!$1:$1,0)),0)</f>
        <v>1541591.16</v>
      </c>
      <c r="S567" s="91">
        <f>IFERROR(__xludf.DUMMYFUNCTION("IFERROR(sum(FILTER('Fund Investment Data'!$V:$V, 'Fund Investment Data'!$C:$C = $C567, 'Fund Investment Data'!$A:$A &lt; $A567)),0) + IFERROR(sum(FILTER('Fund Investment Data'!$V:$V, 'Fund Investment Data'!$C:$C = $C567, 'Fund Investment Data'!$A:$A = $A567,"&amp;" 'Fund Investment Data'!$B:$B &lt;= $B567)),0)"),1086625.0)</f>
        <v>1086625</v>
      </c>
      <c r="T567" s="93">
        <v>1071625.0</v>
      </c>
      <c r="U567" s="32">
        <f t="shared" si="3"/>
        <v>15000</v>
      </c>
      <c r="V567" s="32">
        <f>IFERROR(__xludf.DUMMYFUNCTION("$D567 - IFERROR(FILTER($D:$D,$C:$C = $C567, $A:$A = $A567, $B:$B = $B567 - 1),0)"),0.0)</f>
        <v>0</v>
      </c>
      <c r="W567" s="93">
        <f>IFERROR(__xludf.DUMMYFUNCTION("$E567 - IFERROR(FILTER($E:$E,$C:$C = $C567, $A:$A = $A567, $B:$B = $B567 - 1),0)"),0.0)</f>
        <v>0</v>
      </c>
      <c r="X567" s="93"/>
      <c r="Y567" s="93"/>
      <c r="Z567" s="93">
        <v>0.0</v>
      </c>
      <c r="AA567" s="93">
        <v>0.0</v>
      </c>
      <c r="AB567" s="93">
        <v>0.0</v>
      </c>
      <c r="AC567" s="93"/>
      <c r="AD567" s="93">
        <v>0.0</v>
      </c>
      <c r="AE567" s="32">
        <f t="shared" si="2"/>
        <v>0</v>
      </c>
      <c r="AF567" s="93">
        <v>0.0</v>
      </c>
    </row>
    <row r="568">
      <c r="A568" s="86">
        <v>2017.0</v>
      </c>
      <c r="B568" s="87">
        <v>4.0</v>
      </c>
      <c r="C568" s="88" t="s">
        <v>56</v>
      </c>
      <c r="D568" s="32"/>
      <c r="E568" s="32"/>
      <c r="F568" s="32"/>
      <c r="G568" s="93">
        <v>-2054.39</v>
      </c>
      <c r="H568" s="93">
        <v>11563.94</v>
      </c>
      <c r="I568" s="32"/>
      <c r="J568" s="93">
        <v>48833.35</v>
      </c>
      <c r="K568" s="32"/>
      <c r="L568" s="32"/>
      <c r="M568" s="32"/>
      <c r="N568" s="32"/>
      <c r="O568" s="93">
        <v>1058062.0</v>
      </c>
      <c r="P568" s="91">
        <f>IFERROR(__xludf.DUMMYFUNCTION("IFERROR(sum(FILTER($D:$N,$C:$C = $C568,$A:$A &lt; $A568,$B:$B = 12)),0) + sum($D568:$N568)"),1058061.5199999998)</f>
        <v>1058061.52</v>
      </c>
      <c r="Q568" s="92">
        <f t="shared" si="1"/>
        <v>0.4800000002</v>
      </c>
      <c r="R568" s="91">
        <f t="array" ref="R568">IFERROR(INDEX('Fund YTD Target Values'!$1:$1000, MATCH($C568,'Fund YTD Target Values'!$A:$A,0), MATCH($A568,'Fund YTD Target Values'!$1:$1,0)),0)</f>
        <v>1035433.228</v>
      </c>
      <c r="S568" s="91">
        <f>IFERROR(__xludf.DUMMYFUNCTION("IFERROR(sum(FILTER('Fund Investment Data'!$V:$V, 'Fund Investment Data'!$C:$C = $C568, 'Fund Investment Data'!$A:$A &lt; $A568)),0) + IFERROR(sum(FILTER('Fund Investment Data'!$V:$V, 'Fund Investment Data'!$C:$C = $C568, 'Fund Investment Data'!$A:$A = $A568,"&amp;" 'Fund Investment Data'!$B:$B &lt;= $B568)),0)"),1000000.0)</f>
        <v>1000000</v>
      </c>
      <c r="T568" s="93">
        <v>1000000.0</v>
      </c>
      <c r="U568" s="32">
        <f t="shared" si="3"/>
        <v>0</v>
      </c>
      <c r="V568" s="32">
        <f>IFERROR(__xludf.DUMMYFUNCTION("$D568 - IFERROR(FILTER($D:$D,$C:$C = $C568, $A:$A = $A568, $B:$B = $B568 - 1),0)"),0.0)</f>
        <v>0</v>
      </c>
      <c r="W568" s="93">
        <f>IFERROR(__xludf.DUMMYFUNCTION("$E568 - IFERROR(FILTER($E:$E,$C:$C = $C568, $A:$A = $A568, $B:$B = $B568 - 1),0)"),0.0)</f>
        <v>0</v>
      </c>
      <c r="X568" s="93"/>
      <c r="Y568" s="93"/>
      <c r="Z568" s="93">
        <v>0.0</v>
      </c>
      <c r="AA568" s="93">
        <v>0.0</v>
      </c>
      <c r="AB568" s="93">
        <v>0.0</v>
      </c>
      <c r="AC568" s="93"/>
      <c r="AD568" s="93">
        <v>0.0</v>
      </c>
      <c r="AE568" s="32">
        <f t="shared" si="2"/>
        <v>0</v>
      </c>
      <c r="AF568" s="93">
        <v>0.0</v>
      </c>
    </row>
    <row r="569">
      <c r="A569" s="86">
        <v>2017.0</v>
      </c>
      <c r="B569" s="87">
        <v>5.0</v>
      </c>
      <c r="C569" s="88" t="s">
        <v>26</v>
      </c>
      <c r="D569" s="93">
        <v>9843.0</v>
      </c>
      <c r="E569" s="32"/>
      <c r="F569" s="32"/>
      <c r="G569" s="93">
        <v>-766.0</v>
      </c>
      <c r="H569" s="93">
        <v>3651.38</v>
      </c>
      <c r="I569" s="32"/>
      <c r="J569" s="93">
        <v>18028.99</v>
      </c>
      <c r="K569" s="32"/>
      <c r="L569" s="32"/>
      <c r="M569" s="32"/>
      <c r="N569" s="32"/>
      <c r="O569" s="93">
        <v>319241.0</v>
      </c>
      <c r="P569" s="91">
        <f>IFERROR(__xludf.DUMMYFUNCTION("IFERROR(sum(FILTER($D:$N,$C:$C = $C569,$A:$A &lt; $A569,$B:$B = 12)),0) + sum($D569:$N569)"),319240.05999999994)</f>
        <v>319240.06</v>
      </c>
      <c r="Q569" s="92">
        <f t="shared" si="1"/>
        <v>0.9400000001</v>
      </c>
      <c r="R569" s="91">
        <f t="array" ref="R569">IFERROR(INDEX('Fund YTD Target Values'!$1:$1000, MATCH($C569,'Fund YTD Target Values'!$A:$A,0), MATCH($A569,'Fund YTD Target Values'!$1:$1,0)),0)</f>
        <v>351339.7985</v>
      </c>
      <c r="S569" s="91">
        <f>IFERROR(__xludf.DUMMYFUNCTION("IFERROR(sum(FILTER('Fund Investment Data'!$V:$V, 'Fund Investment Data'!$C:$C = $C569, 'Fund Investment Data'!$A:$A &lt; $A569)),0) + IFERROR(sum(FILTER('Fund Investment Data'!$V:$V, 'Fund Investment Data'!$C:$C = $C569, 'Fund Investment Data'!$A:$A = $A569,"&amp;" 'Fund Investment Data'!$B:$B &lt;= $B569)),0)"),291810.0)</f>
        <v>291810</v>
      </c>
      <c r="T569" s="93">
        <v>291811.0</v>
      </c>
      <c r="U569" s="32">
        <f t="shared" si="3"/>
        <v>-1</v>
      </c>
      <c r="V569" s="32">
        <f>IFERROR(__xludf.DUMMYFUNCTION("$D569 - IFERROR(FILTER($D:$D,$C:$C = $C569, $A:$A = $A569, $B:$B = $B569 - 1),0)"),0.0)</f>
        <v>0</v>
      </c>
      <c r="W569" s="93">
        <f>IFERROR(__xludf.DUMMYFUNCTION("$E569 - IFERROR(FILTER($E:$E,$C:$C = $C569, $A:$A = $A569, $B:$B = $B569 - 1),0)"),0.0)</f>
        <v>0</v>
      </c>
      <c r="X569" s="93"/>
      <c r="Y569" s="93"/>
      <c r="Z569" s="93">
        <v>0.0</v>
      </c>
      <c r="AA569" s="93">
        <v>0.0</v>
      </c>
      <c r="AB569" s="93">
        <v>0.0</v>
      </c>
      <c r="AC569" s="93"/>
      <c r="AD569" s="93">
        <v>0.0</v>
      </c>
      <c r="AE569" s="32">
        <f t="shared" si="2"/>
        <v>0</v>
      </c>
      <c r="AF569" s="93">
        <v>0.0</v>
      </c>
    </row>
    <row r="570">
      <c r="A570" s="86">
        <v>2017.0</v>
      </c>
      <c r="B570" s="87">
        <v>5.0</v>
      </c>
      <c r="C570" s="88" t="s">
        <v>27</v>
      </c>
      <c r="D570" s="32"/>
      <c r="E570" s="93">
        <v>-5000.0</v>
      </c>
      <c r="F570" s="32"/>
      <c r="G570" s="93">
        <v>-728.24</v>
      </c>
      <c r="H570" s="93">
        <v>3545.33</v>
      </c>
      <c r="I570" s="93">
        <v>331.85</v>
      </c>
      <c r="J570" s="93">
        <v>17229.77</v>
      </c>
      <c r="K570" s="32"/>
      <c r="L570" s="32"/>
      <c r="M570" s="32"/>
      <c r="N570" s="32"/>
      <c r="O570" s="93">
        <v>296892.0</v>
      </c>
      <c r="P570" s="91">
        <f>IFERROR(__xludf.DUMMYFUNCTION("IFERROR(sum(FILTER($D:$N,$C:$C = $C570,$A:$A &lt; $A570,$B:$B = 12)),0) + sum($D570:$N570)"),296891.8700000001)</f>
        <v>296891.87</v>
      </c>
      <c r="Q570" s="92">
        <f t="shared" si="1"/>
        <v>0.1299999999</v>
      </c>
      <c r="R570" s="91">
        <f t="array" ref="R570">IFERROR(INDEX('Fund YTD Target Values'!$1:$1000, MATCH($C570,'Fund YTD Target Values'!$A:$A,0), MATCH($A570,'Fund YTD Target Values'!$1:$1,0)),0)</f>
        <v>383919.6363</v>
      </c>
      <c r="S570" s="91">
        <f>IFERROR(__xludf.DUMMYFUNCTION("IFERROR(sum(FILTER('Fund Investment Data'!$V:$V, 'Fund Investment Data'!$C:$C = $C570, 'Fund Investment Data'!$A:$A &lt; $A570)),0) + IFERROR(sum(FILTER('Fund Investment Data'!$V:$V, 'Fund Investment Data'!$C:$C = $C570, 'Fund Investment Data'!$A:$A = $A570,"&amp;" 'Fund Investment Data'!$B:$B &lt;= $B570)),0)"),276213.69999999995)</f>
        <v>276213.7</v>
      </c>
      <c r="T570" s="93">
        <v>272248.0</v>
      </c>
      <c r="U570" s="32">
        <f t="shared" si="3"/>
        <v>3965.7</v>
      </c>
      <c r="V570" s="32">
        <f>IFERROR(__xludf.DUMMYFUNCTION("$D570 - IFERROR(FILTER($D:$D,$C:$C = $C570, $A:$A = $A570, $B:$B = $B570 - 1),0)"),0.0)</f>
        <v>0</v>
      </c>
      <c r="W570" s="93">
        <f>IFERROR(__xludf.DUMMYFUNCTION("$E570 - IFERROR(FILTER($E:$E,$C:$C = $C570, $A:$A = $A570, $B:$B = $B570 - 1),0)"),-5000.0)</f>
        <v>-5000</v>
      </c>
      <c r="X570" s="93"/>
      <c r="Y570" s="93"/>
      <c r="Z570" s="93">
        <v>0.0</v>
      </c>
      <c r="AA570" s="93">
        <v>0.0</v>
      </c>
      <c r="AB570" s="93">
        <v>0.0</v>
      </c>
      <c r="AC570" s="93"/>
      <c r="AD570" s="93">
        <v>0.0</v>
      </c>
      <c r="AE570" s="32">
        <f t="shared" si="2"/>
        <v>-5000</v>
      </c>
      <c r="AF570" s="93">
        <v>0.0</v>
      </c>
    </row>
    <row r="571">
      <c r="A571" s="94">
        <v>2017.0</v>
      </c>
      <c r="B571" s="95">
        <v>5.0</v>
      </c>
      <c r="C571" s="88" t="s">
        <v>28</v>
      </c>
      <c r="D571" s="32"/>
      <c r="E571" s="93">
        <v>-60000.0</v>
      </c>
      <c r="F571" s="32"/>
      <c r="G571" s="93">
        <v>-7913.19</v>
      </c>
      <c r="H571" s="93">
        <v>38608.07</v>
      </c>
      <c r="I571" s="93">
        <v>7123.93</v>
      </c>
      <c r="J571" s="93">
        <v>184156.27</v>
      </c>
      <c r="K571" s="32"/>
      <c r="L571" s="32"/>
      <c r="M571" s="32"/>
      <c r="N571" s="32"/>
      <c r="O571" s="93">
        <v>3220609.0</v>
      </c>
      <c r="P571" s="91">
        <f>IFERROR(__xludf.DUMMYFUNCTION("IFERROR(sum(FILTER($D:$N,$C:$C = $C571,$A:$A &lt; $A571,$B:$B = 12)),0) + sum($D571:$N571)"),3220608.36)</f>
        <v>3220608.36</v>
      </c>
      <c r="Q571" s="92">
        <f t="shared" si="1"/>
        <v>0.6400000001</v>
      </c>
      <c r="R571" s="91">
        <f t="array" ref="R571">IFERROR(INDEX('Fund YTD Target Values'!$1:$1000, MATCH($C571,'Fund YTD Target Values'!$A:$A,0), MATCH($A571,'Fund YTD Target Values'!$1:$1,0)),0)</f>
        <v>3748913.384</v>
      </c>
      <c r="S571" s="91">
        <f>IFERROR(__xludf.DUMMYFUNCTION("IFERROR(sum(FILTER('Fund Investment Data'!$V:$V, 'Fund Investment Data'!$C:$C = $C571, 'Fund Investment Data'!$A:$A &lt; $A571)),0) + IFERROR(sum(FILTER('Fund Investment Data'!$V:$V, 'Fund Investment Data'!$C:$C = $C571, 'Fund Investment Data'!$A:$A = $A571,"&amp;" 'Fund Investment Data'!$B:$B &lt;= $B571)),0)"),2960091.25)</f>
        <v>2960091.25</v>
      </c>
      <c r="T571" s="93">
        <v>3009816.0</v>
      </c>
      <c r="U571" s="32">
        <f t="shared" si="3"/>
        <v>-49724.75</v>
      </c>
      <c r="V571" s="32">
        <f>IFERROR(__xludf.DUMMYFUNCTION("$D571 - IFERROR(FILTER($D:$D,$C:$C = $C571, $A:$A = $A571, $B:$B = $B571 - 1),0)"),0.0)</f>
        <v>0</v>
      </c>
      <c r="W571" s="93">
        <f>IFERROR(__xludf.DUMMYFUNCTION("$E571 - IFERROR(FILTER($E:$E,$C:$C = $C571, $A:$A = $A571, $B:$B = $B571 - 1),0)"),-60000.0)</f>
        <v>-60000</v>
      </c>
      <c r="X571" s="93"/>
      <c r="Y571" s="93"/>
      <c r="Z571" s="93">
        <v>0.0</v>
      </c>
      <c r="AA571" s="93">
        <v>0.0</v>
      </c>
      <c r="AB571" s="93">
        <v>0.0</v>
      </c>
      <c r="AC571" s="93"/>
      <c r="AD571" s="93">
        <v>0.0</v>
      </c>
      <c r="AE571" s="32">
        <f t="shared" si="2"/>
        <v>-60000</v>
      </c>
      <c r="AF571" s="93">
        <v>0.0</v>
      </c>
    </row>
    <row r="572">
      <c r="A572" s="94">
        <v>2017.0</v>
      </c>
      <c r="B572" s="95">
        <v>5.0</v>
      </c>
      <c r="C572" s="88" t="s">
        <v>46</v>
      </c>
      <c r="D572" s="32"/>
      <c r="E572" s="32"/>
      <c r="F572" s="32"/>
      <c r="G572" s="93">
        <v>-987.95</v>
      </c>
      <c r="H572" s="93">
        <v>4816.33</v>
      </c>
      <c r="I572" s="32"/>
      <c r="J572" s="93">
        <v>23865.79</v>
      </c>
      <c r="K572" s="32"/>
      <c r="L572" s="32"/>
      <c r="M572" s="32"/>
      <c r="N572" s="32"/>
      <c r="O572" s="93">
        <v>409574.0</v>
      </c>
      <c r="P572" s="91">
        <f>IFERROR(__xludf.DUMMYFUNCTION("IFERROR(sum(FILTER($D:$N,$C:$C = $C572,$A:$A &lt; $A572,$B:$B = 12)),0) + sum($D572:$N572)"),409574.72000000003)</f>
        <v>409574.72</v>
      </c>
      <c r="Q572" s="92">
        <f t="shared" si="1"/>
        <v>-0.72</v>
      </c>
      <c r="R572" s="91">
        <f t="array" ref="R572">IFERROR(INDEX('Fund YTD Target Values'!$1:$1000, MATCH($C572,'Fund YTD Target Values'!$A:$A,0), MATCH($A572,'Fund YTD Target Values'!$1:$1,0)),0)</f>
        <v>445660.8761</v>
      </c>
      <c r="S572" s="91">
        <f>IFERROR(__xludf.DUMMYFUNCTION("IFERROR(sum(FILTER('Fund Investment Data'!$V:$V, 'Fund Investment Data'!$C:$C = $C572, 'Fund Investment Data'!$A:$A &lt; $A572)),0) + IFERROR(sum(FILTER('Fund Investment Data'!$V:$V, 'Fund Investment Data'!$C:$C = $C572, 'Fund Investment Data'!$A:$A = $A572,"&amp;" 'Fund Investment Data'!$B:$B &lt;= $B572)),0)"),366400.0)</f>
        <v>366400</v>
      </c>
      <c r="T572" s="93">
        <v>366400.0</v>
      </c>
      <c r="U572" s="32">
        <f t="shared" si="3"/>
        <v>0</v>
      </c>
      <c r="V572" s="32">
        <f>IFERROR(__xludf.DUMMYFUNCTION("$D572 - IFERROR(FILTER($D:$D,$C:$C = $C572, $A:$A = $A572, $B:$B = $B572 - 1),0)"),0.0)</f>
        <v>0</v>
      </c>
      <c r="W572" s="93">
        <f>IFERROR(__xludf.DUMMYFUNCTION("$E572 - IFERROR(FILTER($E:$E,$C:$C = $C572, $A:$A = $A572, $B:$B = $B572 - 1),0)"),0.0)</f>
        <v>0</v>
      </c>
      <c r="X572" s="93"/>
      <c r="Y572" s="93"/>
      <c r="Z572" s="93">
        <v>0.0</v>
      </c>
      <c r="AA572" s="93">
        <v>0.0</v>
      </c>
      <c r="AB572" s="93">
        <v>0.0</v>
      </c>
      <c r="AC572" s="93"/>
      <c r="AD572" s="93">
        <v>0.0</v>
      </c>
      <c r="AE572" s="32">
        <f t="shared" si="2"/>
        <v>0</v>
      </c>
      <c r="AF572" s="93">
        <v>0.0</v>
      </c>
    </row>
    <row r="573">
      <c r="A573" s="94">
        <v>2017.0</v>
      </c>
      <c r="B573" s="95">
        <v>5.0</v>
      </c>
      <c r="C573" s="88" t="s">
        <v>36</v>
      </c>
      <c r="D573" s="32"/>
      <c r="E573" s="93">
        <v>-5000.0</v>
      </c>
      <c r="F573" s="32"/>
      <c r="G573" s="93">
        <v>-1082.41</v>
      </c>
      <c r="H573" s="93">
        <v>5269.41</v>
      </c>
      <c r="I573" s="32"/>
      <c r="J573" s="93">
        <v>26105.0</v>
      </c>
      <c r="K573" s="32"/>
      <c r="L573" s="32"/>
      <c r="M573" s="32"/>
      <c r="N573" s="32"/>
      <c r="O573" s="93">
        <v>443703.0</v>
      </c>
      <c r="P573" s="91">
        <f>IFERROR(__xludf.DUMMYFUNCTION("IFERROR(sum(FILTER($D:$N,$C:$C = $C573,$A:$A &lt; $A573,$B:$B = 12)),0) + sum($D573:$N573)"),443702.42000000004)</f>
        <v>443702.42</v>
      </c>
      <c r="Q573" s="92">
        <f t="shared" si="1"/>
        <v>0.58</v>
      </c>
      <c r="R573" s="91">
        <f t="array" ref="R573">IFERROR(INDEX('Fund YTD Target Values'!$1:$1000, MATCH($C573,'Fund YTD Target Values'!$A:$A,0), MATCH($A573,'Fund YTD Target Values'!$1:$1,0)),0)</f>
        <v>620333.8441</v>
      </c>
      <c r="S573" s="91">
        <f>IFERROR(__xludf.DUMMYFUNCTION("IFERROR(sum(FILTER('Fund Investment Data'!$V:$V, 'Fund Investment Data'!$C:$C = $C573, 'Fund Investment Data'!$A:$A &lt; $A573)),0) + IFERROR(sum(FILTER('Fund Investment Data'!$V:$V, 'Fund Investment Data'!$C:$C = $C573, 'Fund Investment Data'!$A:$A = $A573,"&amp;" 'Fund Investment Data'!$B:$B &lt;= $B573)),0)"),429067.24)</f>
        <v>429067.24</v>
      </c>
      <c r="T573" s="93">
        <v>413959.0</v>
      </c>
      <c r="U573" s="32">
        <f t="shared" si="3"/>
        <v>15108.24</v>
      </c>
      <c r="V573" s="32">
        <f>IFERROR(__xludf.DUMMYFUNCTION("$D573 - IFERROR(FILTER($D:$D,$C:$C = $C573, $A:$A = $A573, $B:$B = $B573 - 1),0)"),0.0)</f>
        <v>0</v>
      </c>
      <c r="W573" s="93">
        <f>IFERROR(__xludf.DUMMYFUNCTION("$E573 - IFERROR(FILTER($E:$E,$C:$C = $C573, $A:$A = $A573, $B:$B = $B573 - 1),0)"),-5000.0)</f>
        <v>-5000</v>
      </c>
      <c r="X573" s="93"/>
      <c r="Y573" s="93"/>
      <c r="Z573" s="93">
        <v>0.0</v>
      </c>
      <c r="AA573" s="93">
        <v>0.0</v>
      </c>
      <c r="AB573" s="93">
        <v>0.0</v>
      </c>
      <c r="AC573" s="93"/>
      <c r="AD573" s="93">
        <v>0.0</v>
      </c>
      <c r="AE573" s="32">
        <f t="shared" si="2"/>
        <v>-5000</v>
      </c>
      <c r="AF573" s="93">
        <v>0.0</v>
      </c>
    </row>
    <row r="574">
      <c r="A574" s="86">
        <v>2017.0</v>
      </c>
      <c r="B574" s="87">
        <v>5.0</v>
      </c>
      <c r="C574" s="88" t="s">
        <v>37</v>
      </c>
      <c r="D574" s="32"/>
      <c r="E574" s="93">
        <v>-10000.0</v>
      </c>
      <c r="F574" s="32"/>
      <c r="G574" s="93">
        <v>-2034.46</v>
      </c>
      <c r="H574" s="93">
        <v>9926.31</v>
      </c>
      <c r="I574" s="93">
        <v>257.53</v>
      </c>
      <c r="J574" s="93">
        <v>48931.01</v>
      </c>
      <c r="K574" s="32"/>
      <c r="L574" s="32"/>
      <c r="M574" s="32"/>
      <c r="N574" s="32"/>
      <c r="O574" s="93">
        <v>833451.0</v>
      </c>
      <c r="P574" s="91">
        <f>IFERROR(__xludf.DUMMYFUNCTION("IFERROR(sum(FILTER($D:$N,$C:$C = $C574,$A:$A &lt; $A574,$B:$B = 12)),0) + sum($D574:$N574)"),833451.4)</f>
        <v>833451.4</v>
      </c>
      <c r="Q574" s="92">
        <f t="shared" si="1"/>
        <v>-0.4</v>
      </c>
      <c r="R574" s="91">
        <f t="array" ref="R574">IFERROR(INDEX('Fund YTD Target Values'!$1:$1000, MATCH($C574,'Fund YTD Target Values'!$A:$A,0), MATCH($A574,'Fund YTD Target Values'!$1:$1,0)),0)</f>
        <v>825458.0276</v>
      </c>
      <c r="S574" s="91">
        <f>IFERROR(__xludf.DUMMYFUNCTION("IFERROR(sum(FILTER('Fund Investment Data'!$V:$V, 'Fund Investment Data'!$C:$C = $C574, 'Fund Investment Data'!$A:$A &lt; $A574)),0) + IFERROR(sum(FILTER('Fund Investment Data'!$V:$V, 'Fund Investment Data'!$C:$C = $C574, 'Fund Investment Data'!$A:$A = $A574,"&amp;" 'Fund Investment Data'!$B:$B &lt;= $B574)),0)"),758137.86)</f>
        <v>758137.86</v>
      </c>
      <c r="T574" s="93">
        <v>742866.0</v>
      </c>
      <c r="U574" s="32">
        <f t="shared" si="3"/>
        <v>15271.86</v>
      </c>
      <c r="V574" s="32">
        <f>IFERROR(__xludf.DUMMYFUNCTION("$D574 - IFERROR(FILTER($D:$D,$C:$C = $C574, $A:$A = $A574, $B:$B = $B574 - 1),0)"),0.0)</f>
        <v>0</v>
      </c>
      <c r="W574" s="93">
        <f>IFERROR(__xludf.DUMMYFUNCTION("$E574 - IFERROR(FILTER($E:$E,$C:$C = $C574, $A:$A = $A574, $B:$B = $B574 - 1),0)"),-10000.0)</f>
        <v>-10000</v>
      </c>
      <c r="X574" s="93"/>
      <c r="Y574" s="93"/>
      <c r="Z574" s="93">
        <v>0.0</v>
      </c>
      <c r="AA574" s="93">
        <v>0.0</v>
      </c>
      <c r="AB574" s="93">
        <v>0.0</v>
      </c>
      <c r="AC574" s="93"/>
      <c r="AD574" s="93">
        <v>0.0</v>
      </c>
      <c r="AE574" s="32">
        <f t="shared" si="2"/>
        <v>-10000</v>
      </c>
      <c r="AF574" s="93">
        <v>0.0</v>
      </c>
    </row>
    <row r="575">
      <c r="A575" s="94">
        <v>2017.0</v>
      </c>
      <c r="B575" s="95">
        <v>5.0</v>
      </c>
      <c r="C575" s="88" t="s">
        <v>29</v>
      </c>
      <c r="D575" s="32"/>
      <c r="E575" s="32"/>
      <c r="F575" s="32"/>
      <c r="G575" s="93">
        <v>-137.65</v>
      </c>
      <c r="H575" s="93">
        <v>670.16</v>
      </c>
      <c r="I575" s="32"/>
      <c r="J575" s="93">
        <v>3320.01</v>
      </c>
      <c r="K575" s="32"/>
      <c r="L575" s="32"/>
      <c r="M575" s="32"/>
      <c r="N575" s="32"/>
      <c r="O575" s="93">
        <v>57066.0</v>
      </c>
      <c r="P575" s="91">
        <f>IFERROR(__xludf.DUMMYFUNCTION("IFERROR(sum(FILTER($D:$N,$C:$C = $C575,$A:$A &lt; $A575,$B:$B = 12)),0) + sum($D575:$N575)"),57065.60999999993)</f>
        <v>57065.61</v>
      </c>
      <c r="Q575" s="92">
        <f t="shared" si="1"/>
        <v>0.3900000001</v>
      </c>
      <c r="R575" s="91">
        <f t="array" ref="R575">IFERROR(INDEX('Fund YTD Target Values'!$1:$1000, MATCH($C575,'Fund YTD Target Values'!$A:$A,0), MATCH($A575,'Fund YTD Target Values'!$1:$1,0)),0)</f>
        <v>75218.58778</v>
      </c>
      <c r="S575" s="91">
        <f>IFERROR(__xludf.DUMMYFUNCTION("IFERROR(sum(FILTER('Fund Investment Data'!$V:$V, 'Fund Investment Data'!$C:$C = $C575, 'Fund Investment Data'!$A:$A &lt; $A575)),0) + IFERROR(sum(FILTER('Fund Investment Data'!$V:$V, 'Fund Investment Data'!$C:$C = $C575, 'Fund Investment Data'!$A:$A = $A575,"&amp;" 'Fund Investment Data'!$B:$B &lt;= $B575)),0)"),50000.0)</f>
        <v>50000</v>
      </c>
      <c r="T575" s="93">
        <v>50000.0</v>
      </c>
      <c r="U575" s="32">
        <f t="shared" si="3"/>
        <v>0</v>
      </c>
      <c r="V575" s="32">
        <f>IFERROR(__xludf.DUMMYFUNCTION("$D575 - IFERROR(FILTER($D:$D,$C:$C = $C575, $A:$A = $A575, $B:$B = $B575 - 1),0)"),0.0)</f>
        <v>0</v>
      </c>
      <c r="W575" s="93">
        <f>IFERROR(__xludf.DUMMYFUNCTION("$E575 - IFERROR(FILTER($E:$E,$C:$C = $C575, $A:$A = $A575, $B:$B = $B575 - 1),0)"),0.0)</f>
        <v>0</v>
      </c>
      <c r="X575" s="93"/>
      <c r="Y575" s="93"/>
      <c r="Z575" s="93">
        <v>0.0</v>
      </c>
      <c r="AA575" s="93">
        <v>0.0</v>
      </c>
      <c r="AB575" s="93">
        <v>0.0</v>
      </c>
      <c r="AC575" s="93"/>
      <c r="AD575" s="93">
        <v>0.0</v>
      </c>
      <c r="AE575" s="32">
        <f t="shared" si="2"/>
        <v>0</v>
      </c>
      <c r="AF575" s="93">
        <v>0.0</v>
      </c>
    </row>
    <row r="576">
      <c r="A576" s="94">
        <v>2017.0</v>
      </c>
      <c r="B576" s="95">
        <v>5.0</v>
      </c>
      <c r="C576" s="88" t="s">
        <v>38</v>
      </c>
      <c r="D576" s="32"/>
      <c r="E576" s="32"/>
      <c r="F576" s="32"/>
      <c r="G576" s="93">
        <v>-1856.68</v>
      </c>
      <c r="H576" s="93">
        <v>9058.61</v>
      </c>
      <c r="I576" s="32"/>
      <c r="J576" s="93">
        <v>44892.12</v>
      </c>
      <c r="K576" s="32"/>
      <c r="L576" s="32"/>
      <c r="M576" s="32"/>
      <c r="N576" s="32"/>
      <c r="O576" s="93">
        <v>769746.0</v>
      </c>
      <c r="P576" s="91">
        <f>IFERROR(__xludf.DUMMYFUNCTION("IFERROR(sum(FILTER($D:$N,$C:$C = $C576,$A:$A &lt; $A576,$B:$B = 12)),0) + sum($D576:$N576)"),769745.0199999999)</f>
        <v>769745.02</v>
      </c>
      <c r="Q576" s="92">
        <f t="shared" si="1"/>
        <v>0.9800000001</v>
      </c>
      <c r="R576" s="91">
        <f t="array" ref="R576">IFERROR(INDEX('Fund YTD Target Values'!$1:$1000, MATCH($C576,'Fund YTD Target Values'!$A:$A,0), MATCH($A576,'Fund YTD Target Values'!$1:$1,0)),0)</f>
        <v>685763.9306</v>
      </c>
      <c r="S576" s="91">
        <f>IFERROR(__xludf.DUMMYFUNCTION("IFERROR(sum(FILTER('Fund Investment Data'!$V:$V, 'Fund Investment Data'!$C:$C = $C576, 'Fund Investment Data'!$A:$A &lt; $A576)),0) + IFERROR(sum(FILTER('Fund Investment Data'!$V:$V, 'Fund Investment Data'!$C:$C = $C576, 'Fund Investment Data'!$A:$A = $A576,"&amp;" 'Fund Investment Data'!$B:$B &lt;= $B576)),0)"),556601.64)</f>
        <v>556601.64</v>
      </c>
      <c r="T576" s="93">
        <v>558656.0</v>
      </c>
      <c r="U576" s="32">
        <f t="shared" si="3"/>
        <v>-2054.36</v>
      </c>
      <c r="V576" s="32">
        <f>IFERROR(__xludf.DUMMYFUNCTION("$D576 - IFERROR(FILTER($D:$D,$C:$C = $C576, $A:$A = $A576, $B:$B = $B576 - 1),0)"),0.0)</f>
        <v>0</v>
      </c>
      <c r="W576" s="93">
        <f>IFERROR(__xludf.DUMMYFUNCTION("$E576 - IFERROR(FILTER($E:$E,$C:$C = $C576, $A:$A = $A576, $B:$B = $B576 - 1),0)"),0.0)</f>
        <v>0</v>
      </c>
      <c r="X576" s="93"/>
      <c r="Y576" s="93"/>
      <c r="Z576" s="93">
        <v>0.0</v>
      </c>
      <c r="AA576" s="93">
        <v>0.0</v>
      </c>
      <c r="AB576" s="93">
        <v>0.0</v>
      </c>
      <c r="AC576" s="93"/>
      <c r="AD576" s="93">
        <v>0.0</v>
      </c>
      <c r="AE576" s="32">
        <f t="shared" si="2"/>
        <v>0</v>
      </c>
      <c r="AF576" s="93">
        <v>0.0</v>
      </c>
    </row>
    <row r="577">
      <c r="A577" s="86">
        <v>2017.0</v>
      </c>
      <c r="B577" s="87">
        <v>5.0</v>
      </c>
      <c r="C577" s="88" t="s">
        <v>30</v>
      </c>
      <c r="D577" s="32"/>
      <c r="E577" s="32"/>
      <c r="F577" s="32"/>
      <c r="G577" s="93">
        <v>-39.24</v>
      </c>
      <c r="H577" s="93">
        <v>183.38</v>
      </c>
      <c r="I577" s="32"/>
      <c r="J577" s="93">
        <v>902.34</v>
      </c>
      <c r="K577" s="32"/>
      <c r="L577" s="32"/>
      <c r="M577" s="32"/>
      <c r="N577" s="32"/>
      <c r="O577" s="93">
        <v>16245.0</v>
      </c>
      <c r="P577" s="91">
        <f>IFERROR(__xludf.DUMMYFUNCTION("IFERROR(sum(FILTER($D:$N,$C:$C = $C577,$A:$A &lt; $A577,$B:$B = 12)),0) + sum($D577:$N577)"),16243.769999999988)</f>
        <v>16243.77</v>
      </c>
      <c r="Q577" s="92">
        <f t="shared" si="1"/>
        <v>1.23</v>
      </c>
      <c r="R577" s="91">
        <f t="array" ref="R577">IFERROR(INDEX('Fund YTD Target Values'!$1:$1000, MATCH($C577,'Fund YTD Target Values'!$A:$A,0), MATCH($A577,'Fund YTD Target Values'!$1:$1,0)),0)</f>
        <v>18043.81747</v>
      </c>
      <c r="S577" s="91">
        <f>IFERROR(__xludf.DUMMYFUNCTION("IFERROR(sum(FILTER('Fund Investment Data'!$V:$V, 'Fund Investment Data'!$C:$C = $C577, 'Fund Investment Data'!$A:$A &lt; $A577)),0) + IFERROR(sum(FILTER('Fund Investment Data'!$V:$V, 'Fund Investment Data'!$C:$C = $C577, 'Fund Investment Data'!$A:$A = $A577,"&amp;" 'Fund Investment Data'!$B:$B &lt;= $B577)),0)"),11540.75)</f>
        <v>11540.75</v>
      </c>
      <c r="T577" s="93">
        <v>10000.0</v>
      </c>
      <c r="U577" s="32">
        <f t="shared" si="3"/>
        <v>1540.75</v>
      </c>
      <c r="V577" s="32">
        <f>IFERROR(__xludf.DUMMYFUNCTION("$D577 - IFERROR(FILTER($D:$D,$C:$C = $C577, $A:$A = $A577, $B:$B = $B577 - 1),0)"),0.0)</f>
        <v>0</v>
      </c>
      <c r="W577" s="93">
        <f>IFERROR(__xludf.DUMMYFUNCTION("$E577 - IFERROR(FILTER($E:$E,$C:$C = $C577, $A:$A = $A577, $B:$B = $B577 - 1),0)"),0.0)</f>
        <v>0</v>
      </c>
      <c r="X577" s="93"/>
      <c r="Y577" s="93"/>
      <c r="Z577" s="93">
        <v>0.0</v>
      </c>
      <c r="AA577" s="93">
        <v>0.0</v>
      </c>
      <c r="AB577" s="93">
        <v>0.0</v>
      </c>
      <c r="AC577" s="93"/>
      <c r="AD577" s="93">
        <v>0.0</v>
      </c>
      <c r="AE577" s="32">
        <f t="shared" si="2"/>
        <v>0</v>
      </c>
      <c r="AF577" s="93">
        <v>0.0</v>
      </c>
    </row>
    <row r="578">
      <c r="A578" s="94">
        <v>2017.0</v>
      </c>
      <c r="B578" s="95">
        <v>5.0</v>
      </c>
      <c r="C578" s="88" t="s">
        <v>47</v>
      </c>
      <c r="D578" s="93">
        <v>10000.0</v>
      </c>
      <c r="E578" s="93">
        <v>-25000.0</v>
      </c>
      <c r="F578" s="32"/>
      <c r="G578" s="93">
        <v>-3554.97</v>
      </c>
      <c r="H578" s="93">
        <v>17306.52</v>
      </c>
      <c r="I578" s="93">
        <v>1793.99</v>
      </c>
      <c r="J578" s="93">
        <v>83931.94</v>
      </c>
      <c r="K578" s="32"/>
      <c r="L578" s="32"/>
      <c r="M578" s="32"/>
      <c r="N578" s="32"/>
      <c r="O578" s="93">
        <v>1458683.0</v>
      </c>
      <c r="P578" s="91">
        <f>IFERROR(__xludf.DUMMYFUNCTION("IFERROR(sum(FILTER($D:$N,$C:$C = $C578,$A:$A &lt; $A578,$B:$B = 12)),0) + sum($D578:$N578)"),1458682.8099999996)</f>
        <v>1458682.81</v>
      </c>
      <c r="Q578" s="92">
        <f t="shared" si="1"/>
        <v>0.1900000004</v>
      </c>
      <c r="R578" s="91">
        <f t="array" ref="R578">IFERROR(INDEX('Fund YTD Target Values'!$1:$1000, MATCH($C578,'Fund YTD Target Values'!$A:$A,0), MATCH($A578,'Fund YTD Target Values'!$1:$1,0)),0)</f>
        <v>1951070.709</v>
      </c>
      <c r="S578" s="91">
        <f>IFERROR(__xludf.DUMMYFUNCTION("IFERROR(sum(FILTER('Fund Investment Data'!$V:$V, 'Fund Investment Data'!$C:$C = $C578, 'Fund Investment Data'!$A:$A &lt; $A578)),0) + IFERROR(sum(FILTER('Fund Investment Data'!$V:$V, 'Fund Investment Data'!$C:$C = $C578, 'Fund Investment Data'!$A:$A = $A578,"&amp;" 'Fund Investment Data'!$B:$B &lt;= $B578)),0)"),1456367.46)</f>
        <v>1456367.46</v>
      </c>
      <c r="T578" s="93">
        <v>1348955.0</v>
      </c>
      <c r="U578" s="32">
        <f t="shared" si="3"/>
        <v>107412.46</v>
      </c>
      <c r="V578" s="32">
        <f>IFERROR(__xludf.DUMMYFUNCTION("$D578 - IFERROR(FILTER($D:$D,$C:$C = $C578, $A:$A = $A578, $B:$B = $B578 - 1),0)"),10000.0)</f>
        <v>10000</v>
      </c>
      <c r="W578" s="93">
        <f>IFERROR(__xludf.DUMMYFUNCTION("$E578 - IFERROR(FILTER($E:$E,$C:$C = $C578, $A:$A = $A578, $B:$B = $B578 - 1),0)"),-25000.0)</f>
        <v>-25000</v>
      </c>
      <c r="X578" s="93"/>
      <c r="Y578" s="93"/>
      <c r="Z578" s="93">
        <v>0.0</v>
      </c>
      <c r="AA578" s="93">
        <v>0.0</v>
      </c>
      <c r="AB578" s="93">
        <v>0.0</v>
      </c>
      <c r="AC578" s="93"/>
      <c r="AD578" s="93">
        <v>0.0</v>
      </c>
      <c r="AE578" s="32">
        <f t="shared" si="2"/>
        <v>-25000</v>
      </c>
      <c r="AF578" s="93">
        <v>0.0</v>
      </c>
    </row>
    <row r="579">
      <c r="A579" s="86">
        <v>2017.0</v>
      </c>
      <c r="B579" s="87">
        <v>5.0</v>
      </c>
      <c r="C579" s="88" t="s">
        <v>31</v>
      </c>
      <c r="D579" s="93">
        <v>1250.0</v>
      </c>
      <c r="E579" s="32"/>
      <c r="F579" s="32"/>
      <c r="G579" s="93">
        <v>-447.86</v>
      </c>
      <c r="H579" s="93">
        <v>2174.1</v>
      </c>
      <c r="I579" s="32"/>
      <c r="J579" s="93">
        <v>10764.47</v>
      </c>
      <c r="K579" s="32"/>
      <c r="L579" s="32"/>
      <c r="M579" s="32"/>
      <c r="N579" s="32"/>
      <c r="O579" s="93">
        <v>185985.0</v>
      </c>
      <c r="P579" s="91">
        <f>IFERROR(__xludf.DUMMYFUNCTION("IFERROR(sum(FILTER($D:$N,$C:$C = $C579,$A:$A &lt; $A579,$B:$B = 12)),0) + sum($D579:$N579)"),185985.25000000003)</f>
        <v>185985.25</v>
      </c>
      <c r="Q579" s="92">
        <f t="shared" si="1"/>
        <v>-0.25</v>
      </c>
      <c r="R579" s="91">
        <f t="array" ref="R579">IFERROR(INDEX('Fund YTD Target Values'!$1:$1000, MATCH($C579,'Fund YTD Target Values'!$A:$A,0), MATCH($A579,'Fund YTD Target Values'!$1:$1,0)),0)</f>
        <v>205534.6031</v>
      </c>
      <c r="S579" s="91">
        <f>IFERROR(__xludf.DUMMYFUNCTION("IFERROR(sum(FILTER('Fund Investment Data'!$V:$V, 'Fund Investment Data'!$C:$C = $C579, 'Fund Investment Data'!$A:$A &lt; $A579)),0) + IFERROR(sum(FILTER('Fund Investment Data'!$V:$V, 'Fund Investment Data'!$C:$C = $C579, 'Fund Investment Data'!$A:$A = $A579,"&amp;" 'Fund Investment Data'!$B:$B &lt;= $B579)),0)"),158100.0)</f>
        <v>158100</v>
      </c>
      <c r="T579" s="93">
        <v>156850.0</v>
      </c>
      <c r="U579" s="32">
        <f t="shared" si="3"/>
        <v>1250</v>
      </c>
      <c r="V579" s="32">
        <f>IFERROR(__xludf.DUMMYFUNCTION("$D579 - IFERROR(FILTER($D:$D,$C:$C = $C579, $A:$A = $A579, $B:$B = $B579 - 1),0)"),0.0)</f>
        <v>0</v>
      </c>
      <c r="W579" s="93">
        <f>IFERROR(__xludf.DUMMYFUNCTION("$E579 - IFERROR(FILTER($E:$E,$C:$C = $C579, $A:$A = $A579, $B:$B = $B579 - 1),0)"),0.0)</f>
        <v>0</v>
      </c>
      <c r="X579" s="93"/>
      <c r="Y579" s="93"/>
      <c r="Z579" s="93">
        <v>0.0</v>
      </c>
      <c r="AA579" s="93">
        <v>0.0</v>
      </c>
      <c r="AB579" s="93">
        <v>0.0</v>
      </c>
      <c r="AC579" s="93"/>
      <c r="AD579" s="93">
        <v>0.0</v>
      </c>
      <c r="AE579" s="32">
        <f t="shared" si="2"/>
        <v>0</v>
      </c>
      <c r="AF579" s="93">
        <v>0.0</v>
      </c>
    </row>
    <row r="580">
      <c r="A580" s="86">
        <v>2017.0</v>
      </c>
      <c r="B580" s="87">
        <v>5.0</v>
      </c>
      <c r="C580" s="88" t="s">
        <v>39</v>
      </c>
      <c r="D580" s="32"/>
      <c r="E580" s="32"/>
      <c r="F580" s="32"/>
      <c r="G580" s="93">
        <v>-385.51</v>
      </c>
      <c r="H580" s="93">
        <v>1719.43</v>
      </c>
      <c r="I580" s="32"/>
      <c r="J580" s="93">
        <v>8393.92</v>
      </c>
      <c r="K580" s="32"/>
      <c r="L580" s="32"/>
      <c r="M580" s="32"/>
      <c r="N580" s="32"/>
      <c r="O580" s="93">
        <v>159259.0</v>
      </c>
      <c r="P580" s="91">
        <f>IFERROR(__xludf.DUMMYFUNCTION("IFERROR(sum(FILTER($D:$N,$C:$C = $C580,$A:$A &lt; $A580,$B:$B = 12)),0) + sum($D580:$N580)"),159259.38000000003)</f>
        <v>159259.38</v>
      </c>
      <c r="Q580" s="92">
        <f t="shared" si="1"/>
        <v>-0.38</v>
      </c>
      <c r="R580" s="91">
        <f t="array" ref="R580">IFERROR(INDEX('Fund YTD Target Values'!$1:$1000, MATCH($C580,'Fund YTD Target Values'!$A:$A,0), MATCH($A580,'Fund YTD Target Values'!$1:$1,0)),0)</f>
        <v>165832.7472</v>
      </c>
      <c r="S580" s="91">
        <f>IFERROR(__xludf.DUMMYFUNCTION("IFERROR(sum(FILTER('Fund Investment Data'!$V:$V, 'Fund Investment Data'!$C:$C = $C580, 'Fund Investment Data'!$A:$A &lt; $A580)),0) + IFERROR(sum(FILTER('Fund Investment Data'!$V:$V, 'Fund Investment Data'!$C:$C = $C580, 'Fund Investment Data'!$A:$A = $A580,"&amp;" 'Fund Investment Data'!$B:$B &lt;= $B580)),0)"),140000.0)</f>
        <v>140000</v>
      </c>
      <c r="T580" s="93">
        <v>140000.0</v>
      </c>
      <c r="U580" s="32">
        <f t="shared" si="3"/>
        <v>0</v>
      </c>
      <c r="V580" s="32">
        <f>IFERROR(__xludf.DUMMYFUNCTION("$D580 - IFERROR(FILTER($D:$D,$C:$C = $C580, $A:$A = $A580, $B:$B = $B580 - 1),0)"),0.0)</f>
        <v>0</v>
      </c>
      <c r="W580" s="93">
        <f>IFERROR(__xludf.DUMMYFUNCTION("$E580 - IFERROR(FILTER($E:$E,$C:$C = $C580, $A:$A = $A580, $B:$B = $B580 - 1),0)"),0.0)</f>
        <v>0</v>
      </c>
      <c r="X580" s="93"/>
      <c r="Y580" s="93"/>
      <c r="Z580" s="93">
        <v>0.0</v>
      </c>
      <c r="AA580" s="93">
        <v>0.0</v>
      </c>
      <c r="AB580" s="93">
        <v>0.0</v>
      </c>
      <c r="AC580" s="93"/>
      <c r="AD580" s="93">
        <v>0.0</v>
      </c>
      <c r="AE580" s="32">
        <f t="shared" si="2"/>
        <v>0</v>
      </c>
      <c r="AF580" s="93">
        <v>0.0</v>
      </c>
    </row>
    <row r="581">
      <c r="A581" s="86">
        <v>2017.0</v>
      </c>
      <c r="B581" s="87">
        <v>5.0</v>
      </c>
      <c r="C581" s="88" t="s">
        <v>50</v>
      </c>
      <c r="D581" s="32"/>
      <c r="E581" s="32"/>
      <c r="F581" s="32"/>
      <c r="G581" s="93">
        <v>-512.57</v>
      </c>
      <c r="H581" s="93">
        <v>2264.86</v>
      </c>
      <c r="I581" s="32"/>
      <c r="J581" s="93">
        <v>11055.64</v>
      </c>
      <c r="K581" s="32"/>
      <c r="L581" s="32"/>
      <c r="M581" s="32"/>
      <c r="N581" s="32"/>
      <c r="O581" s="93">
        <v>211690.0</v>
      </c>
      <c r="P581" s="91">
        <f>IFERROR(__xludf.DUMMYFUNCTION("IFERROR(sum(FILTER($D:$N,$C:$C = $C581,$A:$A &lt; $A581,$B:$B = 12)),0) + sum($D581:$N581)"),211689.49999999997)</f>
        <v>211689.5</v>
      </c>
      <c r="Q581" s="92">
        <f t="shared" si="1"/>
        <v>0.5</v>
      </c>
      <c r="R581" s="91">
        <f t="array" ref="R581">IFERROR(INDEX('Fund YTD Target Values'!$1:$1000, MATCH($C581,'Fund YTD Target Values'!$A:$A,0), MATCH($A581,'Fund YTD Target Values'!$1:$1,0)),0)</f>
        <v>212473.6146</v>
      </c>
      <c r="S581" s="91">
        <f>IFERROR(__xludf.DUMMYFUNCTION("IFERROR(sum(FILTER('Fund Investment Data'!$V:$V, 'Fund Investment Data'!$C:$C = $C581, 'Fund Investment Data'!$A:$A &lt; $A581)),0) + IFERROR(sum(FILTER('Fund Investment Data'!$V:$V, 'Fund Investment Data'!$C:$C = $C581, 'Fund Investment Data'!$A:$A = $A581,"&amp;" 'Fund Investment Data'!$B:$B &lt;= $B581)),0)"),185189.56)</f>
        <v>185189.56</v>
      </c>
      <c r="T581" s="93">
        <v>190241.0</v>
      </c>
      <c r="U581" s="32">
        <f t="shared" si="3"/>
        <v>-5051.44</v>
      </c>
      <c r="V581" s="32">
        <f>IFERROR(__xludf.DUMMYFUNCTION("$D581 - IFERROR(FILTER($D:$D,$C:$C = $C581, $A:$A = $A581, $B:$B = $B581 - 1),0)"),0.0)</f>
        <v>0</v>
      </c>
      <c r="W581" s="93">
        <f>IFERROR(__xludf.DUMMYFUNCTION("$E581 - IFERROR(FILTER($E:$E,$C:$C = $C581, $A:$A = $A581, $B:$B = $B581 - 1),0)"),0.0)</f>
        <v>0</v>
      </c>
      <c r="X581" s="93"/>
      <c r="Y581" s="93"/>
      <c r="Z581" s="93">
        <v>0.0</v>
      </c>
      <c r="AA581" s="93">
        <v>0.0</v>
      </c>
      <c r="AB581" s="93">
        <v>0.0</v>
      </c>
      <c r="AC581" s="93"/>
      <c r="AD581" s="93">
        <v>0.0</v>
      </c>
      <c r="AE581" s="32">
        <f t="shared" si="2"/>
        <v>0</v>
      </c>
      <c r="AF581" s="93">
        <v>0.0</v>
      </c>
    </row>
    <row r="582">
      <c r="A582" s="86">
        <v>2017.0</v>
      </c>
      <c r="B582" s="87">
        <v>5.0</v>
      </c>
      <c r="C582" s="88" t="s">
        <v>32</v>
      </c>
      <c r="D582" s="93">
        <v>88.0</v>
      </c>
      <c r="E582" s="32"/>
      <c r="F582" s="32"/>
      <c r="G582" s="93">
        <v>-120.54</v>
      </c>
      <c r="H582" s="93">
        <v>571.81</v>
      </c>
      <c r="I582" s="32"/>
      <c r="J582" s="93">
        <v>2820.93</v>
      </c>
      <c r="K582" s="32"/>
      <c r="L582" s="32"/>
      <c r="M582" s="32"/>
      <c r="N582" s="32"/>
      <c r="O582" s="93">
        <v>50008.0</v>
      </c>
      <c r="P582" s="91">
        <f>IFERROR(__xludf.DUMMYFUNCTION("IFERROR(sum(FILTER($D:$N,$C:$C = $C582,$A:$A &lt; $A582,$B:$B = 12)),0) + sum($D582:$N582)"),50007.29000000002)</f>
        <v>50007.29</v>
      </c>
      <c r="Q582" s="92">
        <f t="shared" si="1"/>
        <v>0.71</v>
      </c>
      <c r="R582" s="91">
        <f t="array" ref="R582">IFERROR(INDEX('Fund YTD Target Values'!$1:$1000, MATCH($C582,'Fund YTD Target Values'!$A:$A,0), MATCH($A582,'Fund YTD Target Values'!$1:$1,0)),0)</f>
        <v>77291.136</v>
      </c>
      <c r="S582" s="91">
        <f>IFERROR(__xludf.DUMMYFUNCTION("IFERROR(sum(FILTER('Fund Investment Data'!$V:$V, 'Fund Investment Data'!$C:$C = $C582, 'Fund Investment Data'!$A:$A &lt; $A582)),0) + IFERROR(sum(FILTER('Fund Investment Data'!$V:$V, 'Fund Investment Data'!$C:$C = $C582, 'Fund Investment Data'!$A:$A = $A582,"&amp;" 'Fund Investment Data'!$B:$B &lt;= $B582)),0)"),49537.04)</f>
        <v>49537.04</v>
      </c>
      <c r="T582" s="93">
        <v>39268.0</v>
      </c>
      <c r="U582" s="32">
        <f t="shared" si="3"/>
        <v>10269.04</v>
      </c>
      <c r="V582" s="32">
        <f>IFERROR(__xludf.DUMMYFUNCTION("$D582 - IFERROR(FILTER($D:$D,$C:$C = $C582, $A:$A = $A582, $B:$B = $B582 - 1),0)"),88.0)</f>
        <v>88</v>
      </c>
      <c r="W582" s="93">
        <f>IFERROR(__xludf.DUMMYFUNCTION("$E582 - IFERROR(FILTER($E:$E,$C:$C = $C582, $A:$A = $A582, $B:$B = $B582 - 1),0)"),0.0)</f>
        <v>0</v>
      </c>
      <c r="X582" s="93"/>
      <c r="Y582" s="93"/>
      <c r="Z582" s="93">
        <v>0.0</v>
      </c>
      <c r="AA582" s="93">
        <v>0.0</v>
      </c>
      <c r="AB582" s="93">
        <v>0.0</v>
      </c>
      <c r="AC582" s="93"/>
      <c r="AD582" s="93">
        <v>0.0</v>
      </c>
      <c r="AE582" s="32">
        <f t="shared" si="2"/>
        <v>0</v>
      </c>
      <c r="AF582" s="93">
        <v>0.0</v>
      </c>
    </row>
    <row r="583">
      <c r="A583" s="86">
        <v>2017.0</v>
      </c>
      <c r="B583" s="87">
        <v>5.0</v>
      </c>
      <c r="C583" s="88" t="s">
        <v>40</v>
      </c>
      <c r="D583" s="32"/>
      <c r="E583" s="32"/>
      <c r="F583" s="32"/>
      <c r="G583" s="93">
        <v>-359.59</v>
      </c>
      <c r="H583" s="93">
        <v>1750.66</v>
      </c>
      <c r="I583" s="32"/>
      <c r="J583" s="93">
        <v>8672.8</v>
      </c>
      <c r="K583" s="32"/>
      <c r="L583" s="32"/>
      <c r="M583" s="32"/>
      <c r="N583" s="32"/>
      <c r="O583" s="93">
        <v>149072.0</v>
      </c>
      <c r="P583" s="91">
        <f>IFERROR(__xludf.DUMMYFUNCTION("IFERROR(sum(FILTER($D:$N,$C:$C = $C583,$A:$A &lt; $A583,$B:$B = 12)),0) + sum($D583:$N583)"),149071.56999999995)</f>
        <v>149071.57</v>
      </c>
      <c r="Q583" s="92">
        <f t="shared" si="1"/>
        <v>0.4300000001</v>
      </c>
      <c r="R583" s="91">
        <f t="array" ref="R583">IFERROR(INDEX('Fund YTD Target Values'!$1:$1000, MATCH($C583,'Fund YTD Target Values'!$A:$A,0), MATCH($A583,'Fund YTD Target Values'!$1:$1,0)),0)</f>
        <v>157515.3664</v>
      </c>
      <c r="S583" s="91">
        <f>IFERROR(__xludf.DUMMYFUNCTION("IFERROR(sum(FILTER('Fund Investment Data'!$V:$V, 'Fund Investment Data'!$C:$C = $C583, 'Fund Investment Data'!$A:$A &lt; $A583)),0) + IFERROR(sum(FILTER('Fund Investment Data'!$V:$V, 'Fund Investment Data'!$C:$C = $C583, 'Fund Investment Data'!$A:$A = $A583,"&amp;" 'Fund Investment Data'!$B:$B &lt;= $B583)),0)"),129703.74)</f>
        <v>129703.74</v>
      </c>
      <c r="T583" s="93">
        <v>129723.0</v>
      </c>
      <c r="U583" s="32">
        <f t="shared" si="3"/>
        <v>-19.26</v>
      </c>
      <c r="V583" s="32">
        <f>IFERROR(__xludf.DUMMYFUNCTION("$D583 - IFERROR(FILTER($D:$D,$C:$C = $C583, $A:$A = $A583, $B:$B = $B583 - 1),0)"),0.0)</f>
        <v>0</v>
      </c>
      <c r="W583" s="93">
        <f>IFERROR(__xludf.DUMMYFUNCTION("$E583 - IFERROR(FILTER($E:$E,$C:$C = $C583, $A:$A = $A583, $B:$B = $B583 - 1),0)"),0.0)</f>
        <v>0</v>
      </c>
      <c r="X583" s="93"/>
      <c r="Y583" s="93"/>
      <c r="Z583" s="93">
        <v>0.0</v>
      </c>
      <c r="AA583" s="93">
        <v>0.0</v>
      </c>
      <c r="AB583" s="93">
        <v>0.0</v>
      </c>
      <c r="AC583" s="93"/>
      <c r="AD583" s="93">
        <v>0.0</v>
      </c>
      <c r="AE583" s="32">
        <f t="shared" si="2"/>
        <v>0</v>
      </c>
      <c r="AF583" s="93">
        <v>0.0</v>
      </c>
    </row>
    <row r="584">
      <c r="A584" s="94">
        <v>2017.0</v>
      </c>
      <c r="B584" s="95">
        <v>5.0</v>
      </c>
      <c r="C584" s="88" t="s">
        <v>51</v>
      </c>
      <c r="D584" s="93">
        <v>400.0</v>
      </c>
      <c r="E584" s="93">
        <v>-3800.0</v>
      </c>
      <c r="F584" s="32"/>
      <c r="G584" s="93">
        <v>-1095.65</v>
      </c>
      <c r="H584" s="93">
        <v>5332.99</v>
      </c>
      <c r="I584" s="32"/>
      <c r="J584" s="93">
        <v>26417.78</v>
      </c>
      <c r="K584" s="32"/>
      <c r="L584" s="32"/>
      <c r="M584" s="32"/>
      <c r="N584" s="32"/>
      <c r="O584" s="93">
        <v>450792.0</v>
      </c>
      <c r="P584" s="91">
        <f>IFERROR(__xludf.DUMMYFUNCTION("IFERROR(sum(FILTER($D:$N,$C:$C = $C584,$A:$A &lt; $A584,$B:$B = 12)),0) + sum($D584:$N584)"),450792.02)</f>
        <v>450792.02</v>
      </c>
      <c r="Q584" s="92">
        <f t="shared" si="1"/>
        <v>-0.02000000002</v>
      </c>
      <c r="R584" s="91">
        <f t="array" ref="R584">IFERROR(INDEX('Fund YTD Target Values'!$1:$1000, MATCH($C584,'Fund YTD Target Values'!$A:$A,0), MATCH($A584,'Fund YTD Target Values'!$1:$1,0)),0)</f>
        <v>437835.4209</v>
      </c>
      <c r="S584" s="91">
        <f>IFERROR(__xludf.DUMMYFUNCTION("IFERROR(sum(FILTER('Fund Investment Data'!$V:$V, 'Fund Investment Data'!$C:$C = $C584, 'Fund Investment Data'!$A:$A &lt; $A584)),0) + IFERROR(sum(FILTER('Fund Investment Data'!$V:$V, 'Fund Investment Data'!$C:$C = $C584, 'Fund Investment Data'!$A:$A = $A584,"&amp;" 'Fund Investment Data'!$B:$B &lt;= $B584)),0)"),413523.55)</f>
        <v>413523.55</v>
      </c>
      <c r="T584" s="93">
        <v>414430.0</v>
      </c>
      <c r="U584" s="32">
        <f t="shared" si="3"/>
        <v>-906.45</v>
      </c>
      <c r="V584" s="32">
        <f>IFERROR(__xludf.DUMMYFUNCTION("$D584 - IFERROR(FILTER($D:$D,$C:$C = $C584, $A:$A = $A584, $B:$B = $B584 - 1),0)"),400.0)</f>
        <v>400</v>
      </c>
      <c r="W584" s="93">
        <f>IFERROR(__xludf.DUMMYFUNCTION("$E584 - IFERROR(FILTER($E:$E,$C:$C = $C584, $A:$A = $A584, $B:$B = $B584 - 1),0)"),-3800.0)</f>
        <v>-3800</v>
      </c>
      <c r="X584" s="93"/>
      <c r="Y584" s="93"/>
      <c r="Z584" s="93">
        <v>0.0</v>
      </c>
      <c r="AA584" s="93">
        <v>0.0</v>
      </c>
      <c r="AB584" s="93">
        <v>0.0</v>
      </c>
      <c r="AC584" s="93"/>
      <c r="AD584" s="93">
        <v>0.0</v>
      </c>
      <c r="AE584" s="32">
        <f t="shared" si="2"/>
        <v>-3800</v>
      </c>
      <c r="AF584" s="93">
        <v>0.0</v>
      </c>
    </row>
    <row r="585">
      <c r="A585" s="94">
        <v>2017.0</v>
      </c>
      <c r="B585" s="95">
        <v>5.0</v>
      </c>
      <c r="C585" s="88" t="s">
        <v>48</v>
      </c>
      <c r="D585" s="32"/>
      <c r="E585" s="93">
        <v>-10000.0</v>
      </c>
      <c r="F585" s="32"/>
      <c r="G585" s="93">
        <v>-2956.55</v>
      </c>
      <c r="H585" s="93">
        <v>14413.42</v>
      </c>
      <c r="I585" s="32"/>
      <c r="J585" s="93">
        <v>71421.08</v>
      </c>
      <c r="K585" s="32"/>
      <c r="L585" s="32"/>
      <c r="M585" s="32"/>
      <c r="N585" s="32"/>
      <c r="O585" s="93">
        <v>1215692.0</v>
      </c>
      <c r="P585" s="91">
        <f>IFERROR(__xludf.DUMMYFUNCTION("IFERROR(sum(FILTER($D:$N,$C:$C = $C585,$A:$A &lt; $A585,$B:$B = 12)),0) + sum($D585:$N585)"),1215690.6999999997)</f>
        <v>1215690.7</v>
      </c>
      <c r="Q585" s="92">
        <f t="shared" si="1"/>
        <v>1.3</v>
      </c>
      <c r="R585" s="91">
        <f t="array" ref="R585">IFERROR(INDEX('Fund YTD Target Values'!$1:$1000, MATCH($C585,'Fund YTD Target Values'!$A:$A,0), MATCH($A585,'Fund YTD Target Values'!$1:$1,0)),0)</f>
        <v>1851058.71</v>
      </c>
      <c r="S585" s="91">
        <f>IFERROR(__xludf.DUMMYFUNCTION("IFERROR(sum(FILTER('Fund Investment Data'!$V:$V, 'Fund Investment Data'!$C:$C = $C585, 'Fund Investment Data'!$A:$A &lt; $A585)),0) + IFERROR(sum(FILTER('Fund Investment Data'!$V:$V, 'Fund Investment Data'!$C:$C = $C585, 'Fund Investment Data'!$A:$A = $A585,"&amp;" 'Fund Investment Data'!$B:$B &lt;= $B585)),0)"),1183929.39)</f>
        <v>1183929.39</v>
      </c>
      <c r="T585" s="93">
        <v>1140040.0</v>
      </c>
      <c r="U585" s="32">
        <f t="shared" si="3"/>
        <v>43889.39</v>
      </c>
      <c r="V585" s="32">
        <f>IFERROR(__xludf.DUMMYFUNCTION("$D585 - IFERROR(FILTER($D:$D,$C:$C = $C585, $A:$A = $A585, $B:$B = $B585 - 1),0)"),0.0)</f>
        <v>0</v>
      </c>
      <c r="W585" s="93">
        <f>IFERROR(__xludf.DUMMYFUNCTION("$E585 - IFERROR(FILTER($E:$E,$C:$C = $C585, $A:$A = $A585, $B:$B = $B585 - 1),0)"),-10000.0)</f>
        <v>-10000</v>
      </c>
      <c r="X585" s="93"/>
      <c r="Y585" s="93"/>
      <c r="Z585" s="93">
        <v>0.0</v>
      </c>
      <c r="AA585" s="93">
        <v>0.0</v>
      </c>
      <c r="AB585" s="93">
        <v>0.0</v>
      </c>
      <c r="AC585" s="93"/>
      <c r="AD585" s="93">
        <v>0.0</v>
      </c>
      <c r="AE585" s="32">
        <f t="shared" si="2"/>
        <v>-10000</v>
      </c>
      <c r="AF585" s="93">
        <v>0.0</v>
      </c>
    </row>
    <row r="586">
      <c r="A586" s="94">
        <v>2017.0</v>
      </c>
      <c r="B586" s="95">
        <v>5.0</v>
      </c>
      <c r="C586" s="88" t="s">
        <v>49</v>
      </c>
      <c r="D586" s="32"/>
      <c r="E586" s="93">
        <v>-5000.0</v>
      </c>
      <c r="F586" s="32"/>
      <c r="G586" s="93">
        <v>-1300.5</v>
      </c>
      <c r="H586" s="93">
        <v>6331.14</v>
      </c>
      <c r="I586" s="32"/>
      <c r="J586" s="93">
        <v>31364.91</v>
      </c>
      <c r="K586" s="32"/>
      <c r="L586" s="32"/>
      <c r="M586" s="32"/>
      <c r="N586" s="32"/>
      <c r="O586" s="93">
        <v>534111.0</v>
      </c>
      <c r="P586" s="91">
        <f>IFERROR(__xludf.DUMMYFUNCTION("IFERROR(sum(FILTER($D:$N,$C:$C = $C586,$A:$A &lt; $A586,$B:$B = 12)),0) + sum($D586:$N586)"),534111.5499999999)</f>
        <v>534111.55</v>
      </c>
      <c r="Q586" s="92">
        <f t="shared" si="1"/>
        <v>-0.5499999999</v>
      </c>
      <c r="R586" s="91">
        <f t="array" ref="R586">IFERROR(INDEX('Fund YTD Target Values'!$1:$1000, MATCH($C586,'Fund YTD Target Values'!$A:$A,0), MATCH($A586,'Fund YTD Target Values'!$1:$1,0)),0)</f>
        <v>684659.2079</v>
      </c>
      <c r="S586" s="91">
        <f>IFERROR(__xludf.DUMMYFUNCTION("IFERROR(sum(FILTER('Fund Investment Data'!$V:$V, 'Fund Investment Data'!$C:$C = $C586, 'Fund Investment Data'!$A:$A &lt; $A586)),0) + IFERROR(sum(FILTER('Fund Investment Data'!$V:$V, 'Fund Investment Data'!$C:$C = $C586, 'Fund Investment Data'!$A:$A = $A586,"&amp;" 'Fund Investment Data'!$B:$B &lt;= $B586)),0)"),500000.0)</f>
        <v>500000</v>
      </c>
      <c r="T586" s="93">
        <v>500000.0</v>
      </c>
      <c r="U586" s="32">
        <f t="shared" si="3"/>
        <v>0</v>
      </c>
      <c r="V586" s="32">
        <f>IFERROR(__xludf.DUMMYFUNCTION("$D586 - IFERROR(FILTER($D:$D,$C:$C = $C586, $A:$A = $A586, $B:$B = $B586 - 1),0)"),0.0)</f>
        <v>0</v>
      </c>
      <c r="W586" s="93">
        <f>IFERROR(__xludf.DUMMYFUNCTION("$E586 - IFERROR(FILTER($E:$E,$C:$C = $C586, $A:$A = $A586, $B:$B = $B586 - 1),0)"),-5000.0)</f>
        <v>-5000</v>
      </c>
      <c r="X586" s="93"/>
      <c r="Y586" s="93"/>
      <c r="Z586" s="93">
        <v>0.0</v>
      </c>
      <c r="AA586" s="93">
        <v>0.0</v>
      </c>
      <c r="AB586" s="93">
        <v>0.0</v>
      </c>
      <c r="AC586" s="93"/>
      <c r="AD586" s="93">
        <v>0.0</v>
      </c>
      <c r="AE586" s="32">
        <f t="shared" si="2"/>
        <v>-5000</v>
      </c>
      <c r="AF586" s="93">
        <v>0.0</v>
      </c>
    </row>
    <row r="587">
      <c r="A587" s="86">
        <v>2017.0</v>
      </c>
      <c r="B587" s="87">
        <v>5.0</v>
      </c>
      <c r="C587" s="88" t="s">
        <v>41</v>
      </c>
      <c r="D587" s="32"/>
      <c r="E587" s="32"/>
      <c r="F587" s="32"/>
      <c r="G587" s="93">
        <v>-1537.79</v>
      </c>
      <c r="H587" s="93">
        <v>7473.17</v>
      </c>
      <c r="I587" s="32"/>
      <c r="J587" s="93">
        <v>37012.18</v>
      </c>
      <c r="K587" s="32"/>
      <c r="L587" s="32"/>
      <c r="M587" s="32"/>
      <c r="N587" s="32"/>
      <c r="O587" s="93">
        <v>637432.0</v>
      </c>
      <c r="P587" s="91">
        <f>IFERROR(__xludf.DUMMYFUNCTION("IFERROR(sum(FILTER($D:$N,$C:$C = $C587,$A:$A &lt; $A587,$B:$B = 12)),0) + sum($D587:$N587)"),637432.6000000001)</f>
        <v>637432.6</v>
      </c>
      <c r="Q587" s="92">
        <f t="shared" si="1"/>
        <v>-0.6000000001</v>
      </c>
      <c r="R587" s="91">
        <f t="array" ref="R587">IFERROR(INDEX('Fund YTD Target Values'!$1:$1000, MATCH($C587,'Fund YTD Target Values'!$A:$A,0), MATCH($A587,'Fund YTD Target Values'!$1:$1,0)),0)</f>
        <v>573948.5743</v>
      </c>
      <c r="S587" s="91">
        <f>IFERROR(__xludf.DUMMYFUNCTION("IFERROR(sum(FILTER('Fund Investment Data'!$V:$V, 'Fund Investment Data'!$C:$C = $C587, 'Fund Investment Data'!$A:$A &lt; $A587)),0) + IFERROR(sum(FILTER('Fund Investment Data'!$V:$V, 'Fund Investment Data'!$C:$C = $C587, 'Fund Investment Data'!$A:$A = $A587,"&amp;" 'Fund Investment Data'!$B:$B &lt;= $B587)),0)"),433755.86)</f>
        <v>433755.86</v>
      </c>
      <c r="T587" s="93">
        <v>434291.0</v>
      </c>
      <c r="U587" s="32">
        <f t="shared" si="3"/>
        <v>-535.14</v>
      </c>
      <c r="V587" s="32">
        <f>IFERROR(__xludf.DUMMYFUNCTION("$D587 - IFERROR(FILTER($D:$D,$C:$C = $C587, $A:$A = $A587, $B:$B = $B587 - 1),0)"),0.0)</f>
        <v>0</v>
      </c>
      <c r="W587" s="93">
        <f>IFERROR(__xludf.DUMMYFUNCTION("$E587 - IFERROR(FILTER($E:$E,$C:$C = $C587, $A:$A = $A587, $B:$B = $B587 - 1),0)"),0.0)</f>
        <v>0</v>
      </c>
      <c r="X587" s="93"/>
      <c r="Y587" s="93"/>
      <c r="Z587" s="93">
        <v>0.0</v>
      </c>
      <c r="AA587" s="93">
        <v>0.0</v>
      </c>
      <c r="AB587" s="93">
        <v>0.0</v>
      </c>
      <c r="AC587" s="93"/>
      <c r="AD587" s="93">
        <v>0.0</v>
      </c>
      <c r="AE587" s="32">
        <f t="shared" si="2"/>
        <v>0</v>
      </c>
      <c r="AF587" s="93">
        <v>0.0</v>
      </c>
    </row>
    <row r="588">
      <c r="A588" s="86">
        <v>2017.0</v>
      </c>
      <c r="B588" s="87">
        <v>5.0</v>
      </c>
      <c r="C588" s="88" t="s">
        <v>25</v>
      </c>
      <c r="D588" s="32"/>
      <c r="E588" s="32"/>
      <c r="F588" s="32"/>
      <c r="G588" s="93">
        <v>-238.73</v>
      </c>
      <c r="H588" s="93">
        <v>1162.27</v>
      </c>
      <c r="I588" s="32"/>
      <c r="J588" s="93">
        <v>5757.97</v>
      </c>
      <c r="K588" s="32"/>
      <c r="L588" s="32"/>
      <c r="M588" s="32"/>
      <c r="N588" s="32"/>
      <c r="O588" s="93">
        <v>98970.0</v>
      </c>
      <c r="P588" s="91">
        <f>IFERROR(__xludf.DUMMYFUNCTION("IFERROR(sum(FILTER($D:$N,$C:$C = $C588,$A:$A &lt; $A588,$B:$B = 12)),0) + sum($D588:$N588)"),98969.51999999999)</f>
        <v>98969.52</v>
      </c>
      <c r="Q588" s="92">
        <f t="shared" si="1"/>
        <v>0.48</v>
      </c>
      <c r="R588" s="91">
        <f t="array" ref="R588">IFERROR(INDEX('Fund YTD Target Values'!$1:$1000, MATCH($C588,'Fund YTD Target Values'!$A:$A,0), MATCH($A588,'Fund YTD Target Values'!$1:$1,0)),0)</f>
        <v>106572.0284</v>
      </c>
      <c r="S588" s="91">
        <f>IFERROR(__xludf.DUMMYFUNCTION("IFERROR(sum(FILTER('Fund Investment Data'!$V:$V, 'Fund Investment Data'!$C:$C = $C588, 'Fund Investment Data'!$A:$A &lt; $A588)),0) + IFERROR(sum(FILTER('Fund Investment Data'!$V:$V, 'Fund Investment Data'!$C:$C = $C588, 'Fund Investment Data'!$A:$A = $A588,"&amp;" 'Fund Investment Data'!$B:$B &lt;= $B588)),0)"),81000.0)</f>
        <v>81000</v>
      </c>
      <c r="T588" s="93">
        <v>81000.0</v>
      </c>
      <c r="U588" s="32">
        <f t="shared" si="3"/>
        <v>0</v>
      </c>
      <c r="V588" s="32">
        <f>IFERROR(__xludf.DUMMYFUNCTION("$D588 - IFERROR(FILTER($D:$D,$C:$C = $C588, $A:$A = $A588, $B:$B = $B588 - 1),0)"),0.0)</f>
        <v>0</v>
      </c>
      <c r="W588" s="93">
        <f>IFERROR(__xludf.DUMMYFUNCTION("$E588 - IFERROR(FILTER($E:$E,$C:$C = $C588, $A:$A = $A588, $B:$B = $B588 - 1),0)"),0.0)</f>
        <v>0</v>
      </c>
      <c r="X588" s="93"/>
      <c r="Y588" s="93"/>
      <c r="Z588" s="93">
        <v>0.0</v>
      </c>
      <c r="AA588" s="93">
        <v>0.0</v>
      </c>
      <c r="AB588" s="93">
        <v>0.0</v>
      </c>
      <c r="AC588" s="93"/>
      <c r="AD588" s="93">
        <v>0.0</v>
      </c>
      <c r="AE588" s="32">
        <f t="shared" si="2"/>
        <v>0</v>
      </c>
      <c r="AF588" s="93">
        <v>0.0</v>
      </c>
    </row>
    <row r="589">
      <c r="A589" s="94">
        <v>2017.0</v>
      </c>
      <c r="B589" s="95">
        <v>5.0</v>
      </c>
      <c r="C589" s="88" t="s">
        <v>42</v>
      </c>
      <c r="D589" s="32"/>
      <c r="E589" s="32"/>
      <c r="F589" s="32"/>
      <c r="G589" s="93">
        <v>-685.66</v>
      </c>
      <c r="H589" s="93">
        <v>3304.09</v>
      </c>
      <c r="I589" s="32"/>
      <c r="J589" s="93">
        <v>16341.48</v>
      </c>
      <c r="K589" s="32"/>
      <c r="L589" s="32"/>
      <c r="M589" s="32"/>
      <c r="N589" s="32"/>
      <c r="O589" s="93">
        <v>284119.0</v>
      </c>
      <c r="P589" s="91">
        <f>IFERROR(__xludf.DUMMYFUNCTION("IFERROR(sum(FILTER($D:$N,$C:$C = $C589,$A:$A &lt; $A589,$B:$B = 12)),0) + sum($D589:$N589)"),284118.1800000001)</f>
        <v>284118.18</v>
      </c>
      <c r="Q589" s="92">
        <f t="shared" si="1"/>
        <v>0.8199999999</v>
      </c>
      <c r="R589" s="91">
        <f t="array" ref="R589">IFERROR(INDEX('Fund YTD Target Values'!$1:$1000, MATCH($C589,'Fund YTD Target Values'!$A:$A,0), MATCH($A589,'Fund YTD Target Values'!$1:$1,0)),0)</f>
        <v>234458.6336</v>
      </c>
      <c r="S589" s="91">
        <f>IFERROR(__xludf.DUMMYFUNCTION("IFERROR(sum(FILTER('Fund Investment Data'!$V:$V, 'Fund Investment Data'!$C:$C = $C589, 'Fund Investment Data'!$A:$A &lt; $A589)),0) + IFERROR(sum(FILTER('Fund Investment Data'!$V:$V, 'Fund Investment Data'!$C:$C = $C589, 'Fund Investment Data'!$A:$A = $A589,"&amp;" 'Fund Investment Data'!$B:$B &lt;= $B589)),0)"),194469.0)</f>
        <v>194469</v>
      </c>
      <c r="T589" s="93">
        <v>194469.0</v>
      </c>
      <c r="U589" s="32">
        <f t="shared" si="3"/>
        <v>0</v>
      </c>
      <c r="V589" s="32">
        <f>IFERROR(__xludf.DUMMYFUNCTION("$D589 - IFERROR(FILTER($D:$D,$C:$C = $C589, $A:$A = $A589, $B:$B = $B589 - 1),0)"),0.0)</f>
        <v>0</v>
      </c>
      <c r="W589" s="93">
        <f>IFERROR(__xludf.DUMMYFUNCTION("$E589 - IFERROR(FILTER($E:$E,$C:$C = $C589, $A:$A = $A589, $B:$B = $B589 - 1),0)"),0.0)</f>
        <v>0</v>
      </c>
      <c r="X589" s="93"/>
      <c r="Y589" s="93"/>
      <c r="Z589" s="93">
        <v>0.0</v>
      </c>
      <c r="AA589" s="93">
        <v>0.0</v>
      </c>
      <c r="AB589" s="93">
        <v>0.0</v>
      </c>
      <c r="AC589" s="93"/>
      <c r="AD589" s="93">
        <v>0.0</v>
      </c>
      <c r="AE589" s="32">
        <f t="shared" si="2"/>
        <v>0</v>
      </c>
      <c r="AF589" s="93">
        <v>0.0</v>
      </c>
    </row>
    <row r="590">
      <c r="A590" s="94">
        <v>2017.0</v>
      </c>
      <c r="B590" s="95">
        <v>5.0</v>
      </c>
      <c r="C590" s="88" t="s">
        <v>43</v>
      </c>
      <c r="D590" s="32"/>
      <c r="E590" s="32"/>
      <c r="F590" s="32"/>
      <c r="G590" s="93">
        <v>-286.81</v>
      </c>
      <c r="H590" s="93">
        <v>1398.14</v>
      </c>
      <c r="I590" s="32"/>
      <c r="J590" s="93">
        <v>6927.92</v>
      </c>
      <c r="K590" s="32"/>
      <c r="L590" s="32"/>
      <c r="M590" s="32"/>
      <c r="N590" s="32"/>
      <c r="O590" s="93">
        <v>118896.0</v>
      </c>
      <c r="P590" s="91">
        <f>IFERROR(__xludf.DUMMYFUNCTION("IFERROR(sum(FILTER($D:$N,$C:$C = $C590,$A:$A &lt; $A590,$B:$B = 12)),0) + sum($D590:$N590)"),118895.46000000002)</f>
        <v>118895.46</v>
      </c>
      <c r="Q590" s="92">
        <f t="shared" si="1"/>
        <v>0.54</v>
      </c>
      <c r="R590" s="91">
        <f t="array" ref="R590">IFERROR(INDEX('Fund YTD Target Values'!$1:$1000, MATCH($C590,'Fund YTD Target Values'!$A:$A,0), MATCH($A590,'Fund YTD Target Values'!$1:$1,0)),0)</f>
        <v>127580.7013</v>
      </c>
      <c r="S590" s="91">
        <f>IFERROR(__xludf.DUMMYFUNCTION("IFERROR(sum(FILTER('Fund Investment Data'!$V:$V, 'Fund Investment Data'!$C:$C = $C590, 'Fund Investment Data'!$A:$A &lt; $A590)),0) + IFERROR(sum(FILTER('Fund Investment Data'!$V:$V, 'Fund Investment Data'!$C:$C = $C590, 'Fund Investment Data'!$A:$A = $A590,"&amp;" 'Fund Investment Data'!$B:$B &lt;= $B590)),0)"),100000.0)</f>
        <v>100000</v>
      </c>
      <c r="T590" s="93">
        <v>100000.0</v>
      </c>
      <c r="U590" s="32">
        <f t="shared" si="3"/>
        <v>0</v>
      </c>
      <c r="V590" s="32">
        <f>IFERROR(__xludf.DUMMYFUNCTION("$D590 - IFERROR(FILTER($D:$D,$C:$C = $C590, $A:$A = $A590, $B:$B = $B590 - 1),0)"),0.0)</f>
        <v>0</v>
      </c>
      <c r="W590" s="93">
        <f>IFERROR(__xludf.DUMMYFUNCTION("$E590 - IFERROR(FILTER($E:$E,$C:$C = $C590, $A:$A = $A590, $B:$B = $B590 - 1),0)"),0.0)</f>
        <v>0</v>
      </c>
      <c r="X590" s="93"/>
      <c r="Y590" s="93"/>
      <c r="Z590" s="93">
        <v>0.0</v>
      </c>
      <c r="AA590" s="93">
        <v>0.0</v>
      </c>
      <c r="AB590" s="93">
        <v>0.0</v>
      </c>
      <c r="AC590" s="93"/>
      <c r="AD590" s="93">
        <v>0.0</v>
      </c>
      <c r="AE590" s="32">
        <f t="shared" si="2"/>
        <v>0</v>
      </c>
      <c r="AF590" s="93">
        <v>0.0</v>
      </c>
    </row>
    <row r="591">
      <c r="A591" s="86">
        <v>2017.0</v>
      </c>
      <c r="B591" s="87">
        <v>5.0</v>
      </c>
      <c r="C591" s="88" t="s">
        <v>52</v>
      </c>
      <c r="D591" s="93">
        <v>2500.0</v>
      </c>
      <c r="E591" s="93">
        <v>-6500.0</v>
      </c>
      <c r="F591" s="32"/>
      <c r="G591" s="93">
        <v>-2796.46</v>
      </c>
      <c r="H591" s="93">
        <v>12850.71</v>
      </c>
      <c r="I591" s="32"/>
      <c r="J591" s="93">
        <v>63618.84</v>
      </c>
      <c r="K591" s="32"/>
      <c r="L591" s="32"/>
      <c r="M591" s="32"/>
      <c r="N591" s="32"/>
      <c r="O591" s="93">
        <v>1094521.0</v>
      </c>
      <c r="P591" s="91">
        <f>IFERROR(__xludf.DUMMYFUNCTION("IFERROR(sum(FILTER($D:$N,$C:$C = $C591,$A:$A &lt; $A591,$B:$B = 12)),0) + sum($D591:$N591)"),1094521.03)</f>
        <v>1094521.03</v>
      </c>
      <c r="Q591" s="92">
        <f t="shared" si="1"/>
        <v>-0.03000000003</v>
      </c>
      <c r="R591" s="91">
        <f t="array" ref="R591">IFERROR(INDEX('Fund YTD Target Values'!$1:$1000, MATCH($C591,'Fund YTD Target Values'!$A:$A,0), MATCH($A591,'Fund YTD Target Values'!$1:$1,0)),0)</f>
        <v>1048370.982</v>
      </c>
      <c r="S591" s="91">
        <f>IFERROR(__xludf.DUMMYFUNCTION("IFERROR(sum(FILTER('Fund Investment Data'!$V:$V, 'Fund Investment Data'!$C:$C = $C591, 'Fund Investment Data'!$A:$A &lt; $A591)),0) + IFERROR(sum(FILTER('Fund Investment Data'!$V:$V, 'Fund Investment Data'!$C:$C = $C591, 'Fund Investment Data'!$A:$A = $A591,"&amp;" 'Fund Investment Data'!$B:$B &lt;= $B591)),0)"),1004136.0)</f>
        <v>1004136</v>
      </c>
      <c r="T591" s="93">
        <v>1004449.0</v>
      </c>
      <c r="U591" s="32">
        <f t="shared" si="3"/>
        <v>-313</v>
      </c>
      <c r="V591" s="32">
        <f>IFERROR(__xludf.DUMMYFUNCTION("$D591 - IFERROR(FILTER($D:$D,$C:$C = $C591, $A:$A = $A591, $B:$B = $B591 - 1),0)"),2500.0)</f>
        <v>2500</v>
      </c>
      <c r="W591" s="93">
        <f>IFERROR(__xludf.DUMMYFUNCTION("$E591 - IFERROR(FILTER($E:$E,$C:$C = $C591, $A:$A = $A591, $B:$B = $B591 - 1),0)"),-6500.0)</f>
        <v>-6500</v>
      </c>
      <c r="X591" s="93"/>
      <c r="Y591" s="93"/>
      <c r="Z591" s="93">
        <v>0.0</v>
      </c>
      <c r="AA591" s="93">
        <v>0.0</v>
      </c>
      <c r="AB591" s="93">
        <v>0.0</v>
      </c>
      <c r="AC591" s="93"/>
      <c r="AD591" s="93">
        <v>0.0</v>
      </c>
      <c r="AE591" s="32">
        <f t="shared" si="2"/>
        <v>-6500</v>
      </c>
      <c r="AF591" s="93">
        <v>0.0</v>
      </c>
    </row>
    <row r="592">
      <c r="A592" s="86">
        <v>2017.0</v>
      </c>
      <c r="B592" s="87">
        <v>5.0</v>
      </c>
      <c r="C592" s="88" t="s">
        <v>33</v>
      </c>
      <c r="D592" s="32"/>
      <c r="E592" s="32"/>
      <c r="F592" s="32"/>
      <c r="G592" s="93">
        <v>-894.59</v>
      </c>
      <c r="H592" s="93">
        <v>4361.11</v>
      </c>
      <c r="I592" s="32"/>
      <c r="J592" s="93">
        <v>21609.93</v>
      </c>
      <c r="K592" s="32"/>
      <c r="L592" s="32"/>
      <c r="M592" s="32"/>
      <c r="N592" s="32"/>
      <c r="O592" s="93">
        <v>370861.0</v>
      </c>
      <c r="P592" s="91">
        <f>IFERROR(__xludf.DUMMYFUNCTION("IFERROR(sum(FILTER($D:$N,$C:$C = $C592,$A:$A &lt; $A592,$B:$B = 12)),0) + sum($D592:$N592)"),370861.41999999975)</f>
        <v>370861.42</v>
      </c>
      <c r="Q592" s="92">
        <f t="shared" si="1"/>
        <v>-0.4199999998</v>
      </c>
      <c r="R592" s="91">
        <f t="array" ref="R592">IFERROR(INDEX('Fund YTD Target Values'!$1:$1000, MATCH($C592,'Fund YTD Target Values'!$A:$A,0), MATCH($A592,'Fund YTD Target Values'!$1:$1,0)),0)</f>
        <v>500698.0917</v>
      </c>
      <c r="S592" s="91">
        <f>IFERROR(__xludf.DUMMYFUNCTION("IFERROR(sum(FILTER('Fund Investment Data'!$V:$V, 'Fund Investment Data'!$C:$C = $C592, 'Fund Investment Data'!$A:$A &lt; $A592)),0) + IFERROR(sum(FILTER('Fund Investment Data'!$V:$V, 'Fund Investment Data'!$C:$C = $C592, 'Fund Investment Data'!$A:$A = $A592,"&amp;" 'Fund Investment Data'!$B:$B &lt;= $B592)),0)"),325871.6399999999)</f>
        <v>325871.64</v>
      </c>
      <c r="T592" s="93">
        <v>326032.0</v>
      </c>
      <c r="U592" s="32">
        <f t="shared" si="3"/>
        <v>-160.36</v>
      </c>
      <c r="V592" s="32">
        <f>IFERROR(__xludf.DUMMYFUNCTION("$D592 - IFERROR(FILTER($D:$D,$C:$C = $C592, $A:$A = $A592, $B:$B = $B592 - 1),0)"),0.0)</f>
        <v>0</v>
      </c>
      <c r="W592" s="93">
        <f>IFERROR(__xludf.DUMMYFUNCTION("$E592 - IFERROR(FILTER($E:$E,$C:$C = $C592, $A:$A = $A592, $B:$B = $B592 - 1),0)"),0.0)</f>
        <v>0</v>
      </c>
      <c r="X592" s="93"/>
      <c r="Y592" s="93"/>
      <c r="Z592" s="93">
        <v>0.0</v>
      </c>
      <c r="AA592" s="93">
        <v>0.0</v>
      </c>
      <c r="AB592" s="93">
        <v>0.0</v>
      </c>
      <c r="AC592" s="93"/>
      <c r="AD592" s="93">
        <v>0.0</v>
      </c>
      <c r="AE592" s="32">
        <f t="shared" si="2"/>
        <v>0</v>
      </c>
      <c r="AF592" s="93">
        <v>0.0</v>
      </c>
    </row>
    <row r="593">
      <c r="A593" s="94">
        <v>2017.0</v>
      </c>
      <c r="B593" s="95">
        <v>5.0</v>
      </c>
      <c r="C593" s="88" t="s">
        <v>53</v>
      </c>
      <c r="D593" s="32"/>
      <c r="E593" s="93">
        <v>-30000.0</v>
      </c>
      <c r="F593" s="32"/>
      <c r="G593" s="93">
        <v>-5262.06</v>
      </c>
      <c r="H593" s="93">
        <v>25673.16</v>
      </c>
      <c r="I593" s="93">
        <v>627.62</v>
      </c>
      <c r="J593" s="93">
        <v>126587.92</v>
      </c>
      <c r="K593" s="32"/>
      <c r="L593" s="32"/>
      <c r="M593" s="32"/>
      <c r="N593" s="32"/>
      <c r="O593" s="93">
        <v>2151540.0</v>
      </c>
      <c r="P593" s="91">
        <f>IFERROR(__xludf.DUMMYFUNCTION("IFERROR(sum(FILTER($D:$N,$C:$C = $C593,$A:$A &lt; $A593,$B:$B = 12)),0) + sum($D593:$N593)"),2151539.92)</f>
        <v>2151539.92</v>
      </c>
      <c r="Q593" s="92">
        <f t="shared" si="1"/>
        <v>0.08000000007</v>
      </c>
      <c r="R593" s="91">
        <f t="array" ref="R593">IFERROR(INDEX('Fund YTD Target Values'!$1:$1000, MATCH($C593,'Fund YTD Target Values'!$A:$A,0), MATCH($A593,'Fund YTD Target Values'!$1:$1,0)),0)</f>
        <v>2171706.82</v>
      </c>
      <c r="S593" s="91">
        <f>IFERROR(__xludf.DUMMYFUNCTION("IFERROR(sum(FILTER('Fund Investment Data'!$V:$V, 'Fund Investment Data'!$C:$C = $C593, 'Fund Investment Data'!$A:$A &lt; $A593)),0) + IFERROR(sum(FILTER('Fund Investment Data'!$V:$V, 'Fund Investment Data'!$C:$C = $C593, 'Fund Investment Data'!$A:$A = $A593,"&amp;" 'Fund Investment Data'!$B:$B &lt;= $B593)),0)"),2005500.0)</f>
        <v>2005500</v>
      </c>
      <c r="T593" s="93">
        <v>2005500.0</v>
      </c>
      <c r="U593" s="32">
        <f t="shared" si="3"/>
        <v>0</v>
      </c>
      <c r="V593" s="32">
        <f>IFERROR(__xludf.DUMMYFUNCTION("$D593 - IFERROR(FILTER($D:$D,$C:$C = $C593, $A:$A = $A593, $B:$B = $B593 - 1),0)"),0.0)</f>
        <v>0</v>
      </c>
      <c r="W593" s="93">
        <f>IFERROR(__xludf.DUMMYFUNCTION("$E593 - IFERROR(FILTER($E:$E,$C:$C = $C593, $A:$A = $A593, $B:$B = $B593 - 1),0)"),-30000.0)</f>
        <v>-30000</v>
      </c>
      <c r="X593" s="93"/>
      <c r="Y593" s="93"/>
      <c r="Z593" s="93">
        <v>0.0</v>
      </c>
      <c r="AA593" s="93">
        <v>0.0</v>
      </c>
      <c r="AB593" s="93">
        <v>0.0</v>
      </c>
      <c r="AC593" s="93"/>
      <c r="AD593" s="93">
        <v>0.0</v>
      </c>
      <c r="AE593" s="32">
        <f t="shared" si="2"/>
        <v>-30000</v>
      </c>
      <c r="AF593" s="93">
        <v>0.0</v>
      </c>
    </row>
    <row r="594">
      <c r="A594" s="94">
        <v>2017.0</v>
      </c>
      <c r="B594" s="95">
        <v>5.0</v>
      </c>
      <c r="C594" s="88" t="s">
        <v>34</v>
      </c>
      <c r="D594" s="93">
        <v>5000.0</v>
      </c>
      <c r="E594" s="32"/>
      <c r="F594" s="32"/>
      <c r="G594" s="93">
        <v>-330.02</v>
      </c>
      <c r="H594" s="93">
        <v>1566.99</v>
      </c>
      <c r="I594" s="32"/>
      <c r="J594" s="93">
        <v>7731.53</v>
      </c>
      <c r="K594" s="32"/>
      <c r="L594" s="32"/>
      <c r="M594" s="32"/>
      <c r="N594" s="32"/>
      <c r="O594" s="93">
        <v>139665.0</v>
      </c>
      <c r="P594" s="91">
        <f>IFERROR(__xludf.DUMMYFUNCTION("IFERROR(sum(FILTER($D:$N,$C:$C = $C594,$A:$A &lt; $A594,$B:$B = 12)),0) + sum($D594:$N594)"),139665.01)</f>
        <v>139665.01</v>
      </c>
      <c r="Q594" s="92">
        <f t="shared" si="1"/>
        <v>-0.01000000001</v>
      </c>
      <c r="R594" s="91">
        <f t="array" ref="R594">IFERROR(INDEX('Fund YTD Target Values'!$1:$1000, MATCH($C594,'Fund YTD Target Values'!$A:$A,0), MATCH($A594,'Fund YTD Target Values'!$1:$1,0)),0)</f>
        <v>127220.0742</v>
      </c>
      <c r="S594" s="91">
        <f>IFERROR(__xludf.DUMMYFUNCTION("IFERROR(sum(FILTER('Fund Investment Data'!$V:$V, 'Fund Investment Data'!$C:$C = $C594, 'Fund Investment Data'!$A:$A &lt; $A594)),0) + IFERROR(sum(FILTER('Fund Investment Data'!$V:$V, 'Fund Investment Data'!$C:$C = $C594, 'Fund Investment Data'!$A:$A = $A594,"&amp;" 'Fund Investment Data'!$B:$B &lt;= $B594)),0)"),120000.0)</f>
        <v>120000</v>
      </c>
      <c r="T594" s="93">
        <v>121567.0</v>
      </c>
      <c r="U594" s="32">
        <f t="shared" si="3"/>
        <v>-1567</v>
      </c>
      <c r="V594" s="32">
        <f>IFERROR(__xludf.DUMMYFUNCTION("$D594 - IFERROR(FILTER($D:$D,$C:$C = $C594, $A:$A = $A594, $B:$B = $B594 - 1),0)"),0.0)</f>
        <v>0</v>
      </c>
      <c r="W594" s="93">
        <f>IFERROR(__xludf.DUMMYFUNCTION("$E594 - IFERROR(FILTER($E:$E,$C:$C = $C594, $A:$A = $A594, $B:$B = $B594 - 1),0)"),0.0)</f>
        <v>0</v>
      </c>
      <c r="X594" s="93"/>
      <c r="Y594" s="93"/>
      <c r="Z594" s="93">
        <v>0.0</v>
      </c>
      <c r="AA594" s="93">
        <v>0.0</v>
      </c>
      <c r="AB594" s="93">
        <v>0.0</v>
      </c>
      <c r="AC594" s="93"/>
      <c r="AD594" s="93">
        <v>0.0</v>
      </c>
      <c r="AE594" s="32">
        <f t="shared" si="2"/>
        <v>0</v>
      </c>
      <c r="AF594" s="93">
        <v>0.0</v>
      </c>
    </row>
    <row r="595">
      <c r="A595" s="94">
        <v>2017.0</v>
      </c>
      <c r="B595" s="95">
        <v>5.0</v>
      </c>
      <c r="C595" s="88" t="s">
        <v>54</v>
      </c>
      <c r="D595" s="93">
        <v>791.0</v>
      </c>
      <c r="E595" s="32"/>
      <c r="F595" s="32"/>
      <c r="G595" s="93">
        <v>-389.61</v>
      </c>
      <c r="H595" s="93">
        <v>1806.41</v>
      </c>
      <c r="I595" s="32"/>
      <c r="J595" s="93">
        <v>8877.17</v>
      </c>
      <c r="K595" s="32"/>
      <c r="L595" s="32"/>
      <c r="M595" s="32"/>
      <c r="N595" s="32"/>
      <c r="O595" s="93">
        <v>161538.0</v>
      </c>
      <c r="P595" s="91">
        <f>IFERROR(__xludf.DUMMYFUNCTION("IFERROR(sum(FILTER($D:$N,$C:$C = $C595,$A:$A &lt; $A595,$B:$B = 12)),0) + sum($D595:$N595)"),161540.07999999996)</f>
        <v>161540.08</v>
      </c>
      <c r="Q595" s="92">
        <f t="shared" si="1"/>
        <v>-2.08</v>
      </c>
      <c r="R595" s="91">
        <f t="array" ref="R595">IFERROR(INDEX('Fund YTD Target Values'!$1:$1000, MATCH($C595,'Fund YTD Target Values'!$A:$A,0), MATCH($A595,'Fund YTD Target Values'!$1:$1,0)),0)</f>
        <v>151442.9959</v>
      </c>
      <c r="S595" s="91">
        <f>IFERROR(__xludf.DUMMYFUNCTION("IFERROR(sum(FILTER('Fund Investment Data'!$V:$V, 'Fund Investment Data'!$C:$C = $C595, 'Fund Investment Data'!$A:$A &lt; $A595)),0) + IFERROR(sum(FILTER('Fund Investment Data'!$V:$V, 'Fund Investment Data'!$C:$C = $C595, 'Fund Investment Data'!$A:$A = $A595,"&amp;" 'Fund Investment Data'!$B:$B &lt;= $B595)),0)"),112136.10999999999)</f>
        <v>112136.11</v>
      </c>
      <c r="T595" s="93">
        <v>108220.0</v>
      </c>
      <c r="U595" s="32">
        <f t="shared" si="3"/>
        <v>3916.11</v>
      </c>
      <c r="V595" s="32">
        <f>IFERROR(__xludf.DUMMYFUNCTION("$D595 - IFERROR(FILTER($D:$D,$C:$C = $C595, $A:$A = $A595, $B:$B = $B595 - 1),0)"),0.0)</f>
        <v>0</v>
      </c>
      <c r="W595" s="93">
        <f>IFERROR(__xludf.DUMMYFUNCTION("$E595 - IFERROR(FILTER($E:$E,$C:$C = $C595, $A:$A = $A595, $B:$B = $B595 - 1),0)"),0.0)</f>
        <v>0</v>
      </c>
      <c r="X595" s="93"/>
      <c r="Y595" s="93"/>
      <c r="Z595" s="93">
        <v>0.0</v>
      </c>
      <c r="AA595" s="93">
        <v>0.0</v>
      </c>
      <c r="AB595" s="93">
        <v>0.0</v>
      </c>
      <c r="AC595" s="93"/>
      <c r="AD595" s="93">
        <v>0.0</v>
      </c>
      <c r="AE595" s="32">
        <f t="shared" si="2"/>
        <v>0</v>
      </c>
      <c r="AF595" s="93">
        <v>0.0</v>
      </c>
    </row>
    <row r="596">
      <c r="A596" s="86">
        <v>2017.0</v>
      </c>
      <c r="B596" s="87">
        <v>5.0</v>
      </c>
      <c r="C596" s="88" t="s">
        <v>55</v>
      </c>
      <c r="D596" s="32"/>
      <c r="E596" s="32"/>
      <c r="F596" s="32"/>
      <c r="G596" s="93">
        <v>-487.54</v>
      </c>
      <c r="H596" s="93">
        <v>1045.86</v>
      </c>
      <c r="I596" s="32"/>
      <c r="J596" s="93">
        <v>6184.08</v>
      </c>
      <c r="K596" s="32"/>
      <c r="L596" s="32"/>
      <c r="M596" s="32"/>
      <c r="N596" s="32"/>
      <c r="O596" s="93">
        <v>148618.0</v>
      </c>
      <c r="P596" s="91">
        <f>IFERROR(__xludf.DUMMYFUNCTION("IFERROR(sum(FILTER($D:$N,$C:$C = $C596,$A:$A &lt; $A596,$B:$B = 12)),0) + sum($D596:$N596)"),148617.68999999997)</f>
        <v>148617.69</v>
      </c>
      <c r="Q596" s="92">
        <f t="shared" si="1"/>
        <v>0.31</v>
      </c>
      <c r="R596" s="91">
        <f t="array" ref="R596">IFERROR(INDEX('Fund YTD Target Values'!$1:$1000, MATCH($C596,'Fund YTD Target Values'!$A:$A,0), MATCH($A596,'Fund YTD Target Values'!$1:$1,0)),0)</f>
        <v>213886.3799</v>
      </c>
      <c r="S596" s="91">
        <f>IFERROR(__xludf.DUMMYFUNCTION("IFERROR(sum(FILTER('Fund Investment Data'!$V:$V, 'Fund Investment Data'!$C:$C = $C596, 'Fund Investment Data'!$A:$A &lt; $A596)),0) + IFERROR(sum(FILTER('Fund Investment Data'!$V:$V, 'Fund Investment Data'!$C:$C = $C596, 'Fund Investment Data'!$A:$A = $A596,"&amp;" 'Fund Investment Data'!$B:$B &lt;= $B596)),0)"),140000.0)</f>
        <v>140000</v>
      </c>
      <c r="T596" s="93">
        <v>167565.0</v>
      </c>
      <c r="U596" s="32">
        <f t="shared" si="3"/>
        <v>-27565</v>
      </c>
      <c r="V596" s="32">
        <f>IFERROR(__xludf.DUMMYFUNCTION("$D596 - IFERROR(FILTER($D:$D,$C:$C = $C596, $A:$A = $A596, $B:$B = $B596 - 1),0)"),0.0)</f>
        <v>0</v>
      </c>
      <c r="W596" s="93">
        <f>IFERROR(__xludf.DUMMYFUNCTION("$E596 - IFERROR(FILTER($E:$E,$C:$C = $C596, $A:$A = $A596, $B:$B = $B596 - 1),0)"),0.0)</f>
        <v>0</v>
      </c>
      <c r="X596" s="93"/>
      <c r="Y596" s="93"/>
      <c r="Z596" s="93">
        <v>0.0</v>
      </c>
      <c r="AA596" s="93">
        <v>0.0</v>
      </c>
      <c r="AB596" s="93">
        <v>0.0</v>
      </c>
      <c r="AC596" s="93"/>
      <c r="AD596" s="93">
        <v>0.0</v>
      </c>
      <c r="AE596" s="32">
        <f t="shared" si="2"/>
        <v>0</v>
      </c>
      <c r="AF596" s="93">
        <v>0.0</v>
      </c>
    </row>
    <row r="597">
      <c r="A597" s="94">
        <v>2017.0</v>
      </c>
      <c r="B597" s="95">
        <v>5.0</v>
      </c>
      <c r="C597" s="88" t="s">
        <v>44</v>
      </c>
      <c r="D597" s="32"/>
      <c r="E597" s="32"/>
      <c r="F597" s="32"/>
      <c r="G597" s="93">
        <v>-690.36</v>
      </c>
      <c r="H597" s="93">
        <v>3365.67</v>
      </c>
      <c r="I597" s="32"/>
      <c r="J597" s="93">
        <v>16676.88</v>
      </c>
      <c r="K597" s="32"/>
      <c r="L597" s="32"/>
      <c r="M597" s="32"/>
      <c r="N597" s="32"/>
      <c r="O597" s="93">
        <v>286203.0</v>
      </c>
      <c r="P597" s="91">
        <f>IFERROR(__xludf.DUMMYFUNCTION("IFERROR(sum(FILTER($D:$N,$C:$C = $C597,$A:$A &lt; $A597,$B:$B = 12)),0) + sum($D597:$N597)"),286203.34000000014)</f>
        <v>286203.34</v>
      </c>
      <c r="Q597" s="92">
        <f t="shared" si="1"/>
        <v>-0.3400000001</v>
      </c>
      <c r="R597" s="91">
        <f t="array" ref="R597">IFERROR(INDEX('Fund YTD Target Values'!$1:$1000, MATCH($C597,'Fund YTD Target Values'!$A:$A,0), MATCH($A597,'Fund YTD Target Values'!$1:$1,0)),0)</f>
        <v>313918.5223</v>
      </c>
      <c r="S597" s="91">
        <f>IFERROR(__xludf.DUMMYFUNCTION("IFERROR(sum(FILTER('Fund Investment Data'!$V:$V, 'Fund Investment Data'!$C:$C = $C597, 'Fund Investment Data'!$A:$A &lt; $A597)),0) + IFERROR(sum(FILTER('Fund Investment Data'!$V:$V, 'Fund Investment Data'!$C:$C = $C597, 'Fund Investment Data'!$A:$A = $A597,"&amp;" 'Fund Investment Data'!$B:$B &lt;= $B597)),0)"),250000.0)</f>
        <v>250000</v>
      </c>
      <c r="T597" s="93">
        <v>250000.0</v>
      </c>
      <c r="U597" s="32">
        <f t="shared" si="3"/>
        <v>0</v>
      </c>
      <c r="V597" s="32">
        <f>IFERROR(__xludf.DUMMYFUNCTION("$D597 - IFERROR(FILTER($D:$D,$C:$C = $C597, $A:$A = $A597, $B:$B = $B597 - 1),0)"),0.0)</f>
        <v>0</v>
      </c>
      <c r="W597" s="93">
        <f>IFERROR(__xludf.DUMMYFUNCTION("$E597 - IFERROR(FILTER($E:$E,$C:$C = $C597, $A:$A = $A597, $B:$B = $B597 - 1),0)"),0.0)</f>
        <v>0</v>
      </c>
      <c r="X597" s="93"/>
      <c r="Y597" s="93"/>
      <c r="Z597" s="93">
        <v>0.0</v>
      </c>
      <c r="AA597" s="93">
        <v>0.0</v>
      </c>
      <c r="AB597" s="93">
        <v>0.0</v>
      </c>
      <c r="AC597" s="93"/>
      <c r="AD597" s="93">
        <v>0.0</v>
      </c>
      <c r="AE597" s="32">
        <f t="shared" si="2"/>
        <v>0</v>
      </c>
      <c r="AF597" s="93">
        <v>0.0</v>
      </c>
    </row>
    <row r="598">
      <c r="A598" s="86">
        <v>2017.0</v>
      </c>
      <c r="B598" s="87">
        <v>5.0</v>
      </c>
      <c r="C598" s="88" t="s">
        <v>45</v>
      </c>
      <c r="D598" s="32"/>
      <c r="E598" s="32"/>
      <c r="F598" s="32"/>
      <c r="G598" s="93">
        <v>-346.13</v>
      </c>
      <c r="H598" s="93">
        <v>1640.74</v>
      </c>
      <c r="I598" s="32"/>
      <c r="J598" s="93">
        <v>8093.29</v>
      </c>
      <c r="K598" s="32"/>
      <c r="L598" s="32"/>
      <c r="M598" s="32"/>
      <c r="N598" s="32"/>
      <c r="O598" s="93">
        <v>143333.0</v>
      </c>
      <c r="P598" s="91">
        <f>IFERROR(__xludf.DUMMYFUNCTION("IFERROR(sum(FILTER($D:$N,$C:$C = $C598,$A:$A &lt; $A598,$B:$B = 12)),0) + sum($D598:$N598)"),143332.72999999998)</f>
        <v>143332.73</v>
      </c>
      <c r="Q598" s="92">
        <f t="shared" si="1"/>
        <v>0.27</v>
      </c>
      <c r="R598" s="91">
        <f t="array" ref="R598">IFERROR(INDEX('Fund YTD Target Values'!$1:$1000, MATCH($C598,'Fund YTD Target Values'!$A:$A,0), MATCH($A598,'Fund YTD Target Values'!$1:$1,0)),0)</f>
        <v>118351.1878</v>
      </c>
      <c r="S598" s="91">
        <f>IFERROR(__xludf.DUMMYFUNCTION("IFERROR(sum(FILTER('Fund Investment Data'!$V:$V, 'Fund Investment Data'!$C:$C = $C598, 'Fund Investment Data'!$A:$A &lt; $A598)),0) + IFERROR(sum(FILTER('Fund Investment Data'!$V:$V, 'Fund Investment Data'!$C:$C = $C598, 'Fund Investment Data'!$A:$A = $A598,"&amp;" 'Fund Investment Data'!$B:$B &lt;= $B598)),0)"),100000.0)</f>
        <v>100000</v>
      </c>
      <c r="T598" s="93">
        <v>100000.0</v>
      </c>
      <c r="U598" s="32">
        <f t="shared" si="3"/>
        <v>0</v>
      </c>
      <c r="V598" s="32">
        <f>IFERROR(__xludf.DUMMYFUNCTION("$D598 - IFERROR(FILTER($D:$D,$C:$C = $C598, $A:$A = $A598, $B:$B = $B598 - 1),0)"),0.0)</f>
        <v>0</v>
      </c>
      <c r="W598" s="93">
        <f>IFERROR(__xludf.DUMMYFUNCTION("$E598 - IFERROR(FILTER($E:$E,$C:$C = $C598, $A:$A = $A598, $B:$B = $B598 - 1),0)"),0.0)</f>
        <v>0</v>
      </c>
      <c r="X598" s="93"/>
      <c r="Y598" s="93"/>
      <c r="Z598" s="93">
        <v>0.0</v>
      </c>
      <c r="AA598" s="93">
        <v>0.0</v>
      </c>
      <c r="AB598" s="93">
        <v>0.0</v>
      </c>
      <c r="AC598" s="93"/>
      <c r="AD598" s="93">
        <v>0.0</v>
      </c>
      <c r="AE598" s="32">
        <f t="shared" si="2"/>
        <v>0</v>
      </c>
      <c r="AF598" s="93">
        <v>0.0</v>
      </c>
    </row>
    <row r="599">
      <c r="A599" s="86">
        <v>2017.0</v>
      </c>
      <c r="B599" s="87">
        <v>5.0</v>
      </c>
      <c r="C599" s="88" t="s">
        <v>35</v>
      </c>
      <c r="D599" s="32"/>
      <c r="E599" s="93">
        <v>-21600.0</v>
      </c>
      <c r="F599" s="32"/>
      <c r="G599" s="93">
        <v>-3469.01</v>
      </c>
      <c r="H599" s="93">
        <v>16925.37</v>
      </c>
      <c r="I599" s="93">
        <v>1947.29</v>
      </c>
      <c r="J599" s="93">
        <v>81916.24</v>
      </c>
      <c r="K599" s="32"/>
      <c r="L599" s="32"/>
      <c r="M599" s="32"/>
      <c r="N599" s="32"/>
      <c r="O599" s="93">
        <v>1416578.0</v>
      </c>
      <c r="P599" s="91">
        <f>IFERROR(__xludf.DUMMYFUNCTION("IFERROR(sum(FILTER($D:$N,$C:$C = $C599,$A:$A &lt; $A599,$B:$B = 12)),0) + sum($D599:$N599)"),1416577.5600000003)</f>
        <v>1416577.56</v>
      </c>
      <c r="Q599" s="92">
        <f t="shared" si="1"/>
        <v>0.4399999997</v>
      </c>
      <c r="R599" s="91">
        <f t="array" ref="R599">IFERROR(INDEX('Fund YTD Target Values'!$1:$1000, MATCH($C599,'Fund YTD Target Values'!$A:$A,0), MATCH($A599,'Fund YTD Target Values'!$1:$1,0)),0)</f>
        <v>1541591.16</v>
      </c>
      <c r="S599" s="91">
        <f>IFERROR(__xludf.DUMMYFUNCTION("IFERROR(sum(FILTER('Fund Investment Data'!$V:$V, 'Fund Investment Data'!$C:$C = $C599, 'Fund Investment Data'!$A:$A &lt; $A599)),0) + IFERROR(sum(FILTER('Fund Investment Data'!$V:$V, 'Fund Investment Data'!$C:$C = $C599, 'Fund Investment Data'!$A:$A = $A599,"&amp;" 'Fund Investment Data'!$B:$B &lt;= $B599)),0)"),1086625.0)</f>
        <v>1086625</v>
      </c>
      <c r="T599" s="93">
        <v>1071625.0</v>
      </c>
      <c r="U599" s="32">
        <f t="shared" si="3"/>
        <v>15000</v>
      </c>
      <c r="V599" s="32">
        <f>IFERROR(__xludf.DUMMYFUNCTION("$D599 - IFERROR(FILTER($D:$D,$C:$C = $C599, $A:$A = $A599, $B:$B = $B599 - 1),0)"),0.0)</f>
        <v>0</v>
      </c>
      <c r="W599" s="93">
        <f>IFERROR(__xludf.DUMMYFUNCTION("$E599 - IFERROR(FILTER($E:$E,$C:$C = $C599, $A:$A = $A599, $B:$B = $B599 - 1),0)"),-21600.0)</f>
        <v>-21600</v>
      </c>
      <c r="X599" s="93"/>
      <c r="Y599" s="93"/>
      <c r="Z599" s="93">
        <v>0.0</v>
      </c>
      <c r="AA599" s="93">
        <v>0.0</v>
      </c>
      <c r="AB599" s="93">
        <v>0.0</v>
      </c>
      <c r="AC599" s="93"/>
      <c r="AD599" s="93">
        <v>0.0</v>
      </c>
      <c r="AE599" s="32">
        <f t="shared" si="2"/>
        <v>-21600</v>
      </c>
      <c r="AF599" s="93">
        <v>0.0</v>
      </c>
    </row>
    <row r="600">
      <c r="A600" s="94">
        <v>2017.0</v>
      </c>
      <c r="B600" s="95">
        <v>5.0</v>
      </c>
      <c r="C600" s="88" t="s">
        <v>56</v>
      </c>
      <c r="D600" s="32"/>
      <c r="E600" s="93">
        <v>-3000.0</v>
      </c>
      <c r="F600" s="32"/>
      <c r="G600" s="93">
        <v>-2583.42</v>
      </c>
      <c r="H600" s="93">
        <v>12246.0</v>
      </c>
      <c r="I600" s="32"/>
      <c r="J600" s="93">
        <v>60405.98</v>
      </c>
      <c r="K600" s="32"/>
      <c r="L600" s="32"/>
      <c r="M600" s="32"/>
      <c r="N600" s="32"/>
      <c r="O600" s="93">
        <v>1066787.0</v>
      </c>
      <c r="P600" s="91">
        <f>IFERROR(__xludf.DUMMYFUNCTION("IFERROR(sum(FILTER($D:$N,$C:$C = $C600,$A:$A &lt; $A600,$B:$B = 12)),0) + sum($D600:$N600)"),1066787.18)</f>
        <v>1066787.18</v>
      </c>
      <c r="Q600" s="92">
        <f t="shared" si="1"/>
        <v>-0.1799999999</v>
      </c>
      <c r="R600" s="91">
        <f t="array" ref="R600">IFERROR(INDEX('Fund YTD Target Values'!$1:$1000, MATCH($C600,'Fund YTD Target Values'!$A:$A,0), MATCH($A600,'Fund YTD Target Values'!$1:$1,0)),0)</f>
        <v>1035433.228</v>
      </c>
      <c r="S600" s="91">
        <f>IFERROR(__xludf.DUMMYFUNCTION("IFERROR(sum(FILTER('Fund Investment Data'!$V:$V, 'Fund Investment Data'!$C:$C = $C600, 'Fund Investment Data'!$A:$A &lt; $A600)),0) + IFERROR(sum(FILTER('Fund Investment Data'!$V:$V, 'Fund Investment Data'!$C:$C = $C600, 'Fund Investment Data'!$A:$A = $A600,"&amp;" 'Fund Investment Data'!$B:$B &lt;= $B600)),0)"),1000000.0)</f>
        <v>1000000</v>
      </c>
      <c r="T600" s="93">
        <v>1000000.0</v>
      </c>
      <c r="U600" s="32">
        <f t="shared" si="3"/>
        <v>0</v>
      </c>
      <c r="V600" s="32">
        <f>IFERROR(__xludf.DUMMYFUNCTION("$D600 - IFERROR(FILTER($D:$D,$C:$C = $C600, $A:$A = $A600, $B:$B = $B600 - 1),0)"),0.0)</f>
        <v>0</v>
      </c>
      <c r="W600" s="93">
        <f>IFERROR(__xludf.DUMMYFUNCTION("$E600 - IFERROR(FILTER($E:$E,$C:$C = $C600, $A:$A = $A600, $B:$B = $B600 - 1),0)"),-3000.0)</f>
        <v>-3000</v>
      </c>
      <c r="X600" s="93"/>
      <c r="Y600" s="93"/>
      <c r="Z600" s="93">
        <v>0.0</v>
      </c>
      <c r="AA600" s="93">
        <v>0.0</v>
      </c>
      <c r="AB600" s="93">
        <v>0.0</v>
      </c>
      <c r="AC600" s="93"/>
      <c r="AD600" s="93">
        <v>0.0</v>
      </c>
      <c r="AE600" s="32">
        <f t="shared" si="2"/>
        <v>-3000</v>
      </c>
      <c r="AF600" s="93">
        <v>0.0</v>
      </c>
    </row>
    <row r="601">
      <c r="A601" s="86">
        <v>2017.0</v>
      </c>
      <c r="B601" s="87">
        <v>6.0</v>
      </c>
      <c r="C601" s="88" t="s">
        <v>26</v>
      </c>
      <c r="D601" s="93">
        <v>9843.0</v>
      </c>
      <c r="E601" s="32"/>
      <c r="F601" s="32"/>
      <c r="G601" s="93">
        <v>-925.62</v>
      </c>
      <c r="H601" s="93">
        <v>3862.98</v>
      </c>
      <c r="I601" s="32"/>
      <c r="J601" s="93">
        <v>18695.22</v>
      </c>
      <c r="K601" s="32"/>
      <c r="L601" s="32"/>
      <c r="M601" s="32"/>
      <c r="N601" s="32"/>
      <c r="O601" s="93">
        <v>319959.0</v>
      </c>
      <c r="P601" s="91">
        <f>IFERROR(__xludf.DUMMYFUNCTION("IFERROR(sum(FILTER($D:$N,$C:$C = $C601,$A:$A &lt; $A601,$B:$B = 12)),0) + sum($D601:$N601)"),319958.26999999996)</f>
        <v>319958.27</v>
      </c>
      <c r="Q601" s="92">
        <f t="shared" si="1"/>
        <v>0.73</v>
      </c>
      <c r="R601" s="91">
        <f t="array" ref="R601">IFERROR(INDEX('Fund YTD Target Values'!$1:$1000, MATCH($C601,'Fund YTD Target Values'!$A:$A,0), MATCH($A601,'Fund YTD Target Values'!$1:$1,0)),0)</f>
        <v>351339.7985</v>
      </c>
      <c r="S601" s="91">
        <f>IFERROR(__xludf.DUMMYFUNCTION("IFERROR(sum(FILTER('Fund Investment Data'!$V:$V, 'Fund Investment Data'!$C:$C = $C601, 'Fund Investment Data'!$A:$A &lt; $A601)),0) + IFERROR(sum(FILTER('Fund Investment Data'!$V:$V, 'Fund Investment Data'!$C:$C = $C601, 'Fund Investment Data'!$A:$A = $A601,"&amp;" 'Fund Investment Data'!$B:$B &lt;= $B601)),0)"),291810.0)</f>
        <v>291810</v>
      </c>
      <c r="T601" s="93">
        <v>291811.0</v>
      </c>
      <c r="U601" s="32">
        <f t="shared" si="3"/>
        <v>-1</v>
      </c>
      <c r="V601" s="32">
        <f>IFERROR(__xludf.DUMMYFUNCTION("$D601 - IFERROR(FILTER($D:$D,$C:$C = $C601, $A:$A = $A601, $B:$B = $B601 - 1),0)"),0.0)</f>
        <v>0</v>
      </c>
      <c r="W601" s="93">
        <f>IFERROR(__xludf.DUMMYFUNCTION("$E601 - IFERROR(FILTER($E:$E,$C:$C = $C601, $A:$A = $A601, $B:$B = $B601 - 1),0)"),0.0)</f>
        <v>0</v>
      </c>
      <c r="X601" s="93"/>
      <c r="Y601" s="93"/>
      <c r="Z601" s="93">
        <v>0.0</v>
      </c>
      <c r="AA601" s="93">
        <v>0.0</v>
      </c>
      <c r="AB601" s="93">
        <v>0.0</v>
      </c>
      <c r="AC601" s="93"/>
      <c r="AD601" s="93">
        <v>0.0</v>
      </c>
      <c r="AE601" s="32">
        <f t="shared" si="2"/>
        <v>0</v>
      </c>
      <c r="AF601" s="93">
        <v>0.0</v>
      </c>
    </row>
    <row r="602">
      <c r="A602" s="86">
        <v>2017.0</v>
      </c>
      <c r="B602" s="87">
        <v>6.0</v>
      </c>
      <c r="C602" s="88" t="s">
        <v>27</v>
      </c>
      <c r="D602" s="32"/>
      <c r="E602" s="93">
        <v>-5000.0</v>
      </c>
      <c r="F602" s="32"/>
      <c r="G602" s="93">
        <v>-876.75</v>
      </c>
      <c r="H602" s="93">
        <v>3745.36</v>
      </c>
      <c r="I602" s="93">
        <v>331.85</v>
      </c>
      <c r="J602" s="93">
        <v>17876.34</v>
      </c>
      <c r="K602" s="32"/>
      <c r="L602" s="32"/>
      <c r="M602" s="32"/>
      <c r="N602" s="32"/>
      <c r="O602" s="93">
        <v>297590.0</v>
      </c>
      <c r="P602" s="91">
        <f>IFERROR(__xludf.DUMMYFUNCTION("IFERROR(sum(FILTER($D:$N,$C:$C = $C602,$A:$A &lt; $A602,$B:$B = 12)),0) + sum($D602:$N602)"),297589.9600000001)</f>
        <v>297589.96</v>
      </c>
      <c r="Q602" s="92">
        <f t="shared" si="1"/>
        <v>0.03999999992</v>
      </c>
      <c r="R602" s="91">
        <f t="array" ref="R602">IFERROR(INDEX('Fund YTD Target Values'!$1:$1000, MATCH($C602,'Fund YTD Target Values'!$A:$A,0), MATCH($A602,'Fund YTD Target Values'!$1:$1,0)),0)</f>
        <v>383919.6363</v>
      </c>
      <c r="S602" s="91">
        <f>IFERROR(__xludf.DUMMYFUNCTION("IFERROR(sum(FILTER('Fund Investment Data'!$V:$V, 'Fund Investment Data'!$C:$C = $C602, 'Fund Investment Data'!$A:$A &lt; $A602)),0) + IFERROR(sum(FILTER('Fund Investment Data'!$V:$V, 'Fund Investment Data'!$C:$C = $C602, 'Fund Investment Data'!$A:$A = $A602,"&amp;" 'Fund Investment Data'!$B:$B &lt;= $B602)),0)"),276213.69999999995)</f>
        <v>276213.7</v>
      </c>
      <c r="T602" s="93">
        <v>272248.0</v>
      </c>
      <c r="U602" s="32">
        <f t="shared" si="3"/>
        <v>3965.7</v>
      </c>
      <c r="V602" s="32">
        <f>IFERROR(__xludf.DUMMYFUNCTION("$D602 - IFERROR(FILTER($D:$D,$C:$C = $C602, $A:$A = $A602, $B:$B = $B602 - 1),0)"),0.0)</f>
        <v>0</v>
      </c>
      <c r="W602" s="93">
        <f>IFERROR(__xludf.DUMMYFUNCTION("$E602 - IFERROR(FILTER($E:$E,$C:$C = $C602, $A:$A = $A602, $B:$B = $B602 - 1),0)"),0.0)</f>
        <v>0</v>
      </c>
      <c r="X602" s="93"/>
      <c r="Y602" s="93"/>
      <c r="Z602" s="93">
        <v>0.0</v>
      </c>
      <c r="AA602" s="93">
        <v>0.0</v>
      </c>
      <c r="AB602" s="93">
        <v>0.0</v>
      </c>
      <c r="AC602" s="93"/>
      <c r="AD602" s="93">
        <v>0.0</v>
      </c>
      <c r="AE602" s="32">
        <f t="shared" si="2"/>
        <v>-5000</v>
      </c>
      <c r="AF602" s="93">
        <v>0.0</v>
      </c>
    </row>
    <row r="603">
      <c r="A603" s="86">
        <v>2017.0</v>
      </c>
      <c r="B603" s="87">
        <v>6.0</v>
      </c>
      <c r="C603" s="88" t="s">
        <v>28</v>
      </c>
      <c r="D603" s="32"/>
      <c r="E603" s="93">
        <v>-60000.0</v>
      </c>
      <c r="F603" s="32"/>
      <c r="G603" s="93">
        <v>-9524.17</v>
      </c>
      <c r="H603" s="93">
        <v>40776.38</v>
      </c>
      <c r="I603" s="93">
        <v>7123.93</v>
      </c>
      <c r="J603" s="93">
        <v>191170.12</v>
      </c>
      <c r="K603" s="32"/>
      <c r="L603" s="32"/>
      <c r="M603" s="32"/>
      <c r="N603" s="32"/>
      <c r="O603" s="93">
        <v>3228180.0</v>
      </c>
      <c r="P603" s="91">
        <f>IFERROR(__xludf.DUMMYFUNCTION("IFERROR(sum(FILTER($D:$N,$C:$C = $C603,$A:$A &lt; $A603,$B:$B = 12)),0) + sum($D603:$N603)"),3228179.54)</f>
        <v>3228179.54</v>
      </c>
      <c r="Q603" s="92">
        <f t="shared" si="1"/>
        <v>0.46</v>
      </c>
      <c r="R603" s="91">
        <f t="array" ref="R603">IFERROR(INDEX('Fund YTD Target Values'!$1:$1000, MATCH($C603,'Fund YTD Target Values'!$A:$A,0), MATCH($A603,'Fund YTD Target Values'!$1:$1,0)),0)</f>
        <v>3748913.384</v>
      </c>
      <c r="S603" s="91">
        <f>IFERROR(__xludf.DUMMYFUNCTION("IFERROR(sum(FILTER('Fund Investment Data'!$V:$V, 'Fund Investment Data'!$C:$C = $C603, 'Fund Investment Data'!$A:$A &lt; $A603)),0) + IFERROR(sum(FILTER('Fund Investment Data'!$V:$V, 'Fund Investment Data'!$C:$C = $C603, 'Fund Investment Data'!$A:$A = $A603,"&amp;" 'Fund Investment Data'!$B:$B &lt;= $B603)),0)"),2960091.25)</f>
        <v>2960091.25</v>
      </c>
      <c r="T603" s="93">
        <v>3009816.0</v>
      </c>
      <c r="U603" s="32">
        <f t="shared" si="3"/>
        <v>-49724.75</v>
      </c>
      <c r="V603" s="32">
        <f>IFERROR(__xludf.DUMMYFUNCTION("$D603 - IFERROR(FILTER($D:$D,$C:$C = $C603, $A:$A = $A603, $B:$B = $B603 - 1),0)"),0.0)</f>
        <v>0</v>
      </c>
      <c r="W603" s="93">
        <f>IFERROR(__xludf.DUMMYFUNCTION("$E603 - IFERROR(FILTER($E:$E,$C:$C = $C603, $A:$A = $A603, $B:$B = $B603 - 1),0)"),0.0)</f>
        <v>0</v>
      </c>
      <c r="X603" s="93"/>
      <c r="Y603" s="93"/>
      <c r="Z603" s="93">
        <v>0.0</v>
      </c>
      <c r="AA603" s="93">
        <v>0.0</v>
      </c>
      <c r="AB603" s="93">
        <v>0.0</v>
      </c>
      <c r="AC603" s="93"/>
      <c r="AD603" s="93">
        <v>0.0</v>
      </c>
      <c r="AE603" s="32">
        <f t="shared" si="2"/>
        <v>-60000</v>
      </c>
      <c r="AF603" s="93">
        <v>0.0</v>
      </c>
    </row>
    <row r="604">
      <c r="A604" s="86">
        <v>2017.0</v>
      </c>
      <c r="B604" s="87">
        <v>6.0</v>
      </c>
      <c r="C604" s="88" t="s">
        <v>46</v>
      </c>
      <c r="D604" s="32"/>
      <c r="E604" s="32"/>
      <c r="F604" s="32"/>
      <c r="G604" s="93">
        <v>-1192.74</v>
      </c>
      <c r="H604" s="93">
        <v>5089.48</v>
      </c>
      <c r="I604" s="32"/>
      <c r="J604" s="93">
        <v>24747.7</v>
      </c>
      <c r="K604" s="32"/>
      <c r="L604" s="32"/>
      <c r="M604" s="32"/>
      <c r="N604" s="32"/>
      <c r="O604" s="93">
        <v>410525.0</v>
      </c>
      <c r="P604" s="91">
        <f>IFERROR(__xludf.DUMMYFUNCTION("IFERROR(sum(FILTER($D:$N,$C:$C = $C604,$A:$A &lt; $A604,$B:$B = 12)),0) + sum($D604:$N604)"),410524.99000000005)</f>
        <v>410524.99</v>
      </c>
      <c r="Q604" s="92">
        <f t="shared" si="1"/>
        <v>0.009999999951</v>
      </c>
      <c r="R604" s="91">
        <f t="array" ref="R604">IFERROR(INDEX('Fund YTD Target Values'!$1:$1000, MATCH($C604,'Fund YTD Target Values'!$A:$A,0), MATCH($A604,'Fund YTD Target Values'!$1:$1,0)),0)</f>
        <v>445660.8761</v>
      </c>
      <c r="S604" s="91">
        <f>IFERROR(__xludf.DUMMYFUNCTION("IFERROR(sum(FILTER('Fund Investment Data'!$V:$V, 'Fund Investment Data'!$C:$C = $C604, 'Fund Investment Data'!$A:$A &lt; $A604)),0) + IFERROR(sum(FILTER('Fund Investment Data'!$V:$V, 'Fund Investment Data'!$C:$C = $C604, 'Fund Investment Data'!$A:$A = $A604,"&amp;" 'Fund Investment Data'!$B:$B &lt;= $B604)),0)"),366400.0)</f>
        <v>366400</v>
      </c>
      <c r="T604" s="93">
        <v>366400.0</v>
      </c>
      <c r="U604" s="32">
        <f t="shared" si="3"/>
        <v>0</v>
      </c>
      <c r="V604" s="32">
        <f>IFERROR(__xludf.DUMMYFUNCTION("$D604 - IFERROR(FILTER($D:$D,$C:$C = $C604, $A:$A = $A604, $B:$B = $B604 - 1),0)"),0.0)</f>
        <v>0</v>
      </c>
      <c r="W604" s="93">
        <f>IFERROR(__xludf.DUMMYFUNCTION("$E604 - IFERROR(FILTER($E:$E,$C:$C = $C604, $A:$A = $A604, $B:$B = $B604 - 1),0)"),0.0)</f>
        <v>0</v>
      </c>
      <c r="X604" s="93"/>
      <c r="Y604" s="93"/>
      <c r="Z604" s="93">
        <v>0.0</v>
      </c>
      <c r="AA604" s="93">
        <v>0.0</v>
      </c>
      <c r="AB604" s="93">
        <v>0.0</v>
      </c>
      <c r="AC604" s="93"/>
      <c r="AD604" s="93">
        <v>0.0</v>
      </c>
      <c r="AE604" s="32">
        <f t="shared" si="2"/>
        <v>0</v>
      </c>
      <c r="AF604" s="93">
        <v>0.0</v>
      </c>
    </row>
    <row r="605">
      <c r="A605" s="86">
        <v>2017.0</v>
      </c>
      <c r="B605" s="87">
        <v>6.0</v>
      </c>
      <c r="C605" s="88" t="s">
        <v>36</v>
      </c>
      <c r="D605" s="32"/>
      <c r="E605" s="93">
        <v>-5000.0</v>
      </c>
      <c r="F605" s="32"/>
      <c r="G605" s="93">
        <v>-1304.26</v>
      </c>
      <c r="H605" s="93">
        <v>5567.76</v>
      </c>
      <c r="I605" s="32"/>
      <c r="J605" s="93">
        <v>27069.65</v>
      </c>
      <c r="K605" s="32"/>
      <c r="L605" s="32"/>
      <c r="M605" s="32"/>
      <c r="N605" s="32"/>
      <c r="O605" s="93">
        <v>444744.0</v>
      </c>
      <c r="P605" s="91">
        <f>IFERROR(__xludf.DUMMYFUNCTION("IFERROR(sum(FILTER($D:$N,$C:$C = $C605,$A:$A &lt; $A605,$B:$B = 12)),0) + sum($D605:$N605)"),444743.57000000007)</f>
        <v>444743.57</v>
      </c>
      <c r="Q605" s="92">
        <f t="shared" si="1"/>
        <v>0.4299999999</v>
      </c>
      <c r="R605" s="91">
        <f t="array" ref="R605">IFERROR(INDEX('Fund YTD Target Values'!$1:$1000, MATCH($C605,'Fund YTD Target Values'!$A:$A,0), MATCH($A605,'Fund YTD Target Values'!$1:$1,0)),0)</f>
        <v>620333.8441</v>
      </c>
      <c r="S605" s="91">
        <f>IFERROR(__xludf.DUMMYFUNCTION("IFERROR(sum(FILTER('Fund Investment Data'!$V:$V, 'Fund Investment Data'!$C:$C = $C605, 'Fund Investment Data'!$A:$A &lt; $A605)),0) + IFERROR(sum(FILTER('Fund Investment Data'!$V:$V, 'Fund Investment Data'!$C:$C = $C605, 'Fund Investment Data'!$A:$A = $A605,"&amp;" 'Fund Investment Data'!$B:$B &lt;= $B605)),0)"),429067.24)</f>
        <v>429067.24</v>
      </c>
      <c r="T605" s="93">
        <v>413959.0</v>
      </c>
      <c r="U605" s="32">
        <f t="shared" si="3"/>
        <v>15108.24</v>
      </c>
      <c r="V605" s="32">
        <f>IFERROR(__xludf.DUMMYFUNCTION("$D605 - IFERROR(FILTER($D:$D,$C:$C = $C605, $A:$A = $A605, $B:$B = $B605 - 1),0)"),0.0)</f>
        <v>0</v>
      </c>
      <c r="W605" s="93">
        <f>IFERROR(__xludf.DUMMYFUNCTION("$E605 - IFERROR(FILTER($E:$E,$C:$C = $C605, $A:$A = $A605, $B:$B = $B605 - 1),0)"),0.0)</f>
        <v>0</v>
      </c>
      <c r="X605" s="93"/>
      <c r="Y605" s="93"/>
      <c r="Z605" s="93">
        <v>0.0</v>
      </c>
      <c r="AA605" s="93">
        <v>0.0</v>
      </c>
      <c r="AB605" s="93">
        <v>0.0</v>
      </c>
      <c r="AC605" s="93"/>
      <c r="AD605" s="93">
        <v>0.0</v>
      </c>
      <c r="AE605" s="32">
        <f t="shared" si="2"/>
        <v>-5000</v>
      </c>
      <c r="AF605" s="93">
        <v>0.0</v>
      </c>
    </row>
    <row r="606">
      <c r="A606" s="86">
        <v>2017.0</v>
      </c>
      <c r="B606" s="87">
        <v>6.0</v>
      </c>
      <c r="C606" s="88" t="s">
        <v>37</v>
      </c>
      <c r="D606" s="32"/>
      <c r="E606" s="93">
        <v>-10000.0</v>
      </c>
      <c r="F606" s="32"/>
      <c r="G606" s="93">
        <v>-2451.36</v>
      </c>
      <c r="H606" s="93">
        <v>10486.85</v>
      </c>
      <c r="I606" s="93">
        <v>257.53</v>
      </c>
      <c r="J606" s="93">
        <v>50746.1</v>
      </c>
      <c r="K606" s="32"/>
      <c r="L606" s="32"/>
      <c r="M606" s="32"/>
      <c r="N606" s="32"/>
      <c r="O606" s="93">
        <v>835410.0</v>
      </c>
      <c r="P606" s="91">
        <f>IFERROR(__xludf.DUMMYFUNCTION("IFERROR(sum(FILTER($D:$N,$C:$C = $C606,$A:$A &lt; $A606,$B:$B = 12)),0) + sum($D606:$N606)"),835410.13)</f>
        <v>835410.13</v>
      </c>
      <c r="Q606" s="92">
        <f t="shared" si="1"/>
        <v>-0.13</v>
      </c>
      <c r="R606" s="91">
        <f t="array" ref="R606">IFERROR(INDEX('Fund YTD Target Values'!$1:$1000, MATCH($C606,'Fund YTD Target Values'!$A:$A,0), MATCH($A606,'Fund YTD Target Values'!$1:$1,0)),0)</f>
        <v>825458.0276</v>
      </c>
      <c r="S606" s="91">
        <f>IFERROR(__xludf.DUMMYFUNCTION("IFERROR(sum(FILTER('Fund Investment Data'!$V:$V, 'Fund Investment Data'!$C:$C = $C606, 'Fund Investment Data'!$A:$A &lt; $A606)),0) + IFERROR(sum(FILTER('Fund Investment Data'!$V:$V, 'Fund Investment Data'!$C:$C = $C606, 'Fund Investment Data'!$A:$A = $A606,"&amp;" 'Fund Investment Data'!$B:$B &lt;= $B606)),0)"),758137.86)</f>
        <v>758137.86</v>
      </c>
      <c r="T606" s="93">
        <v>742866.0</v>
      </c>
      <c r="U606" s="32">
        <f t="shared" si="3"/>
        <v>15271.86</v>
      </c>
      <c r="V606" s="32">
        <f>IFERROR(__xludf.DUMMYFUNCTION("$D606 - IFERROR(FILTER($D:$D,$C:$C = $C606, $A:$A = $A606, $B:$B = $B606 - 1),0)"),0.0)</f>
        <v>0</v>
      </c>
      <c r="W606" s="93">
        <f>IFERROR(__xludf.DUMMYFUNCTION("$E606 - IFERROR(FILTER($E:$E,$C:$C = $C606, $A:$A = $A606, $B:$B = $B606 - 1),0)"),0.0)</f>
        <v>0</v>
      </c>
      <c r="X606" s="93"/>
      <c r="Y606" s="93"/>
      <c r="Z606" s="93">
        <v>0.0</v>
      </c>
      <c r="AA606" s="93">
        <v>0.0</v>
      </c>
      <c r="AB606" s="93">
        <v>0.0</v>
      </c>
      <c r="AC606" s="93"/>
      <c r="AD606" s="93">
        <v>0.0</v>
      </c>
      <c r="AE606" s="32">
        <f t="shared" si="2"/>
        <v>-10000</v>
      </c>
      <c r="AF606" s="93">
        <v>0.0</v>
      </c>
    </row>
    <row r="607">
      <c r="A607" s="86">
        <v>2017.0</v>
      </c>
      <c r="B607" s="87">
        <v>6.0</v>
      </c>
      <c r="C607" s="88" t="s">
        <v>29</v>
      </c>
      <c r="D607" s="32"/>
      <c r="E607" s="32"/>
      <c r="F607" s="32"/>
      <c r="G607" s="93">
        <v>-166.18</v>
      </c>
      <c r="H607" s="93">
        <v>708.21</v>
      </c>
      <c r="I607" s="32"/>
      <c r="J607" s="93">
        <v>3442.7</v>
      </c>
      <c r="K607" s="32"/>
      <c r="L607" s="32"/>
      <c r="M607" s="32"/>
      <c r="N607" s="32"/>
      <c r="O607" s="93">
        <v>57198.0</v>
      </c>
      <c r="P607" s="91">
        <f>IFERROR(__xludf.DUMMYFUNCTION("IFERROR(sum(FILTER($D:$N,$C:$C = $C607,$A:$A &lt; $A607,$B:$B = 12)),0) + sum($D607:$N607)"),57197.81999999992)</f>
        <v>57197.82</v>
      </c>
      <c r="Q607" s="92">
        <f t="shared" si="1"/>
        <v>0.1800000001</v>
      </c>
      <c r="R607" s="91">
        <f t="array" ref="R607">IFERROR(INDEX('Fund YTD Target Values'!$1:$1000, MATCH($C607,'Fund YTD Target Values'!$A:$A,0), MATCH($A607,'Fund YTD Target Values'!$1:$1,0)),0)</f>
        <v>75218.58778</v>
      </c>
      <c r="S607" s="91">
        <f>IFERROR(__xludf.DUMMYFUNCTION("IFERROR(sum(FILTER('Fund Investment Data'!$V:$V, 'Fund Investment Data'!$C:$C = $C607, 'Fund Investment Data'!$A:$A &lt; $A607)),0) + IFERROR(sum(FILTER('Fund Investment Data'!$V:$V, 'Fund Investment Data'!$C:$C = $C607, 'Fund Investment Data'!$A:$A = $A607,"&amp;" 'Fund Investment Data'!$B:$B &lt;= $B607)),0)"),50000.0)</f>
        <v>50000</v>
      </c>
      <c r="T607" s="93">
        <v>50000.0</v>
      </c>
      <c r="U607" s="32">
        <f t="shared" si="3"/>
        <v>0</v>
      </c>
      <c r="V607" s="32">
        <f>IFERROR(__xludf.DUMMYFUNCTION("$D607 - IFERROR(FILTER($D:$D,$C:$C = $C607, $A:$A = $A607, $B:$B = $B607 - 1),0)"),0.0)</f>
        <v>0</v>
      </c>
      <c r="W607" s="93">
        <f>IFERROR(__xludf.DUMMYFUNCTION("$E607 - IFERROR(FILTER($E:$E,$C:$C = $C607, $A:$A = $A607, $B:$B = $B607 - 1),0)"),0.0)</f>
        <v>0</v>
      </c>
      <c r="X607" s="93"/>
      <c r="Y607" s="93"/>
      <c r="Z607" s="93">
        <v>0.0</v>
      </c>
      <c r="AA607" s="93">
        <v>0.0</v>
      </c>
      <c r="AB607" s="93">
        <v>0.0</v>
      </c>
      <c r="AC607" s="93"/>
      <c r="AD607" s="93">
        <v>0.0</v>
      </c>
      <c r="AE607" s="32">
        <f t="shared" si="2"/>
        <v>0</v>
      </c>
      <c r="AF607" s="93">
        <v>0.0</v>
      </c>
    </row>
    <row r="608">
      <c r="A608" s="86">
        <v>2017.0</v>
      </c>
      <c r="B608" s="87">
        <v>6.0</v>
      </c>
      <c r="C608" s="88" t="s">
        <v>38</v>
      </c>
      <c r="D608" s="32"/>
      <c r="E608" s="32"/>
      <c r="F608" s="32"/>
      <c r="G608" s="93">
        <v>-2241.56</v>
      </c>
      <c r="H608" s="93">
        <v>9572.04</v>
      </c>
      <c r="I608" s="32"/>
      <c r="J608" s="93">
        <v>46551.01</v>
      </c>
      <c r="K608" s="32"/>
      <c r="L608" s="32"/>
      <c r="M608" s="32"/>
      <c r="N608" s="32"/>
      <c r="O608" s="93">
        <v>771534.0</v>
      </c>
      <c r="P608" s="91">
        <f>IFERROR(__xludf.DUMMYFUNCTION("IFERROR(sum(FILTER($D:$N,$C:$C = $C608,$A:$A &lt; $A608,$B:$B = 12)),0) + sum($D608:$N608)"),771532.4599999998)</f>
        <v>771532.46</v>
      </c>
      <c r="Q608" s="92">
        <f t="shared" si="1"/>
        <v>1.54</v>
      </c>
      <c r="R608" s="91">
        <f t="array" ref="R608">IFERROR(INDEX('Fund YTD Target Values'!$1:$1000, MATCH($C608,'Fund YTD Target Values'!$A:$A,0), MATCH($A608,'Fund YTD Target Values'!$1:$1,0)),0)</f>
        <v>685763.9306</v>
      </c>
      <c r="S608" s="91">
        <f>IFERROR(__xludf.DUMMYFUNCTION("IFERROR(sum(FILTER('Fund Investment Data'!$V:$V, 'Fund Investment Data'!$C:$C = $C608, 'Fund Investment Data'!$A:$A &lt; $A608)),0) + IFERROR(sum(FILTER('Fund Investment Data'!$V:$V, 'Fund Investment Data'!$C:$C = $C608, 'Fund Investment Data'!$A:$A = $A608,"&amp;" 'Fund Investment Data'!$B:$B &lt;= $B608)),0)"),556601.64)</f>
        <v>556601.64</v>
      </c>
      <c r="T608" s="93">
        <v>558656.0</v>
      </c>
      <c r="U608" s="32">
        <f t="shared" si="3"/>
        <v>-2054.36</v>
      </c>
      <c r="V608" s="32">
        <f>IFERROR(__xludf.DUMMYFUNCTION("$D608 - IFERROR(FILTER($D:$D,$C:$C = $C608, $A:$A = $A608, $B:$B = $B608 - 1),0)"),0.0)</f>
        <v>0</v>
      </c>
      <c r="W608" s="93">
        <f>IFERROR(__xludf.DUMMYFUNCTION("$E608 - IFERROR(FILTER($E:$E,$C:$C = $C608, $A:$A = $A608, $B:$B = $B608 - 1),0)"),0.0)</f>
        <v>0</v>
      </c>
      <c r="X608" s="93"/>
      <c r="Y608" s="93"/>
      <c r="Z608" s="93">
        <v>0.0</v>
      </c>
      <c r="AA608" s="93">
        <v>0.0</v>
      </c>
      <c r="AB608" s="93">
        <v>0.0</v>
      </c>
      <c r="AC608" s="93"/>
      <c r="AD608" s="93">
        <v>0.0</v>
      </c>
      <c r="AE608" s="32">
        <f t="shared" si="2"/>
        <v>0</v>
      </c>
      <c r="AF608" s="93">
        <v>0.0</v>
      </c>
    </row>
    <row r="609">
      <c r="A609" s="86">
        <v>2017.0</v>
      </c>
      <c r="B609" s="87">
        <v>6.0</v>
      </c>
      <c r="C609" s="88" t="s">
        <v>30</v>
      </c>
      <c r="D609" s="32"/>
      <c r="E609" s="32"/>
      <c r="F609" s="32"/>
      <c r="G609" s="93">
        <v>-47.36</v>
      </c>
      <c r="H609" s="93">
        <v>194.12</v>
      </c>
      <c r="I609" s="32"/>
      <c r="J609" s="93">
        <v>935.68</v>
      </c>
      <c r="K609" s="32"/>
      <c r="L609" s="32"/>
      <c r="M609" s="32"/>
      <c r="N609" s="32"/>
      <c r="O609" s="93">
        <v>16281.0</v>
      </c>
      <c r="P609" s="91">
        <f>IFERROR(__xludf.DUMMYFUNCTION("IFERROR(sum(FILTER($D:$N,$C:$C = $C609,$A:$A &lt; $A609,$B:$B = 12)),0) + sum($D609:$N609)"),16279.729999999989)</f>
        <v>16279.73</v>
      </c>
      <c r="Q609" s="92">
        <f t="shared" si="1"/>
        <v>1.27</v>
      </c>
      <c r="R609" s="91">
        <f t="array" ref="R609">IFERROR(INDEX('Fund YTD Target Values'!$1:$1000, MATCH($C609,'Fund YTD Target Values'!$A:$A,0), MATCH($A609,'Fund YTD Target Values'!$1:$1,0)),0)</f>
        <v>18043.81747</v>
      </c>
      <c r="S609" s="91">
        <f>IFERROR(__xludf.DUMMYFUNCTION("IFERROR(sum(FILTER('Fund Investment Data'!$V:$V, 'Fund Investment Data'!$C:$C = $C609, 'Fund Investment Data'!$A:$A &lt; $A609)),0) + IFERROR(sum(FILTER('Fund Investment Data'!$V:$V, 'Fund Investment Data'!$C:$C = $C609, 'Fund Investment Data'!$A:$A = $A609,"&amp;" 'Fund Investment Data'!$B:$B &lt;= $B609)),0)"),11540.75)</f>
        <v>11540.75</v>
      </c>
      <c r="T609" s="93">
        <v>10000.0</v>
      </c>
      <c r="U609" s="32">
        <f t="shared" si="3"/>
        <v>1540.75</v>
      </c>
      <c r="V609" s="32">
        <f>IFERROR(__xludf.DUMMYFUNCTION("$D609 - IFERROR(FILTER($D:$D,$C:$C = $C609, $A:$A = $A609, $B:$B = $B609 - 1),0)"),0.0)</f>
        <v>0</v>
      </c>
      <c r="W609" s="93">
        <f>IFERROR(__xludf.DUMMYFUNCTION("$E609 - IFERROR(FILTER($E:$E,$C:$C = $C609, $A:$A = $A609, $B:$B = $B609 - 1),0)"),0.0)</f>
        <v>0</v>
      </c>
      <c r="X609" s="93"/>
      <c r="Y609" s="93"/>
      <c r="Z609" s="93">
        <v>0.0</v>
      </c>
      <c r="AA609" s="93">
        <v>0.0</v>
      </c>
      <c r="AB609" s="93">
        <v>0.0</v>
      </c>
      <c r="AC609" s="93"/>
      <c r="AD609" s="93">
        <v>0.0</v>
      </c>
      <c r="AE609" s="32">
        <f t="shared" si="2"/>
        <v>0</v>
      </c>
      <c r="AF609" s="93">
        <v>0.0</v>
      </c>
    </row>
    <row r="610">
      <c r="A610" s="86">
        <v>2017.0</v>
      </c>
      <c r="B610" s="87">
        <v>6.0</v>
      </c>
      <c r="C610" s="88" t="s">
        <v>47</v>
      </c>
      <c r="D610" s="93">
        <v>10000.0</v>
      </c>
      <c r="E610" s="93">
        <v>-25000.0</v>
      </c>
      <c r="F610" s="32"/>
      <c r="G610" s="93">
        <v>-4284.31</v>
      </c>
      <c r="H610" s="93">
        <v>18285.19</v>
      </c>
      <c r="I610" s="93">
        <v>1793.99</v>
      </c>
      <c r="J610" s="93">
        <v>87086.88</v>
      </c>
      <c r="K610" s="32"/>
      <c r="L610" s="32"/>
      <c r="M610" s="32"/>
      <c r="N610" s="32"/>
      <c r="O610" s="93">
        <v>1462087.0</v>
      </c>
      <c r="P610" s="91">
        <f>IFERROR(__xludf.DUMMYFUNCTION("IFERROR(sum(FILTER($D:$N,$C:$C = $C610,$A:$A &lt; $A610,$B:$B = 12)),0) + sum($D610:$N610)"),1462087.0799999996)</f>
        <v>1462087.08</v>
      </c>
      <c r="Q610" s="92">
        <f t="shared" si="1"/>
        <v>-0.07999999961</v>
      </c>
      <c r="R610" s="91">
        <f t="array" ref="R610">IFERROR(INDEX('Fund YTD Target Values'!$1:$1000, MATCH($C610,'Fund YTD Target Values'!$A:$A,0), MATCH($A610,'Fund YTD Target Values'!$1:$1,0)),0)</f>
        <v>1951070.709</v>
      </c>
      <c r="S610" s="91">
        <f>IFERROR(__xludf.DUMMYFUNCTION("IFERROR(sum(FILTER('Fund Investment Data'!$V:$V, 'Fund Investment Data'!$C:$C = $C610, 'Fund Investment Data'!$A:$A &lt; $A610)),0) + IFERROR(sum(FILTER('Fund Investment Data'!$V:$V, 'Fund Investment Data'!$C:$C = $C610, 'Fund Investment Data'!$A:$A = $A610,"&amp;" 'Fund Investment Data'!$B:$B &lt;= $B610)),0)"),1456367.46)</f>
        <v>1456367.46</v>
      </c>
      <c r="T610" s="93">
        <v>1348955.0</v>
      </c>
      <c r="U610" s="32">
        <f t="shared" si="3"/>
        <v>107412.46</v>
      </c>
      <c r="V610" s="32">
        <f>IFERROR(__xludf.DUMMYFUNCTION("$D610 - IFERROR(FILTER($D:$D,$C:$C = $C610, $A:$A = $A610, $B:$B = $B610 - 1),0)"),0.0)</f>
        <v>0</v>
      </c>
      <c r="W610" s="93">
        <f>IFERROR(__xludf.DUMMYFUNCTION("$E610 - IFERROR(FILTER($E:$E,$C:$C = $C610, $A:$A = $A610, $B:$B = $B610 - 1),0)"),0.0)</f>
        <v>0</v>
      </c>
      <c r="X610" s="93"/>
      <c r="Y610" s="93"/>
      <c r="Z610" s="93">
        <v>0.0</v>
      </c>
      <c r="AA610" s="93">
        <v>0.0</v>
      </c>
      <c r="AB610" s="93">
        <v>0.0</v>
      </c>
      <c r="AC610" s="93"/>
      <c r="AD610" s="93">
        <v>0.0</v>
      </c>
      <c r="AE610" s="32">
        <f t="shared" si="2"/>
        <v>-25000</v>
      </c>
      <c r="AF610" s="93">
        <v>0.0</v>
      </c>
    </row>
    <row r="611">
      <c r="A611" s="86">
        <v>2017.0</v>
      </c>
      <c r="B611" s="87">
        <v>6.0</v>
      </c>
      <c r="C611" s="88" t="s">
        <v>31</v>
      </c>
      <c r="D611" s="93">
        <v>1250.0</v>
      </c>
      <c r="E611" s="32"/>
      <c r="F611" s="32"/>
      <c r="G611" s="93">
        <v>-540.85</v>
      </c>
      <c r="H611" s="93">
        <v>2297.97</v>
      </c>
      <c r="I611" s="32"/>
      <c r="J611" s="93">
        <v>11162.25</v>
      </c>
      <c r="K611" s="32"/>
      <c r="L611" s="32"/>
      <c r="M611" s="32"/>
      <c r="N611" s="32"/>
      <c r="O611" s="93">
        <v>186414.0</v>
      </c>
      <c r="P611" s="91">
        <f>IFERROR(__xludf.DUMMYFUNCTION("IFERROR(sum(FILTER($D:$N,$C:$C = $C611,$A:$A &lt; $A611,$B:$B = 12)),0) + sum($D611:$N611)"),186413.91000000003)</f>
        <v>186413.91</v>
      </c>
      <c r="Q611" s="92">
        <f t="shared" si="1"/>
        <v>0.08999999997</v>
      </c>
      <c r="R611" s="91">
        <f t="array" ref="R611">IFERROR(INDEX('Fund YTD Target Values'!$1:$1000, MATCH($C611,'Fund YTD Target Values'!$A:$A,0), MATCH($A611,'Fund YTD Target Values'!$1:$1,0)),0)</f>
        <v>205534.6031</v>
      </c>
      <c r="S611" s="91">
        <f>IFERROR(__xludf.DUMMYFUNCTION("IFERROR(sum(FILTER('Fund Investment Data'!$V:$V, 'Fund Investment Data'!$C:$C = $C611, 'Fund Investment Data'!$A:$A &lt; $A611)),0) + IFERROR(sum(FILTER('Fund Investment Data'!$V:$V, 'Fund Investment Data'!$C:$C = $C611, 'Fund Investment Data'!$A:$A = $A611,"&amp;" 'Fund Investment Data'!$B:$B &lt;= $B611)),0)"),158100.0)</f>
        <v>158100</v>
      </c>
      <c r="T611" s="93">
        <v>156850.0</v>
      </c>
      <c r="U611" s="32">
        <f t="shared" si="3"/>
        <v>1250</v>
      </c>
      <c r="V611" s="32">
        <f>IFERROR(__xludf.DUMMYFUNCTION("$D611 - IFERROR(FILTER($D:$D,$C:$C = $C611, $A:$A = $A611, $B:$B = $B611 - 1),0)"),0.0)</f>
        <v>0</v>
      </c>
      <c r="W611" s="93">
        <f>IFERROR(__xludf.DUMMYFUNCTION("$E611 - IFERROR(FILTER($E:$E,$C:$C = $C611, $A:$A = $A611, $B:$B = $B611 - 1),0)"),0.0)</f>
        <v>0</v>
      </c>
      <c r="X611" s="93"/>
      <c r="Y611" s="93"/>
      <c r="Z611" s="93">
        <v>0.0</v>
      </c>
      <c r="AA611" s="93">
        <v>0.0</v>
      </c>
      <c r="AB611" s="93">
        <v>0.0</v>
      </c>
      <c r="AC611" s="93"/>
      <c r="AD611" s="93">
        <v>0.0</v>
      </c>
      <c r="AE611" s="32">
        <f t="shared" si="2"/>
        <v>0</v>
      </c>
      <c r="AF611" s="93">
        <v>0.0</v>
      </c>
    </row>
    <row r="612">
      <c r="A612" s="86">
        <v>2017.0</v>
      </c>
      <c r="B612" s="87">
        <v>6.0</v>
      </c>
      <c r="C612" s="88" t="s">
        <v>39</v>
      </c>
      <c r="D612" s="32"/>
      <c r="E612" s="32"/>
      <c r="F612" s="32"/>
      <c r="G612" s="93">
        <v>-465.14</v>
      </c>
      <c r="H612" s="93">
        <v>1823.63</v>
      </c>
      <c r="I612" s="32"/>
      <c r="J612" s="93">
        <v>8704.09</v>
      </c>
      <c r="K612" s="32"/>
      <c r="L612" s="32"/>
      <c r="M612" s="32"/>
      <c r="N612" s="32"/>
      <c r="O612" s="93">
        <v>159594.0</v>
      </c>
      <c r="P612" s="91">
        <f>IFERROR(__xludf.DUMMYFUNCTION("IFERROR(sum(FILTER($D:$N,$C:$C = $C612,$A:$A &lt; $A612,$B:$B = 12)),0) + sum($D612:$N612)"),159594.12000000002)</f>
        <v>159594.12</v>
      </c>
      <c r="Q612" s="92">
        <f t="shared" si="1"/>
        <v>-0.12</v>
      </c>
      <c r="R612" s="91">
        <f t="array" ref="R612">IFERROR(INDEX('Fund YTD Target Values'!$1:$1000, MATCH($C612,'Fund YTD Target Values'!$A:$A,0), MATCH($A612,'Fund YTD Target Values'!$1:$1,0)),0)</f>
        <v>165832.7472</v>
      </c>
      <c r="S612" s="91">
        <f>IFERROR(__xludf.DUMMYFUNCTION("IFERROR(sum(FILTER('Fund Investment Data'!$V:$V, 'Fund Investment Data'!$C:$C = $C612, 'Fund Investment Data'!$A:$A &lt; $A612)),0) + IFERROR(sum(FILTER('Fund Investment Data'!$V:$V, 'Fund Investment Data'!$C:$C = $C612, 'Fund Investment Data'!$A:$A = $A612,"&amp;" 'Fund Investment Data'!$B:$B &lt;= $B612)),0)"),140000.0)</f>
        <v>140000</v>
      </c>
      <c r="T612" s="93">
        <v>140000.0</v>
      </c>
      <c r="U612" s="32">
        <f t="shared" si="3"/>
        <v>0</v>
      </c>
      <c r="V612" s="32">
        <f>IFERROR(__xludf.DUMMYFUNCTION("$D612 - IFERROR(FILTER($D:$D,$C:$C = $C612, $A:$A = $A612, $B:$B = $B612 - 1),0)"),0.0)</f>
        <v>0</v>
      </c>
      <c r="W612" s="93">
        <f>IFERROR(__xludf.DUMMYFUNCTION("$E612 - IFERROR(FILTER($E:$E,$C:$C = $C612, $A:$A = $A612, $B:$B = $B612 - 1),0)"),0.0)</f>
        <v>0</v>
      </c>
      <c r="X612" s="93"/>
      <c r="Y612" s="93"/>
      <c r="Z612" s="93">
        <v>0.0</v>
      </c>
      <c r="AA612" s="93">
        <v>0.0</v>
      </c>
      <c r="AB612" s="93">
        <v>0.0</v>
      </c>
      <c r="AC612" s="93"/>
      <c r="AD612" s="93">
        <v>0.0</v>
      </c>
      <c r="AE612" s="32">
        <f t="shared" si="2"/>
        <v>0</v>
      </c>
      <c r="AF612" s="93">
        <v>0.0</v>
      </c>
    </row>
    <row r="613">
      <c r="A613" s="86">
        <v>2017.0</v>
      </c>
      <c r="B613" s="87">
        <v>6.0</v>
      </c>
      <c r="C613" s="88" t="s">
        <v>50</v>
      </c>
      <c r="D613" s="32"/>
      <c r="E613" s="32"/>
      <c r="F613" s="32"/>
      <c r="G613" s="93">
        <v>-618.42</v>
      </c>
      <c r="H613" s="93">
        <v>2403.13</v>
      </c>
      <c r="I613" s="32"/>
      <c r="J613" s="93">
        <v>11464.18</v>
      </c>
      <c r="K613" s="32"/>
      <c r="L613" s="32"/>
      <c r="M613" s="32"/>
      <c r="N613" s="32"/>
      <c r="O613" s="93">
        <v>212131.0</v>
      </c>
      <c r="P613" s="91">
        <f>IFERROR(__xludf.DUMMYFUNCTION("IFERROR(sum(FILTER($D:$N,$C:$C = $C613,$A:$A &lt; $A613,$B:$B = 12)),0) + sum($D613:$N613)"),212130.45999999996)</f>
        <v>212130.46</v>
      </c>
      <c r="Q613" s="92">
        <f t="shared" si="1"/>
        <v>0.54</v>
      </c>
      <c r="R613" s="91">
        <f t="array" ref="R613">IFERROR(INDEX('Fund YTD Target Values'!$1:$1000, MATCH($C613,'Fund YTD Target Values'!$A:$A,0), MATCH($A613,'Fund YTD Target Values'!$1:$1,0)),0)</f>
        <v>212473.6146</v>
      </c>
      <c r="S613" s="91">
        <f>IFERROR(__xludf.DUMMYFUNCTION("IFERROR(sum(FILTER('Fund Investment Data'!$V:$V, 'Fund Investment Data'!$C:$C = $C613, 'Fund Investment Data'!$A:$A &lt; $A613)),0) + IFERROR(sum(FILTER('Fund Investment Data'!$V:$V, 'Fund Investment Data'!$C:$C = $C613, 'Fund Investment Data'!$A:$A = $A613,"&amp;" 'Fund Investment Data'!$B:$B &lt;= $B613)),0)"),185189.56)</f>
        <v>185189.56</v>
      </c>
      <c r="T613" s="93">
        <v>190241.0</v>
      </c>
      <c r="U613" s="32">
        <f t="shared" si="3"/>
        <v>-5051.44</v>
      </c>
      <c r="V613" s="32">
        <f>IFERROR(__xludf.DUMMYFUNCTION("$D613 - IFERROR(FILTER($D:$D,$C:$C = $C613, $A:$A = $A613, $B:$B = $B613 - 1),0)"),0.0)</f>
        <v>0</v>
      </c>
      <c r="W613" s="93">
        <f>IFERROR(__xludf.DUMMYFUNCTION("$E613 - IFERROR(FILTER($E:$E,$C:$C = $C613, $A:$A = $A613, $B:$B = $B613 - 1),0)"),0.0)</f>
        <v>0</v>
      </c>
      <c r="X613" s="93"/>
      <c r="Y613" s="93"/>
      <c r="Z613" s="93">
        <v>0.0</v>
      </c>
      <c r="AA613" s="93">
        <v>0.0</v>
      </c>
      <c r="AB613" s="93">
        <v>0.0</v>
      </c>
      <c r="AC613" s="93"/>
      <c r="AD613" s="93">
        <v>0.0</v>
      </c>
      <c r="AE613" s="32">
        <f t="shared" si="2"/>
        <v>0</v>
      </c>
      <c r="AF613" s="93">
        <v>0.0</v>
      </c>
    </row>
    <row r="614">
      <c r="A614" s="86">
        <v>2017.0</v>
      </c>
      <c r="B614" s="87">
        <v>6.0</v>
      </c>
      <c r="C614" s="88" t="s">
        <v>32</v>
      </c>
      <c r="D614" s="93">
        <v>0.0</v>
      </c>
      <c r="E614" s="32"/>
      <c r="F614" s="32"/>
      <c r="G614" s="93">
        <v>-145.54</v>
      </c>
      <c r="H614" s="93">
        <v>604.93</v>
      </c>
      <c r="I614" s="32"/>
      <c r="J614" s="93">
        <v>2925.17</v>
      </c>
      <c r="K614" s="32"/>
      <c r="L614" s="32"/>
      <c r="M614" s="32"/>
      <c r="N614" s="32"/>
      <c r="O614" s="93">
        <v>50032.0</v>
      </c>
      <c r="P614" s="91">
        <f>IFERROR(__xludf.DUMMYFUNCTION("IFERROR(sum(FILTER($D:$N,$C:$C = $C614,$A:$A &lt; $A614,$B:$B = 12)),0) + sum($D614:$N614)"),50031.65000000002)</f>
        <v>50031.65</v>
      </c>
      <c r="Q614" s="92">
        <f t="shared" si="1"/>
        <v>0.35</v>
      </c>
      <c r="R614" s="91">
        <f t="array" ref="R614">IFERROR(INDEX('Fund YTD Target Values'!$1:$1000, MATCH($C614,'Fund YTD Target Values'!$A:$A,0), MATCH($A614,'Fund YTD Target Values'!$1:$1,0)),0)</f>
        <v>77291.136</v>
      </c>
      <c r="S614" s="91">
        <f>IFERROR(__xludf.DUMMYFUNCTION("IFERROR(sum(FILTER('Fund Investment Data'!$V:$V, 'Fund Investment Data'!$C:$C = $C614, 'Fund Investment Data'!$A:$A &lt; $A614)),0) + IFERROR(sum(FILTER('Fund Investment Data'!$V:$V, 'Fund Investment Data'!$C:$C = $C614, 'Fund Investment Data'!$A:$A = $A614,"&amp;" 'Fund Investment Data'!$B:$B &lt;= $B614)),0)"),49449.04)</f>
        <v>49449.04</v>
      </c>
      <c r="T614" s="93">
        <v>39268.0</v>
      </c>
      <c r="U614" s="32">
        <f t="shared" si="3"/>
        <v>10181.04</v>
      </c>
      <c r="V614" s="32">
        <f>IFERROR(__xludf.DUMMYFUNCTION("$D614 - IFERROR(FILTER($D:$D,$C:$C = $C614, $A:$A = $A614, $B:$B = $B614 - 1),0)"),-88.0)</f>
        <v>-88</v>
      </c>
      <c r="W614" s="93">
        <f>IFERROR(__xludf.DUMMYFUNCTION("$E614 - IFERROR(FILTER($E:$E,$C:$C = $C614, $A:$A = $A614, $B:$B = $B614 - 1),0)"),0.0)</f>
        <v>0</v>
      </c>
      <c r="X614" s="93"/>
      <c r="Y614" s="93"/>
      <c r="Z614" s="93">
        <v>0.0</v>
      </c>
      <c r="AA614" s="93">
        <v>0.0</v>
      </c>
      <c r="AB614" s="93">
        <v>0.0</v>
      </c>
      <c r="AC614" s="93"/>
      <c r="AD614" s="93">
        <v>0.0</v>
      </c>
      <c r="AE614" s="32">
        <f t="shared" si="2"/>
        <v>0</v>
      </c>
      <c r="AF614" s="93">
        <v>0.0</v>
      </c>
    </row>
    <row r="615">
      <c r="A615" s="86">
        <v>2017.0</v>
      </c>
      <c r="B615" s="87">
        <v>6.0</v>
      </c>
      <c r="C615" s="88" t="s">
        <v>40</v>
      </c>
      <c r="D615" s="32"/>
      <c r="E615" s="32"/>
      <c r="F615" s="32"/>
      <c r="G615" s="93">
        <v>-434.13</v>
      </c>
      <c r="H615" s="93">
        <v>1850.05</v>
      </c>
      <c r="I615" s="32"/>
      <c r="J615" s="93">
        <v>8993.29</v>
      </c>
      <c r="K615" s="32"/>
      <c r="L615" s="32"/>
      <c r="M615" s="32"/>
      <c r="N615" s="32"/>
      <c r="O615" s="93">
        <v>149417.0</v>
      </c>
      <c r="P615" s="91">
        <f>IFERROR(__xludf.DUMMYFUNCTION("IFERROR(sum(FILTER($D:$N,$C:$C = $C615,$A:$A &lt; $A615,$B:$B = 12)),0) + sum($D615:$N615)"),149416.90999999995)</f>
        <v>149416.91</v>
      </c>
      <c r="Q615" s="92">
        <f t="shared" si="1"/>
        <v>0.09000000005</v>
      </c>
      <c r="R615" s="91">
        <f t="array" ref="R615">IFERROR(INDEX('Fund YTD Target Values'!$1:$1000, MATCH($C615,'Fund YTD Target Values'!$A:$A,0), MATCH($A615,'Fund YTD Target Values'!$1:$1,0)),0)</f>
        <v>157515.3664</v>
      </c>
      <c r="S615" s="91">
        <f>IFERROR(__xludf.DUMMYFUNCTION("IFERROR(sum(FILTER('Fund Investment Data'!$V:$V, 'Fund Investment Data'!$C:$C = $C615, 'Fund Investment Data'!$A:$A &lt; $A615)),0) + IFERROR(sum(FILTER('Fund Investment Data'!$V:$V, 'Fund Investment Data'!$C:$C = $C615, 'Fund Investment Data'!$A:$A = $A615,"&amp;" 'Fund Investment Data'!$B:$B &lt;= $B615)),0)"),129703.74)</f>
        <v>129703.74</v>
      </c>
      <c r="T615" s="93">
        <v>129723.0</v>
      </c>
      <c r="U615" s="32">
        <f t="shared" si="3"/>
        <v>-19.26</v>
      </c>
      <c r="V615" s="32">
        <f>IFERROR(__xludf.DUMMYFUNCTION("$D615 - IFERROR(FILTER($D:$D,$C:$C = $C615, $A:$A = $A615, $B:$B = $B615 - 1),0)"),0.0)</f>
        <v>0</v>
      </c>
      <c r="W615" s="93">
        <f>IFERROR(__xludf.DUMMYFUNCTION("$E615 - IFERROR(FILTER($E:$E,$C:$C = $C615, $A:$A = $A615, $B:$B = $B615 - 1),0)"),0.0)</f>
        <v>0</v>
      </c>
      <c r="X615" s="93"/>
      <c r="Y615" s="93"/>
      <c r="Z615" s="93">
        <v>0.0</v>
      </c>
      <c r="AA615" s="93">
        <v>0.0</v>
      </c>
      <c r="AB615" s="93">
        <v>0.0</v>
      </c>
      <c r="AC615" s="93"/>
      <c r="AD615" s="93">
        <v>0.0</v>
      </c>
      <c r="AE615" s="32">
        <f t="shared" si="2"/>
        <v>0</v>
      </c>
      <c r="AF615" s="93">
        <v>0.0</v>
      </c>
    </row>
    <row r="616">
      <c r="A616" s="86">
        <v>2017.0</v>
      </c>
      <c r="B616" s="87">
        <v>6.0</v>
      </c>
      <c r="C616" s="88" t="s">
        <v>51</v>
      </c>
      <c r="D616" s="93">
        <v>3000.0</v>
      </c>
      <c r="E616" s="93">
        <v>-3800.0</v>
      </c>
      <c r="F616" s="32"/>
      <c r="G616" s="93">
        <v>-1321.05</v>
      </c>
      <c r="H616" s="93">
        <v>5635.28</v>
      </c>
      <c r="I616" s="32"/>
      <c r="J616" s="93">
        <v>27394.0</v>
      </c>
      <c r="K616" s="32"/>
      <c r="L616" s="32"/>
      <c r="M616" s="32"/>
      <c r="N616" s="32"/>
      <c r="O616" s="93">
        <v>454445.0</v>
      </c>
      <c r="P616" s="91">
        <f>IFERROR(__xludf.DUMMYFUNCTION("IFERROR(sum(FILTER($D:$N,$C:$C = $C616,$A:$A &lt; $A616,$B:$B = 12)),0) + sum($D616:$N616)"),454445.13)</f>
        <v>454445.13</v>
      </c>
      <c r="Q616" s="92">
        <f t="shared" si="1"/>
        <v>-0.13</v>
      </c>
      <c r="R616" s="91">
        <f t="array" ref="R616">IFERROR(INDEX('Fund YTD Target Values'!$1:$1000, MATCH($C616,'Fund YTD Target Values'!$A:$A,0), MATCH($A616,'Fund YTD Target Values'!$1:$1,0)),0)</f>
        <v>437835.4209</v>
      </c>
      <c r="S616" s="91">
        <f>IFERROR(__xludf.DUMMYFUNCTION("IFERROR(sum(FILTER('Fund Investment Data'!$V:$V, 'Fund Investment Data'!$C:$C = $C616, 'Fund Investment Data'!$A:$A &lt; $A616)),0) + IFERROR(sum(FILTER('Fund Investment Data'!$V:$V, 'Fund Investment Data'!$C:$C = $C616, 'Fund Investment Data'!$A:$A = $A616,"&amp;" 'Fund Investment Data'!$B:$B &lt;= $B616)),0)"),416123.55)</f>
        <v>416123.55</v>
      </c>
      <c r="T616" s="93">
        <v>416930.0</v>
      </c>
      <c r="U616" s="32">
        <f t="shared" si="3"/>
        <v>-806.45</v>
      </c>
      <c r="V616" s="32">
        <f>IFERROR(__xludf.DUMMYFUNCTION("$D616 - IFERROR(FILTER($D:$D,$C:$C = $C616, $A:$A = $A616, $B:$B = $B616 - 1),0)"),2600.0)</f>
        <v>2600</v>
      </c>
      <c r="W616" s="93">
        <f>IFERROR(__xludf.DUMMYFUNCTION("$E616 - IFERROR(FILTER($E:$E,$C:$C = $C616, $A:$A = $A616, $B:$B = $B616 - 1),0)"),0.0)</f>
        <v>0</v>
      </c>
      <c r="X616" s="93"/>
      <c r="Y616" s="93"/>
      <c r="Z616" s="93">
        <v>0.0</v>
      </c>
      <c r="AA616" s="93">
        <v>0.0</v>
      </c>
      <c r="AB616" s="93">
        <v>0.0</v>
      </c>
      <c r="AC616" s="93"/>
      <c r="AD616" s="93">
        <v>0.0</v>
      </c>
      <c r="AE616" s="32">
        <f t="shared" si="2"/>
        <v>-3800</v>
      </c>
      <c r="AF616" s="93">
        <v>0.0</v>
      </c>
    </row>
    <row r="617">
      <c r="A617" s="86">
        <v>2017.0</v>
      </c>
      <c r="B617" s="87">
        <v>6.0</v>
      </c>
      <c r="C617" s="88" t="s">
        <v>48</v>
      </c>
      <c r="D617" s="32"/>
      <c r="E617" s="93">
        <v>-10000.0</v>
      </c>
      <c r="F617" s="32"/>
      <c r="G617" s="93">
        <v>-3564.4</v>
      </c>
      <c r="H617" s="93">
        <v>15229.24</v>
      </c>
      <c r="I617" s="32"/>
      <c r="J617" s="93">
        <v>74060.29</v>
      </c>
      <c r="K617" s="32"/>
      <c r="L617" s="32"/>
      <c r="M617" s="32"/>
      <c r="N617" s="32"/>
      <c r="O617" s="93">
        <v>1218539.0</v>
      </c>
      <c r="P617" s="91">
        <f>IFERROR(__xludf.DUMMYFUNCTION("IFERROR(sum(FILTER($D:$N,$C:$C = $C617,$A:$A &lt; $A617,$B:$B = 12)),0) + sum($D617:$N617)"),1218537.8799999997)</f>
        <v>1218537.88</v>
      </c>
      <c r="Q617" s="92">
        <f t="shared" si="1"/>
        <v>1.12</v>
      </c>
      <c r="R617" s="91">
        <f t="array" ref="R617">IFERROR(INDEX('Fund YTD Target Values'!$1:$1000, MATCH($C617,'Fund YTD Target Values'!$A:$A,0), MATCH($A617,'Fund YTD Target Values'!$1:$1,0)),0)</f>
        <v>1851058.71</v>
      </c>
      <c r="S617" s="91">
        <f>IFERROR(__xludf.DUMMYFUNCTION("IFERROR(sum(FILTER('Fund Investment Data'!$V:$V, 'Fund Investment Data'!$C:$C = $C617, 'Fund Investment Data'!$A:$A &lt; $A617)),0) + IFERROR(sum(FILTER('Fund Investment Data'!$V:$V, 'Fund Investment Data'!$C:$C = $C617, 'Fund Investment Data'!$A:$A = $A617,"&amp;" 'Fund Investment Data'!$B:$B &lt;= $B617)),0)"),1183929.39)</f>
        <v>1183929.39</v>
      </c>
      <c r="T617" s="93">
        <v>1140040.0</v>
      </c>
      <c r="U617" s="32">
        <f t="shared" si="3"/>
        <v>43889.39</v>
      </c>
      <c r="V617" s="32">
        <f>IFERROR(__xludf.DUMMYFUNCTION("$D617 - IFERROR(FILTER($D:$D,$C:$C = $C617, $A:$A = $A617, $B:$B = $B617 - 1),0)"),0.0)</f>
        <v>0</v>
      </c>
      <c r="W617" s="93">
        <f>IFERROR(__xludf.DUMMYFUNCTION("$E617 - IFERROR(FILTER($E:$E,$C:$C = $C617, $A:$A = $A617, $B:$B = $B617 - 1),0)"),0.0)</f>
        <v>0</v>
      </c>
      <c r="X617" s="93"/>
      <c r="Y617" s="93"/>
      <c r="Z617" s="93">
        <v>0.0</v>
      </c>
      <c r="AA617" s="93">
        <v>0.0</v>
      </c>
      <c r="AB617" s="93">
        <v>0.0</v>
      </c>
      <c r="AC617" s="93"/>
      <c r="AD617" s="93">
        <v>0.0</v>
      </c>
      <c r="AE617" s="32">
        <f t="shared" si="2"/>
        <v>-10000</v>
      </c>
      <c r="AF617" s="93">
        <v>0.0</v>
      </c>
    </row>
    <row r="618">
      <c r="A618" s="86">
        <v>2017.0</v>
      </c>
      <c r="B618" s="87">
        <v>6.0</v>
      </c>
      <c r="C618" s="88" t="s">
        <v>49</v>
      </c>
      <c r="D618" s="32"/>
      <c r="E618" s="93">
        <v>-5000.0</v>
      </c>
      <c r="F618" s="32"/>
      <c r="G618" s="93">
        <v>-1567.55</v>
      </c>
      <c r="H618" s="93">
        <v>6689.78</v>
      </c>
      <c r="I618" s="32"/>
      <c r="J618" s="93">
        <v>32523.93</v>
      </c>
      <c r="K618" s="32"/>
      <c r="L618" s="32"/>
      <c r="M618" s="32"/>
      <c r="N618" s="32"/>
      <c r="O618" s="93">
        <v>535362.0</v>
      </c>
      <c r="P618" s="91">
        <f>IFERROR(__xludf.DUMMYFUNCTION("IFERROR(sum(FILTER($D:$N,$C:$C = $C618,$A:$A &lt; $A618,$B:$B = 12)),0) + sum($D618:$N618)"),535362.1599999999)</f>
        <v>535362.16</v>
      </c>
      <c r="Q618" s="92">
        <f t="shared" si="1"/>
        <v>-0.1599999999</v>
      </c>
      <c r="R618" s="91">
        <f t="array" ref="R618">IFERROR(INDEX('Fund YTD Target Values'!$1:$1000, MATCH($C618,'Fund YTD Target Values'!$A:$A,0), MATCH($A618,'Fund YTD Target Values'!$1:$1,0)),0)</f>
        <v>684659.2079</v>
      </c>
      <c r="S618" s="91">
        <f>IFERROR(__xludf.DUMMYFUNCTION("IFERROR(sum(FILTER('Fund Investment Data'!$V:$V, 'Fund Investment Data'!$C:$C = $C618, 'Fund Investment Data'!$A:$A &lt; $A618)),0) + IFERROR(sum(FILTER('Fund Investment Data'!$V:$V, 'Fund Investment Data'!$C:$C = $C618, 'Fund Investment Data'!$A:$A = $A618,"&amp;" 'Fund Investment Data'!$B:$B &lt;= $B618)),0)"),500000.0)</f>
        <v>500000</v>
      </c>
      <c r="T618" s="93">
        <v>500000.0</v>
      </c>
      <c r="U618" s="32">
        <f t="shared" si="3"/>
        <v>0</v>
      </c>
      <c r="V618" s="32">
        <f>IFERROR(__xludf.DUMMYFUNCTION("$D618 - IFERROR(FILTER($D:$D,$C:$C = $C618, $A:$A = $A618, $B:$B = $B618 - 1),0)"),0.0)</f>
        <v>0</v>
      </c>
      <c r="W618" s="93">
        <f>IFERROR(__xludf.DUMMYFUNCTION("$E618 - IFERROR(FILTER($E:$E,$C:$C = $C618, $A:$A = $A618, $B:$B = $B618 - 1),0)"),0.0)</f>
        <v>0</v>
      </c>
      <c r="X618" s="93"/>
      <c r="Y618" s="93"/>
      <c r="Z618" s="93">
        <v>0.0</v>
      </c>
      <c r="AA618" s="93">
        <v>0.0</v>
      </c>
      <c r="AB618" s="93">
        <v>0.0</v>
      </c>
      <c r="AC618" s="93"/>
      <c r="AD618" s="93">
        <v>0.0</v>
      </c>
      <c r="AE618" s="32">
        <f t="shared" si="2"/>
        <v>-5000</v>
      </c>
      <c r="AF618" s="93">
        <v>0.0</v>
      </c>
    </row>
    <row r="619">
      <c r="A619" s="86">
        <v>2017.0</v>
      </c>
      <c r="B619" s="87">
        <v>6.0</v>
      </c>
      <c r="C619" s="88" t="s">
        <v>41</v>
      </c>
      <c r="D619" s="32"/>
      <c r="E619" s="93">
        <v>-8375.0</v>
      </c>
      <c r="F619" s="32"/>
      <c r="G619" s="93">
        <v>-1856.5</v>
      </c>
      <c r="H619" s="93">
        <v>7897.98</v>
      </c>
      <c r="I619" s="32"/>
      <c r="J619" s="93">
        <v>38379.88</v>
      </c>
      <c r="K619" s="32"/>
      <c r="L619" s="32"/>
      <c r="M619" s="32"/>
      <c r="N619" s="32"/>
      <c r="O619" s="93">
        <v>630531.0</v>
      </c>
      <c r="P619" s="91">
        <f>IFERROR(__xludf.DUMMYFUNCTION("IFERROR(sum(FILTER($D:$N,$C:$C = $C619,$A:$A &lt; $A619,$B:$B = 12)),0) + sum($D619:$N619)"),630531.4)</f>
        <v>630531.4</v>
      </c>
      <c r="Q619" s="92">
        <f t="shared" si="1"/>
        <v>-0.4</v>
      </c>
      <c r="R619" s="91">
        <f t="array" ref="R619">IFERROR(INDEX('Fund YTD Target Values'!$1:$1000, MATCH($C619,'Fund YTD Target Values'!$A:$A,0), MATCH($A619,'Fund YTD Target Values'!$1:$1,0)),0)</f>
        <v>573948.5743</v>
      </c>
      <c r="S619" s="91">
        <f>IFERROR(__xludf.DUMMYFUNCTION("IFERROR(sum(FILTER('Fund Investment Data'!$V:$V, 'Fund Investment Data'!$C:$C = $C619, 'Fund Investment Data'!$A:$A &lt; $A619)),0) + IFERROR(sum(FILTER('Fund Investment Data'!$V:$V, 'Fund Investment Data'!$C:$C = $C619, 'Fund Investment Data'!$A:$A = $A619,"&amp;" 'Fund Investment Data'!$B:$B &lt;= $B619)),0)"),433755.86)</f>
        <v>433755.86</v>
      </c>
      <c r="T619" s="93">
        <v>434291.0</v>
      </c>
      <c r="U619" s="32">
        <f t="shared" si="3"/>
        <v>-535.14</v>
      </c>
      <c r="V619" s="32">
        <f>IFERROR(__xludf.DUMMYFUNCTION("$D619 - IFERROR(FILTER($D:$D,$C:$C = $C619, $A:$A = $A619, $B:$B = $B619 - 1),0)"),0.0)</f>
        <v>0</v>
      </c>
      <c r="W619" s="93">
        <f>IFERROR(__xludf.DUMMYFUNCTION("$E619 - IFERROR(FILTER($E:$E,$C:$C = $C619, $A:$A = $A619, $B:$B = $B619 - 1),0)"),-8375.0)</f>
        <v>-8375</v>
      </c>
      <c r="X619" s="93"/>
      <c r="Y619" s="93"/>
      <c r="Z619" s="93">
        <v>0.0</v>
      </c>
      <c r="AA619" s="93">
        <v>0.0</v>
      </c>
      <c r="AB619" s="93">
        <v>0.0</v>
      </c>
      <c r="AC619" s="93"/>
      <c r="AD619" s="93">
        <v>0.0</v>
      </c>
      <c r="AE619" s="32">
        <f t="shared" si="2"/>
        <v>-8375</v>
      </c>
      <c r="AF619" s="93">
        <v>0.0</v>
      </c>
    </row>
    <row r="620">
      <c r="A620" s="86">
        <v>2017.0</v>
      </c>
      <c r="B620" s="87">
        <v>6.0</v>
      </c>
      <c r="C620" s="88" t="s">
        <v>25</v>
      </c>
      <c r="D620" s="32"/>
      <c r="E620" s="32"/>
      <c r="F620" s="32"/>
      <c r="G620" s="93">
        <v>-288.21</v>
      </c>
      <c r="H620" s="93">
        <v>1228.25</v>
      </c>
      <c r="I620" s="32"/>
      <c r="J620" s="93">
        <v>5970.75</v>
      </c>
      <c r="K620" s="32"/>
      <c r="L620" s="32"/>
      <c r="M620" s="32"/>
      <c r="N620" s="32"/>
      <c r="O620" s="93">
        <v>99199.0</v>
      </c>
      <c r="P620" s="91">
        <f>IFERROR(__xludf.DUMMYFUNCTION("IFERROR(sum(FILTER($D:$N,$C:$C = $C620,$A:$A &lt; $A620,$B:$B = 12)),0) + sum($D620:$N620)"),99198.79999999999)</f>
        <v>99198.8</v>
      </c>
      <c r="Q620" s="92">
        <f t="shared" si="1"/>
        <v>0.2</v>
      </c>
      <c r="R620" s="91">
        <f t="array" ref="R620">IFERROR(INDEX('Fund YTD Target Values'!$1:$1000, MATCH($C620,'Fund YTD Target Values'!$A:$A,0), MATCH($A620,'Fund YTD Target Values'!$1:$1,0)),0)</f>
        <v>106572.0284</v>
      </c>
      <c r="S620" s="91">
        <f>IFERROR(__xludf.DUMMYFUNCTION("IFERROR(sum(FILTER('Fund Investment Data'!$V:$V, 'Fund Investment Data'!$C:$C = $C620, 'Fund Investment Data'!$A:$A &lt; $A620)),0) + IFERROR(sum(FILTER('Fund Investment Data'!$V:$V, 'Fund Investment Data'!$C:$C = $C620, 'Fund Investment Data'!$A:$A = $A620,"&amp;" 'Fund Investment Data'!$B:$B &lt;= $B620)),0)"),81000.0)</f>
        <v>81000</v>
      </c>
      <c r="T620" s="93">
        <v>81000.0</v>
      </c>
      <c r="U620" s="32">
        <f t="shared" si="3"/>
        <v>0</v>
      </c>
      <c r="V620" s="32">
        <f>IFERROR(__xludf.DUMMYFUNCTION("$D620 - IFERROR(FILTER($D:$D,$C:$C = $C620, $A:$A = $A620, $B:$B = $B620 - 1),0)"),0.0)</f>
        <v>0</v>
      </c>
      <c r="W620" s="93">
        <f>IFERROR(__xludf.DUMMYFUNCTION("$E620 - IFERROR(FILTER($E:$E,$C:$C = $C620, $A:$A = $A620, $B:$B = $B620 - 1),0)"),0.0)</f>
        <v>0</v>
      </c>
      <c r="X620" s="93"/>
      <c r="Y620" s="93"/>
      <c r="Z620" s="93">
        <v>0.0</v>
      </c>
      <c r="AA620" s="93">
        <v>0.0</v>
      </c>
      <c r="AB620" s="93">
        <v>0.0</v>
      </c>
      <c r="AC620" s="93"/>
      <c r="AD620" s="93">
        <v>0.0</v>
      </c>
      <c r="AE620" s="32">
        <f t="shared" si="2"/>
        <v>0</v>
      </c>
      <c r="AF620" s="93">
        <v>0.0</v>
      </c>
    </row>
    <row r="621">
      <c r="A621" s="86">
        <v>2017.0</v>
      </c>
      <c r="B621" s="87">
        <v>6.0</v>
      </c>
      <c r="C621" s="88" t="s">
        <v>42</v>
      </c>
      <c r="D621" s="32"/>
      <c r="E621" s="32"/>
      <c r="F621" s="32"/>
      <c r="G621" s="93">
        <v>-827.72</v>
      </c>
      <c r="H621" s="93">
        <v>3493.08</v>
      </c>
      <c r="I621" s="32"/>
      <c r="J621" s="93">
        <v>16945.34</v>
      </c>
      <c r="K621" s="32"/>
      <c r="L621" s="32"/>
      <c r="M621" s="32"/>
      <c r="N621" s="32"/>
      <c r="O621" s="93">
        <v>284770.0</v>
      </c>
      <c r="P621" s="91">
        <f>IFERROR(__xludf.DUMMYFUNCTION("IFERROR(sum(FILTER($D:$N,$C:$C = $C621,$A:$A &lt; $A621,$B:$B = 12)),0) + sum($D621:$N621)"),284768.97000000015)</f>
        <v>284768.97</v>
      </c>
      <c r="Q621" s="92">
        <f t="shared" si="1"/>
        <v>1.03</v>
      </c>
      <c r="R621" s="91">
        <f t="array" ref="R621">IFERROR(INDEX('Fund YTD Target Values'!$1:$1000, MATCH($C621,'Fund YTD Target Values'!$A:$A,0), MATCH($A621,'Fund YTD Target Values'!$1:$1,0)),0)</f>
        <v>234458.6336</v>
      </c>
      <c r="S621" s="91">
        <f>IFERROR(__xludf.DUMMYFUNCTION("IFERROR(sum(FILTER('Fund Investment Data'!$V:$V, 'Fund Investment Data'!$C:$C = $C621, 'Fund Investment Data'!$A:$A &lt; $A621)),0) + IFERROR(sum(FILTER('Fund Investment Data'!$V:$V, 'Fund Investment Data'!$C:$C = $C621, 'Fund Investment Data'!$A:$A = $A621,"&amp;" 'Fund Investment Data'!$B:$B &lt;= $B621)),0)"),194469.0)</f>
        <v>194469</v>
      </c>
      <c r="T621" s="93">
        <v>194469.0</v>
      </c>
      <c r="U621" s="32">
        <f t="shared" si="3"/>
        <v>0</v>
      </c>
      <c r="V621" s="32">
        <f>IFERROR(__xludf.DUMMYFUNCTION("$D621 - IFERROR(FILTER($D:$D,$C:$C = $C621, $A:$A = $A621, $B:$B = $B621 - 1),0)"),0.0)</f>
        <v>0</v>
      </c>
      <c r="W621" s="93">
        <f>IFERROR(__xludf.DUMMYFUNCTION("$E621 - IFERROR(FILTER($E:$E,$C:$C = $C621, $A:$A = $A621, $B:$B = $B621 - 1),0)"),0.0)</f>
        <v>0</v>
      </c>
      <c r="X621" s="93"/>
      <c r="Y621" s="93"/>
      <c r="Z621" s="93">
        <v>0.0</v>
      </c>
      <c r="AA621" s="93">
        <v>0.0</v>
      </c>
      <c r="AB621" s="93">
        <v>0.0</v>
      </c>
      <c r="AC621" s="93"/>
      <c r="AD621" s="93">
        <v>0.0</v>
      </c>
      <c r="AE621" s="32">
        <f t="shared" si="2"/>
        <v>0</v>
      </c>
      <c r="AF621" s="93">
        <v>0.0</v>
      </c>
    </row>
    <row r="622">
      <c r="A622" s="86">
        <v>2017.0</v>
      </c>
      <c r="B622" s="87">
        <v>6.0</v>
      </c>
      <c r="C622" s="88" t="s">
        <v>43</v>
      </c>
      <c r="D622" s="32"/>
      <c r="E622" s="32"/>
      <c r="F622" s="32"/>
      <c r="G622" s="93">
        <v>-346.26</v>
      </c>
      <c r="H622" s="93">
        <v>1477.43</v>
      </c>
      <c r="I622" s="32"/>
      <c r="J622" s="93">
        <v>7183.92</v>
      </c>
      <c r="K622" s="32"/>
      <c r="L622" s="32"/>
      <c r="M622" s="32"/>
      <c r="N622" s="32"/>
      <c r="O622" s="93">
        <v>119172.0</v>
      </c>
      <c r="P622" s="91">
        <f>IFERROR(__xludf.DUMMYFUNCTION("IFERROR(sum(FILTER($D:$N,$C:$C = $C622,$A:$A &lt; $A622,$B:$B = 12)),0) + sum($D622:$N622)"),119171.30000000002)</f>
        <v>119171.3</v>
      </c>
      <c r="Q622" s="92">
        <f t="shared" si="1"/>
        <v>0.7</v>
      </c>
      <c r="R622" s="91">
        <f t="array" ref="R622">IFERROR(INDEX('Fund YTD Target Values'!$1:$1000, MATCH($C622,'Fund YTD Target Values'!$A:$A,0), MATCH($A622,'Fund YTD Target Values'!$1:$1,0)),0)</f>
        <v>127580.7013</v>
      </c>
      <c r="S622" s="91">
        <f>IFERROR(__xludf.DUMMYFUNCTION("IFERROR(sum(FILTER('Fund Investment Data'!$V:$V, 'Fund Investment Data'!$C:$C = $C622, 'Fund Investment Data'!$A:$A &lt; $A622)),0) + IFERROR(sum(FILTER('Fund Investment Data'!$V:$V, 'Fund Investment Data'!$C:$C = $C622, 'Fund Investment Data'!$A:$A = $A622,"&amp;" 'Fund Investment Data'!$B:$B &lt;= $B622)),0)"),100000.0)</f>
        <v>100000</v>
      </c>
      <c r="T622" s="93">
        <v>100000.0</v>
      </c>
      <c r="U622" s="32">
        <f t="shared" si="3"/>
        <v>0</v>
      </c>
      <c r="V622" s="32">
        <f>IFERROR(__xludf.DUMMYFUNCTION("$D622 - IFERROR(FILTER($D:$D,$C:$C = $C622, $A:$A = $A622, $B:$B = $B622 - 1),0)"),0.0)</f>
        <v>0</v>
      </c>
      <c r="W622" s="93">
        <f>IFERROR(__xludf.DUMMYFUNCTION("$E622 - IFERROR(FILTER($E:$E,$C:$C = $C622, $A:$A = $A622, $B:$B = $B622 - 1),0)"),0.0)</f>
        <v>0</v>
      </c>
      <c r="X622" s="93"/>
      <c r="Y622" s="93"/>
      <c r="Z622" s="93">
        <v>0.0</v>
      </c>
      <c r="AA622" s="93">
        <v>0.0</v>
      </c>
      <c r="AB622" s="93">
        <v>0.0</v>
      </c>
      <c r="AC622" s="93"/>
      <c r="AD622" s="93">
        <v>0.0</v>
      </c>
      <c r="AE622" s="32">
        <f t="shared" si="2"/>
        <v>0</v>
      </c>
      <c r="AF622" s="93">
        <v>0.0</v>
      </c>
    </row>
    <row r="623">
      <c r="A623" s="86">
        <v>2017.0</v>
      </c>
      <c r="B623" s="87">
        <v>6.0</v>
      </c>
      <c r="C623" s="88" t="s">
        <v>52</v>
      </c>
      <c r="D623" s="93">
        <v>2500.0</v>
      </c>
      <c r="E623" s="93">
        <v>-6500.0</v>
      </c>
      <c r="F623" s="32"/>
      <c r="G623" s="93">
        <v>-3372.89</v>
      </c>
      <c r="H623" s="93">
        <v>13581.4</v>
      </c>
      <c r="I623" s="32"/>
      <c r="J623" s="93">
        <v>65969.74</v>
      </c>
      <c r="K623" s="32"/>
      <c r="L623" s="32"/>
      <c r="M623" s="32"/>
      <c r="N623" s="32"/>
      <c r="O623" s="93">
        <v>1097027.0</v>
      </c>
      <c r="P623" s="91">
        <f>IFERROR(__xludf.DUMMYFUNCTION("IFERROR(sum(FILTER($D:$N,$C:$C = $C623,$A:$A &lt; $A623,$B:$B = 12)),0) + sum($D623:$N623)"),1097026.19)</f>
        <v>1097026.19</v>
      </c>
      <c r="Q623" s="92">
        <f t="shared" si="1"/>
        <v>0.8100000001</v>
      </c>
      <c r="R623" s="91">
        <f t="array" ref="R623">IFERROR(INDEX('Fund YTD Target Values'!$1:$1000, MATCH($C623,'Fund YTD Target Values'!$A:$A,0), MATCH($A623,'Fund YTD Target Values'!$1:$1,0)),0)</f>
        <v>1048370.982</v>
      </c>
      <c r="S623" s="91">
        <f>IFERROR(__xludf.DUMMYFUNCTION("IFERROR(sum(FILTER('Fund Investment Data'!$V:$V, 'Fund Investment Data'!$C:$C = $C623, 'Fund Investment Data'!$A:$A &lt; $A623)),0) + IFERROR(sum(FILTER('Fund Investment Data'!$V:$V, 'Fund Investment Data'!$C:$C = $C623, 'Fund Investment Data'!$A:$A = $A623,"&amp;" 'Fund Investment Data'!$B:$B &lt;= $B623)),0)"),1004136.0)</f>
        <v>1004136</v>
      </c>
      <c r="T623" s="93">
        <v>1004449.0</v>
      </c>
      <c r="U623" s="32">
        <f t="shared" si="3"/>
        <v>-313</v>
      </c>
      <c r="V623" s="32">
        <f>IFERROR(__xludf.DUMMYFUNCTION("$D623 - IFERROR(FILTER($D:$D,$C:$C = $C623, $A:$A = $A623, $B:$B = $B623 - 1),0)"),0.0)</f>
        <v>0</v>
      </c>
      <c r="W623" s="93">
        <f>IFERROR(__xludf.DUMMYFUNCTION("$E623 - IFERROR(FILTER($E:$E,$C:$C = $C623, $A:$A = $A623, $B:$B = $B623 - 1),0)"),0.0)</f>
        <v>0</v>
      </c>
      <c r="X623" s="93"/>
      <c r="Y623" s="93"/>
      <c r="Z623" s="93">
        <v>0.0</v>
      </c>
      <c r="AA623" s="93">
        <v>0.0</v>
      </c>
      <c r="AB623" s="93">
        <v>0.0</v>
      </c>
      <c r="AC623" s="93"/>
      <c r="AD623" s="93">
        <v>0.0</v>
      </c>
      <c r="AE623" s="32">
        <f t="shared" si="2"/>
        <v>-6500</v>
      </c>
      <c r="AF623" s="93">
        <v>0.0</v>
      </c>
    </row>
    <row r="624">
      <c r="A624" s="86">
        <v>2017.0</v>
      </c>
      <c r="B624" s="87">
        <v>6.0</v>
      </c>
      <c r="C624" s="88" t="s">
        <v>33</v>
      </c>
      <c r="D624" s="32"/>
      <c r="E624" s="32"/>
      <c r="F624" s="32"/>
      <c r="G624" s="93">
        <v>-1080.02</v>
      </c>
      <c r="H624" s="93">
        <v>4608.44</v>
      </c>
      <c r="I624" s="32"/>
      <c r="J624" s="93">
        <v>22408.48</v>
      </c>
      <c r="K624" s="32"/>
      <c r="L624" s="32"/>
      <c r="M624" s="32"/>
      <c r="N624" s="32"/>
      <c r="O624" s="93">
        <v>371722.0</v>
      </c>
      <c r="P624" s="91">
        <f>IFERROR(__xludf.DUMMYFUNCTION("IFERROR(sum(FILTER($D:$N,$C:$C = $C624,$A:$A &lt; $A624,$B:$B = 12)),0) + sum($D624:$N624)"),371721.86999999976)</f>
        <v>371721.87</v>
      </c>
      <c r="Q624" s="92">
        <f t="shared" si="1"/>
        <v>0.1300000002</v>
      </c>
      <c r="R624" s="91">
        <f t="array" ref="R624">IFERROR(INDEX('Fund YTD Target Values'!$1:$1000, MATCH($C624,'Fund YTD Target Values'!$A:$A,0), MATCH($A624,'Fund YTD Target Values'!$1:$1,0)),0)</f>
        <v>500698.0917</v>
      </c>
      <c r="S624" s="91">
        <f>IFERROR(__xludf.DUMMYFUNCTION("IFERROR(sum(FILTER('Fund Investment Data'!$V:$V, 'Fund Investment Data'!$C:$C = $C624, 'Fund Investment Data'!$A:$A &lt; $A624)),0) + IFERROR(sum(FILTER('Fund Investment Data'!$V:$V, 'Fund Investment Data'!$C:$C = $C624, 'Fund Investment Data'!$A:$A = $A624,"&amp;" 'Fund Investment Data'!$B:$B &lt;= $B624)),0)"),325871.6399999999)</f>
        <v>325871.64</v>
      </c>
      <c r="T624" s="93">
        <v>326032.0</v>
      </c>
      <c r="U624" s="32">
        <f t="shared" si="3"/>
        <v>-160.36</v>
      </c>
      <c r="V624" s="32">
        <f>IFERROR(__xludf.DUMMYFUNCTION("$D624 - IFERROR(FILTER($D:$D,$C:$C = $C624, $A:$A = $A624, $B:$B = $B624 - 1),0)"),0.0)</f>
        <v>0</v>
      </c>
      <c r="W624" s="93">
        <f>IFERROR(__xludf.DUMMYFUNCTION("$E624 - IFERROR(FILTER($E:$E,$C:$C = $C624, $A:$A = $A624, $B:$B = $B624 - 1),0)"),0.0)</f>
        <v>0</v>
      </c>
      <c r="X624" s="93"/>
      <c r="Y624" s="93"/>
      <c r="Z624" s="93">
        <v>0.0</v>
      </c>
      <c r="AA624" s="93">
        <v>0.0</v>
      </c>
      <c r="AB624" s="93">
        <v>0.0</v>
      </c>
      <c r="AC624" s="93"/>
      <c r="AD624" s="93">
        <v>0.0</v>
      </c>
      <c r="AE624" s="32">
        <f t="shared" si="2"/>
        <v>0</v>
      </c>
      <c r="AF624" s="93">
        <v>0.0</v>
      </c>
    </row>
    <row r="625">
      <c r="A625" s="86">
        <v>2017.0</v>
      </c>
      <c r="B625" s="87">
        <v>6.0</v>
      </c>
      <c r="C625" s="88" t="s">
        <v>53</v>
      </c>
      <c r="D625" s="32"/>
      <c r="E625" s="93">
        <v>-30000.0</v>
      </c>
      <c r="F625" s="32"/>
      <c r="G625" s="93">
        <v>-6338.28</v>
      </c>
      <c r="H625" s="93">
        <v>27120.64</v>
      </c>
      <c r="I625" s="93">
        <v>627.62</v>
      </c>
      <c r="J625" s="93">
        <v>131273.55</v>
      </c>
      <c r="K625" s="32"/>
      <c r="L625" s="32"/>
      <c r="M625" s="32"/>
      <c r="N625" s="32"/>
      <c r="O625" s="93">
        <v>2156597.0</v>
      </c>
      <c r="P625" s="91">
        <f>IFERROR(__xludf.DUMMYFUNCTION("IFERROR(sum(FILTER($D:$N,$C:$C = $C625,$A:$A &lt; $A625,$B:$B = 12)),0) + sum($D625:$N625)"),2156596.8099999996)</f>
        <v>2156596.81</v>
      </c>
      <c r="Q625" s="92">
        <f t="shared" si="1"/>
        <v>0.1900000004</v>
      </c>
      <c r="R625" s="91">
        <f t="array" ref="R625">IFERROR(INDEX('Fund YTD Target Values'!$1:$1000, MATCH($C625,'Fund YTD Target Values'!$A:$A,0), MATCH($A625,'Fund YTD Target Values'!$1:$1,0)),0)</f>
        <v>2171706.82</v>
      </c>
      <c r="S625" s="91">
        <f>IFERROR(__xludf.DUMMYFUNCTION("IFERROR(sum(FILTER('Fund Investment Data'!$V:$V, 'Fund Investment Data'!$C:$C = $C625, 'Fund Investment Data'!$A:$A &lt; $A625)),0) + IFERROR(sum(FILTER('Fund Investment Data'!$V:$V, 'Fund Investment Data'!$C:$C = $C625, 'Fund Investment Data'!$A:$A = $A625,"&amp;" 'Fund Investment Data'!$B:$B &lt;= $B625)),0)"),2005500.0)</f>
        <v>2005500</v>
      </c>
      <c r="T625" s="93">
        <v>2005500.0</v>
      </c>
      <c r="U625" s="32">
        <f t="shared" si="3"/>
        <v>0</v>
      </c>
      <c r="V625" s="32">
        <f>IFERROR(__xludf.DUMMYFUNCTION("$D625 - IFERROR(FILTER($D:$D,$C:$C = $C625, $A:$A = $A625, $B:$B = $B625 - 1),0)"),0.0)</f>
        <v>0</v>
      </c>
      <c r="W625" s="93">
        <f>IFERROR(__xludf.DUMMYFUNCTION("$E625 - IFERROR(FILTER($E:$E,$C:$C = $C625, $A:$A = $A625, $B:$B = $B625 - 1),0)"),0.0)</f>
        <v>0</v>
      </c>
      <c r="X625" s="93"/>
      <c r="Y625" s="93"/>
      <c r="Z625" s="93">
        <v>0.0</v>
      </c>
      <c r="AA625" s="93">
        <v>0.0</v>
      </c>
      <c r="AB625" s="93">
        <v>0.0</v>
      </c>
      <c r="AC625" s="93"/>
      <c r="AD625" s="93">
        <v>0.0</v>
      </c>
      <c r="AE625" s="32">
        <f t="shared" si="2"/>
        <v>-30000</v>
      </c>
      <c r="AF625" s="93">
        <v>0.0</v>
      </c>
    </row>
    <row r="626">
      <c r="A626" s="86">
        <v>2017.0</v>
      </c>
      <c r="B626" s="87">
        <v>6.0</v>
      </c>
      <c r="C626" s="88" t="s">
        <v>34</v>
      </c>
      <c r="D626" s="93">
        <v>5000.0</v>
      </c>
      <c r="E626" s="32"/>
      <c r="F626" s="32"/>
      <c r="G626" s="93">
        <v>-399.85</v>
      </c>
      <c r="H626" s="93">
        <v>1659.21</v>
      </c>
      <c r="I626" s="32"/>
      <c r="J626" s="93">
        <v>8017.23</v>
      </c>
      <c r="K626" s="32"/>
      <c r="L626" s="32"/>
      <c r="M626" s="32"/>
      <c r="N626" s="32"/>
      <c r="O626" s="93">
        <v>139973.0</v>
      </c>
      <c r="P626" s="91">
        <f>IFERROR(__xludf.DUMMYFUNCTION("IFERROR(sum(FILTER($D:$N,$C:$C = $C626,$A:$A &lt; $A626,$B:$B = 12)),0) + sum($D626:$N626)"),139973.1)</f>
        <v>139973.1</v>
      </c>
      <c r="Q626" s="92">
        <f t="shared" si="1"/>
        <v>-0.1</v>
      </c>
      <c r="R626" s="91">
        <f t="array" ref="R626">IFERROR(INDEX('Fund YTD Target Values'!$1:$1000, MATCH($C626,'Fund YTD Target Values'!$A:$A,0), MATCH($A626,'Fund YTD Target Values'!$1:$1,0)),0)</f>
        <v>127220.0742</v>
      </c>
      <c r="S626" s="91">
        <f>IFERROR(__xludf.DUMMYFUNCTION("IFERROR(sum(FILTER('Fund Investment Data'!$V:$V, 'Fund Investment Data'!$C:$C = $C626, 'Fund Investment Data'!$A:$A &lt; $A626)),0) + IFERROR(sum(FILTER('Fund Investment Data'!$V:$V, 'Fund Investment Data'!$C:$C = $C626, 'Fund Investment Data'!$A:$A = $A626,"&amp;" 'Fund Investment Data'!$B:$B &lt;= $B626)),0)"),120000.0)</f>
        <v>120000</v>
      </c>
      <c r="T626" s="93">
        <v>121567.0</v>
      </c>
      <c r="U626" s="32">
        <f t="shared" si="3"/>
        <v>-1567</v>
      </c>
      <c r="V626" s="32">
        <f>IFERROR(__xludf.DUMMYFUNCTION("$D626 - IFERROR(FILTER($D:$D,$C:$C = $C626, $A:$A = $A626, $B:$B = $B626 - 1),0)"),0.0)</f>
        <v>0</v>
      </c>
      <c r="W626" s="93">
        <f>IFERROR(__xludf.DUMMYFUNCTION("$E626 - IFERROR(FILTER($E:$E,$C:$C = $C626, $A:$A = $A626, $B:$B = $B626 - 1),0)"),0.0)</f>
        <v>0</v>
      </c>
      <c r="X626" s="93"/>
      <c r="Y626" s="93"/>
      <c r="Z626" s="93">
        <v>0.0</v>
      </c>
      <c r="AA626" s="93">
        <v>0.0</v>
      </c>
      <c r="AB626" s="93">
        <v>0.0</v>
      </c>
      <c r="AC626" s="93"/>
      <c r="AD626" s="93">
        <v>0.0</v>
      </c>
      <c r="AE626" s="32">
        <f t="shared" si="2"/>
        <v>0</v>
      </c>
      <c r="AF626" s="93">
        <v>0.0</v>
      </c>
    </row>
    <row r="627">
      <c r="A627" s="86">
        <v>2017.0</v>
      </c>
      <c r="B627" s="87">
        <v>6.0</v>
      </c>
      <c r="C627" s="88" t="s">
        <v>54</v>
      </c>
      <c r="D627" s="93">
        <v>923.0</v>
      </c>
      <c r="E627" s="32"/>
      <c r="F627" s="32"/>
      <c r="G627" s="93">
        <v>-470.38</v>
      </c>
      <c r="H627" s="93">
        <v>1912.92</v>
      </c>
      <c r="I627" s="32"/>
      <c r="J627" s="93">
        <v>9205.21</v>
      </c>
      <c r="K627" s="32"/>
      <c r="L627" s="32"/>
      <c r="M627" s="32"/>
      <c r="N627" s="32"/>
      <c r="O627" s="93">
        <v>162024.0</v>
      </c>
      <c r="P627" s="91">
        <f>IFERROR(__xludf.DUMMYFUNCTION("IFERROR(sum(FILTER($D:$N,$C:$C = $C627,$A:$A &lt; $A627,$B:$B = 12)),0) + sum($D627:$N627)"),162025.85999999996)</f>
        <v>162025.86</v>
      </c>
      <c r="Q627" s="92">
        <f t="shared" si="1"/>
        <v>-1.86</v>
      </c>
      <c r="R627" s="91">
        <f t="array" ref="R627">IFERROR(INDEX('Fund YTD Target Values'!$1:$1000, MATCH($C627,'Fund YTD Target Values'!$A:$A,0), MATCH($A627,'Fund YTD Target Values'!$1:$1,0)),0)</f>
        <v>151442.9959</v>
      </c>
      <c r="S627" s="91">
        <f>IFERROR(__xludf.DUMMYFUNCTION("IFERROR(sum(FILTER('Fund Investment Data'!$V:$V, 'Fund Investment Data'!$C:$C = $C627, 'Fund Investment Data'!$A:$A &lt; $A627)),0) + IFERROR(sum(FILTER('Fund Investment Data'!$V:$V, 'Fund Investment Data'!$C:$C = $C627, 'Fund Investment Data'!$A:$A = $A627,"&amp;" 'Fund Investment Data'!$B:$B &lt;= $B627)),0)"),112268.10999999999)</f>
        <v>112268.11</v>
      </c>
      <c r="T627" s="93">
        <v>108352.0</v>
      </c>
      <c r="U627" s="32">
        <f t="shared" si="3"/>
        <v>3916.11</v>
      </c>
      <c r="V627" s="32">
        <f>IFERROR(__xludf.DUMMYFUNCTION("$D627 - IFERROR(FILTER($D:$D,$C:$C = $C627, $A:$A = $A627, $B:$B = $B627 - 1),0)"),132.0)</f>
        <v>132</v>
      </c>
      <c r="W627" s="93">
        <f>IFERROR(__xludf.DUMMYFUNCTION("$E627 - IFERROR(FILTER($E:$E,$C:$C = $C627, $A:$A = $A627, $B:$B = $B627 - 1),0)"),0.0)</f>
        <v>0</v>
      </c>
      <c r="X627" s="93"/>
      <c r="Y627" s="93"/>
      <c r="Z627" s="93">
        <v>0.0</v>
      </c>
      <c r="AA627" s="93">
        <v>0.0</v>
      </c>
      <c r="AB627" s="93">
        <v>0.0</v>
      </c>
      <c r="AC627" s="93"/>
      <c r="AD627" s="93">
        <v>0.0</v>
      </c>
      <c r="AE627" s="32">
        <f t="shared" si="2"/>
        <v>0</v>
      </c>
      <c r="AF627" s="93">
        <v>0.0</v>
      </c>
    </row>
    <row r="628">
      <c r="A628" s="86">
        <v>2017.0</v>
      </c>
      <c r="B628" s="87">
        <v>6.0</v>
      </c>
      <c r="C628" s="88" t="s">
        <v>55</v>
      </c>
      <c r="D628" s="32"/>
      <c r="E628" s="32"/>
      <c r="F628" s="32"/>
      <c r="G628" s="93">
        <v>-587.85</v>
      </c>
      <c r="H628" s="93">
        <v>1144.72</v>
      </c>
      <c r="I628" s="32"/>
      <c r="J628" s="93">
        <v>6499.99</v>
      </c>
      <c r="K628" s="32"/>
      <c r="L628" s="32"/>
      <c r="M628" s="32"/>
      <c r="N628" s="32"/>
      <c r="O628" s="93">
        <v>148932.0</v>
      </c>
      <c r="P628" s="91">
        <f>IFERROR(__xludf.DUMMYFUNCTION("IFERROR(sum(FILTER($D:$N,$C:$C = $C628,$A:$A &lt; $A628,$B:$B = 12)),0) + sum($D628:$N628)"),148932.14999999997)</f>
        <v>148932.15</v>
      </c>
      <c r="Q628" s="92">
        <f t="shared" si="1"/>
        <v>-0.15</v>
      </c>
      <c r="R628" s="91">
        <f t="array" ref="R628">IFERROR(INDEX('Fund YTD Target Values'!$1:$1000, MATCH($C628,'Fund YTD Target Values'!$A:$A,0), MATCH($A628,'Fund YTD Target Values'!$1:$1,0)),0)</f>
        <v>213886.3799</v>
      </c>
      <c r="S628" s="91">
        <f>IFERROR(__xludf.DUMMYFUNCTION("IFERROR(sum(FILTER('Fund Investment Data'!$V:$V, 'Fund Investment Data'!$C:$C = $C628, 'Fund Investment Data'!$A:$A &lt; $A628)),0) + IFERROR(sum(FILTER('Fund Investment Data'!$V:$V, 'Fund Investment Data'!$C:$C = $C628, 'Fund Investment Data'!$A:$A = $A628,"&amp;" 'Fund Investment Data'!$B:$B &lt;= $B628)),0)"),140000.0)</f>
        <v>140000</v>
      </c>
      <c r="T628" s="93">
        <v>167565.0</v>
      </c>
      <c r="U628" s="32">
        <f t="shared" si="3"/>
        <v>-27565</v>
      </c>
      <c r="V628" s="32">
        <f>IFERROR(__xludf.DUMMYFUNCTION("$D628 - IFERROR(FILTER($D:$D,$C:$C = $C628, $A:$A = $A628, $B:$B = $B628 - 1),0)"),0.0)</f>
        <v>0</v>
      </c>
      <c r="W628" s="93">
        <f>IFERROR(__xludf.DUMMYFUNCTION("$E628 - IFERROR(FILTER($E:$E,$C:$C = $C628, $A:$A = $A628, $B:$B = $B628 - 1),0)"),0.0)</f>
        <v>0</v>
      </c>
      <c r="X628" s="93"/>
      <c r="Y628" s="93"/>
      <c r="Z628" s="93">
        <v>0.0</v>
      </c>
      <c r="AA628" s="93">
        <v>0.0</v>
      </c>
      <c r="AB628" s="93">
        <v>0.0</v>
      </c>
      <c r="AC628" s="93"/>
      <c r="AD628" s="93">
        <v>0.0</v>
      </c>
      <c r="AE628" s="32">
        <f t="shared" si="2"/>
        <v>0</v>
      </c>
      <c r="AF628" s="93">
        <v>0.0</v>
      </c>
    </row>
    <row r="629">
      <c r="A629" s="86">
        <v>2017.0</v>
      </c>
      <c r="B629" s="87">
        <v>6.0</v>
      </c>
      <c r="C629" s="88" t="s">
        <v>44</v>
      </c>
      <c r="D629" s="32"/>
      <c r="E629" s="32"/>
      <c r="F629" s="32"/>
      <c r="G629" s="93">
        <v>-833.46</v>
      </c>
      <c r="H629" s="93">
        <v>3556.43</v>
      </c>
      <c r="I629" s="32"/>
      <c r="J629" s="93">
        <v>17293.14</v>
      </c>
      <c r="K629" s="32"/>
      <c r="L629" s="32"/>
      <c r="M629" s="32"/>
      <c r="N629" s="32"/>
      <c r="O629" s="93">
        <v>286866.0</v>
      </c>
      <c r="P629" s="91">
        <f>IFERROR(__xludf.DUMMYFUNCTION("IFERROR(sum(FILTER($D:$N,$C:$C = $C629,$A:$A &lt; $A629,$B:$B = 12)),0) + sum($D629:$N629)"),286867.2600000001)</f>
        <v>286867.26</v>
      </c>
      <c r="Q629" s="92">
        <f t="shared" si="1"/>
        <v>-1.26</v>
      </c>
      <c r="R629" s="91">
        <f t="array" ref="R629">IFERROR(INDEX('Fund YTD Target Values'!$1:$1000, MATCH($C629,'Fund YTD Target Values'!$A:$A,0), MATCH($A629,'Fund YTD Target Values'!$1:$1,0)),0)</f>
        <v>313918.5223</v>
      </c>
      <c r="S629" s="91">
        <f>IFERROR(__xludf.DUMMYFUNCTION("IFERROR(sum(FILTER('Fund Investment Data'!$V:$V, 'Fund Investment Data'!$C:$C = $C629, 'Fund Investment Data'!$A:$A &lt; $A629)),0) + IFERROR(sum(FILTER('Fund Investment Data'!$V:$V, 'Fund Investment Data'!$C:$C = $C629, 'Fund Investment Data'!$A:$A = $A629,"&amp;" 'Fund Investment Data'!$B:$B &lt;= $B629)),0)"),250000.0)</f>
        <v>250000</v>
      </c>
      <c r="T629" s="93">
        <v>250000.0</v>
      </c>
      <c r="U629" s="32">
        <f t="shared" si="3"/>
        <v>0</v>
      </c>
      <c r="V629" s="32">
        <f>IFERROR(__xludf.DUMMYFUNCTION("$D629 - IFERROR(FILTER($D:$D,$C:$C = $C629, $A:$A = $A629, $B:$B = $B629 - 1),0)"),0.0)</f>
        <v>0</v>
      </c>
      <c r="W629" s="93">
        <f>IFERROR(__xludf.DUMMYFUNCTION("$E629 - IFERROR(FILTER($E:$E,$C:$C = $C629, $A:$A = $A629, $B:$B = $B629 - 1),0)"),0.0)</f>
        <v>0</v>
      </c>
      <c r="X629" s="93"/>
      <c r="Y629" s="93"/>
      <c r="Z629" s="93">
        <v>0.0</v>
      </c>
      <c r="AA629" s="93">
        <v>0.0</v>
      </c>
      <c r="AB629" s="93">
        <v>0.0</v>
      </c>
      <c r="AC629" s="93"/>
      <c r="AD629" s="93">
        <v>0.0</v>
      </c>
      <c r="AE629" s="32">
        <f t="shared" si="2"/>
        <v>0</v>
      </c>
      <c r="AF629" s="93">
        <v>0.0</v>
      </c>
    </row>
    <row r="630">
      <c r="A630" s="86">
        <v>2017.0</v>
      </c>
      <c r="B630" s="87">
        <v>6.0</v>
      </c>
      <c r="C630" s="88" t="s">
        <v>45</v>
      </c>
      <c r="D630" s="32"/>
      <c r="E630" s="32"/>
      <c r="F630" s="32"/>
      <c r="G630" s="93">
        <v>-417.79</v>
      </c>
      <c r="H630" s="93">
        <v>1735.74</v>
      </c>
      <c r="I630" s="32"/>
      <c r="J630" s="93">
        <v>8392.36</v>
      </c>
      <c r="K630" s="32"/>
      <c r="L630" s="32"/>
      <c r="M630" s="32"/>
      <c r="N630" s="32"/>
      <c r="O630" s="93">
        <v>143655.0</v>
      </c>
      <c r="P630" s="91">
        <f>IFERROR(__xludf.DUMMYFUNCTION("IFERROR(sum(FILTER($D:$N,$C:$C = $C630,$A:$A &lt; $A630,$B:$B = 12)),0) + sum($D630:$N630)"),143655.13999999998)</f>
        <v>143655.14</v>
      </c>
      <c r="Q630" s="92">
        <f t="shared" si="1"/>
        <v>-0.14</v>
      </c>
      <c r="R630" s="91">
        <f t="array" ref="R630">IFERROR(INDEX('Fund YTD Target Values'!$1:$1000, MATCH($C630,'Fund YTD Target Values'!$A:$A,0), MATCH($A630,'Fund YTD Target Values'!$1:$1,0)),0)</f>
        <v>118351.1878</v>
      </c>
      <c r="S630" s="91">
        <f>IFERROR(__xludf.DUMMYFUNCTION("IFERROR(sum(FILTER('Fund Investment Data'!$V:$V, 'Fund Investment Data'!$C:$C = $C630, 'Fund Investment Data'!$A:$A &lt; $A630)),0) + IFERROR(sum(FILTER('Fund Investment Data'!$V:$V, 'Fund Investment Data'!$C:$C = $C630, 'Fund Investment Data'!$A:$A = $A630,"&amp;" 'Fund Investment Data'!$B:$B &lt;= $B630)),0)"),100000.0)</f>
        <v>100000</v>
      </c>
      <c r="T630" s="93">
        <v>100000.0</v>
      </c>
      <c r="U630" s="32">
        <f t="shared" si="3"/>
        <v>0</v>
      </c>
      <c r="V630" s="32">
        <f>IFERROR(__xludf.DUMMYFUNCTION("$D630 - IFERROR(FILTER($D:$D,$C:$C = $C630, $A:$A = $A630, $B:$B = $B630 - 1),0)"),0.0)</f>
        <v>0</v>
      </c>
      <c r="W630" s="93">
        <f>IFERROR(__xludf.DUMMYFUNCTION("$E630 - IFERROR(FILTER($E:$E,$C:$C = $C630, $A:$A = $A630, $B:$B = $B630 - 1),0)"),0.0)</f>
        <v>0</v>
      </c>
      <c r="X630" s="93"/>
      <c r="Y630" s="93"/>
      <c r="Z630" s="93">
        <v>0.0</v>
      </c>
      <c r="AA630" s="93">
        <v>0.0</v>
      </c>
      <c r="AB630" s="93">
        <v>0.0</v>
      </c>
      <c r="AC630" s="93"/>
      <c r="AD630" s="93">
        <v>0.0</v>
      </c>
      <c r="AE630" s="32">
        <f t="shared" si="2"/>
        <v>0</v>
      </c>
      <c r="AF630" s="93">
        <v>0.0</v>
      </c>
    </row>
    <row r="631">
      <c r="A631" s="86">
        <v>2017.0</v>
      </c>
      <c r="B631" s="87">
        <v>6.0</v>
      </c>
      <c r="C631" s="88" t="s">
        <v>35</v>
      </c>
      <c r="D631" s="32"/>
      <c r="E631" s="93">
        <v>-21600.0</v>
      </c>
      <c r="F631" s="32"/>
      <c r="G631" s="93">
        <v>-4177.6</v>
      </c>
      <c r="H631" s="93">
        <v>17878.59</v>
      </c>
      <c r="I631" s="93">
        <v>1947.29</v>
      </c>
      <c r="J631" s="93">
        <v>85001.26</v>
      </c>
      <c r="K631" s="32"/>
      <c r="L631" s="32"/>
      <c r="M631" s="32"/>
      <c r="N631" s="32"/>
      <c r="O631" s="93">
        <v>1419908.0</v>
      </c>
      <c r="P631" s="91">
        <f>IFERROR(__xludf.DUMMYFUNCTION("IFERROR(sum(FILTER($D:$N,$C:$C = $C631,$A:$A &lt; $A631,$B:$B = 12)),0) + sum($D631:$N631)"),1419907.2100000004)</f>
        <v>1419907.21</v>
      </c>
      <c r="Q631" s="92">
        <f t="shared" si="1"/>
        <v>0.7899999996</v>
      </c>
      <c r="R631" s="91">
        <f t="array" ref="R631">IFERROR(INDEX('Fund YTD Target Values'!$1:$1000, MATCH($C631,'Fund YTD Target Values'!$A:$A,0), MATCH($A631,'Fund YTD Target Values'!$1:$1,0)),0)</f>
        <v>1541591.16</v>
      </c>
      <c r="S631" s="91">
        <f>IFERROR(__xludf.DUMMYFUNCTION("IFERROR(sum(FILTER('Fund Investment Data'!$V:$V, 'Fund Investment Data'!$C:$C = $C631, 'Fund Investment Data'!$A:$A &lt; $A631)),0) + IFERROR(sum(FILTER('Fund Investment Data'!$V:$V, 'Fund Investment Data'!$C:$C = $C631, 'Fund Investment Data'!$A:$A = $A631,"&amp;" 'Fund Investment Data'!$B:$B &lt;= $B631)),0)"),1086625.0)</f>
        <v>1086625</v>
      </c>
      <c r="T631" s="93">
        <v>1071625.0</v>
      </c>
      <c r="U631" s="32">
        <f t="shared" si="3"/>
        <v>15000</v>
      </c>
      <c r="V631" s="32">
        <f>IFERROR(__xludf.DUMMYFUNCTION("$D631 - IFERROR(FILTER($D:$D,$C:$C = $C631, $A:$A = $A631, $B:$B = $B631 - 1),0)"),0.0)</f>
        <v>0</v>
      </c>
      <c r="W631" s="93">
        <f>IFERROR(__xludf.DUMMYFUNCTION("$E631 - IFERROR(FILTER($E:$E,$C:$C = $C631, $A:$A = $A631, $B:$B = $B631 - 1),0)"),0.0)</f>
        <v>0</v>
      </c>
      <c r="X631" s="93"/>
      <c r="Y631" s="93"/>
      <c r="Z631" s="93">
        <v>0.0</v>
      </c>
      <c r="AA631" s="93">
        <v>0.0</v>
      </c>
      <c r="AB631" s="93">
        <v>0.0</v>
      </c>
      <c r="AC631" s="93"/>
      <c r="AD631" s="93">
        <v>0.0</v>
      </c>
      <c r="AE631" s="32">
        <f t="shared" si="2"/>
        <v>-21600</v>
      </c>
      <c r="AF631" s="93">
        <v>0.0</v>
      </c>
    </row>
    <row r="632">
      <c r="A632" s="86">
        <v>2017.0</v>
      </c>
      <c r="B632" s="87">
        <v>6.0</v>
      </c>
      <c r="C632" s="88" t="s">
        <v>56</v>
      </c>
      <c r="D632" s="32"/>
      <c r="E632" s="93">
        <v>-3000.0</v>
      </c>
      <c r="F632" s="32"/>
      <c r="G632" s="93">
        <v>-3116.81</v>
      </c>
      <c r="H632" s="93">
        <v>12954.57</v>
      </c>
      <c r="I632" s="32"/>
      <c r="J632" s="93">
        <v>62638.16</v>
      </c>
      <c r="K632" s="32"/>
      <c r="L632" s="32"/>
      <c r="M632" s="32"/>
      <c r="N632" s="32"/>
      <c r="O632" s="93">
        <v>1069195.0</v>
      </c>
      <c r="P632" s="91">
        <f>IFERROR(__xludf.DUMMYFUNCTION("IFERROR(sum(FILTER($D:$N,$C:$C = $C632,$A:$A &lt; $A632,$B:$B = 12)),0) + sum($D632:$N632)"),1069194.5399999998)</f>
        <v>1069194.54</v>
      </c>
      <c r="Q632" s="92">
        <f t="shared" si="1"/>
        <v>0.4600000002</v>
      </c>
      <c r="R632" s="91">
        <f t="array" ref="R632">IFERROR(INDEX('Fund YTD Target Values'!$1:$1000, MATCH($C632,'Fund YTD Target Values'!$A:$A,0), MATCH($A632,'Fund YTD Target Values'!$1:$1,0)),0)</f>
        <v>1035433.228</v>
      </c>
      <c r="S632" s="91">
        <f>IFERROR(__xludf.DUMMYFUNCTION("IFERROR(sum(FILTER('Fund Investment Data'!$V:$V, 'Fund Investment Data'!$C:$C = $C632, 'Fund Investment Data'!$A:$A &lt; $A632)),0) + IFERROR(sum(FILTER('Fund Investment Data'!$V:$V, 'Fund Investment Data'!$C:$C = $C632, 'Fund Investment Data'!$A:$A = $A632,"&amp;" 'Fund Investment Data'!$B:$B &lt;= $B632)),0)"),1000000.0)</f>
        <v>1000000</v>
      </c>
      <c r="T632" s="93">
        <v>1000000.0</v>
      </c>
      <c r="U632" s="32">
        <f t="shared" si="3"/>
        <v>0</v>
      </c>
      <c r="V632" s="32">
        <f>IFERROR(__xludf.DUMMYFUNCTION("$D632 - IFERROR(FILTER($D:$D,$C:$C = $C632, $A:$A = $A632, $B:$B = $B632 - 1),0)"),0.0)</f>
        <v>0</v>
      </c>
      <c r="W632" s="93">
        <f>IFERROR(__xludf.DUMMYFUNCTION("$E632 - IFERROR(FILTER($E:$E,$C:$C = $C632, $A:$A = $A632, $B:$B = $B632 - 1),0)"),0.0)</f>
        <v>0</v>
      </c>
      <c r="X632" s="93"/>
      <c r="Y632" s="93"/>
      <c r="Z632" s="93">
        <v>0.0</v>
      </c>
      <c r="AA632" s="93">
        <v>0.0</v>
      </c>
      <c r="AB632" s="93">
        <v>0.0</v>
      </c>
      <c r="AC632" s="93"/>
      <c r="AD632" s="93">
        <v>0.0</v>
      </c>
      <c r="AE632" s="32">
        <f t="shared" si="2"/>
        <v>-3000</v>
      </c>
      <c r="AF632" s="93">
        <v>0.0</v>
      </c>
    </row>
    <row r="633">
      <c r="A633" s="86">
        <v>2017.0</v>
      </c>
      <c r="B633" s="87">
        <v>7.0</v>
      </c>
      <c r="C633" s="88" t="s">
        <v>26</v>
      </c>
      <c r="D633" s="93">
        <v>9843.0</v>
      </c>
      <c r="E633" s="32"/>
      <c r="F633" s="32"/>
      <c r="G633" s="93">
        <v>-1085.6</v>
      </c>
      <c r="H633" s="93">
        <v>4856.86</v>
      </c>
      <c r="I633" s="32"/>
      <c r="J633" s="93">
        <v>25174.18</v>
      </c>
      <c r="K633" s="32"/>
      <c r="L633" s="32"/>
      <c r="M633" s="32"/>
      <c r="N633" s="32"/>
      <c r="O633" s="93">
        <v>327272.0</v>
      </c>
      <c r="P633" s="91">
        <f>IFERROR(__xludf.DUMMYFUNCTION("IFERROR(sum(FILTER($D:$N,$C:$C = $C633,$A:$A &lt; $A633,$B:$B = 12)),0) + sum($D633:$N633)"),327271.12999999995)</f>
        <v>327271.13</v>
      </c>
      <c r="Q633" s="92">
        <f t="shared" si="1"/>
        <v>0.8700000001</v>
      </c>
      <c r="R633" s="91">
        <f t="array" ref="R633">IFERROR(INDEX('Fund YTD Target Values'!$1:$1000, MATCH($C633,'Fund YTD Target Values'!$A:$A,0), MATCH($A633,'Fund YTD Target Values'!$1:$1,0)),0)</f>
        <v>351339.7985</v>
      </c>
      <c r="S633" s="91">
        <f>IFERROR(__xludf.DUMMYFUNCTION("IFERROR(sum(FILTER('Fund Investment Data'!$V:$V, 'Fund Investment Data'!$C:$C = $C633, 'Fund Investment Data'!$A:$A &lt; $A633)),0) + IFERROR(sum(FILTER('Fund Investment Data'!$V:$V, 'Fund Investment Data'!$C:$C = $C633, 'Fund Investment Data'!$A:$A = $A633,"&amp;" 'Fund Investment Data'!$B:$B &lt;= $B633)),0)"),291810.0)</f>
        <v>291810</v>
      </c>
      <c r="T633" s="93">
        <v>291811.0</v>
      </c>
      <c r="U633" s="32">
        <f t="shared" si="3"/>
        <v>-1</v>
      </c>
      <c r="V633" s="32">
        <f>IFERROR(__xludf.DUMMYFUNCTION("$D633 - IFERROR(FILTER($D:$D,$C:$C = $C633, $A:$A = $A633, $B:$B = $B633 - 1),0)"),0.0)</f>
        <v>0</v>
      </c>
      <c r="W633" s="93">
        <f>IFERROR(__xludf.DUMMYFUNCTION("$E633 - IFERROR(FILTER($E:$E,$C:$C = $C633, $A:$A = $A633, $B:$B = $B633 - 1),0)"),0.0)</f>
        <v>0</v>
      </c>
      <c r="X633" s="93"/>
      <c r="Y633" s="93"/>
      <c r="Z633" s="93">
        <v>0.0</v>
      </c>
      <c r="AA633" s="93">
        <v>0.0</v>
      </c>
      <c r="AB633" s="93">
        <v>0.0</v>
      </c>
      <c r="AC633" s="93"/>
      <c r="AD633" s="93">
        <v>0.0</v>
      </c>
      <c r="AE633" s="32">
        <f t="shared" si="2"/>
        <v>0</v>
      </c>
      <c r="AF633" s="93">
        <v>0.0</v>
      </c>
    </row>
    <row r="634">
      <c r="A634" s="86">
        <v>2017.0</v>
      </c>
      <c r="B634" s="87">
        <v>7.0</v>
      </c>
      <c r="C634" s="88" t="s">
        <v>27</v>
      </c>
      <c r="D634" s="32"/>
      <c r="E634" s="93">
        <v>-5000.0</v>
      </c>
      <c r="F634" s="32"/>
      <c r="G634" s="93">
        <v>-1025.56</v>
      </c>
      <c r="H634" s="93">
        <v>4702.04</v>
      </c>
      <c r="I634" s="93">
        <v>331.85</v>
      </c>
      <c r="J634" s="93">
        <v>24164.19</v>
      </c>
      <c r="K634" s="32"/>
      <c r="L634" s="32"/>
      <c r="M634" s="32"/>
      <c r="N634" s="32"/>
      <c r="O634" s="93">
        <v>304685.0</v>
      </c>
      <c r="P634" s="91">
        <f>IFERROR(__xludf.DUMMYFUNCTION("IFERROR(sum(FILTER($D:$N,$C:$C = $C634,$A:$A &lt; $A634,$B:$B = 12)),0) + sum($D634:$N634)"),304685.6800000001)</f>
        <v>304685.68</v>
      </c>
      <c r="Q634" s="92">
        <f t="shared" si="1"/>
        <v>-0.6800000001</v>
      </c>
      <c r="R634" s="91">
        <f t="array" ref="R634">IFERROR(INDEX('Fund YTD Target Values'!$1:$1000, MATCH($C634,'Fund YTD Target Values'!$A:$A,0), MATCH($A634,'Fund YTD Target Values'!$1:$1,0)),0)</f>
        <v>383919.6363</v>
      </c>
      <c r="S634" s="91">
        <f>IFERROR(__xludf.DUMMYFUNCTION("IFERROR(sum(FILTER('Fund Investment Data'!$V:$V, 'Fund Investment Data'!$C:$C = $C634, 'Fund Investment Data'!$A:$A &lt; $A634)),0) + IFERROR(sum(FILTER('Fund Investment Data'!$V:$V, 'Fund Investment Data'!$C:$C = $C634, 'Fund Investment Data'!$A:$A = $A634,"&amp;" 'Fund Investment Data'!$B:$B &lt;= $B634)),0)"),276213.69999999995)</f>
        <v>276213.7</v>
      </c>
      <c r="T634" s="93">
        <v>272248.0</v>
      </c>
      <c r="U634" s="32">
        <f t="shared" si="3"/>
        <v>3965.7</v>
      </c>
      <c r="V634" s="32">
        <f>IFERROR(__xludf.DUMMYFUNCTION("$D634 - IFERROR(FILTER($D:$D,$C:$C = $C634, $A:$A = $A634, $B:$B = $B634 - 1),0)"),0.0)</f>
        <v>0</v>
      </c>
      <c r="W634" s="93">
        <f>IFERROR(__xludf.DUMMYFUNCTION("$E634 - IFERROR(FILTER($E:$E,$C:$C = $C634, $A:$A = $A634, $B:$B = $B634 - 1),0)"),0.0)</f>
        <v>0</v>
      </c>
      <c r="X634" s="93"/>
      <c r="Y634" s="93"/>
      <c r="Z634" s="93">
        <v>0.0</v>
      </c>
      <c r="AA634" s="93">
        <v>0.0</v>
      </c>
      <c r="AB634" s="93">
        <v>0.0</v>
      </c>
      <c r="AC634" s="93"/>
      <c r="AD634" s="93">
        <v>0.0</v>
      </c>
      <c r="AE634" s="32">
        <f t="shared" si="2"/>
        <v>-5000</v>
      </c>
      <c r="AF634" s="93">
        <v>0.0</v>
      </c>
    </row>
    <row r="635">
      <c r="A635" s="86">
        <v>2017.0</v>
      </c>
      <c r="B635" s="87">
        <v>7.0</v>
      </c>
      <c r="C635" s="88" t="s">
        <v>28</v>
      </c>
      <c r="D635" s="32"/>
      <c r="E635" s="93">
        <v>-60000.0</v>
      </c>
      <c r="F635" s="32"/>
      <c r="G635" s="93">
        <v>-11138.38</v>
      </c>
      <c r="H635" s="93">
        <v>51154.24</v>
      </c>
      <c r="I635" s="93">
        <v>7123.93</v>
      </c>
      <c r="J635" s="93">
        <v>259379.21</v>
      </c>
      <c r="K635" s="32"/>
      <c r="L635" s="32"/>
      <c r="M635" s="32"/>
      <c r="N635" s="32"/>
      <c r="O635" s="93">
        <v>3305153.0</v>
      </c>
      <c r="P635" s="91">
        <f>IFERROR(__xludf.DUMMYFUNCTION("IFERROR(sum(FILTER($D:$N,$C:$C = $C635,$A:$A &lt; $A635,$B:$B = 12)),0) + sum($D635:$N635)"),3305152.28)</f>
        <v>3305152.28</v>
      </c>
      <c r="Q635" s="92">
        <f t="shared" si="1"/>
        <v>0.7200000002</v>
      </c>
      <c r="R635" s="91">
        <f t="array" ref="R635">IFERROR(INDEX('Fund YTD Target Values'!$1:$1000, MATCH($C635,'Fund YTD Target Values'!$A:$A,0), MATCH($A635,'Fund YTD Target Values'!$1:$1,0)),0)</f>
        <v>3748913.384</v>
      </c>
      <c r="S635" s="91">
        <f>IFERROR(__xludf.DUMMYFUNCTION("IFERROR(sum(FILTER('Fund Investment Data'!$V:$V, 'Fund Investment Data'!$C:$C = $C635, 'Fund Investment Data'!$A:$A &lt; $A635)),0) + IFERROR(sum(FILTER('Fund Investment Data'!$V:$V, 'Fund Investment Data'!$C:$C = $C635, 'Fund Investment Data'!$A:$A = $A635,"&amp;" 'Fund Investment Data'!$B:$B &lt;= $B635)),0)"),2960091.25)</f>
        <v>2960091.25</v>
      </c>
      <c r="T635" s="93">
        <v>3009816.0</v>
      </c>
      <c r="U635" s="32">
        <f t="shared" si="3"/>
        <v>-49724.75</v>
      </c>
      <c r="V635" s="32">
        <f>IFERROR(__xludf.DUMMYFUNCTION("$D635 - IFERROR(FILTER($D:$D,$C:$C = $C635, $A:$A = $A635, $B:$B = $B635 - 1),0)"),0.0)</f>
        <v>0</v>
      </c>
      <c r="W635" s="93">
        <f>IFERROR(__xludf.DUMMYFUNCTION("$E635 - IFERROR(FILTER($E:$E,$C:$C = $C635, $A:$A = $A635, $B:$B = $B635 - 1),0)"),0.0)</f>
        <v>0</v>
      </c>
      <c r="X635" s="93"/>
      <c r="Y635" s="93"/>
      <c r="Z635" s="93">
        <v>0.0</v>
      </c>
      <c r="AA635" s="93">
        <v>0.0</v>
      </c>
      <c r="AB635" s="93">
        <v>0.0</v>
      </c>
      <c r="AC635" s="93"/>
      <c r="AD635" s="93">
        <v>0.0</v>
      </c>
      <c r="AE635" s="32">
        <f t="shared" si="2"/>
        <v>-60000</v>
      </c>
      <c r="AF635" s="93">
        <v>0.0</v>
      </c>
    </row>
    <row r="636">
      <c r="A636" s="86">
        <v>2017.0</v>
      </c>
      <c r="B636" s="87">
        <v>7.0</v>
      </c>
      <c r="C636" s="88" t="s">
        <v>46</v>
      </c>
      <c r="D636" s="32"/>
      <c r="E636" s="32"/>
      <c r="F636" s="32"/>
      <c r="G636" s="93">
        <v>-1398.0</v>
      </c>
      <c r="H636" s="93">
        <v>6397.18</v>
      </c>
      <c r="I636" s="32"/>
      <c r="J636" s="93">
        <v>33324.2</v>
      </c>
      <c r="K636" s="32"/>
      <c r="L636" s="32"/>
      <c r="M636" s="32"/>
      <c r="N636" s="32"/>
      <c r="O636" s="93">
        <v>420204.0</v>
      </c>
      <c r="P636" s="91">
        <f>IFERROR(__xludf.DUMMYFUNCTION("IFERROR(sum(FILTER($D:$N,$C:$C = $C636,$A:$A &lt; $A636,$B:$B = 12)),0) + sum($D636:$N636)"),420203.93000000005)</f>
        <v>420203.93</v>
      </c>
      <c r="Q636" s="92">
        <f t="shared" si="1"/>
        <v>0.06999999995</v>
      </c>
      <c r="R636" s="91">
        <f t="array" ref="R636">IFERROR(INDEX('Fund YTD Target Values'!$1:$1000, MATCH($C636,'Fund YTD Target Values'!$A:$A,0), MATCH($A636,'Fund YTD Target Values'!$1:$1,0)),0)</f>
        <v>445660.8761</v>
      </c>
      <c r="S636" s="91">
        <f>IFERROR(__xludf.DUMMYFUNCTION("IFERROR(sum(FILTER('Fund Investment Data'!$V:$V, 'Fund Investment Data'!$C:$C = $C636, 'Fund Investment Data'!$A:$A &lt; $A636)),0) + IFERROR(sum(FILTER('Fund Investment Data'!$V:$V, 'Fund Investment Data'!$C:$C = $C636, 'Fund Investment Data'!$A:$A = $A636,"&amp;" 'Fund Investment Data'!$B:$B &lt;= $B636)),0)"),366400.0)</f>
        <v>366400</v>
      </c>
      <c r="T636" s="93">
        <v>366400.0</v>
      </c>
      <c r="U636" s="32">
        <f t="shared" si="3"/>
        <v>0</v>
      </c>
      <c r="V636" s="32">
        <f>IFERROR(__xludf.DUMMYFUNCTION("$D636 - IFERROR(FILTER($D:$D,$C:$C = $C636, $A:$A = $A636, $B:$B = $B636 - 1),0)"),0.0)</f>
        <v>0</v>
      </c>
      <c r="W636" s="93">
        <f>IFERROR(__xludf.DUMMYFUNCTION("$E636 - IFERROR(FILTER($E:$E,$C:$C = $C636, $A:$A = $A636, $B:$B = $B636 - 1),0)"),0.0)</f>
        <v>0</v>
      </c>
      <c r="X636" s="93"/>
      <c r="Y636" s="93"/>
      <c r="Z636" s="93">
        <v>0.0</v>
      </c>
      <c r="AA636" s="93">
        <v>0.0</v>
      </c>
      <c r="AB636" s="93">
        <v>0.0</v>
      </c>
      <c r="AC636" s="93"/>
      <c r="AD636" s="93">
        <v>0.0</v>
      </c>
      <c r="AE636" s="32">
        <f t="shared" si="2"/>
        <v>0</v>
      </c>
      <c r="AF636" s="93">
        <v>0.0</v>
      </c>
    </row>
    <row r="637">
      <c r="A637" s="86">
        <v>2017.0</v>
      </c>
      <c r="B637" s="87">
        <v>7.0</v>
      </c>
      <c r="C637" s="88" t="s">
        <v>36</v>
      </c>
      <c r="D637" s="32"/>
      <c r="E637" s="93">
        <v>-5000.0</v>
      </c>
      <c r="F637" s="32"/>
      <c r="G637" s="93">
        <v>-1526.63</v>
      </c>
      <c r="H637" s="93">
        <v>6995.54</v>
      </c>
      <c r="I637" s="32"/>
      <c r="J637" s="93">
        <v>36450.84</v>
      </c>
      <c r="K637" s="32"/>
      <c r="L637" s="32"/>
      <c r="M637" s="32"/>
      <c r="N637" s="32"/>
      <c r="O637" s="93">
        <v>455331.0</v>
      </c>
      <c r="P637" s="91">
        <f>IFERROR(__xludf.DUMMYFUNCTION("IFERROR(sum(FILTER($D:$N,$C:$C = $C637,$A:$A &lt; $A637,$B:$B = 12)),0) + sum($D637:$N637)"),455330.17000000004)</f>
        <v>455330.17</v>
      </c>
      <c r="Q637" s="92">
        <f t="shared" si="1"/>
        <v>0.83</v>
      </c>
      <c r="R637" s="91">
        <f t="array" ref="R637">IFERROR(INDEX('Fund YTD Target Values'!$1:$1000, MATCH($C637,'Fund YTD Target Values'!$A:$A,0), MATCH($A637,'Fund YTD Target Values'!$1:$1,0)),0)</f>
        <v>620333.8441</v>
      </c>
      <c r="S637" s="91">
        <f>IFERROR(__xludf.DUMMYFUNCTION("IFERROR(sum(FILTER('Fund Investment Data'!$V:$V, 'Fund Investment Data'!$C:$C = $C637, 'Fund Investment Data'!$A:$A &lt; $A637)),0) + IFERROR(sum(FILTER('Fund Investment Data'!$V:$V, 'Fund Investment Data'!$C:$C = $C637, 'Fund Investment Data'!$A:$A = $A637,"&amp;" 'Fund Investment Data'!$B:$B &lt;= $B637)),0)"),429067.24)</f>
        <v>429067.24</v>
      </c>
      <c r="T637" s="93">
        <v>413959.0</v>
      </c>
      <c r="U637" s="32">
        <f t="shared" si="3"/>
        <v>15108.24</v>
      </c>
      <c r="V637" s="32">
        <f>IFERROR(__xludf.DUMMYFUNCTION("$D637 - IFERROR(FILTER($D:$D,$C:$C = $C637, $A:$A = $A637, $B:$B = $B637 - 1),0)"),0.0)</f>
        <v>0</v>
      </c>
      <c r="W637" s="93">
        <f>IFERROR(__xludf.DUMMYFUNCTION("$E637 - IFERROR(FILTER($E:$E,$C:$C = $C637, $A:$A = $A637, $B:$B = $B637 - 1),0)"),0.0)</f>
        <v>0</v>
      </c>
      <c r="X637" s="93"/>
      <c r="Y637" s="93"/>
      <c r="Z637" s="93">
        <v>0.0</v>
      </c>
      <c r="AA637" s="93">
        <v>0.0</v>
      </c>
      <c r="AB637" s="93">
        <v>0.0</v>
      </c>
      <c r="AC637" s="93"/>
      <c r="AD637" s="93">
        <v>0.0</v>
      </c>
      <c r="AE637" s="32">
        <f t="shared" si="2"/>
        <v>-5000</v>
      </c>
      <c r="AF637" s="93">
        <v>0.0</v>
      </c>
    </row>
    <row r="638">
      <c r="A638" s="86">
        <v>2017.0</v>
      </c>
      <c r="B638" s="87">
        <v>7.0</v>
      </c>
      <c r="C638" s="88" t="s">
        <v>37</v>
      </c>
      <c r="D638" s="32"/>
      <c r="E638" s="93">
        <v>-10000.0</v>
      </c>
      <c r="F638" s="32"/>
      <c r="G638" s="93">
        <v>-2869.1</v>
      </c>
      <c r="H638" s="93">
        <v>13172.5</v>
      </c>
      <c r="I638" s="93">
        <v>257.53</v>
      </c>
      <c r="J638" s="93">
        <v>68397.69</v>
      </c>
      <c r="K638" s="32"/>
      <c r="L638" s="32"/>
      <c r="M638" s="32"/>
      <c r="N638" s="32"/>
      <c r="O638" s="93">
        <v>855330.0</v>
      </c>
      <c r="P638" s="91">
        <f>IFERROR(__xludf.DUMMYFUNCTION("IFERROR(sum(FILTER($D:$N,$C:$C = $C638,$A:$A &lt; $A638,$B:$B = 12)),0) + sum($D638:$N638)"),855329.63)</f>
        <v>855329.63</v>
      </c>
      <c r="Q638" s="92">
        <f t="shared" si="1"/>
        <v>0.37</v>
      </c>
      <c r="R638" s="91">
        <f t="array" ref="R638">IFERROR(INDEX('Fund YTD Target Values'!$1:$1000, MATCH($C638,'Fund YTD Target Values'!$A:$A,0), MATCH($A638,'Fund YTD Target Values'!$1:$1,0)),0)</f>
        <v>825458.0276</v>
      </c>
      <c r="S638" s="91">
        <f>IFERROR(__xludf.DUMMYFUNCTION("IFERROR(sum(FILTER('Fund Investment Data'!$V:$V, 'Fund Investment Data'!$C:$C = $C638, 'Fund Investment Data'!$A:$A &lt; $A638)),0) + IFERROR(sum(FILTER('Fund Investment Data'!$V:$V, 'Fund Investment Data'!$C:$C = $C638, 'Fund Investment Data'!$A:$A = $A638,"&amp;" 'Fund Investment Data'!$B:$B &lt;= $B638)),0)"),758137.86)</f>
        <v>758137.86</v>
      </c>
      <c r="T638" s="93">
        <v>742866.0</v>
      </c>
      <c r="U638" s="32">
        <f t="shared" si="3"/>
        <v>15271.86</v>
      </c>
      <c r="V638" s="32">
        <f>IFERROR(__xludf.DUMMYFUNCTION("$D638 - IFERROR(FILTER($D:$D,$C:$C = $C638, $A:$A = $A638, $B:$B = $B638 - 1),0)"),0.0)</f>
        <v>0</v>
      </c>
      <c r="W638" s="93">
        <f>IFERROR(__xludf.DUMMYFUNCTION("$E638 - IFERROR(FILTER($E:$E,$C:$C = $C638, $A:$A = $A638, $B:$B = $B638 - 1),0)"),0.0)</f>
        <v>0</v>
      </c>
      <c r="X638" s="93"/>
      <c r="Y638" s="93"/>
      <c r="Z638" s="93">
        <v>0.0</v>
      </c>
      <c r="AA638" s="93">
        <v>0.0</v>
      </c>
      <c r="AB638" s="93">
        <v>0.0</v>
      </c>
      <c r="AC638" s="93"/>
      <c r="AD638" s="93">
        <v>0.0</v>
      </c>
      <c r="AE638" s="32">
        <f t="shared" si="2"/>
        <v>-10000</v>
      </c>
      <c r="AF638" s="93">
        <v>0.0</v>
      </c>
    </row>
    <row r="639">
      <c r="A639" s="86">
        <v>2017.0</v>
      </c>
      <c r="B639" s="87">
        <v>7.0</v>
      </c>
      <c r="C639" s="88" t="s">
        <v>29</v>
      </c>
      <c r="D639" s="32"/>
      <c r="E639" s="32"/>
      <c r="F639" s="32"/>
      <c r="G639" s="93">
        <v>-194.78</v>
      </c>
      <c r="H639" s="93">
        <v>890.19</v>
      </c>
      <c r="I639" s="32"/>
      <c r="J639" s="93">
        <v>4635.79</v>
      </c>
      <c r="K639" s="32"/>
      <c r="L639" s="32"/>
      <c r="M639" s="32"/>
      <c r="N639" s="32"/>
      <c r="O639" s="93">
        <v>58544.0</v>
      </c>
      <c r="P639" s="91">
        <f>IFERROR(__xludf.DUMMYFUNCTION("IFERROR(sum(FILTER($D:$N,$C:$C = $C639,$A:$A &lt; $A639,$B:$B = 12)),0) + sum($D639:$N639)"),58544.28999999992)</f>
        <v>58544.29</v>
      </c>
      <c r="Q639" s="92">
        <f t="shared" si="1"/>
        <v>-0.2899999999</v>
      </c>
      <c r="R639" s="91">
        <f t="array" ref="R639">IFERROR(INDEX('Fund YTD Target Values'!$1:$1000, MATCH($C639,'Fund YTD Target Values'!$A:$A,0), MATCH($A639,'Fund YTD Target Values'!$1:$1,0)),0)</f>
        <v>75218.58778</v>
      </c>
      <c r="S639" s="91">
        <f>IFERROR(__xludf.DUMMYFUNCTION("IFERROR(sum(FILTER('Fund Investment Data'!$V:$V, 'Fund Investment Data'!$C:$C = $C639, 'Fund Investment Data'!$A:$A &lt; $A639)),0) + IFERROR(sum(FILTER('Fund Investment Data'!$V:$V, 'Fund Investment Data'!$C:$C = $C639, 'Fund Investment Data'!$A:$A = $A639,"&amp;" 'Fund Investment Data'!$B:$B &lt;= $B639)),0)"),50000.0)</f>
        <v>50000</v>
      </c>
      <c r="T639" s="93">
        <v>50000.0</v>
      </c>
      <c r="U639" s="32">
        <f t="shared" si="3"/>
        <v>0</v>
      </c>
      <c r="V639" s="32">
        <f>IFERROR(__xludf.DUMMYFUNCTION("$D639 - IFERROR(FILTER($D:$D,$C:$C = $C639, $A:$A = $A639, $B:$B = $B639 - 1),0)"),0.0)</f>
        <v>0</v>
      </c>
      <c r="W639" s="93">
        <f>IFERROR(__xludf.DUMMYFUNCTION("$E639 - IFERROR(FILTER($E:$E,$C:$C = $C639, $A:$A = $A639, $B:$B = $B639 - 1),0)"),0.0)</f>
        <v>0</v>
      </c>
      <c r="X639" s="93"/>
      <c r="Y639" s="93"/>
      <c r="Z639" s="93">
        <v>0.0</v>
      </c>
      <c r="AA639" s="93">
        <v>0.0</v>
      </c>
      <c r="AB639" s="93">
        <v>0.0</v>
      </c>
      <c r="AC639" s="93"/>
      <c r="AD639" s="93">
        <v>0.0</v>
      </c>
      <c r="AE639" s="32">
        <f t="shared" si="2"/>
        <v>0</v>
      </c>
      <c r="AF639" s="93">
        <v>0.0</v>
      </c>
    </row>
    <row r="640">
      <c r="A640" s="86">
        <v>2017.0</v>
      </c>
      <c r="B640" s="87">
        <v>7.0</v>
      </c>
      <c r="C640" s="88" t="s">
        <v>38</v>
      </c>
      <c r="D640" s="32"/>
      <c r="E640" s="32"/>
      <c r="F640" s="32"/>
      <c r="G640" s="93">
        <v>-2627.32</v>
      </c>
      <c r="H640" s="93">
        <v>12031.46</v>
      </c>
      <c r="I640" s="32"/>
      <c r="J640" s="93">
        <v>62683.61</v>
      </c>
      <c r="K640" s="32"/>
      <c r="L640" s="32"/>
      <c r="M640" s="32"/>
      <c r="N640" s="32"/>
      <c r="O640" s="93">
        <v>789740.0</v>
      </c>
      <c r="P640" s="91">
        <f>IFERROR(__xludf.DUMMYFUNCTION("IFERROR(sum(FILTER($D:$N,$C:$C = $C640,$A:$A &lt; $A640,$B:$B = 12)),0) + sum($D640:$N640)"),789738.7199999999)</f>
        <v>789738.72</v>
      </c>
      <c r="Q640" s="92">
        <f t="shared" si="1"/>
        <v>1.28</v>
      </c>
      <c r="R640" s="91">
        <f t="array" ref="R640">IFERROR(INDEX('Fund YTD Target Values'!$1:$1000, MATCH($C640,'Fund YTD Target Values'!$A:$A,0), MATCH($A640,'Fund YTD Target Values'!$1:$1,0)),0)</f>
        <v>685763.9306</v>
      </c>
      <c r="S640" s="91">
        <f>IFERROR(__xludf.DUMMYFUNCTION("IFERROR(sum(FILTER('Fund Investment Data'!$V:$V, 'Fund Investment Data'!$C:$C = $C640, 'Fund Investment Data'!$A:$A &lt; $A640)),0) + IFERROR(sum(FILTER('Fund Investment Data'!$V:$V, 'Fund Investment Data'!$C:$C = $C640, 'Fund Investment Data'!$A:$A = $A640,"&amp;" 'Fund Investment Data'!$B:$B &lt;= $B640)),0)"),556601.64)</f>
        <v>556601.64</v>
      </c>
      <c r="T640" s="93">
        <v>558656.0</v>
      </c>
      <c r="U640" s="32">
        <f t="shared" si="3"/>
        <v>-2054.36</v>
      </c>
      <c r="V640" s="32">
        <f>IFERROR(__xludf.DUMMYFUNCTION("$D640 - IFERROR(FILTER($D:$D,$C:$C = $C640, $A:$A = $A640, $B:$B = $B640 - 1),0)"),0.0)</f>
        <v>0</v>
      </c>
      <c r="W640" s="93">
        <f>IFERROR(__xludf.DUMMYFUNCTION("$E640 - IFERROR(FILTER($E:$E,$C:$C = $C640, $A:$A = $A640, $B:$B = $B640 - 1),0)"),0.0)</f>
        <v>0</v>
      </c>
      <c r="X640" s="93"/>
      <c r="Y640" s="93"/>
      <c r="Z640" s="93">
        <v>0.0</v>
      </c>
      <c r="AA640" s="93">
        <v>0.0</v>
      </c>
      <c r="AB640" s="93">
        <v>0.0</v>
      </c>
      <c r="AC640" s="93"/>
      <c r="AD640" s="93">
        <v>0.0</v>
      </c>
      <c r="AE640" s="32">
        <f t="shared" si="2"/>
        <v>0</v>
      </c>
      <c r="AF640" s="93">
        <v>0.0</v>
      </c>
    </row>
    <row r="641">
      <c r="A641" s="86">
        <v>2017.0</v>
      </c>
      <c r="B641" s="87">
        <v>7.0</v>
      </c>
      <c r="C641" s="88" t="s">
        <v>30</v>
      </c>
      <c r="D641" s="32"/>
      <c r="E641" s="32"/>
      <c r="F641" s="32"/>
      <c r="G641" s="93">
        <v>-55.5</v>
      </c>
      <c r="H641" s="93">
        <v>244.02</v>
      </c>
      <c r="I641" s="32"/>
      <c r="J641" s="93">
        <v>1259.95</v>
      </c>
      <c r="K641" s="32"/>
      <c r="L641" s="32"/>
      <c r="M641" s="32"/>
      <c r="N641" s="32"/>
      <c r="O641" s="93">
        <v>16647.0</v>
      </c>
      <c r="P641" s="91">
        <f>IFERROR(__xludf.DUMMYFUNCTION("IFERROR(sum(FILTER($D:$N,$C:$C = $C641,$A:$A &lt; $A641,$B:$B = 12)),0) + sum($D641:$N641)"),16645.759999999987)</f>
        <v>16645.76</v>
      </c>
      <c r="Q641" s="92">
        <f t="shared" si="1"/>
        <v>1.24</v>
      </c>
      <c r="R641" s="91">
        <f t="array" ref="R641">IFERROR(INDEX('Fund YTD Target Values'!$1:$1000, MATCH($C641,'Fund YTD Target Values'!$A:$A,0), MATCH($A641,'Fund YTD Target Values'!$1:$1,0)),0)</f>
        <v>18043.81747</v>
      </c>
      <c r="S641" s="91">
        <f>IFERROR(__xludf.DUMMYFUNCTION("IFERROR(sum(FILTER('Fund Investment Data'!$V:$V, 'Fund Investment Data'!$C:$C = $C641, 'Fund Investment Data'!$A:$A &lt; $A641)),0) + IFERROR(sum(FILTER('Fund Investment Data'!$V:$V, 'Fund Investment Data'!$C:$C = $C641, 'Fund Investment Data'!$A:$A = $A641,"&amp;" 'Fund Investment Data'!$B:$B &lt;= $B641)),0)"),11540.75)</f>
        <v>11540.75</v>
      </c>
      <c r="T641" s="93">
        <v>10000.0</v>
      </c>
      <c r="U641" s="32">
        <f t="shared" si="3"/>
        <v>1540.75</v>
      </c>
      <c r="V641" s="32">
        <f>IFERROR(__xludf.DUMMYFUNCTION("$D641 - IFERROR(FILTER($D:$D,$C:$C = $C641, $A:$A = $A641, $B:$B = $B641 - 1),0)"),0.0)</f>
        <v>0</v>
      </c>
      <c r="W641" s="93">
        <f>IFERROR(__xludf.DUMMYFUNCTION("$E641 - IFERROR(FILTER($E:$E,$C:$C = $C641, $A:$A = $A641, $B:$B = $B641 - 1),0)"),0.0)</f>
        <v>0</v>
      </c>
      <c r="X641" s="93"/>
      <c r="Y641" s="93"/>
      <c r="Z641" s="93">
        <v>0.0</v>
      </c>
      <c r="AA641" s="93">
        <v>0.0</v>
      </c>
      <c r="AB641" s="93">
        <v>0.0</v>
      </c>
      <c r="AC641" s="93"/>
      <c r="AD641" s="93">
        <v>0.0</v>
      </c>
      <c r="AE641" s="32">
        <f t="shared" si="2"/>
        <v>0</v>
      </c>
      <c r="AF641" s="93">
        <v>0.0</v>
      </c>
    </row>
    <row r="642">
      <c r="A642" s="86">
        <v>2017.0</v>
      </c>
      <c r="B642" s="87">
        <v>7.0</v>
      </c>
      <c r="C642" s="88" t="s">
        <v>47</v>
      </c>
      <c r="D642" s="93">
        <v>10000.0</v>
      </c>
      <c r="E642" s="93">
        <v>-25000.0</v>
      </c>
      <c r="F642" s="32"/>
      <c r="G642" s="93">
        <v>-5015.36</v>
      </c>
      <c r="H642" s="93">
        <v>22959.4</v>
      </c>
      <c r="I642" s="93">
        <v>1793.99</v>
      </c>
      <c r="J642" s="93">
        <v>117768.47</v>
      </c>
      <c r="K642" s="32"/>
      <c r="L642" s="32"/>
      <c r="M642" s="32"/>
      <c r="N642" s="32"/>
      <c r="O642" s="93">
        <v>1496712.0</v>
      </c>
      <c r="P642" s="91">
        <f>IFERROR(__xludf.DUMMYFUNCTION("IFERROR(sum(FILTER($D:$N,$C:$C = $C642,$A:$A &lt; $A642,$B:$B = 12)),0) + sum($D642:$N642)"),1496711.8299999996)</f>
        <v>1496711.83</v>
      </c>
      <c r="Q642" s="92">
        <f t="shared" si="1"/>
        <v>0.1700000004</v>
      </c>
      <c r="R642" s="91">
        <f t="array" ref="R642">IFERROR(INDEX('Fund YTD Target Values'!$1:$1000, MATCH($C642,'Fund YTD Target Values'!$A:$A,0), MATCH($A642,'Fund YTD Target Values'!$1:$1,0)),0)</f>
        <v>1951070.709</v>
      </c>
      <c r="S642" s="91">
        <f>IFERROR(__xludf.DUMMYFUNCTION("IFERROR(sum(FILTER('Fund Investment Data'!$V:$V, 'Fund Investment Data'!$C:$C = $C642, 'Fund Investment Data'!$A:$A &lt; $A642)),0) + IFERROR(sum(FILTER('Fund Investment Data'!$V:$V, 'Fund Investment Data'!$C:$C = $C642, 'Fund Investment Data'!$A:$A = $A642,"&amp;" 'Fund Investment Data'!$B:$B &lt;= $B642)),0)"),1456367.46)</f>
        <v>1456367.46</v>
      </c>
      <c r="T642" s="93">
        <v>1348955.0</v>
      </c>
      <c r="U642" s="32">
        <f t="shared" si="3"/>
        <v>107412.46</v>
      </c>
      <c r="V642" s="32">
        <f>IFERROR(__xludf.DUMMYFUNCTION("$D642 - IFERROR(FILTER($D:$D,$C:$C = $C642, $A:$A = $A642, $B:$B = $B642 - 1),0)"),0.0)</f>
        <v>0</v>
      </c>
      <c r="W642" s="93">
        <f>IFERROR(__xludf.DUMMYFUNCTION("$E642 - IFERROR(FILTER($E:$E,$C:$C = $C642, $A:$A = $A642, $B:$B = $B642 - 1),0)"),0.0)</f>
        <v>0</v>
      </c>
      <c r="X642" s="93"/>
      <c r="Y642" s="93"/>
      <c r="Z642" s="93">
        <v>0.0</v>
      </c>
      <c r="AA642" s="93">
        <v>0.0</v>
      </c>
      <c r="AB642" s="93">
        <v>0.0</v>
      </c>
      <c r="AC642" s="93"/>
      <c r="AD642" s="93">
        <v>0.0</v>
      </c>
      <c r="AE642" s="32">
        <f t="shared" si="2"/>
        <v>-25000</v>
      </c>
      <c r="AF642" s="93">
        <v>0.0</v>
      </c>
    </row>
    <row r="643">
      <c r="A643" s="86">
        <v>2017.0</v>
      </c>
      <c r="B643" s="87">
        <v>7.0</v>
      </c>
      <c r="C643" s="88" t="s">
        <v>31</v>
      </c>
      <c r="D643" s="93">
        <v>1250.0</v>
      </c>
      <c r="E643" s="32"/>
      <c r="F643" s="32"/>
      <c r="G643" s="93">
        <v>-634.05</v>
      </c>
      <c r="H643" s="93">
        <v>2888.55</v>
      </c>
      <c r="I643" s="32"/>
      <c r="J643" s="93">
        <v>15030.61</v>
      </c>
      <c r="K643" s="32"/>
      <c r="L643" s="32"/>
      <c r="M643" s="32"/>
      <c r="N643" s="32"/>
      <c r="O643" s="93">
        <v>190780.0</v>
      </c>
      <c r="P643" s="91">
        <f>IFERROR(__xludf.DUMMYFUNCTION("IFERROR(sum(FILTER($D:$N,$C:$C = $C643,$A:$A &lt; $A643,$B:$B = 12)),0) + sum($D643:$N643)"),190779.65000000002)</f>
        <v>190779.65</v>
      </c>
      <c r="Q643" s="92">
        <f t="shared" si="1"/>
        <v>0.35</v>
      </c>
      <c r="R643" s="91">
        <f t="array" ref="R643">IFERROR(INDEX('Fund YTD Target Values'!$1:$1000, MATCH($C643,'Fund YTD Target Values'!$A:$A,0), MATCH($A643,'Fund YTD Target Values'!$1:$1,0)),0)</f>
        <v>205534.6031</v>
      </c>
      <c r="S643" s="91">
        <f>IFERROR(__xludf.DUMMYFUNCTION("IFERROR(sum(FILTER('Fund Investment Data'!$V:$V, 'Fund Investment Data'!$C:$C = $C643, 'Fund Investment Data'!$A:$A &lt; $A643)),0) + IFERROR(sum(FILTER('Fund Investment Data'!$V:$V, 'Fund Investment Data'!$C:$C = $C643, 'Fund Investment Data'!$A:$A = $A643,"&amp;" 'Fund Investment Data'!$B:$B &lt;= $B643)),0)"),158100.0)</f>
        <v>158100</v>
      </c>
      <c r="T643" s="93">
        <v>156850.0</v>
      </c>
      <c r="U643" s="32">
        <f t="shared" si="3"/>
        <v>1250</v>
      </c>
      <c r="V643" s="32">
        <f>IFERROR(__xludf.DUMMYFUNCTION("$D643 - IFERROR(FILTER($D:$D,$C:$C = $C643, $A:$A = $A643, $B:$B = $B643 - 1),0)"),0.0)</f>
        <v>0</v>
      </c>
      <c r="W643" s="93">
        <f>IFERROR(__xludf.DUMMYFUNCTION("$E643 - IFERROR(FILTER($E:$E,$C:$C = $C643, $A:$A = $A643, $B:$B = $B643 - 1),0)"),0.0)</f>
        <v>0</v>
      </c>
      <c r="X643" s="93"/>
      <c r="Y643" s="93"/>
      <c r="Z643" s="93">
        <v>0.0</v>
      </c>
      <c r="AA643" s="93">
        <v>0.0</v>
      </c>
      <c r="AB643" s="93">
        <v>0.0</v>
      </c>
      <c r="AC643" s="93"/>
      <c r="AD643" s="93">
        <v>0.0</v>
      </c>
      <c r="AE643" s="32">
        <f t="shared" si="2"/>
        <v>0</v>
      </c>
      <c r="AF643" s="93">
        <v>0.0</v>
      </c>
    </row>
    <row r="644">
      <c r="A644" s="86">
        <v>2017.0</v>
      </c>
      <c r="B644" s="87">
        <v>7.0</v>
      </c>
      <c r="C644" s="88" t="s">
        <v>39</v>
      </c>
      <c r="D644" s="32"/>
      <c r="E644" s="32"/>
      <c r="F644" s="32"/>
      <c r="G644" s="93">
        <v>-544.94</v>
      </c>
      <c r="H644" s="93">
        <v>2292.84</v>
      </c>
      <c r="I644" s="32"/>
      <c r="J644" s="93">
        <v>11720.56</v>
      </c>
      <c r="K644" s="32"/>
      <c r="L644" s="32"/>
      <c r="M644" s="32"/>
      <c r="N644" s="32"/>
      <c r="O644" s="93">
        <v>163000.0</v>
      </c>
      <c r="P644" s="91">
        <f>IFERROR(__xludf.DUMMYFUNCTION("IFERROR(sum(FILTER($D:$N,$C:$C = $C644,$A:$A &lt; $A644,$B:$B = 12)),0) + sum($D644:$N644)"),163000.00000000003)</f>
        <v>163000</v>
      </c>
      <c r="Q644" s="92">
        <f t="shared" si="1"/>
        <v>0</v>
      </c>
      <c r="R644" s="91">
        <f t="array" ref="R644">IFERROR(INDEX('Fund YTD Target Values'!$1:$1000, MATCH($C644,'Fund YTD Target Values'!$A:$A,0), MATCH($A644,'Fund YTD Target Values'!$1:$1,0)),0)</f>
        <v>165832.7472</v>
      </c>
      <c r="S644" s="91">
        <f>IFERROR(__xludf.DUMMYFUNCTION("IFERROR(sum(FILTER('Fund Investment Data'!$V:$V, 'Fund Investment Data'!$C:$C = $C644, 'Fund Investment Data'!$A:$A &lt; $A644)),0) + IFERROR(sum(FILTER('Fund Investment Data'!$V:$V, 'Fund Investment Data'!$C:$C = $C644, 'Fund Investment Data'!$A:$A = $A644,"&amp;" 'Fund Investment Data'!$B:$B &lt;= $B644)),0)"),140000.0)</f>
        <v>140000</v>
      </c>
      <c r="T644" s="93">
        <v>140000.0</v>
      </c>
      <c r="U644" s="32">
        <f t="shared" si="3"/>
        <v>0</v>
      </c>
      <c r="V644" s="32">
        <f>IFERROR(__xludf.DUMMYFUNCTION("$D644 - IFERROR(FILTER($D:$D,$C:$C = $C644, $A:$A = $A644, $B:$B = $B644 - 1),0)"),0.0)</f>
        <v>0</v>
      </c>
      <c r="W644" s="93">
        <f>IFERROR(__xludf.DUMMYFUNCTION("$E644 - IFERROR(FILTER($E:$E,$C:$C = $C644, $A:$A = $A644, $B:$B = $B644 - 1),0)"),0.0)</f>
        <v>0</v>
      </c>
      <c r="X644" s="93"/>
      <c r="Y644" s="93"/>
      <c r="Z644" s="93">
        <v>0.0</v>
      </c>
      <c r="AA644" s="93">
        <v>0.0</v>
      </c>
      <c r="AB644" s="93">
        <v>0.0</v>
      </c>
      <c r="AC644" s="93"/>
      <c r="AD644" s="93">
        <v>0.0</v>
      </c>
      <c r="AE644" s="32">
        <f t="shared" si="2"/>
        <v>0</v>
      </c>
      <c r="AF644" s="93">
        <v>0.0</v>
      </c>
    </row>
    <row r="645">
      <c r="A645" s="86">
        <v>2017.0</v>
      </c>
      <c r="B645" s="87">
        <v>7.0</v>
      </c>
      <c r="C645" s="88" t="s">
        <v>50</v>
      </c>
      <c r="D645" s="32"/>
      <c r="E645" s="32"/>
      <c r="F645" s="32"/>
      <c r="G645" s="93">
        <v>-724.49</v>
      </c>
      <c r="H645" s="93">
        <v>3022.29</v>
      </c>
      <c r="I645" s="32"/>
      <c r="J645" s="93">
        <v>15437.18</v>
      </c>
      <c r="K645" s="32"/>
      <c r="L645" s="32"/>
      <c r="M645" s="32"/>
      <c r="N645" s="32"/>
      <c r="O645" s="93">
        <v>216617.0</v>
      </c>
      <c r="P645" s="91">
        <f>IFERROR(__xludf.DUMMYFUNCTION("IFERROR(sum(FILTER($D:$N,$C:$C = $C645,$A:$A &lt; $A645,$B:$B = 12)),0) + sum($D645:$N645)"),216616.55)</f>
        <v>216616.55</v>
      </c>
      <c r="Q645" s="92">
        <f t="shared" si="1"/>
        <v>0.45</v>
      </c>
      <c r="R645" s="91">
        <f t="array" ref="R645">IFERROR(INDEX('Fund YTD Target Values'!$1:$1000, MATCH($C645,'Fund YTD Target Values'!$A:$A,0), MATCH($A645,'Fund YTD Target Values'!$1:$1,0)),0)</f>
        <v>212473.6146</v>
      </c>
      <c r="S645" s="91">
        <f>IFERROR(__xludf.DUMMYFUNCTION("IFERROR(sum(FILTER('Fund Investment Data'!$V:$V, 'Fund Investment Data'!$C:$C = $C645, 'Fund Investment Data'!$A:$A &lt; $A645)),0) + IFERROR(sum(FILTER('Fund Investment Data'!$V:$V, 'Fund Investment Data'!$C:$C = $C645, 'Fund Investment Data'!$A:$A = $A645,"&amp;" 'Fund Investment Data'!$B:$B &lt;= $B645)),0)"),185189.56)</f>
        <v>185189.56</v>
      </c>
      <c r="T645" s="93">
        <v>190241.0</v>
      </c>
      <c r="U645" s="32">
        <f t="shared" si="3"/>
        <v>-5051.44</v>
      </c>
      <c r="V645" s="32">
        <f>IFERROR(__xludf.DUMMYFUNCTION("$D645 - IFERROR(FILTER($D:$D,$C:$C = $C645, $A:$A = $A645, $B:$B = $B645 - 1),0)"),0.0)</f>
        <v>0</v>
      </c>
      <c r="W645" s="93">
        <f>IFERROR(__xludf.DUMMYFUNCTION("$E645 - IFERROR(FILTER($E:$E,$C:$C = $C645, $A:$A = $A645, $B:$B = $B645 - 1),0)"),0.0)</f>
        <v>0</v>
      </c>
      <c r="X645" s="93"/>
      <c r="Y645" s="93"/>
      <c r="Z645" s="93">
        <v>0.0</v>
      </c>
      <c r="AA645" s="93">
        <v>0.0</v>
      </c>
      <c r="AB645" s="93">
        <v>0.0</v>
      </c>
      <c r="AC645" s="93"/>
      <c r="AD645" s="93">
        <v>0.0</v>
      </c>
      <c r="AE645" s="32">
        <f t="shared" si="2"/>
        <v>0</v>
      </c>
      <c r="AF645" s="93">
        <v>0.0</v>
      </c>
    </row>
    <row r="646">
      <c r="A646" s="86">
        <v>2017.0</v>
      </c>
      <c r="B646" s="87">
        <v>7.0</v>
      </c>
      <c r="C646" s="88" t="s">
        <v>32</v>
      </c>
      <c r="D646" s="93">
        <v>0.0</v>
      </c>
      <c r="E646" s="32"/>
      <c r="F646" s="32"/>
      <c r="G646" s="93">
        <v>-170.55</v>
      </c>
      <c r="H646" s="93">
        <v>760.44</v>
      </c>
      <c r="I646" s="32"/>
      <c r="J646" s="93">
        <v>3938.91</v>
      </c>
      <c r="K646" s="32"/>
      <c r="L646" s="32"/>
      <c r="M646" s="32"/>
      <c r="N646" s="32"/>
      <c r="O646" s="93">
        <v>51176.0</v>
      </c>
      <c r="P646" s="91">
        <f>IFERROR(__xludf.DUMMYFUNCTION("IFERROR(sum(FILTER($D:$N,$C:$C = $C646,$A:$A &lt; $A646,$B:$B = 12)),0) + sum($D646:$N646)"),51175.89000000003)</f>
        <v>51175.89</v>
      </c>
      <c r="Q646" s="92">
        <f t="shared" si="1"/>
        <v>0.11</v>
      </c>
      <c r="R646" s="91">
        <f t="array" ref="R646">IFERROR(INDEX('Fund YTD Target Values'!$1:$1000, MATCH($C646,'Fund YTD Target Values'!$A:$A,0), MATCH($A646,'Fund YTD Target Values'!$1:$1,0)),0)</f>
        <v>77291.136</v>
      </c>
      <c r="S646" s="91">
        <f>IFERROR(__xludf.DUMMYFUNCTION("IFERROR(sum(FILTER('Fund Investment Data'!$V:$V, 'Fund Investment Data'!$C:$C = $C646, 'Fund Investment Data'!$A:$A &lt; $A646)),0) + IFERROR(sum(FILTER('Fund Investment Data'!$V:$V, 'Fund Investment Data'!$C:$C = $C646, 'Fund Investment Data'!$A:$A = $A646,"&amp;" 'Fund Investment Data'!$B:$B &lt;= $B646)),0)"),49449.04)</f>
        <v>49449.04</v>
      </c>
      <c r="T646" s="93">
        <v>39268.0</v>
      </c>
      <c r="U646" s="32">
        <f t="shared" si="3"/>
        <v>10181.04</v>
      </c>
      <c r="V646" s="32">
        <f>IFERROR(__xludf.DUMMYFUNCTION("$D646 - IFERROR(FILTER($D:$D,$C:$C = $C646, $A:$A = $A646, $B:$B = $B646 - 1),0)"),0.0)</f>
        <v>0</v>
      </c>
      <c r="W646" s="93">
        <f>IFERROR(__xludf.DUMMYFUNCTION("$E646 - IFERROR(FILTER($E:$E,$C:$C = $C646, $A:$A = $A646, $B:$B = $B646 - 1),0)"),0.0)</f>
        <v>0</v>
      </c>
      <c r="X646" s="93"/>
      <c r="Y646" s="93"/>
      <c r="Z646" s="93">
        <v>0.0</v>
      </c>
      <c r="AA646" s="93">
        <v>0.0</v>
      </c>
      <c r="AB646" s="93">
        <v>0.0</v>
      </c>
      <c r="AC646" s="93"/>
      <c r="AD646" s="93">
        <v>0.0</v>
      </c>
      <c r="AE646" s="32">
        <f t="shared" si="2"/>
        <v>0</v>
      </c>
      <c r="AF646" s="93">
        <v>0.0</v>
      </c>
    </row>
    <row r="647">
      <c r="A647" s="86">
        <v>2017.0</v>
      </c>
      <c r="B647" s="87">
        <v>7.0</v>
      </c>
      <c r="C647" s="88" t="s">
        <v>40</v>
      </c>
      <c r="D647" s="32"/>
      <c r="E647" s="32"/>
      <c r="F647" s="32"/>
      <c r="G647" s="93">
        <v>-508.84</v>
      </c>
      <c r="H647" s="93">
        <v>2325.41</v>
      </c>
      <c r="I647" s="32"/>
      <c r="J647" s="93">
        <v>12109.98</v>
      </c>
      <c r="K647" s="32"/>
      <c r="L647" s="32"/>
      <c r="M647" s="32"/>
      <c r="N647" s="32"/>
      <c r="O647" s="93">
        <v>152934.0</v>
      </c>
      <c r="P647" s="91">
        <f>IFERROR(__xludf.DUMMYFUNCTION("IFERROR(sum(FILTER($D:$N,$C:$C = $C647,$A:$A &lt; $A647,$B:$B = 12)),0) + sum($D647:$N647)"),152934.24999999994)</f>
        <v>152934.25</v>
      </c>
      <c r="Q647" s="92">
        <f t="shared" si="1"/>
        <v>-0.2499999999</v>
      </c>
      <c r="R647" s="91">
        <f t="array" ref="R647">IFERROR(INDEX('Fund YTD Target Values'!$1:$1000, MATCH($C647,'Fund YTD Target Values'!$A:$A,0), MATCH($A647,'Fund YTD Target Values'!$1:$1,0)),0)</f>
        <v>157515.3664</v>
      </c>
      <c r="S647" s="91">
        <f>IFERROR(__xludf.DUMMYFUNCTION("IFERROR(sum(FILTER('Fund Investment Data'!$V:$V, 'Fund Investment Data'!$C:$C = $C647, 'Fund Investment Data'!$A:$A &lt; $A647)),0) + IFERROR(sum(FILTER('Fund Investment Data'!$V:$V, 'Fund Investment Data'!$C:$C = $C647, 'Fund Investment Data'!$A:$A = $A647,"&amp;" 'Fund Investment Data'!$B:$B &lt;= $B647)),0)"),129703.74)</f>
        <v>129703.74</v>
      </c>
      <c r="T647" s="93">
        <v>129723.0</v>
      </c>
      <c r="U647" s="32">
        <f t="shared" si="3"/>
        <v>-19.26</v>
      </c>
      <c r="V647" s="32">
        <f>IFERROR(__xludf.DUMMYFUNCTION("$D647 - IFERROR(FILTER($D:$D,$C:$C = $C647, $A:$A = $A647, $B:$B = $B647 - 1),0)"),0.0)</f>
        <v>0</v>
      </c>
      <c r="W647" s="93">
        <f>IFERROR(__xludf.DUMMYFUNCTION("$E647 - IFERROR(FILTER($E:$E,$C:$C = $C647, $A:$A = $A647, $B:$B = $B647 - 1),0)"),0.0)</f>
        <v>0</v>
      </c>
      <c r="X647" s="93"/>
      <c r="Y647" s="93"/>
      <c r="Z647" s="93">
        <v>0.0</v>
      </c>
      <c r="AA647" s="93">
        <v>0.0</v>
      </c>
      <c r="AB647" s="93">
        <v>0.0</v>
      </c>
      <c r="AC647" s="93"/>
      <c r="AD647" s="93">
        <v>0.0</v>
      </c>
      <c r="AE647" s="32">
        <f t="shared" si="2"/>
        <v>0</v>
      </c>
      <c r="AF647" s="93">
        <v>0.0</v>
      </c>
    </row>
    <row r="648">
      <c r="A648" s="86">
        <v>2017.0</v>
      </c>
      <c r="B648" s="87">
        <v>7.0</v>
      </c>
      <c r="C648" s="88" t="s">
        <v>51</v>
      </c>
      <c r="D648" s="93">
        <v>3050.0</v>
      </c>
      <c r="E648" s="93">
        <v>-3800.0</v>
      </c>
      <c r="F648" s="32"/>
      <c r="G648" s="93">
        <v>-1547.0</v>
      </c>
      <c r="H648" s="93">
        <v>7081.25</v>
      </c>
      <c r="I648" s="32"/>
      <c r="J648" s="93">
        <v>36887.59</v>
      </c>
      <c r="K648" s="32"/>
      <c r="L648" s="32"/>
      <c r="M648" s="32"/>
      <c r="N648" s="32"/>
      <c r="O648" s="93">
        <v>465209.0</v>
      </c>
      <c r="P648" s="91">
        <f>IFERROR(__xludf.DUMMYFUNCTION("IFERROR(sum(FILTER($D:$N,$C:$C = $C648,$A:$A &lt; $A648,$B:$B = 12)),0) + sum($D648:$N648)"),465208.74)</f>
        <v>465208.74</v>
      </c>
      <c r="Q648" s="92">
        <f t="shared" si="1"/>
        <v>0.26</v>
      </c>
      <c r="R648" s="91">
        <f t="array" ref="R648">IFERROR(INDEX('Fund YTD Target Values'!$1:$1000, MATCH($C648,'Fund YTD Target Values'!$A:$A,0), MATCH($A648,'Fund YTD Target Values'!$1:$1,0)),0)</f>
        <v>437835.4209</v>
      </c>
      <c r="S648" s="91">
        <f>IFERROR(__xludf.DUMMYFUNCTION("IFERROR(sum(FILTER('Fund Investment Data'!$V:$V, 'Fund Investment Data'!$C:$C = $C648, 'Fund Investment Data'!$A:$A &lt; $A648)),0) + IFERROR(sum(FILTER('Fund Investment Data'!$V:$V, 'Fund Investment Data'!$C:$C = $C648, 'Fund Investment Data'!$A:$A = $A648,"&amp;" 'Fund Investment Data'!$B:$B &lt;= $B648)),0)"),416173.55)</f>
        <v>416173.55</v>
      </c>
      <c r="T648" s="93">
        <v>416980.0</v>
      </c>
      <c r="U648" s="32">
        <f t="shared" si="3"/>
        <v>-806.45</v>
      </c>
      <c r="V648" s="32">
        <f>IFERROR(__xludf.DUMMYFUNCTION("$D648 - IFERROR(FILTER($D:$D,$C:$C = $C648, $A:$A = $A648, $B:$B = $B648 - 1),0)"),50.0)</f>
        <v>50</v>
      </c>
      <c r="W648" s="93">
        <f>IFERROR(__xludf.DUMMYFUNCTION("$E648 - IFERROR(FILTER($E:$E,$C:$C = $C648, $A:$A = $A648, $B:$B = $B648 - 1),0)"),0.0)</f>
        <v>0</v>
      </c>
      <c r="X648" s="93"/>
      <c r="Y648" s="93"/>
      <c r="Z648" s="93">
        <v>0.0</v>
      </c>
      <c r="AA648" s="93">
        <v>0.0</v>
      </c>
      <c r="AB648" s="93">
        <v>0.0</v>
      </c>
      <c r="AC648" s="93"/>
      <c r="AD648" s="93">
        <v>0.0</v>
      </c>
      <c r="AE648" s="32">
        <f t="shared" si="2"/>
        <v>-3800</v>
      </c>
      <c r="AF648" s="93">
        <v>0.0</v>
      </c>
    </row>
    <row r="649">
      <c r="A649" s="86">
        <v>2017.0</v>
      </c>
      <c r="B649" s="87">
        <v>7.0</v>
      </c>
      <c r="C649" s="88" t="s">
        <v>48</v>
      </c>
      <c r="D649" s="32"/>
      <c r="E649" s="93">
        <v>-10000.0</v>
      </c>
      <c r="F649" s="32"/>
      <c r="G649" s="93">
        <v>-4173.67</v>
      </c>
      <c r="H649" s="93">
        <v>19136.6</v>
      </c>
      <c r="I649" s="32"/>
      <c r="J649" s="93">
        <v>99726.44</v>
      </c>
      <c r="K649" s="32"/>
      <c r="L649" s="32"/>
      <c r="M649" s="32"/>
      <c r="N649" s="32"/>
      <c r="O649" s="93">
        <v>1247503.0</v>
      </c>
      <c r="P649" s="91">
        <f>IFERROR(__xludf.DUMMYFUNCTION("IFERROR(sum(FILTER($D:$N,$C:$C = $C649,$A:$A &lt; $A649,$B:$B = 12)),0) + sum($D649:$N649)"),1247502.1199999996)</f>
        <v>1247502.12</v>
      </c>
      <c r="Q649" s="92">
        <f t="shared" si="1"/>
        <v>0.8800000004</v>
      </c>
      <c r="R649" s="91">
        <f t="array" ref="R649">IFERROR(INDEX('Fund YTD Target Values'!$1:$1000, MATCH($C649,'Fund YTD Target Values'!$A:$A,0), MATCH($A649,'Fund YTD Target Values'!$1:$1,0)),0)</f>
        <v>1851058.71</v>
      </c>
      <c r="S649" s="91">
        <f>IFERROR(__xludf.DUMMYFUNCTION("IFERROR(sum(FILTER('Fund Investment Data'!$V:$V, 'Fund Investment Data'!$C:$C = $C649, 'Fund Investment Data'!$A:$A &lt; $A649)),0) + IFERROR(sum(FILTER('Fund Investment Data'!$V:$V, 'Fund Investment Data'!$C:$C = $C649, 'Fund Investment Data'!$A:$A = $A649,"&amp;" 'Fund Investment Data'!$B:$B &lt;= $B649)),0)"),1183929.39)</f>
        <v>1183929.39</v>
      </c>
      <c r="T649" s="93">
        <v>1140040.0</v>
      </c>
      <c r="U649" s="32">
        <f t="shared" si="3"/>
        <v>43889.39</v>
      </c>
      <c r="V649" s="32">
        <f>IFERROR(__xludf.DUMMYFUNCTION("$D649 - IFERROR(FILTER($D:$D,$C:$C = $C649, $A:$A = $A649, $B:$B = $B649 - 1),0)"),0.0)</f>
        <v>0</v>
      </c>
      <c r="W649" s="93">
        <f>IFERROR(__xludf.DUMMYFUNCTION("$E649 - IFERROR(FILTER($E:$E,$C:$C = $C649, $A:$A = $A649, $B:$B = $B649 - 1),0)"),0.0)</f>
        <v>0</v>
      </c>
      <c r="X649" s="93"/>
      <c r="Y649" s="93"/>
      <c r="Z649" s="93">
        <v>0.0</v>
      </c>
      <c r="AA649" s="93">
        <v>0.0</v>
      </c>
      <c r="AB649" s="93">
        <v>0.0</v>
      </c>
      <c r="AC649" s="93"/>
      <c r="AD649" s="93">
        <v>0.0</v>
      </c>
      <c r="AE649" s="32">
        <f t="shared" si="2"/>
        <v>-10000</v>
      </c>
      <c r="AF649" s="93">
        <v>0.0</v>
      </c>
    </row>
    <row r="650">
      <c r="A650" s="86">
        <v>2017.0</v>
      </c>
      <c r="B650" s="87">
        <v>7.0</v>
      </c>
      <c r="C650" s="88" t="s">
        <v>49</v>
      </c>
      <c r="D650" s="32"/>
      <c r="E650" s="93">
        <v>-5000.0</v>
      </c>
      <c r="F650" s="32"/>
      <c r="G650" s="93">
        <v>-1835.23</v>
      </c>
      <c r="H650" s="93">
        <v>8405.86</v>
      </c>
      <c r="I650" s="32"/>
      <c r="J650" s="93">
        <v>43795.35</v>
      </c>
      <c r="K650" s="32"/>
      <c r="L650" s="32"/>
      <c r="M650" s="32"/>
      <c r="N650" s="32"/>
      <c r="O650" s="93">
        <v>548082.0</v>
      </c>
      <c r="P650" s="91">
        <f>IFERROR(__xludf.DUMMYFUNCTION("IFERROR(sum(FILTER($D:$N,$C:$C = $C650,$A:$A &lt; $A650,$B:$B = 12)),0) + sum($D650:$N650)"),548081.9799999999)</f>
        <v>548081.98</v>
      </c>
      <c r="Q650" s="92">
        <f t="shared" si="1"/>
        <v>0.02000000014</v>
      </c>
      <c r="R650" s="91">
        <f t="array" ref="R650">IFERROR(INDEX('Fund YTD Target Values'!$1:$1000, MATCH($C650,'Fund YTD Target Values'!$A:$A,0), MATCH($A650,'Fund YTD Target Values'!$1:$1,0)),0)</f>
        <v>684659.2079</v>
      </c>
      <c r="S650" s="91">
        <f>IFERROR(__xludf.DUMMYFUNCTION("IFERROR(sum(FILTER('Fund Investment Data'!$V:$V, 'Fund Investment Data'!$C:$C = $C650, 'Fund Investment Data'!$A:$A &lt; $A650)),0) + IFERROR(sum(FILTER('Fund Investment Data'!$V:$V, 'Fund Investment Data'!$C:$C = $C650, 'Fund Investment Data'!$A:$A = $A650,"&amp;" 'Fund Investment Data'!$B:$B &lt;= $B650)),0)"),500000.0)</f>
        <v>500000</v>
      </c>
      <c r="T650" s="93">
        <v>500000.0</v>
      </c>
      <c r="U650" s="32">
        <f t="shared" si="3"/>
        <v>0</v>
      </c>
      <c r="V650" s="32">
        <f>IFERROR(__xludf.DUMMYFUNCTION("$D650 - IFERROR(FILTER($D:$D,$C:$C = $C650, $A:$A = $A650, $B:$B = $B650 - 1),0)"),0.0)</f>
        <v>0</v>
      </c>
      <c r="W650" s="93">
        <f>IFERROR(__xludf.DUMMYFUNCTION("$E650 - IFERROR(FILTER($E:$E,$C:$C = $C650, $A:$A = $A650, $B:$B = $B650 - 1),0)"),0.0)</f>
        <v>0</v>
      </c>
      <c r="X650" s="93"/>
      <c r="Y650" s="93"/>
      <c r="Z650" s="93">
        <v>0.0</v>
      </c>
      <c r="AA650" s="93">
        <v>0.0</v>
      </c>
      <c r="AB650" s="93">
        <v>0.0</v>
      </c>
      <c r="AC650" s="93"/>
      <c r="AD650" s="93">
        <v>0.0</v>
      </c>
      <c r="AE650" s="32">
        <f t="shared" si="2"/>
        <v>-5000</v>
      </c>
      <c r="AF650" s="93">
        <v>0.0</v>
      </c>
    </row>
    <row r="651">
      <c r="A651" s="86">
        <v>2017.0</v>
      </c>
      <c r="B651" s="87">
        <v>7.0</v>
      </c>
      <c r="C651" s="88" t="s">
        <v>41</v>
      </c>
      <c r="D651" s="32"/>
      <c r="E651" s="93">
        <v>-8375.0</v>
      </c>
      <c r="F651" s="32"/>
      <c r="G651" s="93">
        <v>-2171.76</v>
      </c>
      <c r="H651" s="93">
        <v>9924.14</v>
      </c>
      <c r="I651" s="32"/>
      <c r="J651" s="93">
        <v>51680.72</v>
      </c>
      <c r="K651" s="32"/>
      <c r="L651" s="32"/>
      <c r="M651" s="32"/>
      <c r="N651" s="32"/>
      <c r="O651" s="93">
        <v>645542.0</v>
      </c>
      <c r="P651" s="91">
        <f>IFERROR(__xludf.DUMMYFUNCTION("IFERROR(sum(FILTER($D:$N,$C:$C = $C651,$A:$A &lt; $A651,$B:$B = 12)),0) + sum($D651:$N651)"),645543.14)</f>
        <v>645543.14</v>
      </c>
      <c r="Q651" s="92">
        <f t="shared" si="1"/>
        <v>-1.14</v>
      </c>
      <c r="R651" s="91">
        <f t="array" ref="R651">IFERROR(INDEX('Fund YTD Target Values'!$1:$1000, MATCH($C651,'Fund YTD Target Values'!$A:$A,0), MATCH($A651,'Fund YTD Target Values'!$1:$1,0)),0)</f>
        <v>573948.5743</v>
      </c>
      <c r="S651" s="91">
        <f>IFERROR(__xludf.DUMMYFUNCTION("IFERROR(sum(FILTER('Fund Investment Data'!$V:$V, 'Fund Investment Data'!$C:$C = $C651, 'Fund Investment Data'!$A:$A &lt; $A651)),0) + IFERROR(sum(FILTER('Fund Investment Data'!$V:$V, 'Fund Investment Data'!$C:$C = $C651, 'Fund Investment Data'!$A:$A = $A651,"&amp;" 'Fund Investment Data'!$B:$B &lt;= $B651)),0)"),433755.86)</f>
        <v>433755.86</v>
      </c>
      <c r="T651" s="93">
        <v>434291.0</v>
      </c>
      <c r="U651" s="32">
        <f t="shared" si="3"/>
        <v>-535.14</v>
      </c>
      <c r="V651" s="32">
        <f>IFERROR(__xludf.DUMMYFUNCTION("$D651 - IFERROR(FILTER($D:$D,$C:$C = $C651, $A:$A = $A651, $B:$B = $B651 - 1),0)"),0.0)</f>
        <v>0</v>
      </c>
      <c r="W651" s="93">
        <f>IFERROR(__xludf.DUMMYFUNCTION("$E651 - IFERROR(FILTER($E:$E,$C:$C = $C651, $A:$A = $A651, $B:$B = $B651 - 1),0)"),0.0)</f>
        <v>0</v>
      </c>
      <c r="X651" s="93"/>
      <c r="Y651" s="93"/>
      <c r="Z651" s="93">
        <v>0.0</v>
      </c>
      <c r="AA651" s="93">
        <v>0.0</v>
      </c>
      <c r="AB651" s="93">
        <v>0.0</v>
      </c>
      <c r="AC651" s="93"/>
      <c r="AD651" s="93">
        <v>0.0</v>
      </c>
      <c r="AE651" s="32">
        <f t="shared" si="2"/>
        <v>-8375</v>
      </c>
      <c r="AF651" s="93">
        <v>0.0</v>
      </c>
    </row>
    <row r="652">
      <c r="A652" s="86">
        <v>2017.0</v>
      </c>
      <c r="B652" s="87">
        <v>7.0</v>
      </c>
      <c r="C652" s="88" t="s">
        <v>25</v>
      </c>
      <c r="D652" s="32"/>
      <c r="E652" s="32"/>
      <c r="F652" s="32"/>
      <c r="G652" s="93">
        <v>-337.81</v>
      </c>
      <c r="H652" s="93">
        <v>1543.84</v>
      </c>
      <c r="I652" s="32"/>
      <c r="J652" s="93">
        <v>8039.95</v>
      </c>
      <c r="K652" s="32"/>
      <c r="L652" s="32"/>
      <c r="M652" s="32"/>
      <c r="N652" s="32"/>
      <c r="O652" s="93">
        <v>101534.0</v>
      </c>
      <c r="P652" s="91">
        <f>IFERROR(__xludf.DUMMYFUNCTION("IFERROR(sum(FILTER($D:$N,$C:$C = $C652,$A:$A &lt; $A652,$B:$B = 12)),0) + sum($D652:$N652)"),101533.98999999999)</f>
        <v>101533.99</v>
      </c>
      <c r="Q652" s="92">
        <f t="shared" si="1"/>
        <v>0.01000000001</v>
      </c>
      <c r="R652" s="91">
        <f t="array" ref="R652">IFERROR(INDEX('Fund YTD Target Values'!$1:$1000, MATCH($C652,'Fund YTD Target Values'!$A:$A,0), MATCH($A652,'Fund YTD Target Values'!$1:$1,0)),0)</f>
        <v>106572.0284</v>
      </c>
      <c r="S652" s="91">
        <f>IFERROR(__xludf.DUMMYFUNCTION("IFERROR(sum(FILTER('Fund Investment Data'!$V:$V, 'Fund Investment Data'!$C:$C = $C652, 'Fund Investment Data'!$A:$A &lt; $A652)),0) + IFERROR(sum(FILTER('Fund Investment Data'!$V:$V, 'Fund Investment Data'!$C:$C = $C652, 'Fund Investment Data'!$A:$A = $A652,"&amp;" 'Fund Investment Data'!$B:$B &lt;= $B652)),0)"),81000.0)</f>
        <v>81000</v>
      </c>
      <c r="T652" s="93">
        <v>81000.0</v>
      </c>
      <c r="U652" s="32">
        <f t="shared" si="3"/>
        <v>0</v>
      </c>
      <c r="V652" s="32">
        <f>IFERROR(__xludf.DUMMYFUNCTION("$D652 - IFERROR(FILTER($D:$D,$C:$C = $C652, $A:$A = $A652, $B:$B = $B652 - 1),0)"),0.0)</f>
        <v>0</v>
      </c>
      <c r="W652" s="93">
        <f>IFERROR(__xludf.DUMMYFUNCTION("$E652 - IFERROR(FILTER($E:$E,$C:$C = $C652, $A:$A = $A652, $B:$B = $B652 - 1),0)"),0.0)</f>
        <v>0</v>
      </c>
      <c r="X652" s="93"/>
      <c r="Y652" s="93"/>
      <c r="Z652" s="93">
        <v>0.0</v>
      </c>
      <c r="AA652" s="93">
        <v>0.0</v>
      </c>
      <c r="AB652" s="93">
        <v>0.0</v>
      </c>
      <c r="AC652" s="93"/>
      <c r="AD652" s="93">
        <v>0.0</v>
      </c>
      <c r="AE652" s="32">
        <f t="shared" si="2"/>
        <v>0</v>
      </c>
      <c r="AF652" s="93">
        <v>0.0</v>
      </c>
    </row>
    <row r="653">
      <c r="A653" s="86">
        <v>2017.0</v>
      </c>
      <c r="B653" s="87">
        <v>7.0</v>
      </c>
      <c r="C653" s="88" t="s">
        <v>42</v>
      </c>
      <c r="D653" s="32"/>
      <c r="E653" s="32"/>
      <c r="F653" s="32"/>
      <c r="G653" s="93">
        <v>-970.11</v>
      </c>
      <c r="H653" s="93">
        <v>4390.73</v>
      </c>
      <c r="I653" s="32"/>
      <c r="J653" s="93">
        <v>22817.88</v>
      </c>
      <c r="K653" s="32"/>
      <c r="L653" s="32"/>
      <c r="M653" s="32"/>
      <c r="N653" s="32"/>
      <c r="O653" s="93">
        <v>291397.0</v>
      </c>
      <c r="P653" s="91">
        <f>IFERROR(__xludf.DUMMYFUNCTION("IFERROR(sum(FILTER($D:$N,$C:$C = $C653,$A:$A &lt; $A653,$B:$B = 12)),0) + sum($D653:$N653)"),291396.77000000014)</f>
        <v>291396.77</v>
      </c>
      <c r="Q653" s="92">
        <f t="shared" si="1"/>
        <v>0.2299999999</v>
      </c>
      <c r="R653" s="91">
        <f t="array" ref="R653">IFERROR(INDEX('Fund YTD Target Values'!$1:$1000, MATCH($C653,'Fund YTD Target Values'!$A:$A,0), MATCH($A653,'Fund YTD Target Values'!$1:$1,0)),0)</f>
        <v>234458.6336</v>
      </c>
      <c r="S653" s="91">
        <f>IFERROR(__xludf.DUMMYFUNCTION("IFERROR(sum(FILTER('Fund Investment Data'!$V:$V, 'Fund Investment Data'!$C:$C = $C653, 'Fund Investment Data'!$A:$A &lt; $A653)),0) + IFERROR(sum(FILTER('Fund Investment Data'!$V:$V, 'Fund Investment Data'!$C:$C = $C653, 'Fund Investment Data'!$A:$A = $A653,"&amp;" 'Fund Investment Data'!$B:$B &lt;= $B653)),0)"),194469.0)</f>
        <v>194469</v>
      </c>
      <c r="T653" s="93">
        <v>194469.0</v>
      </c>
      <c r="U653" s="32">
        <f t="shared" si="3"/>
        <v>0</v>
      </c>
      <c r="V653" s="32">
        <f>IFERROR(__xludf.DUMMYFUNCTION("$D653 - IFERROR(FILTER($D:$D,$C:$C = $C653, $A:$A = $A653, $B:$B = $B653 - 1),0)"),0.0)</f>
        <v>0</v>
      </c>
      <c r="W653" s="93">
        <f>IFERROR(__xludf.DUMMYFUNCTION("$E653 - IFERROR(FILTER($E:$E,$C:$C = $C653, $A:$A = $A653, $B:$B = $B653 - 1),0)"),0.0)</f>
        <v>0</v>
      </c>
      <c r="X653" s="93"/>
      <c r="Y653" s="93"/>
      <c r="Z653" s="93">
        <v>0.0</v>
      </c>
      <c r="AA653" s="93">
        <v>0.0</v>
      </c>
      <c r="AB653" s="93">
        <v>0.0</v>
      </c>
      <c r="AC653" s="93"/>
      <c r="AD653" s="93">
        <v>0.0</v>
      </c>
      <c r="AE653" s="32">
        <f t="shared" si="2"/>
        <v>0</v>
      </c>
      <c r="AF653" s="93">
        <v>0.0</v>
      </c>
    </row>
    <row r="654">
      <c r="A654" s="86">
        <v>2017.0</v>
      </c>
      <c r="B654" s="87">
        <v>7.0</v>
      </c>
      <c r="C654" s="88" t="s">
        <v>43</v>
      </c>
      <c r="D654" s="32"/>
      <c r="E654" s="32"/>
      <c r="F654" s="32"/>
      <c r="G654" s="93">
        <v>-405.85</v>
      </c>
      <c r="H654" s="93">
        <v>1857.04</v>
      </c>
      <c r="I654" s="32"/>
      <c r="J654" s="93">
        <v>9673.57</v>
      </c>
      <c r="K654" s="32"/>
      <c r="L654" s="32"/>
      <c r="M654" s="32"/>
      <c r="N654" s="32"/>
      <c r="O654" s="93">
        <v>121982.0</v>
      </c>
      <c r="P654" s="91">
        <f>IFERROR(__xludf.DUMMYFUNCTION("IFERROR(sum(FILTER($D:$N,$C:$C = $C654,$A:$A &lt; $A654,$B:$B = 12)),0) + sum($D654:$N654)"),121980.97000000002)</f>
        <v>121980.97</v>
      </c>
      <c r="Q654" s="92">
        <f t="shared" si="1"/>
        <v>1.03</v>
      </c>
      <c r="R654" s="91">
        <f t="array" ref="R654">IFERROR(INDEX('Fund YTD Target Values'!$1:$1000, MATCH($C654,'Fund YTD Target Values'!$A:$A,0), MATCH($A654,'Fund YTD Target Values'!$1:$1,0)),0)</f>
        <v>127580.7013</v>
      </c>
      <c r="S654" s="91">
        <f>IFERROR(__xludf.DUMMYFUNCTION("IFERROR(sum(FILTER('Fund Investment Data'!$V:$V, 'Fund Investment Data'!$C:$C = $C654, 'Fund Investment Data'!$A:$A &lt; $A654)),0) + IFERROR(sum(FILTER('Fund Investment Data'!$V:$V, 'Fund Investment Data'!$C:$C = $C654, 'Fund Investment Data'!$A:$A = $A654,"&amp;" 'Fund Investment Data'!$B:$B &lt;= $B654)),0)"),100000.0)</f>
        <v>100000</v>
      </c>
      <c r="T654" s="93">
        <v>100000.0</v>
      </c>
      <c r="U654" s="32">
        <f t="shared" si="3"/>
        <v>0</v>
      </c>
      <c r="V654" s="32">
        <f>IFERROR(__xludf.DUMMYFUNCTION("$D654 - IFERROR(FILTER($D:$D,$C:$C = $C654, $A:$A = $A654, $B:$B = $B654 - 1),0)"),0.0)</f>
        <v>0</v>
      </c>
      <c r="W654" s="93">
        <f>IFERROR(__xludf.DUMMYFUNCTION("$E654 - IFERROR(FILTER($E:$E,$C:$C = $C654, $A:$A = $A654, $B:$B = $B654 - 1),0)"),0.0)</f>
        <v>0</v>
      </c>
      <c r="X654" s="93"/>
      <c r="Y654" s="93"/>
      <c r="Z654" s="93">
        <v>0.0</v>
      </c>
      <c r="AA654" s="93">
        <v>0.0</v>
      </c>
      <c r="AB654" s="93">
        <v>0.0</v>
      </c>
      <c r="AC654" s="93"/>
      <c r="AD654" s="93">
        <v>0.0</v>
      </c>
      <c r="AE654" s="32">
        <f t="shared" si="2"/>
        <v>0</v>
      </c>
      <c r="AF654" s="93">
        <v>0.0</v>
      </c>
    </row>
    <row r="655">
      <c r="A655" s="86">
        <v>2017.0</v>
      </c>
      <c r="B655" s="87">
        <v>7.0</v>
      </c>
      <c r="C655" s="88" t="s">
        <v>52</v>
      </c>
      <c r="D655" s="93">
        <v>2500.0</v>
      </c>
      <c r="E655" s="93">
        <v>-6500.0</v>
      </c>
      <c r="F655" s="32"/>
      <c r="G655" s="93">
        <v>-3950.57</v>
      </c>
      <c r="H655" s="93">
        <v>17068.99</v>
      </c>
      <c r="I655" s="32"/>
      <c r="J655" s="93">
        <v>88832.06</v>
      </c>
      <c r="K655" s="32"/>
      <c r="L655" s="32"/>
      <c r="M655" s="32"/>
      <c r="N655" s="32"/>
      <c r="O655" s="93">
        <v>1122799.0</v>
      </c>
      <c r="P655" s="91">
        <f>IFERROR(__xludf.DUMMYFUNCTION("IFERROR(sum(FILTER($D:$N,$C:$C = $C655,$A:$A &lt; $A655,$B:$B = 12)),0) + sum($D655:$N655)"),1122798.42)</f>
        <v>1122798.42</v>
      </c>
      <c r="Q655" s="92">
        <f t="shared" si="1"/>
        <v>0.5800000001</v>
      </c>
      <c r="R655" s="91">
        <f t="array" ref="R655">IFERROR(INDEX('Fund YTD Target Values'!$1:$1000, MATCH($C655,'Fund YTD Target Values'!$A:$A,0), MATCH($A655,'Fund YTD Target Values'!$1:$1,0)),0)</f>
        <v>1048370.982</v>
      </c>
      <c r="S655" s="91">
        <f>IFERROR(__xludf.DUMMYFUNCTION("IFERROR(sum(FILTER('Fund Investment Data'!$V:$V, 'Fund Investment Data'!$C:$C = $C655, 'Fund Investment Data'!$A:$A &lt; $A655)),0) + IFERROR(sum(FILTER('Fund Investment Data'!$V:$V, 'Fund Investment Data'!$C:$C = $C655, 'Fund Investment Data'!$A:$A = $A655,"&amp;" 'Fund Investment Data'!$B:$B &lt;= $B655)),0)"),1004136.0)</f>
        <v>1004136</v>
      </c>
      <c r="T655" s="93">
        <v>1004449.0</v>
      </c>
      <c r="U655" s="32">
        <f t="shared" si="3"/>
        <v>-313</v>
      </c>
      <c r="V655" s="32">
        <f>IFERROR(__xludf.DUMMYFUNCTION("$D655 - IFERROR(FILTER($D:$D,$C:$C = $C655, $A:$A = $A655, $B:$B = $B655 - 1),0)"),0.0)</f>
        <v>0</v>
      </c>
      <c r="W655" s="93">
        <f>IFERROR(__xludf.DUMMYFUNCTION("$E655 - IFERROR(FILTER($E:$E,$C:$C = $C655, $A:$A = $A655, $B:$B = $B655 - 1),0)"),0.0)</f>
        <v>0</v>
      </c>
      <c r="X655" s="93"/>
      <c r="Y655" s="93"/>
      <c r="Z655" s="93">
        <v>0.0</v>
      </c>
      <c r="AA655" s="93">
        <v>0.0</v>
      </c>
      <c r="AB655" s="93">
        <v>0.0</v>
      </c>
      <c r="AC655" s="93"/>
      <c r="AD655" s="93">
        <v>0.0</v>
      </c>
      <c r="AE655" s="32">
        <f t="shared" si="2"/>
        <v>-6500</v>
      </c>
      <c r="AF655" s="93">
        <v>0.0</v>
      </c>
    </row>
    <row r="656">
      <c r="A656" s="86">
        <v>2017.0</v>
      </c>
      <c r="B656" s="87">
        <v>7.0</v>
      </c>
      <c r="C656" s="88" t="s">
        <v>33</v>
      </c>
      <c r="D656" s="32"/>
      <c r="E656" s="32"/>
      <c r="F656" s="32"/>
      <c r="G656" s="93">
        <v>-1265.88</v>
      </c>
      <c r="H656" s="93">
        <v>5792.54</v>
      </c>
      <c r="I656" s="32"/>
      <c r="J656" s="93">
        <v>30174.3</v>
      </c>
      <c r="K656" s="32"/>
      <c r="L656" s="32"/>
      <c r="M656" s="32"/>
      <c r="N656" s="32"/>
      <c r="O656" s="93">
        <v>380486.0</v>
      </c>
      <c r="P656" s="91">
        <f>IFERROR(__xludf.DUMMYFUNCTION("IFERROR(sum(FILTER($D:$N,$C:$C = $C656,$A:$A &lt; $A656,$B:$B = 12)),0) + sum($D656:$N656)"),380485.92999999976)</f>
        <v>380485.93</v>
      </c>
      <c r="Q656" s="92">
        <f t="shared" si="1"/>
        <v>0.07000000024</v>
      </c>
      <c r="R656" s="91">
        <f t="array" ref="R656">IFERROR(INDEX('Fund YTD Target Values'!$1:$1000, MATCH($C656,'Fund YTD Target Values'!$A:$A,0), MATCH($A656,'Fund YTD Target Values'!$1:$1,0)),0)</f>
        <v>500698.0917</v>
      </c>
      <c r="S656" s="91">
        <f>IFERROR(__xludf.DUMMYFUNCTION("IFERROR(sum(FILTER('Fund Investment Data'!$V:$V, 'Fund Investment Data'!$C:$C = $C656, 'Fund Investment Data'!$A:$A &lt; $A656)),0) + IFERROR(sum(FILTER('Fund Investment Data'!$V:$V, 'Fund Investment Data'!$C:$C = $C656, 'Fund Investment Data'!$A:$A = $A656,"&amp;" 'Fund Investment Data'!$B:$B &lt;= $B656)),0)"),325871.6399999999)</f>
        <v>325871.64</v>
      </c>
      <c r="T656" s="93">
        <v>326032.0</v>
      </c>
      <c r="U656" s="32">
        <f t="shared" si="3"/>
        <v>-160.36</v>
      </c>
      <c r="V656" s="32">
        <f>IFERROR(__xludf.DUMMYFUNCTION("$D656 - IFERROR(FILTER($D:$D,$C:$C = $C656, $A:$A = $A656, $B:$B = $B656 - 1),0)"),0.0)</f>
        <v>0</v>
      </c>
      <c r="W656" s="93">
        <f>IFERROR(__xludf.DUMMYFUNCTION("$E656 - IFERROR(FILTER($E:$E,$C:$C = $C656, $A:$A = $A656, $B:$B = $B656 - 1),0)"),0.0)</f>
        <v>0</v>
      </c>
      <c r="X656" s="93"/>
      <c r="Y656" s="93"/>
      <c r="Z656" s="93">
        <v>0.0</v>
      </c>
      <c r="AA656" s="93">
        <v>0.0</v>
      </c>
      <c r="AB656" s="93">
        <v>0.0</v>
      </c>
      <c r="AC656" s="93"/>
      <c r="AD656" s="93">
        <v>0.0</v>
      </c>
      <c r="AE656" s="32">
        <f t="shared" si="2"/>
        <v>0</v>
      </c>
      <c r="AF656" s="93">
        <v>0.0</v>
      </c>
    </row>
    <row r="657">
      <c r="A657" s="86">
        <v>2017.0</v>
      </c>
      <c r="B657" s="87">
        <v>7.0</v>
      </c>
      <c r="C657" s="88" t="s">
        <v>53</v>
      </c>
      <c r="D657" s="32"/>
      <c r="E657" s="93">
        <v>-30000.0</v>
      </c>
      <c r="F657" s="32"/>
      <c r="G657" s="93">
        <v>-7416.65</v>
      </c>
      <c r="H657" s="93">
        <v>34053.59</v>
      </c>
      <c r="I657" s="93">
        <v>627.62</v>
      </c>
      <c r="J657" s="93">
        <v>176840.84</v>
      </c>
      <c r="K657" s="32"/>
      <c r="L657" s="32"/>
      <c r="M657" s="32"/>
      <c r="N657" s="32"/>
      <c r="O657" s="93">
        <v>2208019.0</v>
      </c>
      <c r="P657" s="91">
        <f>IFERROR(__xludf.DUMMYFUNCTION("IFERROR(sum(FILTER($D:$N,$C:$C = $C657,$A:$A &lt; $A657,$B:$B = 12)),0) + sum($D657:$N657)"),2208018.6799999997)</f>
        <v>2208018.68</v>
      </c>
      <c r="Q657" s="92">
        <f t="shared" si="1"/>
        <v>0.3200000003</v>
      </c>
      <c r="R657" s="91">
        <f t="array" ref="R657">IFERROR(INDEX('Fund YTD Target Values'!$1:$1000, MATCH($C657,'Fund YTD Target Values'!$A:$A,0), MATCH($A657,'Fund YTD Target Values'!$1:$1,0)),0)</f>
        <v>2171706.82</v>
      </c>
      <c r="S657" s="91">
        <f>IFERROR(__xludf.DUMMYFUNCTION("IFERROR(sum(FILTER('Fund Investment Data'!$V:$V, 'Fund Investment Data'!$C:$C = $C657, 'Fund Investment Data'!$A:$A &lt; $A657)),0) + IFERROR(sum(FILTER('Fund Investment Data'!$V:$V, 'Fund Investment Data'!$C:$C = $C657, 'Fund Investment Data'!$A:$A = $A657,"&amp;" 'Fund Investment Data'!$B:$B &lt;= $B657)),0)"),2005500.0)</f>
        <v>2005500</v>
      </c>
      <c r="T657" s="93">
        <v>2005500.0</v>
      </c>
      <c r="U657" s="32">
        <f t="shared" si="3"/>
        <v>0</v>
      </c>
      <c r="V657" s="32">
        <f>IFERROR(__xludf.DUMMYFUNCTION("$D657 - IFERROR(FILTER($D:$D,$C:$C = $C657, $A:$A = $A657, $B:$B = $B657 - 1),0)"),0.0)</f>
        <v>0</v>
      </c>
      <c r="W657" s="93">
        <f>IFERROR(__xludf.DUMMYFUNCTION("$E657 - IFERROR(FILTER($E:$E,$C:$C = $C657, $A:$A = $A657, $B:$B = $B657 - 1),0)"),0.0)</f>
        <v>0</v>
      </c>
      <c r="X657" s="93"/>
      <c r="Y657" s="93"/>
      <c r="Z657" s="93">
        <v>0.0</v>
      </c>
      <c r="AA657" s="93">
        <v>0.0</v>
      </c>
      <c r="AB657" s="93">
        <v>0.0</v>
      </c>
      <c r="AC657" s="93"/>
      <c r="AD657" s="93">
        <v>0.0</v>
      </c>
      <c r="AE657" s="32">
        <f t="shared" si="2"/>
        <v>-30000</v>
      </c>
      <c r="AF657" s="93">
        <v>0.0</v>
      </c>
    </row>
    <row r="658">
      <c r="A658" s="86">
        <v>2017.0</v>
      </c>
      <c r="B658" s="87">
        <v>7.0</v>
      </c>
      <c r="C658" s="88" t="s">
        <v>34</v>
      </c>
      <c r="D658" s="93">
        <v>5000.0</v>
      </c>
      <c r="E658" s="32"/>
      <c r="F658" s="32"/>
      <c r="G658" s="93">
        <v>-469.83</v>
      </c>
      <c r="H658" s="93">
        <v>2087.11</v>
      </c>
      <c r="I658" s="32"/>
      <c r="J658" s="93">
        <v>10795.67</v>
      </c>
      <c r="K658" s="32"/>
      <c r="L658" s="32"/>
      <c r="M658" s="32"/>
      <c r="N658" s="32"/>
      <c r="O658" s="93">
        <v>143109.0</v>
      </c>
      <c r="P658" s="91">
        <f>IFERROR(__xludf.DUMMYFUNCTION("IFERROR(sum(FILTER($D:$N,$C:$C = $C658,$A:$A &lt; $A658,$B:$B = 12)),0) + sum($D658:$N658)"),143109.46)</f>
        <v>143109.46</v>
      </c>
      <c r="Q658" s="92">
        <f t="shared" si="1"/>
        <v>-0.46</v>
      </c>
      <c r="R658" s="91">
        <f t="array" ref="R658">IFERROR(INDEX('Fund YTD Target Values'!$1:$1000, MATCH($C658,'Fund YTD Target Values'!$A:$A,0), MATCH($A658,'Fund YTD Target Values'!$1:$1,0)),0)</f>
        <v>127220.0742</v>
      </c>
      <c r="S658" s="91">
        <f>IFERROR(__xludf.DUMMYFUNCTION("IFERROR(sum(FILTER('Fund Investment Data'!$V:$V, 'Fund Investment Data'!$C:$C = $C658, 'Fund Investment Data'!$A:$A &lt; $A658)),0) + IFERROR(sum(FILTER('Fund Investment Data'!$V:$V, 'Fund Investment Data'!$C:$C = $C658, 'Fund Investment Data'!$A:$A = $A658,"&amp;" 'Fund Investment Data'!$B:$B &lt;= $B658)),0)"),120000.0)</f>
        <v>120000</v>
      </c>
      <c r="T658" s="93">
        <v>121567.0</v>
      </c>
      <c r="U658" s="32">
        <f t="shared" si="3"/>
        <v>-1567</v>
      </c>
      <c r="V658" s="32">
        <f>IFERROR(__xludf.DUMMYFUNCTION("$D658 - IFERROR(FILTER($D:$D,$C:$C = $C658, $A:$A = $A658, $B:$B = $B658 - 1),0)"),0.0)</f>
        <v>0</v>
      </c>
      <c r="W658" s="93">
        <f>IFERROR(__xludf.DUMMYFUNCTION("$E658 - IFERROR(FILTER($E:$E,$C:$C = $C658, $A:$A = $A658, $B:$B = $B658 - 1),0)"),0.0)</f>
        <v>0</v>
      </c>
      <c r="X658" s="93"/>
      <c r="Y658" s="93"/>
      <c r="Z658" s="93">
        <v>0.0</v>
      </c>
      <c r="AA658" s="93">
        <v>0.0</v>
      </c>
      <c r="AB658" s="93">
        <v>0.0</v>
      </c>
      <c r="AC658" s="93"/>
      <c r="AD658" s="93">
        <v>0.0</v>
      </c>
      <c r="AE658" s="32">
        <f t="shared" si="2"/>
        <v>0</v>
      </c>
      <c r="AF658" s="93">
        <v>0.0</v>
      </c>
    </row>
    <row r="659">
      <c r="A659" s="86">
        <v>2017.0</v>
      </c>
      <c r="B659" s="87">
        <v>7.0</v>
      </c>
      <c r="C659" s="88" t="s">
        <v>54</v>
      </c>
      <c r="D659" s="93">
        <v>1011.0</v>
      </c>
      <c r="E659" s="32"/>
      <c r="F659" s="32"/>
      <c r="G659" s="93">
        <v>-551.39</v>
      </c>
      <c r="H659" s="93">
        <v>2404.96</v>
      </c>
      <c r="I659" s="32"/>
      <c r="J659" s="93">
        <v>12395.34</v>
      </c>
      <c r="K659" s="32"/>
      <c r="L659" s="32"/>
      <c r="M659" s="32"/>
      <c r="N659" s="32"/>
      <c r="O659" s="93">
        <v>165713.0</v>
      </c>
      <c r="P659" s="91">
        <f>IFERROR(__xludf.DUMMYFUNCTION("IFERROR(sum(FILTER($D:$N,$C:$C = $C659,$A:$A &lt; $A659,$B:$B = 12)),0) + sum($D659:$N659)"),165715.01999999996)</f>
        <v>165715.02</v>
      </c>
      <c r="Q659" s="92">
        <f t="shared" si="1"/>
        <v>-2.02</v>
      </c>
      <c r="R659" s="91">
        <f t="array" ref="R659">IFERROR(INDEX('Fund YTD Target Values'!$1:$1000, MATCH($C659,'Fund YTD Target Values'!$A:$A,0), MATCH($A659,'Fund YTD Target Values'!$1:$1,0)),0)</f>
        <v>151442.9959</v>
      </c>
      <c r="S659" s="91">
        <f>IFERROR(__xludf.DUMMYFUNCTION("IFERROR(sum(FILTER('Fund Investment Data'!$V:$V, 'Fund Investment Data'!$C:$C = $C659, 'Fund Investment Data'!$A:$A &lt; $A659)),0) + IFERROR(sum(FILTER('Fund Investment Data'!$V:$V, 'Fund Investment Data'!$C:$C = $C659, 'Fund Investment Data'!$A:$A = $A659,"&amp;" 'Fund Investment Data'!$B:$B &lt;= $B659)),0)"),112356.10999999999)</f>
        <v>112356.11</v>
      </c>
      <c r="T659" s="93">
        <v>108440.0</v>
      </c>
      <c r="U659" s="32">
        <f t="shared" si="3"/>
        <v>3916.11</v>
      </c>
      <c r="V659" s="32">
        <f>IFERROR(__xludf.DUMMYFUNCTION("$D659 - IFERROR(FILTER($D:$D,$C:$C = $C659, $A:$A = $A659, $B:$B = $B659 - 1),0)"),88.0)</f>
        <v>88</v>
      </c>
      <c r="W659" s="93">
        <f>IFERROR(__xludf.DUMMYFUNCTION("$E659 - IFERROR(FILTER($E:$E,$C:$C = $C659, $A:$A = $A659, $B:$B = $B659 - 1),0)"),0.0)</f>
        <v>0</v>
      </c>
      <c r="X659" s="93"/>
      <c r="Y659" s="93"/>
      <c r="Z659" s="93">
        <v>0.0</v>
      </c>
      <c r="AA659" s="93">
        <v>0.0</v>
      </c>
      <c r="AB659" s="93">
        <v>0.0</v>
      </c>
      <c r="AC659" s="93"/>
      <c r="AD659" s="93">
        <v>0.0</v>
      </c>
      <c r="AE659" s="32">
        <f t="shared" si="2"/>
        <v>0</v>
      </c>
      <c r="AF659" s="93">
        <v>0.0</v>
      </c>
    </row>
    <row r="660">
      <c r="A660" s="86">
        <v>2017.0</v>
      </c>
      <c r="B660" s="87">
        <v>7.0</v>
      </c>
      <c r="C660" s="88" t="s">
        <v>55</v>
      </c>
      <c r="D660" s="32"/>
      <c r="E660" s="32"/>
      <c r="F660" s="32"/>
      <c r="G660" s="93">
        <v>-688.38</v>
      </c>
      <c r="H660" s="93">
        <v>1614.31</v>
      </c>
      <c r="I660" s="32"/>
      <c r="J660" s="93">
        <v>9572.17</v>
      </c>
      <c r="K660" s="32"/>
      <c r="L660" s="32"/>
      <c r="M660" s="32"/>
      <c r="N660" s="32"/>
      <c r="O660" s="93">
        <v>152373.0</v>
      </c>
      <c r="P660" s="91">
        <f>IFERROR(__xludf.DUMMYFUNCTION("IFERROR(sum(FILTER($D:$N,$C:$C = $C660,$A:$A &lt; $A660,$B:$B = 12)),0) + sum($D660:$N660)"),152373.38999999998)</f>
        <v>152373.39</v>
      </c>
      <c r="Q660" s="92">
        <f t="shared" si="1"/>
        <v>-0.39</v>
      </c>
      <c r="R660" s="91">
        <f t="array" ref="R660">IFERROR(INDEX('Fund YTD Target Values'!$1:$1000, MATCH($C660,'Fund YTD Target Values'!$A:$A,0), MATCH($A660,'Fund YTD Target Values'!$1:$1,0)),0)</f>
        <v>213886.3799</v>
      </c>
      <c r="S660" s="91">
        <f>IFERROR(__xludf.DUMMYFUNCTION("IFERROR(sum(FILTER('Fund Investment Data'!$V:$V, 'Fund Investment Data'!$C:$C = $C660, 'Fund Investment Data'!$A:$A &lt; $A660)),0) + IFERROR(sum(FILTER('Fund Investment Data'!$V:$V, 'Fund Investment Data'!$C:$C = $C660, 'Fund Investment Data'!$A:$A = $A660,"&amp;" 'Fund Investment Data'!$B:$B &lt;= $B660)),0)"),140000.0)</f>
        <v>140000</v>
      </c>
      <c r="T660" s="93">
        <v>167565.0</v>
      </c>
      <c r="U660" s="32">
        <f t="shared" si="3"/>
        <v>-27565</v>
      </c>
      <c r="V660" s="32">
        <f>IFERROR(__xludf.DUMMYFUNCTION("$D660 - IFERROR(FILTER($D:$D,$C:$C = $C660, $A:$A = $A660, $B:$B = $B660 - 1),0)"),0.0)</f>
        <v>0</v>
      </c>
      <c r="W660" s="93">
        <f>IFERROR(__xludf.DUMMYFUNCTION("$E660 - IFERROR(FILTER($E:$E,$C:$C = $C660, $A:$A = $A660, $B:$B = $B660 - 1),0)"),0.0)</f>
        <v>0</v>
      </c>
      <c r="X660" s="93"/>
      <c r="Y660" s="93"/>
      <c r="Z660" s="93">
        <v>0.0</v>
      </c>
      <c r="AA660" s="93">
        <v>0.0</v>
      </c>
      <c r="AB660" s="93">
        <v>0.0</v>
      </c>
      <c r="AC660" s="93"/>
      <c r="AD660" s="93">
        <v>0.0</v>
      </c>
      <c r="AE660" s="32">
        <f t="shared" si="2"/>
        <v>0</v>
      </c>
      <c r="AF660" s="93">
        <v>0.0</v>
      </c>
    </row>
    <row r="661">
      <c r="A661" s="86">
        <v>2017.0</v>
      </c>
      <c r="B661" s="87">
        <v>7.0</v>
      </c>
      <c r="C661" s="88" t="s">
        <v>44</v>
      </c>
      <c r="D661" s="32"/>
      <c r="E661" s="32"/>
      <c r="F661" s="32"/>
      <c r="G661" s="93">
        <v>-976.9</v>
      </c>
      <c r="H661" s="93">
        <v>4470.22</v>
      </c>
      <c r="I661" s="32"/>
      <c r="J661" s="93">
        <v>23286.21</v>
      </c>
      <c r="K661" s="32"/>
      <c r="L661" s="32"/>
      <c r="M661" s="32"/>
      <c r="N661" s="32"/>
      <c r="O661" s="93">
        <v>293630.0</v>
      </c>
      <c r="P661" s="91">
        <f>IFERROR(__xludf.DUMMYFUNCTION("IFERROR(sum(FILTER($D:$N,$C:$C = $C661,$A:$A &lt; $A661,$B:$B = 12)),0) + sum($D661:$N661)"),293630.68000000017)</f>
        <v>293630.68</v>
      </c>
      <c r="Q661" s="92">
        <f t="shared" si="1"/>
        <v>-0.6800000002</v>
      </c>
      <c r="R661" s="91">
        <f t="array" ref="R661">IFERROR(INDEX('Fund YTD Target Values'!$1:$1000, MATCH($C661,'Fund YTD Target Values'!$A:$A,0), MATCH($A661,'Fund YTD Target Values'!$1:$1,0)),0)</f>
        <v>313918.5223</v>
      </c>
      <c r="S661" s="91">
        <f>IFERROR(__xludf.DUMMYFUNCTION("IFERROR(sum(FILTER('Fund Investment Data'!$V:$V, 'Fund Investment Data'!$C:$C = $C661, 'Fund Investment Data'!$A:$A &lt; $A661)),0) + IFERROR(sum(FILTER('Fund Investment Data'!$V:$V, 'Fund Investment Data'!$C:$C = $C661, 'Fund Investment Data'!$A:$A = $A661,"&amp;" 'Fund Investment Data'!$B:$B &lt;= $B661)),0)"),250000.0)</f>
        <v>250000</v>
      </c>
      <c r="T661" s="93">
        <v>250000.0</v>
      </c>
      <c r="U661" s="32">
        <f t="shared" si="3"/>
        <v>0</v>
      </c>
      <c r="V661" s="32">
        <f>IFERROR(__xludf.DUMMYFUNCTION("$D661 - IFERROR(FILTER($D:$D,$C:$C = $C661, $A:$A = $A661, $B:$B = $B661 - 1),0)"),0.0)</f>
        <v>0</v>
      </c>
      <c r="W661" s="93">
        <f>IFERROR(__xludf.DUMMYFUNCTION("$E661 - IFERROR(FILTER($E:$E,$C:$C = $C661, $A:$A = $A661, $B:$B = $B661 - 1),0)"),0.0)</f>
        <v>0</v>
      </c>
      <c r="X661" s="93"/>
      <c r="Y661" s="93"/>
      <c r="Z661" s="93">
        <v>0.0</v>
      </c>
      <c r="AA661" s="93">
        <v>0.0</v>
      </c>
      <c r="AB661" s="93">
        <v>0.0</v>
      </c>
      <c r="AC661" s="93"/>
      <c r="AD661" s="93">
        <v>0.0</v>
      </c>
      <c r="AE661" s="32">
        <f t="shared" si="2"/>
        <v>0</v>
      </c>
      <c r="AF661" s="93">
        <v>0.0</v>
      </c>
    </row>
    <row r="662">
      <c r="A662" s="86">
        <v>2017.0</v>
      </c>
      <c r="B662" s="87">
        <v>7.0</v>
      </c>
      <c r="C662" s="88" t="s">
        <v>45</v>
      </c>
      <c r="D662" s="32"/>
      <c r="E662" s="32"/>
      <c r="F662" s="32"/>
      <c r="G662" s="93">
        <v>-489.62</v>
      </c>
      <c r="H662" s="93">
        <v>2181.91</v>
      </c>
      <c r="I662" s="32"/>
      <c r="J662" s="93">
        <v>11300.8</v>
      </c>
      <c r="K662" s="32"/>
      <c r="L662" s="32"/>
      <c r="M662" s="32"/>
      <c r="N662" s="32"/>
      <c r="O662" s="93">
        <v>146938.0</v>
      </c>
      <c r="P662" s="91">
        <f>IFERROR(__xludf.DUMMYFUNCTION("IFERROR(sum(FILTER($D:$N,$C:$C = $C662,$A:$A &lt; $A662,$B:$B = 12)),0) + sum($D662:$N662)"),146937.91999999998)</f>
        <v>146937.92</v>
      </c>
      <c r="Q662" s="92">
        <f t="shared" si="1"/>
        <v>0.08000000002</v>
      </c>
      <c r="R662" s="91">
        <f t="array" ref="R662">IFERROR(INDEX('Fund YTD Target Values'!$1:$1000, MATCH($C662,'Fund YTD Target Values'!$A:$A,0), MATCH($A662,'Fund YTD Target Values'!$1:$1,0)),0)</f>
        <v>118351.1878</v>
      </c>
      <c r="S662" s="91">
        <f>IFERROR(__xludf.DUMMYFUNCTION("IFERROR(sum(FILTER('Fund Investment Data'!$V:$V, 'Fund Investment Data'!$C:$C = $C662, 'Fund Investment Data'!$A:$A &lt; $A662)),0) + IFERROR(sum(FILTER('Fund Investment Data'!$V:$V, 'Fund Investment Data'!$C:$C = $C662, 'Fund Investment Data'!$A:$A = $A662,"&amp;" 'Fund Investment Data'!$B:$B &lt;= $B662)),0)"),100000.0)</f>
        <v>100000</v>
      </c>
      <c r="T662" s="93">
        <v>100000.0</v>
      </c>
      <c r="U662" s="32">
        <f t="shared" si="3"/>
        <v>0</v>
      </c>
      <c r="V662" s="32">
        <f>IFERROR(__xludf.DUMMYFUNCTION("$D662 - IFERROR(FILTER($D:$D,$C:$C = $C662, $A:$A = $A662, $B:$B = $B662 - 1),0)"),0.0)</f>
        <v>0</v>
      </c>
      <c r="W662" s="93">
        <f>IFERROR(__xludf.DUMMYFUNCTION("$E662 - IFERROR(FILTER($E:$E,$C:$C = $C662, $A:$A = $A662, $B:$B = $B662 - 1),0)"),0.0)</f>
        <v>0</v>
      </c>
      <c r="X662" s="93"/>
      <c r="Y662" s="93"/>
      <c r="Z662" s="93">
        <v>0.0</v>
      </c>
      <c r="AA662" s="93">
        <v>0.0</v>
      </c>
      <c r="AB662" s="93">
        <v>0.0</v>
      </c>
      <c r="AC662" s="93"/>
      <c r="AD662" s="93">
        <v>0.0</v>
      </c>
      <c r="AE662" s="32">
        <f t="shared" si="2"/>
        <v>0</v>
      </c>
      <c r="AF662" s="93">
        <v>0.0</v>
      </c>
    </row>
    <row r="663">
      <c r="A663" s="86">
        <v>2017.0</v>
      </c>
      <c r="B663" s="87">
        <v>7.0</v>
      </c>
      <c r="C663" s="88" t="s">
        <v>35</v>
      </c>
      <c r="D663" s="32"/>
      <c r="E663" s="93">
        <v>-21600.0</v>
      </c>
      <c r="F663" s="32"/>
      <c r="G663" s="93">
        <v>-4887.6</v>
      </c>
      <c r="H663" s="93">
        <v>22443.26</v>
      </c>
      <c r="I663" s="93">
        <v>1947.29</v>
      </c>
      <c r="J663" s="93">
        <v>115002.87</v>
      </c>
      <c r="K663" s="32"/>
      <c r="L663" s="32"/>
      <c r="M663" s="32"/>
      <c r="N663" s="32"/>
      <c r="O663" s="93">
        <v>1453764.0</v>
      </c>
      <c r="P663" s="91">
        <f>IFERROR(__xludf.DUMMYFUNCTION("IFERROR(sum(FILTER($D:$N,$C:$C = $C663,$A:$A &lt; $A663,$B:$B = 12)),0) + sum($D663:$N663)"),1453763.4900000005)</f>
        <v>1453763.49</v>
      </c>
      <c r="Q663" s="92">
        <f t="shared" si="1"/>
        <v>0.5099999995</v>
      </c>
      <c r="R663" s="91">
        <f t="array" ref="R663">IFERROR(INDEX('Fund YTD Target Values'!$1:$1000, MATCH($C663,'Fund YTD Target Values'!$A:$A,0), MATCH($A663,'Fund YTD Target Values'!$1:$1,0)),0)</f>
        <v>1541591.16</v>
      </c>
      <c r="S663" s="91">
        <f>IFERROR(__xludf.DUMMYFUNCTION("IFERROR(sum(FILTER('Fund Investment Data'!$V:$V, 'Fund Investment Data'!$C:$C = $C663, 'Fund Investment Data'!$A:$A &lt; $A663)),0) + IFERROR(sum(FILTER('Fund Investment Data'!$V:$V, 'Fund Investment Data'!$C:$C = $C663, 'Fund Investment Data'!$A:$A = $A663,"&amp;" 'Fund Investment Data'!$B:$B &lt;= $B663)),0)"),1086625.0)</f>
        <v>1086625</v>
      </c>
      <c r="T663" s="93">
        <v>1071625.0</v>
      </c>
      <c r="U663" s="32">
        <f t="shared" si="3"/>
        <v>15000</v>
      </c>
      <c r="V663" s="32">
        <f>IFERROR(__xludf.DUMMYFUNCTION("$D663 - IFERROR(FILTER($D:$D,$C:$C = $C663, $A:$A = $A663, $B:$B = $B663 - 1),0)"),0.0)</f>
        <v>0</v>
      </c>
      <c r="W663" s="93">
        <f>IFERROR(__xludf.DUMMYFUNCTION("$E663 - IFERROR(FILTER($E:$E,$C:$C = $C663, $A:$A = $A663, $B:$B = $B663 - 1),0)"),0.0)</f>
        <v>0</v>
      </c>
      <c r="X663" s="93"/>
      <c r="Y663" s="93"/>
      <c r="Z663" s="93">
        <v>0.0</v>
      </c>
      <c r="AA663" s="93">
        <v>0.0</v>
      </c>
      <c r="AB663" s="93">
        <v>0.0</v>
      </c>
      <c r="AC663" s="93"/>
      <c r="AD663" s="93">
        <v>0.0</v>
      </c>
      <c r="AE663" s="32">
        <f t="shared" si="2"/>
        <v>-21600</v>
      </c>
      <c r="AF663" s="93">
        <v>0.0</v>
      </c>
    </row>
    <row r="664">
      <c r="A664" s="86">
        <v>2017.0</v>
      </c>
      <c r="B664" s="87">
        <v>7.0</v>
      </c>
      <c r="C664" s="88" t="s">
        <v>56</v>
      </c>
      <c r="D664" s="32"/>
      <c r="E664" s="93">
        <v>-3000.0</v>
      </c>
      <c r="F664" s="32"/>
      <c r="G664" s="93">
        <v>-3651.41</v>
      </c>
      <c r="H664" s="93">
        <v>16282.81</v>
      </c>
      <c r="I664" s="32"/>
      <c r="J664" s="93">
        <v>84345.88</v>
      </c>
      <c r="K664" s="32"/>
      <c r="L664" s="32"/>
      <c r="M664" s="32"/>
      <c r="N664" s="32"/>
      <c r="O664" s="93">
        <v>1093696.0</v>
      </c>
      <c r="P664" s="91">
        <f>IFERROR(__xludf.DUMMYFUNCTION("IFERROR(sum(FILTER($D:$N,$C:$C = $C664,$A:$A &lt; $A664,$B:$B = 12)),0) + sum($D664:$N664)"),1093695.9)</f>
        <v>1093695.9</v>
      </c>
      <c r="Q664" s="92">
        <f t="shared" si="1"/>
        <v>0.1000000001</v>
      </c>
      <c r="R664" s="91">
        <f t="array" ref="R664">IFERROR(INDEX('Fund YTD Target Values'!$1:$1000, MATCH($C664,'Fund YTD Target Values'!$A:$A,0), MATCH($A664,'Fund YTD Target Values'!$1:$1,0)),0)</f>
        <v>1035433.228</v>
      </c>
      <c r="S664" s="91">
        <f>IFERROR(__xludf.DUMMYFUNCTION("IFERROR(sum(FILTER('Fund Investment Data'!$V:$V, 'Fund Investment Data'!$C:$C = $C664, 'Fund Investment Data'!$A:$A &lt; $A664)),0) + IFERROR(sum(FILTER('Fund Investment Data'!$V:$V, 'Fund Investment Data'!$C:$C = $C664, 'Fund Investment Data'!$A:$A = $A664,"&amp;" 'Fund Investment Data'!$B:$B &lt;= $B664)),0)"),1000000.0)</f>
        <v>1000000</v>
      </c>
      <c r="T664" s="93">
        <v>1000000.0</v>
      </c>
      <c r="U664" s="32">
        <f t="shared" si="3"/>
        <v>0</v>
      </c>
      <c r="V664" s="32">
        <f>IFERROR(__xludf.DUMMYFUNCTION("$D664 - IFERROR(FILTER($D:$D,$C:$C = $C664, $A:$A = $A664, $B:$B = $B664 - 1),0)"),0.0)</f>
        <v>0</v>
      </c>
      <c r="W664" s="93">
        <f>IFERROR(__xludf.DUMMYFUNCTION("$E664 - IFERROR(FILTER($E:$E,$C:$C = $C664, $A:$A = $A664, $B:$B = $B664 - 1),0)"),0.0)</f>
        <v>0</v>
      </c>
      <c r="X664" s="93"/>
      <c r="Y664" s="93"/>
      <c r="Z664" s="93">
        <v>0.0</v>
      </c>
      <c r="AA664" s="93">
        <v>0.0</v>
      </c>
      <c r="AB664" s="93">
        <v>0.0</v>
      </c>
      <c r="AC664" s="93"/>
      <c r="AD664" s="93">
        <v>0.0</v>
      </c>
      <c r="AE664" s="32">
        <f t="shared" si="2"/>
        <v>-3000</v>
      </c>
      <c r="AF664" s="93">
        <v>0.0</v>
      </c>
    </row>
    <row r="665">
      <c r="A665" s="86">
        <v>2017.0</v>
      </c>
      <c r="B665" s="87">
        <v>8.0</v>
      </c>
      <c r="C665" s="88" t="s">
        <v>26</v>
      </c>
      <c r="D665" s="93">
        <v>9843.0</v>
      </c>
      <c r="E665" s="93">
        <v>-1000.0</v>
      </c>
      <c r="F665" s="32"/>
      <c r="G665" s="93">
        <v>-1249.24</v>
      </c>
      <c r="H665" s="93">
        <v>5080.89</v>
      </c>
      <c r="I665" s="32"/>
      <c r="J665" s="93">
        <v>25993.49</v>
      </c>
      <c r="K665" s="32"/>
      <c r="L665" s="32"/>
      <c r="M665" s="32"/>
      <c r="N665" s="32"/>
      <c r="O665" s="93">
        <v>327152.0</v>
      </c>
      <c r="P665" s="91">
        <f>IFERROR(__xludf.DUMMYFUNCTION("IFERROR(sum(FILTER($D:$N,$C:$C = $C665,$A:$A &lt; $A665,$B:$B = 12)),0) + sum($D665:$N665)"),327150.82999999996)</f>
        <v>327150.83</v>
      </c>
      <c r="Q665" s="92">
        <f t="shared" si="1"/>
        <v>1.17</v>
      </c>
      <c r="R665" s="91">
        <f t="array" ref="R665">IFERROR(INDEX('Fund YTD Target Values'!$1:$1000, MATCH($C665,'Fund YTD Target Values'!$A:$A,0), MATCH($A665,'Fund YTD Target Values'!$1:$1,0)),0)</f>
        <v>351339.7985</v>
      </c>
      <c r="S665" s="91">
        <f>IFERROR(__xludf.DUMMYFUNCTION("IFERROR(sum(FILTER('Fund Investment Data'!$V:$V, 'Fund Investment Data'!$C:$C = $C665, 'Fund Investment Data'!$A:$A &lt; $A665)),0) + IFERROR(sum(FILTER('Fund Investment Data'!$V:$V, 'Fund Investment Data'!$C:$C = $C665, 'Fund Investment Data'!$A:$A = $A665,"&amp;" 'Fund Investment Data'!$B:$B &lt;= $B665)),0)"),291810.0)</f>
        <v>291810</v>
      </c>
      <c r="T665" s="93">
        <v>291811.0</v>
      </c>
      <c r="U665" s="32">
        <f t="shared" si="3"/>
        <v>-1</v>
      </c>
      <c r="V665" s="32">
        <f>IFERROR(__xludf.DUMMYFUNCTION("$D665 - IFERROR(FILTER($D:$D,$C:$C = $C665, $A:$A = $A665, $B:$B = $B665 - 1),0)"),0.0)</f>
        <v>0</v>
      </c>
      <c r="W665" s="93">
        <f>IFERROR(__xludf.DUMMYFUNCTION("$E665 - IFERROR(FILTER($E:$E,$C:$C = $C665, $A:$A = $A665, $B:$B = $B665 - 1),0)"),-1000.0)</f>
        <v>-1000</v>
      </c>
      <c r="X665" s="93"/>
      <c r="Y665" s="93"/>
      <c r="Z665" s="93">
        <v>0.0</v>
      </c>
      <c r="AA665" s="93">
        <v>0.0</v>
      </c>
      <c r="AB665" s="93">
        <v>0.0</v>
      </c>
      <c r="AC665" s="93"/>
      <c r="AD665" s="93">
        <v>0.0</v>
      </c>
      <c r="AE665" s="32">
        <f t="shared" si="2"/>
        <v>-1000</v>
      </c>
      <c r="AF665" s="93">
        <v>0.0</v>
      </c>
    </row>
    <row r="666">
      <c r="A666" s="86">
        <v>2017.0</v>
      </c>
      <c r="B666" s="87">
        <v>8.0</v>
      </c>
      <c r="C666" s="88" t="s">
        <v>27</v>
      </c>
      <c r="D666" s="32"/>
      <c r="E666" s="93">
        <v>-5000.0</v>
      </c>
      <c r="F666" s="32"/>
      <c r="G666" s="93">
        <v>-1177.9</v>
      </c>
      <c r="H666" s="93">
        <v>4910.11</v>
      </c>
      <c r="I666" s="93">
        <v>331.85</v>
      </c>
      <c r="J666" s="93">
        <v>24959.32</v>
      </c>
      <c r="K666" s="32"/>
      <c r="L666" s="32"/>
      <c r="M666" s="32"/>
      <c r="N666" s="32"/>
      <c r="O666" s="93">
        <v>305536.0</v>
      </c>
      <c r="P666" s="91">
        <f>IFERROR(__xludf.DUMMYFUNCTION("IFERROR(sum(FILTER($D:$N,$C:$C = $C666,$A:$A &lt; $A666,$B:$B = 12)),0) + sum($D666:$N666)"),305536.5400000001)</f>
        <v>305536.54</v>
      </c>
      <c r="Q666" s="92">
        <f t="shared" si="1"/>
        <v>-0.5400000001</v>
      </c>
      <c r="R666" s="91">
        <f t="array" ref="R666">IFERROR(INDEX('Fund YTD Target Values'!$1:$1000, MATCH($C666,'Fund YTD Target Values'!$A:$A,0), MATCH($A666,'Fund YTD Target Values'!$1:$1,0)),0)</f>
        <v>383919.6363</v>
      </c>
      <c r="S666" s="91">
        <f>IFERROR(__xludf.DUMMYFUNCTION("IFERROR(sum(FILTER('Fund Investment Data'!$V:$V, 'Fund Investment Data'!$C:$C = $C666, 'Fund Investment Data'!$A:$A &lt; $A666)),0) + IFERROR(sum(FILTER('Fund Investment Data'!$V:$V, 'Fund Investment Data'!$C:$C = $C666, 'Fund Investment Data'!$A:$A = $A666,"&amp;" 'Fund Investment Data'!$B:$B &lt;= $B666)),0)"),276213.69999999995)</f>
        <v>276213.7</v>
      </c>
      <c r="T666" s="93">
        <v>272248.0</v>
      </c>
      <c r="U666" s="32">
        <f t="shared" si="3"/>
        <v>3965.7</v>
      </c>
      <c r="V666" s="32">
        <f>IFERROR(__xludf.DUMMYFUNCTION("$D666 - IFERROR(FILTER($D:$D,$C:$C = $C666, $A:$A = $A666, $B:$B = $B666 - 1),0)"),0.0)</f>
        <v>0</v>
      </c>
      <c r="W666" s="93">
        <f>IFERROR(__xludf.DUMMYFUNCTION("$E666 - IFERROR(FILTER($E:$E,$C:$C = $C666, $A:$A = $A666, $B:$B = $B666 - 1),0)"),0.0)</f>
        <v>0</v>
      </c>
      <c r="X666" s="93"/>
      <c r="Y666" s="93"/>
      <c r="Z666" s="93">
        <v>0.0</v>
      </c>
      <c r="AA666" s="93">
        <v>0.0</v>
      </c>
      <c r="AB666" s="93">
        <v>0.0</v>
      </c>
      <c r="AC666" s="93"/>
      <c r="AD666" s="93">
        <v>0.0</v>
      </c>
      <c r="AE666" s="32">
        <f t="shared" si="2"/>
        <v>-5000</v>
      </c>
      <c r="AF666" s="93">
        <v>0.0</v>
      </c>
    </row>
    <row r="667">
      <c r="A667" s="86">
        <v>2017.0</v>
      </c>
      <c r="B667" s="87">
        <v>8.0</v>
      </c>
      <c r="C667" s="88" t="s">
        <v>28</v>
      </c>
      <c r="D667" s="32"/>
      <c r="E667" s="93">
        <v>-68600.0</v>
      </c>
      <c r="F667" s="32"/>
      <c r="G667" s="93">
        <v>-12790.95</v>
      </c>
      <c r="H667" s="93">
        <v>53411.39</v>
      </c>
      <c r="I667" s="93">
        <v>7123.93</v>
      </c>
      <c r="J667" s="93">
        <v>268004.65</v>
      </c>
      <c r="K667" s="32"/>
      <c r="L667" s="32"/>
      <c r="M667" s="32"/>
      <c r="N667" s="32"/>
      <c r="O667" s="93">
        <v>3305783.0</v>
      </c>
      <c r="P667" s="91">
        <f>IFERROR(__xludf.DUMMYFUNCTION("IFERROR(sum(FILTER($D:$N,$C:$C = $C667,$A:$A &lt; $A667,$B:$B = 12)),0) + sum($D667:$N667)"),3305782.3)</f>
        <v>3305782.3</v>
      </c>
      <c r="Q667" s="92">
        <f t="shared" si="1"/>
        <v>0.7000000002</v>
      </c>
      <c r="R667" s="91">
        <f t="array" ref="R667">IFERROR(INDEX('Fund YTD Target Values'!$1:$1000, MATCH($C667,'Fund YTD Target Values'!$A:$A,0), MATCH($A667,'Fund YTD Target Values'!$1:$1,0)),0)</f>
        <v>3748913.384</v>
      </c>
      <c r="S667" s="91">
        <f>IFERROR(__xludf.DUMMYFUNCTION("IFERROR(sum(FILTER('Fund Investment Data'!$V:$V, 'Fund Investment Data'!$C:$C = $C667, 'Fund Investment Data'!$A:$A &lt; $A667)),0) + IFERROR(sum(FILTER('Fund Investment Data'!$V:$V, 'Fund Investment Data'!$C:$C = $C667, 'Fund Investment Data'!$A:$A = $A667,"&amp;" 'Fund Investment Data'!$B:$B &lt;= $B667)),0)"),2960091.25)</f>
        <v>2960091.25</v>
      </c>
      <c r="T667" s="93">
        <v>3009816.0</v>
      </c>
      <c r="U667" s="32">
        <f t="shared" si="3"/>
        <v>-49724.75</v>
      </c>
      <c r="V667" s="32">
        <f>IFERROR(__xludf.DUMMYFUNCTION("$D667 - IFERROR(FILTER($D:$D,$C:$C = $C667, $A:$A = $A667, $B:$B = $B667 - 1),0)"),0.0)</f>
        <v>0</v>
      </c>
      <c r="W667" s="93">
        <f>IFERROR(__xludf.DUMMYFUNCTION("$E667 - IFERROR(FILTER($E:$E,$C:$C = $C667, $A:$A = $A667, $B:$B = $B667 - 1),0)"),-8600.0)</f>
        <v>-8600</v>
      </c>
      <c r="X667" s="93"/>
      <c r="Y667" s="93"/>
      <c r="Z667" s="93">
        <v>0.0</v>
      </c>
      <c r="AA667" s="93">
        <v>0.0</v>
      </c>
      <c r="AB667" s="93">
        <v>0.0</v>
      </c>
      <c r="AC667" s="93"/>
      <c r="AD667" s="93">
        <v>0.0</v>
      </c>
      <c r="AE667" s="32">
        <f t="shared" si="2"/>
        <v>-68600</v>
      </c>
      <c r="AF667" s="93">
        <v>0.0</v>
      </c>
    </row>
    <row r="668">
      <c r="A668" s="86">
        <v>2017.0</v>
      </c>
      <c r="B668" s="87">
        <v>8.0</v>
      </c>
      <c r="C668" s="88" t="s">
        <v>46</v>
      </c>
      <c r="D668" s="32"/>
      <c r="E668" s="93">
        <v>-5700.0</v>
      </c>
      <c r="F668" s="32"/>
      <c r="G668" s="93">
        <v>-1608.1</v>
      </c>
      <c r="H668" s="93">
        <v>6684.33</v>
      </c>
      <c r="I668" s="32"/>
      <c r="J668" s="93">
        <v>34408.74</v>
      </c>
      <c r="K668" s="32"/>
      <c r="L668" s="32"/>
      <c r="M668" s="32"/>
      <c r="N668" s="32"/>
      <c r="O668" s="93">
        <v>415665.0</v>
      </c>
      <c r="P668" s="91">
        <f>IFERROR(__xludf.DUMMYFUNCTION("IFERROR(sum(FILTER($D:$N,$C:$C = $C668,$A:$A &lt; $A668,$B:$B = 12)),0) + sum($D668:$N668)"),415665.52)</f>
        <v>415665.52</v>
      </c>
      <c r="Q668" s="92">
        <f t="shared" si="1"/>
        <v>-0.52</v>
      </c>
      <c r="R668" s="91">
        <f t="array" ref="R668">IFERROR(INDEX('Fund YTD Target Values'!$1:$1000, MATCH($C668,'Fund YTD Target Values'!$A:$A,0), MATCH($A668,'Fund YTD Target Values'!$1:$1,0)),0)</f>
        <v>445660.8761</v>
      </c>
      <c r="S668" s="91">
        <f>IFERROR(__xludf.DUMMYFUNCTION("IFERROR(sum(FILTER('Fund Investment Data'!$V:$V, 'Fund Investment Data'!$C:$C = $C668, 'Fund Investment Data'!$A:$A &lt; $A668)),0) + IFERROR(sum(FILTER('Fund Investment Data'!$V:$V, 'Fund Investment Data'!$C:$C = $C668, 'Fund Investment Data'!$A:$A = $A668,"&amp;" 'Fund Investment Data'!$B:$B &lt;= $B668)),0)"),366400.0)</f>
        <v>366400</v>
      </c>
      <c r="T668" s="93">
        <v>366400.0</v>
      </c>
      <c r="U668" s="32">
        <f t="shared" si="3"/>
        <v>0</v>
      </c>
      <c r="V668" s="32">
        <f>IFERROR(__xludf.DUMMYFUNCTION("$D668 - IFERROR(FILTER($D:$D,$C:$C = $C668, $A:$A = $A668, $B:$B = $B668 - 1),0)"),0.0)</f>
        <v>0</v>
      </c>
      <c r="W668" s="93">
        <f>IFERROR(__xludf.DUMMYFUNCTION("$E668 - IFERROR(FILTER($E:$E,$C:$C = $C668, $A:$A = $A668, $B:$B = $B668 - 1),0)"),-5700.0)</f>
        <v>-5700</v>
      </c>
      <c r="X668" s="93"/>
      <c r="Y668" s="93"/>
      <c r="Z668" s="93">
        <v>0.0</v>
      </c>
      <c r="AA668" s="93">
        <v>0.0</v>
      </c>
      <c r="AB668" s="93">
        <v>0.0</v>
      </c>
      <c r="AC668" s="93"/>
      <c r="AD668" s="93">
        <v>0.0</v>
      </c>
      <c r="AE668" s="32">
        <f t="shared" si="2"/>
        <v>-5700</v>
      </c>
      <c r="AF668" s="93">
        <v>0.0</v>
      </c>
    </row>
    <row r="669">
      <c r="A669" s="86">
        <v>2017.0</v>
      </c>
      <c r="B669" s="87">
        <v>8.0</v>
      </c>
      <c r="C669" s="88" t="s">
        <v>36</v>
      </c>
      <c r="D669" s="32"/>
      <c r="E669" s="93">
        <v>-6900.0</v>
      </c>
      <c r="F669" s="32"/>
      <c r="G669" s="93">
        <v>-1754.29</v>
      </c>
      <c r="H669" s="93">
        <v>7306.52</v>
      </c>
      <c r="I669" s="32"/>
      <c r="J669" s="93">
        <v>37637.15</v>
      </c>
      <c r="K669" s="32"/>
      <c r="L669" s="32"/>
      <c r="M669" s="32"/>
      <c r="N669" s="32"/>
      <c r="O669" s="93">
        <v>454700.0</v>
      </c>
      <c r="P669" s="91">
        <f>IFERROR(__xludf.DUMMYFUNCTION("IFERROR(sum(FILTER($D:$N,$C:$C = $C669,$A:$A &lt; $A669,$B:$B = 12)),0) + sum($D669:$N669)"),454699.80000000005)</f>
        <v>454699.8</v>
      </c>
      <c r="Q669" s="92">
        <f t="shared" si="1"/>
        <v>0.2</v>
      </c>
      <c r="R669" s="91">
        <f t="array" ref="R669">IFERROR(INDEX('Fund YTD Target Values'!$1:$1000, MATCH($C669,'Fund YTD Target Values'!$A:$A,0), MATCH($A669,'Fund YTD Target Values'!$1:$1,0)),0)</f>
        <v>620333.8441</v>
      </c>
      <c r="S669" s="91">
        <f>IFERROR(__xludf.DUMMYFUNCTION("IFERROR(sum(FILTER('Fund Investment Data'!$V:$V, 'Fund Investment Data'!$C:$C = $C669, 'Fund Investment Data'!$A:$A &lt; $A669)),0) + IFERROR(sum(FILTER('Fund Investment Data'!$V:$V, 'Fund Investment Data'!$C:$C = $C669, 'Fund Investment Data'!$A:$A = $A669,"&amp;" 'Fund Investment Data'!$B:$B &lt;= $B669)),0)"),429067.24)</f>
        <v>429067.24</v>
      </c>
      <c r="T669" s="93">
        <v>413959.0</v>
      </c>
      <c r="U669" s="32">
        <f t="shared" si="3"/>
        <v>15108.24</v>
      </c>
      <c r="V669" s="32">
        <f>IFERROR(__xludf.DUMMYFUNCTION("$D669 - IFERROR(FILTER($D:$D,$C:$C = $C669, $A:$A = $A669, $B:$B = $B669 - 1),0)"),0.0)</f>
        <v>0</v>
      </c>
      <c r="W669" s="93">
        <f>IFERROR(__xludf.DUMMYFUNCTION("$E669 - IFERROR(FILTER($E:$E,$C:$C = $C669, $A:$A = $A669, $B:$B = $B669 - 1),0)"),-1900.0)</f>
        <v>-1900</v>
      </c>
      <c r="X669" s="93"/>
      <c r="Y669" s="93"/>
      <c r="Z669" s="93">
        <v>0.0</v>
      </c>
      <c r="AA669" s="93">
        <v>0.0</v>
      </c>
      <c r="AB669" s="93">
        <v>0.0</v>
      </c>
      <c r="AC669" s="93"/>
      <c r="AD669" s="93">
        <v>0.0</v>
      </c>
      <c r="AE669" s="32">
        <f t="shared" si="2"/>
        <v>-6900</v>
      </c>
      <c r="AF669" s="93">
        <v>0.0</v>
      </c>
    </row>
    <row r="670">
      <c r="A670" s="86">
        <v>2017.0</v>
      </c>
      <c r="B670" s="87">
        <v>8.0</v>
      </c>
      <c r="C670" s="88" t="s">
        <v>37</v>
      </c>
      <c r="D670" s="32"/>
      <c r="E670" s="93">
        <v>-12000.0</v>
      </c>
      <c r="F670" s="32"/>
      <c r="G670" s="93">
        <v>-3296.76</v>
      </c>
      <c r="H670" s="93">
        <v>13756.63</v>
      </c>
      <c r="I670" s="93">
        <v>257.53</v>
      </c>
      <c r="J670" s="93">
        <v>70629.84</v>
      </c>
      <c r="K670" s="32"/>
      <c r="L670" s="32"/>
      <c r="M670" s="32"/>
      <c r="N670" s="32"/>
      <c r="O670" s="93">
        <v>855718.0</v>
      </c>
      <c r="P670" s="91">
        <f>IFERROR(__xludf.DUMMYFUNCTION("IFERROR(sum(FILTER($D:$N,$C:$C = $C670,$A:$A &lt; $A670,$B:$B = 12)),0) + sum($D670:$N670)"),855718.25)</f>
        <v>855718.25</v>
      </c>
      <c r="Q670" s="92">
        <f t="shared" si="1"/>
        <v>-0.25</v>
      </c>
      <c r="R670" s="91">
        <f t="array" ref="R670">IFERROR(INDEX('Fund YTD Target Values'!$1:$1000, MATCH($C670,'Fund YTD Target Values'!$A:$A,0), MATCH($A670,'Fund YTD Target Values'!$1:$1,0)),0)</f>
        <v>825458.0276</v>
      </c>
      <c r="S670" s="91">
        <f>IFERROR(__xludf.DUMMYFUNCTION("IFERROR(sum(FILTER('Fund Investment Data'!$V:$V, 'Fund Investment Data'!$C:$C = $C670, 'Fund Investment Data'!$A:$A &lt; $A670)),0) + IFERROR(sum(FILTER('Fund Investment Data'!$V:$V, 'Fund Investment Data'!$C:$C = $C670, 'Fund Investment Data'!$A:$A = $A670,"&amp;" 'Fund Investment Data'!$B:$B &lt;= $B670)),0)"),758137.86)</f>
        <v>758137.86</v>
      </c>
      <c r="T670" s="93">
        <v>742866.0</v>
      </c>
      <c r="U670" s="32">
        <f t="shared" si="3"/>
        <v>15271.86</v>
      </c>
      <c r="V670" s="32">
        <f>IFERROR(__xludf.DUMMYFUNCTION("$D670 - IFERROR(FILTER($D:$D,$C:$C = $C670, $A:$A = $A670, $B:$B = $B670 - 1),0)"),0.0)</f>
        <v>0</v>
      </c>
      <c r="W670" s="93">
        <f>IFERROR(__xludf.DUMMYFUNCTION("$E670 - IFERROR(FILTER($E:$E,$C:$C = $C670, $A:$A = $A670, $B:$B = $B670 - 1),0)"),-2000.0)</f>
        <v>-2000</v>
      </c>
      <c r="X670" s="93"/>
      <c r="Y670" s="93"/>
      <c r="Z670" s="93">
        <v>0.0</v>
      </c>
      <c r="AA670" s="93">
        <v>0.0</v>
      </c>
      <c r="AB670" s="93">
        <v>0.0</v>
      </c>
      <c r="AC670" s="93"/>
      <c r="AD670" s="93">
        <v>0.0</v>
      </c>
      <c r="AE670" s="32">
        <f t="shared" si="2"/>
        <v>-12000</v>
      </c>
      <c r="AF670" s="93">
        <v>0.0</v>
      </c>
    </row>
    <row r="671">
      <c r="A671" s="86">
        <v>2017.0</v>
      </c>
      <c r="B671" s="87">
        <v>8.0</v>
      </c>
      <c r="C671" s="88" t="s">
        <v>29</v>
      </c>
      <c r="D671" s="32"/>
      <c r="E671" s="32"/>
      <c r="F671" s="32"/>
      <c r="G671" s="93">
        <v>-224.05</v>
      </c>
      <c r="H671" s="93">
        <v>930.21</v>
      </c>
      <c r="I671" s="32"/>
      <c r="J671" s="93">
        <v>4786.67</v>
      </c>
      <c r="K671" s="32"/>
      <c r="L671" s="32"/>
      <c r="M671" s="32"/>
      <c r="N671" s="32"/>
      <c r="O671" s="93">
        <v>58706.0</v>
      </c>
      <c r="P671" s="91">
        <f>IFERROR(__xludf.DUMMYFUNCTION("IFERROR(sum(FILTER($D:$N,$C:$C = $C671,$A:$A &lt; $A671,$B:$B = 12)),0) + sum($D671:$N671)"),58705.919999999925)</f>
        <v>58705.92</v>
      </c>
      <c r="Q671" s="92">
        <f t="shared" si="1"/>
        <v>0.08000000007</v>
      </c>
      <c r="R671" s="91">
        <f t="array" ref="R671">IFERROR(INDEX('Fund YTD Target Values'!$1:$1000, MATCH($C671,'Fund YTD Target Values'!$A:$A,0), MATCH($A671,'Fund YTD Target Values'!$1:$1,0)),0)</f>
        <v>75218.58778</v>
      </c>
      <c r="S671" s="91">
        <f>IFERROR(__xludf.DUMMYFUNCTION("IFERROR(sum(FILTER('Fund Investment Data'!$V:$V, 'Fund Investment Data'!$C:$C = $C671, 'Fund Investment Data'!$A:$A &lt; $A671)),0) + IFERROR(sum(FILTER('Fund Investment Data'!$V:$V, 'Fund Investment Data'!$C:$C = $C671, 'Fund Investment Data'!$A:$A = $A671,"&amp;" 'Fund Investment Data'!$B:$B &lt;= $B671)),0)"),50000.0)</f>
        <v>50000</v>
      </c>
      <c r="T671" s="93">
        <v>50000.0</v>
      </c>
      <c r="U671" s="32">
        <f t="shared" si="3"/>
        <v>0</v>
      </c>
      <c r="V671" s="32">
        <f>IFERROR(__xludf.DUMMYFUNCTION("$D671 - IFERROR(FILTER($D:$D,$C:$C = $C671, $A:$A = $A671, $B:$B = $B671 - 1),0)"),0.0)</f>
        <v>0</v>
      </c>
      <c r="W671" s="93">
        <f>IFERROR(__xludf.DUMMYFUNCTION("$E671 - IFERROR(FILTER($E:$E,$C:$C = $C671, $A:$A = $A671, $B:$B = $B671 - 1),0)"),0.0)</f>
        <v>0</v>
      </c>
      <c r="X671" s="93"/>
      <c r="Y671" s="93"/>
      <c r="Z671" s="93">
        <v>0.0</v>
      </c>
      <c r="AA671" s="93">
        <v>0.0</v>
      </c>
      <c r="AB671" s="93">
        <v>0.0</v>
      </c>
      <c r="AC671" s="93"/>
      <c r="AD671" s="93">
        <v>0.0</v>
      </c>
      <c r="AE671" s="32">
        <f t="shared" si="2"/>
        <v>0</v>
      </c>
      <c r="AF671" s="93">
        <v>0.0</v>
      </c>
    </row>
    <row r="672">
      <c r="A672" s="86">
        <v>2017.0</v>
      </c>
      <c r="B672" s="87">
        <v>8.0</v>
      </c>
      <c r="C672" s="88" t="s">
        <v>38</v>
      </c>
      <c r="D672" s="32"/>
      <c r="E672" s="93">
        <v>-10000.0</v>
      </c>
      <c r="F672" s="32"/>
      <c r="G672" s="93">
        <v>-3022.19</v>
      </c>
      <c r="H672" s="93">
        <v>12571.1</v>
      </c>
      <c r="I672" s="32"/>
      <c r="J672" s="93">
        <v>64723.68</v>
      </c>
      <c r="K672" s="32"/>
      <c r="L672" s="32"/>
      <c r="M672" s="32"/>
      <c r="N672" s="32"/>
      <c r="O672" s="93">
        <v>781925.0</v>
      </c>
      <c r="P672" s="91">
        <f>IFERROR(__xludf.DUMMYFUNCTION("IFERROR(sum(FILTER($D:$N,$C:$C = $C672,$A:$A &lt; $A672,$B:$B = 12)),0) + sum($D672:$N672)"),781923.5599999998)</f>
        <v>781923.56</v>
      </c>
      <c r="Q672" s="92">
        <f t="shared" si="1"/>
        <v>1.44</v>
      </c>
      <c r="R672" s="91">
        <f t="array" ref="R672">IFERROR(INDEX('Fund YTD Target Values'!$1:$1000, MATCH($C672,'Fund YTD Target Values'!$A:$A,0), MATCH($A672,'Fund YTD Target Values'!$1:$1,0)),0)</f>
        <v>685763.9306</v>
      </c>
      <c r="S672" s="91">
        <f>IFERROR(__xludf.DUMMYFUNCTION("IFERROR(sum(FILTER('Fund Investment Data'!$V:$V, 'Fund Investment Data'!$C:$C = $C672, 'Fund Investment Data'!$A:$A &lt; $A672)),0) + IFERROR(sum(FILTER('Fund Investment Data'!$V:$V, 'Fund Investment Data'!$C:$C = $C672, 'Fund Investment Data'!$A:$A = $A672,"&amp;" 'Fund Investment Data'!$B:$B &lt;= $B672)),0)"),556601.64)</f>
        <v>556601.64</v>
      </c>
      <c r="T672" s="93">
        <v>558656.0</v>
      </c>
      <c r="U672" s="32">
        <f t="shared" si="3"/>
        <v>-2054.36</v>
      </c>
      <c r="V672" s="32">
        <f>IFERROR(__xludf.DUMMYFUNCTION("$D672 - IFERROR(FILTER($D:$D,$C:$C = $C672, $A:$A = $A672, $B:$B = $B672 - 1),0)"),0.0)</f>
        <v>0</v>
      </c>
      <c r="W672" s="93">
        <f>IFERROR(__xludf.DUMMYFUNCTION("$E672 - IFERROR(FILTER($E:$E,$C:$C = $C672, $A:$A = $A672, $B:$B = $B672 - 1),0)"),-10000.0)</f>
        <v>-10000</v>
      </c>
      <c r="X672" s="93"/>
      <c r="Y672" s="93"/>
      <c r="Z672" s="93">
        <v>0.0</v>
      </c>
      <c r="AA672" s="93">
        <v>0.0</v>
      </c>
      <c r="AB672" s="93">
        <v>0.0</v>
      </c>
      <c r="AC672" s="93"/>
      <c r="AD672" s="93">
        <v>0.0</v>
      </c>
      <c r="AE672" s="32">
        <f t="shared" si="2"/>
        <v>-10000</v>
      </c>
      <c r="AF672" s="93">
        <v>0.0</v>
      </c>
    </row>
    <row r="673">
      <c r="A673" s="86">
        <v>2017.0</v>
      </c>
      <c r="B673" s="87">
        <v>8.0</v>
      </c>
      <c r="C673" s="88" t="s">
        <v>30</v>
      </c>
      <c r="D673" s="32"/>
      <c r="E673" s="32"/>
      <c r="F673" s="32"/>
      <c r="G673" s="93">
        <v>-63.82</v>
      </c>
      <c r="H673" s="93">
        <v>255.43</v>
      </c>
      <c r="I673" s="32"/>
      <c r="J673" s="93">
        <v>1300.96</v>
      </c>
      <c r="K673" s="32"/>
      <c r="L673" s="32"/>
      <c r="M673" s="32"/>
      <c r="N673" s="32"/>
      <c r="O673" s="93">
        <v>16691.0</v>
      </c>
      <c r="P673" s="91">
        <f>IFERROR(__xludf.DUMMYFUNCTION("IFERROR(sum(FILTER($D:$N,$C:$C = $C673,$A:$A &lt; $A673,$B:$B = 12)),0) + sum($D673:$N673)"),16689.85999999999)</f>
        <v>16689.86</v>
      </c>
      <c r="Q673" s="92">
        <f t="shared" si="1"/>
        <v>1.14</v>
      </c>
      <c r="R673" s="91">
        <f t="array" ref="R673">IFERROR(INDEX('Fund YTD Target Values'!$1:$1000, MATCH($C673,'Fund YTD Target Values'!$A:$A,0), MATCH($A673,'Fund YTD Target Values'!$1:$1,0)),0)</f>
        <v>18043.81747</v>
      </c>
      <c r="S673" s="91">
        <f>IFERROR(__xludf.DUMMYFUNCTION("IFERROR(sum(FILTER('Fund Investment Data'!$V:$V, 'Fund Investment Data'!$C:$C = $C673, 'Fund Investment Data'!$A:$A &lt; $A673)),0) + IFERROR(sum(FILTER('Fund Investment Data'!$V:$V, 'Fund Investment Data'!$C:$C = $C673, 'Fund Investment Data'!$A:$A = $A673,"&amp;" 'Fund Investment Data'!$B:$B &lt;= $B673)),0)"),11540.75)</f>
        <v>11540.75</v>
      </c>
      <c r="T673" s="93">
        <v>10000.0</v>
      </c>
      <c r="U673" s="32">
        <f t="shared" si="3"/>
        <v>1540.75</v>
      </c>
      <c r="V673" s="32">
        <f>IFERROR(__xludf.DUMMYFUNCTION("$D673 - IFERROR(FILTER($D:$D,$C:$C = $C673, $A:$A = $A673, $B:$B = $B673 - 1),0)"),0.0)</f>
        <v>0</v>
      </c>
      <c r="W673" s="93">
        <f>IFERROR(__xludf.DUMMYFUNCTION("$E673 - IFERROR(FILTER($E:$E,$C:$C = $C673, $A:$A = $A673, $B:$B = $B673 - 1),0)"),0.0)</f>
        <v>0</v>
      </c>
      <c r="X673" s="93"/>
      <c r="Y673" s="93"/>
      <c r="Z673" s="93">
        <v>0.0</v>
      </c>
      <c r="AA673" s="93">
        <v>0.0</v>
      </c>
      <c r="AB673" s="93">
        <v>0.0</v>
      </c>
      <c r="AC673" s="93"/>
      <c r="AD673" s="93">
        <v>0.0</v>
      </c>
      <c r="AE673" s="32">
        <f t="shared" si="2"/>
        <v>0</v>
      </c>
      <c r="AF673" s="93">
        <v>0.0</v>
      </c>
    </row>
    <row r="674">
      <c r="A674" s="86">
        <v>2017.0</v>
      </c>
      <c r="B674" s="87">
        <v>8.0</v>
      </c>
      <c r="C674" s="88" t="s">
        <v>47</v>
      </c>
      <c r="D674" s="93">
        <v>10000.0</v>
      </c>
      <c r="E674" s="93">
        <v>-38800.0</v>
      </c>
      <c r="F674" s="32"/>
      <c r="G674" s="93">
        <v>-5763.72</v>
      </c>
      <c r="H674" s="93">
        <v>23981.93</v>
      </c>
      <c r="I674" s="93">
        <v>1793.99</v>
      </c>
      <c r="J674" s="93">
        <v>121648.34</v>
      </c>
      <c r="K674" s="32"/>
      <c r="L674" s="32"/>
      <c r="M674" s="32"/>
      <c r="N674" s="32"/>
      <c r="O674" s="93">
        <v>1487066.0</v>
      </c>
      <c r="P674" s="91">
        <f>IFERROR(__xludf.DUMMYFUNCTION("IFERROR(sum(FILTER($D:$N,$C:$C = $C674,$A:$A &lt; $A674,$B:$B = 12)),0) + sum($D674:$N674)"),1487065.8699999996)</f>
        <v>1487065.87</v>
      </c>
      <c r="Q674" s="92">
        <f t="shared" si="1"/>
        <v>0.1300000004</v>
      </c>
      <c r="R674" s="91">
        <f t="array" ref="R674">IFERROR(INDEX('Fund YTD Target Values'!$1:$1000, MATCH($C674,'Fund YTD Target Values'!$A:$A,0), MATCH($A674,'Fund YTD Target Values'!$1:$1,0)),0)</f>
        <v>1951070.709</v>
      </c>
      <c r="S674" s="91">
        <f>IFERROR(__xludf.DUMMYFUNCTION("IFERROR(sum(FILTER('Fund Investment Data'!$V:$V, 'Fund Investment Data'!$C:$C = $C674, 'Fund Investment Data'!$A:$A &lt; $A674)),0) + IFERROR(sum(FILTER('Fund Investment Data'!$V:$V, 'Fund Investment Data'!$C:$C = $C674, 'Fund Investment Data'!$A:$A = $A674,"&amp;" 'Fund Investment Data'!$B:$B &lt;= $B674)),0)"),1456367.46)</f>
        <v>1456367.46</v>
      </c>
      <c r="T674" s="93">
        <v>1348955.0</v>
      </c>
      <c r="U674" s="32">
        <f t="shared" si="3"/>
        <v>107412.46</v>
      </c>
      <c r="V674" s="32">
        <f>IFERROR(__xludf.DUMMYFUNCTION("$D674 - IFERROR(FILTER($D:$D,$C:$C = $C674, $A:$A = $A674, $B:$B = $B674 - 1),0)"),0.0)</f>
        <v>0</v>
      </c>
      <c r="W674" s="93">
        <f>IFERROR(__xludf.DUMMYFUNCTION("$E674 - IFERROR(FILTER($E:$E,$C:$C = $C674, $A:$A = $A674, $B:$B = $B674 - 1),0)"),-13800.0)</f>
        <v>-13800</v>
      </c>
      <c r="X674" s="93"/>
      <c r="Y674" s="93"/>
      <c r="Z674" s="93">
        <v>0.0</v>
      </c>
      <c r="AA674" s="93">
        <v>0.0</v>
      </c>
      <c r="AB674" s="93">
        <v>0.0</v>
      </c>
      <c r="AC674" s="93"/>
      <c r="AD674" s="93">
        <v>0.0</v>
      </c>
      <c r="AE674" s="32">
        <f t="shared" si="2"/>
        <v>-38800</v>
      </c>
      <c r="AF674" s="93">
        <v>0.0</v>
      </c>
    </row>
    <row r="675">
      <c r="A675" s="86">
        <v>2017.0</v>
      </c>
      <c r="B675" s="87">
        <v>8.0</v>
      </c>
      <c r="C675" s="88" t="s">
        <v>31</v>
      </c>
      <c r="D675" s="93">
        <v>1250.0</v>
      </c>
      <c r="E675" s="93">
        <v>-3800.0</v>
      </c>
      <c r="F675" s="32"/>
      <c r="G675" s="93">
        <v>-729.44</v>
      </c>
      <c r="H675" s="93">
        <v>3018.96</v>
      </c>
      <c r="I675" s="32"/>
      <c r="J675" s="93">
        <v>15519.79</v>
      </c>
      <c r="K675" s="32"/>
      <c r="L675" s="32"/>
      <c r="M675" s="32"/>
      <c r="N675" s="32"/>
      <c r="O675" s="93">
        <v>187504.0</v>
      </c>
      <c r="P675" s="91">
        <f>IFERROR(__xludf.DUMMYFUNCTION("IFERROR(sum(FILTER($D:$N,$C:$C = $C675,$A:$A &lt; $A675,$B:$B = 12)),0) + sum($D675:$N675)"),187503.85000000003)</f>
        <v>187503.85</v>
      </c>
      <c r="Q675" s="92">
        <f t="shared" si="1"/>
        <v>0.15</v>
      </c>
      <c r="R675" s="91">
        <f t="array" ref="R675">IFERROR(INDEX('Fund YTD Target Values'!$1:$1000, MATCH($C675,'Fund YTD Target Values'!$A:$A,0), MATCH($A675,'Fund YTD Target Values'!$1:$1,0)),0)</f>
        <v>205534.6031</v>
      </c>
      <c r="S675" s="91">
        <f>IFERROR(__xludf.DUMMYFUNCTION("IFERROR(sum(FILTER('Fund Investment Data'!$V:$V, 'Fund Investment Data'!$C:$C = $C675, 'Fund Investment Data'!$A:$A &lt; $A675)),0) + IFERROR(sum(FILTER('Fund Investment Data'!$V:$V, 'Fund Investment Data'!$C:$C = $C675, 'Fund Investment Data'!$A:$A = $A675,"&amp;" 'Fund Investment Data'!$B:$B &lt;= $B675)),0)"),158100.0)</f>
        <v>158100</v>
      </c>
      <c r="T675" s="93">
        <v>156850.0</v>
      </c>
      <c r="U675" s="32">
        <f t="shared" si="3"/>
        <v>1250</v>
      </c>
      <c r="V675" s="32">
        <f>IFERROR(__xludf.DUMMYFUNCTION("$D675 - IFERROR(FILTER($D:$D,$C:$C = $C675, $A:$A = $A675, $B:$B = $B675 - 1),0)"),0.0)</f>
        <v>0</v>
      </c>
      <c r="W675" s="93">
        <f>IFERROR(__xludf.DUMMYFUNCTION("$E675 - IFERROR(FILTER($E:$E,$C:$C = $C675, $A:$A = $A675, $B:$B = $B675 - 1),0)"),-3800.0)</f>
        <v>-3800</v>
      </c>
      <c r="X675" s="93"/>
      <c r="Y675" s="93"/>
      <c r="Z675" s="93">
        <v>0.0</v>
      </c>
      <c r="AA675" s="93">
        <v>0.0</v>
      </c>
      <c r="AB675" s="93">
        <v>0.0</v>
      </c>
      <c r="AC675" s="93"/>
      <c r="AD675" s="93">
        <v>0.0</v>
      </c>
      <c r="AE675" s="32">
        <f t="shared" si="2"/>
        <v>-3800</v>
      </c>
      <c r="AF675" s="93">
        <v>0.0</v>
      </c>
    </row>
    <row r="676">
      <c r="A676" s="86">
        <v>2017.0</v>
      </c>
      <c r="B676" s="87">
        <v>8.0</v>
      </c>
      <c r="C676" s="88" t="s">
        <v>39</v>
      </c>
      <c r="D676" s="93">
        <v>15000.0</v>
      </c>
      <c r="E676" s="93">
        <v>-5000.0</v>
      </c>
      <c r="F676" s="32"/>
      <c r="G676" s="93">
        <v>-626.44</v>
      </c>
      <c r="H676" s="93">
        <v>2404.82</v>
      </c>
      <c r="I676" s="32"/>
      <c r="J676" s="93">
        <v>12102.01</v>
      </c>
      <c r="K676" s="32"/>
      <c r="L676" s="32"/>
      <c r="M676" s="32"/>
      <c r="N676" s="32"/>
      <c r="O676" s="93">
        <v>173412.0</v>
      </c>
      <c r="P676" s="91">
        <f>IFERROR(__xludf.DUMMYFUNCTION("IFERROR(sum(FILTER($D:$N,$C:$C = $C676,$A:$A &lt; $A676,$B:$B = 12)),0) + sum($D676:$N676)"),173411.93000000005)</f>
        <v>173411.93</v>
      </c>
      <c r="Q676" s="92">
        <f t="shared" si="1"/>
        <v>0.06999999995</v>
      </c>
      <c r="R676" s="91">
        <f t="array" ref="R676">IFERROR(INDEX('Fund YTD Target Values'!$1:$1000, MATCH($C676,'Fund YTD Target Values'!$A:$A,0), MATCH($A676,'Fund YTD Target Values'!$1:$1,0)),0)</f>
        <v>165832.7472</v>
      </c>
      <c r="S676" s="91">
        <f>IFERROR(__xludf.DUMMYFUNCTION("IFERROR(sum(FILTER('Fund Investment Data'!$V:$V, 'Fund Investment Data'!$C:$C = $C676, 'Fund Investment Data'!$A:$A &lt; $A676)),0) + IFERROR(sum(FILTER('Fund Investment Data'!$V:$V, 'Fund Investment Data'!$C:$C = $C676, 'Fund Investment Data'!$A:$A = $A676,"&amp;" 'Fund Investment Data'!$B:$B &lt;= $B676)),0)"),155000.0)</f>
        <v>155000</v>
      </c>
      <c r="T676" s="93">
        <v>155000.0</v>
      </c>
      <c r="U676" s="32">
        <f t="shared" si="3"/>
        <v>0</v>
      </c>
      <c r="V676" s="32">
        <f>IFERROR(__xludf.DUMMYFUNCTION("$D676 - IFERROR(FILTER($D:$D,$C:$C = $C676, $A:$A = $A676, $B:$B = $B676 - 1),0)"),15000.0)</f>
        <v>15000</v>
      </c>
      <c r="W676" s="93">
        <f>IFERROR(__xludf.DUMMYFUNCTION("$E676 - IFERROR(FILTER($E:$E,$C:$C = $C676, $A:$A = $A676, $B:$B = $B676 - 1),0)"),-5000.0)</f>
        <v>-5000</v>
      </c>
      <c r="X676" s="93"/>
      <c r="Y676" s="93"/>
      <c r="Z676" s="93">
        <v>0.0</v>
      </c>
      <c r="AA676" s="93">
        <v>0.0</v>
      </c>
      <c r="AB676" s="93">
        <v>0.0</v>
      </c>
      <c r="AC676" s="93"/>
      <c r="AD676" s="93">
        <v>0.0</v>
      </c>
      <c r="AE676" s="32">
        <f t="shared" si="2"/>
        <v>-5000</v>
      </c>
      <c r="AF676" s="93">
        <v>0.0</v>
      </c>
    </row>
    <row r="677">
      <c r="A677" s="86">
        <v>2017.0</v>
      </c>
      <c r="B677" s="87">
        <v>8.0</v>
      </c>
      <c r="C677" s="88" t="s">
        <v>50</v>
      </c>
      <c r="D677" s="32"/>
      <c r="E677" s="93">
        <v>-10000.0</v>
      </c>
      <c r="F677" s="32"/>
      <c r="G677" s="93">
        <v>-832.8</v>
      </c>
      <c r="H677" s="93">
        <v>3171.18</v>
      </c>
      <c r="I677" s="32"/>
      <c r="J677" s="93">
        <v>15939.59</v>
      </c>
      <c r="K677" s="32"/>
      <c r="L677" s="32"/>
      <c r="M677" s="32"/>
      <c r="N677" s="32"/>
      <c r="O677" s="93">
        <v>207160.0</v>
      </c>
      <c r="P677" s="91">
        <f>IFERROR(__xludf.DUMMYFUNCTION("IFERROR(sum(FILTER($D:$N,$C:$C = $C677,$A:$A &lt; $A677,$B:$B = 12)),0) + sum($D677:$N677)"),207159.53999999998)</f>
        <v>207159.54</v>
      </c>
      <c r="Q677" s="92">
        <f t="shared" si="1"/>
        <v>0.46</v>
      </c>
      <c r="R677" s="91">
        <f t="array" ref="R677">IFERROR(INDEX('Fund YTD Target Values'!$1:$1000, MATCH($C677,'Fund YTD Target Values'!$A:$A,0), MATCH($A677,'Fund YTD Target Values'!$1:$1,0)),0)</f>
        <v>212473.6146</v>
      </c>
      <c r="S677" s="91">
        <f>IFERROR(__xludf.DUMMYFUNCTION("IFERROR(sum(FILTER('Fund Investment Data'!$V:$V, 'Fund Investment Data'!$C:$C = $C677, 'Fund Investment Data'!$A:$A &lt; $A677)),0) + IFERROR(sum(FILTER('Fund Investment Data'!$V:$V, 'Fund Investment Data'!$C:$C = $C677, 'Fund Investment Data'!$A:$A = $A677,"&amp;" 'Fund Investment Data'!$B:$B &lt;= $B677)),0)"),185189.56)</f>
        <v>185189.56</v>
      </c>
      <c r="T677" s="93">
        <v>190241.0</v>
      </c>
      <c r="U677" s="32">
        <f t="shared" si="3"/>
        <v>-5051.44</v>
      </c>
      <c r="V677" s="32">
        <f>IFERROR(__xludf.DUMMYFUNCTION("$D677 - IFERROR(FILTER($D:$D,$C:$C = $C677, $A:$A = $A677, $B:$B = $B677 - 1),0)"),0.0)</f>
        <v>0</v>
      </c>
      <c r="W677" s="93">
        <f>IFERROR(__xludf.DUMMYFUNCTION("$E677 - IFERROR(FILTER($E:$E,$C:$C = $C677, $A:$A = $A677, $B:$B = $B677 - 1),0)"),-10000.0)</f>
        <v>-10000</v>
      </c>
      <c r="X677" s="93"/>
      <c r="Y677" s="93"/>
      <c r="Z677" s="93">
        <v>0.0</v>
      </c>
      <c r="AA677" s="93">
        <v>0.0</v>
      </c>
      <c r="AB677" s="93">
        <v>0.0</v>
      </c>
      <c r="AC677" s="93"/>
      <c r="AD677" s="93">
        <v>0.0</v>
      </c>
      <c r="AE677" s="32">
        <f t="shared" si="2"/>
        <v>-10000</v>
      </c>
      <c r="AF677" s="93">
        <v>0.0</v>
      </c>
    </row>
    <row r="678">
      <c r="A678" s="86">
        <v>2017.0</v>
      </c>
      <c r="B678" s="87">
        <v>8.0</v>
      </c>
      <c r="C678" s="88" t="s">
        <v>32</v>
      </c>
      <c r="D678" s="93">
        <v>0.0</v>
      </c>
      <c r="E678" s="32"/>
      <c r="F678" s="32"/>
      <c r="G678" s="93">
        <v>-196.14</v>
      </c>
      <c r="H678" s="93">
        <v>795.48</v>
      </c>
      <c r="I678" s="32"/>
      <c r="J678" s="93">
        <v>4067.1</v>
      </c>
      <c r="K678" s="32"/>
      <c r="L678" s="32"/>
      <c r="M678" s="32"/>
      <c r="N678" s="32"/>
      <c r="O678" s="93">
        <v>51314.0</v>
      </c>
      <c r="P678" s="91">
        <f>IFERROR(__xludf.DUMMYFUNCTION("IFERROR(sum(FILTER($D:$N,$C:$C = $C678,$A:$A &lt; $A678,$B:$B = 12)),0) + sum($D678:$N678)"),51313.53000000003)</f>
        <v>51313.53</v>
      </c>
      <c r="Q678" s="92">
        <f t="shared" si="1"/>
        <v>0.47</v>
      </c>
      <c r="R678" s="91">
        <f t="array" ref="R678">IFERROR(INDEX('Fund YTD Target Values'!$1:$1000, MATCH($C678,'Fund YTD Target Values'!$A:$A,0), MATCH($A678,'Fund YTD Target Values'!$1:$1,0)),0)</f>
        <v>77291.136</v>
      </c>
      <c r="S678" s="91">
        <f>IFERROR(__xludf.DUMMYFUNCTION("IFERROR(sum(FILTER('Fund Investment Data'!$V:$V, 'Fund Investment Data'!$C:$C = $C678, 'Fund Investment Data'!$A:$A &lt; $A678)),0) + IFERROR(sum(FILTER('Fund Investment Data'!$V:$V, 'Fund Investment Data'!$C:$C = $C678, 'Fund Investment Data'!$A:$A = $A678,"&amp;" 'Fund Investment Data'!$B:$B &lt;= $B678)),0)"),49449.04)</f>
        <v>49449.04</v>
      </c>
      <c r="T678" s="93">
        <v>39268.0</v>
      </c>
      <c r="U678" s="32">
        <f t="shared" si="3"/>
        <v>10181.04</v>
      </c>
      <c r="V678" s="32">
        <f>IFERROR(__xludf.DUMMYFUNCTION("$D678 - IFERROR(FILTER($D:$D,$C:$C = $C678, $A:$A = $A678, $B:$B = $B678 - 1),0)"),0.0)</f>
        <v>0</v>
      </c>
      <c r="W678" s="93">
        <f>IFERROR(__xludf.DUMMYFUNCTION("$E678 - IFERROR(FILTER($E:$E,$C:$C = $C678, $A:$A = $A678, $B:$B = $B678 - 1),0)"),0.0)</f>
        <v>0</v>
      </c>
      <c r="X678" s="93"/>
      <c r="Y678" s="93"/>
      <c r="Z678" s="93">
        <v>0.0</v>
      </c>
      <c r="AA678" s="93">
        <v>0.0</v>
      </c>
      <c r="AB678" s="93">
        <v>0.0</v>
      </c>
      <c r="AC678" s="93"/>
      <c r="AD678" s="93">
        <v>0.0</v>
      </c>
      <c r="AE678" s="32">
        <f t="shared" si="2"/>
        <v>0</v>
      </c>
      <c r="AF678" s="93">
        <v>0.0</v>
      </c>
    </row>
    <row r="679">
      <c r="A679" s="86">
        <v>2017.0</v>
      </c>
      <c r="B679" s="87">
        <v>8.0</v>
      </c>
      <c r="C679" s="88" t="s">
        <v>40</v>
      </c>
      <c r="D679" s="32"/>
      <c r="E679" s="93">
        <v>-2300.0</v>
      </c>
      <c r="F679" s="32"/>
      <c r="G679" s="93">
        <v>-585.31</v>
      </c>
      <c r="H679" s="93">
        <v>2429.93</v>
      </c>
      <c r="I679" s="32"/>
      <c r="J679" s="93">
        <v>12504.1</v>
      </c>
      <c r="K679" s="32"/>
      <c r="L679" s="32"/>
      <c r="M679" s="32"/>
      <c r="N679" s="32"/>
      <c r="O679" s="93">
        <v>151056.0</v>
      </c>
      <c r="P679" s="91">
        <f>IFERROR(__xludf.DUMMYFUNCTION("IFERROR(sum(FILTER($D:$N,$C:$C = $C679,$A:$A &lt; $A679,$B:$B = 12)),0) + sum($D679:$N679)"),151056.41999999995)</f>
        <v>151056.42</v>
      </c>
      <c r="Q679" s="92">
        <f t="shared" si="1"/>
        <v>-0.42</v>
      </c>
      <c r="R679" s="91">
        <f t="array" ref="R679">IFERROR(INDEX('Fund YTD Target Values'!$1:$1000, MATCH($C679,'Fund YTD Target Values'!$A:$A,0), MATCH($A679,'Fund YTD Target Values'!$1:$1,0)),0)</f>
        <v>157515.3664</v>
      </c>
      <c r="S679" s="91">
        <f>IFERROR(__xludf.DUMMYFUNCTION("IFERROR(sum(FILTER('Fund Investment Data'!$V:$V, 'Fund Investment Data'!$C:$C = $C679, 'Fund Investment Data'!$A:$A &lt; $A679)),0) + IFERROR(sum(FILTER('Fund Investment Data'!$V:$V, 'Fund Investment Data'!$C:$C = $C679, 'Fund Investment Data'!$A:$A = $A679,"&amp;" 'Fund Investment Data'!$B:$B &lt;= $B679)),0)"),129703.74)</f>
        <v>129703.74</v>
      </c>
      <c r="T679" s="93">
        <v>129723.0</v>
      </c>
      <c r="U679" s="32">
        <f t="shared" si="3"/>
        <v>-19.26</v>
      </c>
      <c r="V679" s="32">
        <f>IFERROR(__xludf.DUMMYFUNCTION("$D679 - IFERROR(FILTER($D:$D,$C:$C = $C679, $A:$A = $A679, $B:$B = $B679 - 1),0)"),0.0)</f>
        <v>0</v>
      </c>
      <c r="W679" s="93">
        <f>IFERROR(__xludf.DUMMYFUNCTION("$E679 - IFERROR(FILTER($E:$E,$C:$C = $C679, $A:$A = $A679, $B:$B = $B679 - 1),0)"),-2300.0)</f>
        <v>-2300</v>
      </c>
      <c r="X679" s="93"/>
      <c r="Y679" s="93"/>
      <c r="Z679" s="93">
        <v>0.0</v>
      </c>
      <c r="AA679" s="93">
        <v>0.0</v>
      </c>
      <c r="AB679" s="93">
        <v>0.0</v>
      </c>
      <c r="AC679" s="93"/>
      <c r="AD679" s="93">
        <v>0.0</v>
      </c>
      <c r="AE679" s="32">
        <f t="shared" si="2"/>
        <v>-2300</v>
      </c>
      <c r="AF679" s="93">
        <v>0.0</v>
      </c>
    </row>
    <row r="680">
      <c r="A680" s="86">
        <v>2017.0</v>
      </c>
      <c r="B680" s="87">
        <v>8.0</v>
      </c>
      <c r="C680" s="88" t="s">
        <v>51</v>
      </c>
      <c r="D680" s="93">
        <v>3100.0</v>
      </c>
      <c r="E680" s="93">
        <v>-5000.0</v>
      </c>
      <c r="F680" s="32"/>
      <c r="G680" s="93">
        <v>-1779.58</v>
      </c>
      <c r="H680" s="93">
        <v>7398.86</v>
      </c>
      <c r="I680" s="32"/>
      <c r="J680" s="93">
        <v>38088.11</v>
      </c>
      <c r="K680" s="32"/>
      <c r="L680" s="32"/>
      <c r="M680" s="32"/>
      <c r="N680" s="32"/>
      <c r="O680" s="93">
        <v>465344.0</v>
      </c>
      <c r="P680" s="91">
        <f>IFERROR(__xludf.DUMMYFUNCTION("IFERROR(sum(FILTER($D:$N,$C:$C = $C680,$A:$A &lt; $A680,$B:$B = 12)),0) + sum($D680:$N680)"),465344.29000000004)</f>
        <v>465344.29</v>
      </c>
      <c r="Q680" s="92">
        <f t="shared" si="1"/>
        <v>-0.29</v>
      </c>
      <c r="R680" s="91">
        <f t="array" ref="R680">IFERROR(INDEX('Fund YTD Target Values'!$1:$1000, MATCH($C680,'Fund YTD Target Values'!$A:$A,0), MATCH($A680,'Fund YTD Target Values'!$1:$1,0)),0)</f>
        <v>437835.4209</v>
      </c>
      <c r="S680" s="91">
        <f>IFERROR(__xludf.DUMMYFUNCTION("IFERROR(sum(FILTER('Fund Investment Data'!$V:$V, 'Fund Investment Data'!$C:$C = $C680, 'Fund Investment Data'!$A:$A &lt; $A680)),0) + IFERROR(sum(FILTER('Fund Investment Data'!$V:$V, 'Fund Investment Data'!$C:$C = $C680, 'Fund Investment Data'!$A:$A = $A680,"&amp;" 'Fund Investment Data'!$B:$B &lt;= $B680)),0)"),416223.55)</f>
        <v>416223.55</v>
      </c>
      <c r="T680" s="93">
        <v>417080.0</v>
      </c>
      <c r="U680" s="32">
        <f t="shared" si="3"/>
        <v>-856.45</v>
      </c>
      <c r="V680" s="32">
        <f>IFERROR(__xludf.DUMMYFUNCTION("$D680 - IFERROR(FILTER($D:$D,$C:$C = $C680, $A:$A = $A680, $B:$B = $B680 - 1),0)"),50.0)</f>
        <v>50</v>
      </c>
      <c r="W680" s="93">
        <f>IFERROR(__xludf.DUMMYFUNCTION("$E680 - IFERROR(FILTER($E:$E,$C:$C = $C680, $A:$A = $A680, $B:$B = $B680 - 1),0)"),-1200.0)</f>
        <v>-1200</v>
      </c>
      <c r="X680" s="93"/>
      <c r="Y680" s="93"/>
      <c r="Z680" s="93">
        <v>0.0</v>
      </c>
      <c r="AA680" s="93">
        <v>0.0</v>
      </c>
      <c r="AB680" s="93">
        <v>0.0</v>
      </c>
      <c r="AC680" s="93"/>
      <c r="AD680" s="93">
        <v>0.0</v>
      </c>
      <c r="AE680" s="32">
        <f t="shared" si="2"/>
        <v>-5000</v>
      </c>
      <c r="AF680" s="93">
        <v>0.0</v>
      </c>
    </row>
    <row r="681">
      <c r="A681" s="86">
        <v>2017.0</v>
      </c>
      <c r="B681" s="87">
        <v>8.0</v>
      </c>
      <c r="C681" s="88" t="s">
        <v>48</v>
      </c>
      <c r="D681" s="32"/>
      <c r="E681" s="93">
        <v>-17000.0</v>
      </c>
      <c r="F681" s="32"/>
      <c r="G681" s="93">
        <v>-4797.42</v>
      </c>
      <c r="H681" s="93">
        <v>19988.69</v>
      </c>
      <c r="I681" s="32"/>
      <c r="J681" s="93">
        <v>102972.08</v>
      </c>
      <c r="K681" s="32"/>
      <c r="L681" s="32"/>
      <c r="M681" s="32"/>
      <c r="N681" s="32"/>
      <c r="O681" s="93">
        <v>1243977.0</v>
      </c>
      <c r="P681" s="91">
        <f>IFERROR(__xludf.DUMMYFUNCTION("IFERROR(sum(FILTER($D:$N,$C:$C = $C681,$A:$A &lt; $A681,$B:$B = 12)),0) + sum($D681:$N681)"),1243976.0999999999)</f>
        <v>1243976.1</v>
      </c>
      <c r="Q681" s="92">
        <f t="shared" si="1"/>
        <v>0.9000000001</v>
      </c>
      <c r="R681" s="91">
        <f t="array" ref="R681">IFERROR(INDEX('Fund YTD Target Values'!$1:$1000, MATCH($C681,'Fund YTD Target Values'!$A:$A,0), MATCH($A681,'Fund YTD Target Values'!$1:$1,0)),0)</f>
        <v>1851058.71</v>
      </c>
      <c r="S681" s="91">
        <f>IFERROR(__xludf.DUMMYFUNCTION("IFERROR(sum(FILTER('Fund Investment Data'!$V:$V, 'Fund Investment Data'!$C:$C = $C681, 'Fund Investment Data'!$A:$A &lt; $A681)),0) + IFERROR(sum(FILTER('Fund Investment Data'!$V:$V, 'Fund Investment Data'!$C:$C = $C681, 'Fund Investment Data'!$A:$A = $A681,"&amp;" 'Fund Investment Data'!$B:$B &lt;= $B681)),0)"),1183929.39)</f>
        <v>1183929.39</v>
      </c>
      <c r="T681" s="93">
        <v>1140040.0</v>
      </c>
      <c r="U681" s="32">
        <f t="shared" si="3"/>
        <v>43889.39</v>
      </c>
      <c r="V681" s="32">
        <f>IFERROR(__xludf.DUMMYFUNCTION("$D681 - IFERROR(FILTER($D:$D,$C:$C = $C681, $A:$A = $A681, $B:$B = $B681 - 1),0)"),0.0)</f>
        <v>0</v>
      </c>
      <c r="W681" s="93">
        <f>IFERROR(__xludf.DUMMYFUNCTION("$E681 - IFERROR(FILTER($E:$E,$C:$C = $C681, $A:$A = $A681, $B:$B = $B681 - 1),0)"),-7000.0)</f>
        <v>-7000</v>
      </c>
      <c r="X681" s="93"/>
      <c r="Y681" s="93"/>
      <c r="Z681" s="93">
        <v>0.0</v>
      </c>
      <c r="AA681" s="93">
        <v>0.0</v>
      </c>
      <c r="AB681" s="93">
        <v>0.0</v>
      </c>
      <c r="AC681" s="93"/>
      <c r="AD681" s="93">
        <v>0.0</v>
      </c>
      <c r="AE681" s="32">
        <f t="shared" si="2"/>
        <v>-17000</v>
      </c>
      <c r="AF681" s="93">
        <v>0.0</v>
      </c>
    </row>
    <row r="682">
      <c r="A682" s="86">
        <v>2017.0</v>
      </c>
      <c r="B682" s="87">
        <v>8.0</v>
      </c>
      <c r="C682" s="88" t="s">
        <v>49</v>
      </c>
      <c r="D682" s="32"/>
      <c r="E682" s="93">
        <v>-8000.0</v>
      </c>
      <c r="F682" s="32"/>
      <c r="G682" s="93">
        <v>-2109.27</v>
      </c>
      <c r="H682" s="93">
        <v>8780.23</v>
      </c>
      <c r="I682" s="32"/>
      <c r="J682" s="93">
        <v>45220.68</v>
      </c>
      <c r="K682" s="32"/>
      <c r="L682" s="32"/>
      <c r="M682" s="32"/>
      <c r="N682" s="32"/>
      <c r="O682" s="93">
        <v>546607.0</v>
      </c>
      <c r="P682" s="91">
        <f>IFERROR(__xludf.DUMMYFUNCTION("IFERROR(sum(FILTER($D:$N,$C:$C = $C682,$A:$A &lt; $A682,$B:$B = 12)),0) + sum($D682:$N682)"),546607.6399999999)</f>
        <v>546607.64</v>
      </c>
      <c r="Q682" s="92">
        <f t="shared" si="1"/>
        <v>-0.6399999999</v>
      </c>
      <c r="R682" s="91">
        <f t="array" ref="R682">IFERROR(INDEX('Fund YTD Target Values'!$1:$1000, MATCH($C682,'Fund YTD Target Values'!$A:$A,0), MATCH($A682,'Fund YTD Target Values'!$1:$1,0)),0)</f>
        <v>684659.2079</v>
      </c>
      <c r="S682" s="91">
        <f>IFERROR(__xludf.DUMMYFUNCTION("IFERROR(sum(FILTER('Fund Investment Data'!$V:$V, 'Fund Investment Data'!$C:$C = $C682, 'Fund Investment Data'!$A:$A &lt; $A682)),0) + IFERROR(sum(FILTER('Fund Investment Data'!$V:$V, 'Fund Investment Data'!$C:$C = $C682, 'Fund Investment Data'!$A:$A = $A682,"&amp;" 'Fund Investment Data'!$B:$B &lt;= $B682)),0)"),500000.0)</f>
        <v>500000</v>
      </c>
      <c r="T682" s="93">
        <v>500000.0</v>
      </c>
      <c r="U682" s="32">
        <f t="shared" si="3"/>
        <v>0</v>
      </c>
      <c r="V682" s="32">
        <f>IFERROR(__xludf.DUMMYFUNCTION("$D682 - IFERROR(FILTER($D:$D,$C:$C = $C682, $A:$A = $A682, $B:$B = $B682 - 1),0)"),0.0)</f>
        <v>0</v>
      </c>
      <c r="W682" s="93">
        <f>IFERROR(__xludf.DUMMYFUNCTION("$E682 - IFERROR(FILTER($E:$E,$C:$C = $C682, $A:$A = $A682, $B:$B = $B682 - 1),0)"),-3000.0)</f>
        <v>-3000</v>
      </c>
      <c r="X682" s="93"/>
      <c r="Y682" s="93"/>
      <c r="Z682" s="93">
        <v>0.0</v>
      </c>
      <c r="AA682" s="93">
        <v>0.0</v>
      </c>
      <c r="AB682" s="93">
        <v>0.0</v>
      </c>
      <c r="AC682" s="93"/>
      <c r="AD682" s="93">
        <v>0.0</v>
      </c>
      <c r="AE682" s="32">
        <f t="shared" si="2"/>
        <v>-8000</v>
      </c>
      <c r="AF682" s="93">
        <v>0.0</v>
      </c>
    </row>
    <row r="683">
      <c r="A683" s="86">
        <v>2017.0</v>
      </c>
      <c r="B683" s="87">
        <v>8.0</v>
      </c>
      <c r="C683" s="88" t="s">
        <v>41</v>
      </c>
      <c r="D683" s="32"/>
      <c r="E683" s="93">
        <v>-11075.0</v>
      </c>
      <c r="F683" s="32"/>
      <c r="G683" s="93">
        <v>-2494.53</v>
      </c>
      <c r="H683" s="93">
        <v>10365.03</v>
      </c>
      <c r="I683" s="32"/>
      <c r="J683" s="93">
        <v>53362.69</v>
      </c>
      <c r="K683" s="32"/>
      <c r="L683" s="32"/>
      <c r="M683" s="32"/>
      <c r="N683" s="32"/>
      <c r="O683" s="93">
        <v>644642.0</v>
      </c>
      <c r="P683" s="91">
        <f>IFERROR(__xludf.DUMMYFUNCTION("IFERROR(sum(FILTER($D:$N,$C:$C = $C683,$A:$A &lt; $A683,$B:$B = 12)),0) + sum($D683:$N683)"),644643.23)</f>
        <v>644643.23</v>
      </c>
      <c r="Q683" s="92">
        <f t="shared" si="1"/>
        <v>-1.23</v>
      </c>
      <c r="R683" s="91">
        <f t="array" ref="R683">IFERROR(INDEX('Fund YTD Target Values'!$1:$1000, MATCH($C683,'Fund YTD Target Values'!$A:$A,0), MATCH($A683,'Fund YTD Target Values'!$1:$1,0)),0)</f>
        <v>573948.5743</v>
      </c>
      <c r="S683" s="91">
        <f>IFERROR(__xludf.DUMMYFUNCTION("IFERROR(sum(FILTER('Fund Investment Data'!$V:$V, 'Fund Investment Data'!$C:$C = $C683, 'Fund Investment Data'!$A:$A &lt; $A683)),0) + IFERROR(sum(FILTER('Fund Investment Data'!$V:$V, 'Fund Investment Data'!$C:$C = $C683, 'Fund Investment Data'!$A:$A = $A683,"&amp;" 'Fund Investment Data'!$B:$B &lt;= $B683)),0)"),433755.86)</f>
        <v>433755.86</v>
      </c>
      <c r="T683" s="93">
        <v>434291.0</v>
      </c>
      <c r="U683" s="32">
        <f t="shared" si="3"/>
        <v>-535.14</v>
      </c>
      <c r="V683" s="32">
        <f>IFERROR(__xludf.DUMMYFUNCTION("$D683 - IFERROR(FILTER($D:$D,$C:$C = $C683, $A:$A = $A683, $B:$B = $B683 - 1),0)"),0.0)</f>
        <v>0</v>
      </c>
      <c r="W683" s="93">
        <f>IFERROR(__xludf.DUMMYFUNCTION("$E683 - IFERROR(FILTER($E:$E,$C:$C = $C683, $A:$A = $A683, $B:$B = $B683 - 1),0)"),-2700.0)</f>
        <v>-2700</v>
      </c>
      <c r="X683" s="93"/>
      <c r="Y683" s="93"/>
      <c r="Z683" s="93">
        <v>0.0</v>
      </c>
      <c r="AA683" s="93">
        <v>0.0</v>
      </c>
      <c r="AB683" s="93">
        <v>0.0</v>
      </c>
      <c r="AC683" s="93"/>
      <c r="AD683" s="93">
        <v>0.0</v>
      </c>
      <c r="AE683" s="32">
        <f t="shared" si="2"/>
        <v>-11075</v>
      </c>
      <c r="AF683" s="93">
        <v>0.0</v>
      </c>
    </row>
    <row r="684">
      <c r="A684" s="86">
        <v>2017.0</v>
      </c>
      <c r="B684" s="87">
        <v>8.0</v>
      </c>
      <c r="C684" s="88" t="s">
        <v>25</v>
      </c>
      <c r="D684" s="32"/>
      <c r="E684" s="93">
        <v>-1500.0</v>
      </c>
      <c r="F684" s="32"/>
      <c r="G684" s="93">
        <v>-388.58</v>
      </c>
      <c r="H684" s="93">
        <v>1613.24</v>
      </c>
      <c r="I684" s="32"/>
      <c r="J684" s="93">
        <v>8301.61</v>
      </c>
      <c r="K684" s="32"/>
      <c r="L684" s="32"/>
      <c r="M684" s="32"/>
      <c r="N684" s="32"/>
      <c r="O684" s="93">
        <v>100314.0</v>
      </c>
      <c r="P684" s="91">
        <f>IFERROR(__xludf.DUMMYFUNCTION("IFERROR(sum(FILTER($D:$N,$C:$C = $C684,$A:$A &lt; $A684,$B:$B = 12)),0) + sum($D684:$N684)"),100314.28)</f>
        <v>100314.28</v>
      </c>
      <c r="Q684" s="92">
        <f t="shared" si="1"/>
        <v>-0.28</v>
      </c>
      <c r="R684" s="91">
        <f t="array" ref="R684">IFERROR(INDEX('Fund YTD Target Values'!$1:$1000, MATCH($C684,'Fund YTD Target Values'!$A:$A,0), MATCH($A684,'Fund YTD Target Values'!$1:$1,0)),0)</f>
        <v>106572.0284</v>
      </c>
      <c r="S684" s="91">
        <f>IFERROR(__xludf.DUMMYFUNCTION("IFERROR(sum(FILTER('Fund Investment Data'!$V:$V, 'Fund Investment Data'!$C:$C = $C684, 'Fund Investment Data'!$A:$A &lt; $A684)),0) + IFERROR(sum(FILTER('Fund Investment Data'!$V:$V, 'Fund Investment Data'!$C:$C = $C684, 'Fund Investment Data'!$A:$A = $A684,"&amp;" 'Fund Investment Data'!$B:$B &lt;= $B684)),0)"),81000.0)</f>
        <v>81000</v>
      </c>
      <c r="T684" s="93">
        <v>81000.0</v>
      </c>
      <c r="U684" s="32">
        <f t="shared" si="3"/>
        <v>0</v>
      </c>
      <c r="V684" s="32">
        <f>IFERROR(__xludf.DUMMYFUNCTION("$D684 - IFERROR(FILTER($D:$D,$C:$C = $C684, $A:$A = $A684, $B:$B = $B684 - 1),0)"),0.0)</f>
        <v>0</v>
      </c>
      <c r="W684" s="93">
        <f>IFERROR(__xludf.DUMMYFUNCTION("$E684 - IFERROR(FILTER($E:$E,$C:$C = $C684, $A:$A = $A684, $B:$B = $B684 - 1),0)"),-1500.0)</f>
        <v>-1500</v>
      </c>
      <c r="X684" s="93"/>
      <c r="Y684" s="93"/>
      <c r="Z684" s="93">
        <v>0.0</v>
      </c>
      <c r="AA684" s="93">
        <v>0.0</v>
      </c>
      <c r="AB684" s="93">
        <v>0.0</v>
      </c>
      <c r="AC684" s="93"/>
      <c r="AD684" s="93">
        <v>0.0</v>
      </c>
      <c r="AE684" s="32">
        <f t="shared" si="2"/>
        <v>-1500</v>
      </c>
      <c r="AF684" s="93">
        <v>0.0</v>
      </c>
    </row>
    <row r="685">
      <c r="A685" s="86">
        <v>2017.0</v>
      </c>
      <c r="B685" s="87">
        <v>8.0</v>
      </c>
      <c r="C685" s="88" t="s">
        <v>42</v>
      </c>
      <c r="D685" s="32"/>
      <c r="E685" s="93">
        <v>-5000.0</v>
      </c>
      <c r="F685" s="32"/>
      <c r="G685" s="93">
        <v>-1115.81</v>
      </c>
      <c r="H685" s="93">
        <v>4590.0</v>
      </c>
      <c r="I685" s="32"/>
      <c r="J685" s="93">
        <v>23560.5</v>
      </c>
      <c r="K685" s="32"/>
      <c r="L685" s="32"/>
      <c r="M685" s="32"/>
      <c r="N685" s="32"/>
      <c r="O685" s="93">
        <v>287193.0</v>
      </c>
      <c r="P685" s="91">
        <f>IFERROR(__xludf.DUMMYFUNCTION("IFERROR(sum(FILTER($D:$N,$C:$C = $C685,$A:$A &lt; $A685,$B:$B = 12)),0) + sum($D685:$N685)"),287192.96000000014)</f>
        <v>287192.96</v>
      </c>
      <c r="Q685" s="92">
        <f t="shared" si="1"/>
        <v>0.03999999986</v>
      </c>
      <c r="R685" s="91">
        <f t="array" ref="R685">IFERROR(INDEX('Fund YTD Target Values'!$1:$1000, MATCH($C685,'Fund YTD Target Values'!$A:$A,0), MATCH($A685,'Fund YTD Target Values'!$1:$1,0)),0)</f>
        <v>234458.6336</v>
      </c>
      <c r="S685" s="91">
        <f>IFERROR(__xludf.DUMMYFUNCTION("IFERROR(sum(FILTER('Fund Investment Data'!$V:$V, 'Fund Investment Data'!$C:$C = $C685, 'Fund Investment Data'!$A:$A &lt; $A685)),0) + IFERROR(sum(FILTER('Fund Investment Data'!$V:$V, 'Fund Investment Data'!$C:$C = $C685, 'Fund Investment Data'!$A:$A = $A685,"&amp;" 'Fund Investment Data'!$B:$B &lt;= $B685)),0)"),194469.0)</f>
        <v>194469</v>
      </c>
      <c r="T685" s="93">
        <v>194469.0</v>
      </c>
      <c r="U685" s="32">
        <f t="shared" si="3"/>
        <v>0</v>
      </c>
      <c r="V685" s="32">
        <f>IFERROR(__xludf.DUMMYFUNCTION("$D685 - IFERROR(FILTER($D:$D,$C:$C = $C685, $A:$A = $A685, $B:$B = $B685 - 1),0)"),0.0)</f>
        <v>0</v>
      </c>
      <c r="W685" s="93">
        <f>IFERROR(__xludf.DUMMYFUNCTION("$E685 - IFERROR(FILTER($E:$E,$C:$C = $C685, $A:$A = $A685, $B:$B = $B685 - 1),0)"),-5000.0)</f>
        <v>-5000</v>
      </c>
      <c r="X685" s="93"/>
      <c r="Y685" s="93"/>
      <c r="Z685" s="93">
        <v>0.0</v>
      </c>
      <c r="AA685" s="93">
        <v>0.0</v>
      </c>
      <c r="AB685" s="93">
        <v>0.0</v>
      </c>
      <c r="AC685" s="93"/>
      <c r="AD685" s="93">
        <v>0.0</v>
      </c>
      <c r="AE685" s="32">
        <f t="shared" si="2"/>
        <v>-5000</v>
      </c>
      <c r="AF685" s="93">
        <v>0.0</v>
      </c>
    </row>
    <row r="686">
      <c r="A686" s="86">
        <v>2017.0</v>
      </c>
      <c r="B686" s="87">
        <v>8.0</v>
      </c>
      <c r="C686" s="88" t="s">
        <v>43</v>
      </c>
      <c r="D686" s="32"/>
      <c r="E686" s="93">
        <v>-1600.0</v>
      </c>
      <c r="F686" s="32"/>
      <c r="G686" s="93">
        <v>-466.84</v>
      </c>
      <c r="H686" s="93">
        <v>1940.39</v>
      </c>
      <c r="I686" s="32"/>
      <c r="J686" s="93">
        <v>9988.4</v>
      </c>
      <c r="K686" s="32"/>
      <c r="L686" s="32"/>
      <c r="M686" s="32"/>
      <c r="N686" s="32"/>
      <c r="O686" s="93">
        <v>120719.0</v>
      </c>
      <c r="P686" s="91">
        <f>IFERROR(__xludf.DUMMYFUNCTION("IFERROR(sum(FILTER($D:$N,$C:$C = $C686,$A:$A &lt; $A686,$B:$B = 12)),0) + sum($D686:$N686)"),120718.16000000002)</f>
        <v>120718.16</v>
      </c>
      <c r="Q686" s="92">
        <f t="shared" si="1"/>
        <v>0.84</v>
      </c>
      <c r="R686" s="91">
        <f t="array" ref="R686">IFERROR(INDEX('Fund YTD Target Values'!$1:$1000, MATCH($C686,'Fund YTD Target Values'!$A:$A,0), MATCH($A686,'Fund YTD Target Values'!$1:$1,0)),0)</f>
        <v>127580.7013</v>
      </c>
      <c r="S686" s="91">
        <f>IFERROR(__xludf.DUMMYFUNCTION("IFERROR(sum(FILTER('Fund Investment Data'!$V:$V, 'Fund Investment Data'!$C:$C = $C686, 'Fund Investment Data'!$A:$A &lt; $A686)),0) + IFERROR(sum(FILTER('Fund Investment Data'!$V:$V, 'Fund Investment Data'!$C:$C = $C686, 'Fund Investment Data'!$A:$A = $A686,"&amp;" 'Fund Investment Data'!$B:$B &lt;= $B686)),0)"),100000.0)</f>
        <v>100000</v>
      </c>
      <c r="T686" s="93">
        <v>100000.0</v>
      </c>
      <c r="U686" s="32">
        <f t="shared" si="3"/>
        <v>0</v>
      </c>
      <c r="V686" s="32">
        <f>IFERROR(__xludf.DUMMYFUNCTION("$D686 - IFERROR(FILTER($D:$D,$C:$C = $C686, $A:$A = $A686, $B:$B = $B686 - 1),0)"),0.0)</f>
        <v>0</v>
      </c>
      <c r="W686" s="93">
        <f>IFERROR(__xludf.DUMMYFUNCTION("$E686 - IFERROR(FILTER($E:$E,$C:$C = $C686, $A:$A = $A686, $B:$B = $B686 - 1),0)"),-1600.0)</f>
        <v>-1600</v>
      </c>
      <c r="X686" s="93"/>
      <c r="Y686" s="93"/>
      <c r="Z686" s="93">
        <v>0.0</v>
      </c>
      <c r="AA686" s="93">
        <v>0.0</v>
      </c>
      <c r="AB686" s="93">
        <v>0.0</v>
      </c>
      <c r="AC686" s="93"/>
      <c r="AD686" s="93">
        <v>0.0</v>
      </c>
      <c r="AE686" s="32">
        <f t="shared" si="2"/>
        <v>-1600</v>
      </c>
      <c r="AF686" s="93">
        <v>0.0</v>
      </c>
    </row>
    <row r="687">
      <c r="A687" s="86">
        <v>2017.0</v>
      </c>
      <c r="B687" s="87">
        <v>8.0</v>
      </c>
      <c r="C687" s="88" t="s">
        <v>52</v>
      </c>
      <c r="D687" s="93">
        <v>2500.0</v>
      </c>
      <c r="E687" s="93">
        <v>-16500.0</v>
      </c>
      <c r="F687" s="32"/>
      <c r="G687" s="93">
        <v>-4541.14</v>
      </c>
      <c r="H687" s="93">
        <v>17836.37</v>
      </c>
      <c r="I687" s="32"/>
      <c r="J687" s="93">
        <v>91723.13</v>
      </c>
      <c r="K687" s="32"/>
      <c r="L687" s="32"/>
      <c r="M687" s="32"/>
      <c r="N687" s="32"/>
      <c r="O687" s="93">
        <v>1115867.0</v>
      </c>
      <c r="P687" s="91">
        <f>IFERROR(__xludf.DUMMYFUNCTION("IFERROR(sum(FILTER($D:$N,$C:$C = $C687,$A:$A &lt; $A687,$B:$B = 12)),0) + sum($D687:$N687)"),1115866.3)</f>
        <v>1115866.3</v>
      </c>
      <c r="Q687" s="92">
        <f t="shared" si="1"/>
        <v>0.7</v>
      </c>
      <c r="R687" s="91">
        <f t="array" ref="R687">IFERROR(INDEX('Fund YTD Target Values'!$1:$1000, MATCH($C687,'Fund YTD Target Values'!$A:$A,0), MATCH($A687,'Fund YTD Target Values'!$1:$1,0)),0)</f>
        <v>1048370.982</v>
      </c>
      <c r="S687" s="91">
        <f>IFERROR(__xludf.DUMMYFUNCTION("IFERROR(sum(FILTER('Fund Investment Data'!$V:$V, 'Fund Investment Data'!$C:$C = $C687, 'Fund Investment Data'!$A:$A &lt; $A687)),0) + IFERROR(sum(FILTER('Fund Investment Data'!$V:$V, 'Fund Investment Data'!$C:$C = $C687, 'Fund Investment Data'!$A:$A = $A687,"&amp;" 'Fund Investment Data'!$B:$B &lt;= $B687)),0)"),1004136.0)</f>
        <v>1004136</v>
      </c>
      <c r="T687" s="93">
        <v>1004449.0</v>
      </c>
      <c r="U687" s="32">
        <f t="shared" si="3"/>
        <v>-313</v>
      </c>
      <c r="V687" s="32">
        <f>IFERROR(__xludf.DUMMYFUNCTION("$D687 - IFERROR(FILTER($D:$D,$C:$C = $C687, $A:$A = $A687, $B:$B = $B687 - 1),0)"),0.0)</f>
        <v>0</v>
      </c>
      <c r="W687" s="93">
        <f>IFERROR(__xludf.DUMMYFUNCTION("$E687 - IFERROR(FILTER($E:$E,$C:$C = $C687, $A:$A = $A687, $B:$B = $B687 - 1),0)"),-10000.0)</f>
        <v>-10000</v>
      </c>
      <c r="X687" s="93"/>
      <c r="Y687" s="93"/>
      <c r="Z687" s="93">
        <v>0.0</v>
      </c>
      <c r="AA687" s="93">
        <v>0.0</v>
      </c>
      <c r="AB687" s="93">
        <v>0.0</v>
      </c>
      <c r="AC687" s="93"/>
      <c r="AD687" s="93">
        <v>0.0</v>
      </c>
      <c r="AE687" s="32">
        <f t="shared" si="2"/>
        <v>-16500</v>
      </c>
      <c r="AF687" s="93">
        <v>0.0</v>
      </c>
    </row>
    <row r="688">
      <c r="A688" s="86">
        <v>2017.0</v>
      </c>
      <c r="B688" s="87">
        <v>8.0</v>
      </c>
      <c r="C688" s="88" t="s">
        <v>33</v>
      </c>
      <c r="D688" s="32"/>
      <c r="E688" s="93">
        <v>-5000.0</v>
      </c>
      <c r="F688" s="32"/>
      <c r="G688" s="93">
        <v>-1456.12</v>
      </c>
      <c r="H688" s="93">
        <v>6052.55</v>
      </c>
      <c r="I688" s="32"/>
      <c r="J688" s="93">
        <v>31156.34</v>
      </c>
      <c r="K688" s="32"/>
      <c r="L688" s="32"/>
      <c r="M688" s="32"/>
      <c r="N688" s="32"/>
      <c r="O688" s="93">
        <v>376538.0</v>
      </c>
      <c r="P688" s="91">
        <f>IFERROR(__xludf.DUMMYFUNCTION("IFERROR(sum(FILTER($D:$N,$C:$C = $C688,$A:$A &lt; $A688,$B:$B = 12)),0) + sum($D688:$N688)"),376537.73999999976)</f>
        <v>376537.74</v>
      </c>
      <c r="Q688" s="92">
        <f t="shared" si="1"/>
        <v>0.2600000002</v>
      </c>
      <c r="R688" s="91">
        <f t="array" ref="R688">IFERROR(INDEX('Fund YTD Target Values'!$1:$1000, MATCH($C688,'Fund YTD Target Values'!$A:$A,0), MATCH($A688,'Fund YTD Target Values'!$1:$1,0)),0)</f>
        <v>500698.0917</v>
      </c>
      <c r="S688" s="91">
        <f>IFERROR(__xludf.DUMMYFUNCTION("IFERROR(sum(FILTER('Fund Investment Data'!$V:$V, 'Fund Investment Data'!$C:$C = $C688, 'Fund Investment Data'!$A:$A &lt; $A688)),0) + IFERROR(sum(FILTER('Fund Investment Data'!$V:$V, 'Fund Investment Data'!$C:$C = $C688, 'Fund Investment Data'!$A:$A = $A688,"&amp;" 'Fund Investment Data'!$B:$B &lt;= $B688)),0)"),325871.6399999999)</f>
        <v>325871.64</v>
      </c>
      <c r="T688" s="93">
        <v>326032.0</v>
      </c>
      <c r="U688" s="32">
        <f t="shared" si="3"/>
        <v>-160.36</v>
      </c>
      <c r="V688" s="32">
        <f>IFERROR(__xludf.DUMMYFUNCTION("$D688 - IFERROR(FILTER($D:$D,$C:$C = $C688, $A:$A = $A688, $B:$B = $B688 - 1),0)"),0.0)</f>
        <v>0</v>
      </c>
      <c r="W688" s="93">
        <f>IFERROR(__xludf.DUMMYFUNCTION("$E688 - IFERROR(FILTER($E:$E,$C:$C = $C688, $A:$A = $A688, $B:$B = $B688 - 1),0)"),-5000.0)</f>
        <v>-5000</v>
      </c>
      <c r="X688" s="93"/>
      <c r="Y688" s="93"/>
      <c r="Z688" s="93">
        <v>0.0</v>
      </c>
      <c r="AA688" s="93">
        <v>0.0</v>
      </c>
      <c r="AB688" s="93">
        <v>0.0</v>
      </c>
      <c r="AC688" s="93"/>
      <c r="AD688" s="93">
        <v>0.0</v>
      </c>
      <c r="AE688" s="32">
        <f t="shared" si="2"/>
        <v>-5000</v>
      </c>
      <c r="AF688" s="93">
        <v>0.0</v>
      </c>
    </row>
    <row r="689">
      <c r="A689" s="86">
        <v>2017.0</v>
      </c>
      <c r="B689" s="87">
        <v>8.0</v>
      </c>
      <c r="C689" s="88" t="s">
        <v>53</v>
      </c>
      <c r="D689" s="32"/>
      <c r="E689" s="93">
        <v>-35700.0</v>
      </c>
      <c r="F689" s="32"/>
      <c r="G689" s="93">
        <v>-8520.66</v>
      </c>
      <c r="H689" s="93">
        <v>35561.49</v>
      </c>
      <c r="I689" s="93">
        <v>627.62</v>
      </c>
      <c r="J689" s="93">
        <v>182603.09</v>
      </c>
      <c r="K689" s="32"/>
      <c r="L689" s="32"/>
      <c r="M689" s="32"/>
      <c r="N689" s="32"/>
      <c r="O689" s="93">
        <v>2208485.0</v>
      </c>
      <c r="P689" s="91">
        <f>IFERROR(__xludf.DUMMYFUNCTION("IFERROR(sum(FILTER($D:$N,$C:$C = $C689,$A:$A &lt; $A689,$B:$B = 12)),0) + sum($D689:$N689)"),2208484.82)</f>
        <v>2208484.82</v>
      </c>
      <c r="Q689" s="92">
        <f t="shared" si="1"/>
        <v>0.1800000002</v>
      </c>
      <c r="R689" s="91">
        <f t="array" ref="R689">IFERROR(INDEX('Fund YTD Target Values'!$1:$1000, MATCH($C689,'Fund YTD Target Values'!$A:$A,0), MATCH($A689,'Fund YTD Target Values'!$1:$1,0)),0)</f>
        <v>2171706.82</v>
      </c>
      <c r="S689" s="91">
        <f>IFERROR(__xludf.DUMMYFUNCTION("IFERROR(sum(FILTER('Fund Investment Data'!$V:$V, 'Fund Investment Data'!$C:$C = $C689, 'Fund Investment Data'!$A:$A &lt; $A689)),0) + IFERROR(sum(FILTER('Fund Investment Data'!$V:$V, 'Fund Investment Data'!$C:$C = $C689, 'Fund Investment Data'!$A:$A = $A689,"&amp;" 'Fund Investment Data'!$B:$B &lt;= $B689)),0)"),2005500.0)</f>
        <v>2005500</v>
      </c>
      <c r="T689" s="93">
        <v>2005500.0</v>
      </c>
      <c r="U689" s="32">
        <f t="shared" si="3"/>
        <v>0</v>
      </c>
      <c r="V689" s="32">
        <f>IFERROR(__xludf.DUMMYFUNCTION("$D689 - IFERROR(FILTER($D:$D,$C:$C = $C689, $A:$A = $A689, $B:$B = $B689 - 1),0)"),0.0)</f>
        <v>0</v>
      </c>
      <c r="W689" s="93">
        <f>IFERROR(__xludf.DUMMYFUNCTION("$E689 - IFERROR(FILTER($E:$E,$C:$C = $C689, $A:$A = $A689, $B:$B = $B689 - 1),0)"),-5700.0)</f>
        <v>-5700</v>
      </c>
      <c r="X689" s="93"/>
      <c r="Y689" s="93"/>
      <c r="Z689" s="93">
        <v>0.0</v>
      </c>
      <c r="AA689" s="93">
        <v>0.0</v>
      </c>
      <c r="AB689" s="93">
        <v>0.0</v>
      </c>
      <c r="AC689" s="93"/>
      <c r="AD689" s="93">
        <v>0.0</v>
      </c>
      <c r="AE689" s="32">
        <f t="shared" si="2"/>
        <v>-35700</v>
      </c>
      <c r="AF689" s="93">
        <v>0.0</v>
      </c>
    </row>
    <row r="690">
      <c r="A690" s="86">
        <v>2017.0</v>
      </c>
      <c r="B690" s="87">
        <v>8.0</v>
      </c>
      <c r="C690" s="88" t="s">
        <v>34</v>
      </c>
      <c r="D690" s="93">
        <v>5000.0</v>
      </c>
      <c r="E690" s="93">
        <v>-5000.0</v>
      </c>
      <c r="F690" s="32"/>
      <c r="G690" s="93">
        <v>-541.39</v>
      </c>
      <c r="H690" s="93">
        <v>2185.18</v>
      </c>
      <c r="I690" s="32"/>
      <c r="J690" s="93">
        <v>11147.02</v>
      </c>
      <c r="K690" s="32"/>
      <c r="L690" s="32"/>
      <c r="M690" s="32"/>
      <c r="N690" s="32"/>
      <c r="O690" s="93">
        <v>138487.0</v>
      </c>
      <c r="P690" s="91">
        <f>IFERROR(__xludf.DUMMYFUNCTION("IFERROR(sum(FILTER($D:$N,$C:$C = $C690,$A:$A &lt; $A690,$B:$B = 12)),0) + sum($D690:$N690)"),138487.32)</f>
        <v>138487.32</v>
      </c>
      <c r="Q690" s="92">
        <f t="shared" si="1"/>
        <v>-0.32</v>
      </c>
      <c r="R690" s="91">
        <f t="array" ref="R690">IFERROR(INDEX('Fund YTD Target Values'!$1:$1000, MATCH($C690,'Fund YTD Target Values'!$A:$A,0), MATCH($A690,'Fund YTD Target Values'!$1:$1,0)),0)</f>
        <v>127220.0742</v>
      </c>
      <c r="S690" s="91">
        <f>IFERROR(__xludf.DUMMYFUNCTION("IFERROR(sum(FILTER('Fund Investment Data'!$V:$V, 'Fund Investment Data'!$C:$C = $C690, 'Fund Investment Data'!$A:$A &lt; $A690)),0) + IFERROR(sum(FILTER('Fund Investment Data'!$V:$V, 'Fund Investment Data'!$C:$C = $C690, 'Fund Investment Data'!$A:$A = $A690,"&amp;" 'Fund Investment Data'!$B:$B &lt;= $B690)),0)"),120000.0)</f>
        <v>120000</v>
      </c>
      <c r="T690" s="93">
        <v>121567.0</v>
      </c>
      <c r="U690" s="32">
        <f t="shared" si="3"/>
        <v>-1567</v>
      </c>
      <c r="V690" s="32">
        <f>IFERROR(__xludf.DUMMYFUNCTION("$D690 - IFERROR(FILTER($D:$D,$C:$C = $C690, $A:$A = $A690, $B:$B = $B690 - 1),0)"),0.0)</f>
        <v>0</v>
      </c>
      <c r="W690" s="93">
        <f>IFERROR(__xludf.DUMMYFUNCTION("$E690 - IFERROR(FILTER($E:$E,$C:$C = $C690, $A:$A = $A690, $B:$B = $B690 - 1),0)"),-5000.0)</f>
        <v>-5000</v>
      </c>
      <c r="X690" s="93"/>
      <c r="Y690" s="93"/>
      <c r="Z690" s="93">
        <v>0.0</v>
      </c>
      <c r="AA690" s="93">
        <v>0.0</v>
      </c>
      <c r="AB690" s="93">
        <v>0.0</v>
      </c>
      <c r="AC690" s="93"/>
      <c r="AD690" s="93">
        <v>0.0</v>
      </c>
      <c r="AE690" s="32">
        <f t="shared" si="2"/>
        <v>-5000</v>
      </c>
      <c r="AF690" s="93">
        <v>0.0</v>
      </c>
    </row>
    <row r="691">
      <c r="A691" s="86">
        <v>2017.0</v>
      </c>
      <c r="B691" s="87">
        <v>8.0</v>
      </c>
      <c r="C691" s="88" t="s">
        <v>54</v>
      </c>
      <c r="D691" s="93">
        <v>1011.0</v>
      </c>
      <c r="E691" s="32"/>
      <c r="F691" s="32"/>
      <c r="G691" s="93">
        <v>-634.24</v>
      </c>
      <c r="H691" s="93">
        <v>2518.54</v>
      </c>
      <c r="I691" s="32"/>
      <c r="J691" s="93">
        <v>12798.75</v>
      </c>
      <c r="K691" s="32"/>
      <c r="L691" s="32"/>
      <c r="M691" s="32"/>
      <c r="N691" s="32"/>
      <c r="O691" s="93">
        <v>166148.0</v>
      </c>
      <c r="P691" s="91">
        <f>IFERROR(__xludf.DUMMYFUNCTION("IFERROR(sum(FILTER($D:$N,$C:$C = $C691,$A:$A &lt; $A691,$B:$B = 12)),0) + sum($D691:$N691)"),166149.15999999995)</f>
        <v>166149.16</v>
      </c>
      <c r="Q691" s="92">
        <f t="shared" si="1"/>
        <v>-1.16</v>
      </c>
      <c r="R691" s="91">
        <f t="array" ref="R691">IFERROR(INDEX('Fund YTD Target Values'!$1:$1000, MATCH($C691,'Fund YTD Target Values'!$A:$A,0), MATCH($A691,'Fund YTD Target Values'!$1:$1,0)),0)</f>
        <v>151442.9959</v>
      </c>
      <c r="S691" s="91">
        <f>IFERROR(__xludf.DUMMYFUNCTION("IFERROR(sum(FILTER('Fund Investment Data'!$V:$V, 'Fund Investment Data'!$C:$C = $C691, 'Fund Investment Data'!$A:$A &lt; $A691)),0) + IFERROR(sum(FILTER('Fund Investment Data'!$V:$V, 'Fund Investment Data'!$C:$C = $C691, 'Fund Investment Data'!$A:$A = $A691,"&amp;" 'Fund Investment Data'!$B:$B &lt;= $B691)),0)"),112356.10999999999)</f>
        <v>112356.11</v>
      </c>
      <c r="T691" s="93">
        <v>108440.0</v>
      </c>
      <c r="U691" s="32">
        <f t="shared" si="3"/>
        <v>3916.11</v>
      </c>
      <c r="V691" s="32">
        <f>IFERROR(__xludf.DUMMYFUNCTION("$D691 - IFERROR(FILTER($D:$D,$C:$C = $C691, $A:$A = $A691, $B:$B = $B691 - 1),0)"),0.0)</f>
        <v>0</v>
      </c>
      <c r="W691" s="93">
        <f>IFERROR(__xludf.DUMMYFUNCTION("$E691 - IFERROR(FILTER($E:$E,$C:$C = $C691, $A:$A = $A691, $B:$B = $B691 - 1),0)"),0.0)</f>
        <v>0</v>
      </c>
      <c r="X691" s="93"/>
      <c r="Y691" s="93"/>
      <c r="Z691" s="93">
        <v>0.0</v>
      </c>
      <c r="AA691" s="93">
        <v>0.0</v>
      </c>
      <c r="AB691" s="93">
        <v>0.0</v>
      </c>
      <c r="AC691" s="93"/>
      <c r="AD691" s="93">
        <v>0.0</v>
      </c>
      <c r="AE691" s="32">
        <f t="shared" si="2"/>
        <v>0</v>
      </c>
      <c r="AF691" s="93">
        <v>0.0</v>
      </c>
    </row>
    <row r="692">
      <c r="A692" s="86">
        <v>2017.0</v>
      </c>
      <c r="B692" s="87">
        <v>8.0</v>
      </c>
      <c r="C692" s="88" t="s">
        <v>55</v>
      </c>
      <c r="D692" s="32"/>
      <c r="E692" s="32"/>
      <c r="F692" s="32"/>
      <c r="G692" s="93">
        <v>-791.23</v>
      </c>
      <c r="H692" s="93">
        <v>1718.52</v>
      </c>
      <c r="I692" s="32"/>
      <c r="J692" s="93">
        <v>9960.67</v>
      </c>
      <c r="K692" s="32"/>
      <c r="L692" s="32"/>
      <c r="M692" s="32"/>
      <c r="N692" s="32"/>
      <c r="O692" s="93">
        <v>152763.0</v>
      </c>
      <c r="P692" s="91">
        <f>IFERROR(__xludf.DUMMYFUNCTION("IFERROR(sum(FILTER($D:$N,$C:$C = $C692,$A:$A &lt; $A692,$B:$B = 12)),0) + sum($D692:$N692)"),152763.24999999997)</f>
        <v>152763.25</v>
      </c>
      <c r="Q692" s="92">
        <f t="shared" si="1"/>
        <v>-0.25</v>
      </c>
      <c r="R692" s="91">
        <f t="array" ref="R692">IFERROR(INDEX('Fund YTD Target Values'!$1:$1000, MATCH($C692,'Fund YTD Target Values'!$A:$A,0), MATCH($A692,'Fund YTD Target Values'!$1:$1,0)),0)</f>
        <v>213886.3799</v>
      </c>
      <c r="S692" s="91">
        <f>IFERROR(__xludf.DUMMYFUNCTION("IFERROR(sum(FILTER('Fund Investment Data'!$V:$V, 'Fund Investment Data'!$C:$C = $C692, 'Fund Investment Data'!$A:$A &lt; $A692)),0) + IFERROR(sum(FILTER('Fund Investment Data'!$V:$V, 'Fund Investment Data'!$C:$C = $C692, 'Fund Investment Data'!$A:$A = $A692,"&amp;" 'Fund Investment Data'!$B:$B &lt;= $B692)),0)"),140000.0)</f>
        <v>140000</v>
      </c>
      <c r="T692" s="93">
        <v>167565.0</v>
      </c>
      <c r="U692" s="32">
        <f t="shared" si="3"/>
        <v>-27565</v>
      </c>
      <c r="V692" s="32">
        <f>IFERROR(__xludf.DUMMYFUNCTION("$D692 - IFERROR(FILTER($D:$D,$C:$C = $C692, $A:$A = $A692, $B:$B = $B692 - 1),0)"),0.0)</f>
        <v>0</v>
      </c>
      <c r="W692" s="93">
        <f>IFERROR(__xludf.DUMMYFUNCTION("$E692 - IFERROR(FILTER($E:$E,$C:$C = $C692, $A:$A = $A692, $B:$B = $B692 - 1),0)"),0.0)</f>
        <v>0</v>
      </c>
      <c r="X692" s="93"/>
      <c r="Y692" s="93"/>
      <c r="Z692" s="93">
        <v>0.0</v>
      </c>
      <c r="AA692" s="93">
        <v>0.0</v>
      </c>
      <c r="AB692" s="93">
        <v>0.0</v>
      </c>
      <c r="AC692" s="93"/>
      <c r="AD692" s="93">
        <v>0.0</v>
      </c>
      <c r="AE692" s="32">
        <f t="shared" si="2"/>
        <v>0</v>
      </c>
      <c r="AF692" s="93">
        <v>0.0</v>
      </c>
    </row>
    <row r="693">
      <c r="A693" s="86">
        <v>2017.0</v>
      </c>
      <c r="B693" s="87">
        <v>8.0</v>
      </c>
      <c r="C693" s="88" t="s">
        <v>44</v>
      </c>
      <c r="D693" s="32"/>
      <c r="E693" s="93">
        <v>-3000.0</v>
      </c>
      <c r="F693" s="32"/>
      <c r="G693" s="93">
        <v>-1123.71</v>
      </c>
      <c r="H693" s="93">
        <v>4670.87</v>
      </c>
      <c r="I693" s="32"/>
      <c r="J693" s="93">
        <v>24044.06</v>
      </c>
      <c r="K693" s="32"/>
      <c r="L693" s="32"/>
      <c r="M693" s="32"/>
      <c r="N693" s="32"/>
      <c r="O693" s="93">
        <v>291442.0</v>
      </c>
      <c r="P693" s="91">
        <f>IFERROR(__xludf.DUMMYFUNCTION("IFERROR(sum(FILTER($D:$N,$C:$C = $C693,$A:$A &lt; $A693,$B:$B = 12)),0) + sum($D693:$N693)"),291442.3700000001)</f>
        <v>291442.37</v>
      </c>
      <c r="Q693" s="92">
        <f t="shared" si="1"/>
        <v>-0.3700000001</v>
      </c>
      <c r="R693" s="91">
        <f t="array" ref="R693">IFERROR(INDEX('Fund YTD Target Values'!$1:$1000, MATCH($C693,'Fund YTD Target Values'!$A:$A,0), MATCH($A693,'Fund YTD Target Values'!$1:$1,0)),0)</f>
        <v>313918.5223</v>
      </c>
      <c r="S693" s="91">
        <f>IFERROR(__xludf.DUMMYFUNCTION("IFERROR(sum(FILTER('Fund Investment Data'!$V:$V, 'Fund Investment Data'!$C:$C = $C693, 'Fund Investment Data'!$A:$A &lt; $A693)),0) + IFERROR(sum(FILTER('Fund Investment Data'!$V:$V, 'Fund Investment Data'!$C:$C = $C693, 'Fund Investment Data'!$A:$A = $A693,"&amp;" 'Fund Investment Data'!$B:$B &lt;= $B693)),0)"),250000.0)</f>
        <v>250000</v>
      </c>
      <c r="T693" s="93">
        <v>250000.0</v>
      </c>
      <c r="U693" s="32">
        <f t="shared" si="3"/>
        <v>0</v>
      </c>
      <c r="V693" s="32">
        <f>IFERROR(__xludf.DUMMYFUNCTION("$D693 - IFERROR(FILTER($D:$D,$C:$C = $C693, $A:$A = $A693, $B:$B = $B693 - 1),0)"),0.0)</f>
        <v>0</v>
      </c>
      <c r="W693" s="93">
        <f>IFERROR(__xludf.DUMMYFUNCTION("$E693 - IFERROR(FILTER($E:$E,$C:$C = $C693, $A:$A = $A693, $B:$B = $B693 - 1),0)"),-3000.0)</f>
        <v>-3000</v>
      </c>
      <c r="X693" s="93"/>
      <c r="Y693" s="93"/>
      <c r="Z693" s="93">
        <v>0.0</v>
      </c>
      <c r="AA693" s="93">
        <v>0.0</v>
      </c>
      <c r="AB693" s="93">
        <v>0.0</v>
      </c>
      <c r="AC693" s="93"/>
      <c r="AD693" s="93">
        <v>0.0</v>
      </c>
      <c r="AE693" s="32">
        <f t="shared" si="2"/>
        <v>-3000</v>
      </c>
      <c r="AF693" s="93">
        <v>0.0</v>
      </c>
    </row>
    <row r="694">
      <c r="A694" s="86">
        <v>2017.0</v>
      </c>
      <c r="B694" s="87">
        <v>8.0</v>
      </c>
      <c r="C694" s="88" t="s">
        <v>45</v>
      </c>
      <c r="D694" s="32"/>
      <c r="E694" s="93">
        <v>-5000.0</v>
      </c>
      <c r="F694" s="32"/>
      <c r="G694" s="93">
        <v>-563.09</v>
      </c>
      <c r="H694" s="93">
        <v>2282.5</v>
      </c>
      <c r="I694" s="32"/>
      <c r="J694" s="93">
        <v>11668.59</v>
      </c>
      <c r="K694" s="32"/>
      <c r="L694" s="32"/>
      <c r="M694" s="32"/>
      <c r="N694" s="32"/>
      <c r="O694" s="93">
        <v>142333.0</v>
      </c>
      <c r="P694" s="91">
        <f>IFERROR(__xludf.DUMMYFUNCTION("IFERROR(sum(FILTER($D:$N,$C:$C = $C694,$A:$A &lt; $A694,$B:$B = 12)),0) + sum($D694:$N694)"),142332.83)</f>
        <v>142332.83</v>
      </c>
      <c r="Q694" s="92">
        <f t="shared" si="1"/>
        <v>0.17</v>
      </c>
      <c r="R694" s="91">
        <f t="array" ref="R694">IFERROR(INDEX('Fund YTD Target Values'!$1:$1000, MATCH($C694,'Fund YTD Target Values'!$A:$A,0), MATCH($A694,'Fund YTD Target Values'!$1:$1,0)),0)</f>
        <v>118351.1878</v>
      </c>
      <c r="S694" s="91">
        <f>IFERROR(__xludf.DUMMYFUNCTION("IFERROR(sum(FILTER('Fund Investment Data'!$V:$V, 'Fund Investment Data'!$C:$C = $C694, 'Fund Investment Data'!$A:$A &lt; $A694)),0) + IFERROR(sum(FILTER('Fund Investment Data'!$V:$V, 'Fund Investment Data'!$C:$C = $C694, 'Fund Investment Data'!$A:$A = $A694,"&amp;" 'Fund Investment Data'!$B:$B &lt;= $B694)),0)"),100000.0)</f>
        <v>100000</v>
      </c>
      <c r="T694" s="93">
        <v>100000.0</v>
      </c>
      <c r="U694" s="32">
        <f t="shared" si="3"/>
        <v>0</v>
      </c>
      <c r="V694" s="32">
        <f>IFERROR(__xludf.DUMMYFUNCTION("$D694 - IFERROR(FILTER($D:$D,$C:$C = $C694, $A:$A = $A694, $B:$B = $B694 - 1),0)"),0.0)</f>
        <v>0</v>
      </c>
      <c r="W694" s="93">
        <f>IFERROR(__xludf.DUMMYFUNCTION("$E694 - IFERROR(FILTER($E:$E,$C:$C = $C694, $A:$A = $A694, $B:$B = $B694 - 1),0)"),-5000.0)</f>
        <v>-5000</v>
      </c>
      <c r="X694" s="93"/>
      <c r="Y694" s="93"/>
      <c r="Z694" s="93">
        <v>0.0</v>
      </c>
      <c r="AA694" s="93">
        <v>0.0</v>
      </c>
      <c r="AB694" s="93">
        <v>0.0</v>
      </c>
      <c r="AC694" s="93"/>
      <c r="AD694" s="93">
        <v>0.0</v>
      </c>
      <c r="AE694" s="32">
        <f t="shared" si="2"/>
        <v>-5000</v>
      </c>
      <c r="AF694" s="93">
        <v>0.0</v>
      </c>
    </row>
    <row r="695">
      <c r="A695" s="86">
        <v>2017.0</v>
      </c>
      <c r="B695" s="87">
        <v>8.0</v>
      </c>
      <c r="C695" s="88" t="s">
        <v>35</v>
      </c>
      <c r="D695" s="32"/>
      <c r="E695" s="93">
        <v>-25400.0</v>
      </c>
      <c r="F695" s="32"/>
      <c r="G695" s="93">
        <v>-5614.48</v>
      </c>
      <c r="H695" s="93">
        <v>23436.07</v>
      </c>
      <c r="I695" s="93">
        <v>1947.29</v>
      </c>
      <c r="J695" s="93">
        <v>118796.75</v>
      </c>
      <c r="K695" s="32"/>
      <c r="L695" s="32"/>
      <c r="M695" s="32"/>
      <c r="N695" s="32"/>
      <c r="O695" s="93">
        <v>1454024.0</v>
      </c>
      <c r="P695" s="91">
        <f>IFERROR(__xludf.DUMMYFUNCTION("IFERROR(sum(FILTER($D:$N,$C:$C = $C695,$A:$A &lt; $A695,$B:$B = 12)),0) + sum($D695:$N695)"),1454023.3000000003)</f>
        <v>1454023.3</v>
      </c>
      <c r="Q695" s="92">
        <f t="shared" si="1"/>
        <v>0.6999999997</v>
      </c>
      <c r="R695" s="91">
        <f t="array" ref="R695">IFERROR(INDEX('Fund YTD Target Values'!$1:$1000, MATCH($C695,'Fund YTD Target Values'!$A:$A,0), MATCH($A695,'Fund YTD Target Values'!$1:$1,0)),0)</f>
        <v>1541591.16</v>
      </c>
      <c r="S695" s="91">
        <f>IFERROR(__xludf.DUMMYFUNCTION("IFERROR(sum(FILTER('Fund Investment Data'!$V:$V, 'Fund Investment Data'!$C:$C = $C695, 'Fund Investment Data'!$A:$A &lt; $A695)),0) + IFERROR(sum(FILTER('Fund Investment Data'!$V:$V, 'Fund Investment Data'!$C:$C = $C695, 'Fund Investment Data'!$A:$A = $A695,"&amp;" 'Fund Investment Data'!$B:$B &lt;= $B695)),0)"),1086625.0)</f>
        <v>1086625</v>
      </c>
      <c r="T695" s="93">
        <v>1071625.0</v>
      </c>
      <c r="U695" s="32">
        <f t="shared" si="3"/>
        <v>15000</v>
      </c>
      <c r="V695" s="32">
        <f>IFERROR(__xludf.DUMMYFUNCTION("$D695 - IFERROR(FILTER($D:$D,$C:$C = $C695, $A:$A = $A695, $B:$B = $B695 - 1),0)"),0.0)</f>
        <v>0</v>
      </c>
      <c r="W695" s="93">
        <f>IFERROR(__xludf.DUMMYFUNCTION("$E695 - IFERROR(FILTER($E:$E,$C:$C = $C695, $A:$A = $A695, $B:$B = $B695 - 1),0)"),-3800.0)</f>
        <v>-3800</v>
      </c>
      <c r="X695" s="93"/>
      <c r="Y695" s="93"/>
      <c r="Z695" s="93">
        <v>0.0</v>
      </c>
      <c r="AA695" s="93">
        <v>0.0</v>
      </c>
      <c r="AB695" s="93">
        <v>0.0</v>
      </c>
      <c r="AC695" s="93"/>
      <c r="AD695" s="93">
        <v>0.0</v>
      </c>
      <c r="AE695" s="32">
        <f t="shared" si="2"/>
        <v>-25400</v>
      </c>
      <c r="AF695" s="93">
        <v>0.0</v>
      </c>
    </row>
    <row r="696">
      <c r="A696" s="86">
        <v>2017.0</v>
      </c>
      <c r="B696" s="87">
        <v>8.0</v>
      </c>
      <c r="C696" s="88" t="s">
        <v>56</v>
      </c>
      <c r="D696" s="32"/>
      <c r="E696" s="93">
        <v>-3000.0</v>
      </c>
      <c r="F696" s="32"/>
      <c r="G696" s="93">
        <v>-4198.26</v>
      </c>
      <c r="H696" s="93">
        <v>17031.37</v>
      </c>
      <c r="I696" s="32"/>
      <c r="J696" s="93">
        <v>87090.95</v>
      </c>
      <c r="K696" s="32"/>
      <c r="L696" s="32"/>
      <c r="M696" s="32"/>
      <c r="N696" s="32"/>
      <c r="O696" s="93">
        <v>1096643.0</v>
      </c>
      <c r="P696" s="91">
        <f>IFERROR(__xludf.DUMMYFUNCTION("IFERROR(sum(FILTER($D:$N,$C:$C = $C696,$A:$A &lt; $A696,$B:$B = 12)),0) + sum($D696:$N696)"),1096642.68)</f>
        <v>1096642.68</v>
      </c>
      <c r="Q696" s="92">
        <f t="shared" si="1"/>
        <v>0.3200000001</v>
      </c>
      <c r="R696" s="91">
        <f t="array" ref="R696">IFERROR(INDEX('Fund YTD Target Values'!$1:$1000, MATCH($C696,'Fund YTD Target Values'!$A:$A,0), MATCH($A696,'Fund YTD Target Values'!$1:$1,0)),0)</f>
        <v>1035433.228</v>
      </c>
      <c r="S696" s="91">
        <f>IFERROR(__xludf.DUMMYFUNCTION("IFERROR(sum(FILTER('Fund Investment Data'!$V:$V, 'Fund Investment Data'!$C:$C = $C696, 'Fund Investment Data'!$A:$A &lt; $A696)),0) + IFERROR(sum(FILTER('Fund Investment Data'!$V:$V, 'Fund Investment Data'!$C:$C = $C696, 'Fund Investment Data'!$A:$A = $A696,"&amp;" 'Fund Investment Data'!$B:$B &lt;= $B696)),0)"),1000000.0)</f>
        <v>1000000</v>
      </c>
      <c r="T696" s="93">
        <v>1000000.0</v>
      </c>
      <c r="U696" s="32">
        <f t="shared" si="3"/>
        <v>0</v>
      </c>
      <c r="V696" s="32">
        <f>IFERROR(__xludf.DUMMYFUNCTION("$D696 - IFERROR(FILTER($D:$D,$C:$C = $C696, $A:$A = $A696, $B:$B = $B696 - 1),0)"),0.0)</f>
        <v>0</v>
      </c>
      <c r="W696" s="93">
        <f>IFERROR(__xludf.DUMMYFUNCTION("$E696 - IFERROR(FILTER($E:$E,$C:$C = $C696, $A:$A = $A696, $B:$B = $B696 - 1),0)"),0.0)</f>
        <v>0</v>
      </c>
      <c r="X696" s="93"/>
      <c r="Y696" s="93"/>
      <c r="Z696" s="93">
        <v>0.0</v>
      </c>
      <c r="AA696" s="93">
        <v>0.0</v>
      </c>
      <c r="AB696" s="93">
        <v>0.0</v>
      </c>
      <c r="AC696" s="93"/>
      <c r="AD696" s="93">
        <v>0.0</v>
      </c>
      <c r="AE696" s="32">
        <f t="shared" si="2"/>
        <v>-3000</v>
      </c>
      <c r="AF696" s="93">
        <v>0.0</v>
      </c>
    </row>
    <row r="697">
      <c r="A697" s="86">
        <v>2017.0</v>
      </c>
      <c r="B697" s="87">
        <v>9.0</v>
      </c>
      <c r="C697" s="88" t="s">
        <v>26</v>
      </c>
      <c r="D697" s="93">
        <v>9843.0</v>
      </c>
      <c r="E697" s="93">
        <v>-10000.0</v>
      </c>
      <c r="F697" s="32"/>
      <c r="G697" s="93">
        <v>-1412.82</v>
      </c>
      <c r="H697" s="93">
        <v>5485.86</v>
      </c>
      <c r="I697" s="32"/>
      <c r="J697" s="93">
        <v>29104.69</v>
      </c>
      <c r="K697" s="32"/>
      <c r="L697" s="32"/>
      <c r="M697" s="32"/>
      <c r="N697" s="32"/>
      <c r="O697" s="93">
        <v>321504.0</v>
      </c>
      <c r="P697" s="91">
        <f>IFERROR(__xludf.DUMMYFUNCTION("IFERROR(sum(FILTER($D:$N,$C:$C = $C697,$A:$A &lt; $A697,$B:$B = 12)),0) + sum($D697:$N697)"),321503.4199999999)</f>
        <v>321503.42</v>
      </c>
      <c r="Q697" s="92">
        <f t="shared" si="1"/>
        <v>0.5800000001</v>
      </c>
      <c r="R697" s="91">
        <f t="array" ref="R697">IFERROR(INDEX('Fund YTD Target Values'!$1:$1000, MATCH($C697,'Fund YTD Target Values'!$A:$A,0), MATCH($A697,'Fund YTD Target Values'!$1:$1,0)),0)</f>
        <v>351339.7985</v>
      </c>
      <c r="S697" s="91">
        <f>IFERROR(__xludf.DUMMYFUNCTION("IFERROR(sum(FILTER('Fund Investment Data'!$V:$V, 'Fund Investment Data'!$C:$C = $C697, 'Fund Investment Data'!$A:$A &lt; $A697)),0) + IFERROR(sum(FILTER('Fund Investment Data'!$V:$V, 'Fund Investment Data'!$C:$C = $C697, 'Fund Investment Data'!$A:$A = $A697,"&amp;" 'Fund Investment Data'!$B:$B &lt;= $B697)),0)"),291810.0)</f>
        <v>291810</v>
      </c>
      <c r="T697" s="93">
        <v>291811.0</v>
      </c>
      <c r="U697" s="32">
        <f t="shared" si="3"/>
        <v>-1</v>
      </c>
      <c r="V697" s="32">
        <f>IFERROR(__xludf.DUMMYFUNCTION("$D697 - IFERROR(FILTER($D:$D,$C:$C = $C697, $A:$A = $A697, $B:$B = $B697 - 1),0)"),0.0)</f>
        <v>0</v>
      </c>
      <c r="W697" s="93">
        <f>IFERROR(__xludf.DUMMYFUNCTION("$E697 - IFERROR(FILTER($E:$E,$C:$C = $C697, $A:$A = $A697, $B:$B = $B697 - 1),0)"),-9000.0)</f>
        <v>-9000</v>
      </c>
      <c r="X697" s="93"/>
      <c r="Y697" s="93"/>
      <c r="Z697" s="93">
        <v>0.0</v>
      </c>
      <c r="AA697" s="93">
        <v>0.0</v>
      </c>
      <c r="AB697" s="93">
        <v>0.0</v>
      </c>
      <c r="AC697" s="93"/>
      <c r="AD697" s="93">
        <v>0.0</v>
      </c>
      <c r="AE697" s="32">
        <f t="shared" si="2"/>
        <v>-10000</v>
      </c>
      <c r="AF697" s="93">
        <v>0.0</v>
      </c>
    </row>
    <row r="698">
      <c r="A698" s="86">
        <v>2017.0</v>
      </c>
      <c r="B698" s="87">
        <v>9.0</v>
      </c>
      <c r="C698" s="88" t="s">
        <v>27</v>
      </c>
      <c r="D698" s="32"/>
      <c r="E698" s="93">
        <v>-6000.0</v>
      </c>
      <c r="F698" s="32"/>
      <c r="G698" s="93">
        <v>-1330.67</v>
      </c>
      <c r="H698" s="93">
        <v>5294.14</v>
      </c>
      <c r="I698" s="93">
        <v>331.85</v>
      </c>
      <c r="J698" s="93">
        <v>27978.75</v>
      </c>
      <c r="K698" s="32"/>
      <c r="L698" s="32"/>
      <c r="M698" s="32"/>
      <c r="N698" s="32"/>
      <c r="O698" s="93">
        <v>307787.0</v>
      </c>
      <c r="P698" s="91">
        <f>IFERROR(__xludf.DUMMYFUNCTION("IFERROR(sum(FILTER($D:$N,$C:$C = $C698,$A:$A &lt; $A698,$B:$B = 12)),0) + sum($D698:$N698)"),307787.2300000001)</f>
        <v>307787.23</v>
      </c>
      <c r="Q698" s="92">
        <f t="shared" si="1"/>
        <v>-0.2300000001</v>
      </c>
      <c r="R698" s="91">
        <f t="array" ref="R698">IFERROR(INDEX('Fund YTD Target Values'!$1:$1000, MATCH($C698,'Fund YTD Target Values'!$A:$A,0), MATCH($A698,'Fund YTD Target Values'!$1:$1,0)),0)</f>
        <v>383919.6363</v>
      </c>
      <c r="S698" s="91">
        <f>IFERROR(__xludf.DUMMYFUNCTION("IFERROR(sum(FILTER('Fund Investment Data'!$V:$V, 'Fund Investment Data'!$C:$C = $C698, 'Fund Investment Data'!$A:$A &lt; $A698)),0) + IFERROR(sum(FILTER('Fund Investment Data'!$V:$V, 'Fund Investment Data'!$C:$C = $C698, 'Fund Investment Data'!$A:$A = $A698,"&amp;" 'Fund Investment Data'!$B:$B &lt;= $B698)),0)"),276213.69999999995)</f>
        <v>276213.7</v>
      </c>
      <c r="T698" s="93">
        <v>272248.0</v>
      </c>
      <c r="U698" s="32">
        <f t="shared" si="3"/>
        <v>3965.7</v>
      </c>
      <c r="V698" s="32">
        <f>IFERROR(__xludf.DUMMYFUNCTION("$D698 - IFERROR(FILTER($D:$D,$C:$C = $C698, $A:$A = $A698, $B:$B = $B698 - 1),0)"),0.0)</f>
        <v>0</v>
      </c>
      <c r="W698" s="93">
        <f>IFERROR(__xludf.DUMMYFUNCTION("$E698 - IFERROR(FILTER($E:$E,$C:$C = $C698, $A:$A = $A698, $B:$B = $B698 - 1),0)"),-1000.0)</f>
        <v>-1000</v>
      </c>
      <c r="X698" s="93"/>
      <c r="Y698" s="93"/>
      <c r="Z698" s="93">
        <v>0.0</v>
      </c>
      <c r="AA698" s="93">
        <v>0.0</v>
      </c>
      <c r="AB698" s="93">
        <v>0.0</v>
      </c>
      <c r="AC698" s="93"/>
      <c r="AD698" s="93">
        <v>0.0</v>
      </c>
      <c r="AE698" s="32">
        <f t="shared" si="2"/>
        <v>-6000</v>
      </c>
      <c r="AF698" s="93">
        <v>0.0</v>
      </c>
    </row>
    <row r="699">
      <c r="A699" s="86">
        <v>2017.0</v>
      </c>
      <c r="B699" s="87">
        <v>9.0</v>
      </c>
      <c r="C699" s="88" t="s">
        <v>28</v>
      </c>
      <c r="D699" s="32"/>
      <c r="E699" s="93">
        <v>-71600.0</v>
      </c>
      <c r="F699" s="32"/>
      <c r="G699" s="93">
        <v>-14443.84</v>
      </c>
      <c r="H699" s="93">
        <v>57571.05</v>
      </c>
      <c r="I699" s="93">
        <v>7123.93</v>
      </c>
      <c r="J699" s="93">
        <v>300758.63</v>
      </c>
      <c r="K699" s="32"/>
      <c r="L699" s="32"/>
      <c r="M699" s="32"/>
      <c r="N699" s="32"/>
      <c r="O699" s="93">
        <v>3338044.0</v>
      </c>
      <c r="P699" s="91">
        <f>IFERROR(__xludf.DUMMYFUNCTION("IFERROR(sum(FILTER($D:$N,$C:$C = $C699,$A:$A &lt; $A699,$B:$B = 12)),0) + sum($D699:$N699)"),3338043.05)</f>
        <v>3338043.05</v>
      </c>
      <c r="Q699" s="92">
        <f t="shared" si="1"/>
        <v>0.9500000002</v>
      </c>
      <c r="R699" s="91">
        <f t="array" ref="R699">IFERROR(INDEX('Fund YTD Target Values'!$1:$1000, MATCH($C699,'Fund YTD Target Values'!$A:$A,0), MATCH($A699,'Fund YTD Target Values'!$1:$1,0)),0)</f>
        <v>3748913.384</v>
      </c>
      <c r="S699" s="91">
        <f>IFERROR(__xludf.DUMMYFUNCTION("IFERROR(sum(FILTER('Fund Investment Data'!$V:$V, 'Fund Investment Data'!$C:$C = $C699, 'Fund Investment Data'!$A:$A &lt; $A699)),0) + IFERROR(sum(FILTER('Fund Investment Data'!$V:$V, 'Fund Investment Data'!$C:$C = $C699, 'Fund Investment Data'!$A:$A = $A699,"&amp;" 'Fund Investment Data'!$B:$B &lt;= $B699)),0)"),2960091.25)</f>
        <v>2960091.25</v>
      </c>
      <c r="T699" s="93">
        <v>3009816.0</v>
      </c>
      <c r="U699" s="32">
        <f t="shared" si="3"/>
        <v>-49724.75</v>
      </c>
      <c r="V699" s="32">
        <f>IFERROR(__xludf.DUMMYFUNCTION("$D699 - IFERROR(FILTER($D:$D,$C:$C = $C699, $A:$A = $A699, $B:$B = $B699 - 1),0)"),0.0)</f>
        <v>0</v>
      </c>
      <c r="W699" s="93">
        <f>IFERROR(__xludf.DUMMYFUNCTION("$E699 - IFERROR(FILTER($E:$E,$C:$C = $C699, $A:$A = $A699, $B:$B = $B699 - 1),0)"),-3000.0)</f>
        <v>-3000</v>
      </c>
      <c r="X699" s="93"/>
      <c r="Y699" s="93"/>
      <c r="Z699" s="93">
        <v>0.0</v>
      </c>
      <c r="AA699" s="93">
        <v>0.0</v>
      </c>
      <c r="AB699" s="93">
        <v>0.0</v>
      </c>
      <c r="AC699" s="93"/>
      <c r="AD699" s="93">
        <v>0.0</v>
      </c>
      <c r="AE699" s="32">
        <f t="shared" si="2"/>
        <v>-71600</v>
      </c>
      <c r="AF699" s="93">
        <v>0.0</v>
      </c>
    </row>
    <row r="700">
      <c r="A700" s="86">
        <v>2017.0</v>
      </c>
      <c r="B700" s="87">
        <v>9.0</v>
      </c>
      <c r="C700" s="88" t="s">
        <v>46</v>
      </c>
      <c r="D700" s="32"/>
      <c r="E700" s="93">
        <v>-5700.0</v>
      </c>
      <c r="F700" s="32"/>
      <c r="G700" s="93">
        <v>-1815.93</v>
      </c>
      <c r="H700" s="93">
        <v>7207.46</v>
      </c>
      <c r="I700" s="32"/>
      <c r="J700" s="93">
        <v>38527.18</v>
      </c>
      <c r="K700" s="32"/>
      <c r="L700" s="32"/>
      <c r="M700" s="32"/>
      <c r="N700" s="32"/>
      <c r="O700" s="93">
        <v>420099.0</v>
      </c>
      <c r="P700" s="91">
        <f>IFERROR(__xludf.DUMMYFUNCTION("IFERROR(sum(FILTER($D:$N,$C:$C = $C700,$A:$A &lt; $A700,$B:$B = 12)),0) + sum($D700:$N700)"),420099.26000000007)</f>
        <v>420099.26</v>
      </c>
      <c r="Q700" s="92">
        <f t="shared" si="1"/>
        <v>-0.2600000001</v>
      </c>
      <c r="R700" s="91">
        <f t="array" ref="R700">IFERROR(INDEX('Fund YTD Target Values'!$1:$1000, MATCH($C700,'Fund YTD Target Values'!$A:$A,0), MATCH($A700,'Fund YTD Target Values'!$1:$1,0)),0)</f>
        <v>445660.8761</v>
      </c>
      <c r="S700" s="91">
        <f>IFERROR(__xludf.DUMMYFUNCTION("IFERROR(sum(FILTER('Fund Investment Data'!$V:$V, 'Fund Investment Data'!$C:$C = $C700, 'Fund Investment Data'!$A:$A &lt; $A700)),0) + IFERROR(sum(FILTER('Fund Investment Data'!$V:$V, 'Fund Investment Data'!$C:$C = $C700, 'Fund Investment Data'!$A:$A = $A700,"&amp;" 'Fund Investment Data'!$B:$B &lt;= $B700)),0)"),366400.0)</f>
        <v>366400</v>
      </c>
      <c r="T700" s="93">
        <v>366400.0</v>
      </c>
      <c r="U700" s="32">
        <f t="shared" si="3"/>
        <v>0</v>
      </c>
      <c r="V700" s="32">
        <f>IFERROR(__xludf.DUMMYFUNCTION("$D700 - IFERROR(FILTER($D:$D,$C:$C = $C700, $A:$A = $A700, $B:$B = $B700 - 1),0)"),0.0)</f>
        <v>0</v>
      </c>
      <c r="W700" s="93">
        <f>IFERROR(__xludf.DUMMYFUNCTION("$E700 - IFERROR(FILTER($E:$E,$C:$C = $C700, $A:$A = $A700, $B:$B = $B700 - 1),0)"),0.0)</f>
        <v>0</v>
      </c>
      <c r="X700" s="93"/>
      <c r="Y700" s="93"/>
      <c r="Z700" s="93">
        <v>0.0</v>
      </c>
      <c r="AA700" s="93">
        <v>0.0</v>
      </c>
      <c r="AB700" s="93">
        <v>0.0</v>
      </c>
      <c r="AC700" s="93"/>
      <c r="AD700" s="93">
        <v>0.0</v>
      </c>
      <c r="AE700" s="32">
        <f t="shared" si="2"/>
        <v>-5700</v>
      </c>
      <c r="AF700" s="93">
        <v>0.0</v>
      </c>
    </row>
    <row r="701">
      <c r="A701" s="86">
        <v>2017.0</v>
      </c>
      <c r="B701" s="87">
        <v>9.0</v>
      </c>
      <c r="C701" s="88" t="s">
        <v>36</v>
      </c>
      <c r="D701" s="32"/>
      <c r="E701" s="93">
        <v>-6900.0</v>
      </c>
      <c r="F701" s="32"/>
      <c r="G701" s="93">
        <v>-1981.64</v>
      </c>
      <c r="H701" s="93">
        <v>7878.67</v>
      </c>
      <c r="I701" s="93">
        <v>2862.44</v>
      </c>
      <c r="J701" s="93">
        <v>39279.56</v>
      </c>
      <c r="K701" s="32"/>
      <c r="L701" s="32"/>
      <c r="M701" s="32"/>
      <c r="N701" s="32"/>
      <c r="O701" s="93">
        <v>459550.0</v>
      </c>
      <c r="P701" s="91">
        <f>IFERROR(__xludf.DUMMYFUNCTION("IFERROR(sum(FILTER($D:$N,$C:$C = $C701,$A:$A &lt; $A701,$B:$B = 12)),0) + sum($D701:$N701)"),459549.45000000007)</f>
        <v>459549.45</v>
      </c>
      <c r="Q701" s="92">
        <f t="shared" si="1"/>
        <v>0.5499999999</v>
      </c>
      <c r="R701" s="91">
        <f t="array" ref="R701">IFERROR(INDEX('Fund YTD Target Values'!$1:$1000, MATCH($C701,'Fund YTD Target Values'!$A:$A,0), MATCH($A701,'Fund YTD Target Values'!$1:$1,0)),0)</f>
        <v>620333.8441</v>
      </c>
      <c r="S701" s="91">
        <f>IFERROR(__xludf.DUMMYFUNCTION("IFERROR(sum(FILTER('Fund Investment Data'!$V:$V, 'Fund Investment Data'!$C:$C = $C701, 'Fund Investment Data'!$A:$A &lt; $A701)),0) + IFERROR(sum(FILTER('Fund Investment Data'!$V:$V, 'Fund Investment Data'!$C:$C = $C701, 'Fund Investment Data'!$A:$A = $A701,"&amp;" 'Fund Investment Data'!$B:$B &lt;= $B701)),0)"),429067.24)</f>
        <v>429067.24</v>
      </c>
      <c r="T701" s="93">
        <v>413959.0</v>
      </c>
      <c r="U701" s="32">
        <f t="shared" si="3"/>
        <v>15108.24</v>
      </c>
      <c r="V701" s="32">
        <f>IFERROR(__xludf.DUMMYFUNCTION("$D701 - IFERROR(FILTER($D:$D,$C:$C = $C701, $A:$A = $A701, $B:$B = $B701 - 1),0)"),0.0)</f>
        <v>0</v>
      </c>
      <c r="W701" s="93">
        <f>IFERROR(__xludf.DUMMYFUNCTION("$E701 - IFERROR(FILTER($E:$E,$C:$C = $C701, $A:$A = $A701, $B:$B = $B701 - 1),0)"),0.0)</f>
        <v>0</v>
      </c>
      <c r="X701" s="93"/>
      <c r="Y701" s="93"/>
      <c r="Z701" s="93">
        <v>0.0</v>
      </c>
      <c r="AA701" s="93">
        <v>0.0</v>
      </c>
      <c r="AB701" s="93">
        <v>0.0</v>
      </c>
      <c r="AC701" s="93"/>
      <c r="AD701" s="93">
        <v>0.0</v>
      </c>
      <c r="AE701" s="32">
        <f t="shared" si="2"/>
        <v>-6900</v>
      </c>
      <c r="AF701" s="93">
        <v>0.0</v>
      </c>
    </row>
    <row r="702">
      <c r="A702" s="86">
        <v>2017.0</v>
      </c>
      <c r="B702" s="87">
        <v>9.0</v>
      </c>
      <c r="C702" s="88" t="s">
        <v>37</v>
      </c>
      <c r="D702" s="32"/>
      <c r="E702" s="93">
        <v>-13000.0</v>
      </c>
      <c r="F702" s="32"/>
      <c r="G702" s="93">
        <v>-3724.62</v>
      </c>
      <c r="H702" s="93">
        <v>14833.25</v>
      </c>
      <c r="I702" s="93">
        <v>257.53</v>
      </c>
      <c r="J702" s="93">
        <v>79106.13</v>
      </c>
      <c r="K702" s="32"/>
      <c r="L702" s="32"/>
      <c r="M702" s="32"/>
      <c r="N702" s="32"/>
      <c r="O702" s="93">
        <v>863843.0</v>
      </c>
      <c r="P702" s="91">
        <f>IFERROR(__xludf.DUMMYFUNCTION("IFERROR(sum(FILTER($D:$N,$C:$C = $C702,$A:$A &lt; $A702,$B:$B = 12)),0) + sum($D702:$N702)"),863843.3)</f>
        <v>863843.3</v>
      </c>
      <c r="Q702" s="92">
        <f t="shared" si="1"/>
        <v>-0.3</v>
      </c>
      <c r="R702" s="91">
        <f t="array" ref="R702">IFERROR(INDEX('Fund YTD Target Values'!$1:$1000, MATCH($C702,'Fund YTD Target Values'!$A:$A,0), MATCH($A702,'Fund YTD Target Values'!$1:$1,0)),0)</f>
        <v>825458.0276</v>
      </c>
      <c r="S702" s="91">
        <f>IFERROR(__xludf.DUMMYFUNCTION("IFERROR(sum(FILTER('Fund Investment Data'!$V:$V, 'Fund Investment Data'!$C:$C = $C702, 'Fund Investment Data'!$A:$A &lt; $A702)),0) + IFERROR(sum(FILTER('Fund Investment Data'!$V:$V, 'Fund Investment Data'!$C:$C = $C702, 'Fund Investment Data'!$A:$A = $A702,"&amp;" 'Fund Investment Data'!$B:$B &lt;= $B702)),0)"),758137.86)</f>
        <v>758137.86</v>
      </c>
      <c r="T702" s="93">
        <v>742866.0</v>
      </c>
      <c r="U702" s="32">
        <f t="shared" si="3"/>
        <v>15271.86</v>
      </c>
      <c r="V702" s="32">
        <f>IFERROR(__xludf.DUMMYFUNCTION("$D702 - IFERROR(FILTER($D:$D,$C:$C = $C702, $A:$A = $A702, $B:$B = $B702 - 1),0)"),0.0)</f>
        <v>0</v>
      </c>
      <c r="W702" s="93">
        <f>IFERROR(__xludf.DUMMYFUNCTION("$E702 - IFERROR(FILTER($E:$E,$C:$C = $C702, $A:$A = $A702, $B:$B = $B702 - 1),0)"),-1000.0)</f>
        <v>-1000</v>
      </c>
      <c r="X702" s="93"/>
      <c r="Y702" s="93"/>
      <c r="Z702" s="93">
        <v>0.0</v>
      </c>
      <c r="AA702" s="93">
        <v>0.0</v>
      </c>
      <c r="AB702" s="93">
        <v>0.0</v>
      </c>
      <c r="AC702" s="93"/>
      <c r="AD702" s="93">
        <v>0.0</v>
      </c>
      <c r="AE702" s="32">
        <f t="shared" si="2"/>
        <v>-13000</v>
      </c>
      <c r="AF702" s="93">
        <v>0.0</v>
      </c>
    </row>
    <row r="703">
      <c r="A703" s="86">
        <v>2017.0</v>
      </c>
      <c r="B703" s="87">
        <v>9.0</v>
      </c>
      <c r="C703" s="88" t="s">
        <v>29</v>
      </c>
      <c r="D703" s="32"/>
      <c r="E703" s="32"/>
      <c r="F703" s="32"/>
      <c r="G703" s="93">
        <v>-253.4</v>
      </c>
      <c r="H703" s="93">
        <v>1003.62</v>
      </c>
      <c r="I703" s="32"/>
      <c r="J703" s="93">
        <v>5359.59</v>
      </c>
      <c r="K703" s="32"/>
      <c r="L703" s="32"/>
      <c r="M703" s="32"/>
      <c r="N703" s="32"/>
      <c r="O703" s="93">
        <v>59323.0</v>
      </c>
      <c r="P703" s="91">
        <f>IFERROR(__xludf.DUMMYFUNCTION("IFERROR(sum(FILTER($D:$N,$C:$C = $C703,$A:$A &lt; $A703,$B:$B = 12)),0) + sum($D703:$N703)"),59322.89999999992)</f>
        <v>59322.9</v>
      </c>
      <c r="Q703" s="92">
        <f t="shared" si="1"/>
        <v>0.1000000001</v>
      </c>
      <c r="R703" s="91">
        <f t="array" ref="R703">IFERROR(INDEX('Fund YTD Target Values'!$1:$1000, MATCH($C703,'Fund YTD Target Values'!$A:$A,0), MATCH($A703,'Fund YTD Target Values'!$1:$1,0)),0)</f>
        <v>75218.58778</v>
      </c>
      <c r="S703" s="91">
        <f>IFERROR(__xludf.DUMMYFUNCTION("IFERROR(sum(FILTER('Fund Investment Data'!$V:$V, 'Fund Investment Data'!$C:$C = $C703, 'Fund Investment Data'!$A:$A &lt; $A703)),0) + IFERROR(sum(FILTER('Fund Investment Data'!$V:$V, 'Fund Investment Data'!$C:$C = $C703, 'Fund Investment Data'!$A:$A = $A703,"&amp;" 'Fund Investment Data'!$B:$B &lt;= $B703)),0)"),50000.0)</f>
        <v>50000</v>
      </c>
      <c r="T703" s="93">
        <v>50000.0</v>
      </c>
      <c r="U703" s="32">
        <f t="shared" si="3"/>
        <v>0</v>
      </c>
      <c r="V703" s="32">
        <f>IFERROR(__xludf.DUMMYFUNCTION("$D703 - IFERROR(FILTER($D:$D,$C:$C = $C703, $A:$A = $A703, $B:$B = $B703 - 1),0)"),0.0)</f>
        <v>0</v>
      </c>
      <c r="W703" s="93">
        <f>IFERROR(__xludf.DUMMYFUNCTION("$E703 - IFERROR(FILTER($E:$E,$C:$C = $C703, $A:$A = $A703, $B:$B = $B703 - 1),0)"),0.0)</f>
        <v>0</v>
      </c>
      <c r="X703" s="93"/>
      <c r="Y703" s="93"/>
      <c r="Z703" s="93">
        <v>0.0</v>
      </c>
      <c r="AA703" s="93">
        <v>0.0</v>
      </c>
      <c r="AB703" s="93">
        <v>0.0</v>
      </c>
      <c r="AC703" s="93"/>
      <c r="AD703" s="93">
        <v>0.0</v>
      </c>
      <c r="AE703" s="32">
        <f t="shared" si="2"/>
        <v>0</v>
      </c>
      <c r="AF703" s="93">
        <v>0.0</v>
      </c>
    </row>
    <row r="704">
      <c r="A704" s="86">
        <v>2017.0</v>
      </c>
      <c r="B704" s="87">
        <v>9.0</v>
      </c>
      <c r="C704" s="88" t="s">
        <v>38</v>
      </c>
      <c r="D704" s="32"/>
      <c r="E704" s="93">
        <v>-10000.0</v>
      </c>
      <c r="F704" s="32"/>
      <c r="G704" s="93">
        <v>-3413.15</v>
      </c>
      <c r="H704" s="93">
        <v>13555.16</v>
      </c>
      <c r="I704" s="32"/>
      <c r="J704" s="93">
        <v>72470.55</v>
      </c>
      <c r="K704" s="32"/>
      <c r="L704" s="32"/>
      <c r="M704" s="32"/>
      <c r="N704" s="32"/>
      <c r="O704" s="93">
        <v>790265.0</v>
      </c>
      <c r="P704" s="91">
        <f>IFERROR(__xludf.DUMMYFUNCTION("IFERROR(sum(FILTER($D:$N,$C:$C = $C704,$A:$A &lt; $A704,$B:$B = 12)),0) + sum($D704:$N704)"),790263.5299999998)</f>
        <v>790263.53</v>
      </c>
      <c r="Q704" s="92">
        <f t="shared" si="1"/>
        <v>1.47</v>
      </c>
      <c r="R704" s="91">
        <f t="array" ref="R704">IFERROR(INDEX('Fund YTD Target Values'!$1:$1000, MATCH($C704,'Fund YTD Target Values'!$A:$A,0), MATCH($A704,'Fund YTD Target Values'!$1:$1,0)),0)</f>
        <v>685763.9306</v>
      </c>
      <c r="S704" s="91">
        <f>IFERROR(__xludf.DUMMYFUNCTION("IFERROR(sum(FILTER('Fund Investment Data'!$V:$V, 'Fund Investment Data'!$C:$C = $C704, 'Fund Investment Data'!$A:$A &lt; $A704)),0) + IFERROR(sum(FILTER('Fund Investment Data'!$V:$V, 'Fund Investment Data'!$C:$C = $C704, 'Fund Investment Data'!$A:$A = $A704,"&amp;" 'Fund Investment Data'!$B:$B &lt;= $B704)),0)"),556601.64)</f>
        <v>556601.64</v>
      </c>
      <c r="T704" s="93">
        <v>558656.0</v>
      </c>
      <c r="U704" s="32">
        <f t="shared" si="3"/>
        <v>-2054.36</v>
      </c>
      <c r="V704" s="32">
        <f>IFERROR(__xludf.DUMMYFUNCTION("$D704 - IFERROR(FILTER($D:$D,$C:$C = $C704, $A:$A = $A704, $B:$B = $B704 - 1),0)"),0.0)</f>
        <v>0</v>
      </c>
      <c r="W704" s="93">
        <f>IFERROR(__xludf.DUMMYFUNCTION("$E704 - IFERROR(FILTER($E:$E,$C:$C = $C704, $A:$A = $A704, $B:$B = $B704 - 1),0)"),0.0)</f>
        <v>0</v>
      </c>
      <c r="X704" s="93"/>
      <c r="Y704" s="93"/>
      <c r="Z704" s="93">
        <v>0.0</v>
      </c>
      <c r="AA704" s="93">
        <v>0.0</v>
      </c>
      <c r="AB704" s="93">
        <v>0.0</v>
      </c>
      <c r="AC704" s="93"/>
      <c r="AD704" s="93">
        <v>0.0</v>
      </c>
      <c r="AE704" s="32">
        <f t="shared" si="2"/>
        <v>-10000</v>
      </c>
      <c r="AF704" s="93">
        <v>0.0</v>
      </c>
    </row>
    <row r="705">
      <c r="A705" s="86">
        <v>2017.0</v>
      </c>
      <c r="B705" s="87">
        <v>9.0</v>
      </c>
      <c r="C705" s="88" t="s">
        <v>30</v>
      </c>
      <c r="D705" s="32"/>
      <c r="E705" s="32"/>
      <c r="F705" s="32"/>
      <c r="G705" s="93">
        <v>-72.17</v>
      </c>
      <c r="H705" s="93">
        <v>275.94</v>
      </c>
      <c r="I705" s="32"/>
      <c r="J705" s="93">
        <v>1456.67</v>
      </c>
      <c r="K705" s="32"/>
      <c r="L705" s="32"/>
      <c r="M705" s="32"/>
      <c r="N705" s="32"/>
      <c r="O705" s="93">
        <v>16859.0</v>
      </c>
      <c r="P705" s="91">
        <f>IFERROR(__xludf.DUMMYFUNCTION("IFERROR(sum(FILTER($D:$N,$C:$C = $C705,$A:$A &lt; $A705,$B:$B = 12)),0) + sum($D705:$N705)"),16857.72999999999)</f>
        <v>16857.73</v>
      </c>
      <c r="Q705" s="92">
        <f t="shared" si="1"/>
        <v>1.27</v>
      </c>
      <c r="R705" s="91">
        <f t="array" ref="R705">IFERROR(INDEX('Fund YTD Target Values'!$1:$1000, MATCH($C705,'Fund YTD Target Values'!$A:$A,0), MATCH($A705,'Fund YTD Target Values'!$1:$1,0)),0)</f>
        <v>18043.81747</v>
      </c>
      <c r="S705" s="91">
        <f>IFERROR(__xludf.DUMMYFUNCTION("IFERROR(sum(FILTER('Fund Investment Data'!$V:$V, 'Fund Investment Data'!$C:$C = $C705, 'Fund Investment Data'!$A:$A &lt; $A705)),0) + IFERROR(sum(FILTER('Fund Investment Data'!$V:$V, 'Fund Investment Data'!$C:$C = $C705, 'Fund Investment Data'!$A:$A = $A705,"&amp;" 'Fund Investment Data'!$B:$B &lt;= $B705)),0)"),11540.75)</f>
        <v>11540.75</v>
      </c>
      <c r="T705" s="93">
        <v>10000.0</v>
      </c>
      <c r="U705" s="32">
        <f t="shared" si="3"/>
        <v>1540.75</v>
      </c>
      <c r="V705" s="32">
        <f>IFERROR(__xludf.DUMMYFUNCTION("$D705 - IFERROR(FILTER($D:$D,$C:$C = $C705, $A:$A = $A705, $B:$B = $B705 - 1),0)"),0.0)</f>
        <v>0</v>
      </c>
      <c r="W705" s="93">
        <f>IFERROR(__xludf.DUMMYFUNCTION("$E705 - IFERROR(FILTER($E:$E,$C:$C = $C705, $A:$A = $A705, $B:$B = $B705 - 1),0)"),0.0)</f>
        <v>0</v>
      </c>
      <c r="X705" s="93"/>
      <c r="Y705" s="93"/>
      <c r="Z705" s="93">
        <v>0.0</v>
      </c>
      <c r="AA705" s="93">
        <v>0.0</v>
      </c>
      <c r="AB705" s="93">
        <v>0.0</v>
      </c>
      <c r="AC705" s="93"/>
      <c r="AD705" s="93">
        <v>0.0</v>
      </c>
      <c r="AE705" s="32">
        <f t="shared" si="2"/>
        <v>0</v>
      </c>
      <c r="AF705" s="93">
        <v>0.0</v>
      </c>
    </row>
    <row r="706">
      <c r="A706" s="86">
        <v>2017.0</v>
      </c>
      <c r="B706" s="87">
        <v>9.0</v>
      </c>
      <c r="C706" s="88" t="s">
        <v>47</v>
      </c>
      <c r="D706" s="93">
        <v>10000.0</v>
      </c>
      <c r="E706" s="93">
        <v>-40200.0</v>
      </c>
      <c r="F706" s="32"/>
      <c r="G706" s="93">
        <v>-6507.25</v>
      </c>
      <c r="H706" s="93">
        <v>25853.31</v>
      </c>
      <c r="I706" s="93">
        <v>1793.99</v>
      </c>
      <c r="J706" s="93">
        <v>136381.62</v>
      </c>
      <c r="K706" s="32"/>
      <c r="L706" s="32"/>
      <c r="M706" s="32"/>
      <c r="N706" s="32"/>
      <c r="O706" s="93">
        <v>1501527.0</v>
      </c>
      <c r="P706" s="91">
        <f>IFERROR(__xludf.DUMMYFUNCTION("IFERROR(sum(FILTER($D:$N,$C:$C = $C706,$A:$A &lt; $A706,$B:$B = 12)),0) + sum($D706:$N706)"),1501526.9999999995)</f>
        <v>1501527</v>
      </c>
      <c r="Q706" s="92">
        <f t="shared" si="1"/>
        <v>0.0000000004656612873</v>
      </c>
      <c r="R706" s="91">
        <f t="array" ref="R706">IFERROR(INDEX('Fund YTD Target Values'!$1:$1000, MATCH($C706,'Fund YTD Target Values'!$A:$A,0), MATCH($A706,'Fund YTD Target Values'!$1:$1,0)),0)</f>
        <v>1951070.709</v>
      </c>
      <c r="S706" s="91">
        <f>IFERROR(__xludf.DUMMYFUNCTION("IFERROR(sum(FILTER('Fund Investment Data'!$V:$V, 'Fund Investment Data'!$C:$C = $C706, 'Fund Investment Data'!$A:$A &lt; $A706)),0) + IFERROR(sum(FILTER('Fund Investment Data'!$V:$V, 'Fund Investment Data'!$C:$C = $C706, 'Fund Investment Data'!$A:$A = $A706,"&amp;" 'Fund Investment Data'!$B:$B &lt;= $B706)),0)"),1456367.46)</f>
        <v>1456367.46</v>
      </c>
      <c r="T706" s="93">
        <v>1348955.0</v>
      </c>
      <c r="U706" s="32">
        <f t="shared" si="3"/>
        <v>107412.46</v>
      </c>
      <c r="V706" s="32">
        <f>IFERROR(__xludf.DUMMYFUNCTION("$D706 - IFERROR(FILTER($D:$D,$C:$C = $C706, $A:$A = $A706, $B:$B = $B706 - 1),0)"),0.0)</f>
        <v>0</v>
      </c>
      <c r="W706" s="93">
        <f>IFERROR(__xludf.DUMMYFUNCTION("$E706 - IFERROR(FILTER($E:$E,$C:$C = $C706, $A:$A = $A706, $B:$B = $B706 - 1),0)"),-1400.0)</f>
        <v>-1400</v>
      </c>
      <c r="X706" s="93"/>
      <c r="Y706" s="93"/>
      <c r="Z706" s="93">
        <v>0.0</v>
      </c>
      <c r="AA706" s="93">
        <v>0.0</v>
      </c>
      <c r="AB706" s="93">
        <v>0.0</v>
      </c>
      <c r="AC706" s="93"/>
      <c r="AD706" s="93">
        <v>0.0</v>
      </c>
      <c r="AE706" s="32">
        <f t="shared" si="2"/>
        <v>-40200</v>
      </c>
      <c r="AF706" s="93">
        <v>0.0</v>
      </c>
    </row>
    <row r="707">
      <c r="A707" s="86">
        <v>2017.0</v>
      </c>
      <c r="B707" s="87">
        <v>9.0</v>
      </c>
      <c r="C707" s="88" t="s">
        <v>31</v>
      </c>
      <c r="D707" s="93">
        <v>1250.0</v>
      </c>
      <c r="E707" s="93">
        <v>-3800.0</v>
      </c>
      <c r="F707" s="32"/>
      <c r="G707" s="93">
        <v>-823.19</v>
      </c>
      <c r="H707" s="93">
        <v>3254.97</v>
      </c>
      <c r="I707" s="32"/>
      <c r="J707" s="93">
        <v>17377.38</v>
      </c>
      <c r="K707" s="32"/>
      <c r="L707" s="32"/>
      <c r="M707" s="32"/>
      <c r="N707" s="32"/>
      <c r="O707" s="93">
        <v>189504.0</v>
      </c>
      <c r="P707" s="91">
        <f>IFERROR(__xludf.DUMMYFUNCTION("IFERROR(sum(FILTER($D:$N,$C:$C = $C707,$A:$A &lt; $A707,$B:$B = 12)),0) + sum($D707:$N707)"),189503.70000000004)</f>
        <v>189503.7</v>
      </c>
      <c r="Q707" s="92">
        <f t="shared" si="1"/>
        <v>0.3</v>
      </c>
      <c r="R707" s="91">
        <f t="array" ref="R707">IFERROR(INDEX('Fund YTD Target Values'!$1:$1000, MATCH($C707,'Fund YTD Target Values'!$A:$A,0), MATCH($A707,'Fund YTD Target Values'!$1:$1,0)),0)</f>
        <v>205534.6031</v>
      </c>
      <c r="S707" s="91">
        <f>IFERROR(__xludf.DUMMYFUNCTION("IFERROR(sum(FILTER('Fund Investment Data'!$V:$V, 'Fund Investment Data'!$C:$C = $C707, 'Fund Investment Data'!$A:$A &lt; $A707)),0) + IFERROR(sum(FILTER('Fund Investment Data'!$V:$V, 'Fund Investment Data'!$C:$C = $C707, 'Fund Investment Data'!$A:$A = $A707,"&amp;" 'Fund Investment Data'!$B:$B &lt;= $B707)),0)"),158100.0)</f>
        <v>158100</v>
      </c>
      <c r="T707" s="93">
        <v>156850.0</v>
      </c>
      <c r="U707" s="32">
        <f t="shared" si="3"/>
        <v>1250</v>
      </c>
      <c r="V707" s="32">
        <f>IFERROR(__xludf.DUMMYFUNCTION("$D707 - IFERROR(FILTER($D:$D,$C:$C = $C707, $A:$A = $A707, $B:$B = $B707 - 1),0)"),0.0)</f>
        <v>0</v>
      </c>
      <c r="W707" s="93">
        <f>IFERROR(__xludf.DUMMYFUNCTION("$E707 - IFERROR(FILTER($E:$E,$C:$C = $C707, $A:$A = $A707, $B:$B = $B707 - 1),0)"),0.0)</f>
        <v>0</v>
      </c>
      <c r="X707" s="93"/>
      <c r="Y707" s="93"/>
      <c r="Z707" s="93">
        <v>0.0</v>
      </c>
      <c r="AA707" s="93">
        <v>0.0</v>
      </c>
      <c r="AB707" s="93">
        <v>0.0</v>
      </c>
      <c r="AC707" s="93"/>
      <c r="AD707" s="93">
        <v>0.0</v>
      </c>
      <c r="AE707" s="32">
        <f t="shared" si="2"/>
        <v>-3800</v>
      </c>
      <c r="AF707" s="93">
        <v>0.0</v>
      </c>
    </row>
    <row r="708">
      <c r="A708" s="86">
        <v>2017.0</v>
      </c>
      <c r="B708" s="87">
        <v>9.0</v>
      </c>
      <c r="C708" s="88" t="s">
        <v>39</v>
      </c>
      <c r="D708" s="93">
        <v>50.0</v>
      </c>
      <c r="E708" s="93">
        <v>-5000.0</v>
      </c>
      <c r="F708" s="32"/>
      <c r="G708" s="93">
        <v>-705.65</v>
      </c>
      <c r="H708" s="93">
        <v>2598.05</v>
      </c>
      <c r="I708" s="32"/>
      <c r="J708" s="93">
        <v>13550.52</v>
      </c>
      <c r="K708" s="32"/>
      <c r="L708" s="32"/>
      <c r="M708" s="32"/>
      <c r="N708" s="32"/>
      <c r="O708" s="93">
        <v>160024.0</v>
      </c>
      <c r="P708" s="91">
        <f>IFERROR(__xludf.DUMMYFUNCTION("IFERROR(sum(FILTER($D:$N,$C:$C = $C708,$A:$A &lt; $A708,$B:$B = 12)),0) + sum($D708:$N708)"),160024.46000000005)</f>
        <v>160024.46</v>
      </c>
      <c r="Q708" s="92">
        <f t="shared" si="1"/>
        <v>-0.4600000001</v>
      </c>
      <c r="R708" s="91">
        <f t="array" ref="R708">IFERROR(INDEX('Fund YTD Target Values'!$1:$1000, MATCH($C708,'Fund YTD Target Values'!$A:$A,0), MATCH($A708,'Fund YTD Target Values'!$1:$1,0)),0)</f>
        <v>165832.7472</v>
      </c>
      <c r="S708" s="91">
        <f>IFERROR(__xludf.DUMMYFUNCTION("IFERROR(sum(FILTER('Fund Investment Data'!$V:$V, 'Fund Investment Data'!$C:$C = $C708, 'Fund Investment Data'!$A:$A &lt; $A708)),0) + IFERROR(sum(FILTER('Fund Investment Data'!$V:$V, 'Fund Investment Data'!$C:$C = $C708, 'Fund Investment Data'!$A:$A = $A708,"&amp;" 'Fund Investment Data'!$B:$B &lt;= $B708)),0)"),140050.0)</f>
        <v>140050</v>
      </c>
      <c r="T708" s="93">
        <v>140050.0</v>
      </c>
      <c r="U708" s="32">
        <f t="shared" si="3"/>
        <v>0</v>
      </c>
      <c r="V708" s="32">
        <f>IFERROR(__xludf.DUMMYFUNCTION("$D708 - IFERROR(FILTER($D:$D,$C:$C = $C708, $A:$A = $A708, $B:$B = $B708 - 1),0)"),-14950.0)</f>
        <v>-14950</v>
      </c>
      <c r="W708" s="93">
        <f>IFERROR(__xludf.DUMMYFUNCTION("$E708 - IFERROR(FILTER($E:$E,$C:$C = $C708, $A:$A = $A708, $B:$B = $B708 - 1),0)"),0.0)</f>
        <v>0</v>
      </c>
      <c r="X708" s="93"/>
      <c r="Y708" s="93"/>
      <c r="Z708" s="93">
        <v>0.0</v>
      </c>
      <c r="AA708" s="93">
        <v>0.0</v>
      </c>
      <c r="AB708" s="93">
        <v>0.0</v>
      </c>
      <c r="AC708" s="93"/>
      <c r="AD708" s="93">
        <v>0.0</v>
      </c>
      <c r="AE708" s="32">
        <f t="shared" si="2"/>
        <v>-5000</v>
      </c>
      <c r="AF708" s="93">
        <v>0.0</v>
      </c>
    </row>
    <row r="709">
      <c r="A709" s="86">
        <v>2017.0</v>
      </c>
      <c r="B709" s="87">
        <v>9.0</v>
      </c>
      <c r="C709" s="88" t="s">
        <v>50</v>
      </c>
      <c r="D709" s="32"/>
      <c r="E709" s="93">
        <v>-10000.0</v>
      </c>
      <c r="F709" s="32"/>
      <c r="G709" s="93">
        <v>-936.38</v>
      </c>
      <c r="H709" s="93">
        <v>3424.65</v>
      </c>
      <c r="I709" s="32"/>
      <c r="J709" s="93">
        <v>17847.42</v>
      </c>
      <c r="K709" s="32"/>
      <c r="L709" s="32"/>
      <c r="M709" s="32"/>
      <c r="N709" s="32"/>
      <c r="O709" s="93">
        <v>209218.0</v>
      </c>
      <c r="P709" s="91">
        <f>IFERROR(__xludf.DUMMYFUNCTION("IFERROR(sum(FILTER($D:$N,$C:$C = $C709,$A:$A &lt; $A709,$B:$B = 12)),0) + sum($D709:$N709)"),209217.25999999998)</f>
        <v>209217.26</v>
      </c>
      <c r="Q709" s="92">
        <f t="shared" si="1"/>
        <v>0.74</v>
      </c>
      <c r="R709" s="91">
        <f t="array" ref="R709">IFERROR(INDEX('Fund YTD Target Values'!$1:$1000, MATCH($C709,'Fund YTD Target Values'!$A:$A,0), MATCH($A709,'Fund YTD Target Values'!$1:$1,0)),0)</f>
        <v>212473.6146</v>
      </c>
      <c r="S709" s="91">
        <f>IFERROR(__xludf.DUMMYFUNCTION("IFERROR(sum(FILTER('Fund Investment Data'!$V:$V, 'Fund Investment Data'!$C:$C = $C709, 'Fund Investment Data'!$A:$A &lt; $A709)),0) + IFERROR(sum(FILTER('Fund Investment Data'!$V:$V, 'Fund Investment Data'!$C:$C = $C709, 'Fund Investment Data'!$A:$A = $A709,"&amp;" 'Fund Investment Data'!$B:$B &lt;= $B709)),0)"),185189.56)</f>
        <v>185189.56</v>
      </c>
      <c r="T709" s="93">
        <v>190241.0</v>
      </c>
      <c r="U709" s="32">
        <f t="shared" si="3"/>
        <v>-5051.44</v>
      </c>
      <c r="V709" s="32">
        <f>IFERROR(__xludf.DUMMYFUNCTION("$D709 - IFERROR(FILTER($D:$D,$C:$C = $C709, $A:$A = $A709, $B:$B = $B709 - 1),0)"),0.0)</f>
        <v>0</v>
      </c>
      <c r="W709" s="93">
        <f>IFERROR(__xludf.DUMMYFUNCTION("$E709 - IFERROR(FILTER($E:$E,$C:$C = $C709, $A:$A = $A709, $B:$B = $B709 - 1),0)"),0.0)</f>
        <v>0</v>
      </c>
      <c r="X709" s="93"/>
      <c r="Y709" s="93"/>
      <c r="Z709" s="93">
        <v>0.0</v>
      </c>
      <c r="AA709" s="93">
        <v>0.0</v>
      </c>
      <c r="AB709" s="93">
        <v>0.0</v>
      </c>
      <c r="AC709" s="93"/>
      <c r="AD709" s="93">
        <v>0.0</v>
      </c>
      <c r="AE709" s="32">
        <f t="shared" si="2"/>
        <v>-10000</v>
      </c>
      <c r="AF709" s="93">
        <v>0.0</v>
      </c>
    </row>
    <row r="710">
      <c r="A710" s="86">
        <v>2017.0</v>
      </c>
      <c r="B710" s="87">
        <v>9.0</v>
      </c>
      <c r="C710" s="88" t="s">
        <v>32</v>
      </c>
      <c r="D710" s="93">
        <v>0.0</v>
      </c>
      <c r="E710" s="32"/>
      <c r="F710" s="32"/>
      <c r="G710" s="93">
        <v>-221.8</v>
      </c>
      <c r="H710" s="93">
        <v>858.94</v>
      </c>
      <c r="I710" s="32"/>
      <c r="J710" s="93">
        <v>4553.9</v>
      </c>
      <c r="K710" s="32"/>
      <c r="L710" s="32"/>
      <c r="M710" s="32"/>
      <c r="N710" s="32"/>
      <c r="O710" s="93">
        <v>51839.0</v>
      </c>
      <c r="P710" s="91">
        <f>IFERROR(__xludf.DUMMYFUNCTION("IFERROR(sum(FILTER($D:$N,$C:$C = $C710,$A:$A &lt; $A710,$B:$B = 12)),0) + sum($D710:$N710)"),51838.13000000003)</f>
        <v>51838.13</v>
      </c>
      <c r="Q710" s="92">
        <f t="shared" si="1"/>
        <v>0.87</v>
      </c>
      <c r="R710" s="91">
        <f t="array" ref="R710">IFERROR(INDEX('Fund YTD Target Values'!$1:$1000, MATCH($C710,'Fund YTD Target Values'!$A:$A,0), MATCH($A710,'Fund YTD Target Values'!$1:$1,0)),0)</f>
        <v>77291.136</v>
      </c>
      <c r="S710" s="91">
        <f>IFERROR(__xludf.DUMMYFUNCTION("IFERROR(sum(FILTER('Fund Investment Data'!$V:$V, 'Fund Investment Data'!$C:$C = $C710, 'Fund Investment Data'!$A:$A &lt; $A710)),0) + IFERROR(sum(FILTER('Fund Investment Data'!$V:$V, 'Fund Investment Data'!$C:$C = $C710, 'Fund Investment Data'!$A:$A = $A710,"&amp;" 'Fund Investment Data'!$B:$B &lt;= $B710)),0)"),49449.04)</f>
        <v>49449.04</v>
      </c>
      <c r="T710" s="93">
        <v>39268.0</v>
      </c>
      <c r="U710" s="32">
        <f t="shared" si="3"/>
        <v>10181.04</v>
      </c>
      <c r="V710" s="32">
        <f>IFERROR(__xludf.DUMMYFUNCTION("$D710 - IFERROR(FILTER($D:$D,$C:$C = $C710, $A:$A = $A710, $B:$B = $B710 - 1),0)"),0.0)</f>
        <v>0</v>
      </c>
      <c r="W710" s="93">
        <f>IFERROR(__xludf.DUMMYFUNCTION("$E710 - IFERROR(FILTER($E:$E,$C:$C = $C710, $A:$A = $A710, $B:$B = $B710 - 1),0)"),0.0)</f>
        <v>0</v>
      </c>
      <c r="X710" s="93"/>
      <c r="Y710" s="93"/>
      <c r="Z710" s="93">
        <v>0.0</v>
      </c>
      <c r="AA710" s="93">
        <v>0.0</v>
      </c>
      <c r="AB710" s="93">
        <v>0.0</v>
      </c>
      <c r="AC710" s="93"/>
      <c r="AD710" s="93">
        <v>0.0</v>
      </c>
      <c r="AE710" s="32">
        <f t="shared" si="2"/>
        <v>0</v>
      </c>
      <c r="AF710" s="93">
        <v>0.0</v>
      </c>
    </row>
    <row r="711">
      <c r="A711" s="86">
        <v>2017.0</v>
      </c>
      <c r="B711" s="87">
        <v>9.0</v>
      </c>
      <c r="C711" s="88" t="s">
        <v>40</v>
      </c>
      <c r="D711" s="32"/>
      <c r="E711" s="93">
        <v>-2300.0</v>
      </c>
      <c r="F711" s="32"/>
      <c r="G711" s="93">
        <v>-660.84</v>
      </c>
      <c r="H711" s="93">
        <v>2620.05</v>
      </c>
      <c r="I711" s="32"/>
      <c r="J711" s="93">
        <v>14000.74</v>
      </c>
      <c r="K711" s="32"/>
      <c r="L711" s="32"/>
      <c r="M711" s="32"/>
      <c r="N711" s="32"/>
      <c r="O711" s="93">
        <v>152668.0</v>
      </c>
      <c r="P711" s="91">
        <f>IFERROR(__xludf.DUMMYFUNCTION("IFERROR(sum(FILTER($D:$N,$C:$C = $C711,$A:$A &lt; $A711,$B:$B = 12)),0) + sum($D711:$N711)"),152667.64999999997)</f>
        <v>152667.65</v>
      </c>
      <c r="Q711" s="92">
        <f t="shared" si="1"/>
        <v>0.35</v>
      </c>
      <c r="R711" s="91">
        <f t="array" ref="R711">IFERROR(INDEX('Fund YTD Target Values'!$1:$1000, MATCH($C711,'Fund YTD Target Values'!$A:$A,0), MATCH($A711,'Fund YTD Target Values'!$1:$1,0)),0)</f>
        <v>157515.3664</v>
      </c>
      <c r="S711" s="91">
        <f>IFERROR(__xludf.DUMMYFUNCTION("IFERROR(sum(FILTER('Fund Investment Data'!$V:$V, 'Fund Investment Data'!$C:$C = $C711, 'Fund Investment Data'!$A:$A &lt; $A711)),0) + IFERROR(sum(FILTER('Fund Investment Data'!$V:$V, 'Fund Investment Data'!$C:$C = $C711, 'Fund Investment Data'!$A:$A = $A711,"&amp;" 'Fund Investment Data'!$B:$B &lt;= $B711)),0)"),129703.74)</f>
        <v>129703.74</v>
      </c>
      <c r="T711" s="93">
        <v>129723.0</v>
      </c>
      <c r="U711" s="32">
        <f t="shared" si="3"/>
        <v>-19.26</v>
      </c>
      <c r="V711" s="32">
        <f>IFERROR(__xludf.DUMMYFUNCTION("$D711 - IFERROR(FILTER($D:$D,$C:$C = $C711, $A:$A = $A711, $B:$B = $B711 - 1),0)"),0.0)</f>
        <v>0</v>
      </c>
      <c r="W711" s="93">
        <f>IFERROR(__xludf.DUMMYFUNCTION("$E711 - IFERROR(FILTER($E:$E,$C:$C = $C711, $A:$A = $A711, $B:$B = $B711 - 1),0)"),0.0)</f>
        <v>0</v>
      </c>
      <c r="X711" s="93"/>
      <c r="Y711" s="93"/>
      <c r="Z711" s="93">
        <v>0.0</v>
      </c>
      <c r="AA711" s="93">
        <v>0.0</v>
      </c>
      <c r="AB711" s="93">
        <v>0.0</v>
      </c>
      <c r="AC711" s="93"/>
      <c r="AD711" s="93">
        <v>0.0</v>
      </c>
      <c r="AE711" s="32">
        <f t="shared" si="2"/>
        <v>-2300</v>
      </c>
      <c r="AF711" s="93">
        <v>0.0</v>
      </c>
    </row>
    <row r="712">
      <c r="A712" s="86">
        <v>2017.0</v>
      </c>
      <c r="B712" s="87">
        <v>9.0</v>
      </c>
      <c r="C712" s="88" t="s">
        <v>51</v>
      </c>
      <c r="D712" s="93">
        <v>3150.0</v>
      </c>
      <c r="E712" s="93">
        <v>-5000.0</v>
      </c>
      <c r="F712" s="32"/>
      <c r="G712" s="93">
        <v>-2012.23</v>
      </c>
      <c r="H712" s="93">
        <v>7981.69</v>
      </c>
      <c r="I712" s="32"/>
      <c r="J712" s="93">
        <v>42646.93</v>
      </c>
      <c r="K712" s="32"/>
      <c r="L712" s="32"/>
      <c r="M712" s="32"/>
      <c r="N712" s="32"/>
      <c r="O712" s="93">
        <v>470303.0</v>
      </c>
      <c r="P712" s="91">
        <f>IFERROR(__xludf.DUMMYFUNCTION("IFERROR(sum(FILTER($D:$N,$C:$C = $C712,$A:$A &lt; $A712,$B:$B = 12)),0) + sum($D712:$N712)"),470303.29000000004)</f>
        <v>470303.29</v>
      </c>
      <c r="Q712" s="92">
        <f t="shared" si="1"/>
        <v>-0.29</v>
      </c>
      <c r="R712" s="91">
        <f t="array" ref="R712">IFERROR(INDEX('Fund YTD Target Values'!$1:$1000, MATCH($C712,'Fund YTD Target Values'!$A:$A,0), MATCH($A712,'Fund YTD Target Values'!$1:$1,0)),0)</f>
        <v>437835.4209</v>
      </c>
      <c r="S712" s="91">
        <f>IFERROR(__xludf.DUMMYFUNCTION("IFERROR(sum(FILTER('Fund Investment Data'!$V:$V, 'Fund Investment Data'!$C:$C = $C712, 'Fund Investment Data'!$A:$A &lt; $A712)),0) + IFERROR(sum(FILTER('Fund Investment Data'!$V:$V, 'Fund Investment Data'!$C:$C = $C712, 'Fund Investment Data'!$A:$A = $A712,"&amp;" 'Fund Investment Data'!$B:$B &lt;= $B712)),0)"),416273.55)</f>
        <v>416273.55</v>
      </c>
      <c r="T712" s="93">
        <v>432080.0</v>
      </c>
      <c r="U712" s="32">
        <f t="shared" si="3"/>
        <v>-15806.45</v>
      </c>
      <c r="V712" s="32">
        <f>IFERROR(__xludf.DUMMYFUNCTION("$D712 - IFERROR(FILTER($D:$D,$C:$C = $C712, $A:$A = $A712, $B:$B = $B712 - 1),0)"),50.0)</f>
        <v>50</v>
      </c>
      <c r="W712" s="93">
        <f>IFERROR(__xludf.DUMMYFUNCTION("$E712 - IFERROR(FILTER($E:$E,$C:$C = $C712, $A:$A = $A712, $B:$B = $B712 - 1),0)"),0.0)</f>
        <v>0</v>
      </c>
      <c r="X712" s="93"/>
      <c r="Y712" s="93"/>
      <c r="Z712" s="93">
        <v>0.0</v>
      </c>
      <c r="AA712" s="93">
        <v>0.0</v>
      </c>
      <c r="AB712" s="93">
        <v>0.0</v>
      </c>
      <c r="AC712" s="93"/>
      <c r="AD712" s="93">
        <v>0.0</v>
      </c>
      <c r="AE712" s="32">
        <f t="shared" si="2"/>
        <v>-5000</v>
      </c>
      <c r="AF712" s="93">
        <v>0.0</v>
      </c>
    </row>
    <row r="713">
      <c r="A713" s="86">
        <v>2017.0</v>
      </c>
      <c r="B713" s="87">
        <v>9.0</v>
      </c>
      <c r="C713" s="88" t="s">
        <v>48</v>
      </c>
      <c r="D713" s="32"/>
      <c r="E713" s="93">
        <v>-18200.0</v>
      </c>
      <c r="F713" s="32"/>
      <c r="G713" s="93">
        <v>-5419.41</v>
      </c>
      <c r="H713" s="93">
        <v>21554.05</v>
      </c>
      <c r="I713" s="32"/>
      <c r="J713" s="93">
        <v>115296.95</v>
      </c>
      <c r="K713" s="32"/>
      <c r="L713" s="32"/>
      <c r="M713" s="32"/>
      <c r="N713" s="32"/>
      <c r="O713" s="93">
        <v>1256046.0</v>
      </c>
      <c r="P713" s="91">
        <f>IFERROR(__xludf.DUMMYFUNCTION("IFERROR(sum(FILTER($D:$N,$C:$C = $C713,$A:$A &lt; $A713,$B:$B = 12)),0) + sum($D713:$N713)"),1256044.3399999999)</f>
        <v>1256044.34</v>
      </c>
      <c r="Q713" s="92">
        <f t="shared" si="1"/>
        <v>1.66</v>
      </c>
      <c r="R713" s="91">
        <f t="array" ref="R713">IFERROR(INDEX('Fund YTD Target Values'!$1:$1000, MATCH($C713,'Fund YTD Target Values'!$A:$A,0), MATCH($A713,'Fund YTD Target Values'!$1:$1,0)),0)</f>
        <v>1851058.71</v>
      </c>
      <c r="S713" s="91">
        <f>IFERROR(__xludf.DUMMYFUNCTION("IFERROR(sum(FILTER('Fund Investment Data'!$V:$V, 'Fund Investment Data'!$C:$C = $C713, 'Fund Investment Data'!$A:$A &lt; $A713)),0) + IFERROR(sum(FILTER('Fund Investment Data'!$V:$V, 'Fund Investment Data'!$C:$C = $C713, 'Fund Investment Data'!$A:$A = $A713,"&amp;" 'Fund Investment Data'!$B:$B &lt;= $B713)),0)"),1183929.39)</f>
        <v>1183929.39</v>
      </c>
      <c r="T713" s="93">
        <v>1140040.0</v>
      </c>
      <c r="U713" s="32">
        <f t="shared" si="3"/>
        <v>43889.39</v>
      </c>
      <c r="V713" s="32">
        <f>IFERROR(__xludf.DUMMYFUNCTION("$D713 - IFERROR(FILTER($D:$D,$C:$C = $C713, $A:$A = $A713, $B:$B = $B713 - 1),0)"),0.0)</f>
        <v>0</v>
      </c>
      <c r="W713" s="93">
        <f>IFERROR(__xludf.DUMMYFUNCTION("$E713 - IFERROR(FILTER($E:$E,$C:$C = $C713, $A:$A = $A713, $B:$B = $B713 - 1),0)"),-1200.0)</f>
        <v>-1200</v>
      </c>
      <c r="X713" s="93"/>
      <c r="Y713" s="93"/>
      <c r="Z713" s="93">
        <v>0.0</v>
      </c>
      <c r="AA713" s="93">
        <v>0.0</v>
      </c>
      <c r="AB713" s="93">
        <v>0.0</v>
      </c>
      <c r="AC713" s="93"/>
      <c r="AD713" s="93">
        <v>0.0</v>
      </c>
      <c r="AE713" s="32">
        <f t="shared" si="2"/>
        <v>-18200</v>
      </c>
      <c r="AF713" s="93">
        <v>0.0</v>
      </c>
    </row>
    <row r="714">
      <c r="A714" s="86">
        <v>2017.0</v>
      </c>
      <c r="B714" s="87">
        <v>9.0</v>
      </c>
      <c r="C714" s="88" t="s">
        <v>49</v>
      </c>
      <c r="D714" s="32"/>
      <c r="E714" s="93">
        <v>-8000.0</v>
      </c>
      <c r="F714" s="32"/>
      <c r="G714" s="93">
        <v>-2382.58</v>
      </c>
      <c r="H714" s="93">
        <v>9467.89</v>
      </c>
      <c r="I714" s="32"/>
      <c r="J714" s="93">
        <v>50633.21</v>
      </c>
      <c r="K714" s="32"/>
      <c r="L714" s="32"/>
      <c r="M714" s="32"/>
      <c r="N714" s="32"/>
      <c r="O714" s="93">
        <v>552434.0</v>
      </c>
      <c r="P714" s="91">
        <f>IFERROR(__xludf.DUMMYFUNCTION("IFERROR(sum(FILTER($D:$N,$C:$C = $C714,$A:$A &lt; $A714,$B:$B = 12)),0) + sum($D714:$N714)"),552434.5199999999)</f>
        <v>552434.52</v>
      </c>
      <c r="Q714" s="92">
        <f t="shared" si="1"/>
        <v>-0.5199999999</v>
      </c>
      <c r="R714" s="91">
        <f t="array" ref="R714">IFERROR(INDEX('Fund YTD Target Values'!$1:$1000, MATCH($C714,'Fund YTD Target Values'!$A:$A,0), MATCH($A714,'Fund YTD Target Values'!$1:$1,0)),0)</f>
        <v>684659.2079</v>
      </c>
      <c r="S714" s="91">
        <f>IFERROR(__xludf.DUMMYFUNCTION("IFERROR(sum(FILTER('Fund Investment Data'!$V:$V, 'Fund Investment Data'!$C:$C = $C714, 'Fund Investment Data'!$A:$A &lt; $A714)),0) + IFERROR(sum(FILTER('Fund Investment Data'!$V:$V, 'Fund Investment Data'!$C:$C = $C714, 'Fund Investment Data'!$A:$A = $A714,"&amp;" 'Fund Investment Data'!$B:$B &lt;= $B714)),0)"),500000.0)</f>
        <v>500000</v>
      </c>
      <c r="T714" s="93">
        <v>500000.0</v>
      </c>
      <c r="U714" s="32">
        <f t="shared" si="3"/>
        <v>0</v>
      </c>
      <c r="V714" s="32">
        <f>IFERROR(__xludf.DUMMYFUNCTION("$D714 - IFERROR(FILTER($D:$D,$C:$C = $C714, $A:$A = $A714, $B:$B = $B714 - 1),0)"),0.0)</f>
        <v>0</v>
      </c>
      <c r="W714" s="93">
        <f>IFERROR(__xludf.DUMMYFUNCTION("$E714 - IFERROR(FILTER($E:$E,$C:$C = $C714, $A:$A = $A714, $B:$B = $B714 - 1),0)"),0.0)</f>
        <v>0</v>
      </c>
      <c r="X714" s="93"/>
      <c r="Y714" s="93"/>
      <c r="Z714" s="93">
        <v>0.0</v>
      </c>
      <c r="AA714" s="93">
        <v>0.0</v>
      </c>
      <c r="AB714" s="93">
        <v>0.0</v>
      </c>
      <c r="AC714" s="93"/>
      <c r="AD714" s="93">
        <v>0.0</v>
      </c>
      <c r="AE714" s="32">
        <f t="shared" si="2"/>
        <v>-8000</v>
      </c>
      <c r="AF714" s="93">
        <v>0.0</v>
      </c>
    </row>
    <row r="715">
      <c r="A715" s="86">
        <v>2017.0</v>
      </c>
      <c r="B715" s="87">
        <v>9.0</v>
      </c>
      <c r="C715" s="88" t="s">
        <v>41</v>
      </c>
      <c r="D715" s="32"/>
      <c r="E715" s="93">
        <v>-11075.0</v>
      </c>
      <c r="F715" s="32"/>
      <c r="G715" s="93">
        <v>-2816.85</v>
      </c>
      <c r="H715" s="93">
        <v>11176.19</v>
      </c>
      <c r="I715" s="32"/>
      <c r="J715" s="93">
        <v>59749.74</v>
      </c>
      <c r="K715" s="32"/>
      <c r="L715" s="32"/>
      <c r="M715" s="32"/>
      <c r="N715" s="32"/>
      <c r="O715" s="93">
        <v>651518.0</v>
      </c>
      <c r="P715" s="91">
        <f>IFERROR(__xludf.DUMMYFUNCTION("IFERROR(sum(FILTER($D:$N,$C:$C = $C715,$A:$A &lt; $A715,$B:$B = 12)),0) + sum($D715:$N715)"),651519.12)</f>
        <v>651519.12</v>
      </c>
      <c r="Q715" s="92">
        <f t="shared" si="1"/>
        <v>-1.12</v>
      </c>
      <c r="R715" s="91">
        <f t="array" ref="R715">IFERROR(INDEX('Fund YTD Target Values'!$1:$1000, MATCH($C715,'Fund YTD Target Values'!$A:$A,0), MATCH($A715,'Fund YTD Target Values'!$1:$1,0)),0)</f>
        <v>573948.5743</v>
      </c>
      <c r="S715" s="91">
        <f>IFERROR(__xludf.DUMMYFUNCTION("IFERROR(sum(FILTER('Fund Investment Data'!$V:$V, 'Fund Investment Data'!$C:$C = $C715, 'Fund Investment Data'!$A:$A &lt; $A715)),0) + IFERROR(sum(FILTER('Fund Investment Data'!$V:$V, 'Fund Investment Data'!$C:$C = $C715, 'Fund Investment Data'!$A:$A = $A715,"&amp;" 'Fund Investment Data'!$B:$B &lt;= $B715)),0)"),433755.86)</f>
        <v>433755.86</v>
      </c>
      <c r="T715" s="93">
        <v>434291.0</v>
      </c>
      <c r="U715" s="32">
        <f t="shared" si="3"/>
        <v>-535.14</v>
      </c>
      <c r="V715" s="32">
        <f>IFERROR(__xludf.DUMMYFUNCTION("$D715 - IFERROR(FILTER($D:$D,$C:$C = $C715, $A:$A = $A715, $B:$B = $B715 - 1),0)"),0.0)</f>
        <v>0</v>
      </c>
      <c r="W715" s="93">
        <f>IFERROR(__xludf.DUMMYFUNCTION("$E715 - IFERROR(FILTER($E:$E,$C:$C = $C715, $A:$A = $A715, $B:$B = $B715 - 1),0)"),0.0)</f>
        <v>0</v>
      </c>
      <c r="X715" s="93"/>
      <c r="Y715" s="93"/>
      <c r="Z715" s="93">
        <v>0.0</v>
      </c>
      <c r="AA715" s="93">
        <v>0.0</v>
      </c>
      <c r="AB715" s="93">
        <v>0.0</v>
      </c>
      <c r="AC715" s="93"/>
      <c r="AD715" s="93">
        <v>0.0</v>
      </c>
      <c r="AE715" s="32">
        <f t="shared" si="2"/>
        <v>-11075</v>
      </c>
      <c r="AF715" s="93">
        <v>0.0</v>
      </c>
    </row>
    <row r="716">
      <c r="A716" s="86">
        <v>2017.0</v>
      </c>
      <c r="B716" s="87">
        <v>9.0</v>
      </c>
      <c r="C716" s="88" t="s">
        <v>25</v>
      </c>
      <c r="D716" s="32"/>
      <c r="E716" s="93">
        <v>-1500.0</v>
      </c>
      <c r="F716" s="32"/>
      <c r="G716" s="93">
        <v>-438.74</v>
      </c>
      <c r="H716" s="93">
        <v>1739.48</v>
      </c>
      <c r="I716" s="32"/>
      <c r="J716" s="93">
        <v>9295.25</v>
      </c>
      <c r="K716" s="32"/>
      <c r="L716" s="32"/>
      <c r="M716" s="32"/>
      <c r="N716" s="32"/>
      <c r="O716" s="93">
        <v>101384.0</v>
      </c>
      <c r="P716" s="91">
        <f>IFERROR(__xludf.DUMMYFUNCTION("IFERROR(sum(FILTER($D:$N,$C:$C = $C716,$A:$A &lt; $A716,$B:$B = 12)),0) + sum($D716:$N716)"),101384.0)</f>
        <v>101384</v>
      </c>
      <c r="Q716" s="92">
        <f t="shared" si="1"/>
        <v>0</v>
      </c>
      <c r="R716" s="91">
        <f t="array" ref="R716">IFERROR(INDEX('Fund YTD Target Values'!$1:$1000, MATCH($C716,'Fund YTD Target Values'!$A:$A,0), MATCH($A716,'Fund YTD Target Values'!$1:$1,0)),0)</f>
        <v>106572.0284</v>
      </c>
      <c r="S716" s="91">
        <f>IFERROR(__xludf.DUMMYFUNCTION("IFERROR(sum(FILTER('Fund Investment Data'!$V:$V, 'Fund Investment Data'!$C:$C = $C716, 'Fund Investment Data'!$A:$A &lt; $A716)),0) + IFERROR(sum(FILTER('Fund Investment Data'!$V:$V, 'Fund Investment Data'!$C:$C = $C716, 'Fund Investment Data'!$A:$A = $A716,"&amp;" 'Fund Investment Data'!$B:$B &lt;= $B716)),0)"),81000.0)</f>
        <v>81000</v>
      </c>
      <c r="T716" s="93">
        <v>81000.0</v>
      </c>
      <c r="U716" s="32">
        <f t="shared" si="3"/>
        <v>0</v>
      </c>
      <c r="V716" s="32">
        <f>IFERROR(__xludf.DUMMYFUNCTION("$D716 - IFERROR(FILTER($D:$D,$C:$C = $C716, $A:$A = $A716, $B:$B = $B716 - 1),0)"),0.0)</f>
        <v>0</v>
      </c>
      <c r="W716" s="93">
        <f>IFERROR(__xludf.DUMMYFUNCTION("$E716 - IFERROR(FILTER($E:$E,$C:$C = $C716, $A:$A = $A716, $B:$B = $B716 - 1),0)"),0.0)</f>
        <v>0</v>
      </c>
      <c r="X716" s="93"/>
      <c r="Y716" s="93"/>
      <c r="Z716" s="93">
        <v>0.0</v>
      </c>
      <c r="AA716" s="93">
        <v>0.0</v>
      </c>
      <c r="AB716" s="93">
        <v>0.0</v>
      </c>
      <c r="AC716" s="93"/>
      <c r="AD716" s="93">
        <v>0.0</v>
      </c>
      <c r="AE716" s="32">
        <f t="shared" si="2"/>
        <v>-1500</v>
      </c>
      <c r="AF716" s="93">
        <v>0.0</v>
      </c>
    </row>
    <row r="717">
      <c r="A717" s="86">
        <v>2017.0</v>
      </c>
      <c r="B717" s="87">
        <v>9.0</v>
      </c>
      <c r="C717" s="88" t="s">
        <v>42</v>
      </c>
      <c r="D717" s="32"/>
      <c r="E717" s="93">
        <v>-5000.0</v>
      </c>
      <c r="F717" s="32"/>
      <c r="G717" s="93">
        <v>-1259.41</v>
      </c>
      <c r="H717" s="93">
        <v>4950.16</v>
      </c>
      <c r="I717" s="32"/>
      <c r="J717" s="93">
        <v>26380.49</v>
      </c>
      <c r="K717" s="32"/>
      <c r="L717" s="32"/>
      <c r="M717" s="32"/>
      <c r="N717" s="32"/>
      <c r="O717" s="93">
        <v>290230.0</v>
      </c>
      <c r="P717" s="91">
        <f>IFERROR(__xludf.DUMMYFUNCTION("IFERROR(sum(FILTER($D:$N,$C:$C = $C717,$A:$A &lt; $A717,$B:$B = 12)),0) + sum($D717:$N717)"),290229.5100000001)</f>
        <v>290229.51</v>
      </c>
      <c r="Q717" s="92">
        <f t="shared" si="1"/>
        <v>0.4899999999</v>
      </c>
      <c r="R717" s="91">
        <f t="array" ref="R717">IFERROR(INDEX('Fund YTD Target Values'!$1:$1000, MATCH($C717,'Fund YTD Target Values'!$A:$A,0), MATCH($A717,'Fund YTD Target Values'!$1:$1,0)),0)</f>
        <v>234458.6336</v>
      </c>
      <c r="S717" s="91">
        <f>IFERROR(__xludf.DUMMYFUNCTION("IFERROR(sum(FILTER('Fund Investment Data'!$V:$V, 'Fund Investment Data'!$C:$C = $C717, 'Fund Investment Data'!$A:$A &lt; $A717)),0) + IFERROR(sum(FILTER('Fund Investment Data'!$V:$V, 'Fund Investment Data'!$C:$C = $C717, 'Fund Investment Data'!$A:$A = $A717,"&amp;" 'Fund Investment Data'!$B:$B &lt;= $B717)),0)"),194469.0)</f>
        <v>194469</v>
      </c>
      <c r="T717" s="93">
        <v>194469.0</v>
      </c>
      <c r="U717" s="32">
        <f t="shared" si="3"/>
        <v>0</v>
      </c>
      <c r="V717" s="32">
        <f>IFERROR(__xludf.DUMMYFUNCTION("$D717 - IFERROR(FILTER($D:$D,$C:$C = $C717, $A:$A = $A717, $B:$B = $B717 - 1),0)"),0.0)</f>
        <v>0</v>
      </c>
      <c r="W717" s="93">
        <f>IFERROR(__xludf.DUMMYFUNCTION("$E717 - IFERROR(FILTER($E:$E,$C:$C = $C717, $A:$A = $A717, $B:$B = $B717 - 1),0)"),0.0)</f>
        <v>0</v>
      </c>
      <c r="X717" s="93"/>
      <c r="Y717" s="93"/>
      <c r="Z717" s="93">
        <v>0.0</v>
      </c>
      <c r="AA717" s="93">
        <v>0.0</v>
      </c>
      <c r="AB717" s="93">
        <v>0.0</v>
      </c>
      <c r="AC717" s="93"/>
      <c r="AD717" s="93">
        <v>0.0</v>
      </c>
      <c r="AE717" s="32">
        <f t="shared" si="2"/>
        <v>-5000</v>
      </c>
      <c r="AF717" s="93">
        <v>0.0</v>
      </c>
    </row>
    <row r="718">
      <c r="A718" s="86">
        <v>2017.0</v>
      </c>
      <c r="B718" s="87">
        <v>9.0</v>
      </c>
      <c r="C718" s="88" t="s">
        <v>43</v>
      </c>
      <c r="D718" s="32"/>
      <c r="E718" s="93">
        <v>-1600.0</v>
      </c>
      <c r="F718" s="32"/>
      <c r="G718" s="93">
        <v>-527.2</v>
      </c>
      <c r="H718" s="93">
        <v>2092.29</v>
      </c>
      <c r="I718" s="32"/>
      <c r="J718" s="93">
        <v>11183.92</v>
      </c>
      <c r="K718" s="32"/>
      <c r="L718" s="32"/>
      <c r="M718" s="32"/>
      <c r="N718" s="32"/>
      <c r="O718" s="93">
        <v>122006.0</v>
      </c>
      <c r="P718" s="91">
        <f>IFERROR(__xludf.DUMMYFUNCTION("IFERROR(sum(FILTER($D:$N,$C:$C = $C718,$A:$A &lt; $A718,$B:$B = 12)),0) + sum($D718:$N718)"),122005.22000000002)</f>
        <v>122005.22</v>
      </c>
      <c r="Q718" s="92">
        <f t="shared" si="1"/>
        <v>0.78</v>
      </c>
      <c r="R718" s="91">
        <f t="array" ref="R718">IFERROR(INDEX('Fund YTD Target Values'!$1:$1000, MATCH($C718,'Fund YTD Target Values'!$A:$A,0), MATCH($A718,'Fund YTD Target Values'!$1:$1,0)),0)</f>
        <v>127580.7013</v>
      </c>
      <c r="S718" s="91">
        <f>IFERROR(__xludf.DUMMYFUNCTION("IFERROR(sum(FILTER('Fund Investment Data'!$V:$V, 'Fund Investment Data'!$C:$C = $C718, 'Fund Investment Data'!$A:$A &lt; $A718)),0) + IFERROR(sum(FILTER('Fund Investment Data'!$V:$V, 'Fund Investment Data'!$C:$C = $C718, 'Fund Investment Data'!$A:$A = $A718,"&amp;" 'Fund Investment Data'!$B:$B &lt;= $B718)),0)"),100000.0)</f>
        <v>100000</v>
      </c>
      <c r="T718" s="93">
        <v>100000.0</v>
      </c>
      <c r="U718" s="32">
        <f t="shared" si="3"/>
        <v>0</v>
      </c>
      <c r="V718" s="32">
        <f>IFERROR(__xludf.DUMMYFUNCTION("$D718 - IFERROR(FILTER($D:$D,$C:$C = $C718, $A:$A = $A718, $B:$B = $B718 - 1),0)"),0.0)</f>
        <v>0</v>
      </c>
      <c r="W718" s="93">
        <f>IFERROR(__xludf.DUMMYFUNCTION("$E718 - IFERROR(FILTER($E:$E,$C:$C = $C718, $A:$A = $A718, $B:$B = $B718 - 1),0)"),0.0)</f>
        <v>0</v>
      </c>
      <c r="X718" s="93"/>
      <c r="Y718" s="93"/>
      <c r="Z718" s="93">
        <v>0.0</v>
      </c>
      <c r="AA718" s="93">
        <v>0.0</v>
      </c>
      <c r="AB718" s="93">
        <v>0.0</v>
      </c>
      <c r="AC718" s="93"/>
      <c r="AD718" s="93">
        <v>0.0</v>
      </c>
      <c r="AE718" s="32">
        <f t="shared" si="2"/>
        <v>-1600</v>
      </c>
      <c r="AF718" s="93">
        <v>0.0</v>
      </c>
    </row>
    <row r="719">
      <c r="A719" s="86">
        <v>2017.0</v>
      </c>
      <c r="B719" s="87">
        <v>9.0</v>
      </c>
      <c r="C719" s="88" t="s">
        <v>52</v>
      </c>
      <c r="D719" s="93">
        <v>2500.0</v>
      </c>
      <c r="E719" s="93">
        <v>-16500.0</v>
      </c>
      <c r="F719" s="32"/>
      <c r="G719" s="93">
        <v>-5128.24</v>
      </c>
      <c r="H719" s="93">
        <v>19236.66</v>
      </c>
      <c r="I719" s="32"/>
      <c r="J719" s="93">
        <v>102701.6</v>
      </c>
      <c r="K719" s="32"/>
      <c r="L719" s="32"/>
      <c r="M719" s="32"/>
      <c r="N719" s="32"/>
      <c r="O719" s="93">
        <v>1127658.0</v>
      </c>
      <c r="P719" s="91">
        <f>IFERROR(__xludf.DUMMYFUNCTION("IFERROR(sum(FILTER($D:$N,$C:$C = $C719,$A:$A &lt; $A719,$B:$B = 12)),0) + sum($D719:$N719)"),1127657.96)</f>
        <v>1127657.96</v>
      </c>
      <c r="Q719" s="92">
        <f t="shared" si="1"/>
        <v>0.04000000004</v>
      </c>
      <c r="R719" s="91">
        <f t="array" ref="R719">IFERROR(INDEX('Fund YTD Target Values'!$1:$1000, MATCH($C719,'Fund YTD Target Values'!$A:$A,0), MATCH($A719,'Fund YTD Target Values'!$1:$1,0)),0)</f>
        <v>1048370.982</v>
      </c>
      <c r="S719" s="91">
        <f>IFERROR(__xludf.DUMMYFUNCTION("IFERROR(sum(FILTER('Fund Investment Data'!$V:$V, 'Fund Investment Data'!$C:$C = $C719, 'Fund Investment Data'!$A:$A &lt; $A719)),0) + IFERROR(sum(FILTER('Fund Investment Data'!$V:$V, 'Fund Investment Data'!$C:$C = $C719, 'Fund Investment Data'!$A:$A = $A719,"&amp;" 'Fund Investment Data'!$B:$B &lt;= $B719)),0)"),1004136.0)</f>
        <v>1004136</v>
      </c>
      <c r="T719" s="93">
        <v>1004449.0</v>
      </c>
      <c r="U719" s="32">
        <f t="shared" si="3"/>
        <v>-313</v>
      </c>
      <c r="V719" s="32">
        <f>IFERROR(__xludf.DUMMYFUNCTION("$D719 - IFERROR(FILTER($D:$D,$C:$C = $C719, $A:$A = $A719, $B:$B = $B719 - 1),0)"),0.0)</f>
        <v>0</v>
      </c>
      <c r="W719" s="93">
        <f>IFERROR(__xludf.DUMMYFUNCTION("$E719 - IFERROR(FILTER($E:$E,$C:$C = $C719, $A:$A = $A719, $B:$B = $B719 - 1),0)"),0.0)</f>
        <v>0</v>
      </c>
      <c r="X719" s="93"/>
      <c r="Y719" s="93"/>
      <c r="Z719" s="93">
        <v>0.0</v>
      </c>
      <c r="AA719" s="93">
        <v>0.0</v>
      </c>
      <c r="AB719" s="93">
        <v>0.0</v>
      </c>
      <c r="AC719" s="93"/>
      <c r="AD719" s="93">
        <v>0.0</v>
      </c>
      <c r="AE719" s="32">
        <f t="shared" si="2"/>
        <v>-16500</v>
      </c>
      <c r="AF719" s="93">
        <v>0.0</v>
      </c>
    </row>
    <row r="720">
      <c r="A720" s="86">
        <v>2017.0</v>
      </c>
      <c r="B720" s="87">
        <v>9.0</v>
      </c>
      <c r="C720" s="88" t="s">
        <v>33</v>
      </c>
      <c r="D720" s="32"/>
      <c r="E720" s="93">
        <v>-5000.0</v>
      </c>
      <c r="F720" s="32"/>
      <c r="G720" s="93">
        <v>-1644.39</v>
      </c>
      <c r="H720" s="93">
        <v>6526.36</v>
      </c>
      <c r="I720" s="32"/>
      <c r="J720" s="93">
        <v>34885.49</v>
      </c>
      <c r="K720" s="32"/>
      <c r="L720" s="32"/>
      <c r="M720" s="32"/>
      <c r="N720" s="32"/>
      <c r="O720" s="93">
        <v>380552.0</v>
      </c>
      <c r="P720" s="91">
        <f>IFERROR(__xludf.DUMMYFUNCTION("IFERROR(sum(FILTER($D:$N,$C:$C = $C720,$A:$A &lt; $A720,$B:$B = 12)),0) + sum($D720:$N720)"),380552.42999999976)</f>
        <v>380552.43</v>
      </c>
      <c r="Q720" s="92">
        <f t="shared" si="1"/>
        <v>-0.4299999998</v>
      </c>
      <c r="R720" s="91">
        <f t="array" ref="R720">IFERROR(INDEX('Fund YTD Target Values'!$1:$1000, MATCH($C720,'Fund YTD Target Values'!$A:$A,0), MATCH($A720,'Fund YTD Target Values'!$1:$1,0)),0)</f>
        <v>500698.0917</v>
      </c>
      <c r="S720" s="91">
        <f>IFERROR(__xludf.DUMMYFUNCTION("IFERROR(sum(FILTER('Fund Investment Data'!$V:$V, 'Fund Investment Data'!$C:$C = $C720, 'Fund Investment Data'!$A:$A &lt; $A720)),0) + IFERROR(sum(FILTER('Fund Investment Data'!$V:$V, 'Fund Investment Data'!$C:$C = $C720, 'Fund Investment Data'!$A:$A = $A720,"&amp;" 'Fund Investment Data'!$B:$B &lt;= $B720)),0)"),325871.6399999999)</f>
        <v>325871.64</v>
      </c>
      <c r="T720" s="93">
        <v>326032.0</v>
      </c>
      <c r="U720" s="32">
        <f t="shared" si="3"/>
        <v>-160.36</v>
      </c>
      <c r="V720" s="32">
        <f>IFERROR(__xludf.DUMMYFUNCTION("$D720 - IFERROR(FILTER($D:$D,$C:$C = $C720, $A:$A = $A720, $B:$B = $B720 - 1),0)"),0.0)</f>
        <v>0</v>
      </c>
      <c r="W720" s="93">
        <f>IFERROR(__xludf.DUMMYFUNCTION("$E720 - IFERROR(FILTER($E:$E,$C:$C = $C720, $A:$A = $A720, $B:$B = $B720 - 1),0)"),0.0)</f>
        <v>0</v>
      </c>
      <c r="X720" s="93"/>
      <c r="Y720" s="93"/>
      <c r="Z720" s="93">
        <v>0.0</v>
      </c>
      <c r="AA720" s="93">
        <v>0.0</v>
      </c>
      <c r="AB720" s="93">
        <v>0.0</v>
      </c>
      <c r="AC720" s="93"/>
      <c r="AD720" s="93">
        <v>0.0</v>
      </c>
      <c r="AE720" s="32">
        <f t="shared" si="2"/>
        <v>-5000</v>
      </c>
      <c r="AF720" s="93">
        <v>0.0</v>
      </c>
    </row>
    <row r="721">
      <c r="A721" s="86">
        <v>2017.0</v>
      </c>
      <c r="B721" s="87">
        <v>9.0</v>
      </c>
      <c r="C721" s="88" t="s">
        <v>53</v>
      </c>
      <c r="D721" s="32"/>
      <c r="E721" s="93">
        <v>-37700.0</v>
      </c>
      <c r="F721" s="32"/>
      <c r="G721" s="93">
        <v>-9624.9</v>
      </c>
      <c r="H721" s="93">
        <v>38340.39</v>
      </c>
      <c r="I721" s="93">
        <v>627.62</v>
      </c>
      <c r="J721" s="93">
        <v>204484.49</v>
      </c>
      <c r="K721" s="32"/>
      <c r="L721" s="32"/>
      <c r="M721" s="32"/>
      <c r="N721" s="32"/>
      <c r="O721" s="93">
        <v>2230041.0</v>
      </c>
      <c r="P721" s="91">
        <f>IFERROR(__xludf.DUMMYFUNCTION("IFERROR(sum(FILTER($D:$N,$C:$C = $C721,$A:$A &lt; $A721,$B:$B = 12)),0) + sum($D721:$N721)"),2230040.88)</f>
        <v>2230040.88</v>
      </c>
      <c r="Q721" s="92">
        <f t="shared" si="1"/>
        <v>0.1200000001</v>
      </c>
      <c r="R721" s="91">
        <f t="array" ref="R721">IFERROR(INDEX('Fund YTD Target Values'!$1:$1000, MATCH($C721,'Fund YTD Target Values'!$A:$A,0), MATCH($A721,'Fund YTD Target Values'!$1:$1,0)),0)</f>
        <v>2171706.82</v>
      </c>
      <c r="S721" s="91">
        <f>IFERROR(__xludf.DUMMYFUNCTION("IFERROR(sum(FILTER('Fund Investment Data'!$V:$V, 'Fund Investment Data'!$C:$C = $C721, 'Fund Investment Data'!$A:$A &lt; $A721)),0) + IFERROR(sum(FILTER('Fund Investment Data'!$V:$V, 'Fund Investment Data'!$C:$C = $C721, 'Fund Investment Data'!$A:$A = $A721,"&amp;" 'Fund Investment Data'!$B:$B &lt;= $B721)),0)"),2005500.0)</f>
        <v>2005500</v>
      </c>
      <c r="T721" s="93">
        <v>2005500.0</v>
      </c>
      <c r="U721" s="32">
        <f t="shared" si="3"/>
        <v>0</v>
      </c>
      <c r="V721" s="32">
        <f>IFERROR(__xludf.DUMMYFUNCTION("$D721 - IFERROR(FILTER($D:$D,$C:$C = $C721, $A:$A = $A721, $B:$B = $B721 - 1),0)"),0.0)</f>
        <v>0</v>
      </c>
      <c r="W721" s="93">
        <f>IFERROR(__xludf.DUMMYFUNCTION("$E721 - IFERROR(FILTER($E:$E,$C:$C = $C721, $A:$A = $A721, $B:$B = $B721 - 1),0)"),-2000.0)</f>
        <v>-2000</v>
      </c>
      <c r="X721" s="93"/>
      <c r="Y721" s="93"/>
      <c r="Z721" s="93">
        <v>0.0</v>
      </c>
      <c r="AA721" s="93">
        <v>0.0</v>
      </c>
      <c r="AB721" s="93">
        <v>0.0</v>
      </c>
      <c r="AC721" s="93"/>
      <c r="AD721" s="93">
        <v>0.0</v>
      </c>
      <c r="AE721" s="32">
        <f t="shared" si="2"/>
        <v>-37700</v>
      </c>
      <c r="AF721" s="93">
        <v>0.0</v>
      </c>
    </row>
    <row r="722">
      <c r="A722" s="86">
        <v>2017.0</v>
      </c>
      <c r="B722" s="87">
        <v>9.0</v>
      </c>
      <c r="C722" s="88" t="s">
        <v>34</v>
      </c>
      <c r="D722" s="93">
        <v>5000.0</v>
      </c>
      <c r="E722" s="93">
        <v>-5000.0</v>
      </c>
      <c r="F722" s="32"/>
      <c r="G722" s="93">
        <v>-610.64</v>
      </c>
      <c r="H722" s="93">
        <v>2357.6</v>
      </c>
      <c r="I722" s="32"/>
      <c r="J722" s="93">
        <v>12481.22</v>
      </c>
      <c r="K722" s="32"/>
      <c r="L722" s="32"/>
      <c r="M722" s="32"/>
      <c r="N722" s="32"/>
      <c r="O722" s="93">
        <v>139925.0</v>
      </c>
      <c r="P722" s="91">
        <f>IFERROR(__xludf.DUMMYFUNCTION("IFERROR(sum(FILTER($D:$N,$C:$C = $C722,$A:$A &lt; $A722,$B:$B = 12)),0) + sum($D722:$N722)"),139924.69)</f>
        <v>139924.69</v>
      </c>
      <c r="Q722" s="92">
        <f t="shared" si="1"/>
        <v>0.31</v>
      </c>
      <c r="R722" s="91">
        <f t="array" ref="R722">IFERROR(INDEX('Fund YTD Target Values'!$1:$1000, MATCH($C722,'Fund YTD Target Values'!$A:$A,0), MATCH($A722,'Fund YTD Target Values'!$1:$1,0)),0)</f>
        <v>127220.0742</v>
      </c>
      <c r="S722" s="91">
        <f>IFERROR(__xludf.DUMMYFUNCTION("IFERROR(sum(FILTER('Fund Investment Data'!$V:$V, 'Fund Investment Data'!$C:$C = $C722, 'Fund Investment Data'!$A:$A &lt; $A722)),0) + IFERROR(sum(FILTER('Fund Investment Data'!$V:$V, 'Fund Investment Data'!$C:$C = $C722, 'Fund Investment Data'!$A:$A = $A722,"&amp;" 'Fund Investment Data'!$B:$B &lt;= $B722)),0)"),120000.0)</f>
        <v>120000</v>
      </c>
      <c r="T722" s="93">
        <v>121567.0</v>
      </c>
      <c r="U722" s="32">
        <f t="shared" si="3"/>
        <v>-1567</v>
      </c>
      <c r="V722" s="32">
        <f>IFERROR(__xludf.DUMMYFUNCTION("$D722 - IFERROR(FILTER($D:$D,$C:$C = $C722, $A:$A = $A722, $B:$B = $B722 - 1),0)"),0.0)</f>
        <v>0</v>
      </c>
      <c r="W722" s="93">
        <f>IFERROR(__xludf.DUMMYFUNCTION("$E722 - IFERROR(FILTER($E:$E,$C:$C = $C722, $A:$A = $A722, $B:$B = $B722 - 1),0)"),0.0)</f>
        <v>0</v>
      </c>
      <c r="X722" s="93"/>
      <c r="Y722" s="93"/>
      <c r="Z722" s="93">
        <v>0.0</v>
      </c>
      <c r="AA722" s="93">
        <v>0.0</v>
      </c>
      <c r="AB722" s="93">
        <v>0.0</v>
      </c>
      <c r="AC722" s="93"/>
      <c r="AD722" s="93">
        <v>0.0</v>
      </c>
      <c r="AE722" s="32">
        <f t="shared" si="2"/>
        <v>-5000</v>
      </c>
      <c r="AF722" s="93">
        <v>0.0</v>
      </c>
    </row>
    <row r="723">
      <c r="A723" s="86">
        <v>2017.0</v>
      </c>
      <c r="B723" s="87">
        <v>9.0</v>
      </c>
      <c r="C723" s="88" t="s">
        <v>54</v>
      </c>
      <c r="D723" s="93">
        <v>1087.0</v>
      </c>
      <c r="E723" s="32"/>
      <c r="F723" s="32"/>
      <c r="G723" s="93">
        <v>-717.32</v>
      </c>
      <c r="H723" s="93">
        <v>2721.73</v>
      </c>
      <c r="I723" s="32"/>
      <c r="J723" s="93">
        <v>14330.66</v>
      </c>
      <c r="K723" s="32"/>
      <c r="L723" s="32"/>
      <c r="M723" s="32"/>
      <c r="N723" s="32"/>
      <c r="O723" s="93">
        <v>167876.0</v>
      </c>
      <c r="P723" s="91">
        <f>IFERROR(__xludf.DUMMYFUNCTION("IFERROR(sum(FILTER($D:$N,$C:$C = $C723,$A:$A &lt; $A723,$B:$B = 12)),0) + sum($D723:$N723)"),167877.17999999996)</f>
        <v>167877.18</v>
      </c>
      <c r="Q723" s="92">
        <f t="shared" si="1"/>
        <v>-1.18</v>
      </c>
      <c r="R723" s="91">
        <f t="array" ref="R723">IFERROR(INDEX('Fund YTD Target Values'!$1:$1000, MATCH($C723,'Fund YTD Target Values'!$A:$A,0), MATCH($A723,'Fund YTD Target Values'!$1:$1,0)),0)</f>
        <v>151442.9959</v>
      </c>
      <c r="S723" s="91">
        <f>IFERROR(__xludf.DUMMYFUNCTION("IFERROR(sum(FILTER('Fund Investment Data'!$V:$V, 'Fund Investment Data'!$C:$C = $C723, 'Fund Investment Data'!$A:$A &lt; $A723)),0) + IFERROR(sum(FILTER('Fund Investment Data'!$V:$V, 'Fund Investment Data'!$C:$C = $C723, 'Fund Investment Data'!$A:$A = $A723,"&amp;" 'Fund Investment Data'!$B:$B &lt;= $B723)),0)"),112432.10999999999)</f>
        <v>112432.11</v>
      </c>
      <c r="T723" s="93">
        <v>108517.0</v>
      </c>
      <c r="U723" s="32">
        <f t="shared" si="3"/>
        <v>3915.11</v>
      </c>
      <c r="V723" s="32">
        <f>IFERROR(__xludf.DUMMYFUNCTION("$D723 - IFERROR(FILTER($D:$D,$C:$C = $C723, $A:$A = $A723, $B:$B = $B723 - 1),0)"),76.0)</f>
        <v>76</v>
      </c>
      <c r="W723" s="93">
        <f>IFERROR(__xludf.DUMMYFUNCTION("$E723 - IFERROR(FILTER($E:$E,$C:$C = $C723, $A:$A = $A723, $B:$B = $B723 - 1),0)"),0.0)</f>
        <v>0</v>
      </c>
      <c r="X723" s="93"/>
      <c r="Y723" s="93"/>
      <c r="Z723" s="93">
        <v>0.0</v>
      </c>
      <c r="AA723" s="93">
        <v>0.0</v>
      </c>
      <c r="AB723" s="93">
        <v>0.0</v>
      </c>
      <c r="AC723" s="93"/>
      <c r="AD723" s="93">
        <v>0.0</v>
      </c>
      <c r="AE723" s="32">
        <f t="shared" si="2"/>
        <v>0</v>
      </c>
      <c r="AF723" s="93">
        <v>0.0</v>
      </c>
    </row>
    <row r="724">
      <c r="A724" s="86">
        <v>2017.0</v>
      </c>
      <c r="B724" s="87">
        <v>9.0</v>
      </c>
      <c r="C724" s="88" t="s">
        <v>55</v>
      </c>
      <c r="D724" s="32"/>
      <c r="E724" s="32"/>
      <c r="F724" s="32"/>
      <c r="G724" s="93">
        <v>-894.35</v>
      </c>
      <c r="H724" s="93">
        <v>1908.78</v>
      </c>
      <c r="I724" s="32"/>
      <c r="J724" s="93">
        <v>11435.93</v>
      </c>
      <c r="K724" s="32"/>
      <c r="L724" s="32"/>
      <c r="M724" s="32"/>
      <c r="N724" s="32"/>
      <c r="O724" s="93">
        <v>154326.0</v>
      </c>
      <c r="P724" s="91">
        <f>IFERROR(__xludf.DUMMYFUNCTION("IFERROR(sum(FILTER($D:$N,$C:$C = $C724,$A:$A &lt; $A724,$B:$B = 12)),0) + sum($D724:$N724)"),154325.64999999997)</f>
        <v>154325.65</v>
      </c>
      <c r="Q724" s="92">
        <f t="shared" si="1"/>
        <v>0.35</v>
      </c>
      <c r="R724" s="91">
        <f t="array" ref="R724">IFERROR(INDEX('Fund YTD Target Values'!$1:$1000, MATCH($C724,'Fund YTD Target Values'!$A:$A,0), MATCH($A724,'Fund YTD Target Values'!$1:$1,0)),0)</f>
        <v>213886.3799</v>
      </c>
      <c r="S724" s="91">
        <f>IFERROR(__xludf.DUMMYFUNCTION("IFERROR(sum(FILTER('Fund Investment Data'!$V:$V, 'Fund Investment Data'!$C:$C = $C724, 'Fund Investment Data'!$A:$A &lt; $A724)),0) + IFERROR(sum(FILTER('Fund Investment Data'!$V:$V, 'Fund Investment Data'!$C:$C = $C724, 'Fund Investment Data'!$A:$A = $A724,"&amp;" 'Fund Investment Data'!$B:$B &lt;= $B724)),0)"),140000.0)</f>
        <v>140000</v>
      </c>
      <c r="T724" s="93">
        <v>167565.0</v>
      </c>
      <c r="U724" s="32">
        <f t="shared" si="3"/>
        <v>-27565</v>
      </c>
      <c r="V724" s="32">
        <f>IFERROR(__xludf.DUMMYFUNCTION("$D724 - IFERROR(FILTER($D:$D,$C:$C = $C724, $A:$A = $A724, $B:$B = $B724 - 1),0)"),0.0)</f>
        <v>0</v>
      </c>
      <c r="W724" s="93">
        <f>IFERROR(__xludf.DUMMYFUNCTION("$E724 - IFERROR(FILTER($E:$E,$C:$C = $C724, $A:$A = $A724, $B:$B = $B724 - 1),0)"),0.0)</f>
        <v>0</v>
      </c>
      <c r="X724" s="93"/>
      <c r="Y724" s="93"/>
      <c r="Z724" s="93">
        <v>0.0</v>
      </c>
      <c r="AA724" s="93">
        <v>0.0</v>
      </c>
      <c r="AB724" s="93">
        <v>0.0</v>
      </c>
      <c r="AC724" s="93"/>
      <c r="AD724" s="93">
        <v>0.0</v>
      </c>
      <c r="AE724" s="32">
        <f t="shared" si="2"/>
        <v>0</v>
      </c>
      <c r="AF724" s="93">
        <v>0.0</v>
      </c>
    </row>
    <row r="725">
      <c r="A725" s="86">
        <v>2017.0</v>
      </c>
      <c r="B725" s="87">
        <v>9.0</v>
      </c>
      <c r="C725" s="88" t="s">
        <v>44</v>
      </c>
      <c r="D725" s="32"/>
      <c r="E725" s="93">
        <v>-4200.0</v>
      </c>
      <c r="F725" s="32"/>
      <c r="G725" s="93">
        <v>-1269.43</v>
      </c>
      <c r="H725" s="93">
        <v>5037.15</v>
      </c>
      <c r="I725" s="32"/>
      <c r="J725" s="93">
        <v>26921.93</v>
      </c>
      <c r="K725" s="32"/>
      <c r="L725" s="32"/>
      <c r="M725" s="32"/>
      <c r="N725" s="32"/>
      <c r="O725" s="93">
        <v>293340.0</v>
      </c>
      <c r="P725" s="91">
        <f>IFERROR(__xludf.DUMMYFUNCTION("IFERROR(sum(FILTER($D:$N,$C:$C = $C725,$A:$A &lt; $A725,$B:$B = 12)),0) + sum($D725:$N725)"),293340.80000000016)</f>
        <v>293340.8</v>
      </c>
      <c r="Q725" s="92">
        <f t="shared" si="1"/>
        <v>-0.8000000002</v>
      </c>
      <c r="R725" s="91">
        <f t="array" ref="R725">IFERROR(INDEX('Fund YTD Target Values'!$1:$1000, MATCH($C725,'Fund YTD Target Values'!$A:$A,0), MATCH($A725,'Fund YTD Target Values'!$1:$1,0)),0)</f>
        <v>313918.5223</v>
      </c>
      <c r="S725" s="91">
        <f>IFERROR(__xludf.DUMMYFUNCTION("IFERROR(sum(FILTER('Fund Investment Data'!$V:$V, 'Fund Investment Data'!$C:$C = $C725, 'Fund Investment Data'!$A:$A &lt; $A725)),0) + IFERROR(sum(FILTER('Fund Investment Data'!$V:$V, 'Fund Investment Data'!$C:$C = $C725, 'Fund Investment Data'!$A:$A = $A725,"&amp;" 'Fund Investment Data'!$B:$B &lt;= $B725)),0)"),250000.0)</f>
        <v>250000</v>
      </c>
      <c r="T725" s="93">
        <v>250000.0</v>
      </c>
      <c r="U725" s="32">
        <f t="shared" si="3"/>
        <v>0</v>
      </c>
      <c r="V725" s="32">
        <f>IFERROR(__xludf.DUMMYFUNCTION("$D725 - IFERROR(FILTER($D:$D,$C:$C = $C725, $A:$A = $A725, $B:$B = $B725 - 1),0)"),0.0)</f>
        <v>0</v>
      </c>
      <c r="W725" s="93">
        <f>IFERROR(__xludf.DUMMYFUNCTION("$E725 - IFERROR(FILTER($E:$E,$C:$C = $C725, $A:$A = $A725, $B:$B = $B725 - 1),0)"),-1200.0)</f>
        <v>-1200</v>
      </c>
      <c r="X725" s="93"/>
      <c r="Y725" s="93"/>
      <c r="Z725" s="93">
        <v>0.0</v>
      </c>
      <c r="AA725" s="93">
        <v>0.0</v>
      </c>
      <c r="AB725" s="93">
        <v>0.0</v>
      </c>
      <c r="AC725" s="93"/>
      <c r="AD725" s="93">
        <v>0.0</v>
      </c>
      <c r="AE725" s="32">
        <f t="shared" si="2"/>
        <v>-4200</v>
      </c>
      <c r="AF725" s="93">
        <v>0.0</v>
      </c>
    </row>
    <row r="726">
      <c r="A726" s="86">
        <v>2017.0</v>
      </c>
      <c r="B726" s="87">
        <v>9.0</v>
      </c>
      <c r="C726" s="88" t="s">
        <v>45</v>
      </c>
      <c r="D726" s="32"/>
      <c r="E726" s="93">
        <v>-5000.0</v>
      </c>
      <c r="F726" s="32"/>
      <c r="G726" s="93">
        <v>-634.26</v>
      </c>
      <c r="H726" s="93">
        <v>2461.0</v>
      </c>
      <c r="I726" s="32"/>
      <c r="J726" s="93">
        <v>13065.22</v>
      </c>
      <c r="K726" s="32"/>
      <c r="L726" s="32"/>
      <c r="M726" s="32"/>
      <c r="N726" s="32"/>
      <c r="O726" s="93">
        <v>143837.0</v>
      </c>
      <c r="P726" s="91">
        <f>IFERROR(__xludf.DUMMYFUNCTION("IFERROR(sum(FILTER($D:$N,$C:$C = $C726,$A:$A &lt; $A726,$B:$B = 12)),0) + sum($D726:$N726)"),143836.78999999998)</f>
        <v>143836.79</v>
      </c>
      <c r="Q726" s="92">
        <f t="shared" si="1"/>
        <v>0.21</v>
      </c>
      <c r="R726" s="91">
        <f t="array" ref="R726">IFERROR(INDEX('Fund YTD Target Values'!$1:$1000, MATCH($C726,'Fund YTD Target Values'!$A:$A,0), MATCH($A726,'Fund YTD Target Values'!$1:$1,0)),0)</f>
        <v>118351.1878</v>
      </c>
      <c r="S726" s="91">
        <f>IFERROR(__xludf.DUMMYFUNCTION("IFERROR(sum(FILTER('Fund Investment Data'!$V:$V, 'Fund Investment Data'!$C:$C = $C726, 'Fund Investment Data'!$A:$A &lt; $A726)),0) + IFERROR(sum(FILTER('Fund Investment Data'!$V:$V, 'Fund Investment Data'!$C:$C = $C726, 'Fund Investment Data'!$A:$A = $A726,"&amp;" 'Fund Investment Data'!$B:$B &lt;= $B726)),0)"),100000.0)</f>
        <v>100000</v>
      </c>
      <c r="T726" s="93">
        <v>100000.0</v>
      </c>
      <c r="U726" s="32">
        <f t="shared" si="3"/>
        <v>0</v>
      </c>
      <c r="V726" s="32">
        <f>IFERROR(__xludf.DUMMYFUNCTION("$D726 - IFERROR(FILTER($D:$D,$C:$C = $C726, $A:$A = $A726, $B:$B = $B726 - 1),0)"),0.0)</f>
        <v>0</v>
      </c>
      <c r="W726" s="93">
        <f>IFERROR(__xludf.DUMMYFUNCTION("$E726 - IFERROR(FILTER($E:$E,$C:$C = $C726, $A:$A = $A726, $B:$B = $B726 - 1),0)"),0.0)</f>
        <v>0</v>
      </c>
      <c r="X726" s="93"/>
      <c r="Y726" s="93"/>
      <c r="Z726" s="93">
        <v>0.0</v>
      </c>
      <c r="AA726" s="93">
        <v>0.0</v>
      </c>
      <c r="AB726" s="93">
        <v>0.0</v>
      </c>
      <c r="AC726" s="93"/>
      <c r="AD726" s="93">
        <v>0.0</v>
      </c>
      <c r="AE726" s="32">
        <f t="shared" si="2"/>
        <v>-5000</v>
      </c>
      <c r="AF726" s="93">
        <v>0.0</v>
      </c>
    </row>
    <row r="727">
      <c r="A727" s="86">
        <v>2017.0</v>
      </c>
      <c r="B727" s="87">
        <v>9.0</v>
      </c>
      <c r="C727" s="88" t="s">
        <v>35</v>
      </c>
      <c r="D727" s="32"/>
      <c r="E727" s="93">
        <v>-26700.0</v>
      </c>
      <c r="F727" s="32"/>
      <c r="G727" s="93">
        <v>-6341.49</v>
      </c>
      <c r="H727" s="93">
        <v>25265.66</v>
      </c>
      <c r="I727" s="93">
        <v>1947.29</v>
      </c>
      <c r="J727" s="93">
        <v>133203.51</v>
      </c>
      <c r="K727" s="32"/>
      <c r="L727" s="32"/>
      <c r="M727" s="32"/>
      <c r="N727" s="32"/>
      <c r="O727" s="93">
        <v>1468233.0</v>
      </c>
      <c r="P727" s="91">
        <f>IFERROR(__xludf.DUMMYFUNCTION("IFERROR(sum(FILTER($D:$N,$C:$C = $C727,$A:$A &lt; $A727,$B:$B = 12)),0) + sum($D727:$N727)"),1468232.6400000004)</f>
        <v>1468232.64</v>
      </c>
      <c r="Q727" s="92">
        <f t="shared" si="1"/>
        <v>0.3599999996</v>
      </c>
      <c r="R727" s="91">
        <f t="array" ref="R727">IFERROR(INDEX('Fund YTD Target Values'!$1:$1000, MATCH($C727,'Fund YTD Target Values'!$A:$A,0), MATCH($A727,'Fund YTD Target Values'!$1:$1,0)),0)</f>
        <v>1541591.16</v>
      </c>
      <c r="S727" s="91">
        <f>IFERROR(__xludf.DUMMYFUNCTION("IFERROR(sum(FILTER('Fund Investment Data'!$V:$V, 'Fund Investment Data'!$C:$C = $C727, 'Fund Investment Data'!$A:$A &lt; $A727)),0) + IFERROR(sum(FILTER('Fund Investment Data'!$V:$V, 'Fund Investment Data'!$C:$C = $C727, 'Fund Investment Data'!$A:$A = $A727,"&amp;" 'Fund Investment Data'!$B:$B &lt;= $B727)),0)"),1086625.0)</f>
        <v>1086625</v>
      </c>
      <c r="T727" s="93">
        <v>1071625.0</v>
      </c>
      <c r="U727" s="32">
        <f t="shared" si="3"/>
        <v>15000</v>
      </c>
      <c r="V727" s="32">
        <f>IFERROR(__xludf.DUMMYFUNCTION("$D727 - IFERROR(FILTER($D:$D,$C:$C = $C727, $A:$A = $A727, $B:$B = $B727 - 1),0)"),0.0)</f>
        <v>0</v>
      </c>
      <c r="W727" s="93">
        <f>IFERROR(__xludf.DUMMYFUNCTION("$E727 - IFERROR(FILTER($E:$E,$C:$C = $C727, $A:$A = $A727, $B:$B = $B727 - 1),0)"),-1300.0)</f>
        <v>-1300</v>
      </c>
      <c r="X727" s="93"/>
      <c r="Y727" s="93"/>
      <c r="Z727" s="93">
        <v>0.0</v>
      </c>
      <c r="AA727" s="93">
        <v>0.0</v>
      </c>
      <c r="AB727" s="93">
        <v>0.0</v>
      </c>
      <c r="AC727" s="93"/>
      <c r="AD727" s="93">
        <v>0.0</v>
      </c>
      <c r="AE727" s="32">
        <f t="shared" si="2"/>
        <v>-26700</v>
      </c>
      <c r="AF727" s="93">
        <v>0.0</v>
      </c>
    </row>
    <row r="728">
      <c r="A728" s="86">
        <v>2017.0</v>
      </c>
      <c r="B728" s="87">
        <v>9.0</v>
      </c>
      <c r="C728" s="88" t="s">
        <v>56</v>
      </c>
      <c r="D728" s="32"/>
      <c r="E728" s="93">
        <v>-12000.0</v>
      </c>
      <c r="F728" s="32"/>
      <c r="G728" s="93">
        <v>-4746.58</v>
      </c>
      <c r="H728" s="93">
        <v>18388.54</v>
      </c>
      <c r="I728" s="32"/>
      <c r="J728" s="93">
        <v>97514.99</v>
      </c>
      <c r="K728" s="32"/>
      <c r="L728" s="32"/>
      <c r="M728" s="32"/>
      <c r="N728" s="32"/>
      <c r="O728" s="93">
        <v>1098876.0</v>
      </c>
      <c r="P728" s="91">
        <f>IFERROR(__xludf.DUMMYFUNCTION("IFERROR(sum(FILTER($D:$N,$C:$C = $C728,$A:$A &lt; $A728,$B:$B = 12)),0) + sum($D728:$N728)"),1098875.5699999998)</f>
        <v>1098875.57</v>
      </c>
      <c r="Q728" s="92">
        <f t="shared" si="1"/>
        <v>0.4300000002</v>
      </c>
      <c r="R728" s="91">
        <f t="array" ref="R728">IFERROR(INDEX('Fund YTD Target Values'!$1:$1000, MATCH($C728,'Fund YTD Target Values'!$A:$A,0), MATCH($A728,'Fund YTD Target Values'!$1:$1,0)),0)</f>
        <v>1035433.228</v>
      </c>
      <c r="S728" s="91">
        <f>IFERROR(__xludf.DUMMYFUNCTION("IFERROR(sum(FILTER('Fund Investment Data'!$V:$V, 'Fund Investment Data'!$C:$C = $C728, 'Fund Investment Data'!$A:$A &lt; $A728)),0) + IFERROR(sum(FILTER('Fund Investment Data'!$V:$V, 'Fund Investment Data'!$C:$C = $C728, 'Fund Investment Data'!$A:$A = $A728,"&amp;" 'Fund Investment Data'!$B:$B &lt;= $B728)),0)"),1000000.0)</f>
        <v>1000000</v>
      </c>
      <c r="T728" s="93">
        <v>1000000.0</v>
      </c>
      <c r="U728" s="32">
        <f t="shared" si="3"/>
        <v>0</v>
      </c>
      <c r="V728" s="32">
        <f>IFERROR(__xludf.DUMMYFUNCTION("$D728 - IFERROR(FILTER($D:$D,$C:$C = $C728, $A:$A = $A728, $B:$B = $B728 - 1),0)"),0.0)</f>
        <v>0</v>
      </c>
      <c r="W728" s="93">
        <f>IFERROR(__xludf.DUMMYFUNCTION("$E728 - IFERROR(FILTER($E:$E,$C:$C = $C728, $A:$A = $A728, $B:$B = $B728 - 1),0)"),-9000.0)</f>
        <v>-9000</v>
      </c>
      <c r="X728" s="93"/>
      <c r="Y728" s="93"/>
      <c r="Z728" s="93">
        <v>0.0</v>
      </c>
      <c r="AA728" s="93">
        <v>0.0</v>
      </c>
      <c r="AB728" s="93">
        <v>0.0</v>
      </c>
      <c r="AC728" s="93"/>
      <c r="AD728" s="93">
        <v>0.0</v>
      </c>
      <c r="AE728" s="32">
        <f t="shared" si="2"/>
        <v>-12000</v>
      </c>
      <c r="AF728" s="93">
        <v>0.0</v>
      </c>
    </row>
    <row r="729">
      <c r="A729" s="86">
        <v>2017.0</v>
      </c>
      <c r="B729" s="87">
        <v>10.0</v>
      </c>
      <c r="C729" s="88" t="s">
        <v>26</v>
      </c>
      <c r="D729" s="93">
        <v>10093.0</v>
      </c>
      <c r="E729" s="93">
        <v>-10000.0</v>
      </c>
      <c r="F729" s="32"/>
      <c r="G729" s="93">
        <v>-1573.57</v>
      </c>
      <c r="H729" s="93">
        <v>6155.54</v>
      </c>
      <c r="I729" s="32"/>
      <c r="J729" s="93">
        <v>33220.61</v>
      </c>
      <c r="K729" s="32"/>
      <c r="L729" s="32"/>
      <c r="M729" s="32"/>
      <c r="N729" s="32"/>
      <c r="O729" s="93">
        <v>326379.0</v>
      </c>
      <c r="P729" s="91">
        <f>IFERROR(__xludf.DUMMYFUNCTION("IFERROR(sum(FILTER($D:$N,$C:$C = $C729,$A:$A &lt; $A729,$B:$B = 12)),0) + sum($D729:$N729)"),326378.26999999996)</f>
        <v>326378.27</v>
      </c>
      <c r="Q729" s="92">
        <f t="shared" si="1"/>
        <v>0.73</v>
      </c>
      <c r="R729" s="91">
        <f t="array" ref="R729">IFERROR(INDEX('Fund YTD Target Values'!$1:$1000, MATCH($C729,'Fund YTD Target Values'!$A:$A,0), MATCH($A729,'Fund YTD Target Values'!$1:$1,0)),0)</f>
        <v>351339.7985</v>
      </c>
      <c r="S729" s="91">
        <f>IFERROR(__xludf.DUMMYFUNCTION("IFERROR(sum(FILTER('Fund Investment Data'!$V:$V, 'Fund Investment Data'!$C:$C = $C729, 'Fund Investment Data'!$A:$A &lt; $A729)),0) + IFERROR(sum(FILTER('Fund Investment Data'!$V:$V, 'Fund Investment Data'!$C:$C = $C729, 'Fund Investment Data'!$A:$A = $A729,"&amp;" 'Fund Investment Data'!$B:$B &lt;= $B729)),0)"),292060.0)</f>
        <v>292060</v>
      </c>
      <c r="T729" s="93">
        <v>292061.0</v>
      </c>
      <c r="U729" s="32">
        <f t="shared" si="3"/>
        <v>-1</v>
      </c>
      <c r="V729" s="32">
        <f>IFERROR(__xludf.DUMMYFUNCTION("$D729 - IFERROR(FILTER($D:$D,$C:$C = $C729, $A:$A = $A729, $B:$B = $B729 - 1),0)"),250.0)</f>
        <v>250</v>
      </c>
      <c r="W729" s="93">
        <f>IFERROR(__xludf.DUMMYFUNCTION("$E729 - IFERROR(FILTER($E:$E,$C:$C = $C729, $A:$A = $A729, $B:$B = $B729 - 1),0)"),0.0)</f>
        <v>0</v>
      </c>
      <c r="X729" s="93"/>
      <c r="Y729" s="93"/>
      <c r="Z729" s="93">
        <v>0.0</v>
      </c>
      <c r="AA729" s="93">
        <v>0.0</v>
      </c>
      <c r="AB729" s="93">
        <v>0.0</v>
      </c>
      <c r="AC729" s="93"/>
      <c r="AD729" s="93">
        <v>0.0</v>
      </c>
      <c r="AE729" s="32">
        <f t="shared" si="2"/>
        <v>-10000</v>
      </c>
      <c r="AF729" s="93">
        <v>0.0</v>
      </c>
    </row>
    <row r="730">
      <c r="A730" s="86">
        <v>2017.0</v>
      </c>
      <c r="B730" s="87">
        <v>10.0</v>
      </c>
      <c r="C730" s="88" t="s">
        <v>27</v>
      </c>
      <c r="D730" s="32"/>
      <c r="E730" s="93">
        <v>-6000.0</v>
      </c>
      <c r="F730" s="32"/>
      <c r="G730" s="93">
        <v>-1484.56</v>
      </c>
      <c r="H730" s="93">
        <v>5935.56</v>
      </c>
      <c r="I730" s="93">
        <v>331.85</v>
      </c>
      <c r="J730" s="93">
        <v>31973.26</v>
      </c>
      <c r="K730" s="32"/>
      <c r="L730" s="32"/>
      <c r="M730" s="32"/>
      <c r="N730" s="32"/>
      <c r="O730" s="93">
        <v>312269.0</v>
      </c>
      <c r="P730" s="91">
        <f>IFERROR(__xludf.DUMMYFUNCTION("IFERROR(sum(FILTER($D:$N,$C:$C = $C730,$A:$A &lt; $A730,$B:$B = 12)),0) + sum($D730:$N730)"),312269.2700000001)</f>
        <v>312269.27</v>
      </c>
      <c r="Q730" s="92">
        <f t="shared" si="1"/>
        <v>-0.2700000001</v>
      </c>
      <c r="R730" s="91">
        <f t="array" ref="R730">IFERROR(INDEX('Fund YTD Target Values'!$1:$1000, MATCH($C730,'Fund YTD Target Values'!$A:$A,0), MATCH($A730,'Fund YTD Target Values'!$1:$1,0)),0)</f>
        <v>383919.6363</v>
      </c>
      <c r="S730" s="91">
        <f>IFERROR(__xludf.DUMMYFUNCTION("IFERROR(sum(FILTER('Fund Investment Data'!$V:$V, 'Fund Investment Data'!$C:$C = $C730, 'Fund Investment Data'!$A:$A &lt; $A730)),0) + IFERROR(sum(FILTER('Fund Investment Data'!$V:$V, 'Fund Investment Data'!$C:$C = $C730, 'Fund Investment Data'!$A:$A = $A730,"&amp;" 'Fund Investment Data'!$B:$B &lt;= $B730)),0)"),276213.69999999995)</f>
        <v>276213.7</v>
      </c>
      <c r="T730" s="93">
        <v>272248.0</v>
      </c>
      <c r="U730" s="32">
        <f t="shared" si="3"/>
        <v>3965.7</v>
      </c>
      <c r="V730" s="32">
        <f>IFERROR(__xludf.DUMMYFUNCTION("$D730 - IFERROR(FILTER($D:$D,$C:$C = $C730, $A:$A = $A730, $B:$B = $B730 - 1),0)"),0.0)</f>
        <v>0</v>
      </c>
      <c r="W730" s="93">
        <f>IFERROR(__xludf.DUMMYFUNCTION("$E730 - IFERROR(FILTER($E:$E,$C:$C = $C730, $A:$A = $A730, $B:$B = $B730 - 1),0)"),0.0)</f>
        <v>0</v>
      </c>
      <c r="X730" s="93"/>
      <c r="Y730" s="93"/>
      <c r="Z730" s="93">
        <v>0.0</v>
      </c>
      <c r="AA730" s="93">
        <v>0.0</v>
      </c>
      <c r="AB730" s="93">
        <v>0.0</v>
      </c>
      <c r="AC730" s="93"/>
      <c r="AD730" s="93">
        <v>0.0</v>
      </c>
      <c r="AE730" s="32">
        <f t="shared" si="2"/>
        <v>-6000</v>
      </c>
      <c r="AF730" s="93">
        <v>0.0</v>
      </c>
    </row>
    <row r="731">
      <c r="A731" s="86">
        <v>2017.0</v>
      </c>
      <c r="B731" s="87">
        <v>10.0</v>
      </c>
      <c r="C731" s="88" t="s">
        <v>28</v>
      </c>
      <c r="D731" s="32"/>
      <c r="E731" s="93">
        <v>-171600.0</v>
      </c>
      <c r="F731" s="32"/>
      <c r="G731" s="93">
        <v>-16112.86</v>
      </c>
      <c r="H731" s="93">
        <v>64522.94</v>
      </c>
      <c r="I731" s="93">
        <v>36870.28</v>
      </c>
      <c r="J731" s="93">
        <v>314322.97</v>
      </c>
      <c r="K731" s="32"/>
      <c r="L731" s="32"/>
      <c r="M731" s="32"/>
      <c r="N731" s="32"/>
      <c r="O731" s="93">
        <v>3286638.0</v>
      </c>
      <c r="P731" s="91">
        <f>IFERROR(__xludf.DUMMYFUNCTION("IFERROR(sum(FILTER($D:$N,$C:$C = $C731,$A:$A &lt; $A731,$B:$B = 12)),0) + sum($D731:$N731)"),3286636.61)</f>
        <v>3286636.61</v>
      </c>
      <c r="Q731" s="92">
        <f t="shared" si="1"/>
        <v>1.39</v>
      </c>
      <c r="R731" s="91">
        <f t="array" ref="R731">IFERROR(INDEX('Fund YTD Target Values'!$1:$1000, MATCH($C731,'Fund YTD Target Values'!$A:$A,0), MATCH($A731,'Fund YTD Target Values'!$1:$1,0)),0)</f>
        <v>3748913.384</v>
      </c>
      <c r="S731" s="91">
        <f>IFERROR(__xludf.DUMMYFUNCTION("IFERROR(sum(FILTER('Fund Investment Data'!$V:$V, 'Fund Investment Data'!$C:$C = $C731, 'Fund Investment Data'!$A:$A &lt; $A731)),0) + IFERROR(sum(FILTER('Fund Investment Data'!$V:$V, 'Fund Investment Data'!$C:$C = $C731, 'Fund Investment Data'!$A:$A = $A731,"&amp;" 'Fund Investment Data'!$B:$B &lt;= $B731)),0)"),2960091.25)</f>
        <v>2960091.25</v>
      </c>
      <c r="T731" s="93">
        <v>3009816.0</v>
      </c>
      <c r="U731" s="32">
        <f t="shared" si="3"/>
        <v>-49724.75</v>
      </c>
      <c r="V731" s="32">
        <f>IFERROR(__xludf.DUMMYFUNCTION("$D731 - IFERROR(FILTER($D:$D,$C:$C = $C731, $A:$A = $A731, $B:$B = $B731 - 1),0)"),0.0)</f>
        <v>0</v>
      </c>
      <c r="W731" s="93">
        <f>IFERROR(__xludf.DUMMYFUNCTION("$E731 - IFERROR(FILTER($E:$E,$C:$C = $C731, $A:$A = $A731, $B:$B = $B731 - 1),0)"),-100000.0)</f>
        <v>-100000</v>
      </c>
      <c r="X731" s="93"/>
      <c r="Y731" s="93"/>
      <c r="Z731" s="93">
        <v>0.0</v>
      </c>
      <c r="AA731" s="93">
        <v>0.0</v>
      </c>
      <c r="AB731" s="93">
        <v>0.0</v>
      </c>
      <c r="AC731" s="93"/>
      <c r="AD731" s="93">
        <v>0.0</v>
      </c>
      <c r="AE731" s="32">
        <f t="shared" si="2"/>
        <v>-171600</v>
      </c>
      <c r="AF731" s="93">
        <v>0.0</v>
      </c>
    </row>
    <row r="732">
      <c r="A732" s="86">
        <v>2017.0</v>
      </c>
      <c r="B732" s="87">
        <v>10.0</v>
      </c>
      <c r="C732" s="88" t="s">
        <v>46</v>
      </c>
      <c r="D732" s="32"/>
      <c r="E732" s="93">
        <v>-15700.0</v>
      </c>
      <c r="F732" s="32"/>
      <c r="G732" s="93">
        <v>-2025.98</v>
      </c>
      <c r="H732" s="93">
        <v>8081.6</v>
      </c>
      <c r="I732" s="93">
        <v>2909.31</v>
      </c>
      <c r="J732" s="93">
        <v>41064.34</v>
      </c>
      <c r="K732" s="32"/>
      <c r="L732" s="32"/>
      <c r="M732" s="32"/>
      <c r="N732" s="32"/>
      <c r="O732" s="93">
        <v>416209.0</v>
      </c>
      <c r="P732" s="91">
        <f>IFERROR(__xludf.DUMMYFUNCTION("IFERROR(sum(FILTER($D:$N,$C:$C = $C732,$A:$A &lt; $A732,$B:$B = 12)),0) + sum($D732:$N732)"),416209.82000000007)</f>
        <v>416209.82</v>
      </c>
      <c r="Q732" s="92">
        <f t="shared" si="1"/>
        <v>-0.8200000001</v>
      </c>
      <c r="R732" s="91">
        <f t="array" ref="R732">IFERROR(INDEX('Fund YTD Target Values'!$1:$1000, MATCH($C732,'Fund YTD Target Values'!$A:$A,0), MATCH($A732,'Fund YTD Target Values'!$1:$1,0)),0)</f>
        <v>445660.8761</v>
      </c>
      <c r="S732" s="91">
        <f>IFERROR(__xludf.DUMMYFUNCTION("IFERROR(sum(FILTER('Fund Investment Data'!$V:$V, 'Fund Investment Data'!$C:$C = $C732, 'Fund Investment Data'!$A:$A &lt; $A732)),0) + IFERROR(sum(FILTER('Fund Investment Data'!$V:$V, 'Fund Investment Data'!$C:$C = $C732, 'Fund Investment Data'!$A:$A = $A732,"&amp;" 'Fund Investment Data'!$B:$B &lt;= $B732)),0)"),366400.0)</f>
        <v>366400</v>
      </c>
      <c r="T732" s="93">
        <v>366400.0</v>
      </c>
      <c r="U732" s="32">
        <f t="shared" si="3"/>
        <v>0</v>
      </c>
      <c r="V732" s="32">
        <f>IFERROR(__xludf.DUMMYFUNCTION("$D732 - IFERROR(FILTER($D:$D,$C:$C = $C732, $A:$A = $A732, $B:$B = $B732 - 1),0)"),0.0)</f>
        <v>0</v>
      </c>
      <c r="W732" s="93">
        <f>IFERROR(__xludf.DUMMYFUNCTION("$E732 - IFERROR(FILTER($E:$E,$C:$C = $C732, $A:$A = $A732, $B:$B = $B732 - 1),0)"),-10000.0)</f>
        <v>-10000</v>
      </c>
      <c r="X732" s="93"/>
      <c r="Y732" s="93"/>
      <c r="Z732" s="93">
        <v>0.0</v>
      </c>
      <c r="AA732" s="93">
        <v>0.0</v>
      </c>
      <c r="AB732" s="93">
        <v>0.0</v>
      </c>
      <c r="AC732" s="93"/>
      <c r="AD732" s="93">
        <v>0.0</v>
      </c>
      <c r="AE732" s="32">
        <f t="shared" si="2"/>
        <v>-15700</v>
      </c>
      <c r="AF732" s="93">
        <v>0.0</v>
      </c>
    </row>
    <row r="733">
      <c r="A733" s="86">
        <v>2017.0</v>
      </c>
      <c r="B733" s="87">
        <v>10.0</v>
      </c>
      <c r="C733" s="88" t="s">
        <v>36</v>
      </c>
      <c r="D733" s="32"/>
      <c r="E733" s="93">
        <v>-16900.0</v>
      </c>
      <c r="F733" s="32"/>
      <c r="G733" s="93">
        <v>-2211.42</v>
      </c>
      <c r="H733" s="93">
        <v>8834.85</v>
      </c>
      <c r="I733" s="93">
        <v>2862.44</v>
      </c>
      <c r="J733" s="93">
        <v>45237.26</v>
      </c>
      <c r="K733" s="32"/>
      <c r="L733" s="32"/>
      <c r="M733" s="32"/>
      <c r="N733" s="32"/>
      <c r="O733" s="93">
        <v>456234.0</v>
      </c>
      <c r="P733" s="91">
        <f>IFERROR(__xludf.DUMMYFUNCTION("IFERROR(sum(FILTER($D:$N,$C:$C = $C733,$A:$A &lt; $A733,$B:$B = 12)),0) + sum($D733:$N733)"),456233.55000000005)</f>
        <v>456233.55</v>
      </c>
      <c r="Q733" s="92">
        <f t="shared" si="1"/>
        <v>0.45</v>
      </c>
      <c r="R733" s="91">
        <f t="array" ref="R733">IFERROR(INDEX('Fund YTD Target Values'!$1:$1000, MATCH($C733,'Fund YTD Target Values'!$A:$A,0), MATCH($A733,'Fund YTD Target Values'!$1:$1,0)),0)</f>
        <v>620333.8441</v>
      </c>
      <c r="S733" s="91">
        <f>IFERROR(__xludf.DUMMYFUNCTION("IFERROR(sum(FILTER('Fund Investment Data'!$V:$V, 'Fund Investment Data'!$C:$C = $C733, 'Fund Investment Data'!$A:$A &lt; $A733)),0) + IFERROR(sum(FILTER('Fund Investment Data'!$V:$V, 'Fund Investment Data'!$C:$C = $C733, 'Fund Investment Data'!$A:$A = $A733,"&amp;" 'Fund Investment Data'!$B:$B &lt;= $B733)),0)"),429067.24)</f>
        <v>429067.24</v>
      </c>
      <c r="T733" s="93">
        <v>413959.0</v>
      </c>
      <c r="U733" s="32">
        <f t="shared" si="3"/>
        <v>15108.24</v>
      </c>
      <c r="V733" s="32">
        <f>IFERROR(__xludf.DUMMYFUNCTION("$D733 - IFERROR(FILTER($D:$D,$C:$C = $C733, $A:$A = $A733, $B:$B = $B733 - 1),0)"),0.0)</f>
        <v>0</v>
      </c>
      <c r="W733" s="93">
        <f>IFERROR(__xludf.DUMMYFUNCTION("$E733 - IFERROR(FILTER($E:$E,$C:$C = $C733, $A:$A = $A733, $B:$B = $B733 - 1),0)"),-10000.0)</f>
        <v>-10000</v>
      </c>
      <c r="X733" s="93"/>
      <c r="Y733" s="93"/>
      <c r="Z733" s="93">
        <v>0.0</v>
      </c>
      <c r="AA733" s="93">
        <v>0.0</v>
      </c>
      <c r="AB733" s="93">
        <v>0.0</v>
      </c>
      <c r="AC733" s="93"/>
      <c r="AD733" s="93">
        <v>0.0</v>
      </c>
      <c r="AE733" s="32">
        <f t="shared" si="2"/>
        <v>-16900</v>
      </c>
      <c r="AF733" s="93">
        <v>0.0</v>
      </c>
    </row>
    <row r="734">
      <c r="A734" s="86">
        <v>2017.0</v>
      </c>
      <c r="B734" s="87">
        <v>10.0</v>
      </c>
      <c r="C734" s="88" t="s">
        <v>37</v>
      </c>
      <c r="D734" s="32"/>
      <c r="E734" s="93">
        <v>-53000.0</v>
      </c>
      <c r="F734" s="32"/>
      <c r="G734" s="93">
        <v>-4156.54</v>
      </c>
      <c r="H734" s="93">
        <v>16632.47</v>
      </c>
      <c r="I734" s="93">
        <v>9864.44</v>
      </c>
      <c r="J734" s="93">
        <v>80704.31</v>
      </c>
      <c r="K734" s="32"/>
      <c r="L734" s="32"/>
      <c r="M734" s="32"/>
      <c r="N734" s="32"/>
      <c r="O734" s="93">
        <v>836416.0</v>
      </c>
      <c r="P734" s="91">
        <f>IFERROR(__xludf.DUMMYFUNCTION("IFERROR(sum(FILTER($D:$N,$C:$C = $C734,$A:$A &lt; $A734,$B:$B = 12)),0) + sum($D734:$N734)"),836415.6900000001)</f>
        <v>836415.69</v>
      </c>
      <c r="Q734" s="92">
        <f t="shared" si="1"/>
        <v>0.3099999999</v>
      </c>
      <c r="R734" s="91">
        <f t="array" ref="R734">IFERROR(INDEX('Fund YTD Target Values'!$1:$1000, MATCH($C734,'Fund YTD Target Values'!$A:$A,0), MATCH($A734,'Fund YTD Target Values'!$1:$1,0)),0)</f>
        <v>825458.0276</v>
      </c>
      <c r="S734" s="91">
        <f>IFERROR(__xludf.DUMMYFUNCTION("IFERROR(sum(FILTER('Fund Investment Data'!$V:$V, 'Fund Investment Data'!$C:$C = $C734, 'Fund Investment Data'!$A:$A &lt; $A734)),0) + IFERROR(sum(FILTER('Fund Investment Data'!$V:$V, 'Fund Investment Data'!$C:$C = $C734, 'Fund Investment Data'!$A:$A = $A734,"&amp;" 'Fund Investment Data'!$B:$B &lt;= $B734)),0)"),758137.86)</f>
        <v>758137.86</v>
      </c>
      <c r="T734" s="93">
        <v>742866.0</v>
      </c>
      <c r="U734" s="32">
        <f t="shared" si="3"/>
        <v>15271.86</v>
      </c>
      <c r="V734" s="32">
        <f>IFERROR(__xludf.DUMMYFUNCTION("$D734 - IFERROR(FILTER($D:$D,$C:$C = $C734, $A:$A = $A734, $B:$B = $B734 - 1),0)"),0.0)</f>
        <v>0</v>
      </c>
      <c r="W734" s="93">
        <f>IFERROR(__xludf.DUMMYFUNCTION("$E734 - IFERROR(FILTER($E:$E,$C:$C = $C734, $A:$A = $A734, $B:$B = $B734 - 1),0)"),-40000.0)</f>
        <v>-40000</v>
      </c>
      <c r="X734" s="93"/>
      <c r="Y734" s="93"/>
      <c r="Z734" s="93">
        <v>0.0</v>
      </c>
      <c r="AA734" s="93">
        <v>0.0</v>
      </c>
      <c r="AB734" s="93">
        <v>0.0</v>
      </c>
      <c r="AC734" s="93"/>
      <c r="AD734" s="93">
        <v>0.0</v>
      </c>
      <c r="AE734" s="32">
        <f t="shared" si="2"/>
        <v>-53000</v>
      </c>
      <c r="AF734" s="93">
        <v>0.0</v>
      </c>
    </row>
    <row r="735">
      <c r="A735" s="86">
        <v>2017.0</v>
      </c>
      <c r="B735" s="87">
        <v>10.0</v>
      </c>
      <c r="C735" s="88" t="s">
        <v>29</v>
      </c>
      <c r="D735" s="32"/>
      <c r="E735" s="93">
        <v>-3000.0</v>
      </c>
      <c r="F735" s="32"/>
      <c r="G735" s="93">
        <v>-283.06</v>
      </c>
      <c r="H735" s="93">
        <v>1125.87</v>
      </c>
      <c r="I735" s="93">
        <v>643.29</v>
      </c>
      <c r="J735" s="93">
        <v>5473.81</v>
      </c>
      <c r="K735" s="32"/>
      <c r="L735" s="32"/>
      <c r="M735" s="32"/>
      <c r="N735" s="32"/>
      <c r="O735" s="93">
        <v>57173.0</v>
      </c>
      <c r="P735" s="91">
        <f>IFERROR(__xludf.DUMMYFUNCTION("IFERROR(sum(FILTER($D:$N,$C:$C = $C735,$A:$A &lt; $A735,$B:$B = 12)),0) + sum($D735:$N735)"),57172.99999999993)</f>
        <v>57173</v>
      </c>
      <c r="Q735" s="92">
        <f t="shared" si="1"/>
        <v>0</v>
      </c>
      <c r="R735" s="91">
        <f t="array" ref="R735">IFERROR(INDEX('Fund YTD Target Values'!$1:$1000, MATCH($C735,'Fund YTD Target Values'!$A:$A,0), MATCH($A735,'Fund YTD Target Values'!$1:$1,0)),0)</f>
        <v>75218.58778</v>
      </c>
      <c r="S735" s="91">
        <f>IFERROR(__xludf.DUMMYFUNCTION("IFERROR(sum(FILTER('Fund Investment Data'!$V:$V, 'Fund Investment Data'!$C:$C = $C735, 'Fund Investment Data'!$A:$A &lt; $A735)),0) + IFERROR(sum(FILTER('Fund Investment Data'!$V:$V, 'Fund Investment Data'!$C:$C = $C735, 'Fund Investment Data'!$A:$A = $A735,"&amp;" 'Fund Investment Data'!$B:$B &lt;= $B735)),0)"),50000.0)</f>
        <v>50000</v>
      </c>
      <c r="T735" s="93">
        <v>50000.0</v>
      </c>
      <c r="U735" s="32">
        <f t="shared" si="3"/>
        <v>0</v>
      </c>
      <c r="V735" s="32">
        <f>IFERROR(__xludf.DUMMYFUNCTION("$D735 - IFERROR(FILTER($D:$D,$C:$C = $C735, $A:$A = $A735, $B:$B = $B735 - 1),0)"),0.0)</f>
        <v>0</v>
      </c>
      <c r="W735" s="93">
        <f>IFERROR(__xludf.DUMMYFUNCTION("$E735 - IFERROR(FILTER($E:$E,$C:$C = $C735, $A:$A = $A735, $B:$B = $B735 - 1),0)"),-3000.0)</f>
        <v>-3000</v>
      </c>
      <c r="X735" s="93"/>
      <c r="Y735" s="93"/>
      <c r="Z735" s="93">
        <v>0.0</v>
      </c>
      <c r="AA735" s="93">
        <v>0.0</v>
      </c>
      <c r="AB735" s="93">
        <v>0.0</v>
      </c>
      <c r="AC735" s="93"/>
      <c r="AD735" s="93">
        <v>0.0</v>
      </c>
      <c r="AE735" s="32">
        <f t="shared" si="2"/>
        <v>-3000</v>
      </c>
      <c r="AF735" s="93">
        <v>0.0</v>
      </c>
    </row>
    <row r="736">
      <c r="A736" s="86">
        <v>2017.0</v>
      </c>
      <c r="B736" s="87">
        <v>10.0</v>
      </c>
      <c r="C736" s="88" t="s">
        <v>38</v>
      </c>
      <c r="D736" s="32"/>
      <c r="E736" s="93">
        <v>-10000.0</v>
      </c>
      <c r="F736" s="32"/>
      <c r="G736" s="93">
        <v>-3808.28</v>
      </c>
      <c r="H736" s="93">
        <v>15199.47</v>
      </c>
      <c r="I736" s="32"/>
      <c r="J736" s="93">
        <v>82719.18</v>
      </c>
      <c r="K736" s="32"/>
      <c r="L736" s="32"/>
      <c r="M736" s="32"/>
      <c r="N736" s="32"/>
      <c r="O736" s="93">
        <v>801762.0</v>
      </c>
      <c r="P736" s="91">
        <f>IFERROR(__xludf.DUMMYFUNCTION("IFERROR(sum(FILTER($D:$N,$C:$C = $C736,$A:$A &lt; $A736,$B:$B = 12)),0) + sum($D736:$N736)"),801761.3399999999)</f>
        <v>801761.34</v>
      </c>
      <c r="Q736" s="92">
        <f t="shared" si="1"/>
        <v>0.6600000001</v>
      </c>
      <c r="R736" s="91">
        <f t="array" ref="R736">IFERROR(INDEX('Fund YTD Target Values'!$1:$1000, MATCH($C736,'Fund YTD Target Values'!$A:$A,0), MATCH($A736,'Fund YTD Target Values'!$1:$1,0)),0)</f>
        <v>685763.9306</v>
      </c>
      <c r="S736" s="91">
        <f>IFERROR(__xludf.DUMMYFUNCTION("IFERROR(sum(FILTER('Fund Investment Data'!$V:$V, 'Fund Investment Data'!$C:$C = $C736, 'Fund Investment Data'!$A:$A &lt; $A736)),0) + IFERROR(sum(FILTER('Fund Investment Data'!$V:$V, 'Fund Investment Data'!$C:$C = $C736, 'Fund Investment Data'!$A:$A = $A736,"&amp;" 'Fund Investment Data'!$B:$B &lt;= $B736)),0)"),556601.64)</f>
        <v>556601.64</v>
      </c>
      <c r="T736" s="93">
        <v>558656.0</v>
      </c>
      <c r="U736" s="32">
        <f t="shared" si="3"/>
        <v>-2054.36</v>
      </c>
      <c r="V736" s="32">
        <f>IFERROR(__xludf.DUMMYFUNCTION("$D736 - IFERROR(FILTER($D:$D,$C:$C = $C736, $A:$A = $A736, $B:$B = $B736 - 1),0)"),0.0)</f>
        <v>0</v>
      </c>
      <c r="W736" s="93">
        <f>IFERROR(__xludf.DUMMYFUNCTION("$E736 - IFERROR(FILTER($E:$E,$C:$C = $C736, $A:$A = $A736, $B:$B = $B736 - 1),0)"),0.0)</f>
        <v>0</v>
      </c>
      <c r="X736" s="93"/>
      <c r="Y736" s="93"/>
      <c r="Z736" s="93">
        <v>0.0</v>
      </c>
      <c r="AA736" s="93">
        <v>0.0</v>
      </c>
      <c r="AB736" s="93">
        <v>0.0</v>
      </c>
      <c r="AC736" s="93"/>
      <c r="AD736" s="93">
        <v>0.0</v>
      </c>
      <c r="AE736" s="32">
        <f t="shared" si="2"/>
        <v>-10000</v>
      </c>
      <c r="AF736" s="93">
        <v>0.0</v>
      </c>
    </row>
    <row r="737">
      <c r="A737" s="86">
        <v>2017.0</v>
      </c>
      <c r="B737" s="87">
        <v>10.0</v>
      </c>
      <c r="C737" s="88" t="s">
        <v>30</v>
      </c>
      <c r="D737" s="32"/>
      <c r="E737" s="32"/>
      <c r="F737" s="32"/>
      <c r="G737" s="93">
        <v>-80.6</v>
      </c>
      <c r="H737" s="93">
        <v>309.71</v>
      </c>
      <c r="I737" s="32"/>
      <c r="J737" s="93">
        <v>1662.67</v>
      </c>
      <c r="K737" s="32"/>
      <c r="L737" s="32"/>
      <c r="M737" s="32"/>
      <c r="N737" s="32"/>
      <c r="O737" s="93">
        <v>17091.0</v>
      </c>
      <c r="P737" s="91">
        <f>IFERROR(__xludf.DUMMYFUNCTION("IFERROR(sum(FILTER($D:$N,$C:$C = $C737,$A:$A &lt; $A737,$B:$B = 12)),0) + sum($D737:$N737)"),17089.06999999999)</f>
        <v>17089.07</v>
      </c>
      <c r="Q737" s="92">
        <f t="shared" si="1"/>
        <v>1.93</v>
      </c>
      <c r="R737" s="91">
        <f t="array" ref="R737">IFERROR(INDEX('Fund YTD Target Values'!$1:$1000, MATCH($C737,'Fund YTD Target Values'!$A:$A,0), MATCH($A737,'Fund YTD Target Values'!$1:$1,0)),0)</f>
        <v>18043.81747</v>
      </c>
      <c r="S737" s="91">
        <f>IFERROR(__xludf.DUMMYFUNCTION("IFERROR(sum(FILTER('Fund Investment Data'!$V:$V, 'Fund Investment Data'!$C:$C = $C737, 'Fund Investment Data'!$A:$A &lt; $A737)),0) + IFERROR(sum(FILTER('Fund Investment Data'!$V:$V, 'Fund Investment Data'!$C:$C = $C737, 'Fund Investment Data'!$A:$A = $A737,"&amp;" 'Fund Investment Data'!$B:$B &lt;= $B737)),0)"),11540.75)</f>
        <v>11540.75</v>
      </c>
      <c r="T737" s="93">
        <v>10000.0</v>
      </c>
      <c r="U737" s="32">
        <f t="shared" si="3"/>
        <v>1540.75</v>
      </c>
      <c r="V737" s="32">
        <f>IFERROR(__xludf.DUMMYFUNCTION("$D737 - IFERROR(FILTER($D:$D,$C:$C = $C737, $A:$A = $A737, $B:$B = $B737 - 1),0)"),0.0)</f>
        <v>0</v>
      </c>
      <c r="W737" s="93">
        <f>IFERROR(__xludf.DUMMYFUNCTION("$E737 - IFERROR(FILTER($E:$E,$C:$C = $C737, $A:$A = $A737, $B:$B = $B737 - 1),0)"),0.0)</f>
        <v>0</v>
      </c>
      <c r="X737" s="93"/>
      <c r="Y737" s="93"/>
      <c r="Z737" s="93">
        <v>0.0</v>
      </c>
      <c r="AA737" s="93">
        <v>0.0</v>
      </c>
      <c r="AB737" s="93">
        <v>0.0</v>
      </c>
      <c r="AC737" s="93"/>
      <c r="AD737" s="93">
        <v>0.0</v>
      </c>
      <c r="AE737" s="32">
        <f t="shared" si="2"/>
        <v>0</v>
      </c>
      <c r="AF737" s="93">
        <v>0.0</v>
      </c>
    </row>
    <row r="738">
      <c r="A738" s="86">
        <v>2017.0</v>
      </c>
      <c r="B738" s="87">
        <v>10.0</v>
      </c>
      <c r="C738" s="88" t="s">
        <v>47</v>
      </c>
      <c r="D738" s="93">
        <v>10000.0</v>
      </c>
      <c r="E738" s="93">
        <v>-50200.0</v>
      </c>
      <c r="F738" s="32"/>
      <c r="G738" s="93">
        <v>-7258.01</v>
      </c>
      <c r="H738" s="93">
        <v>28980.43</v>
      </c>
      <c r="I738" s="93">
        <v>4172.86</v>
      </c>
      <c r="J738" s="93">
        <v>153492.38</v>
      </c>
      <c r="K738" s="32"/>
      <c r="L738" s="32"/>
      <c r="M738" s="32"/>
      <c r="N738" s="32"/>
      <c r="O738" s="93">
        <v>1513393.0</v>
      </c>
      <c r="P738" s="91">
        <f>IFERROR(__xludf.DUMMYFUNCTION("IFERROR(sum(FILTER($D:$N,$C:$C = $C738,$A:$A &lt; $A738,$B:$B = 12)),0) + sum($D738:$N738)"),1513392.9899999995)</f>
        <v>1513392.99</v>
      </c>
      <c r="Q738" s="92">
        <f t="shared" si="1"/>
        <v>0.01000000047</v>
      </c>
      <c r="R738" s="91">
        <f t="array" ref="R738">IFERROR(INDEX('Fund YTD Target Values'!$1:$1000, MATCH($C738,'Fund YTD Target Values'!$A:$A,0), MATCH($A738,'Fund YTD Target Values'!$1:$1,0)),0)</f>
        <v>1951070.709</v>
      </c>
      <c r="S738" s="91">
        <f>IFERROR(__xludf.DUMMYFUNCTION("IFERROR(sum(FILTER('Fund Investment Data'!$V:$V, 'Fund Investment Data'!$C:$C = $C738, 'Fund Investment Data'!$A:$A &lt; $A738)),0) + IFERROR(sum(FILTER('Fund Investment Data'!$V:$V, 'Fund Investment Data'!$C:$C = $C738, 'Fund Investment Data'!$A:$A = $A738,"&amp;" 'Fund Investment Data'!$B:$B &lt;= $B738)),0)"),1456367.46)</f>
        <v>1456367.46</v>
      </c>
      <c r="T738" s="93">
        <v>1348955.0</v>
      </c>
      <c r="U738" s="32">
        <f t="shared" si="3"/>
        <v>107412.46</v>
      </c>
      <c r="V738" s="32">
        <f>IFERROR(__xludf.DUMMYFUNCTION("$D738 - IFERROR(FILTER($D:$D,$C:$C = $C738, $A:$A = $A738, $B:$B = $B738 - 1),0)"),0.0)</f>
        <v>0</v>
      </c>
      <c r="W738" s="93">
        <f>IFERROR(__xludf.DUMMYFUNCTION("$E738 - IFERROR(FILTER($E:$E,$C:$C = $C738, $A:$A = $A738, $B:$B = $B738 - 1),0)"),-10000.0)</f>
        <v>-10000</v>
      </c>
      <c r="X738" s="93"/>
      <c r="Y738" s="93"/>
      <c r="Z738" s="93">
        <v>0.0</v>
      </c>
      <c r="AA738" s="93">
        <v>0.0</v>
      </c>
      <c r="AB738" s="93">
        <v>0.0</v>
      </c>
      <c r="AC738" s="93"/>
      <c r="AD738" s="93">
        <v>0.0</v>
      </c>
      <c r="AE738" s="32">
        <f t="shared" si="2"/>
        <v>-50200</v>
      </c>
      <c r="AF738" s="93">
        <v>0.0</v>
      </c>
    </row>
    <row r="739">
      <c r="A739" s="86">
        <v>2017.0</v>
      </c>
      <c r="B739" s="87">
        <v>10.0</v>
      </c>
      <c r="C739" s="88" t="s">
        <v>31</v>
      </c>
      <c r="D739" s="93">
        <v>1250.0</v>
      </c>
      <c r="E739" s="93">
        <v>-3800.0</v>
      </c>
      <c r="F739" s="32"/>
      <c r="G739" s="93">
        <v>-917.94</v>
      </c>
      <c r="H739" s="93">
        <v>3649.26</v>
      </c>
      <c r="I739" s="32"/>
      <c r="J739" s="93">
        <v>19834.85</v>
      </c>
      <c r="K739" s="32"/>
      <c r="L739" s="32"/>
      <c r="M739" s="32"/>
      <c r="N739" s="32"/>
      <c r="O739" s="93">
        <v>192261.0</v>
      </c>
      <c r="P739" s="91">
        <f>IFERROR(__xludf.DUMMYFUNCTION("IFERROR(sum(FILTER($D:$N,$C:$C = $C739,$A:$A &lt; $A739,$B:$B = 12)),0) + sum($D739:$N739)"),192260.71000000002)</f>
        <v>192260.71</v>
      </c>
      <c r="Q739" s="92">
        <f t="shared" si="1"/>
        <v>0.29</v>
      </c>
      <c r="R739" s="91">
        <f t="array" ref="R739">IFERROR(INDEX('Fund YTD Target Values'!$1:$1000, MATCH($C739,'Fund YTD Target Values'!$A:$A,0), MATCH($A739,'Fund YTD Target Values'!$1:$1,0)),0)</f>
        <v>205534.6031</v>
      </c>
      <c r="S739" s="91">
        <f>IFERROR(__xludf.DUMMYFUNCTION("IFERROR(sum(FILTER('Fund Investment Data'!$V:$V, 'Fund Investment Data'!$C:$C = $C739, 'Fund Investment Data'!$A:$A &lt; $A739)),0) + IFERROR(sum(FILTER('Fund Investment Data'!$V:$V, 'Fund Investment Data'!$C:$C = $C739, 'Fund Investment Data'!$A:$A = $A739,"&amp;" 'Fund Investment Data'!$B:$B &lt;= $B739)),0)"),158100.0)</f>
        <v>158100</v>
      </c>
      <c r="T739" s="93">
        <v>156850.0</v>
      </c>
      <c r="U739" s="32">
        <f t="shared" si="3"/>
        <v>1250</v>
      </c>
      <c r="V739" s="32">
        <f>IFERROR(__xludf.DUMMYFUNCTION("$D739 - IFERROR(FILTER($D:$D,$C:$C = $C739, $A:$A = $A739, $B:$B = $B739 - 1),0)"),0.0)</f>
        <v>0</v>
      </c>
      <c r="W739" s="93">
        <f>IFERROR(__xludf.DUMMYFUNCTION("$E739 - IFERROR(FILTER($E:$E,$C:$C = $C739, $A:$A = $A739, $B:$B = $B739 - 1),0)"),0.0)</f>
        <v>0</v>
      </c>
      <c r="X739" s="93"/>
      <c r="Y739" s="93"/>
      <c r="Z739" s="93">
        <v>0.0</v>
      </c>
      <c r="AA739" s="93">
        <v>0.0</v>
      </c>
      <c r="AB739" s="93">
        <v>0.0</v>
      </c>
      <c r="AC739" s="93"/>
      <c r="AD739" s="93">
        <v>0.0</v>
      </c>
      <c r="AE739" s="32">
        <f t="shared" si="2"/>
        <v>-3800</v>
      </c>
      <c r="AF739" s="93">
        <v>0.0</v>
      </c>
    </row>
    <row r="740">
      <c r="A740" s="86">
        <v>2017.0</v>
      </c>
      <c r="B740" s="87">
        <v>10.0</v>
      </c>
      <c r="C740" s="88" t="s">
        <v>39</v>
      </c>
      <c r="D740" s="93">
        <v>15000.0</v>
      </c>
      <c r="E740" s="93">
        <v>-5000.0</v>
      </c>
      <c r="F740" s="32"/>
      <c r="G740" s="93">
        <v>-785.66</v>
      </c>
      <c r="H740" s="93">
        <v>2914.59</v>
      </c>
      <c r="I740" s="32"/>
      <c r="J740" s="93">
        <v>15466.81</v>
      </c>
      <c r="K740" s="32"/>
      <c r="L740" s="32"/>
      <c r="M740" s="32"/>
      <c r="N740" s="32"/>
      <c r="O740" s="93">
        <v>177127.0</v>
      </c>
      <c r="P740" s="91">
        <f>IFERROR(__xludf.DUMMYFUNCTION("IFERROR(sum(FILTER($D:$N,$C:$C = $C740,$A:$A &lt; $A740,$B:$B = 12)),0) + sum($D740:$N740)"),177127.28000000003)</f>
        <v>177127.28</v>
      </c>
      <c r="Q740" s="92">
        <f t="shared" si="1"/>
        <v>-0.28</v>
      </c>
      <c r="R740" s="91">
        <f t="array" ref="R740">IFERROR(INDEX('Fund YTD Target Values'!$1:$1000, MATCH($C740,'Fund YTD Target Values'!$A:$A,0), MATCH($A740,'Fund YTD Target Values'!$1:$1,0)),0)</f>
        <v>165832.7472</v>
      </c>
      <c r="S740" s="91">
        <f>IFERROR(__xludf.DUMMYFUNCTION("IFERROR(sum(FILTER('Fund Investment Data'!$V:$V, 'Fund Investment Data'!$C:$C = $C740, 'Fund Investment Data'!$A:$A &lt; $A740)),0) + IFERROR(sum(FILTER('Fund Investment Data'!$V:$V, 'Fund Investment Data'!$C:$C = $C740, 'Fund Investment Data'!$A:$A = $A740,"&amp;" 'Fund Investment Data'!$B:$B &lt;= $B740)),0)"),155000.0)</f>
        <v>155000</v>
      </c>
      <c r="T740" s="93">
        <v>155000.0</v>
      </c>
      <c r="U740" s="32">
        <f t="shared" si="3"/>
        <v>0</v>
      </c>
      <c r="V740" s="32">
        <f>IFERROR(__xludf.DUMMYFUNCTION("$D740 - IFERROR(FILTER($D:$D,$C:$C = $C740, $A:$A = $A740, $B:$B = $B740 - 1),0)"),14950.0)</f>
        <v>14950</v>
      </c>
      <c r="W740" s="93">
        <f>IFERROR(__xludf.DUMMYFUNCTION("$E740 - IFERROR(FILTER($E:$E,$C:$C = $C740, $A:$A = $A740, $B:$B = $B740 - 1),0)"),0.0)</f>
        <v>0</v>
      </c>
      <c r="X740" s="93"/>
      <c r="Y740" s="93"/>
      <c r="Z740" s="93">
        <v>0.0</v>
      </c>
      <c r="AA740" s="93">
        <v>0.0</v>
      </c>
      <c r="AB740" s="93">
        <v>0.0</v>
      </c>
      <c r="AC740" s="93"/>
      <c r="AD740" s="93">
        <v>0.0</v>
      </c>
      <c r="AE740" s="32">
        <f t="shared" si="2"/>
        <v>-5000</v>
      </c>
      <c r="AF740" s="93">
        <v>0.0</v>
      </c>
    </row>
    <row r="741">
      <c r="A741" s="86">
        <v>2017.0</v>
      </c>
      <c r="B741" s="87">
        <v>10.0</v>
      </c>
      <c r="C741" s="88" t="s">
        <v>50</v>
      </c>
      <c r="D741" s="32"/>
      <c r="E741" s="93">
        <v>-10000.0</v>
      </c>
      <c r="F741" s="32"/>
      <c r="G741" s="93">
        <v>-1040.99</v>
      </c>
      <c r="H741" s="93">
        <v>3840.46</v>
      </c>
      <c r="I741" s="32"/>
      <c r="J741" s="93">
        <v>20371.36</v>
      </c>
      <c r="K741" s="32"/>
      <c r="L741" s="32"/>
      <c r="M741" s="32"/>
      <c r="N741" s="32"/>
      <c r="O741" s="93">
        <v>212053.0</v>
      </c>
      <c r="P741" s="91">
        <f>IFERROR(__xludf.DUMMYFUNCTION("IFERROR(sum(FILTER($D:$N,$C:$C = $C741,$A:$A &lt; $A741,$B:$B = 12)),0) + sum($D741:$N741)"),212052.39999999997)</f>
        <v>212052.4</v>
      </c>
      <c r="Q741" s="92">
        <f t="shared" si="1"/>
        <v>0.6</v>
      </c>
      <c r="R741" s="91">
        <f t="array" ref="R741">IFERROR(INDEX('Fund YTD Target Values'!$1:$1000, MATCH($C741,'Fund YTD Target Values'!$A:$A,0), MATCH($A741,'Fund YTD Target Values'!$1:$1,0)),0)</f>
        <v>212473.6146</v>
      </c>
      <c r="S741" s="91">
        <f>IFERROR(__xludf.DUMMYFUNCTION("IFERROR(sum(FILTER('Fund Investment Data'!$V:$V, 'Fund Investment Data'!$C:$C = $C741, 'Fund Investment Data'!$A:$A &lt; $A741)),0) + IFERROR(sum(FILTER('Fund Investment Data'!$V:$V, 'Fund Investment Data'!$C:$C = $C741, 'Fund Investment Data'!$A:$A = $A741,"&amp;" 'Fund Investment Data'!$B:$B &lt;= $B741)),0)"),185189.56)</f>
        <v>185189.56</v>
      </c>
      <c r="T741" s="93">
        <v>190241.0</v>
      </c>
      <c r="U741" s="32">
        <f t="shared" si="3"/>
        <v>-5051.44</v>
      </c>
      <c r="V741" s="32">
        <f>IFERROR(__xludf.DUMMYFUNCTION("$D741 - IFERROR(FILTER($D:$D,$C:$C = $C741, $A:$A = $A741, $B:$B = $B741 - 1),0)"),0.0)</f>
        <v>0</v>
      </c>
      <c r="W741" s="93">
        <f>IFERROR(__xludf.DUMMYFUNCTION("$E741 - IFERROR(FILTER($E:$E,$C:$C = $C741, $A:$A = $A741, $B:$B = $B741 - 1),0)"),0.0)</f>
        <v>0</v>
      </c>
      <c r="X741" s="93"/>
      <c r="Y741" s="93"/>
      <c r="Z741" s="93">
        <v>0.0</v>
      </c>
      <c r="AA741" s="93">
        <v>0.0</v>
      </c>
      <c r="AB741" s="93">
        <v>0.0</v>
      </c>
      <c r="AC741" s="93"/>
      <c r="AD741" s="93">
        <v>0.0</v>
      </c>
      <c r="AE741" s="32">
        <f t="shared" si="2"/>
        <v>-10000</v>
      </c>
      <c r="AF741" s="93">
        <v>0.0</v>
      </c>
    </row>
    <row r="742">
      <c r="A742" s="86">
        <v>2017.0</v>
      </c>
      <c r="B742" s="87">
        <v>10.0</v>
      </c>
      <c r="C742" s="88" t="s">
        <v>32</v>
      </c>
      <c r="D742" s="93">
        <v>0.0</v>
      </c>
      <c r="E742" s="32"/>
      <c r="F742" s="32"/>
      <c r="G742" s="93">
        <v>-247.72</v>
      </c>
      <c r="H742" s="93">
        <v>963.89</v>
      </c>
      <c r="I742" s="32"/>
      <c r="J742" s="93">
        <v>5197.91</v>
      </c>
      <c r="K742" s="32"/>
      <c r="L742" s="32"/>
      <c r="M742" s="32"/>
      <c r="N742" s="32"/>
      <c r="O742" s="93">
        <v>52562.0</v>
      </c>
      <c r="P742" s="91">
        <f>IFERROR(__xludf.DUMMYFUNCTION("IFERROR(sum(FILTER($D:$N,$C:$C = $C742,$A:$A &lt; $A742,$B:$B = 12)),0) + sum($D742:$N742)"),52561.17000000003)</f>
        <v>52561.17</v>
      </c>
      <c r="Q742" s="92">
        <f t="shared" si="1"/>
        <v>0.83</v>
      </c>
      <c r="R742" s="91">
        <f t="array" ref="R742">IFERROR(INDEX('Fund YTD Target Values'!$1:$1000, MATCH($C742,'Fund YTD Target Values'!$A:$A,0), MATCH($A742,'Fund YTD Target Values'!$1:$1,0)),0)</f>
        <v>77291.136</v>
      </c>
      <c r="S742" s="91">
        <f>IFERROR(__xludf.DUMMYFUNCTION("IFERROR(sum(FILTER('Fund Investment Data'!$V:$V, 'Fund Investment Data'!$C:$C = $C742, 'Fund Investment Data'!$A:$A &lt; $A742)),0) + IFERROR(sum(FILTER('Fund Investment Data'!$V:$V, 'Fund Investment Data'!$C:$C = $C742, 'Fund Investment Data'!$A:$A = $A742,"&amp;" 'Fund Investment Data'!$B:$B &lt;= $B742)),0)"),49449.04)</f>
        <v>49449.04</v>
      </c>
      <c r="T742" s="93">
        <v>39268.0</v>
      </c>
      <c r="U742" s="32">
        <f t="shared" si="3"/>
        <v>10181.04</v>
      </c>
      <c r="V742" s="32">
        <f>IFERROR(__xludf.DUMMYFUNCTION("$D742 - IFERROR(FILTER($D:$D,$C:$C = $C742, $A:$A = $A742, $B:$B = $B742 - 1),0)"),0.0)</f>
        <v>0</v>
      </c>
      <c r="W742" s="93">
        <f>IFERROR(__xludf.DUMMYFUNCTION("$E742 - IFERROR(FILTER($E:$E,$C:$C = $C742, $A:$A = $A742, $B:$B = $B742 - 1),0)"),0.0)</f>
        <v>0</v>
      </c>
      <c r="X742" s="93"/>
      <c r="Y742" s="93"/>
      <c r="Z742" s="93">
        <v>0.0</v>
      </c>
      <c r="AA742" s="93">
        <v>0.0</v>
      </c>
      <c r="AB742" s="93">
        <v>0.0</v>
      </c>
      <c r="AC742" s="93"/>
      <c r="AD742" s="93">
        <v>0.0</v>
      </c>
      <c r="AE742" s="32">
        <f t="shared" si="2"/>
        <v>0</v>
      </c>
      <c r="AF742" s="93">
        <v>0.0</v>
      </c>
    </row>
    <row r="743">
      <c r="A743" s="86">
        <v>2017.0</v>
      </c>
      <c r="B743" s="87">
        <v>10.0</v>
      </c>
      <c r="C743" s="88" t="s">
        <v>40</v>
      </c>
      <c r="D743" s="32"/>
      <c r="E743" s="93">
        <v>-2300.0</v>
      </c>
      <c r="F743" s="32"/>
      <c r="G743" s="93">
        <v>-737.17</v>
      </c>
      <c r="H743" s="93">
        <v>2937.72</v>
      </c>
      <c r="I743" s="32"/>
      <c r="J743" s="93">
        <v>15980.69</v>
      </c>
      <c r="K743" s="32"/>
      <c r="L743" s="32"/>
      <c r="M743" s="32"/>
      <c r="N743" s="32"/>
      <c r="O743" s="93">
        <v>154889.0</v>
      </c>
      <c r="P743" s="91">
        <f>IFERROR(__xludf.DUMMYFUNCTION("IFERROR(sum(FILTER($D:$N,$C:$C = $C743,$A:$A &lt; $A743,$B:$B = 12)),0) + sum($D743:$N743)"),154888.93999999994)</f>
        <v>154888.94</v>
      </c>
      <c r="Q743" s="92">
        <f t="shared" si="1"/>
        <v>0.06000000006</v>
      </c>
      <c r="R743" s="91">
        <f t="array" ref="R743">IFERROR(INDEX('Fund YTD Target Values'!$1:$1000, MATCH($C743,'Fund YTD Target Values'!$A:$A,0), MATCH($A743,'Fund YTD Target Values'!$1:$1,0)),0)</f>
        <v>157515.3664</v>
      </c>
      <c r="S743" s="91">
        <f>IFERROR(__xludf.DUMMYFUNCTION("IFERROR(sum(FILTER('Fund Investment Data'!$V:$V, 'Fund Investment Data'!$C:$C = $C743, 'Fund Investment Data'!$A:$A &lt; $A743)),0) + IFERROR(sum(FILTER('Fund Investment Data'!$V:$V, 'Fund Investment Data'!$C:$C = $C743, 'Fund Investment Data'!$A:$A = $A743,"&amp;" 'Fund Investment Data'!$B:$B &lt;= $B743)),0)"),129703.74)</f>
        <v>129703.74</v>
      </c>
      <c r="T743" s="93">
        <v>129723.0</v>
      </c>
      <c r="U743" s="32">
        <f t="shared" si="3"/>
        <v>-19.26</v>
      </c>
      <c r="V743" s="32">
        <f>IFERROR(__xludf.DUMMYFUNCTION("$D743 - IFERROR(FILTER($D:$D,$C:$C = $C743, $A:$A = $A743, $B:$B = $B743 - 1),0)"),0.0)</f>
        <v>0</v>
      </c>
      <c r="W743" s="93">
        <f>IFERROR(__xludf.DUMMYFUNCTION("$E743 - IFERROR(FILTER($E:$E,$C:$C = $C743, $A:$A = $A743, $B:$B = $B743 - 1),0)"),0.0)</f>
        <v>0</v>
      </c>
      <c r="X743" s="93"/>
      <c r="Y743" s="93"/>
      <c r="Z743" s="93">
        <v>0.0</v>
      </c>
      <c r="AA743" s="93">
        <v>0.0</v>
      </c>
      <c r="AB743" s="93">
        <v>0.0</v>
      </c>
      <c r="AC743" s="93"/>
      <c r="AD743" s="93">
        <v>0.0</v>
      </c>
      <c r="AE743" s="32">
        <f t="shared" si="2"/>
        <v>-2300</v>
      </c>
      <c r="AF743" s="93">
        <v>0.0</v>
      </c>
    </row>
    <row r="744">
      <c r="A744" s="86">
        <v>2017.0</v>
      </c>
      <c r="B744" s="87">
        <v>10.0</v>
      </c>
      <c r="C744" s="88" t="s">
        <v>51</v>
      </c>
      <c r="D744" s="93">
        <v>3200.0</v>
      </c>
      <c r="E744" s="93">
        <v>-5000.0</v>
      </c>
      <c r="F744" s="32"/>
      <c r="G744" s="93">
        <v>-2254.83</v>
      </c>
      <c r="H744" s="93">
        <v>8953.16</v>
      </c>
      <c r="I744" s="32"/>
      <c r="J744" s="93">
        <v>48677.97</v>
      </c>
      <c r="K744" s="32"/>
      <c r="L744" s="32"/>
      <c r="M744" s="32"/>
      <c r="N744" s="32"/>
      <c r="O744" s="93">
        <v>477113.0</v>
      </c>
      <c r="P744" s="91">
        <f>IFERROR(__xludf.DUMMYFUNCTION("IFERROR(sum(FILTER($D:$N,$C:$C = $C744,$A:$A &lt; $A744,$B:$B = 12)),0) + sum($D744:$N744)"),477113.2)</f>
        <v>477113.2</v>
      </c>
      <c r="Q744" s="92">
        <f t="shared" si="1"/>
        <v>-0.2</v>
      </c>
      <c r="R744" s="91">
        <f t="array" ref="R744">IFERROR(INDEX('Fund YTD Target Values'!$1:$1000, MATCH($C744,'Fund YTD Target Values'!$A:$A,0), MATCH($A744,'Fund YTD Target Values'!$1:$1,0)),0)</f>
        <v>437835.4209</v>
      </c>
      <c r="S744" s="91">
        <f>IFERROR(__xludf.DUMMYFUNCTION("IFERROR(sum(FILTER('Fund Investment Data'!$V:$V, 'Fund Investment Data'!$C:$C = $C744, 'Fund Investment Data'!$A:$A &lt; $A744)),0) + IFERROR(sum(FILTER('Fund Investment Data'!$V:$V, 'Fund Investment Data'!$C:$C = $C744, 'Fund Investment Data'!$A:$A = $A744,"&amp;" 'Fund Investment Data'!$B:$B &lt;= $B744)),0)"),416323.55)</f>
        <v>416323.55</v>
      </c>
      <c r="T744" s="93">
        <v>417180.0</v>
      </c>
      <c r="U744" s="32">
        <f t="shared" si="3"/>
        <v>-856.45</v>
      </c>
      <c r="V744" s="32">
        <f>IFERROR(__xludf.DUMMYFUNCTION("$D744 - IFERROR(FILTER($D:$D,$C:$C = $C744, $A:$A = $A744, $B:$B = $B744 - 1),0)"),50.0)</f>
        <v>50</v>
      </c>
      <c r="W744" s="93">
        <f>IFERROR(__xludf.DUMMYFUNCTION("$E744 - IFERROR(FILTER($E:$E,$C:$C = $C744, $A:$A = $A744, $B:$B = $B744 - 1),0)"),0.0)</f>
        <v>0</v>
      </c>
      <c r="X744" s="93"/>
      <c r="Y744" s="93"/>
      <c r="Z744" s="93">
        <v>0.0</v>
      </c>
      <c r="AA744" s="93">
        <v>0.0</v>
      </c>
      <c r="AB744" s="93">
        <v>0.0</v>
      </c>
      <c r="AC744" s="93"/>
      <c r="AD744" s="93">
        <v>0.0</v>
      </c>
      <c r="AE744" s="32">
        <f t="shared" si="2"/>
        <v>-5000</v>
      </c>
      <c r="AF744" s="93">
        <v>0.0</v>
      </c>
    </row>
    <row r="745">
      <c r="A745" s="86">
        <v>2017.0</v>
      </c>
      <c r="B745" s="87">
        <v>10.0</v>
      </c>
      <c r="C745" s="88" t="s">
        <v>48</v>
      </c>
      <c r="D745" s="32"/>
      <c r="E745" s="93">
        <v>-28200.0</v>
      </c>
      <c r="F745" s="32"/>
      <c r="G745" s="93">
        <v>-6047.43</v>
      </c>
      <c r="H745" s="93">
        <v>24169.99</v>
      </c>
      <c r="I745" s="93">
        <v>2537.22</v>
      </c>
      <c r="J745" s="93">
        <v>129063.07</v>
      </c>
      <c r="K745" s="32"/>
      <c r="L745" s="32"/>
      <c r="M745" s="32"/>
      <c r="N745" s="32"/>
      <c r="O745" s="93">
        <v>1264337.0</v>
      </c>
      <c r="P745" s="91">
        <f>IFERROR(__xludf.DUMMYFUNCTION("IFERROR(sum(FILTER($D:$N,$C:$C = $C745,$A:$A &lt; $A745,$B:$B = 12)),0) + sum($D745:$N745)"),1264335.5999999999)</f>
        <v>1264335.6</v>
      </c>
      <c r="Q745" s="92">
        <f t="shared" si="1"/>
        <v>1.4</v>
      </c>
      <c r="R745" s="91">
        <f t="array" ref="R745">IFERROR(INDEX('Fund YTD Target Values'!$1:$1000, MATCH($C745,'Fund YTD Target Values'!$A:$A,0), MATCH($A745,'Fund YTD Target Values'!$1:$1,0)),0)</f>
        <v>1851058.71</v>
      </c>
      <c r="S745" s="91">
        <f>IFERROR(__xludf.DUMMYFUNCTION("IFERROR(sum(FILTER('Fund Investment Data'!$V:$V, 'Fund Investment Data'!$C:$C = $C745, 'Fund Investment Data'!$A:$A &lt; $A745)),0) + IFERROR(sum(FILTER('Fund Investment Data'!$V:$V, 'Fund Investment Data'!$C:$C = $C745, 'Fund Investment Data'!$A:$A = $A745,"&amp;" 'Fund Investment Data'!$B:$B &lt;= $B745)),0)"),1183929.39)</f>
        <v>1183929.39</v>
      </c>
      <c r="T745" s="93">
        <v>1140040.0</v>
      </c>
      <c r="U745" s="32">
        <f t="shared" si="3"/>
        <v>43889.39</v>
      </c>
      <c r="V745" s="32">
        <f>IFERROR(__xludf.DUMMYFUNCTION("$D745 - IFERROR(FILTER($D:$D,$C:$C = $C745, $A:$A = $A745, $B:$B = $B745 - 1),0)"),0.0)</f>
        <v>0</v>
      </c>
      <c r="W745" s="93">
        <f>IFERROR(__xludf.DUMMYFUNCTION("$E745 - IFERROR(FILTER($E:$E,$C:$C = $C745, $A:$A = $A745, $B:$B = $B745 - 1),0)"),-10000.0)</f>
        <v>-10000</v>
      </c>
      <c r="X745" s="93"/>
      <c r="Y745" s="93"/>
      <c r="Z745" s="93">
        <v>0.0</v>
      </c>
      <c r="AA745" s="93">
        <v>0.0</v>
      </c>
      <c r="AB745" s="93">
        <v>0.0</v>
      </c>
      <c r="AC745" s="93"/>
      <c r="AD745" s="93">
        <v>0.0</v>
      </c>
      <c r="AE745" s="32">
        <f t="shared" si="2"/>
        <v>-28200</v>
      </c>
      <c r="AF745" s="93">
        <v>0.0</v>
      </c>
    </row>
    <row r="746">
      <c r="A746" s="86">
        <v>2017.0</v>
      </c>
      <c r="B746" s="87">
        <v>10.0</v>
      </c>
      <c r="C746" s="88" t="s">
        <v>49</v>
      </c>
      <c r="D746" s="32"/>
      <c r="E746" s="93">
        <v>-8000.0</v>
      </c>
      <c r="F746" s="32"/>
      <c r="G746" s="93">
        <v>-2658.8</v>
      </c>
      <c r="H746" s="93">
        <v>10616.95</v>
      </c>
      <c r="I746" s="32"/>
      <c r="J746" s="93">
        <v>57793.65</v>
      </c>
      <c r="K746" s="32"/>
      <c r="L746" s="32"/>
      <c r="M746" s="32"/>
      <c r="N746" s="32"/>
      <c r="O746" s="93">
        <v>560468.0</v>
      </c>
      <c r="P746" s="91">
        <f>IFERROR(__xludf.DUMMYFUNCTION("IFERROR(sum(FILTER($D:$N,$C:$C = $C746,$A:$A &lt; $A746,$B:$B = 12)),0) + sum($D746:$N746)"),560467.7999999999)</f>
        <v>560467.8</v>
      </c>
      <c r="Q746" s="92">
        <f t="shared" si="1"/>
        <v>0.2000000001</v>
      </c>
      <c r="R746" s="91">
        <f t="array" ref="R746">IFERROR(INDEX('Fund YTD Target Values'!$1:$1000, MATCH($C746,'Fund YTD Target Values'!$A:$A,0), MATCH($A746,'Fund YTD Target Values'!$1:$1,0)),0)</f>
        <v>684659.2079</v>
      </c>
      <c r="S746" s="91">
        <f>IFERROR(__xludf.DUMMYFUNCTION("IFERROR(sum(FILTER('Fund Investment Data'!$V:$V, 'Fund Investment Data'!$C:$C = $C746, 'Fund Investment Data'!$A:$A &lt; $A746)),0) + IFERROR(sum(FILTER('Fund Investment Data'!$V:$V, 'Fund Investment Data'!$C:$C = $C746, 'Fund Investment Data'!$A:$A = $A746,"&amp;" 'Fund Investment Data'!$B:$B &lt;= $B746)),0)"),500000.0)</f>
        <v>500000</v>
      </c>
      <c r="T746" s="93">
        <v>500000.0</v>
      </c>
      <c r="U746" s="32">
        <f t="shared" si="3"/>
        <v>0</v>
      </c>
      <c r="V746" s="32">
        <f>IFERROR(__xludf.DUMMYFUNCTION("$D746 - IFERROR(FILTER($D:$D,$C:$C = $C746, $A:$A = $A746, $B:$B = $B746 - 1),0)"),0.0)</f>
        <v>0</v>
      </c>
      <c r="W746" s="93">
        <f>IFERROR(__xludf.DUMMYFUNCTION("$E746 - IFERROR(FILTER($E:$E,$C:$C = $C746, $A:$A = $A746, $B:$B = $B746 - 1),0)"),0.0)</f>
        <v>0</v>
      </c>
      <c r="X746" s="93"/>
      <c r="Y746" s="93"/>
      <c r="Z746" s="93">
        <v>0.0</v>
      </c>
      <c r="AA746" s="93">
        <v>0.0</v>
      </c>
      <c r="AB746" s="93">
        <v>0.0</v>
      </c>
      <c r="AC746" s="93"/>
      <c r="AD746" s="93">
        <v>0.0</v>
      </c>
      <c r="AE746" s="32">
        <f t="shared" si="2"/>
        <v>-8000</v>
      </c>
      <c r="AF746" s="93">
        <v>0.0</v>
      </c>
    </row>
    <row r="747">
      <c r="A747" s="86">
        <v>2017.0</v>
      </c>
      <c r="B747" s="87">
        <v>10.0</v>
      </c>
      <c r="C747" s="88" t="s">
        <v>41</v>
      </c>
      <c r="D747" s="32"/>
      <c r="E747" s="93">
        <v>-11075.0</v>
      </c>
      <c r="F747" s="32"/>
      <c r="G747" s="93">
        <v>-3142.61</v>
      </c>
      <c r="H747" s="93">
        <v>12531.85</v>
      </c>
      <c r="I747" s="32"/>
      <c r="J747" s="93">
        <v>68199.42</v>
      </c>
      <c r="K747" s="32"/>
      <c r="L747" s="32"/>
      <c r="M747" s="32"/>
      <c r="N747" s="32"/>
      <c r="O747" s="93">
        <v>660998.0</v>
      </c>
      <c r="P747" s="91">
        <f>IFERROR(__xludf.DUMMYFUNCTION("IFERROR(sum(FILTER($D:$N,$C:$C = $C747,$A:$A &lt; $A747,$B:$B = 12)),0) + sum($D747:$N747)"),660998.7000000001)</f>
        <v>660998.7</v>
      </c>
      <c r="Q747" s="92">
        <f t="shared" si="1"/>
        <v>-0.7000000001</v>
      </c>
      <c r="R747" s="91">
        <f t="array" ref="R747">IFERROR(INDEX('Fund YTD Target Values'!$1:$1000, MATCH($C747,'Fund YTD Target Values'!$A:$A,0), MATCH($A747,'Fund YTD Target Values'!$1:$1,0)),0)</f>
        <v>573948.5743</v>
      </c>
      <c r="S747" s="91">
        <f>IFERROR(__xludf.DUMMYFUNCTION("IFERROR(sum(FILTER('Fund Investment Data'!$V:$V, 'Fund Investment Data'!$C:$C = $C747, 'Fund Investment Data'!$A:$A &lt; $A747)),0) + IFERROR(sum(FILTER('Fund Investment Data'!$V:$V, 'Fund Investment Data'!$C:$C = $C747, 'Fund Investment Data'!$A:$A = $A747,"&amp;" 'Fund Investment Data'!$B:$B &lt;= $B747)),0)"),433755.86)</f>
        <v>433755.86</v>
      </c>
      <c r="T747" s="93">
        <v>434291.0</v>
      </c>
      <c r="U747" s="32">
        <f t="shared" si="3"/>
        <v>-535.14</v>
      </c>
      <c r="V747" s="32">
        <f>IFERROR(__xludf.DUMMYFUNCTION("$D747 - IFERROR(FILTER($D:$D,$C:$C = $C747, $A:$A = $A747, $B:$B = $B747 - 1),0)"),0.0)</f>
        <v>0</v>
      </c>
      <c r="W747" s="93">
        <f>IFERROR(__xludf.DUMMYFUNCTION("$E747 - IFERROR(FILTER($E:$E,$C:$C = $C747, $A:$A = $A747, $B:$B = $B747 - 1),0)"),0.0)</f>
        <v>0</v>
      </c>
      <c r="X747" s="93"/>
      <c r="Y747" s="93"/>
      <c r="Z747" s="93">
        <v>0.0</v>
      </c>
      <c r="AA747" s="93">
        <v>0.0</v>
      </c>
      <c r="AB747" s="93">
        <v>0.0</v>
      </c>
      <c r="AC747" s="93"/>
      <c r="AD747" s="93">
        <v>0.0</v>
      </c>
      <c r="AE747" s="32">
        <f t="shared" si="2"/>
        <v>-11075</v>
      </c>
      <c r="AF747" s="93">
        <v>0.0</v>
      </c>
    </row>
    <row r="748">
      <c r="A748" s="86">
        <v>2017.0</v>
      </c>
      <c r="B748" s="87">
        <v>10.0</v>
      </c>
      <c r="C748" s="88" t="s">
        <v>25</v>
      </c>
      <c r="D748" s="32"/>
      <c r="E748" s="93">
        <v>-1500.0</v>
      </c>
      <c r="F748" s="32"/>
      <c r="G748" s="93">
        <v>-489.43</v>
      </c>
      <c r="H748" s="93">
        <v>1950.4</v>
      </c>
      <c r="I748" s="32"/>
      <c r="J748" s="93">
        <v>10609.76</v>
      </c>
      <c r="K748" s="32"/>
      <c r="L748" s="32"/>
      <c r="M748" s="32"/>
      <c r="N748" s="32"/>
      <c r="O748" s="93">
        <v>102859.0</v>
      </c>
      <c r="P748" s="91">
        <f>IFERROR(__xludf.DUMMYFUNCTION("IFERROR(sum(FILTER($D:$N,$C:$C = $C748,$A:$A &lt; $A748,$B:$B = 12)),0) + sum($D748:$N748)"),102858.73999999999)</f>
        <v>102858.74</v>
      </c>
      <c r="Q748" s="92">
        <f t="shared" si="1"/>
        <v>0.26</v>
      </c>
      <c r="R748" s="91">
        <f t="array" ref="R748">IFERROR(INDEX('Fund YTD Target Values'!$1:$1000, MATCH($C748,'Fund YTD Target Values'!$A:$A,0), MATCH($A748,'Fund YTD Target Values'!$1:$1,0)),0)</f>
        <v>106572.0284</v>
      </c>
      <c r="S748" s="91">
        <f>IFERROR(__xludf.DUMMYFUNCTION("IFERROR(sum(FILTER('Fund Investment Data'!$V:$V, 'Fund Investment Data'!$C:$C = $C748, 'Fund Investment Data'!$A:$A &lt; $A748)),0) + IFERROR(sum(FILTER('Fund Investment Data'!$V:$V, 'Fund Investment Data'!$C:$C = $C748, 'Fund Investment Data'!$A:$A = $A748,"&amp;" 'Fund Investment Data'!$B:$B &lt;= $B748)),0)"),81000.0)</f>
        <v>81000</v>
      </c>
      <c r="T748" s="93">
        <v>81000.0</v>
      </c>
      <c r="U748" s="32">
        <f t="shared" si="3"/>
        <v>0</v>
      </c>
      <c r="V748" s="32">
        <f>IFERROR(__xludf.DUMMYFUNCTION("$D748 - IFERROR(FILTER($D:$D,$C:$C = $C748, $A:$A = $A748, $B:$B = $B748 - 1),0)"),0.0)</f>
        <v>0</v>
      </c>
      <c r="W748" s="93">
        <f>IFERROR(__xludf.DUMMYFUNCTION("$E748 - IFERROR(FILTER($E:$E,$C:$C = $C748, $A:$A = $A748, $B:$B = $B748 - 1),0)"),0.0)</f>
        <v>0</v>
      </c>
      <c r="X748" s="93"/>
      <c r="Y748" s="93"/>
      <c r="Z748" s="93">
        <v>0.0</v>
      </c>
      <c r="AA748" s="93">
        <v>0.0</v>
      </c>
      <c r="AB748" s="93">
        <v>0.0</v>
      </c>
      <c r="AC748" s="93"/>
      <c r="AD748" s="93">
        <v>0.0</v>
      </c>
      <c r="AE748" s="32">
        <f t="shared" si="2"/>
        <v>-1500</v>
      </c>
      <c r="AF748" s="93">
        <v>0.0</v>
      </c>
    </row>
    <row r="749">
      <c r="A749" s="86">
        <v>2017.0</v>
      </c>
      <c r="B749" s="87">
        <v>10.0</v>
      </c>
      <c r="C749" s="88" t="s">
        <v>42</v>
      </c>
      <c r="D749" s="32"/>
      <c r="E749" s="93">
        <v>-5000.0</v>
      </c>
      <c r="F749" s="32"/>
      <c r="G749" s="93">
        <v>-1404.53</v>
      </c>
      <c r="H749" s="93">
        <v>5550.63</v>
      </c>
      <c r="I749" s="32"/>
      <c r="J749" s="93">
        <v>30111.16</v>
      </c>
      <c r="K749" s="32"/>
      <c r="L749" s="32"/>
      <c r="M749" s="32"/>
      <c r="N749" s="32"/>
      <c r="O749" s="93">
        <v>294416.0</v>
      </c>
      <c r="P749" s="91">
        <f>IFERROR(__xludf.DUMMYFUNCTION("IFERROR(sum(FILTER($D:$N,$C:$C = $C749,$A:$A &lt; $A749,$B:$B = 12)),0) + sum($D749:$N749)"),294415.53000000014)</f>
        <v>294415.53</v>
      </c>
      <c r="Q749" s="92">
        <f t="shared" si="1"/>
        <v>0.4699999999</v>
      </c>
      <c r="R749" s="91">
        <f t="array" ref="R749">IFERROR(INDEX('Fund YTD Target Values'!$1:$1000, MATCH($C749,'Fund YTD Target Values'!$A:$A,0), MATCH($A749,'Fund YTD Target Values'!$1:$1,0)),0)</f>
        <v>234458.6336</v>
      </c>
      <c r="S749" s="91">
        <f>IFERROR(__xludf.DUMMYFUNCTION("IFERROR(sum(FILTER('Fund Investment Data'!$V:$V, 'Fund Investment Data'!$C:$C = $C749, 'Fund Investment Data'!$A:$A &lt; $A749)),0) + IFERROR(sum(FILTER('Fund Investment Data'!$V:$V, 'Fund Investment Data'!$C:$C = $C749, 'Fund Investment Data'!$A:$A = $A749,"&amp;" 'Fund Investment Data'!$B:$B &lt;= $B749)),0)"),194469.0)</f>
        <v>194469</v>
      </c>
      <c r="T749" s="93">
        <v>194469.0</v>
      </c>
      <c r="U749" s="32">
        <f t="shared" si="3"/>
        <v>0</v>
      </c>
      <c r="V749" s="32">
        <f>IFERROR(__xludf.DUMMYFUNCTION("$D749 - IFERROR(FILTER($D:$D,$C:$C = $C749, $A:$A = $A749, $B:$B = $B749 - 1),0)"),0.0)</f>
        <v>0</v>
      </c>
      <c r="W749" s="93">
        <f>IFERROR(__xludf.DUMMYFUNCTION("$E749 - IFERROR(FILTER($E:$E,$C:$C = $C749, $A:$A = $A749, $B:$B = $B749 - 1),0)"),0.0)</f>
        <v>0</v>
      </c>
      <c r="X749" s="93"/>
      <c r="Y749" s="93"/>
      <c r="Z749" s="93">
        <v>0.0</v>
      </c>
      <c r="AA749" s="93">
        <v>0.0</v>
      </c>
      <c r="AB749" s="93">
        <v>0.0</v>
      </c>
      <c r="AC749" s="93"/>
      <c r="AD749" s="93">
        <v>0.0</v>
      </c>
      <c r="AE749" s="32">
        <f t="shared" si="2"/>
        <v>-5000</v>
      </c>
      <c r="AF749" s="93">
        <v>0.0</v>
      </c>
    </row>
    <row r="750">
      <c r="A750" s="86">
        <v>2017.0</v>
      </c>
      <c r="B750" s="87">
        <v>10.0</v>
      </c>
      <c r="C750" s="88" t="s">
        <v>43</v>
      </c>
      <c r="D750" s="32"/>
      <c r="E750" s="93">
        <v>-1600.0</v>
      </c>
      <c r="F750" s="32"/>
      <c r="G750" s="93">
        <v>-588.2</v>
      </c>
      <c r="H750" s="93">
        <v>2346.08</v>
      </c>
      <c r="I750" s="32"/>
      <c r="J750" s="93">
        <v>12765.53</v>
      </c>
      <c r="K750" s="32"/>
      <c r="L750" s="32"/>
      <c r="M750" s="32"/>
      <c r="N750" s="32"/>
      <c r="O750" s="93">
        <v>123780.0</v>
      </c>
      <c r="P750" s="91">
        <f>IFERROR(__xludf.DUMMYFUNCTION("IFERROR(sum(FILTER($D:$N,$C:$C = $C750,$A:$A &lt; $A750,$B:$B = 12)),0) + sum($D750:$N750)"),123779.62000000002)</f>
        <v>123779.62</v>
      </c>
      <c r="Q750" s="92">
        <f t="shared" si="1"/>
        <v>0.38</v>
      </c>
      <c r="R750" s="91">
        <f t="array" ref="R750">IFERROR(INDEX('Fund YTD Target Values'!$1:$1000, MATCH($C750,'Fund YTD Target Values'!$A:$A,0), MATCH($A750,'Fund YTD Target Values'!$1:$1,0)),0)</f>
        <v>127580.7013</v>
      </c>
      <c r="S750" s="91">
        <f>IFERROR(__xludf.DUMMYFUNCTION("IFERROR(sum(FILTER('Fund Investment Data'!$V:$V, 'Fund Investment Data'!$C:$C = $C750, 'Fund Investment Data'!$A:$A &lt; $A750)),0) + IFERROR(sum(FILTER('Fund Investment Data'!$V:$V, 'Fund Investment Data'!$C:$C = $C750, 'Fund Investment Data'!$A:$A = $A750,"&amp;" 'Fund Investment Data'!$B:$B &lt;= $B750)),0)"),100000.0)</f>
        <v>100000</v>
      </c>
      <c r="T750" s="93">
        <v>100000.0</v>
      </c>
      <c r="U750" s="32">
        <f t="shared" si="3"/>
        <v>0</v>
      </c>
      <c r="V750" s="32">
        <f>IFERROR(__xludf.DUMMYFUNCTION("$D750 - IFERROR(FILTER($D:$D,$C:$C = $C750, $A:$A = $A750, $B:$B = $B750 - 1),0)"),0.0)</f>
        <v>0</v>
      </c>
      <c r="W750" s="93">
        <f>IFERROR(__xludf.DUMMYFUNCTION("$E750 - IFERROR(FILTER($E:$E,$C:$C = $C750, $A:$A = $A750, $B:$B = $B750 - 1),0)"),0.0)</f>
        <v>0</v>
      </c>
      <c r="X750" s="93"/>
      <c r="Y750" s="93"/>
      <c r="Z750" s="93">
        <v>0.0</v>
      </c>
      <c r="AA750" s="93">
        <v>0.0</v>
      </c>
      <c r="AB750" s="93">
        <v>0.0</v>
      </c>
      <c r="AC750" s="93"/>
      <c r="AD750" s="93">
        <v>0.0</v>
      </c>
      <c r="AE750" s="32">
        <f t="shared" si="2"/>
        <v>-1600</v>
      </c>
      <c r="AF750" s="93">
        <v>0.0</v>
      </c>
    </row>
    <row r="751">
      <c r="A751" s="86">
        <v>2017.0</v>
      </c>
      <c r="B751" s="87">
        <v>10.0</v>
      </c>
      <c r="C751" s="88" t="s">
        <v>52</v>
      </c>
      <c r="D751" s="93">
        <v>2500.0</v>
      </c>
      <c r="E751" s="93">
        <v>-16500.0</v>
      </c>
      <c r="F751" s="32"/>
      <c r="G751" s="93">
        <v>-5721.24</v>
      </c>
      <c r="H751" s="93">
        <v>21572.66</v>
      </c>
      <c r="I751" s="32"/>
      <c r="J751" s="93">
        <v>117225.45</v>
      </c>
      <c r="K751" s="32"/>
      <c r="L751" s="32"/>
      <c r="M751" s="32"/>
      <c r="N751" s="32"/>
      <c r="O751" s="93">
        <v>1143925.0</v>
      </c>
      <c r="P751" s="91">
        <f>IFERROR(__xludf.DUMMYFUNCTION("IFERROR(sum(FILTER($D:$N,$C:$C = $C751,$A:$A &lt; $A751,$B:$B = 12)),0) + sum($D751:$N751)"),1143924.81)</f>
        <v>1143924.81</v>
      </c>
      <c r="Q751" s="92">
        <f t="shared" si="1"/>
        <v>0.1899999999</v>
      </c>
      <c r="R751" s="91">
        <f t="array" ref="R751">IFERROR(INDEX('Fund YTD Target Values'!$1:$1000, MATCH($C751,'Fund YTD Target Values'!$A:$A,0), MATCH($A751,'Fund YTD Target Values'!$1:$1,0)),0)</f>
        <v>1048370.982</v>
      </c>
      <c r="S751" s="91">
        <f>IFERROR(__xludf.DUMMYFUNCTION("IFERROR(sum(FILTER('Fund Investment Data'!$V:$V, 'Fund Investment Data'!$C:$C = $C751, 'Fund Investment Data'!$A:$A &lt; $A751)),0) + IFERROR(sum(FILTER('Fund Investment Data'!$V:$V, 'Fund Investment Data'!$C:$C = $C751, 'Fund Investment Data'!$A:$A = $A751,"&amp;" 'Fund Investment Data'!$B:$B &lt;= $B751)),0)"),1004136.0)</f>
        <v>1004136</v>
      </c>
      <c r="T751" s="93">
        <v>1004449.0</v>
      </c>
      <c r="U751" s="32">
        <f t="shared" si="3"/>
        <v>-313</v>
      </c>
      <c r="V751" s="32">
        <f>IFERROR(__xludf.DUMMYFUNCTION("$D751 - IFERROR(FILTER($D:$D,$C:$C = $C751, $A:$A = $A751, $B:$B = $B751 - 1),0)"),0.0)</f>
        <v>0</v>
      </c>
      <c r="W751" s="93">
        <f>IFERROR(__xludf.DUMMYFUNCTION("$E751 - IFERROR(FILTER($E:$E,$C:$C = $C751, $A:$A = $A751, $B:$B = $B751 - 1),0)"),0.0)</f>
        <v>0</v>
      </c>
      <c r="X751" s="93"/>
      <c r="Y751" s="93"/>
      <c r="Z751" s="93">
        <v>0.0</v>
      </c>
      <c r="AA751" s="93">
        <v>0.0</v>
      </c>
      <c r="AB751" s="93">
        <v>0.0</v>
      </c>
      <c r="AC751" s="93"/>
      <c r="AD751" s="93">
        <v>0.0</v>
      </c>
      <c r="AE751" s="32">
        <f t="shared" si="2"/>
        <v>-16500</v>
      </c>
      <c r="AF751" s="93">
        <v>0.0</v>
      </c>
    </row>
    <row r="752">
      <c r="A752" s="86">
        <v>2017.0</v>
      </c>
      <c r="B752" s="87">
        <v>10.0</v>
      </c>
      <c r="C752" s="88" t="s">
        <v>33</v>
      </c>
      <c r="D752" s="32"/>
      <c r="E752" s="93">
        <v>-15000.0</v>
      </c>
      <c r="F752" s="32"/>
      <c r="G752" s="93">
        <v>-1834.67</v>
      </c>
      <c r="H752" s="93">
        <v>7318.0</v>
      </c>
      <c r="I752" s="93">
        <v>2891.51</v>
      </c>
      <c r="J752" s="93">
        <v>36925.46</v>
      </c>
      <c r="K752" s="32"/>
      <c r="L752" s="32"/>
      <c r="M752" s="32"/>
      <c r="N752" s="32"/>
      <c r="O752" s="93">
        <v>376085.0</v>
      </c>
      <c r="P752" s="91">
        <f>IFERROR(__xludf.DUMMYFUNCTION("IFERROR(sum(FILTER($D:$N,$C:$C = $C752,$A:$A &lt; $A752,$B:$B = 12)),0) + sum($D752:$N752)"),376085.2699999997)</f>
        <v>376085.27</v>
      </c>
      <c r="Q752" s="92">
        <f t="shared" si="1"/>
        <v>-0.2699999997</v>
      </c>
      <c r="R752" s="91">
        <f t="array" ref="R752">IFERROR(INDEX('Fund YTD Target Values'!$1:$1000, MATCH($C752,'Fund YTD Target Values'!$A:$A,0), MATCH($A752,'Fund YTD Target Values'!$1:$1,0)),0)</f>
        <v>500698.0917</v>
      </c>
      <c r="S752" s="91">
        <f>IFERROR(__xludf.DUMMYFUNCTION("IFERROR(sum(FILTER('Fund Investment Data'!$V:$V, 'Fund Investment Data'!$C:$C = $C752, 'Fund Investment Data'!$A:$A &lt; $A752)),0) + IFERROR(sum(FILTER('Fund Investment Data'!$V:$V, 'Fund Investment Data'!$C:$C = $C752, 'Fund Investment Data'!$A:$A = $A752,"&amp;" 'Fund Investment Data'!$B:$B &lt;= $B752)),0)"),325871.6399999999)</f>
        <v>325871.64</v>
      </c>
      <c r="T752" s="93">
        <v>326032.0</v>
      </c>
      <c r="U752" s="32">
        <f t="shared" si="3"/>
        <v>-160.36</v>
      </c>
      <c r="V752" s="32">
        <f>IFERROR(__xludf.DUMMYFUNCTION("$D752 - IFERROR(FILTER($D:$D,$C:$C = $C752, $A:$A = $A752, $B:$B = $B752 - 1),0)"),0.0)</f>
        <v>0</v>
      </c>
      <c r="W752" s="93">
        <f>IFERROR(__xludf.DUMMYFUNCTION("$E752 - IFERROR(FILTER($E:$E,$C:$C = $C752, $A:$A = $A752, $B:$B = $B752 - 1),0)"),-10000.0)</f>
        <v>-10000</v>
      </c>
      <c r="X752" s="93"/>
      <c r="Y752" s="93"/>
      <c r="Z752" s="93">
        <v>0.0</v>
      </c>
      <c r="AA752" s="93">
        <v>0.0</v>
      </c>
      <c r="AB752" s="93">
        <v>0.0</v>
      </c>
      <c r="AC752" s="93"/>
      <c r="AD752" s="93">
        <v>0.0</v>
      </c>
      <c r="AE752" s="32">
        <f t="shared" si="2"/>
        <v>-15000</v>
      </c>
      <c r="AF752" s="93">
        <v>0.0</v>
      </c>
    </row>
    <row r="753">
      <c r="A753" s="86">
        <v>2017.0</v>
      </c>
      <c r="B753" s="87">
        <v>10.0</v>
      </c>
      <c r="C753" s="88" t="s">
        <v>53</v>
      </c>
      <c r="D753" s="32"/>
      <c r="E753" s="93">
        <v>-37700.0</v>
      </c>
      <c r="F753" s="32"/>
      <c r="G753" s="93">
        <v>-10739.92</v>
      </c>
      <c r="H753" s="93">
        <v>42984.66</v>
      </c>
      <c r="I753" s="93">
        <v>627.62</v>
      </c>
      <c r="J753" s="93">
        <v>233432.22</v>
      </c>
      <c r="K753" s="32"/>
      <c r="L753" s="32"/>
      <c r="M753" s="32"/>
      <c r="N753" s="32"/>
      <c r="O753" s="93">
        <v>2262518.0</v>
      </c>
      <c r="P753" s="91">
        <f>IFERROR(__xludf.DUMMYFUNCTION("IFERROR(sum(FILTER($D:$N,$C:$C = $C753,$A:$A &lt; $A753,$B:$B = 12)),0) + sum($D753:$N753)"),2262517.86)</f>
        <v>2262517.86</v>
      </c>
      <c r="Q753" s="92">
        <f t="shared" si="1"/>
        <v>0.1400000001</v>
      </c>
      <c r="R753" s="91">
        <f t="array" ref="R753">IFERROR(INDEX('Fund YTD Target Values'!$1:$1000, MATCH($C753,'Fund YTD Target Values'!$A:$A,0), MATCH($A753,'Fund YTD Target Values'!$1:$1,0)),0)</f>
        <v>2171706.82</v>
      </c>
      <c r="S753" s="91">
        <f>IFERROR(__xludf.DUMMYFUNCTION("IFERROR(sum(FILTER('Fund Investment Data'!$V:$V, 'Fund Investment Data'!$C:$C = $C753, 'Fund Investment Data'!$A:$A &lt; $A753)),0) + IFERROR(sum(FILTER('Fund Investment Data'!$V:$V, 'Fund Investment Data'!$C:$C = $C753, 'Fund Investment Data'!$A:$A = $A753,"&amp;" 'Fund Investment Data'!$B:$B &lt;= $B753)),0)"),2005500.0)</f>
        <v>2005500</v>
      </c>
      <c r="T753" s="93">
        <v>2005500.0</v>
      </c>
      <c r="U753" s="32">
        <f t="shared" si="3"/>
        <v>0</v>
      </c>
      <c r="V753" s="32">
        <f>IFERROR(__xludf.DUMMYFUNCTION("$D753 - IFERROR(FILTER($D:$D,$C:$C = $C753, $A:$A = $A753, $B:$B = $B753 - 1),0)"),0.0)</f>
        <v>0</v>
      </c>
      <c r="W753" s="93">
        <f>IFERROR(__xludf.DUMMYFUNCTION("$E753 - IFERROR(FILTER($E:$E,$C:$C = $C753, $A:$A = $A753, $B:$B = $B753 - 1),0)"),0.0)</f>
        <v>0</v>
      </c>
      <c r="X753" s="93"/>
      <c r="Y753" s="93"/>
      <c r="Z753" s="93">
        <v>0.0</v>
      </c>
      <c r="AA753" s="93">
        <v>0.0</v>
      </c>
      <c r="AB753" s="93">
        <v>0.0</v>
      </c>
      <c r="AC753" s="93"/>
      <c r="AD753" s="93">
        <v>0.0</v>
      </c>
      <c r="AE753" s="32">
        <f t="shared" si="2"/>
        <v>-37700</v>
      </c>
      <c r="AF753" s="93">
        <v>0.0</v>
      </c>
    </row>
    <row r="754">
      <c r="A754" s="86">
        <v>2017.0</v>
      </c>
      <c r="B754" s="87">
        <v>10.0</v>
      </c>
      <c r="C754" s="88" t="s">
        <v>34</v>
      </c>
      <c r="D754" s="93">
        <v>5000.0</v>
      </c>
      <c r="E754" s="93">
        <v>-5000.0</v>
      </c>
      <c r="F754" s="32"/>
      <c r="G754" s="93">
        <v>-680.6</v>
      </c>
      <c r="H754" s="93">
        <v>2643.63</v>
      </c>
      <c r="I754" s="32"/>
      <c r="J754" s="93">
        <v>14246.29</v>
      </c>
      <c r="K754" s="32"/>
      <c r="L754" s="32"/>
      <c r="M754" s="32"/>
      <c r="N754" s="32"/>
      <c r="O754" s="93">
        <v>141906.0</v>
      </c>
      <c r="P754" s="91">
        <f>IFERROR(__xludf.DUMMYFUNCTION("IFERROR(sum(FILTER($D:$N,$C:$C = $C754,$A:$A &lt; $A754,$B:$B = 12)),0) + sum($D754:$N754)"),141905.83)</f>
        <v>141905.83</v>
      </c>
      <c r="Q754" s="92">
        <f t="shared" si="1"/>
        <v>0.17</v>
      </c>
      <c r="R754" s="91">
        <f t="array" ref="R754">IFERROR(INDEX('Fund YTD Target Values'!$1:$1000, MATCH($C754,'Fund YTD Target Values'!$A:$A,0), MATCH($A754,'Fund YTD Target Values'!$1:$1,0)),0)</f>
        <v>127220.0742</v>
      </c>
      <c r="S754" s="91">
        <f>IFERROR(__xludf.DUMMYFUNCTION("IFERROR(sum(FILTER('Fund Investment Data'!$V:$V, 'Fund Investment Data'!$C:$C = $C754, 'Fund Investment Data'!$A:$A &lt; $A754)),0) + IFERROR(sum(FILTER('Fund Investment Data'!$V:$V, 'Fund Investment Data'!$C:$C = $C754, 'Fund Investment Data'!$A:$A = $A754,"&amp;" 'Fund Investment Data'!$B:$B &lt;= $B754)),0)"),120000.0)</f>
        <v>120000</v>
      </c>
      <c r="T754" s="93">
        <v>121567.0</v>
      </c>
      <c r="U754" s="32">
        <f t="shared" si="3"/>
        <v>-1567</v>
      </c>
      <c r="V754" s="32">
        <f>IFERROR(__xludf.DUMMYFUNCTION("$D754 - IFERROR(FILTER($D:$D,$C:$C = $C754, $A:$A = $A754, $B:$B = $B754 - 1),0)"),0.0)</f>
        <v>0</v>
      </c>
      <c r="W754" s="93">
        <f>IFERROR(__xludf.DUMMYFUNCTION("$E754 - IFERROR(FILTER($E:$E,$C:$C = $C754, $A:$A = $A754, $B:$B = $B754 - 1),0)"),0.0)</f>
        <v>0</v>
      </c>
      <c r="X754" s="93"/>
      <c r="Y754" s="93"/>
      <c r="Z754" s="93">
        <v>0.0</v>
      </c>
      <c r="AA754" s="93">
        <v>0.0</v>
      </c>
      <c r="AB754" s="93">
        <v>0.0</v>
      </c>
      <c r="AC754" s="93"/>
      <c r="AD754" s="93">
        <v>0.0</v>
      </c>
      <c r="AE754" s="32">
        <f t="shared" si="2"/>
        <v>-5000</v>
      </c>
      <c r="AF754" s="93">
        <v>0.0</v>
      </c>
    </row>
    <row r="755">
      <c r="A755" s="86">
        <v>2017.0</v>
      </c>
      <c r="B755" s="87">
        <v>10.0</v>
      </c>
      <c r="C755" s="88" t="s">
        <v>54</v>
      </c>
      <c r="D755" s="93">
        <v>1087.0</v>
      </c>
      <c r="E755" s="32"/>
      <c r="F755" s="32"/>
      <c r="G755" s="93">
        <v>-801.26</v>
      </c>
      <c r="H755" s="93">
        <v>3055.46</v>
      </c>
      <c r="I755" s="32"/>
      <c r="J755" s="93">
        <v>16357.27</v>
      </c>
      <c r="K755" s="32"/>
      <c r="L755" s="32"/>
      <c r="M755" s="32"/>
      <c r="N755" s="32"/>
      <c r="O755" s="93">
        <v>170153.0</v>
      </c>
      <c r="P755" s="91">
        <f>IFERROR(__xludf.DUMMYFUNCTION("IFERROR(sum(FILTER($D:$N,$C:$C = $C755,$A:$A &lt; $A755,$B:$B = 12)),0) + sum($D755:$N755)"),170153.57999999996)</f>
        <v>170153.58</v>
      </c>
      <c r="Q755" s="92">
        <f t="shared" si="1"/>
        <v>-0.58</v>
      </c>
      <c r="R755" s="91">
        <f t="array" ref="R755">IFERROR(INDEX('Fund YTD Target Values'!$1:$1000, MATCH($C755,'Fund YTD Target Values'!$A:$A,0), MATCH($A755,'Fund YTD Target Values'!$1:$1,0)),0)</f>
        <v>151442.9959</v>
      </c>
      <c r="S755" s="91">
        <f>IFERROR(__xludf.DUMMYFUNCTION("IFERROR(sum(FILTER('Fund Investment Data'!$V:$V, 'Fund Investment Data'!$C:$C = $C755, 'Fund Investment Data'!$A:$A &lt; $A755)),0) + IFERROR(sum(FILTER('Fund Investment Data'!$V:$V, 'Fund Investment Data'!$C:$C = $C755, 'Fund Investment Data'!$A:$A = $A755,"&amp;" 'Fund Investment Data'!$B:$B &lt;= $B755)),0)"),112432.10999999999)</f>
        <v>112432.11</v>
      </c>
      <c r="T755" s="93">
        <v>108517.0</v>
      </c>
      <c r="U755" s="32">
        <f t="shared" si="3"/>
        <v>3915.11</v>
      </c>
      <c r="V755" s="32">
        <f>IFERROR(__xludf.DUMMYFUNCTION("$D755 - IFERROR(FILTER($D:$D,$C:$C = $C755, $A:$A = $A755, $B:$B = $B755 - 1),0)"),0.0)</f>
        <v>0</v>
      </c>
      <c r="W755" s="93">
        <f>IFERROR(__xludf.DUMMYFUNCTION("$E755 - IFERROR(FILTER($E:$E,$C:$C = $C755, $A:$A = $A755, $B:$B = $B755 - 1),0)"),0.0)</f>
        <v>0</v>
      </c>
      <c r="X755" s="93"/>
      <c r="Y755" s="93"/>
      <c r="Z755" s="93">
        <v>0.0</v>
      </c>
      <c r="AA755" s="93">
        <v>0.0</v>
      </c>
      <c r="AB755" s="93">
        <v>0.0</v>
      </c>
      <c r="AC755" s="93"/>
      <c r="AD755" s="93">
        <v>0.0</v>
      </c>
      <c r="AE755" s="32">
        <f t="shared" si="2"/>
        <v>0</v>
      </c>
      <c r="AF755" s="93">
        <v>0.0</v>
      </c>
    </row>
    <row r="756">
      <c r="A756" s="86">
        <v>2017.0</v>
      </c>
      <c r="B756" s="87">
        <v>10.0</v>
      </c>
      <c r="C756" s="88" t="s">
        <v>55</v>
      </c>
      <c r="D756" s="93">
        <v>70000.0</v>
      </c>
      <c r="E756" s="32"/>
      <c r="F756" s="32"/>
      <c r="G756" s="93">
        <v>-998.52</v>
      </c>
      <c r="H756" s="93">
        <v>2224.77</v>
      </c>
      <c r="I756" s="32"/>
      <c r="J756" s="93">
        <v>13387.6</v>
      </c>
      <c r="K756" s="32"/>
      <c r="L756" s="32"/>
      <c r="M756" s="32"/>
      <c r="N756" s="32"/>
      <c r="O756" s="93">
        <v>226489.0</v>
      </c>
      <c r="P756" s="91">
        <f>IFERROR(__xludf.DUMMYFUNCTION("IFERROR(sum(FILTER($D:$N,$C:$C = $C756,$A:$A &lt; $A756,$B:$B = 12)),0) + sum($D756:$N756)"),226489.13999999998)</f>
        <v>226489.14</v>
      </c>
      <c r="Q756" s="92">
        <f t="shared" si="1"/>
        <v>-0.14</v>
      </c>
      <c r="R756" s="91">
        <f t="array" ref="R756">IFERROR(INDEX('Fund YTD Target Values'!$1:$1000, MATCH($C756,'Fund YTD Target Values'!$A:$A,0), MATCH($A756,'Fund YTD Target Values'!$1:$1,0)),0)</f>
        <v>213886.3799</v>
      </c>
      <c r="S756" s="91">
        <f>IFERROR(__xludf.DUMMYFUNCTION("IFERROR(sum(FILTER('Fund Investment Data'!$V:$V, 'Fund Investment Data'!$C:$C = $C756, 'Fund Investment Data'!$A:$A &lt; $A756)),0) + IFERROR(sum(FILTER('Fund Investment Data'!$V:$V, 'Fund Investment Data'!$C:$C = $C756, 'Fund Investment Data'!$A:$A = $A756,"&amp;" 'Fund Investment Data'!$B:$B &lt;= $B756)),0)"),210000.0)</f>
        <v>210000</v>
      </c>
      <c r="T756" s="93">
        <v>200469.0</v>
      </c>
      <c r="U756" s="32">
        <f t="shared" si="3"/>
        <v>9531</v>
      </c>
      <c r="V756" s="32">
        <f>IFERROR(__xludf.DUMMYFUNCTION("$D756 - IFERROR(FILTER($D:$D,$C:$C = $C756, $A:$A = $A756, $B:$B = $B756 - 1),0)"),70000.0)</f>
        <v>70000</v>
      </c>
      <c r="W756" s="93">
        <f>IFERROR(__xludf.DUMMYFUNCTION("$E756 - IFERROR(FILTER($E:$E,$C:$C = $C756, $A:$A = $A756, $B:$B = $B756 - 1),0)"),0.0)</f>
        <v>0</v>
      </c>
      <c r="X756" s="93"/>
      <c r="Y756" s="93"/>
      <c r="Z756" s="93">
        <v>0.0</v>
      </c>
      <c r="AA756" s="93">
        <v>0.0</v>
      </c>
      <c r="AB756" s="93">
        <v>0.0</v>
      </c>
      <c r="AC756" s="93"/>
      <c r="AD756" s="93">
        <v>0.0</v>
      </c>
      <c r="AE756" s="32">
        <f t="shared" si="2"/>
        <v>0</v>
      </c>
      <c r="AF756" s="93">
        <v>0.0</v>
      </c>
    </row>
    <row r="757">
      <c r="A757" s="86">
        <v>2017.0</v>
      </c>
      <c r="B757" s="87">
        <v>10.0</v>
      </c>
      <c r="C757" s="88" t="s">
        <v>44</v>
      </c>
      <c r="D757" s="32"/>
      <c r="E757" s="93">
        <v>-4200.0</v>
      </c>
      <c r="F757" s="32"/>
      <c r="G757" s="93">
        <v>-1416.1</v>
      </c>
      <c r="H757" s="93">
        <v>5648.66</v>
      </c>
      <c r="I757" s="32"/>
      <c r="J757" s="93">
        <v>30729.18</v>
      </c>
      <c r="K757" s="32"/>
      <c r="L757" s="32"/>
      <c r="M757" s="32"/>
      <c r="N757" s="32"/>
      <c r="O757" s="93">
        <v>297612.0</v>
      </c>
      <c r="P757" s="91">
        <f>IFERROR(__xludf.DUMMYFUNCTION("IFERROR(sum(FILTER($D:$N,$C:$C = $C757,$A:$A &lt; $A757,$B:$B = 12)),0) + sum($D757:$N757)"),297612.89000000013)</f>
        <v>297612.89</v>
      </c>
      <c r="Q757" s="92">
        <f t="shared" si="1"/>
        <v>-0.8900000001</v>
      </c>
      <c r="R757" s="91">
        <f t="array" ref="R757">IFERROR(INDEX('Fund YTD Target Values'!$1:$1000, MATCH($C757,'Fund YTD Target Values'!$A:$A,0), MATCH($A757,'Fund YTD Target Values'!$1:$1,0)),0)</f>
        <v>313918.5223</v>
      </c>
      <c r="S757" s="91">
        <f>IFERROR(__xludf.DUMMYFUNCTION("IFERROR(sum(FILTER('Fund Investment Data'!$V:$V, 'Fund Investment Data'!$C:$C = $C757, 'Fund Investment Data'!$A:$A &lt; $A757)),0) + IFERROR(sum(FILTER('Fund Investment Data'!$V:$V, 'Fund Investment Data'!$C:$C = $C757, 'Fund Investment Data'!$A:$A = $A757,"&amp;" 'Fund Investment Data'!$B:$B &lt;= $B757)),0)"),250000.0)</f>
        <v>250000</v>
      </c>
      <c r="T757" s="93">
        <v>250000.0</v>
      </c>
      <c r="U757" s="32">
        <f t="shared" si="3"/>
        <v>0</v>
      </c>
      <c r="V757" s="32">
        <f>IFERROR(__xludf.DUMMYFUNCTION("$D757 - IFERROR(FILTER($D:$D,$C:$C = $C757, $A:$A = $A757, $B:$B = $B757 - 1),0)"),0.0)</f>
        <v>0</v>
      </c>
      <c r="W757" s="93">
        <f>IFERROR(__xludf.DUMMYFUNCTION("$E757 - IFERROR(FILTER($E:$E,$C:$C = $C757, $A:$A = $A757, $B:$B = $B757 - 1),0)"),0.0)</f>
        <v>0</v>
      </c>
      <c r="X757" s="93"/>
      <c r="Y757" s="93"/>
      <c r="Z757" s="93">
        <v>0.0</v>
      </c>
      <c r="AA757" s="93">
        <v>0.0</v>
      </c>
      <c r="AB757" s="93">
        <v>0.0</v>
      </c>
      <c r="AC757" s="93"/>
      <c r="AD757" s="93">
        <v>0.0</v>
      </c>
      <c r="AE757" s="32">
        <f t="shared" si="2"/>
        <v>-4200</v>
      </c>
      <c r="AF757" s="93">
        <v>0.0</v>
      </c>
    </row>
    <row r="758">
      <c r="A758" s="86">
        <v>2017.0</v>
      </c>
      <c r="B758" s="87">
        <v>10.0</v>
      </c>
      <c r="C758" s="88" t="s">
        <v>45</v>
      </c>
      <c r="D758" s="32"/>
      <c r="E758" s="93">
        <v>-5000.0</v>
      </c>
      <c r="F758" s="32"/>
      <c r="G758" s="93">
        <v>-706.18</v>
      </c>
      <c r="H758" s="93">
        <v>2758.45</v>
      </c>
      <c r="I758" s="32"/>
      <c r="J758" s="93">
        <v>14912.88</v>
      </c>
      <c r="K758" s="32"/>
      <c r="L758" s="32"/>
      <c r="M758" s="32"/>
      <c r="N758" s="32"/>
      <c r="O758" s="93">
        <v>145910.0</v>
      </c>
      <c r="P758" s="91">
        <f>IFERROR(__xludf.DUMMYFUNCTION("IFERROR(sum(FILTER($D:$N,$C:$C = $C758,$A:$A &lt; $A758,$B:$B = 12)),0) + sum($D758:$N758)"),145909.97999999998)</f>
        <v>145909.98</v>
      </c>
      <c r="Q758" s="92">
        <f t="shared" si="1"/>
        <v>0.02000000002</v>
      </c>
      <c r="R758" s="91">
        <f t="array" ref="R758">IFERROR(INDEX('Fund YTD Target Values'!$1:$1000, MATCH($C758,'Fund YTD Target Values'!$A:$A,0), MATCH($A758,'Fund YTD Target Values'!$1:$1,0)),0)</f>
        <v>118351.1878</v>
      </c>
      <c r="S758" s="91">
        <f>IFERROR(__xludf.DUMMYFUNCTION("IFERROR(sum(FILTER('Fund Investment Data'!$V:$V, 'Fund Investment Data'!$C:$C = $C758, 'Fund Investment Data'!$A:$A &lt; $A758)),0) + IFERROR(sum(FILTER('Fund Investment Data'!$V:$V, 'Fund Investment Data'!$C:$C = $C758, 'Fund Investment Data'!$A:$A = $A758,"&amp;" 'Fund Investment Data'!$B:$B &lt;= $B758)),0)"),100000.0)</f>
        <v>100000</v>
      </c>
      <c r="T758" s="93">
        <v>100000.0</v>
      </c>
      <c r="U758" s="32">
        <f t="shared" si="3"/>
        <v>0</v>
      </c>
      <c r="V758" s="32">
        <f>IFERROR(__xludf.DUMMYFUNCTION("$D758 - IFERROR(FILTER($D:$D,$C:$C = $C758, $A:$A = $A758, $B:$B = $B758 - 1),0)"),0.0)</f>
        <v>0</v>
      </c>
      <c r="W758" s="93">
        <f>IFERROR(__xludf.DUMMYFUNCTION("$E758 - IFERROR(FILTER($E:$E,$C:$C = $C758, $A:$A = $A758, $B:$B = $B758 - 1),0)"),0.0)</f>
        <v>0</v>
      </c>
      <c r="X758" s="93"/>
      <c r="Y758" s="93"/>
      <c r="Z758" s="93">
        <v>0.0</v>
      </c>
      <c r="AA758" s="93">
        <v>0.0</v>
      </c>
      <c r="AB758" s="93">
        <v>0.0</v>
      </c>
      <c r="AC758" s="93"/>
      <c r="AD758" s="93">
        <v>0.0</v>
      </c>
      <c r="AE758" s="32">
        <f t="shared" si="2"/>
        <v>-5000</v>
      </c>
      <c r="AF758" s="93">
        <v>0.0</v>
      </c>
    </row>
    <row r="759">
      <c r="A759" s="86">
        <v>2017.0</v>
      </c>
      <c r="B759" s="87">
        <v>10.0</v>
      </c>
      <c r="C759" s="88" t="s">
        <v>35</v>
      </c>
      <c r="D759" s="32"/>
      <c r="E759" s="93">
        <v>-46700.0</v>
      </c>
      <c r="F759" s="32"/>
      <c r="G759" s="93">
        <v>-7075.61</v>
      </c>
      <c r="H759" s="93">
        <v>28323.43</v>
      </c>
      <c r="I759" s="93">
        <v>7636.91</v>
      </c>
      <c r="J759" s="93">
        <v>146569.31</v>
      </c>
      <c r="K759" s="32"/>
      <c r="L759" s="32"/>
      <c r="M759" s="32"/>
      <c r="N759" s="32"/>
      <c r="O759" s="93">
        <v>1469612.0</v>
      </c>
      <c r="P759" s="91">
        <f>IFERROR(__xludf.DUMMYFUNCTION("IFERROR(sum(FILTER($D:$N,$C:$C = $C759,$A:$A &lt; $A759,$B:$B = 12)),0) + sum($D759:$N759)"),1469611.7100000004)</f>
        <v>1469611.71</v>
      </c>
      <c r="Q759" s="92">
        <f t="shared" si="1"/>
        <v>0.2899999996</v>
      </c>
      <c r="R759" s="91">
        <f t="array" ref="R759">IFERROR(INDEX('Fund YTD Target Values'!$1:$1000, MATCH($C759,'Fund YTD Target Values'!$A:$A,0), MATCH($A759,'Fund YTD Target Values'!$1:$1,0)),0)</f>
        <v>1541591.16</v>
      </c>
      <c r="S759" s="91">
        <f>IFERROR(__xludf.DUMMYFUNCTION("IFERROR(sum(FILTER('Fund Investment Data'!$V:$V, 'Fund Investment Data'!$C:$C = $C759, 'Fund Investment Data'!$A:$A &lt; $A759)),0) + IFERROR(sum(FILTER('Fund Investment Data'!$V:$V, 'Fund Investment Data'!$C:$C = $C759, 'Fund Investment Data'!$A:$A = $A759,"&amp;" 'Fund Investment Data'!$B:$B &lt;= $B759)),0)"),1086625.0)</f>
        <v>1086625</v>
      </c>
      <c r="T759" s="93">
        <v>1071625.0</v>
      </c>
      <c r="U759" s="32">
        <f t="shared" si="3"/>
        <v>15000</v>
      </c>
      <c r="V759" s="32">
        <f>IFERROR(__xludf.DUMMYFUNCTION("$D759 - IFERROR(FILTER($D:$D,$C:$C = $C759, $A:$A = $A759, $B:$B = $B759 - 1),0)"),0.0)</f>
        <v>0</v>
      </c>
      <c r="W759" s="93">
        <f>IFERROR(__xludf.DUMMYFUNCTION("$E759 - IFERROR(FILTER($E:$E,$C:$C = $C759, $A:$A = $A759, $B:$B = $B759 - 1),0)"),-20000.0)</f>
        <v>-20000</v>
      </c>
      <c r="X759" s="93"/>
      <c r="Y759" s="93"/>
      <c r="Z759" s="93">
        <v>0.0</v>
      </c>
      <c r="AA759" s="93">
        <v>0.0</v>
      </c>
      <c r="AB759" s="93">
        <v>0.0</v>
      </c>
      <c r="AC759" s="93"/>
      <c r="AD759" s="93">
        <v>0.0</v>
      </c>
      <c r="AE759" s="32">
        <f t="shared" si="2"/>
        <v>-46700</v>
      </c>
      <c r="AF759" s="93">
        <v>0.0</v>
      </c>
    </row>
    <row r="760">
      <c r="A760" s="86">
        <v>2017.0</v>
      </c>
      <c r="B760" s="87">
        <v>10.0</v>
      </c>
      <c r="C760" s="88" t="s">
        <v>56</v>
      </c>
      <c r="D760" s="32"/>
      <c r="E760" s="93">
        <v>-12000.0</v>
      </c>
      <c r="F760" s="32"/>
      <c r="G760" s="93">
        <v>-5296.02</v>
      </c>
      <c r="H760" s="93">
        <v>20633.74</v>
      </c>
      <c r="I760" s="32"/>
      <c r="J760" s="93">
        <v>111305.35</v>
      </c>
      <c r="K760" s="32"/>
      <c r="L760" s="32"/>
      <c r="M760" s="32"/>
      <c r="N760" s="32"/>
      <c r="O760" s="93">
        <v>1114362.0</v>
      </c>
      <c r="P760" s="91">
        <f>IFERROR(__xludf.DUMMYFUNCTION("IFERROR(sum(FILTER($D:$N,$C:$C = $C760,$A:$A &lt; $A760,$B:$B = 12)),0) + sum($D760:$N760)"),1114361.69)</f>
        <v>1114361.69</v>
      </c>
      <c r="Q760" s="92">
        <f t="shared" si="1"/>
        <v>0.3100000001</v>
      </c>
      <c r="R760" s="91">
        <f t="array" ref="R760">IFERROR(INDEX('Fund YTD Target Values'!$1:$1000, MATCH($C760,'Fund YTD Target Values'!$A:$A,0), MATCH($A760,'Fund YTD Target Values'!$1:$1,0)),0)</f>
        <v>1035433.228</v>
      </c>
      <c r="S760" s="91">
        <f>IFERROR(__xludf.DUMMYFUNCTION("IFERROR(sum(FILTER('Fund Investment Data'!$V:$V, 'Fund Investment Data'!$C:$C = $C760, 'Fund Investment Data'!$A:$A &lt; $A760)),0) + IFERROR(sum(FILTER('Fund Investment Data'!$V:$V, 'Fund Investment Data'!$C:$C = $C760, 'Fund Investment Data'!$A:$A = $A760,"&amp;" 'Fund Investment Data'!$B:$B &lt;= $B760)),0)"),1000000.0)</f>
        <v>1000000</v>
      </c>
      <c r="T760" s="93">
        <v>1000000.0</v>
      </c>
      <c r="U760" s="32">
        <f t="shared" si="3"/>
        <v>0</v>
      </c>
      <c r="V760" s="32">
        <f>IFERROR(__xludf.DUMMYFUNCTION("$D760 - IFERROR(FILTER($D:$D,$C:$C = $C760, $A:$A = $A760, $B:$B = $B760 - 1),0)"),0.0)</f>
        <v>0</v>
      </c>
      <c r="W760" s="93">
        <f>IFERROR(__xludf.DUMMYFUNCTION("$E760 - IFERROR(FILTER($E:$E,$C:$C = $C760, $A:$A = $A760, $B:$B = $B760 - 1),0)"),0.0)</f>
        <v>0</v>
      </c>
      <c r="X760" s="93"/>
      <c r="Y760" s="93"/>
      <c r="Z760" s="93">
        <v>0.0</v>
      </c>
      <c r="AA760" s="93">
        <v>0.0</v>
      </c>
      <c r="AB760" s="93">
        <v>0.0</v>
      </c>
      <c r="AC760" s="93"/>
      <c r="AD760" s="93">
        <v>0.0</v>
      </c>
      <c r="AE760" s="32">
        <f t="shared" si="2"/>
        <v>-12000</v>
      </c>
      <c r="AF760" s="93">
        <v>0.0</v>
      </c>
    </row>
    <row r="761">
      <c r="A761" s="86">
        <v>2017.0</v>
      </c>
      <c r="B761" s="87">
        <v>10.0</v>
      </c>
      <c r="C761" s="88" t="s">
        <v>57</v>
      </c>
      <c r="D761" s="93">
        <v>2000000.0</v>
      </c>
      <c r="E761" s="32"/>
      <c r="F761" s="32"/>
      <c r="G761" s="93">
        <v>0.0</v>
      </c>
      <c r="H761" s="93">
        <v>0.0</v>
      </c>
      <c r="I761" s="32"/>
      <c r="J761" s="93">
        <v>0.0</v>
      </c>
      <c r="K761" s="32"/>
      <c r="L761" s="32"/>
      <c r="M761" s="32"/>
      <c r="N761" s="32"/>
      <c r="O761" s="93">
        <v>2000000.0</v>
      </c>
      <c r="P761" s="91">
        <f>IFERROR(__xludf.DUMMYFUNCTION("IFERROR(sum(FILTER($D:$N,$C:$C = $C761,$A:$A &lt; $A761,$B:$B = 12)),0) + sum($D761:$N761)"),2000000.0)</f>
        <v>2000000</v>
      </c>
      <c r="Q761" s="92">
        <f t="shared" si="1"/>
        <v>0</v>
      </c>
      <c r="R761" s="91">
        <f t="array" ref="R761">IFERROR(INDEX('Fund YTD Target Values'!$1:$1000, MATCH($C761,'Fund YTD Target Values'!$A:$A,0), MATCH($A761,'Fund YTD Target Values'!$1:$1,0)),0)</f>
        <v>2000000</v>
      </c>
      <c r="S761" s="91">
        <f>IFERROR(__xludf.DUMMYFUNCTION("IFERROR(sum(FILTER('Fund Investment Data'!$V:$V, 'Fund Investment Data'!$C:$C = $C761, 'Fund Investment Data'!$A:$A &lt; $A761)),0) + IFERROR(sum(FILTER('Fund Investment Data'!$V:$V, 'Fund Investment Data'!$C:$C = $C761, 'Fund Investment Data'!$A:$A = $A761,"&amp;" 'Fund Investment Data'!$B:$B &lt;= $B761)),0)"),2000000.0)</f>
        <v>2000000</v>
      </c>
      <c r="T761" s="93">
        <v>2000000.0</v>
      </c>
      <c r="U761" s="32">
        <f t="shared" si="3"/>
        <v>0</v>
      </c>
      <c r="V761" s="32">
        <f>IFERROR(__xludf.DUMMYFUNCTION("$D761 - IFERROR(FILTER($D:$D,$C:$C = $C761, $A:$A = $A761, $B:$B = $B761 - 1),0)"),2000000.0)</f>
        <v>2000000</v>
      </c>
      <c r="W761" s="93">
        <f>IFERROR(__xludf.DUMMYFUNCTION("$E761 - IFERROR(FILTER($E:$E,$C:$C = $C761, $A:$A = $A761, $B:$B = $B761 - 1),0)"),0.0)</f>
        <v>0</v>
      </c>
      <c r="X761" s="93"/>
      <c r="Y761" s="93"/>
      <c r="Z761" s="93">
        <v>0.0</v>
      </c>
      <c r="AA761" s="93">
        <v>0.0</v>
      </c>
      <c r="AB761" s="93">
        <v>0.0</v>
      </c>
      <c r="AC761" s="93"/>
      <c r="AD761" s="93">
        <v>0.0</v>
      </c>
      <c r="AE761" s="32">
        <f t="shared" si="2"/>
        <v>0</v>
      </c>
      <c r="AF761" s="93">
        <v>0.0</v>
      </c>
    </row>
    <row r="762">
      <c r="A762" s="86">
        <v>2017.0</v>
      </c>
      <c r="B762" s="87">
        <v>10.0</v>
      </c>
      <c r="C762" s="88" t="s">
        <v>58</v>
      </c>
      <c r="D762" s="93">
        <v>2000000.0</v>
      </c>
      <c r="E762" s="32"/>
      <c r="F762" s="32"/>
      <c r="G762" s="93">
        <v>0.0</v>
      </c>
      <c r="H762" s="93">
        <v>0.0</v>
      </c>
      <c r="I762" s="32"/>
      <c r="J762" s="93">
        <v>0.0</v>
      </c>
      <c r="K762" s="32"/>
      <c r="L762" s="32"/>
      <c r="M762" s="32"/>
      <c r="N762" s="32"/>
      <c r="O762" s="93">
        <v>2000000.0</v>
      </c>
      <c r="P762" s="91">
        <f>IFERROR(__xludf.DUMMYFUNCTION("IFERROR(sum(FILTER($D:$N,$C:$C = $C762,$A:$A &lt; $A762,$B:$B = 12)),0) + sum($D762:$N762)"),2000000.0)</f>
        <v>2000000</v>
      </c>
      <c r="Q762" s="92">
        <f t="shared" si="1"/>
        <v>0</v>
      </c>
      <c r="R762" s="91">
        <f t="array" ref="R762">IFERROR(INDEX('Fund YTD Target Values'!$1:$1000, MATCH($C762,'Fund YTD Target Values'!$A:$A,0), MATCH($A762,'Fund YTD Target Values'!$1:$1,0)),0)</f>
        <v>2000000</v>
      </c>
      <c r="S762" s="91">
        <f>IFERROR(__xludf.DUMMYFUNCTION("IFERROR(sum(FILTER('Fund Investment Data'!$V:$V, 'Fund Investment Data'!$C:$C = $C762, 'Fund Investment Data'!$A:$A &lt; $A762)),0) + IFERROR(sum(FILTER('Fund Investment Data'!$V:$V, 'Fund Investment Data'!$C:$C = $C762, 'Fund Investment Data'!$A:$A = $A762,"&amp;" 'Fund Investment Data'!$B:$B &lt;= $B762)),0)"),2000000.0)</f>
        <v>2000000</v>
      </c>
      <c r="T762" s="93">
        <v>2000000.0</v>
      </c>
      <c r="U762" s="32">
        <f t="shared" si="3"/>
        <v>0</v>
      </c>
      <c r="V762" s="32">
        <f>IFERROR(__xludf.DUMMYFUNCTION("$D762 - IFERROR(FILTER($D:$D,$C:$C = $C762, $A:$A = $A762, $B:$B = $B762 - 1),0)"),2000000.0)</f>
        <v>2000000</v>
      </c>
      <c r="W762" s="93">
        <f>IFERROR(__xludf.DUMMYFUNCTION("$E762 - IFERROR(FILTER($E:$E,$C:$C = $C762, $A:$A = $A762, $B:$B = $B762 - 1),0)"),0.0)</f>
        <v>0</v>
      </c>
      <c r="X762" s="93"/>
      <c r="Y762" s="93"/>
      <c r="Z762" s="93">
        <v>0.0</v>
      </c>
      <c r="AA762" s="93">
        <v>0.0</v>
      </c>
      <c r="AB762" s="93">
        <v>0.0</v>
      </c>
      <c r="AC762" s="93"/>
      <c r="AD762" s="93">
        <v>0.0</v>
      </c>
      <c r="AE762" s="32">
        <f t="shared" si="2"/>
        <v>0</v>
      </c>
      <c r="AF762" s="93">
        <v>0.0</v>
      </c>
    </row>
    <row r="763">
      <c r="A763" s="86">
        <v>2017.0</v>
      </c>
      <c r="B763" s="87">
        <v>11.0</v>
      </c>
      <c r="C763" s="88" t="s">
        <v>26</v>
      </c>
      <c r="D763" s="93">
        <v>10093.0</v>
      </c>
      <c r="E763" s="93">
        <v>-10000.0</v>
      </c>
      <c r="F763" s="32"/>
      <c r="G763" s="93">
        <v>-1736.63</v>
      </c>
      <c r="H763" s="93">
        <v>6375.99</v>
      </c>
      <c r="I763" s="32"/>
      <c r="J763" s="93">
        <v>36849.26</v>
      </c>
      <c r="K763" s="32"/>
      <c r="L763" s="32"/>
      <c r="M763" s="32"/>
      <c r="N763" s="32"/>
      <c r="O763" s="93">
        <v>330065.0</v>
      </c>
      <c r="P763" s="91">
        <f>IFERROR(__xludf.DUMMYFUNCTION("IFERROR(sum(FILTER($D:$N,$C:$C = $C763,$A:$A &lt; $A763,$B:$B = 12)),0) + sum($D763:$N763)"),330064.30999999994)</f>
        <v>330064.31</v>
      </c>
      <c r="Q763" s="92">
        <f t="shared" si="1"/>
        <v>0.6900000001</v>
      </c>
      <c r="R763" s="91">
        <f t="array" ref="R763">IFERROR(INDEX('Fund YTD Target Values'!$1:$1000, MATCH($C763,'Fund YTD Target Values'!$A:$A,0), MATCH($A763,'Fund YTD Target Values'!$1:$1,0)),0)</f>
        <v>351339.7985</v>
      </c>
      <c r="S763" s="91">
        <f>IFERROR(__xludf.DUMMYFUNCTION("IFERROR(sum(FILTER('Fund Investment Data'!$V:$V, 'Fund Investment Data'!$C:$C = $C763, 'Fund Investment Data'!$A:$A &lt; $A763)),0) + IFERROR(sum(FILTER('Fund Investment Data'!$V:$V, 'Fund Investment Data'!$C:$C = $C763, 'Fund Investment Data'!$A:$A = $A763,"&amp;" 'Fund Investment Data'!$B:$B &lt;= $B763)),0)"),292060.0)</f>
        <v>292060</v>
      </c>
      <c r="T763" s="93">
        <v>292061.0</v>
      </c>
      <c r="U763" s="32">
        <f t="shared" si="3"/>
        <v>-1</v>
      </c>
      <c r="V763" s="32">
        <f>IFERROR(__xludf.DUMMYFUNCTION("$D763 - IFERROR(FILTER($D:$D,$C:$C = $C763, $A:$A = $A763, $B:$B = $B763 - 1),0)"),0.0)</f>
        <v>0</v>
      </c>
      <c r="W763" s="93">
        <f>IFERROR(__xludf.DUMMYFUNCTION("$E763 - IFERROR(FILTER($E:$E,$C:$C = $C763, $A:$A = $A763, $B:$B = $B763 - 1),0)"),0.0)</f>
        <v>0</v>
      </c>
      <c r="X763" s="93"/>
      <c r="Y763" s="93"/>
      <c r="Z763" s="93">
        <v>0.0</v>
      </c>
      <c r="AA763" s="93">
        <v>0.0</v>
      </c>
      <c r="AB763" s="93">
        <v>0.0</v>
      </c>
      <c r="AC763" s="93"/>
      <c r="AD763" s="93">
        <v>0.0</v>
      </c>
      <c r="AE763" s="32">
        <f t="shared" si="2"/>
        <v>-10000</v>
      </c>
      <c r="AF763" s="93">
        <v>0.0</v>
      </c>
    </row>
    <row r="764">
      <c r="A764" s="86">
        <v>2017.0</v>
      </c>
      <c r="B764" s="87">
        <v>11.0</v>
      </c>
      <c r="C764" s="88" t="s">
        <v>27</v>
      </c>
      <c r="D764" s="32"/>
      <c r="E764" s="93">
        <v>-15000.0</v>
      </c>
      <c r="F764" s="32"/>
      <c r="G764" s="93">
        <v>-1640.69</v>
      </c>
      <c r="H764" s="93">
        <v>6146.2</v>
      </c>
      <c r="I764" s="93">
        <v>3053.52</v>
      </c>
      <c r="J764" s="93">
        <v>32650.25</v>
      </c>
      <c r="K764" s="32"/>
      <c r="L764" s="32"/>
      <c r="M764" s="32"/>
      <c r="N764" s="32"/>
      <c r="O764" s="93">
        <v>306722.0</v>
      </c>
      <c r="P764" s="91">
        <f>IFERROR(__xludf.DUMMYFUNCTION("IFERROR(sum(FILTER($D:$N,$C:$C = $C764,$A:$A &lt; $A764,$B:$B = 12)),0) + sum($D764:$N764)"),306722.4400000001)</f>
        <v>306722.44</v>
      </c>
      <c r="Q764" s="92">
        <f t="shared" si="1"/>
        <v>-0.4400000001</v>
      </c>
      <c r="R764" s="91">
        <f t="array" ref="R764">IFERROR(INDEX('Fund YTD Target Values'!$1:$1000, MATCH($C764,'Fund YTD Target Values'!$A:$A,0), MATCH($A764,'Fund YTD Target Values'!$1:$1,0)),0)</f>
        <v>383919.6363</v>
      </c>
      <c r="S764" s="91">
        <f>IFERROR(__xludf.DUMMYFUNCTION("IFERROR(sum(FILTER('Fund Investment Data'!$V:$V, 'Fund Investment Data'!$C:$C = $C764, 'Fund Investment Data'!$A:$A &lt; $A764)),0) + IFERROR(sum(FILTER('Fund Investment Data'!$V:$V, 'Fund Investment Data'!$C:$C = $C764, 'Fund Investment Data'!$A:$A = $A764,"&amp;" 'Fund Investment Data'!$B:$B &lt;= $B764)),0)"),276213.69999999995)</f>
        <v>276213.7</v>
      </c>
      <c r="T764" s="93">
        <v>272248.0</v>
      </c>
      <c r="U764" s="32">
        <f t="shared" si="3"/>
        <v>3965.7</v>
      </c>
      <c r="V764" s="32">
        <f>IFERROR(__xludf.DUMMYFUNCTION("$D764 - IFERROR(FILTER($D:$D,$C:$C = $C764, $A:$A = $A764, $B:$B = $B764 - 1),0)"),0.0)</f>
        <v>0</v>
      </c>
      <c r="W764" s="93">
        <f>IFERROR(__xludf.DUMMYFUNCTION("$E764 - IFERROR(FILTER($E:$E,$C:$C = $C764, $A:$A = $A764, $B:$B = $B764 - 1),0)"),-9000.0)</f>
        <v>-9000</v>
      </c>
      <c r="X764" s="93"/>
      <c r="Y764" s="93"/>
      <c r="Z764" s="93">
        <v>0.0</v>
      </c>
      <c r="AA764" s="93">
        <v>0.0</v>
      </c>
      <c r="AB764" s="93">
        <v>0.0</v>
      </c>
      <c r="AC764" s="93"/>
      <c r="AD764" s="93">
        <v>0.0</v>
      </c>
      <c r="AE764" s="32">
        <f t="shared" si="2"/>
        <v>-15000</v>
      </c>
      <c r="AF764" s="93">
        <v>0.0</v>
      </c>
    </row>
    <row r="765">
      <c r="A765" s="86">
        <v>2017.0</v>
      </c>
      <c r="B765" s="87">
        <v>11.0</v>
      </c>
      <c r="C765" s="88" t="s">
        <v>28</v>
      </c>
      <c r="D765" s="32"/>
      <c r="E765" s="93">
        <v>-205000.0</v>
      </c>
      <c r="F765" s="32"/>
      <c r="G765" s="93">
        <v>-17756.83</v>
      </c>
      <c r="H765" s="93">
        <v>66756.44</v>
      </c>
      <c r="I765" s="93">
        <v>50194.52</v>
      </c>
      <c r="J765" s="93">
        <v>337541.97</v>
      </c>
      <c r="K765" s="32"/>
      <c r="L765" s="32"/>
      <c r="M765" s="32"/>
      <c r="N765" s="32"/>
      <c r="O765" s="93">
        <v>3290370.0</v>
      </c>
      <c r="P765" s="91">
        <f>IFERROR(__xludf.DUMMYFUNCTION("IFERROR(sum(FILTER($D:$N,$C:$C = $C765,$A:$A &lt; $A765,$B:$B = 12)),0) + sum($D765:$N765)"),3290369.38)</f>
        <v>3290369.38</v>
      </c>
      <c r="Q765" s="92">
        <f t="shared" si="1"/>
        <v>0.6200000001</v>
      </c>
      <c r="R765" s="91">
        <f t="array" ref="R765">IFERROR(INDEX('Fund YTD Target Values'!$1:$1000, MATCH($C765,'Fund YTD Target Values'!$A:$A,0), MATCH($A765,'Fund YTD Target Values'!$1:$1,0)),0)</f>
        <v>3748913.384</v>
      </c>
      <c r="S765" s="91">
        <f>IFERROR(__xludf.DUMMYFUNCTION("IFERROR(sum(FILTER('Fund Investment Data'!$V:$V, 'Fund Investment Data'!$C:$C = $C765, 'Fund Investment Data'!$A:$A &lt; $A765)),0) + IFERROR(sum(FILTER('Fund Investment Data'!$V:$V, 'Fund Investment Data'!$C:$C = $C765, 'Fund Investment Data'!$A:$A = $A765,"&amp;" 'Fund Investment Data'!$B:$B &lt;= $B765)),0)"),2960091.25)</f>
        <v>2960091.25</v>
      </c>
      <c r="T765" s="93">
        <v>3009816.0</v>
      </c>
      <c r="U765" s="32">
        <f t="shared" si="3"/>
        <v>-49724.75</v>
      </c>
      <c r="V765" s="32">
        <f>IFERROR(__xludf.DUMMYFUNCTION("$D765 - IFERROR(FILTER($D:$D,$C:$C = $C765, $A:$A = $A765, $B:$B = $B765 - 1),0)"),0.0)</f>
        <v>0</v>
      </c>
      <c r="W765" s="93">
        <f>IFERROR(__xludf.DUMMYFUNCTION("$E765 - IFERROR(FILTER($E:$E,$C:$C = $C765, $A:$A = $A765, $B:$B = $B765 - 1),0)"),-33400.0)</f>
        <v>-33400</v>
      </c>
      <c r="X765" s="93"/>
      <c r="Y765" s="93"/>
      <c r="Z765" s="93">
        <v>0.0</v>
      </c>
      <c r="AA765" s="93">
        <v>0.0</v>
      </c>
      <c r="AB765" s="93">
        <v>0.0</v>
      </c>
      <c r="AC765" s="93"/>
      <c r="AD765" s="93">
        <v>0.0</v>
      </c>
      <c r="AE765" s="32">
        <f t="shared" si="2"/>
        <v>-205000</v>
      </c>
      <c r="AF765" s="93">
        <v>0.0</v>
      </c>
    </row>
    <row r="766">
      <c r="A766" s="86">
        <v>2017.0</v>
      </c>
      <c r="B766" s="87">
        <v>11.0</v>
      </c>
      <c r="C766" s="88" t="s">
        <v>46</v>
      </c>
      <c r="D766" s="32"/>
      <c r="E766" s="93">
        <v>-45000.0</v>
      </c>
      <c r="F766" s="32"/>
      <c r="G766" s="93">
        <v>-2234.17</v>
      </c>
      <c r="H766" s="93">
        <v>8364.18</v>
      </c>
      <c r="I766" s="93">
        <v>12460.14</v>
      </c>
      <c r="J766" s="93">
        <v>35786.02</v>
      </c>
      <c r="K766" s="32"/>
      <c r="L766" s="32"/>
      <c r="M766" s="32"/>
      <c r="N766" s="32"/>
      <c r="O766" s="93">
        <v>391256.0</v>
      </c>
      <c r="P766" s="91">
        <f>IFERROR(__xludf.DUMMYFUNCTION("IFERROR(sum(FILTER($D:$N,$C:$C = $C766,$A:$A &lt; $A766,$B:$B = 12)),0) + sum($D766:$N766)"),391256.72000000003)</f>
        <v>391256.72</v>
      </c>
      <c r="Q766" s="92">
        <f t="shared" si="1"/>
        <v>-0.72</v>
      </c>
      <c r="R766" s="91">
        <f t="array" ref="R766">IFERROR(INDEX('Fund YTD Target Values'!$1:$1000, MATCH($C766,'Fund YTD Target Values'!$A:$A,0), MATCH($A766,'Fund YTD Target Values'!$1:$1,0)),0)</f>
        <v>445660.8761</v>
      </c>
      <c r="S766" s="91">
        <f>IFERROR(__xludf.DUMMYFUNCTION("IFERROR(sum(FILTER('Fund Investment Data'!$V:$V, 'Fund Investment Data'!$C:$C = $C766, 'Fund Investment Data'!$A:$A &lt; $A766)),0) + IFERROR(sum(FILTER('Fund Investment Data'!$V:$V, 'Fund Investment Data'!$C:$C = $C766, 'Fund Investment Data'!$A:$A = $A766,"&amp;" 'Fund Investment Data'!$B:$B &lt;= $B766)),0)"),366400.0)</f>
        <v>366400</v>
      </c>
      <c r="T766" s="93">
        <v>366400.0</v>
      </c>
      <c r="U766" s="32">
        <f t="shared" si="3"/>
        <v>0</v>
      </c>
      <c r="V766" s="32">
        <f>IFERROR(__xludf.DUMMYFUNCTION("$D766 - IFERROR(FILTER($D:$D,$C:$C = $C766, $A:$A = $A766, $B:$B = $B766 - 1),0)"),0.0)</f>
        <v>0</v>
      </c>
      <c r="W766" s="93">
        <f>IFERROR(__xludf.DUMMYFUNCTION("$E766 - IFERROR(FILTER($E:$E,$C:$C = $C766, $A:$A = $A766, $B:$B = $B766 - 1),0)"),-29300.0)</f>
        <v>-29300</v>
      </c>
      <c r="X766" s="93"/>
      <c r="Y766" s="93"/>
      <c r="Z766" s="93">
        <v>0.0</v>
      </c>
      <c r="AA766" s="93">
        <v>0.0</v>
      </c>
      <c r="AB766" s="93">
        <v>0.0</v>
      </c>
      <c r="AC766" s="93"/>
      <c r="AD766" s="93">
        <v>0.0</v>
      </c>
      <c r="AE766" s="32">
        <f t="shared" si="2"/>
        <v>-45000</v>
      </c>
      <c r="AF766" s="93">
        <v>0.0</v>
      </c>
    </row>
    <row r="767">
      <c r="A767" s="86">
        <v>2017.0</v>
      </c>
      <c r="B767" s="87">
        <v>11.0</v>
      </c>
      <c r="C767" s="88" t="s">
        <v>36</v>
      </c>
      <c r="D767" s="32"/>
      <c r="E767" s="93">
        <v>-30000.0</v>
      </c>
      <c r="F767" s="32"/>
      <c r="G767" s="93">
        <v>-2439.62</v>
      </c>
      <c r="H767" s="93">
        <v>9144.49</v>
      </c>
      <c r="I767" s="93">
        <v>7124.54</v>
      </c>
      <c r="J767" s="93">
        <v>45938.96</v>
      </c>
      <c r="K767" s="32"/>
      <c r="L767" s="32"/>
      <c r="M767" s="32"/>
      <c r="N767" s="32"/>
      <c r="O767" s="93">
        <v>448179.0</v>
      </c>
      <c r="P767" s="91">
        <f>IFERROR(__xludf.DUMMYFUNCTION("IFERROR(sum(FILTER($D:$N,$C:$C = $C767,$A:$A &lt; $A767,$B:$B = 12)),0) + sum($D767:$N767)"),448178.79000000004)</f>
        <v>448178.79</v>
      </c>
      <c r="Q767" s="92">
        <f t="shared" si="1"/>
        <v>0.21</v>
      </c>
      <c r="R767" s="91">
        <f t="array" ref="R767">IFERROR(INDEX('Fund YTD Target Values'!$1:$1000, MATCH($C767,'Fund YTD Target Values'!$A:$A,0), MATCH($A767,'Fund YTD Target Values'!$1:$1,0)),0)</f>
        <v>620333.8441</v>
      </c>
      <c r="S767" s="91">
        <f>IFERROR(__xludf.DUMMYFUNCTION("IFERROR(sum(FILTER('Fund Investment Data'!$V:$V, 'Fund Investment Data'!$C:$C = $C767, 'Fund Investment Data'!$A:$A &lt; $A767)),0) + IFERROR(sum(FILTER('Fund Investment Data'!$V:$V, 'Fund Investment Data'!$C:$C = $C767, 'Fund Investment Data'!$A:$A = $A767,"&amp;" 'Fund Investment Data'!$B:$B &lt;= $B767)),0)"),429067.24)</f>
        <v>429067.24</v>
      </c>
      <c r="T767" s="93">
        <v>413959.0</v>
      </c>
      <c r="U767" s="32">
        <f t="shared" si="3"/>
        <v>15108.24</v>
      </c>
      <c r="V767" s="32">
        <f>IFERROR(__xludf.DUMMYFUNCTION("$D767 - IFERROR(FILTER($D:$D,$C:$C = $C767, $A:$A = $A767, $B:$B = $B767 - 1),0)"),0.0)</f>
        <v>0</v>
      </c>
      <c r="W767" s="93">
        <f>IFERROR(__xludf.DUMMYFUNCTION("$E767 - IFERROR(FILTER($E:$E,$C:$C = $C767, $A:$A = $A767, $B:$B = $B767 - 1),0)"),-13100.0)</f>
        <v>-13100</v>
      </c>
      <c r="X767" s="93"/>
      <c r="Y767" s="93"/>
      <c r="Z767" s="93">
        <v>0.0</v>
      </c>
      <c r="AA767" s="93">
        <v>0.0</v>
      </c>
      <c r="AB767" s="93">
        <v>0.0</v>
      </c>
      <c r="AC767" s="93"/>
      <c r="AD767" s="93">
        <v>0.0</v>
      </c>
      <c r="AE767" s="32">
        <f t="shared" si="2"/>
        <v>-30000</v>
      </c>
      <c r="AF767" s="93">
        <v>0.0</v>
      </c>
    </row>
    <row r="768">
      <c r="A768" s="86">
        <v>2017.0</v>
      </c>
      <c r="B768" s="87">
        <v>11.0</v>
      </c>
      <c r="C768" s="88" t="s">
        <v>37</v>
      </c>
      <c r="D768" s="32"/>
      <c r="E768" s="93">
        <v>-80000.0</v>
      </c>
      <c r="F768" s="32"/>
      <c r="G768" s="93">
        <v>-4574.91</v>
      </c>
      <c r="H768" s="93">
        <v>17203.09</v>
      </c>
      <c r="I768" s="93">
        <v>16532.69</v>
      </c>
      <c r="J768" s="93">
        <v>83092.24</v>
      </c>
      <c r="K768" s="32"/>
      <c r="L768" s="32"/>
      <c r="M768" s="32"/>
      <c r="N768" s="32"/>
      <c r="O768" s="93">
        <v>818624.0</v>
      </c>
      <c r="P768" s="91">
        <f>IFERROR(__xludf.DUMMYFUNCTION("IFERROR(sum(FILTER($D:$N,$C:$C = $C768,$A:$A &lt; $A768,$B:$B = 12)),0) + sum($D768:$N768)"),818624.12)</f>
        <v>818624.12</v>
      </c>
      <c r="Q768" s="92">
        <f t="shared" si="1"/>
        <v>-0.12</v>
      </c>
      <c r="R768" s="91">
        <f t="array" ref="R768">IFERROR(INDEX('Fund YTD Target Values'!$1:$1000, MATCH($C768,'Fund YTD Target Values'!$A:$A,0), MATCH($A768,'Fund YTD Target Values'!$1:$1,0)),0)</f>
        <v>825458.0276</v>
      </c>
      <c r="S768" s="91">
        <f>IFERROR(__xludf.DUMMYFUNCTION("IFERROR(sum(FILTER('Fund Investment Data'!$V:$V, 'Fund Investment Data'!$C:$C = $C768, 'Fund Investment Data'!$A:$A &lt; $A768)),0) + IFERROR(sum(FILTER('Fund Investment Data'!$V:$V, 'Fund Investment Data'!$C:$C = $C768, 'Fund Investment Data'!$A:$A = $A768,"&amp;" 'Fund Investment Data'!$B:$B &lt;= $B768)),0)"),758137.86)</f>
        <v>758137.86</v>
      </c>
      <c r="T768" s="93">
        <v>742866.0</v>
      </c>
      <c r="U768" s="32">
        <f t="shared" si="3"/>
        <v>15271.86</v>
      </c>
      <c r="V768" s="32">
        <f>IFERROR(__xludf.DUMMYFUNCTION("$D768 - IFERROR(FILTER($D:$D,$C:$C = $C768, $A:$A = $A768, $B:$B = $B768 - 1),0)"),0.0)</f>
        <v>0</v>
      </c>
      <c r="W768" s="93">
        <f>IFERROR(__xludf.DUMMYFUNCTION("$E768 - IFERROR(FILTER($E:$E,$C:$C = $C768, $A:$A = $A768, $B:$B = $B768 - 1),0)"),-27000.0)</f>
        <v>-27000</v>
      </c>
      <c r="X768" s="93"/>
      <c r="Y768" s="93"/>
      <c r="Z768" s="93">
        <v>0.0</v>
      </c>
      <c r="AA768" s="93">
        <v>0.0</v>
      </c>
      <c r="AB768" s="93">
        <v>0.0</v>
      </c>
      <c r="AC768" s="93"/>
      <c r="AD768" s="93">
        <v>0.0</v>
      </c>
      <c r="AE768" s="32">
        <f t="shared" si="2"/>
        <v>-80000</v>
      </c>
      <c r="AF768" s="93">
        <v>0.0</v>
      </c>
    </row>
    <row r="769">
      <c r="A769" s="86">
        <v>2017.0</v>
      </c>
      <c r="B769" s="87">
        <v>11.0</v>
      </c>
      <c r="C769" s="88" t="s">
        <v>29</v>
      </c>
      <c r="D769" s="32"/>
      <c r="E769" s="93">
        <v>-3000.0</v>
      </c>
      <c r="F769" s="32"/>
      <c r="G769" s="93">
        <v>-311.66</v>
      </c>
      <c r="H769" s="93">
        <v>1165.29</v>
      </c>
      <c r="I769" s="93">
        <v>657.05</v>
      </c>
      <c r="J769" s="93">
        <v>6105.66</v>
      </c>
      <c r="K769" s="32"/>
      <c r="L769" s="32"/>
      <c r="M769" s="32"/>
      <c r="N769" s="32"/>
      <c r="O769" s="93">
        <v>57829.0</v>
      </c>
      <c r="P769" s="91">
        <f>IFERROR(__xludf.DUMMYFUNCTION("IFERROR(sum(FILTER($D:$N,$C:$C = $C769,$A:$A &lt; $A769,$B:$B = 12)),0) + sum($D769:$N769)"),57829.42999999992)</f>
        <v>57829.43</v>
      </c>
      <c r="Q769" s="92">
        <f t="shared" si="1"/>
        <v>-0.4299999999</v>
      </c>
      <c r="R769" s="91">
        <f t="array" ref="R769">IFERROR(INDEX('Fund YTD Target Values'!$1:$1000, MATCH($C769,'Fund YTD Target Values'!$A:$A,0), MATCH($A769,'Fund YTD Target Values'!$1:$1,0)),0)</f>
        <v>75218.58778</v>
      </c>
      <c r="S769" s="91">
        <f>IFERROR(__xludf.DUMMYFUNCTION("IFERROR(sum(FILTER('Fund Investment Data'!$V:$V, 'Fund Investment Data'!$C:$C = $C769, 'Fund Investment Data'!$A:$A &lt; $A769)),0) + IFERROR(sum(FILTER('Fund Investment Data'!$V:$V, 'Fund Investment Data'!$C:$C = $C769, 'Fund Investment Data'!$A:$A = $A769,"&amp;" 'Fund Investment Data'!$B:$B &lt;= $B769)),0)"),50000.0)</f>
        <v>50000</v>
      </c>
      <c r="T769" s="93">
        <v>50000.0</v>
      </c>
      <c r="U769" s="32">
        <f t="shared" si="3"/>
        <v>0</v>
      </c>
      <c r="V769" s="32">
        <f>IFERROR(__xludf.DUMMYFUNCTION("$D769 - IFERROR(FILTER($D:$D,$C:$C = $C769, $A:$A = $A769, $B:$B = $B769 - 1),0)"),0.0)</f>
        <v>0</v>
      </c>
      <c r="W769" s="93">
        <f>IFERROR(__xludf.DUMMYFUNCTION("$E769 - IFERROR(FILTER($E:$E,$C:$C = $C769, $A:$A = $A769, $B:$B = $B769 - 1),0)"),0.0)</f>
        <v>0</v>
      </c>
      <c r="X769" s="93"/>
      <c r="Y769" s="93"/>
      <c r="Z769" s="93">
        <v>0.0</v>
      </c>
      <c r="AA769" s="93">
        <v>0.0</v>
      </c>
      <c r="AB769" s="93">
        <v>0.0</v>
      </c>
      <c r="AC769" s="93"/>
      <c r="AD769" s="93">
        <v>0.0</v>
      </c>
      <c r="AE769" s="32">
        <f t="shared" si="2"/>
        <v>-3000</v>
      </c>
      <c r="AF769" s="93">
        <v>0.0</v>
      </c>
    </row>
    <row r="770">
      <c r="A770" s="86">
        <v>2017.0</v>
      </c>
      <c r="B770" s="87">
        <v>11.0</v>
      </c>
      <c r="C770" s="88" t="s">
        <v>38</v>
      </c>
      <c r="D770" s="32"/>
      <c r="E770" s="93">
        <v>-20000.0</v>
      </c>
      <c r="F770" s="32"/>
      <c r="G770" s="93">
        <v>-4209.16</v>
      </c>
      <c r="H770" s="93">
        <v>15740.36</v>
      </c>
      <c r="I770" s="32"/>
      <c r="J770" s="93">
        <v>91754.51</v>
      </c>
      <c r="K770" s="32"/>
      <c r="L770" s="32"/>
      <c r="M770" s="32"/>
      <c r="N770" s="32"/>
      <c r="O770" s="93">
        <v>800938.0</v>
      </c>
      <c r="P770" s="91">
        <f>IFERROR(__xludf.DUMMYFUNCTION("IFERROR(sum(FILTER($D:$N,$C:$C = $C770,$A:$A &lt; $A770,$B:$B = 12)),0) + sum($D770:$N770)"),800936.6799999998)</f>
        <v>800936.68</v>
      </c>
      <c r="Q770" s="92">
        <f t="shared" si="1"/>
        <v>1.32</v>
      </c>
      <c r="R770" s="91">
        <f t="array" ref="R770">IFERROR(INDEX('Fund YTD Target Values'!$1:$1000, MATCH($C770,'Fund YTD Target Values'!$A:$A,0), MATCH($A770,'Fund YTD Target Values'!$1:$1,0)),0)</f>
        <v>685763.9306</v>
      </c>
      <c r="S770" s="91">
        <f>IFERROR(__xludf.DUMMYFUNCTION("IFERROR(sum(FILTER('Fund Investment Data'!$V:$V, 'Fund Investment Data'!$C:$C = $C770, 'Fund Investment Data'!$A:$A &lt; $A770)),0) + IFERROR(sum(FILTER('Fund Investment Data'!$V:$V, 'Fund Investment Data'!$C:$C = $C770, 'Fund Investment Data'!$A:$A = $A770,"&amp;" 'Fund Investment Data'!$B:$B &lt;= $B770)),0)"),556601.64)</f>
        <v>556601.64</v>
      </c>
      <c r="T770" s="93">
        <v>558656.0</v>
      </c>
      <c r="U770" s="32">
        <f t="shared" si="3"/>
        <v>-2054.36</v>
      </c>
      <c r="V770" s="32">
        <f>IFERROR(__xludf.DUMMYFUNCTION("$D770 - IFERROR(FILTER($D:$D,$C:$C = $C770, $A:$A = $A770, $B:$B = $B770 - 1),0)"),0.0)</f>
        <v>0</v>
      </c>
      <c r="W770" s="93">
        <f>IFERROR(__xludf.DUMMYFUNCTION("$E770 - IFERROR(FILTER($E:$E,$C:$C = $C770, $A:$A = $A770, $B:$B = $B770 - 1),0)"),-10000.0)</f>
        <v>-10000</v>
      </c>
      <c r="X770" s="93"/>
      <c r="Y770" s="93"/>
      <c r="Z770" s="93">
        <v>0.0</v>
      </c>
      <c r="AA770" s="93">
        <v>0.0</v>
      </c>
      <c r="AB770" s="93">
        <v>0.0</v>
      </c>
      <c r="AC770" s="93"/>
      <c r="AD770" s="93">
        <v>0.0</v>
      </c>
      <c r="AE770" s="32">
        <f t="shared" si="2"/>
        <v>-20000</v>
      </c>
      <c r="AF770" s="93">
        <v>0.0</v>
      </c>
    </row>
    <row r="771">
      <c r="A771" s="86">
        <v>2017.0</v>
      </c>
      <c r="B771" s="87">
        <v>11.0</v>
      </c>
      <c r="C771" s="88" t="s">
        <v>30</v>
      </c>
      <c r="D771" s="32"/>
      <c r="E771" s="32"/>
      <c r="F771" s="32"/>
      <c r="G771" s="93">
        <v>-89.14</v>
      </c>
      <c r="H771" s="93">
        <v>321.34</v>
      </c>
      <c r="I771" s="32"/>
      <c r="J771" s="93">
        <v>1844.28</v>
      </c>
      <c r="K771" s="32"/>
      <c r="L771" s="32"/>
      <c r="M771" s="32"/>
      <c r="N771" s="32"/>
      <c r="O771" s="93">
        <v>17275.0</v>
      </c>
      <c r="P771" s="91">
        <f>IFERROR(__xludf.DUMMYFUNCTION("IFERROR(sum(FILTER($D:$N,$C:$C = $C771,$A:$A &lt; $A771,$B:$B = 12)),0) + sum($D771:$N771)"),17273.76999999999)</f>
        <v>17273.77</v>
      </c>
      <c r="Q771" s="92">
        <f t="shared" si="1"/>
        <v>1.23</v>
      </c>
      <c r="R771" s="91">
        <f t="array" ref="R771">IFERROR(INDEX('Fund YTD Target Values'!$1:$1000, MATCH($C771,'Fund YTD Target Values'!$A:$A,0), MATCH($A771,'Fund YTD Target Values'!$1:$1,0)),0)</f>
        <v>18043.81747</v>
      </c>
      <c r="S771" s="91">
        <f>IFERROR(__xludf.DUMMYFUNCTION("IFERROR(sum(FILTER('Fund Investment Data'!$V:$V, 'Fund Investment Data'!$C:$C = $C771, 'Fund Investment Data'!$A:$A &lt; $A771)),0) + IFERROR(sum(FILTER('Fund Investment Data'!$V:$V, 'Fund Investment Data'!$C:$C = $C771, 'Fund Investment Data'!$A:$A = $A771,"&amp;" 'Fund Investment Data'!$B:$B &lt;= $B771)),0)"),11540.75)</f>
        <v>11540.75</v>
      </c>
      <c r="T771" s="93">
        <v>10000.0</v>
      </c>
      <c r="U771" s="32">
        <f t="shared" si="3"/>
        <v>1540.75</v>
      </c>
      <c r="V771" s="32">
        <f>IFERROR(__xludf.DUMMYFUNCTION("$D771 - IFERROR(FILTER($D:$D,$C:$C = $C771, $A:$A = $A771, $B:$B = $B771 - 1),0)"),0.0)</f>
        <v>0</v>
      </c>
      <c r="W771" s="93">
        <f>IFERROR(__xludf.DUMMYFUNCTION("$E771 - IFERROR(FILTER($E:$E,$C:$C = $C771, $A:$A = $A771, $B:$B = $B771 - 1),0)"),0.0)</f>
        <v>0</v>
      </c>
      <c r="X771" s="93"/>
      <c r="Y771" s="93"/>
      <c r="Z771" s="93">
        <v>0.0</v>
      </c>
      <c r="AA771" s="93">
        <v>0.0</v>
      </c>
      <c r="AB771" s="93">
        <v>0.0</v>
      </c>
      <c r="AC771" s="93"/>
      <c r="AD771" s="93">
        <v>0.0</v>
      </c>
      <c r="AE771" s="32">
        <f t="shared" si="2"/>
        <v>0</v>
      </c>
      <c r="AF771" s="93">
        <v>0.0</v>
      </c>
    </row>
    <row r="772">
      <c r="A772" s="86">
        <v>2017.0</v>
      </c>
      <c r="B772" s="87">
        <v>11.0</v>
      </c>
      <c r="C772" s="88" t="s">
        <v>47</v>
      </c>
      <c r="D772" s="93">
        <v>10000.0</v>
      </c>
      <c r="E772" s="93">
        <v>-75000.0</v>
      </c>
      <c r="F772" s="32"/>
      <c r="G772" s="93">
        <v>-8015.0</v>
      </c>
      <c r="H772" s="93">
        <v>30003.43</v>
      </c>
      <c r="I772" s="93">
        <v>12221.83</v>
      </c>
      <c r="J772" s="93">
        <v>162183.79</v>
      </c>
      <c r="K772" s="32"/>
      <c r="L772" s="32"/>
      <c r="M772" s="32"/>
      <c r="N772" s="32"/>
      <c r="O772" s="93">
        <v>1505600.0</v>
      </c>
      <c r="P772" s="91">
        <f>IFERROR(__xludf.DUMMYFUNCTION("IFERROR(sum(FILTER($D:$N,$C:$C = $C772,$A:$A &lt; $A772,$B:$B = 12)),0) + sum($D772:$N772)"),1505599.3799999997)</f>
        <v>1505599.38</v>
      </c>
      <c r="Q772" s="92">
        <f t="shared" si="1"/>
        <v>0.6200000003</v>
      </c>
      <c r="R772" s="91">
        <f t="array" ref="R772">IFERROR(INDEX('Fund YTD Target Values'!$1:$1000, MATCH($C772,'Fund YTD Target Values'!$A:$A,0), MATCH($A772,'Fund YTD Target Values'!$1:$1,0)),0)</f>
        <v>1951070.709</v>
      </c>
      <c r="S772" s="91">
        <f>IFERROR(__xludf.DUMMYFUNCTION("IFERROR(sum(FILTER('Fund Investment Data'!$V:$V, 'Fund Investment Data'!$C:$C = $C772, 'Fund Investment Data'!$A:$A &lt; $A772)),0) + IFERROR(sum(FILTER('Fund Investment Data'!$V:$V, 'Fund Investment Data'!$C:$C = $C772, 'Fund Investment Data'!$A:$A = $A772,"&amp;" 'Fund Investment Data'!$B:$B &lt;= $B772)),0)"),1456367.46)</f>
        <v>1456367.46</v>
      </c>
      <c r="T772" s="93">
        <v>1348955.0</v>
      </c>
      <c r="U772" s="32">
        <f t="shared" si="3"/>
        <v>107412.46</v>
      </c>
      <c r="V772" s="32">
        <f>IFERROR(__xludf.DUMMYFUNCTION("$D772 - IFERROR(FILTER($D:$D,$C:$C = $C772, $A:$A = $A772, $B:$B = $B772 - 1),0)"),0.0)</f>
        <v>0</v>
      </c>
      <c r="W772" s="93">
        <f>IFERROR(__xludf.DUMMYFUNCTION("$E772 - IFERROR(FILTER($E:$E,$C:$C = $C772, $A:$A = $A772, $B:$B = $B772 - 1),0)"),-24800.0)</f>
        <v>-24800</v>
      </c>
      <c r="X772" s="93"/>
      <c r="Y772" s="93"/>
      <c r="Z772" s="93">
        <v>0.0</v>
      </c>
      <c r="AA772" s="93">
        <v>0.0</v>
      </c>
      <c r="AB772" s="93">
        <v>0.0</v>
      </c>
      <c r="AC772" s="93"/>
      <c r="AD772" s="93">
        <v>0.0</v>
      </c>
      <c r="AE772" s="32">
        <f t="shared" si="2"/>
        <v>-75000</v>
      </c>
      <c r="AF772" s="93">
        <v>0.0</v>
      </c>
    </row>
    <row r="773">
      <c r="A773" s="86">
        <v>2017.0</v>
      </c>
      <c r="B773" s="87">
        <v>11.0</v>
      </c>
      <c r="C773" s="88" t="s">
        <v>31</v>
      </c>
      <c r="D773" s="93">
        <v>1250.0</v>
      </c>
      <c r="E773" s="93">
        <v>-10000.0</v>
      </c>
      <c r="F773" s="32"/>
      <c r="G773" s="93">
        <v>-1014.07</v>
      </c>
      <c r="H773" s="93">
        <v>3778.96</v>
      </c>
      <c r="I773" s="93">
        <v>1842.16</v>
      </c>
      <c r="J773" s="93">
        <v>20076.01</v>
      </c>
      <c r="K773" s="32"/>
      <c r="L773" s="32"/>
      <c r="M773" s="32"/>
      <c r="N773" s="32"/>
      <c r="O773" s="93">
        <v>188178.0</v>
      </c>
      <c r="P773" s="91">
        <f>IFERROR(__xludf.DUMMYFUNCTION("IFERROR(sum(FILTER($D:$N,$C:$C = $C773,$A:$A &lt; $A773,$B:$B = 12)),0) + sum($D773:$N773)"),188177.60000000003)</f>
        <v>188177.6</v>
      </c>
      <c r="Q773" s="92">
        <f t="shared" si="1"/>
        <v>0.4</v>
      </c>
      <c r="R773" s="91">
        <f t="array" ref="R773">IFERROR(INDEX('Fund YTD Target Values'!$1:$1000, MATCH($C773,'Fund YTD Target Values'!$A:$A,0), MATCH($A773,'Fund YTD Target Values'!$1:$1,0)),0)</f>
        <v>205534.6031</v>
      </c>
      <c r="S773" s="91">
        <f>IFERROR(__xludf.DUMMYFUNCTION("IFERROR(sum(FILTER('Fund Investment Data'!$V:$V, 'Fund Investment Data'!$C:$C = $C773, 'Fund Investment Data'!$A:$A &lt; $A773)),0) + IFERROR(sum(FILTER('Fund Investment Data'!$V:$V, 'Fund Investment Data'!$C:$C = $C773, 'Fund Investment Data'!$A:$A = $A773,"&amp;" 'Fund Investment Data'!$B:$B &lt;= $B773)),0)"),158100.0)</f>
        <v>158100</v>
      </c>
      <c r="T773" s="93">
        <v>156850.0</v>
      </c>
      <c r="U773" s="32">
        <f t="shared" si="3"/>
        <v>1250</v>
      </c>
      <c r="V773" s="32">
        <f>IFERROR(__xludf.DUMMYFUNCTION("$D773 - IFERROR(FILTER($D:$D,$C:$C = $C773, $A:$A = $A773, $B:$B = $B773 - 1),0)"),0.0)</f>
        <v>0</v>
      </c>
      <c r="W773" s="93">
        <f>IFERROR(__xludf.DUMMYFUNCTION("$E773 - IFERROR(FILTER($E:$E,$C:$C = $C773, $A:$A = $A773, $B:$B = $B773 - 1),0)"),-6200.0)</f>
        <v>-6200</v>
      </c>
      <c r="X773" s="93"/>
      <c r="Y773" s="93"/>
      <c r="Z773" s="93">
        <v>0.0</v>
      </c>
      <c r="AA773" s="93">
        <v>0.0</v>
      </c>
      <c r="AB773" s="93">
        <v>0.0</v>
      </c>
      <c r="AC773" s="93"/>
      <c r="AD773" s="93">
        <v>0.0</v>
      </c>
      <c r="AE773" s="32">
        <f t="shared" si="2"/>
        <v>-10000</v>
      </c>
      <c r="AF773" s="93">
        <v>0.0</v>
      </c>
    </row>
    <row r="774">
      <c r="A774" s="86">
        <v>2017.0</v>
      </c>
      <c r="B774" s="87">
        <v>11.0</v>
      </c>
      <c r="C774" s="88" t="s">
        <v>39</v>
      </c>
      <c r="D774" s="93">
        <v>15000.0</v>
      </c>
      <c r="E774" s="93">
        <v>-5000.0</v>
      </c>
      <c r="F774" s="32"/>
      <c r="G774" s="93">
        <v>-874.23</v>
      </c>
      <c r="H774" s="93">
        <v>3033.6</v>
      </c>
      <c r="I774" s="32"/>
      <c r="J774" s="93">
        <v>17156.23</v>
      </c>
      <c r="K774" s="32"/>
      <c r="L774" s="32"/>
      <c r="M774" s="32"/>
      <c r="N774" s="32"/>
      <c r="O774" s="93">
        <v>178847.0</v>
      </c>
      <c r="P774" s="91">
        <f>IFERROR(__xludf.DUMMYFUNCTION("IFERROR(sum(FILTER($D:$N,$C:$C = $C774,$A:$A &lt; $A774,$B:$B = 12)),0) + sum($D774:$N774)"),178847.14000000004)</f>
        <v>178847.14</v>
      </c>
      <c r="Q774" s="92">
        <f t="shared" si="1"/>
        <v>-0.14</v>
      </c>
      <c r="R774" s="91">
        <f t="array" ref="R774">IFERROR(INDEX('Fund YTD Target Values'!$1:$1000, MATCH($C774,'Fund YTD Target Values'!$A:$A,0), MATCH($A774,'Fund YTD Target Values'!$1:$1,0)),0)</f>
        <v>165832.7472</v>
      </c>
      <c r="S774" s="91">
        <f>IFERROR(__xludf.DUMMYFUNCTION("IFERROR(sum(FILTER('Fund Investment Data'!$V:$V, 'Fund Investment Data'!$C:$C = $C774, 'Fund Investment Data'!$A:$A &lt; $A774)),0) + IFERROR(sum(FILTER('Fund Investment Data'!$V:$V, 'Fund Investment Data'!$C:$C = $C774, 'Fund Investment Data'!$A:$A = $A774,"&amp;" 'Fund Investment Data'!$B:$B &lt;= $B774)),0)"),155000.0)</f>
        <v>155000</v>
      </c>
      <c r="T774" s="93">
        <v>155000.0</v>
      </c>
      <c r="U774" s="32">
        <f t="shared" si="3"/>
        <v>0</v>
      </c>
      <c r="V774" s="32">
        <f>IFERROR(__xludf.DUMMYFUNCTION("$D774 - IFERROR(FILTER($D:$D,$C:$C = $C774, $A:$A = $A774, $B:$B = $B774 - 1),0)"),0.0)</f>
        <v>0</v>
      </c>
      <c r="W774" s="93">
        <f>IFERROR(__xludf.DUMMYFUNCTION("$E774 - IFERROR(FILTER($E:$E,$C:$C = $C774, $A:$A = $A774, $B:$B = $B774 - 1),0)"),0.0)</f>
        <v>0</v>
      </c>
      <c r="X774" s="93"/>
      <c r="Y774" s="93"/>
      <c r="Z774" s="93">
        <v>0.0</v>
      </c>
      <c r="AA774" s="93">
        <v>0.0</v>
      </c>
      <c r="AB774" s="93">
        <v>0.0</v>
      </c>
      <c r="AC774" s="93"/>
      <c r="AD774" s="93">
        <v>0.0</v>
      </c>
      <c r="AE774" s="32">
        <f t="shared" si="2"/>
        <v>-5000</v>
      </c>
      <c r="AF774" s="93">
        <v>0.0</v>
      </c>
    </row>
    <row r="775">
      <c r="A775" s="86">
        <v>2017.0</v>
      </c>
      <c r="B775" s="87">
        <v>11.0</v>
      </c>
      <c r="C775" s="88" t="s">
        <v>50</v>
      </c>
      <c r="D775" s="32"/>
      <c r="E775" s="93">
        <v>-10000.0</v>
      </c>
      <c r="F775" s="32"/>
      <c r="G775" s="93">
        <v>-1147.02</v>
      </c>
      <c r="H775" s="93">
        <v>3985.06</v>
      </c>
      <c r="I775" s="32"/>
      <c r="J775" s="93">
        <v>22596.51</v>
      </c>
      <c r="K775" s="32"/>
      <c r="L775" s="32"/>
      <c r="M775" s="32"/>
      <c r="N775" s="32"/>
      <c r="O775" s="93">
        <v>214317.0</v>
      </c>
      <c r="P775" s="91">
        <f>IFERROR(__xludf.DUMMYFUNCTION("IFERROR(sum(FILTER($D:$N,$C:$C = $C775,$A:$A &lt; $A775,$B:$B = 12)),0) + sum($D775:$N775)"),214316.11999999997)</f>
        <v>214316.12</v>
      </c>
      <c r="Q775" s="92">
        <f t="shared" si="1"/>
        <v>0.88</v>
      </c>
      <c r="R775" s="91">
        <f t="array" ref="R775">IFERROR(INDEX('Fund YTD Target Values'!$1:$1000, MATCH($C775,'Fund YTD Target Values'!$A:$A,0), MATCH($A775,'Fund YTD Target Values'!$1:$1,0)),0)</f>
        <v>212473.6146</v>
      </c>
      <c r="S775" s="91">
        <f>IFERROR(__xludf.DUMMYFUNCTION("IFERROR(sum(FILTER('Fund Investment Data'!$V:$V, 'Fund Investment Data'!$C:$C = $C775, 'Fund Investment Data'!$A:$A &lt; $A775)),0) + IFERROR(sum(FILTER('Fund Investment Data'!$V:$V, 'Fund Investment Data'!$C:$C = $C775, 'Fund Investment Data'!$A:$A = $A775,"&amp;" 'Fund Investment Data'!$B:$B &lt;= $B775)),0)"),185189.56)</f>
        <v>185189.56</v>
      </c>
      <c r="T775" s="93">
        <v>190241.0</v>
      </c>
      <c r="U775" s="32">
        <f t="shared" si="3"/>
        <v>-5051.44</v>
      </c>
      <c r="V775" s="32">
        <f>IFERROR(__xludf.DUMMYFUNCTION("$D775 - IFERROR(FILTER($D:$D,$C:$C = $C775, $A:$A = $A775, $B:$B = $B775 - 1),0)"),0.0)</f>
        <v>0</v>
      </c>
      <c r="W775" s="93">
        <f>IFERROR(__xludf.DUMMYFUNCTION("$E775 - IFERROR(FILTER($E:$E,$C:$C = $C775, $A:$A = $A775, $B:$B = $B775 - 1),0)"),0.0)</f>
        <v>0</v>
      </c>
      <c r="X775" s="93"/>
      <c r="Y775" s="93"/>
      <c r="Z775" s="93">
        <v>0.0</v>
      </c>
      <c r="AA775" s="93">
        <v>0.0</v>
      </c>
      <c r="AB775" s="93">
        <v>0.0</v>
      </c>
      <c r="AC775" s="93"/>
      <c r="AD775" s="93">
        <v>0.0</v>
      </c>
      <c r="AE775" s="32">
        <f t="shared" si="2"/>
        <v>-10000</v>
      </c>
      <c r="AF775" s="93">
        <v>0.0</v>
      </c>
    </row>
    <row r="776">
      <c r="A776" s="86">
        <v>2017.0</v>
      </c>
      <c r="B776" s="87">
        <v>11.0</v>
      </c>
      <c r="C776" s="88" t="s">
        <v>32</v>
      </c>
      <c r="D776" s="93">
        <v>0.0</v>
      </c>
      <c r="E776" s="32"/>
      <c r="F776" s="32"/>
      <c r="G776" s="93">
        <v>-274.0</v>
      </c>
      <c r="H776" s="93">
        <v>999.58</v>
      </c>
      <c r="I776" s="32"/>
      <c r="J776" s="93">
        <v>5765.67</v>
      </c>
      <c r="K776" s="32"/>
      <c r="L776" s="32"/>
      <c r="M776" s="32"/>
      <c r="N776" s="32"/>
      <c r="O776" s="93">
        <v>53139.0</v>
      </c>
      <c r="P776" s="91">
        <f>IFERROR(__xludf.DUMMYFUNCTION("IFERROR(sum(FILTER($D:$N,$C:$C = $C776,$A:$A &lt; $A776,$B:$B = 12)),0) + sum($D776:$N776)"),53138.340000000026)</f>
        <v>53138.34</v>
      </c>
      <c r="Q776" s="92">
        <f t="shared" si="1"/>
        <v>0.66</v>
      </c>
      <c r="R776" s="91">
        <f t="array" ref="R776">IFERROR(INDEX('Fund YTD Target Values'!$1:$1000, MATCH($C776,'Fund YTD Target Values'!$A:$A,0), MATCH($A776,'Fund YTD Target Values'!$1:$1,0)),0)</f>
        <v>77291.136</v>
      </c>
      <c r="S776" s="91">
        <f>IFERROR(__xludf.DUMMYFUNCTION("IFERROR(sum(FILTER('Fund Investment Data'!$V:$V, 'Fund Investment Data'!$C:$C = $C776, 'Fund Investment Data'!$A:$A &lt; $A776)),0) + IFERROR(sum(FILTER('Fund Investment Data'!$V:$V, 'Fund Investment Data'!$C:$C = $C776, 'Fund Investment Data'!$A:$A = $A776,"&amp;" 'Fund Investment Data'!$B:$B &lt;= $B776)),0)"),49449.04)</f>
        <v>49449.04</v>
      </c>
      <c r="T776" s="93">
        <v>39268.0</v>
      </c>
      <c r="U776" s="32">
        <f t="shared" si="3"/>
        <v>10181.04</v>
      </c>
      <c r="V776" s="32">
        <f>IFERROR(__xludf.DUMMYFUNCTION("$D776 - IFERROR(FILTER($D:$D,$C:$C = $C776, $A:$A = $A776, $B:$B = $B776 - 1),0)"),0.0)</f>
        <v>0</v>
      </c>
      <c r="W776" s="93">
        <f>IFERROR(__xludf.DUMMYFUNCTION("$E776 - IFERROR(FILTER($E:$E,$C:$C = $C776, $A:$A = $A776, $B:$B = $B776 - 1),0)"),0.0)</f>
        <v>0</v>
      </c>
      <c r="X776" s="93"/>
      <c r="Y776" s="93"/>
      <c r="Z776" s="93">
        <v>0.0</v>
      </c>
      <c r="AA776" s="93">
        <v>0.0</v>
      </c>
      <c r="AB776" s="93">
        <v>0.0</v>
      </c>
      <c r="AC776" s="93"/>
      <c r="AD776" s="93">
        <v>0.0</v>
      </c>
      <c r="AE776" s="32">
        <f t="shared" si="2"/>
        <v>0</v>
      </c>
      <c r="AF776" s="93">
        <v>0.0</v>
      </c>
    </row>
    <row r="777">
      <c r="A777" s="86">
        <v>2017.0</v>
      </c>
      <c r="B777" s="87">
        <v>11.0</v>
      </c>
      <c r="C777" s="88" t="s">
        <v>40</v>
      </c>
      <c r="D777" s="32"/>
      <c r="E777" s="93">
        <v>-5000.0</v>
      </c>
      <c r="F777" s="32"/>
      <c r="G777" s="93">
        <v>-814.61</v>
      </c>
      <c r="H777" s="93">
        <v>3042.22</v>
      </c>
      <c r="I777" s="93">
        <v>586.12</v>
      </c>
      <c r="J777" s="93">
        <v>17106.73</v>
      </c>
      <c r="K777" s="32"/>
      <c r="L777" s="32"/>
      <c r="M777" s="32"/>
      <c r="N777" s="32"/>
      <c r="O777" s="93">
        <v>153928.0</v>
      </c>
      <c r="P777" s="91">
        <f>IFERROR(__xludf.DUMMYFUNCTION("IFERROR(sum(FILTER($D:$N,$C:$C = $C777,$A:$A &lt; $A777,$B:$B = 12)),0) + sum($D777:$N777)"),153928.15999999995)</f>
        <v>153928.16</v>
      </c>
      <c r="Q777" s="92">
        <f t="shared" si="1"/>
        <v>-0.1599999999</v>
      </c>
      <c r="R777" s="91">
        <f t="array" ref="R777">IFERROR(INDEX('Fund YTD Target Values'!$1:$1000, MATCH($C777,'Fund YTD Target Values'!$A:$A,0), MATCH($A777,'Fund YTD Target Values'!$1:$1,0)),0)</f>
        <v>157515.3664</v>
      </c>
      <c r="S777" s="91">
        <f>IFERROR(__xludf.DUMMYFUNCTION("IFERROR(sum(FILTER('Fund Investment Data'!$V:$V, 'Fund Investment Data'!$C:$C = $C777, 'Fund Investment Data'!$A:$A &lt; $A777)),0) + IFERROR(sum(FILTER('Fund Investment Data'!$V:$V, 'Fund Investment Data'!$C:$C = $C777, 'Fund Investment Data'!$A:$A = $A777,"&amp;" 'Fund Investment Data'!$B:$B &lt;= $B777)),0)"),129703.74)</f>
        <v>129703.74</v>
      </c>
      <c r="T777" s="93">
        <v>129723.0</v>
      </c>
      <c r="U777" s="32">
        <f t="shared" si="3"/>
        <v>-19.26</v>
      </c>
      <c r="V777" s="32">
        <f>IFERROR(__xludf.DUMMYFUNCTION("$D777 - IFERROR(FILTER($D:$D,$C:$C = $C777, $A:$A = $A777, $B:$B = $B777 - 1),0)"),0.0)</f>
        <v>0</v>
      </c>
      <c r="W777" s="93">
        <f>IFERROR(__xludf.DUMMYFUNCTION("$E777 - IFERROR(FILTER($E:$E,$C:$C = $C777, $A:$A = $A777, $B:$B = $B777 - 1),0)"),-2700.0)</f>
        <v>-2700</v>
      </c>
      <c r="X777" s="93"/>
      <c r="Y777" s="93"/>
      <c r="Z777" s="93">
        <v>0.0</v>
      </c>
      <c r="AA777" s="93">
        <v>0.0</v>
      </c>
      <c r="AB777" s="93">
        <v>0.0</v>
      </c>
      <c r="AC777" s="93"/>
      <c r="AD777" s="93">
        <v>0.0</v>
      </c>
      <c r="AE777" s="32">
        <f t="shared" si="2"/>
        <v>-5000</v>
      </c>
      <c r="AF777" s="93">
        <v>0.0</v>
      </c>
    </row>
    <row r="778">
      <c r="A778" s="86">
        <v>2017.0</v>
      </c>
      <c r="B778" s="87">
        <v>11.0</v>
      </c>
      <c r="C778" s="88" t="s">
        <v>51</v>
      </c>
      <c r="D778" s="93">
        <v>3250.0</v>
      </c>
      <c r="E778" s="93">
        <v>-5000.0</v>
      </c>
      <c r="F778" s="32"/>
      <c r="G778" s="93">
        <v>-2493.34</v>
      </c>
      <c r="H778" s="93">
        <v>9278.5</v>
      </c>
      <c r="I778" s="32"/>
      <c r="J778" s="93">
        <v>53995.01</v>
      </c>
      <c r="K778" s="32"/>
      <c r="L778" s="32"/>
      <c r="M778" s="32"/>
      <c r="N778" s="32"/>
      <c r="O778" s="93">
        <v>482567.0</v>
      </c>
      <c r="P778" s="91">
        <f>IFERROR(__xludf.DUMMYFUNCTION("IFERROR(sum(FILTER($D:$N,$C:$C = $C778,$A:$A &lt; $A778,$B:$B = 12)),0) + sum($D778:$N778)"),482567.07)</f>
        <v>482567.07</v>
      </c>
      <c r="Q778" s="92">
        <f t="shared" si="1"/>
        <v>-0.07000000001</v>
      </c>
      <c r="R778" s="91">
        <f t="array" ref="R778">IFERROR(INDEX('Fund YTD Target Values'!$1:$1000, MATCH($C778,'Fund YTD Target Values'!$A:$A,0), MATCH($A778,'Fund YTD Target Values'!$1:$1,0)),0)</f>
        <v>437835.4209</v>
      </c>
      <c r="S778" s="91">
        <f>IFERROR(__xludf.DUMMYFUNCTION("IFERROR(sum(FILTER('Fund Investment Data'!$V:$V, 'Fund Investment Data'!$C:$C = $C778, 'Fund Investment Data'!$A:$A &lt; $A778)),0) + IFERROR(sum(FILTER('Fund Investment Data'!$V:$V, 'Fund Investment Data'!$C:$C = $C778, 'Fund Investment Data'!$A:$A = $A778,"&amp;" 'Fund Investment Data'!$B:$B &lt;= $B778)),0)"),416373.55)</f>
        <v>416373.55</v>
      </c>
      <c r="T778" s="93">
        <v>417180.0</v>
      </c>
      <c r="U778" s="32">
        <f t="shared" si="3"/>
        <v>-806.45</v>
      </c>
      <c r="V778" s="32">
        <f>IFERROR(__xludf.DUMMYFUNCTION("$D778 - IFERROR(FILTER($D:$D,$C:$C = $C778, $A:$A = $A778, $B:$B = $B778 - 1),0)"),50.0)</f>
        <v>50</v>
      </c>
      <c r="W778" s="93">
        <f>IFERROR(__xludf.DUMMYFUNCTION("$E778 - IFERROR(FILTER($E:$E,$C:$C = $C778, $A:$A = $A778, $B:$B = $B778 - 1),0)"),0.0)</f>
        <v>0</v>
      </c>
      <c r="X778" s="93"/>
      <c r="Y778" s="93"/>
      <c r="Z778" s="93">
        <v>0.0</v>
      </c>
      <c r="AA778" s="93">
        <v>0.0</v>
      </c>
      <c r="AB778" s="93">
        <v>0.0</v>
      </c>
      <c r="AC778" s="93"/>
      <c r="AD778" s="93">
        <v>0.0</v>
      </c>
      <c r="AE778" s="32">
        <f t="shared" si="2"/>
        <v>-5000</v>
      </c>
      <c r="AF778" s="93">
        <v>0.0</v>
      </c>
    </row>
    <row r="779">
      <c r="A779" s="86">
        <v>2017.0</v>
      </c>
      <c r="B779" s="87">
        <v>11.0</v>
      </c>
      <c r="C779" s="88" t="s">
        <v>48</v>
      </c>
      <c r="D779" s="32"/>
      <c r="E779" s="93">
        <v>-65000.0</v>
      </c>
      <c r="F779" s="32"/>
      <c r="G779" s="93">
        <v>-6679.84</v>
      </c>
      <c r="H779" s="93">
        <v>25024.85</v>
      </c>
      <c r="I779" s="93">
        <v>14510.48</v>
      </c>
      <c r="J779" s="93">
        <v>130838.31</v>
      </c>
      <c r="K779" s="32"/>
      <c r="L779" s="32"/>
      <c r="M779" s="32"/>
      <c r="N779" s="32"/>
      <c r="O779" s="93">
        <v>1241508.0</v>
      </c>
      <c r="P779" s="91">
        <f>IFERROR(__xludf.DUMMYFUNCTION("IFERROR(sum(FILTER($D:$N,$C:$C = $C779,$A:$A &lt; $A779,$B:$B = 12)),0) + sum($D779:$N779)"),1241506.5499999998)</f>
        <v>1241506.55</v>
      </c>
      <c r="Q779" s="92">
        <f t="shared" si="1"/>
        <v>1.45</v>
      </c>
      <c r="R779" s="91">
        <f t="array" ref="R779">IFERROR(INDEX('Fund YTD Target Values'!$1:$1000, MATCH($C779,'Fund YTD Target Values'!$A:$A,0), MATCH($A779,'Fund YTD Target Values'!$1:$1,0)),0)</f>
        <v>1851058.71</v>
      </c>
      <c r="S779" s="91">
        <f>IFERROR(__xludf.DUMMYFUNCTION("IFERROR(sum(FILTER('Fund Investment Data'!$V:$V, 'Fund Investment Data'!$C:$C = $C779, 'Fund Investment Data'!$A:$A &lt; $A779)),0) + IFERROR(sum(FILTER('Fund Investment Data'!$V:$V, 'Fund Investment Data'!$C:$C = $C779, 'Fund Investment Data'!$A:$A = $A779,"&amp;" 'Fund Investment Data'!$B:$B &lt;= $B779)),0)"),1183929.39)</f>
        <v>1183929.39</v>
      </c>
      <c r="T779" s="93">
        <v>1140040.0</v>
      </c>
      <c r="U779" s="32">
        <f t="shared" si="3"/>
        <v>43889.39</v>
      </c>
      <c r="V779" s="32">
        <f>IFERROR(__xludf.DUMMYFUNCTION("$D779 - IFERROR(FILTER($D:$D,$C:$C = $C779, $A:$A = $A779, $B:$B = $B779 - 1),0)"),0.0)</f>
        <v>0</v>
      </c>
      <c r="W779" s="93">
        <f>IFERROR(__xludf.DUMMYFUNCTION("$E779 - IFERROR(FILTER($E:$E,$C:$C = $C779, $A:$A = $A779, $B:$B = $B779 - 1),0)"),-36800.0)</f>
        <v>-36800</v>
      </c>
      <c r="X779" s="93"/>
      <c r="Y779" s="93"/>
      <c r="Z779" s="93">
        <v>0.0</v>
      </c>
      <c r="AA779" s="93">
        <v>0.0</v>
      </c>
      <c r="AB779" s="93">
        <v>0.0</v>
      </c>
      <c r="AC779" s="93"/>
      <c r="AD779" s="93">
        <v>0.0</v>
      </c>
      <c r="AE779" s="32">
        <f t="shared" si="2"/>
        <v>-65000</v>
      </c>
      <c r="AF779" s="93">
        <v>0.0</v>
      </c>
    </row>
    <row r="780">
      <c r="A780" s="86">
        <v>2017.0</v>
      </c>
      <c r="B780" s="87">
        <v>11.0</v>
      </c>
      <c r="C780" s="88" t="s">
        <v>49</v>
      </c>
      <c r="D780" s="32"/>
      <c r="E780" s="93">
        <v>-30000.0</v>
      </c>
      <c r="F780" s="32"/>
      <c r="G780" s="93">
        <v>-2939.04</v>
      </c>
      <c r="H780" s="93">
        <v>10995.1</v>
      </c>
      <c r="I780" s="93">
        <v>6563.86</v>
      </c>
      <c r="J780" s="93">
        <v>57246.0</v>
      </c>
      <c r="K780" s="32"/>
      <c r="L780" s="32"/>
      <c r="M780" s="32"/>
      <c r="N780" s="32"/>
      <c r="O780" s="93">
        <v>544582.0</v>
      </c>
      <c r="P780" s="91">
        <f>IFERROR(__xludf.DUMMYFUNCTION("IFERROR(sum(FILTER($D:$N,$C:$C = $C780,$A:$A &lt; $A780,$B:$B = 12)),0) + sum($D780:$N780)"),544581.9199999999)</f>
        <v>544581.92</v>
      </c>
      <c r="Q780" s="92">
        <f t="shared" si="1"/>
        <v>0.08000000007</v>
      </c>
      <c r="R780" s="91">
        <f t="array" ref="R780">IFERROR(INDEX('Fund YTD Target Values'!$1:$1000, MATCH($C780,'Fund YTD Target Values'!$A:$A,0), MATCH($A780,'Fund YTD Target Values'!$1:$1,0)),0)</f>
        <v>684659.2079</v>
      </c>
      <c r="S780" s="91">
        <f>IFERROR(__xludf.DUMMYFUNCTION("IFERROR(sum(FILTER('Fund Investment Data'!$V:$V, 'Fund Investment Data'!$C:$C = $C780, 'Fund Investment Data'!$A:$A &lt; $A780)),0) + IFERROR(sum(FILTER('Fund Investment Data'!$V:$V, 'Fund Investment Data'!$C:$C = $C780, 'Fund Investment Data'!$A:$A = $A780,"&amp;" 'Fund Investment Data'!$B:$B &lt;= $B780)),0)"),500000.0)</f>
        <v>500000</v>
      </c>
      <c r="T780" s="93">
        <v>500000.0</v>
      </c>
      <c r="U780" s="32">
        <f t="shared" si="3"/>
        <v>0</v>
      </c>
      <c r="V780" s="32">
        <f>IFERROR(__xludf.DUMMYFUNCTION("$D780 - IFERROR(FILTER($D:$D,$C:$C = $C780, $A:$A = $A780, $B:$B = $B780 - 1),0)"),0.0)</f>
        <v>0</v>
      </c>
      <c r="W780" s="93">
        <f>IFERROR(__xludf.DUMMYFUNCTION("$E780 - IFERROR(FILTER($E:$E,$C:$C = $C780, $A:$A = $A780, $B:$B = $B780 - 1),0)"),-22000.0)</f>
        <v>-22000</v>
      </c>
      <c r="X780" s="93"/>
      <c r="Y780" s="93"/>
      <c r="Z780" s="93">
        <v>0.0</v>
      </c>
      <c r="AA780" s="93">
        <v>0.0</v>
      </c>
      <c r="AB780" s="93">
        <v>0.0</v>
      </c>
      <c r="AC780" s="93"/>
      <c r="AD780" s="93">
        <v>0.0</v>
      </c>
      <c r="AE780" s="32">
        <f t="shared" si="2"/>
        <v>-30000</v>
      </c>
      <c r="AF780" s="93">
        <v>0.0</v>
      </c>
    </row>
    <row r="781">
      <c r="A781" s="86">
        <v>2017.0</v>
      </c>
      <c r="B781" s="87">
        <v>11.0</v>
      </c>
      <c r="C781" s="88" t="s">
        <v>41</v>
      </c>
      <c r="D781" s="32"/>
      <c r="E781" s="93">
        <v>-30000.0</v>
      </c>
      <c r="F781" s="32"/>
      <c r="G781" s="93">
        <v>-3473.11</v>
      </c>
      <c r="H781" s="93">
        <v>12977.77</v>
      </c>
      <c r="I781" s="93">
        <v>4662.04</v>
      </c>
      <c r="J781" s="93">
        <v>70734.92</v>
      </c>
      <c r="K781" s="32"/>
      <c r="L781" s="32"/>
      <c r="M781" s="32"/>
      <c r="N781" s="32"/>
      <c r="O781" s="93">
        <v>649386.0</v>
      </c>
      <c r="P781" s="91">
        <f>IFERROR(__xludf.DUMMYFUNCTION("IFERROR(sum(FILTER($D:$N,$C:$C = $C781,$A:$A &lt; $A781,$B:$B = 12)),0) + sum($D781:$N781)"),649386.66)</f>
        <v>649386.66</v>
      </c>
      <c r="Q781" s="92">
        <f t="shared" si="1"/>
        <v>-0.66</v>
      </c>
      <c r="R781" s="91">
        <f t="array" ref="R781">IFERROR(INDEX('Fund YTD Target Values'!$1:$1000, MATCH($C781,'Fund YTD Target Values'!$A:$A,0), MATCH($A781,'Fund YTD Target Values'!$1:$1,0)),0)</f>
        <v>573948.5743</v>
      </c>
      <c r="S781" s="91">
        <f>IFERROR(__xludf.DUMMYFUNCTION("IFERROR(sum(FILTER('Fund Investment Data'!$V:$V, 'Fund Investment Data'!$C:$C = $C781, 'Fund Investment Data'!$A:$A &lt; $A781)),0) + IFERROR(sum(FILTER('Fund Investment Data'!$V:$V, 'Fund Investment Data'!$C:$C = $C781, 'Fund Investment Data'!$A:$A = $A781,"&amp;" 'Fund Investment Data'!$B:$B &lt;= $B781)),0)"),433755.86)</f>
        <v>433755.86</v>
      </c>
      <c r="T781" s="93">
        <v>434291.0</v>
      </c>
      <c r="U781" s="32">
        <f t="shared" si="3"/>
        <v>-535.14</v>
      </c>
      <c r="V781" s="32">
        <f>IFERROR(__xludf.DUMMYFUNCTION("$D781 - IFERROR(FILTER($D:$D,$C:$C = $C781, $A:$A = $A781, $B:$B = $B781 - 1),0)"),0.0)</f>
        <v>0</v>
      </c>
      <c r="W781" s="93">
        <f>IFERROR(__xludf.DUMMYFUNCTION("$E781 - IFERROR(FILTER($E:$E,$C:$C = $C781, $A:$A = $A781, $B:$B = $B781 - 1),0)"),-18925.0)</f>
        <v>-18925</v>
      </c>
      <c r="X781" s="93"/>
      <c r="Y781" s="93"/>
      <c r="Z781" s="93">
        <v>0.0</v>
      </c>
      <c r="AA781" s="93">
        <v>0.0</v>
      </c>
      <c r="AB781" s="93">
        <v>0.0</v>
      </c>
      <c r="AC781" s="93"/>
      <c r="AD781" s="93">
        <v>0.0</v>
      </c>
      <c r="AE781" s="32">
        <f t="shared" si="2"/>
        <v>-30000</v>
      </c>
      <c r="AF781" s="93">
        <v>0.0</v>
      </c>
    </row>
    <row r="782">
      <c r="A782" s="86">
        <v>2017.0</v>
      </c>
      <c r="B782" s="87">
        <v>11.0</v>
      </c>
      <c r="C782" s="88" t="s">
        <v>25</v>
      </c>
      <c r="D782" s="32"/>
      <c r="E782" s="93">
        <v>-5000.0</v>
      </c>
      <c r="F782" s="32"/>
      <c r="G782" s="93">
        <v>-540.86</v>
      </c>
      <c r="H782" s="93">
        <v>2019.79</v>
      </c>
      <c r="I782" s="93">
        <v>341.1</v>
      </c>
      <c r="J782" s="93">
        <v>11380.59</v>
      </c>
      <c r="K782" s="32"/>
      <c r="L782" s="32"/>
      <c r="M782" s="32"/>
      <c r="N782" s="32"/>
      <c r="O782" s="93">
        <v>100489.0</v>
      </c>
      <c r="P782" s="91">
        <f>IFERROR(__xludf.DUMMYFUNCTION("IFERROR(sum(FILTER($D:$N,$C:$C = $C782,$A:$A &lt; $A782,$B:$B = 12)),0) + sum($D782:$N782)"),100488.62999999999)</f>
        <v>100488.63</v>
      </c>
      <c r="Q782" s="92">
        <f t="shared" si="1"/>
        <v>0.37</v>
      </c>
      <c r="R782" s="91">
        <f t="array" ref="R782">IFERROR(INDEX('Fund YTD Target Values'!$1:$1000, MATCH($C782,'Fund YTD Target Values'!$A:$A,0), MATCH($A782,'Fund YTD Target Values'!$1:$1,0)),0)</f>
        <v>106572.0284</v>
      </c>
      <c r="S782" s="91">
        <f>IFERROR(__xludf.DUMMYFUNCTION("IFERROR(sum(FILTER('Fund Investment Data'!$V:$V, 'Fund Investment Data'!$C:$C = $C782, 'Fund Investment Data'!$A:$A &lt; $A782)),0) + IFERROR(sum(FILTER('Fund Investment Data'!$V:$V, 'Fund Investment Data'!$C:$C = $C782, 'Fund Investment Data'!$A:$A = $A782,"&amp;" 'Fund Investment Data'!$B:$B &lt;= $B782)),0)"),81000.0)</f>
        <v>81000</v>
      </c>
      <c r="T782" s="93">
        <v>81000.0</v>
      </c>
      <c r="U782" s="32">
        <f t="shared" si="3"/>
        <v>0</v>
      </c>
      <c r="V782" s="32">
        <f>IFERROR(__xludf.DUMMYFUNCTION("$D782 - IFERROR(FILTER($D:$D,$C:$C = $C782, $A:$A = $A782, $B:$B = $B782 - 1),0)"),0.0)</f>
        <v>0</v>
      </c>
      <c r="W782" s="93">
        <f>IFERROR(__xludf.DUMMYFUNCTION("$E782 - IFERROR(FILTER($E:$E,$C:$C = $C782, $A:$A = $A782, $B:$B = $B782 - 1),0)"),-3500.0)</f>
        <v>-3500</v>
      </c>
      <c r="X782" s="93"/>
      <c r="Y782" s="93"/>
      <c r="Z782" s="93">
        <v>0.0</v>
      </c>
      <c r="AA782" s="93">
        <v>0.0</v>
      </c>
      <c r="AB782" s="93">
        <v>0.0</v>
      </c>
      <c r="AC782" s="93"/>
      <c r="AD782" s="93">
        <v>0.0</v>
      </c>
      <c r="AE782" s="32">
        <f t="shared" si="2"/>
        <v>-5000</v>
      </c>
      <c r="AF782" s="93">
        <v>0.0</v>
      </c>
    </row>
    <row r="783">
      <c r="A783" s="86">
        <v>2017.0</v>
      </c>
      <c r="B783" s="87">
        <v>11.0</v>
      </c>
      <c r="C783" s="88" t="s">
        <v>42</v>
      </c>
      <c r="D783" s="32"/>
      <c r="E783" s="93">
        <v>-5000.0</v>
      </c>
      <c r="F783" s="32"/>
      <c r="G783" s="93">
        <v>-1551.74</v>
      </c>
      <c r="H783" s="93">
        <v>5749.53</v>
      </c>
      <c r="I783" s="32"/>
      <c r="J783" s="93">
        <v>33400.17</v>
      </c>
      <c r="K783" s="32"/>
      <c r="L783" s="32"/>
      <c r="M783" s="32"/>
      <c r="N783" s="32"/>
      <c r="O783" s="93">
        <v>297757.0</v>
      </c>
      <c r="P783" s="91">
        <f>IFERROR(__xludf.DUMMYFUNCTION("IFERROR(sum(FILTER($D:$N,$C:$C = $C783,$A:$A &lt; $A783,$B:$B = 12)),0) + sum($D783:$N783)"),297756.23000000016)</f>
        <v>297756.23</v>
      </c>
      <c r="Q783" s="92">
        <f t="shared" si="1"/>
        <v>0.7699999998</v>
      </c>
      <c r="R783" s="91">
        <f t="array" ref="R783">IFERROR(INDEX('Fund YTD Target Values'!$1:$1000, MATCH($C783,'Fund YTD Target Values'!$A:$A,0), MATCH($A783,'Fund YTD Target Values'!$1:$1,0)),0)</f>
        <v>234458.6336</v>
      </c>
      <c r="S783" s="91">
        <f>IFERROR(__xludf.DUMMYFUNCTION("IFERROR(sum(FILTER('Fund Investment Data'!$V:$V, 'Fund Investment Data'!$C:$C = $C783, 'Fund Investment Data'!$A:$A &lt; $A783)),0) + IFERROR(sum(FILTER('Fund Investment Data'!$V:$V, 'Fund Investment Data'!$C:$C = $C783, 'Fund Investment Data'!$A:$A = $A783,"&amp;" 'Fund Investment Data'!$B:$B &lt;= $B783)),0)"),194469.0)</f>
        <v>194469</v>
      </c>
      <c r="T783" s="93">
        <v>194469.0</v>
      </c>
      <c r="U783" s="32">
        <f t="shared" si="3"/>
        <v>0</v>
      </c>
      <c r="V783" s="32">
        <f>IFERROR(__xludf.DUMMYFUNCTION("$D783 - IFERROR(FILTER($D:$D,$C:$C = $C783, $A:$A = $A783, $B:$B = $B783 - 1),0)"),0.0)</f>
        <v>0</v>
      </c>
      <c r="W783" s="93">
        <f>IFERROR(__xludf.DUMMYFUNCTION("$E783 - IFERROR(FILTER($E:$E,$C:$C = $C783, $A:$A = $A783, $B:$B = $B783 - 1),0)"),0.0)</f>
        <v>0</v>
      </c>
      <c r="X783" s="93"/>
      <c r="Y783" s="93"/>
      <c r="Z783" s="93">
        <v>0.0</v>
      </c>
      <c r="AA783" s="93">
        <v>0.0</v>
      </c>
      <c r="AB783" s="93">
        <v>0.0</v>
      </c>
      <c r="AC783" s="93"/>
      <c r="AD783" s="93">
        <v>0.0</v>
      </c>
      <c r="AE783" s="32">
        <f t="shared" si="2"/>
        <v>-5000</v>
      </c>
      <c r="AF783" s="93">
        <v>0.0</v>
      </c>
    </row>
    <row r="784">
      <c r="A784" s="86">
        <v>2017.0</v>
      </c>
      <c r="B784" s="87">
        <v>11.0</v>
      </c>
      <c r="C784" s="88" t="s">
        <v>43</v>
      </c>
      <c r="D784" s="32"/>
      <c r="E784" s="93">
        <v>-2000.0</v>
      </c>
      <c r="F784" s="32"/>
      <c r="G784" s="93">
        <v>-650.09</v>
      </c>
      <c r="H784" s="93">
        <v>2429.59</v>
      </c>
      <c r="I784" s="32"/>
      <c r="J784" s="93">
        <v>14159.91</v>
      </c>
      <c r="K784" s="32"/>
      <c r="L784" s="32"/>
      <c r="M784" s="32"/>
      <c r="N784" s="32"/>
      <c r="O784" s="93">
        <v>124796.0</v>
      </c>
      <c r="P784" s="91">
        <f>IFERROR(__xludf.DUMMYFUNCTION("IFERROR(sum(FILTER($D:$N,$C:$C = $C784,$A:$A &lt; $A784,$B:$B = 12)),0) + sum($D784:$N784)"),124795.62000000002)</f>
        <v>124795.62</v>
      </c>
      <c r="Q784" s="92">
        <f t="shared" si="1"/>
        <v>0.38</v>
      </c>
      <c r="R784" s="91">
        <f t="array" ref="R784">IFERROR(INDEX('Fund YTD Target Values'!$1:$1000, MATCH($C784,'Fund YTD Target Values'!$A:$A,0), MATCH($A784,'Fund YTD Target Values'!$1:$1,0)),0)</f>
        <v>127580.7013</v>
      </c>
      <c r="S784" s="91">
        <f>IFERROR(__xludf.DUMMYFUNCTION("IFERROR(sum(FILTER('Fund Investment Data'!$V:$V, 'Fund Investment Data'!$C:$C = $C784, 'Fund Investment Data'!$A:$A &lt; $A784)),0) + IFERROR(sum(FILTER('Fund Investment Data'!$V:$V, 'Fund Investment Data'!$C:$C = $C784, 'Fund Investment Data'!$A:$A = $A784,"&amp;" 'Fund Investment Data'!$B:$B &lt;= $B784)),0)"),100000.0)</f>
        <v>100000</v>
      </c>
      <c r="T784" s="93">
        <v>100000.0</v>
      </c>
      <c r="U784" s="32">
        <f t="shared" si="3"/>
        <v>0</v>
      </c>
      <c r="V784" s="32">
        <f>IFERROR(__xludf.DUMMYFUNCTION("$D784 - IFERROR(FILTER($D:$D,$C:$C = $C784, $A:$A = $A784, $B:$B = $B784 - 1),0)"),0.0)</f>
        <v>0</v>
      </c>
      <c r="W784" s="93">
        <f>IFERROR(__xludf.DUMMYFUNCTION("$E784 - IFERROR(FILTER($E:$E,$C:$C = $C784, $A:$A = $A784, $B:$B = $B784 - 1),0)"),-400.0)</f>
        <v>-400</v>
      </c>
      <c r="X784" s="93"/>
      <c r="Y784" s="93"/>
      <c r="Z784" s="93">
        <v>0.0</v>
      </c>
      <c r="AA784" s="93">
        <v>0.0</v>
      </c>
      <c r="AB784" s="93">
        <v>0.0</v>
      </c>
      <c r="AC784" s="93"/>
      <c r="AD784" s="93">
        <v>0.0</v>
      </c>
      <c r="AE784" s="32">
        <f t="shared" si="2"/>
        <v>-2000</v>
      </c>
      <c r="AF784" s="93">
        <v>0.0</v>
      </c>
    </row>
    <row r="785">
      <c r="A785" s="86">
        <v>2017.0</v>
      </c>
      <c r="B785" s="87">
        <v>11.0</v>
      </c>
      <c r="C785" s="88" t="s">
        <v>52</v>
      </c>
      <c r="D785" s="93">
        <v>3500.0</v>
      </c>
      <c r="E785" s="93">
        <v>-16500.0</v>
      </c>
      <c r="F785" s="32"/>
      <c r="G785" s="93">
        <v>-6322.37</v>
      </c>
      <c r="H785" s="93">
        <v>22345.22</v>
      </c>
      <c r="I785" s="32"/>
      <c r="J785" s="93">
        <v>130029.86</v>
      </c>
      <c r="K785" s="32"/>
      <c r="L785" s="32"/>
      <c r="M785" s="32"/>
      <c r="N785" s="32"/>
      <c r="O785" s="93">
        <v>1157901.0</v>
      </c>
      <c r="P785" s="91">
        <f>IFERROR(__xludf.DUMMYFUNCTION("IFERROR(sum(FILTER($D:$N,$C:$C = $C785,$A:$A &lt; $A785,$B:$B = 12)),0) + sum($D785:$N785)"),1157900.65)</f>
        <v>1157900.65</v>
      </c>
      <c r="Q785" s="92">
        <f t="shared" si="1"/>
        <v>0.3500000001</v>
      </c>
      <c r="R785" s="91">
        <f t="array" ref="R785">IFERROR(INDEX('Fund YTD Target Values'!$1:$1000, MATCH($C785,'Fund YTD Target Values'!$A:$A,0), MATCH($A785,'Fund YTD Target Values'!$1:$1,0)),0)</f>
        <v>1048370.982</v>
      </c>
      <c r="S785" s="91">
        <f>IFERROR(__xludf.DUMMYFUNCTION("IFERROR(sum(FILTER('Fund Investment Data'!$V:$V, 'Fund Investment Data'!$C:$C = $C785, 'Fund Investment Data'!$A:$A &lt; $A785)),0) + IFERROR(sum(FILTER('Fund Investment Data'!$V:$V, 'Fund Investment Data'!$C:$C = $C785, 'Fund Investment Data'!$A:$A = $A785,"&amp;" 'Fund Investment Data'!$B:$B &lt;= $B785)),0)"),1005136.0)</f>
        <v>1005136</v>
      </c>
      <c r="T785" s="93">
        <v>1004449.0</v>
      </c>
      <c r="U785" s="32">
        <f t="shared" si="3"/>
        <v>687</v>
      </c>
      <c r="V785" s="32">
        <f>IFERROR(__xludf.DUMMYFUNCTION("$D785 - IFERROR(FILTER($D:$D,$C:$C = $C785, $A:$A = $A785, $B:$B = $B785 - 1),0)"),1000.0)</f>
        <v>1000</v>
      </c>
      <c r="W785" s="93">
        <f>IFERROR(__xludf.DUMMYFUNCTION("$E785 - IFERROR(FILTER($E:$E,$C:$C = $C785, $A:$A = $A785, $B:$B = $B785 - 1),0)"),0.0)</f>
        <v>0</v>
      </c>
      <c r="X785" s="93"/>
      <c r="Y785" s="93"/>
      <c r="Z785" s="93">
        <v>0.0</v>
      </c>
      <c r="AA785" s="93">
        <v>0.0</v>
      </c>
      <c r="AB785" s="93">
        <v>0.0</v>
      </c>
      <c r="AC785" s="93"/>
      <c r="AD785" s="93">
        <v>0.0</v>
      </c>
      <c r="AE785" s="32">
        <f t="shared" si="2"/>
        <v>-16500</v>
      </c>
      <c r="AF785" s="93">
        <v>0.0</v>
      </c>
    </row>
    <row r="786">
      <c r="A786" s="86">
        <v>2017.0</v>
      </c>
      <c r="B786" s="87">
        <v>11.0</v>
      </c>
      <c r="C786" s="88" t="s">
        <v>33</v>
      </c>
      <c r="D786" s="32"/>
      <c r="E786" s="93">
        <v>-40000.0</v>
      </c>
      <c r="F786" s="32"/>
      <c r="G786" s="93">
        <v>-2022.79</v>
      </c>
      <c r="H786" s="93">
        <v>7573.55</v>
      </c>
      <c r="I786" s="93">
        <v>11040.09</v>
      </c>
      <c r="J786" s="93">
        <v>32659.29</v>
      </c>
      <c r="K786" s="32"/>
      <c r="L786" s="32"/>
      <c r="M786" s="32"/>
      <c r="N786" s="32"/>
      <c r="O786" s="93">
        <v>355035.0</v>
      </c>
      <c r="P786" s="91">
        <f>IFERROR(__xludf.DUMMYFUNCTION("IFERROR(sum(FILTER($D:$N,$C:$C = $C786,$A:$A &lt; $A786,$B:$B = 12)),0) + sum($D786:$N786)"),355035.10999999975)</f>
        <v>355035.11</v>
      </c>
      <c r="Q786" s="92">
        <f t="shared" si="1"/>
        <v>-0.1099999998</v>
      </c>
      <c r="R786" s="91">
        <f t="array" ref="R786">IFERROR(INDEX('Fund YTD Target Values'!$1:$1000, MATCH($C786,'Fund YTD Target Values'!$A:$A,0), MATCH($A786,'Fund YTD Target Values'!$1:$1,0)),0)</f>
        <v>500698.0917</v>
      </c>
      <c r="S786" s="91">
        <f>IFERROR(__xludf.DUMMYFUNCTION("IFERROR(sum(FILTER('Fund Investment Data'!$V:$V, 'Fund Investment Data'!$C:$C = $C786, 'Fund Investment Data'!$A:$A &lt; $A786)),0) + IFERROR(sum(FILTER('Fund Investment Data'!$V:$V, 'Fund Investment Data'!$C:$C = $C786, 'Fund Investment Data'!$A:$A = $A786,"&amp;" 'Fund Investment Data'!$B:$B &lt;= $B786)),0)"),325871.6399999999)</f>
        <v>325871.64</v>
      </c>
      <c r="T786" s="93">
        <v>326032.0</v>
      </c>
      <c r="U786" s="32">
        <f t="shared" si="3"/>
        <v>-160.36</v>
      </c>
      <c r="V786" s="32">
        <f>IFERROR(__xludf.DUMMYFUNCTION("$D786 - IFERROR(FILTER($D:$D,$C:$C = $C786, $A:$A = $A786, $B:$B = $B786 - 1),0)"),0.0)</f>
        <v>0</v>
      </c>
      <c r="W786" s="93">
        <f>IFERROR(__xludf.DUMMYFUNCTION("$E786 - IFERROR(FILTER($E:$E,$C:$C = $C786, $A:$A = $A786, $B:$B = $B786 - 1),0)"),-25000.0)</f>
        <v>-25000</v>
      </c>
      <c r="X786" s="93"/>
      <c r="Y786" s="93"/>
      <c r="Z786" s="93">
        <v>0.0</v>
      </c>
      <c r="AA786" s="93">
        <v>0.0</v>
      </c>
      <c r="AB786" s="93">
        <v>0.0</v>
      </c>
      <c r="AC786" s="93"/>
      <c r="AD786" s="93">
        <v>0.0</v>
      </c>
      <c r="AE786" s="32">
        <f t="shared" si="2"/>
        <v>-40000</v>
      </c>
      <c r="AF786" s="93">
        <v>0.0</v>
      </c>
    </row>
    <row r="787">
      <c r="A787" s="86">
        <v>2017.0</v>
      </c>
      <c r="B787" s="87">
        <v>11.0</v>
      </c>
      <c r="C787" s="88" t="s">
        <v>53</v>
      </c>
      <c r="D787" s="32"/>
      <c r="E787" s="93">
        <v>-63500.0</v>
      </c>
      <c r="F787" s="32"/>
      <c r="G787" s="93">
        <v>-11871.18</v>
      </c>
      <c r="H787" s="93">
        <v>44510.8</v>
      </c>
      <c r="I787" s="93">
        <v>3378.62</v>
      </c>
      <c r="J787" s="93">
        <v>255885.43</v>
      </c>
      <c r="K787" s="32"/>
      <c r="L787" s="32"/>
      <c r="M787" s="32"/>
      <c r="N787" s="32"/>
      <c r="O787" s="93">
        <v>2262317.0</v>
      </c>
      <c r="P787" s="91">
        <f>IFERROR(__xludf.DUMMYFUNCTION("IFERROR(sum(FILTER($D:$N,$C:$C = $C787,$A:$A &lt; $A787,$B:$B = 12)),0) + sum($D787:$N787)"),2262316.9499999997)</f>
        <v>2262316.95</v>
      </c>
      <c r="Q787" s="92">
        <f t="shared" si="1"/>
        <v>0.05000000028</v>
      </c>
      <c r="R787" s="91">
        <f t="array" ref="R787">IFERROR(INDEX('Fund YTD Target Values'!$1:$1000, MATCH($C787,'Fund YTD Target Values'!$A:$A,0), MATCH($A787,'Fund YTD Target Values'!$1:$1,0)),0)</f>
        <v>2171706.82</v>
      </c>
      <c r="S787" s="91">
        <f>IFERROR(__xludf.DUMMYFUNCTION("IFERROR(sum(FILTER('Fund Investment Data'!$V:$V, 'Fund Investment Data'!$C:$C = $C787, 'Fund Investment Data'!$A:$A &lt; $A787)),0) + IFERROR(sum(FILTER('Fund Investment Data'!$V:$V, 'Fund Investment Data'!$C:$C = $C787, 'Fund Investment Data'!$A:$A = $A787,"&amp;" 'Fund Investment Data'!$B:$B &lt;= $B787)),0)"),2005500.0)</f>
        <v>2005500</v>
      </c>
      <c r="T787" s="93">
        <v>2005500.0</v>
      </c>
      <c r="U787" s="32">
        <f t="shared" si="3"/>
        <v>0</v>
      </c>
      <c r="V787" s="32">
        <f>IFERROR(__xludf.DUMMYFUNCTION("$D787 - IFERROR(FILTER($D:$D,$C:$C = $C787, $A:$A = $A787, $B:$B = $B787 - 1),0)"),0.0)</f>
        <v>0</v>
      </c>
      <c r="W787" s="93">
        <f>IFERROR(__xludf.DUMMYFUNCTION("$E787 - IFERROR(FILTER($E:$E,$C:$C = $C787, $A:$A = $A787, $B:$B = $B787 - 1),0)"),-25800.0)</f>
        <v>-25800</v>
      </c>
      <c r="X787" s="93"/>
      <c r="Y787" s="93"/>
      <c r="Z787" s="93">
        <v>0.0</v>
      </c>
      <c r="AA787" s="93">
        <v>0.0</v>
      </c>
      <c r="AB787" s="93">
        <v>0.0</v>
      </c>
      <c r="AC787" s="93"/>
      <c r="AD787" s="93">
        <v>0.0</v>
      </c>
      <c r="AE787" s="32">
        <f t="shared" si="2"/>
        <v>-63500</v>
      </c>
      <c r="AF787" s="93">
        <v>0.0</v>
      </c>
    </row>
    <row r="788">
      <c r="A788" s="86">
        <v>2017.0</v>
      </c>
      <c r="B788" s="87">
        <v>11.0</v>
      </c>
      <c r="C788" s="88" t="s">
        <v>34</v>
      </c>
      <c r="D788" s="93">
        <v>5000.0</v>
      </c>
      <c r="E788" s="93">
        <v>-5000.0</v>
      </c>
      <c r="F788" s="32"/>
      <c r="G788" s="93">
        <v>-751.55</v>
      </c>
      <c r="H788" s="93">
        <v>2739.76</v>
      </c>
      <c r="I788" s="32"/>
      <c r="J788" s="93">
        <v>15802.4</v>
      </c>
      <c r="K788" s="32"/>
      <c r="L788" s="32"/>
      <c r="M788" s="32"/>
      <c r="N788" s="32"/>
      <c r="O788" s="93">
        <v>143487.0</v>
      </c>
      <c r="P788" s="91">
        <f>IFERROR(__xludf.DUMMYFUNCTION("IFERROR(sum(FILTER($D:$N,$C:$C = $C788,$A:$A &lt; $A788,$B:$B = 12)),0) + sum($D788:$N788)"),143487.12)</f>
        <v>143487.12</v>
      </c>
      <c r="Q788" s="92">
        <f t="shared" si="1"/>
        <v>-0.12</v>
      </c>
      <c r="R788" s="91">
        <f t="array" ref="R788">IFERROR(INDEX('Fund YTD Target Values'!$1:$1000, MATCH($C788,'Fund YTD Target Values'!$A:$A,0), MATCH($A788,'Fund YTD Target Values'!$1:$1,0)),0)</f>
        <v>127220.0742</v>
      </c>
      <c r="S788" s="91">
        <f>IFERROR(__xludf.DUMMYFUNCTION("IFERROR(sum(FILTER('Fund Investment Data'!$V:$V, 'Fund Investment Data'!$C:$C = $C788, 'Fund Investment Data'!$A:$A &lt; $A788)),0) + IFERROR(sum(FILTER('Fund Investment Data'!$V:$V, 'Fund Investment Data'!$C:$C = $C788, 'Fund Investment Data'!$A:$A = $A788,"&amp;" 'Fund Investment Data'!$B:$B &lt;= $B788)),0)"),120000.0)</f>
        <v>120000</v>
      </c>
      <c r="T788" s="93">
        <v>121567.0</v>
      </c>
      <c r="U788" s="32">
        <f t="shared" si="3"/>
        <v>-1567</v>
      </c>
      <c r="V788" s="32">
        <f>IFERROR(__xludf.DUMMYFUNCTION("$D788 - IFERROR(FILTER($D:$D,$C:$C = $C788, $A:$A = $A788, $B:$B = $B788 - 1),0)"),0.0)</f>
        <v>0</v>
      </c>
      <c r="W788" s="93">
        <f>IFERROR(__xludf.DUMMYFUNCTION("$E788 - IFERROR(FILTER($E:$E,$C:$C = $C788, $A:$A = $A788, $B:$B = $B788 - 1),0)"),0.0)</f>
        <v>0</v>
      </c>
      <c r="X788" s="93"/>
      <c r="Y788" s="93"/>
      <c r="Z788" s="93">
        <v>0.0</v>
      </c>
      <c r="AA788" s="93">
        <v>0.0</v>
      </c>
      <c r="AB788" s="93">
        <v>0.0</v>
      </c>
      <c r="AC788" s="93"/>
      <c r="AD788" s="93">
        <v>0.0</v>
      </c>
      <c r="AE788" s="32">
        <f t="shared" si="2"/>
        <v>-5000</v>
      </c>
      <c r="AF788" s="93">
        <v>0.0</v>
      </c>
    </row>
    <row r="789">
      <c r="A789" s="86">
        <v>2017.0</v>
      </c>
      <c r="B789" s="87">
        <v>11.0</v>
      </c>
      <c r="C789" s="88" t="s">
        <v>54</v>
      </c>
      <c r="D789" s="93">
        <v>1087.0</v>
      </c>
      <c r="E789" s="32"/>
      <c r="F789" s="32"/>
      <c r="G789" s="93">
        <v>-886.33</v>
      </c>
      <c r="H789" s="93">
        <v>3171.49</v>
      </c>
      <c r="I789" s="32"/>
      <c r="J789" s="93">
        <v>18143.95</v>
      </c>
      <c r="K789" s="32"/>
      <c r="L789" s="32"/>
      <c r="M789" s="32"/>
      <c r="N789" s="32"/>
      <c r="O789" s="93">
        <v>171970.0</v>
      </c>
      <c r="P789" s="91">
        <f>IFERROR(__xludf.DUMMYFUNCTION("IFERROR(sum(FILTER($D:$N,$C:$C = $C789,$A:$A &lt; $A789,$B:$B = 12)),0) + sum($D789:$N789)"),171971.21999999997)</f>
        <v>171971.22</v>
      </c>
      <c r="Q789" s="92">
        <f t="shared" si="1"/>
        <v>-1.22</v>
      </c>
      <c r="R789" s="91">
        <f t="array" ref="R789">IFERROR(INDEX('Fund YTD Target Values'!$1:$1000, MATCH($C789,'Fund YTD Target Values'!$A:$A,0), MATCH($A789,'Fund YTD Target Values'!$1:$1,0)),0)</f>
        <v>151442.9959</v>
      </c>
      <c r="S789" s="91">
        <f>IFERROR(__xludf.DUMMYFUNCTION("IFERROR(sum(FILTER('Fund Investment Data'!$V:$V, 'Fund Investment Data'!$C:$C = $C789, 'Fund Investment Data'!$A:$A &lt; $A789)),0) + IFERROR(sum(FILTER('Fund Investment Data'!$V:$V, 'Fund Investment Data'!$C:$C = $C789, 'Fund Investment Data'!$A:$A = $A789,"&amp;" 'Fund Investment Data'!$B:$B &lt;= $B789)),0)"),112432.10999999999)</f>
        <v>112432.11</v>
      </c>
      <c r="T789" s="93">
        <v>108517.0</v>
      </c>
      <c r="U789" s="32">
        <f t="shared" si="3"/>
        <v>3915.11</v>
      </c>
      <c r="V789" s="32">
        <f>IFERROR(__xludf.DUMMYFUNCTION("$D789 - IFERROR(FILTER($D:$D,$C:$C = $C789, $A:$A = $A789, $B:$B = $B789 - 1),0)"),0.0)</f>
        <v>0</v>
      </c>
      <c r="W789" s="93">
        <f>IFERROR(__xludf.DUMMYFUNCTION("$E789 - IFERROR(FILTER($E:$E,$C:$C = $C789, $A:$A = $A789, $B:$B = $B789 - 1),0)"),0.0)</f>
        <v>0</v>
      </c>
      <c r="X789" s="93"/>
      <c r="Y789" s="93"/>
      <c r="Z789" s="93">
        <v>0.0</v>
      </c>
      <c r="AA789" s="93">
        <v>0.0</v>
      </c>
      <c r="AB789" s="93">
        <v>0.0</v>
      </c>
      <c r="AC789" s="93"/>
      <c r="AD789" s="93">
        <v>0.0</v>
      </c>
      <c r="AE789" s="32">
        <f t="shared" si="2"/>
        <v>0</v>
      </c>
      <c r="AF789" s="93">
        <v>0.0</v>
      </c>
    </row>
    <row r="790">
      <c r="A790" s="86">
        <v>2017.0</v>
      </c>
      <c r="B790" s="87">
        <v>11.0</v>
      </c>
      <c r="C790" s="88" t="s">
        <v>55</v>
      </c>
      <c r="D790" s="93">
        <v>70000.0</v>
      </c>
      <c r="E790" s="32"/>
      <c r="F790" s="32"/>
      <c r="G790" s="93">
        <v>-1104.15</v>
      </c>
      <c r="H790" s="93">
        <v>2330.76</v>
      </c>
      <c r="I790" s="32"/>
      <c r="J790" s="93">
        <v>15108.23</v>
      </c>
      <c r="K790" s="32"/>
      <c r="L790" s="32"/>
      <c r="M790" s="32"/>
      <c r="N790" s="32"/>
      <c r="O790" s="93">
        <v>228210.0</v>
      </c>
      <c r="P790" s="91">
        <f>IFERROR(__xludf.DUMMYFUNCTION("IFERROR(sum(FILTER($D:$N,$C:$C = $C790,$A:$A &lt; $A790,$B:$B = 12)),0) + sum($D790:$N790)"),228210.12999999998)</f>
        <v>228210.13</v>
      </c>
      <c r="Q790" s="92">
        <f t="shared" si="1"/>
        <v>-0.13</v>
      </c>
      <c r="R790" s="91">
        <f t="array" ref="R790">IFERROR(INDEX('Fund YTD Target Values'!$1:$1000, MATCH($C790,'Fund YTD Target Values'!$A:$A,0), MATCH($A790,'Fund YTD Target Values'!$1:$1,0)),0)</f>
        <v>213886.3799</v>
      </c>
      <c r="S790" s="91">
        <f>IFERROR(__xludf.DUMMYFUNCTION("IFERROR(sum(FILTER('Fund Investment Data'!$V:$V, 'Fund Investment Data'!$C:$C = $C790, 'Fund Investment Data'!$A:$A &lt; $A790)),0) + IFERROR(sum(FILTER('Fund Investment Data'!$V:$V, 'Fund Investment Data'!$C:$C = $C790, 'Fund Investment Data'!$A:$A = $A790,"&amp;" 'Fund Investment Data'!$B:$B &lt;= $B790)),0)"),210000.0)</f>
        <v>210000</v>
      </c>
      <c r="T790" s="93">
        <v>200469.0</v>
      </c>
      <c r="U790" s="32">
        <f t="shared" si="3"/>
        <v>9531</v>
      </c>
      <c r="V790" s="32">
        <f>IFERROR(__xludf.DUMMYFUNCTION("$D790 - IFERROR(FILTER($D:$D,$C:$C = $C790, $A:$A = $A790, $B:$B = $B790 - 1),0)"),0.0)</f>
        <v>0</v>
      </c>
      <c r="W790" s="93">
        <f>IFERROR(__xludf.DUMMYFUNCTION("$E790 - IFERROR(FILTER($E:$E,$C:$C = $C790, $A:$A = $A790, $B:$B = $B790 - 1),0)"),0.0)</f>
        <v>0</v>
      </c>
      <c r="X790" s="93"/>
      <c r="Y790" s="93"/>
      <c r="Z790" s="93">
        <v>0.0</v>
      </c>
      <c r="AA790" s="93">
        <v>0.0</v>
      </c>
      <c r="AB790" s="93">
        <v>0.0</v>
      </c>
      <c r="AC790" s="93"/>
      <c r="AD790" s="93">
        <v>0.0</v>
      </c>
      <c r="AE790" s="32">
        <f t="shared" si="2"/>
        <v>0</v>
      </c>
      <c r="AF790" s="93">
        <v>0.0</v>
      </c>
    </row>
    <row r="791">
      <c r="A791" s="86">
        <v>2017.0</v>
      </c>
      <c r="B791" s="87">
        <v>11.0</v>
      </c>
      <c r="C791" s="88" t="s">
        <v>44</v>
      </c>
      <c r="D791" s="32"/>
      <c r="E791" s="93">
        <v>-20000.0</v>
      </c>
      <c r="F791" s="32"/>
      <c r="G791" s="93">
        <v>-1564.91</v>
      </c>
      <c r="H791" s="93">
        <v>5849.41</v>
      </c>
      <c r="I791" s="93">
        <v>4956.86</v>
      </c>
      <c r="J791" s="93">
        <v>28904.9</v>
      </c>
      <c r="K791" s="32"/>
      <c r="L791" s="32"/>
      <c r="M791" s="32"/>
      <c r="N791" s="32"/>
      <c r="O791" s="93">
        <v>284997.0</v>
      </c>
      <c r="P791" s="91">
        <f>IFERROR(__xludf.DUMMYFUNCTION("IFERROR(sum(FILTER($D:$N,$C:$C = $C791,$A:$A &lt; $A791,$B:$B = 12)),0) + sum($D791:$N791)"),284997.41000000015)</f>
        <v>284997.41</v>
      </c>
      <c r="Q791" s="92">
        <f t="shared" si="1"/>
        <v>-0.4100000001</v>
      </c>
      <c r="R791" s="91">
        <f t="array" ref="R791">IFERROR(INDEX('Fund YTD Target Values'!$1:$1000, MATCH($C791,'Fund YTD Target Values'!$A:$A,0), MATCH($A791,'Fund YTD Target Values'!$1:$1,0)),0)</f>
        <v>313918.5223</v>
      </c>
      <c r="S791" s="91">
        <f>IFERROR(__xludf.DUMMYFUNCTION("IFERROR(sum(FILTER('Fund Investment Data'!$V:$V, 'Fund Investment Data'!$C:$C = $C791, 'Fund Investment Data'!$A:$A &lt; $A791)),0) + IFERROR(sum(FILTER('Fund Investment Data'!$V:$V, 'Fund Investment Data'!$C:$C = $C791, 'Fund Investment Data'!$A:$A = $A791,"&amp;" 'Fund Investment Data'!$B:$B &lt;= $B791)),0)"),250000.0)</f>
        <v>250000</v>
      </c>
      <c r="T791" s="93">
        <v>250000.0</v>
      </c>
      <c r="U791" s="32">
        <f t="shared" si="3"/>
        <v>0</v>
      </c>
      <c r="V791" s="32">
        <f>IFERROR(__xludf.DUMMYFUNCTION("$D791 - IFERROR(FILTER($D:$D,$C:$C = $C791, $A:$A = $A791, $B:$B = $B791 - 1),0)"),0.0)</f>
        <v>0</v>
      </c>
      <c r="W791" s="93">
        <f>IFERROR(__xludf.DUMMYFUNCTION("$E791 - IFERROR(FILTER($E:$E,$C:$C = $C791, $A:$A = $A791, $B:$B = $B791 - 1),0)"),-15800.0)</f>
        <v>-15800</v>
      </c>
      <c r="X791" s="93"/>
      <c r="Y791" s="93"/>
      <c r="Z791" s="93">
        <v>0.0</v>
      </c>
      <c r="AA791" s="93">
        <v>0.0</v>
      </c>
      <c r="AB791" s="93">
        <v>0.0</v>
      </c>
      <c r="AC791" s="93"/>
      <c r="AD791" s="93">
        <v>0.0</v>
      </c>
      <c r="AE791" s="32">
        <f t="shared" si="2"/>
        <v>-20000</v>
      </c>
      <c r="AF791" s="93">
        <v>0.0</v>
      </c>
    </row>
    <row r="792">
      <c r="A792" s="86">
        <v>2017.0</v>
      </c>
      <c r="B792" s="87">
        <v>11.0</v>
      </c>
      <c r="C792" s="88" t="s">
        <v>45</v>
      </c>
      <c r="D792" s="32"/>
      <c r="E792" s="93">
        <v>-5000.0</v>
      </c>
      <c r="F792" s="32"/>
      <c r="G792" s="93">
        <v>-779.13</v>
      </c>
      <c r="H792" s="93">
        <v>2857.03</v>
      </c>
      <c r="I792" s="32"/>
      <c r="J792" s="93">
        <v>16541.8</v>
      </c>
      <c r="K792" s="32"/>
      <c r="L792" s="32"/>
      <c r="M792" s="32"/>
      <c r="N792" s="32"/>
      <c r="O792" s="93">
        <v>147564.0</v>
      </c>
      <c r="P792" s="91">
        <f>IFERROR(__xludf.DUMMYFUNCTION("IFERROR(sum(FILTER($D:$N,$C:$C = $C792,$A:$A &lt; $A792,$B:$B = 12)),0) + sum($D792:$N792)"),147564.53)</f>
        <v>147564.53</v>
      </c>
      <c r="Q792" s="92">
        <f t="shared" si="1"/>
        <v>-0.53</v>
      </c>
      <c r="R792" s="91">
        <f t="array" ref="R792">IFERROR(INDEX('Fund YTD Target Values'!$1:$1000, MATCH($C792,'Fund YTD Target Values'!$A:$A,0), MATCH($A792,'Fund YTD Target Values'!$1:$1,0)),0)</f>
        <v>118351.1878</v>
      </c>
      <c r="S792" s="91">
        <f>IFERROR(__xludf.DUMMYFUNCTION("IFERROR(sum(FILTER('Fund Investment Data'!$V:$V, 'Fund Investment Data'!$C:$C = $C792, 'Fund Investment Data'!$A:$A &lt; $A792)),0) + IFERROR(sum(FILTER('Fund Investment Data'!$V:$V, 'Fund Investment Data'!$C:$C = $C792, 'Fund Investment Data'!$A:$A = $A792,"&amp;" 'Fund Investment Data'!$B:$B &lt;= $B792)),0)"),100000.0)</f>
        <v>100000</v>
      </c>
      <c r="T792" s="93">
        <v>100000.0</v>
      </c>
      <c r="U792" s="32">
        <f t="shared" si="3"/>
        <v>0</v>
      </c>
      <c r="V792" s="32">
        <f>IFERROR(__xludf.DUMMYFUNCTION("$D792 - IFERROR(FILTER($D:$D,$C:$C = $C792, $A:$A = $A792, $B:$B = $B792 - 1),0)"),0.0)</f>
        <v>0</v>
      </c>
      <c r="W792" s="93">
        <f>IFERROR(__xludf.DUMMYFUNCTION("$E792 - IFERROR(FILTER($E:$E,$C:$C = $C792, $A:$A = $A792, $B:$B = $B792 - 1),0)"),0.0)</f>
        <v>0</v>
      </c>
      <c r="X792" s="93"/>
      <c r="Y792" s="93"/>
      <c r="Z792" s="93">
        <v>0.0</v>
      </c>
      <c r="AA792" s="93">
        <v>0.0</v>
      </c>
      <c r="AB792" s="93">
        <v>0.0</v>
      </c>
      <c r="AC792" s="93"/>
      <c r="AD792" s="93">
        <v>0.0</v>
      </c>
      <c r="AE792" s="32">
        <f t="shared" si="2"/>
        <v>-5000</v>
      </c>
      <c r="AF792" s="93">
        <v>0.0</v>
      </c>
    </row>
    <row r="793">
      <c r="A793" s="86">
        <v>2017.0</v>
      </c>
      <c r="B793" s="87">
        <v>11.0</v>
      </c>
      <c r="C793" s="88" t="s">
        <v>35</v>
      </c>
      <c r="D793" s="32"/>
      <c r="E793" s="93">
        <v>-75000.0</v>
      </c>
      <c r="F793" s="32"/>
      <c r="G793" s="93">
        <v>-7810.7</v>
      </c>
      <c r="H793" s="93">
        <v>29318.39</v>
      </c>
      <c r="I793" s="93">
        <v>16829.72</v>
      </c>
      <c r="J793" s="93">
        <v>153570.47</v>
      </c>
      <c r="K793" s="32"/>
      <c r="L793" s="32"/>
      <c r="M793" s="32"/>
      <c r="N793" s="32"/>
      <c r="O793" s="93">
        <v>1457766.0</v>
      </c>
      <c r="P793" s="91">
        <f>IFERROR(__xludf.DUMMYFUNCTION("IFERROR(sum(FILTER($D:$N,$C:$C = $C793,$A:$A &lt; $A793,$B:$B = 12)),0) + sum($D793:$N793)"),1457765.5500000003)</f>
        <v>1457765.55</v>
      </c>
      <c r="Q793" s="92">
        <f t="shared" si="1"/>
        <v>0.4499999997</v>
      </c>
      <c r="R793" s="91">
        <f t="array" ref="R793">IFERROR(INDEX('Fund YTD Target Values'!$1:$1000, MATCH($C793,'Fund YTD Target Values'!$A:$A,0), MATCH($A793,'Fund YTD Target Values'!$1:$1,0)),0)</f>
        <v>1541591.16</v>
      </c>
      <c r="S793" s="91">
        <f>IFERROR(__xludf.DUMMYFUNCTION("IFERROR(sum(FILTER('Fund Investment Data'!$V:$V, 'Fund Investment Data'!$C:$C = $C793, 'Fund Investment Data'!$A:$A &lt; $A793)),0) + IFERROR(sum(FILTER('Fund Investment Data'!$V:$V, 'Fund Investment Data'!$C:$C = $C793, 'Fund Investment Data'!$A:$A = $A793,"&amp;" 'Fund Investment Data'!$B:$B &lt;= $B793)),0)"),1086625.0)</f>
        <v>1086625</v>
      </c>
      <c r="T793" s="93">
        <v>1071625.0</v>
      </c>
      <c r="U793" s="32">
        <f t="shared" si="3"/>
        <v>15000</v>
      </c>
      <c r="V793" s="32">
        <f>IFERROR(__xludf.DUMMYFUNCTION("$D793 - IFERROR(FILTER($D:$D,$C:$C = $C793, $A:$A = $A793, $B:$B = $B793 - 1),0)"),0.0)</f>
        <v>0</v>
      </c>
      <c r="W793" s="93">
        <f>IFERROR(__xludf.DUMMYFUNCTION("$E793 - IFERROR(FILTER($E:$E,$C:$C = $C793, $A:$A = $A793, $B:$B = $B793 - 1),0)"),-28300.0)</f>
        <v>-28300</v>
      </c>
      <c r="X793" s="93"/>
      <c r="Y793" s="93"/>
      <c r="Z793" s="93">
        <v>0.0</v>
      </c>
      <c r="AA793" s="93">
        <v>0.0</v>
      </c>
      <c r="AB793" s="93">
        <v>0.0</v>
      </c>
      <c r="AC793" s="93"/>
      <c r="AD793" s="93">
        <v>0.0</v>
      </c>
      <c r="AE793" s="32">
        <f t="shared" si="2"/>
        <v>-75000</v>
      </c>
      <c r="AF793" s="93">
        <v>0.0</v>
      </c>
    </row>
    <row r="794">
      <c r="A794" s="86">
        <v>2017.0</v>
      </c>
      <c r="B794" s="87">
        <v>11.0</v>
      </c>
      <c r="C794" s="88" t="s">
        <v>56</v>
      </c>
      <c r="D794" s="32"/>
      <c r="E794" s="93">
        <v>-12000.0</v>
      </c>
      <c r="F794" s="32"/>
      <c r="G794" s="93">
        <v>-5853.2</v>
      </c>
      <c r="H794" s="93">
        <v>21389.29</v>
      </c>
      <c r="I794" s="32"/>
      <c r="J794" s="93">
        <v>123463.12</v>
      </c>
      <c r="K794" s="32"/>
      <c r="L794" s="32"/>
      <c r="M794" s="32"/>
      <c r="N794" s="32"/>
      <c r="O794" s="93">
        <v>1126718.0</v>
      </c>
      <c r="P794" s="91">
        <f>IFERROR(__xludf.DUMMYFUNCTION("IFERROR(sum(FILTER($D:$N,$C:$C = $C794,$A:$A &lt; $A794,$B:$B = 12)),0) + sum($D794:$N794)"),1126717.8299999998)</f>
        <v>1126717.83</v>
      </c>
      <c r="Q794" s="92">
        <f t="shared" si="1"/>
        <v>0.1700000002</v>
      </c>
      <c r="R794" s="91">
        <f t="array" ref="R794">IFERROR(INDEX('Fund YTD Target Values'!$1:$1000, MATCH($C794,'Fund YTD Target Values'!$A:$A,0), MATCH($A794,'Fund YTD Target Values'!$1:$1,0)),0)</f>
        <v>1035433.228</v>
      </c>
      <c r="S794" s="91">
        <f>IFERROR(__xludf.DUMMYFUNCTION("IFERROR(sum(FILTER('Fund Investment Data'!$V:$V, 'Fund Investment Data'!$C:$C = $C794, 'Fund Investment Data'!$A:$A &lt; $A794)),0) + IFERROR(sum(FILTER('Fund Investment Data'!$V:$V, 'Fund Investment Data'!$C:$C = $C794, 'Fund Investment Data'!$A:$A = $A794,"&amp;" 'Fund Investment Data'!$B:$B &lt;= $B794)),0)"),1000000.0)</f>
        <v>1000000</v>
      </c>
      <c r="T794" s="93">
        <v>1000000.0</v>
      </c>
      <c r="U794" s="32">
        <f t="shared" si="3"/>
        <v>0</v>
      </c>
      <c r="V794" s="32">
        <f>IFERROR(__xludf.DUMMYFUNCTION("$D794 - IFERROR(FILTER($D:$D,$C:$C = $C794, $A:$A = $A794, $B:$B = $B794 - 1),0)"),0.0)</f>
        <v>0</v>
      </c>
      <c r="W794" s="93">
        <f>IFERROR(__xludf.DUMMYFUNCTION("$E794 - IFERROR(FILTER($E:$E,$C:$C = $C794, $A:$A = $A794, $B:$B = $B794 - 1),0)"),0.0)</f>
        <v>0</v>
      </c>
      <c r="X794" s="93"/>
      <c r="Y794" s="93"/>
      <c r="Z794" s="93">
        <v>0.0</v>
      </c>
      <c r="AA794" s="93">
        <v>0.0</v>
      </c>
      <c r="AB794" s="93">
        <v>0.0</v>
      </c>
      <c r="AC794" s="93"/>
      <c r="AD794" s="93">
        <v>0.0</v>
      </c>
      <c r="AE794" s="32">
        <f t="shared" si="2"/>
        <v>-12000</v>
      </c>
      <c r="AF794" s="93">
        <v>0.0</v>
      </c>
    </row>
    <row r="795">
      <c r="A795" s="86">
        <v>2017.0</v>
      </c>
      <c r="B795" s="87">
        <v>11.0</v>
      </c>
      <c r="C795" s="88" t="s">
        <v>57</v>
      </c>
      <c r="D795" s="93">
        <v>2000000.0</v>
      </c>
      <c r="E795" s="32"/>
      <c r="F795" s="32"/>
      <c r="G795" s="93">
        <v>-516.13</v>
      </c>
      <c r="H795" s="93">
        <v>1433.45</v>
      </c>
      <c r="I795" s="32"/>
      <c r="J795" s="93">
        <v>22596.37</v>
      </c>
      <c r="K795" s="32"/>
      <c r="L795" s="32"/>
      <c r="M795" s="32"/>
      <c r="N795" s="32"/>
      <c r="O795" s="93">
        <v>2023514.0</v>
      </c>
      <c r="P795" s="91">
        <f>IFERROR(__xludf.DUMMYFUNCTION("IFERROR(sum(FILTER($D:$N,$C:$C = $C795,$A:$A &lt; $A795,$B:$B = 12)),0) + sum($D795:$N795)"),2023513.6900000002)</f>
        <v>2023513.69</v>
      </c>
      <c r="Q795" s="92">
        <f t="shared" si="1"/>
        <v>0.3099999998</v>
      </c>
      <c r="R795" s="91">
        <f t="array" ref="R795">IFERROR(INDEX('Fund YTD Target Values'!$1:$1000, MATCH($C795,'Fund YTD Target Values'!$A:$A,0), MATCH($A795,'Fund YTD Target Values'!$1:$1,0)),0)</f>
        <v>2000000</v>
      </c>
      <c r="S795" s="91">
        <f>IFERROR(__xludf.DUMMYFUNCTION("IFERROR(sum(FILTER('Fund Investment Data'!$V:$V, 'Fund Investment Data'!$C:$C = $C795, 'Fund Investment Data'!$A:$A &lt; $A795)),0) + IFERROR(sum(FILTER('Fund Investment Data'!$V:$V, 'Fund Investment Data'!$C:$C = $C795, 'Fund Investment Data'!$A:$A = $A795,"&amp;" 'Fund Investment Data'!$B:$B &lt;= $B795)),0)"),2000000.0)</f>
        <v>2000000</v>
      </c>
      <c r="T795" s="93">
        <v>2000000.0</v>
      </c>
      <c r="U795" s="32">
        <f t="shared" si="3"/>
        <v>0</v>
      </c>
      <c r="V795" s="32">
        <f>IFERROR(__xludf.DUMMYFUNCTION("$D795 - IFERROR(FILTER($D:$D,$C:$C = $C795, $A:$A = $A795, $B:$B = $B795 - 1),0)"),0.0)</f>
        <v>0</v>
      </c>
      <c r="W795" s="93">
        <f>IFERROR(__xludf.DUMMYFUNCTION("$E795 - IFERROR(FILTER($E:$E,$C:$C = $C795, $A:$A = $A795, $B:$B = $B795 - 1),0)"),0.0)</f>
        <v>0</v>
      </c>
      <c r="X795" s="93"/>
      <c r="Y795" s="93"/>
      <c r="Z795" s="93">
        <v>0.0</v>
      </c>
      <c r="AA795" s="93">
        <v>0.0</v>
      </c>
      <c r="AB795" s="93">
        <v>0.0</v>
      </c>
      <c r="AC795" s="93"/>
      <c r="AD795" s="93">
        <v>0.0</v>
      </c>
      <c r="AE795" s="32">
        <f t="shared" si="2"/>
        <v>0</v>
      </c>
      <c r="AF795" s="93">
        <v>0.0</v>
      </c>
    </row>
    <row r="796">
      <c r="A796" s="86">
        <v>2017.0</v>
      </c>
      <c r="B796" s="87">
        <v>11.0</v>
      </c>
      <c r="C796" s="88" t="s">
        <v>58</v>
      </c>
      <c r="D796" s="93">
        <v>2000000.0</v>
      </c>
      <c r="E796" s="32"/>
      <c r="F796" s="32"/>
      <c r="G796" s="93">
        <v>-516.13</v>
      </c>
      <c r="H796" s="93">
        <v>1433.45</v>
      </c>
      <c r="I796" s="32"/>
      <c r="J796" s="93">
        <v>22596.37</v>
      </c>
      <c r="K796" s="32"/>
      <c r="L796" s="32"/>
      <c r="M796" s="32"/>
      <c r="N796" s="32"/>
      <c r="O796" s="93">
        <v>2023514.0</v>
      </c>
      <c r="P796" s="91">
        <f>IFERROR(__xludf.DUMMYFUNCTION("IFERROR(sum(FILTER($D:$N,$C:$C = $C796,$A:$A &lt; $A796,$B:$B = 12)),0) + sum($D796:$N796)"),2023513.6900000002)</f>
        <v>2023513.69</v>
      </c>
      <c r="Q796" s="92">
        <f t="shared" si="1"/>
        <v>0.3099999998</v>
      </c>
      <c r="R796" s="91">
        <f t="array" ref="R796">IFERROR(INDEX('Fund YTD Target Values'!$1:$1000, MATCH($C796,'Fund YTD Target Values'!$A:$A,0), MATCH($A796,'Fund YTD Target Values'!$1:$1,0)),0)</f>
        <v>2000000</v>
      </c>
      <c r="S796" s="91">
        <f>IFERROR(__xludf.DUMMYFUNCTION("IFERROR(sum(FILTER('Fund Investment Data'!$V:$V, 'Fund Investment Data'!$C:$C = $C796, 'Fund Investment Data'!$A:$A &lt; $A796)),0) + IFERROR(sum(FILTER('Fund Investment Data'!$V:$V, 'Fund Investment Data'!$C:$C = $C796, 'Fund Investment Data'!$A:$A = $A796,"&amp;" 'Fund Investment Data'!$B:$B &lt;= $B796)),0)"),2000000.0)</f>
        <v>2000000</v>
      </c>
      <c r="T796" s="93">
        <v>2000000.0</v>
      </c>
      <c r="U796" s="32">
        <f t="shared" si="3"/>
        <v>0</v>
      </c>
      <c r="V796" s="32">
        <f>IFERROR(__xludf.DUMMYFUNCTION("$D796 - IFERROR(FILTER($D:$D,$C:$C = $C796, $A:$A = $A796, $B:$B = $B796 - 1),0)"),0.0)</f>
        <v>0</v>
      </c>
      <c r="W796" s="93">
        <f>IFERROR(__xludf.DUMMYFUNCTION("$E796 - IFERROR(FILTER($E:$E,$C:$C = $C796, $A:$A = $A796, $B:$B = $B796 - 1),0)"),0.0)</f>
        <v>0</v>
      </c>
      <c r="X796" s="93"/>
      <c r="Y796" s="93"/>
      <c r="Z796" s="93">
        <v>0.0</v>
      </c>
      <c r="AA796" s="93">
        <v>0.0</v>
      </c>
      <c r="AB796" s="93">
        <v>0.0</v>
      </c>
      <c r="AC796" s="93"/>
      <c r="AD796" s="93">
        <v>0.0</v>
      </c>
      <c r="AE796" s="32">
        <f t="shared" si="2"/>
        <v>0</v>
      </c>
      <c r="AF796" s="93">
        <v>0.0</v>
      </c>
    </row>
    <row r="797">
      <c r="A797" s="86">
        <v>2017.0</v>
      </c>
      <c r="B797" s="87">
        <v>12.0</v>
      </c>
      <c r="C797" s="88" t="s">
        <v>26</v>
      </c>
      <c r="D797" s="93">
        <v>10093.0</v>
      </c>
      <c r="E797" s="93">
        <v>-10000.0</v>
      </c>
      <c r="F797" s="93"/>
      <c r="G797" s="93">
        <v>-1901.66</v>
      </c>
      <c r="H797" s="93">
        <v>6838.05</v>
      </c>
      <c r="I797" s="32"/>
      <c r="J797" s="93">
        <v>38418.88</v>
      </c>
      <c r="K797" s="32"/>
      <c r="L797" s="32"/>
      <c r="M797" s="32"/>
      <c r="N797" s="32"/>
      <c r="O797" s="93">
        <v>331932.0</v>
      </c>
      <c r="P797" s="91">
        <f>IFERROR(__xludf.DUMMYFUNCTION("IFERROR(sum(FILTER($D:$N,$C:$C = $C797,$A:$A &lt; $A797,$B:$B = 12)),0) + sum($D797:$N797)"),331930.95999999996)</f>
        <v>331930.96</v>
      </c>
      <c r="Q797" s="92">
        <f t="shared" si="1"/>
        <v>1.04</v>
      </c>
      <c r="R797" s="91">
        <f t="array" ref="R797">IFERROR(INDEX('Fund YTD Target Values'!$1:$1000, MATCH($C797,'Fund YTD Target Values'!$A:$A,0), MATCH($A797,'Fund YTD Target Values'!$1:$1,0)),0)</f>
        <v>351339.7985</v>
      </c>
      <c r="S797" s="91">
        <f>IFERROR(__xludf.DUMMYFUNCTION("IFERROR(sum(FILTER('Fund Investment Data'!$V:$V, 'Fund Investment Data'!$C:$C = $C797, 'Fund Investment Data'!$A:$A &lt; $A797)),0) + IFERROR(sum(FILTER('Fund Investment Data'!$V:$V, 'Fund Investment Data'!$C:$C = $C797, 'Fund Investment Data'!$A:$A = $A797,"&amp;" 'Fund Investment Data'!$B:$B &lt;= $B797)),0)"),292060.0)</f>
        <v>292060</v>
      </c>
      <c r="T797" s="93">
        <v>292061.0</v>
      </c>
      <c r="U797" s="32">
        <f t="shared" si="3"/>
        <v>-1</v>
      </c>
      <c r="V797" s="32">
        <f>IFERROR(__xludf.DUMMYFUNCTION("$D797 - IFERROR(FILTER($D:$D,$C:$C = $C797, $A:$A = $A797, $B:$B = $B797 - 1),0)"),0.0)</f>
        <v>0</v>
      </c>
      <c r="W797" s="93">
        <f>IFERROR(__xludf.DUMMYFUNCTION("$E797 - IFERROR(FILTER($E:$E,$C:$C = $C797, $A:$A = $A797, $B:$B = $B797 - 1),0)"),0.0)</f>
        <v>0</v>
      </c>
      <c r="X797" s="93"/>
      <c r="Y797" s="93"/>
      <c r="Z797" s="93">
        <v>0.0</v>
      </c>
      <c r="AA797" s="93">
        <v>0.0</v>
      </c>
      <c r="AB797" s="93">
        <v>0.0</v>
      </c>
      <c r="AC797" s="93"/>
      <c r="AD797" s="93">
        <v>0.0</v>
      </c>
      <c r="AE797" s="32">
        <f t="shared" si="2"/>
        <v>-10000</v>
      </c>
      <c r="AF797" s="93">
        <v>0.0</v>
      </c>
    </row>
    <row r="798">
      <c r="A798" s="86">
        <v>2017.0</v>
      </c>
      <c r="B798" s="87">
        <v>12.0</v>
      </c>
      <c r="C798" s="88" t="s">
        <v>27</v>
      </c>
      <c r="D798" s="32"/>
      <c r="E798" s="93">
        <v>-15000.0</v>
      </c>
      <c r="F798" s="93"/>
      <c r="G798" s="93">
        <v>-1794.09</v>
      </c>
      <c r="H798" s="93">
        <v>6580.14</v>
      </c>
      <c r="I798" s="93">
        <v>3053.52</v>
      </c>
      <c r="J798" s="93">
        <v>34132.67</v>
      </c>
      <c r="K798" s="32"/>
      <c r="L798" s="32"/>
      <c r="M798" s="32"/>
      <c r="N798" s="32"/>
      <c r="O798" s="93">
        <v>308485.0</v>
      </c>
      <c r="P798" s="91">
        <f>IFERROR(__xludf.DUMMYFUNCTION("IFERROR(sum(FILTER($D:$N,$C:$C = $C798,$A:$A &lt; $A798,$B:$B = 12)),0) + sum($D798:$N798)"),308485.4000000001)</f>
        <v>308485.4</v>
      </c>
      <c r="Q798" s="92">
        <f t="shared" si="1"/>
        <v>-0.4000000001</v>
      </c>
      <c r="R798" s="91">
        <f t="array" ref="R798">IFERROR(INDEX('Fund YTD Target Values'!$1:$1000, MATCH($C798,'Fund YTD Target Values'!$A:$A,0), MATCH($A798,'Fund YTD Target Values'!$1:$1,0)),0)</f>
        <v>383919.6363</v>
      </c>
      <c r="S798" s="91">
        <f>IFERROR(__xludf.DUMMYFUNCTION("IFERROR(sum(FILTER('Fund Investment Data'!$V:$V, 'Fund Investment Data'!$C:$C = $C798, 'Fund Investment Data'!$A:$A &lt; $A798)),0) + IFERROR(sum(FILTER('Fund Investment Data'!$V:$V, 'Fund Investment Data'!$C:$C = $C798, 'Fund Investment Data'!$A:$A = $A798,"&amp;" 'Fund Investment Data'!$B:$B &lt;= $B798)),0)"),276213.69999999995)</f>
        <v>276213.7</v>
      </c>
      <c r="T798" s="93">
        <v>272248.0</v>
      </c>
      <c r="U798" s="32">
        <f t="shared" si="3"/>
        <v>3965.7</v>
      </c>
      <c r="V798" s="32">
        <f>IFERROR(__xludf.DUMMYFUNCTION("$D798 - IFERROR(FILTER($D:$D,$C:$C = $C798, $A:$A = $A798, $B:$B = $B798 - 1),0)"),0.0)</f>
        <v>0</v>
      </c>
      <c r="W798" s="93">
        <f>IFERROR(__xludf.DUMMYFUNCTION("$E798 - IFERROR(FILTER($E:$E,$C:$C = $C798, $A:$A = $A798, $B:$B = $B798 - 1),0)"),0.0)</f>
        <v>0</v>
      </c>
      <c r="X798" s="93"/>
      <c r="Y798" s="93"/>
      <c r="Z798" s="93">
        <v>0.0</v>
      </c>
      <c r="AA798" s="93">
        <v>0.0</v>
      </c>
      <c r="AB798" s="93">
        <v>0.0</v>
      </c>
      <c r="AC798" s="93"/>
      <c r="AD798" s="93">
        <v>0.0</v>
      </c>
      <c r="AE798" s="32">
        <f t="shared" si="2"/>
        <v>-15000</v>
      </c>
      <c r="AF798" s="93">
        <v>0.0</v>
      </c>
    </row>
    <row r="799">
      <c r="A799" s="86">
        <v>2017.0</v>
      </c>
      <c r="B799" s="87">
        <v>12.0</v>
      </c>
      <c r="C799" s="88" t="s">
        <v>28</v>
      </c>
      <c r="D799" s="32"/>
      <c r="E799" s="93">
        <v>-205000.0</v>
      </c>
      <c r="F799" s="93"/>
      <c r="G799" s="93">
        <v>-19402.02</v>
      </c>
      <c r="H799" s="93">
        <v>71392.96</v>
      </c>
      <c r="I799" s="93">
        <v>50194.52</v>
      </c>
      <c r="J799" s="93">
        <v>353407.33</v>
      </c>
      <c r="K799" s="32"/>
      <c r="L799" s="32"/>
      <c r="M799" s="32"/>
      <c r="N799" s="32"/>
      <c r="O799" s="93">
        <v>3309227.0</v>
      </c>
      <c r="P799" s="91">
        <f>IFERROR(__xludf.DUMMYFUNCTION("IFERROR(sum(FILTER($D:$N,$C:$C = $C799,$A:$A &lt; $A799,$B:$B = 12)),0) + sum($D799:$N799)"),3309226.07)</f>
        <v>3309226.07</v>
      </c>
      <c r="Q799" s="92">
        <f t="shared" si="1"/>
        <v>0.9300000002</v>
      </c>
      <c r="R799" s="91">
        <f t="array" ref="R799">IFERROR(INDEX('Fund YTD Target Values'!$1:$1000, MATCH($C799,'Fund YTD Target Values'!$A:$A,0), MATCH($A799,'Fund YTD Target Values'!$1:$1,0)),0)</f>
        <v>3748913.384</v>
      </c>
      <c r="S799" s="91">
        <f>IFERROR(__xludf.DUMMYFUNCTION("IFERROR(sum(FILTER('Fund Investment Data'!$V:$V, 'Fund Investment Data'!$C:$C = $C799, 'Fund Investment Data'!$A:$A &lt; $A799)),0) + IFERROR(sum(FILTER('Fund Investment Data'!$V:$V, 'Fund Investment Data'!$C:$C = $C799, 'Fund Investment Data'!$A:$A = $A799,"&amp;" 'Fund Investment Data'!$B:$B &lt;= $B799)),0)"),2960091.25)</f>
        <v>2960091.25</v>
      </c>
      <c r="T799" s="93">
        <v>3009816.0</v>
      </c>
      <c r="U799" s="32">
        <f t="shared" si="3"/>
        <v>-49724.75</v>
      </c>
      <c r="V799" s="32">
        <f>IFERROR(__xludf.DUMMYFUNCTION("$D799 - IFERROR(FILTER($D:$D,$C:$C = $C799, $A:$A = $A799, $B:$B = $B799 - 1),0)"),0.0)</f>
        <v>0</v>
      </c>
      <c r="W799" s="93">
        <f>IFERROR(__xludf.DUMMYFUNCTION("$E799 - IFERROR(FILTER($E:$E,$C:$C = $C799, $A:$A = $A799, $B:$B = $B799 - 1),0)"),0.0)</f>
        <v>0</v>
      </c>
      <c r="X799" s="93"/>
      <c r="Y799" s="93"/>
      <c r="Z799" s="93">
        <v>0.0</v>
      </c>
      <c r="AA799" s="93">
        <v>0.0</v>
      </c>
      <c r="AB799" s="93">
        <v>0.0</v>
      </c>
      <c r="AC799" s="93"/>
      <c r="AD799" s="93">
        <v>0.0</v>
      </c>
      <c r="AE799" s="32">
        <f t="shared" si="2"/>
        <v>-205000</v>
      </c>
      <c r="AF799" s="93">
        <v>0.0</v>
      </c>
    </row>
    <row r="800">
      <c r="A800" s="86">
        <v>2017.0</v>
      </c>
      <c r="B800" s="87">
        <v>12.0</v>
      </c>
      <c r="C800" s="88" t="s">
        <v>46</v>
      </c>
      <c r="D800" s="32"/>
      <c r="E800" s="93">
        <v>-45000.0</v>
      </c>
      <c r="F800" s="93"/>
      <c r="G800" s="93">
        <v>-2429.84</v>
      </c>
      <c r="H800" s="93">
        <v>8919.8</v>
      </c>
      <c r="I800" s="93">
        <v>12460.14</v>
      </c>
      <c r="J800" s="93">
        <v>37677.01</v>
      </c>
      <c r="K800" s="32"/>
      <c r="L800" s="32"/>
      <c r="M800" s="32"/>
      <c r="N800" s="32"/>
      <c r="O800" s="93">
        <v>393507.0</v>
      </c>
      <c r="P800" s="91">
        <f>IFERROR(__xludf.DUMMYFUNCTION("IFERROR(sum(FILTER($D:$N,$C:$C = $C800,$A:$A &lt; $A800,$B:$B = 12)),0) + sum($D800:$N800)"),393507.66000000003)</f>
        <v>393507.66</v>
      </c>
      <c r="Q800" s="92">
        <f t="shared" si="1"/>
        <v>-0.66</v>
      </c>
      <c r="R800" s="91">
        <f t="array" ref="R800">IFERROR(INDEX('Fund YTD Target Values'!$1:$1000, MATCH($C800,'Fund YTD Target Values'!$A:$A,0), MATCH($A800,'Fund YTD Target Values'!$1:$1,0)),0)</f>
        <v>445660.8761</v>
      </c>
      <c r="S800" s="91">
        <f>IFERROR(__xludf.DUMMYFUNCTION("IFERROR(sum(FILTER('Fund Investment Data'!$V:$V, 'Fund Investment Data'!$C:$C = $C800, 'Fund Investment Data'!$A:$A &lt; $A800)),0) + IFERROR(sum(FILTER('Fund Investment Data'!$V:$V, 'Fund Investment Data'!$C:$C = $C800, 'Fund Investment Data'!$A:$A = $A800,"&amp;" 'Fund Investment Data'!$B:$B &lt;= $B800)),0)"),366400.0)</f>
        <v>366400</v>
      </c>
      <c r="T800" s="93">
        <v>366400.0</v>
      </c>
      <c r="U800" s="32">
        <f t="shared" si="3"/>
        <v>0</v>
      </c>
      <c r="V800" s="32">
        <f>IFERROR(__xludf.DUMMYFUNCTION("$D800 - IFERROR(FILTER($D:$D,$C:$C = $C800, $A:$A = $A800, $B:$B = $B800 - 1),0)"),0.0)</f>
        <v>0</v>
      </c>
      <c r="W800" s="93">
        <f>IFERROR(__xludf.DUMMYFUNCTION("$E800 - IFERROR(FILTER($E:$E,$C:$C = $C800, $A:$A = $A800, $B:$B = $B800 - 1),0)"),0.0)</f>
        <v>0</v>
      </c>
      <c r="X800" s="93"/>
      <c r="Y800" s="93"/>
      <c r="Z800" s="93">
        <v>0.0</v>
      </c>
      <c r="AA800" s="93">
        <v>0.0</v>
      </c>
      <c r="AB800" s="93">
        <v>0.0</v>
      </c>
      <c r="AC800" s="93"/>
      <c r="AD800" s="93">
        <v>0.0</v>
      </c>
      <c r="AE800" s="32">
        <f t="shared" si="2"/>
        <v>-45000</v>
      </c>
      <c r="AF800" s="93">
        <v>0.0</v>
      </c>
    </row>
    <row r="801">
      <c r="A801" s="86">
        <v>2017.0</v>
      </c>
      <c r="B801" s="87">
        <v>12.0</v>
      </c>
      <c r="C801" s="88" t="s">
        <v>36</v>
      </c>
      <c r="D801" s="32"/>
      <c r="E801" s="93">
        <v>-30000.0</v>
      </c>
      <c r="F801" s="93"/>
      <c r="G801" s="93">
        <v>-2663.76</v>
      </c>
      <c r="H801" s="93">
        <v>9778.25</v>
      </c>
      <c r="I801" s="93">
        <v>7124.54</v>
      </c>
      <c r="J801" s="93">
        <v>48105.01</v>
      </c>
      <c r="K801" s="32"/>
      <c r="L801" s="32"/>
      <c r="M801" s="32"/>
      <c r="N801" s="32"/>
      <c r="O801" s="93">
        <v>450755.0</v>
      </c>
      <c r="P801" s="91">
        <f>IFERROR(__xludf.DUMMYFUNCTION("IFERROR(sum(FILTER($D:$N,$C:$C = $C801,$A:$A &lt; $A801,$B:$B = 12)),0) + sum($D801:$N801)"),450754.46)</f>
        <v>450754.46</v>
      </c>
      <c r="Q801" s="92">
        <f t="shared" si="1"/>
        <v>0.54</v>
      </c>
      <c r="R801" s="91">
        <f t="array" ref="R801">IFERROR(INDEX('Fund YTD Target Values'!$1:$1000, MATCH($C801,'Fund YTD Target Values'!$A:$A,0), MATCH($A801,'Fund YTD Target Values'!$1:$1,0)),0)</f>
        <v>620333.8441</v>
      </c>
      <c r="S801" s="91">
        <f>IFERROR(__xludf.DUMMYFUNCTION("IFERROR(sum(FILTER('Fund Investment Data'!$V:$V, 'Fund Investment Data'!$C:$C = $C801, 'Fund Investment Data'!$A:$A &lt; $A801)),0) + IFERROR(sum(FILTER('Fund Investment Data'!$V:$V, 'Fund Investment Data'!$C:$C = $C801, 'Fund Investment Data'!$A:$A = $A801,"&amp;" 'Fund Investment Data'!$B:$B &lt;= $B801)),0)"),429067.24)</f>
        <v>429067.24</v>
      </c>
      <c r="T801" s="93">
        <v>413959.0</v>
      </c>
      <c r="U801" s="32">
        <f t="shared" si="3"/>
        <v>15108.24</v>
      </c>
      <c r="V801" s="32">
        <f>IFERROR(__xludf.DUMMYFUNCTION("$D801 - IFERROR(FILTER($D:$D,$C:$C = $C801, $A:$A = $A801, $B:$B = $B801 - 1),0)"),0.0)</f>
        <v>0</v>
      </c>
      <c r="W801" s="93">
        <f>IFERROR(__xludf.DUMMYFUNCTION("$E801 - IFERROR(FILTER($E:$E,$C:$C = $C801, $A:$A = $A801, $B:$B = $B801 - 1),0)"),0.0)</f>
        <v>0</v>
      </c>
      <c r="X801" s="93"/>
      <c r="Y801" s="93"/>
      <c r="Z801" s="93">
        <v>0.0</v>
      </c>
      <c r="AA801" s="93">
        <v>0.0</v>
      </c>
      <c r="AB801" s="93">
        <v>0.0</v>
      </c>
      <c r="AC801" s="93"/>
      <c r="AD801" s="93">
        <v>0.0</v>
      </c>
      <c r="AE801" s="32">
        <f t="shared" si="2"/>
        <v>-30000</v>
      </c>
      <c r="AF801" s="93">
        <v>0.0</v>
      </c>
    </row>
    <row r="802">
      <c r="A802" s="86">
        <v>2017.0</v>
      </c>
      <c r="B802" s="87">
        <v>12.0</v>
      </c>
      <c r="C802" s="88" t="s">
        <v>37</v>
      </c>
      <c r="D802" s="32"/>
      <c r="E802" s="93">
        <v>-80000.0</v>
      </c>
      <c r="F802" s="93"/>
      <c r="G802" s="93">
        <v>-4984.31</v>
      </c>
      <c r="H802" s="93">
        <v>18361.11</v>
      </c>
      <c r="I802" s="93">
        <v>16532.69</v>
      </c>
      <c r="J802" s="93">
        <v>87048.74</v>
      </c>
      <c r="K802" s="32"/>
      <c r="L802" s="32"/>
      <c r="M802" s="32"/>
      <c r="N802" s="32"/>
      <c r="O802" s="93">
        <v>823329.0</v>
      </c>
      <c r="P802" s="91">
        <f>IFERROR(__xludf.DUMMYFUNCTION("IFERROR(sum(FILTER($D:$N,$C:$C = $C802,$A:$A &lt; $A802,$B:$B = 12)),0) + sum($D802:$N802)"),823329.24)</f>
        <v>823329.24</v>
      </c>
      <c r="Q802" s="92">
        <f t="shared" si="1"/>
        <v>-0.24</v>
      </c>
      <c r="R802" s="91">
        <f t="array" ref="R802">IFERROR(INDEX('Fund YTD Target Values'!$1:$1000, MATCH($C802,'Fund YTD Target Values'!$A:$A,0), MATCH($A802,'Fund YTD Target Values'!$1:$1,0)),0)</f>
        <v>825458.0276</v>
      </c>
      <c r="S802" s="91">
        <f>IFERROR(__xludf.DUMMYFUNCTION("IFERROR(sum(FILTER('Fund Investment Data'!$V:$V, 'Fund Investment Data'!$C:$C = $C802, 'Fund Investment Data'!$A:$A &lt; $A802)),0) + IFERROR(sum(FILTER('Fund Investment Data'!$V:$V, 'Fund Investment Data'!$C:$C = $C802, 'Fund Investment Data'!$A:$A = $A802,"&amp;" 'Fund Investment Data'!$B:$B &lt;= $B802)),0)"),758137.86)</f>
        <v>758137.86</v>
      </c>
      <c r="T802" s="93">
        <v>742866.0</v>
      </c>
      <c r="U802" s="32">
        <f t="shared" si="3"/>
        <v>15271.86</v>
      </c>
      <c r="V802" s="32">
        <f>IFERROR(__xludf.DUMMYFUNCTION("$D802 - IFERROR(FILTER($D:$D,$C:$C = $C802, $A:$A = $A802, $B:$B = $B802 - 1),0)"),0.0)</f>
        <v>0</v>
      </c>
      <c r="W802" s="93">
        <f>IFERROR(__xludf.DUMMYFUNCTION("$E802 - IFERROR(FILTER($E:$E,$C:$C = $C802, $A:$A = $A802, $B:$B = $B802 - 1),0)"),0.0)</f>
        <v>0</v>
      </c>
      <c r="X802" s="93"/>
      <c r="Y802" s="93"/>
      <c r="Z802" s="93">
        <v>0.0</v>
      </c>
      <c r="AA802" s="93">
        <v>0.0</v>
      </c>
      <c r="AB802" s="93">
        <v>0.0</v>
      </c>
      <c r="AC802" s="93"/>
      <c r="AD802" s="93">
        <v>0.0</v>
      </c>
      <c r="AE802" s="32">
        <f t="shared" si="2"/>
        <v>-80000</v>
      </c>
      <c r="AF802" s="93">
        <v>0.0</v>
      </c>
    </row>
    <row r="803">
      <c r="A803" s="86">
        <v>2017.0</v>
      </c>
      <c r="B803" s="87">
        <v>12.0</v>
      </c>
      <c r="C803" s="88" t="s">
        <v>29</v>
      </c>
      <c r="D803" s="32"/>
      <c r="E803" s="93">
        <v>-3000.0</v>
      </c>
      <c r="F803" s="93"/>
      <c r="G803" s="93">
        <v>-340.57</v>
      </c>
      <c r="H803" s="93">
        <v>1246.81</v>
      </c>
      <c r="I803" s="93">
        <v>657.05</v>
      </c>
      <c r="J803" s="93">
        <v>6384.93</v>
      </c>
      <c r="K803" s="32"/>
      <c r="L803" s="32"/>
      <c r="M803" s="32"/>
      <c r="N803" s="32"/>
      <c r="O803" s="93">
        <v>58161.0</v>
      </c>
      <c r="P803" s="91">
        <f>IFERROR(__xludf.DUMMYFUNCTION("IFERROR(sum(FILTER($D:$N,$C:$C = $C803,$A:$A &lt; $A803,$B:$B = 12)),0) + sum($D803:$N803)"),58161.309999999925)</f>
        <v>58161.31</v>
      </c>
      <c r="Q803" s="92">
        <f t="shared" si="1"/>
        <v>-0.3099999999</v>
      </c>
      <c r="R803" s="91">
        <f t="array" ref="R803">IFERROR(INDEX('Fund YTD Target Values'!$1:$1000, MATCH($C803,'Fund YTD Target Values'!$A:$A,0), MATCH($A803,'Fund YTD Target Values'!$1:$1,0)),0)</f>
        <v>75218.58778</v>
      </c>
      <c r="S803" s="91">
        <f>IFERROR(__xludf.DUMMYFUNCTION("IFERROR(sum(FILTER('Fund Investment Data'!$V:$V, 'Fund Investment Data'!$C:$C = $C803, 'Fund Investment Data'!$A:$A &lt; $A803)),0) + IFERROR(sum(FILTER('Fund Investment Data'!$V:$V, 'Fund Investment Data'!$C:$C = $C803, 'Fund Investment Data'!$A:$A = $A803,"&amp;" 'Fund Investment Data'!$B:$B &lt;= $B803)),0)"),50000.0)</f>
        <v>50000</v>
      </c>
      <c r="T803" s="93">
        <v>50000.0</v>
      </c>
      <c r="U803" s="32">
        <f t="shared" si="3"/>
        <v>0</v>
      </c>
      <c r="V803" s="32">
        <f>IFERROR(__xludf.DUMMYFUNCTION("$D803 - IFERROR(FILTER($D:$D,$C:$C = $C803, $A:$A = $A803, $B:$B = $B803 - 1),0)"),0.0)</f>
        <v>0</v>
      </c>
      <c r="W803" s="93">
        <f>IFERROR(__xludf.DUMMYFUNCTION("$E803 - IFERROR(FILTER($E:$E,$C:$C = $C803, $A:$A = $A803, $B:$B = $B803 - 1),0)"),0.0)</f>
        <v>0</v>
      </c>
      <c r="X803" s="93"/>
      <c r="Y803" s="93"/>
      <c r="Z803" s="93">
        <v>0.0</v>
      </c>
      <c r="AA803" s="93">
        <v>0.0</v>
      </c>
      <c r="AB803" s="93">
        <v>0.0</v>
      </c>
      <c r="AC803" s="93"/>
      <c r="AD803" s="93">
        <v>0.0</v>
      </c>
      <c r="AE803" s="32">
        <f t="shared" si="2"/>
        <v>-3000</v>
      </c>
      <c r="AF803" s="93">
        <v>0.0</v>
      </c>
    </row>
    <row r="804">
      <c r="A804" s="86">
        <v>2017.0</v>
      </c>
      <c r="B804" s="87">
        <v>12.0</v>
      </c>
      <c r="C804" s="88" t="s">
        <v>38</v>
      </c>
      <c r="D804" s="32"/>
      <c r="E804" s="93">
        <v>-10000.0</v>
      </c>
      <c r="F804" s="93"/>
      <c r="G804" s="93">
        <v>-4617.44</v>
      </c>
      <c r="H804" s="93">
        <v>16881.85</v>
      </c>
      <c r="I804" s="93">
        <v>1324.41</v>
      </c>
      <c r="J804" s="93">
        <v>94168.35</v>
      </c>
      <c r="K804" s="32"/>
      <c r="L804" s="32"/>
      <c r="M804" s="32"/>
      <c r="N804" s="32"/>
      <c r="O804" s="93">
        <v>815409.0</v>
      </c>
      <c r="P804" s="91">
        <f>IFERROR(__xludf.DUMMYFUNCTION("IFERROR(sum(FILTER($D:$N,$C:$C = $C804,$A:$A &lt; $A804,$B:$B = 12)),0) + sum($D804:$N804)"),815408.1399999999)</f>
        <v>815408.14</v>
      </c>
      <c r="Q804" s="92">
        <f t="shared" si="1"/>
        <v>0.8600000001</v>
      </c>
      <c r="R804" s="91">
        <f t="array" ref="R804">IFERROR(INDEX('Fund YTD Target Values'!$1:$1000, MATCH($C804,'Fund YTD Target Values'!$A:$A,0), MATCH($A804,'Fund YTD Target Values'!$1:$1,0)),0)</f>
        <v>685763.9306</v>
      </c>
      <c r="S804" s="91">
        <f>IFERROR(__xludf.DUMMYFUNCTION("IFERROR(sum(FILTER('Fund Investment Data'!$V:$V, 'Fund Investment Data'!$C:$C = $C804, 'Fund Investment Data'!$A:$A &lt; $A804)),0) + IFERROR(sum(FILTER('Fund Investment Data'!$V:$V, 'Fund Investment Data'!$C:$C = $C804, 'Fund Investment Data'!$A:$A = $A804,"&amp;" 'Fund Investment Data'!$B:$B &lt;= $B804)),0)"),556601.64)</f>
        <v>556601.64</v>
      </c>
      <c r="T804" s="93">
        <v>558656.0</v>
      </c>
      <c r="U804" s="32">
        <f t="shared" si="3"/>
        <v>-2054.36</v>
      </c>
      <c r="V804" s="32">
        <f>IFERROR(__xludf.DUMMYFUNCTION("$D804 - IFERROR(FILTER($D:$D,$C:$C = $C804, $A:$A = $A804, $B:$B = $B804 - 1),0)"),0.0)</f>
        <v>0</v>
      </c>
      <c r="W804" s="93">
        <f>IFERROR(__xludf.DUMMYFUNCTION("$E804 - IFERROR(FILTER($E:$E,$C:$C = $C804, $A:$A = $A804, $B:$B = $B804 - 1),0)"),10000.0)</f>
        <v>10000</v>
      </c>
      <c r="X804" s="93"/>
      <c r="Y804" s="93"/>
      <c r="Z804" s="93">
        <v>0.0</v>
      </c>
      <c r="AA804" s="93">
        <v>0.0</v>
      </c>
      <c r="AB804" s="93">
        <v>0.0</v>
      </c>
      <c r="AC804" s="93"/>
      <c r="AD804" s="93">
        <v>0.0</v>
      </c>
      <c r="AE804" s="32">
        <f t="shared" si="2"/>
        <v>-10000</v>
      </c>
      <c r="AF804" s="93">
        <v>0.0</v>
      </c>
    </row>
    <row r="805">
      <c r="A805" s="86">
        <v>2017.0</v>
      </c>
      <c r="B805" s="87">
        <v>12.0</v>
      </c>
      <c r="C805" s="88" t="s">
        <v>30</v>
      </c>
      <c r="D805" s="32"/>
      <c r="E805" s="32"/>
      <c r="F805" s="93"/>
      <c r="G805" s="93">
        <v>-97.78</v>
      </c>
      <c r="H805" s="93">
        <v>345.06</v>
      </c>
      <c r="I805" s="32"/>
      <c r="J805" s="93">
        <v>1922.84</v>
      </c>
      <c r="K805" s="32"/>
      <c r="L805" s="32"/>
      <c r="M805" s="32"/>
      <c r="N805" s="32"/>
      <c r="O805" s="93">
        <v>17369.0</v>
      </c>
      <c r="P805" s="91">
        <f>IFERROR(__xludf.DUMMYFUNCTION("IFERROR(sum(FILTER($D:$N,$C:$C = $C805,$A:$A &lt; $A805,$B:$B = 12)),0) + sum($D805:$N805)"),17367.40999999999)</f>
        <v>17367.41</v>
      </c>
      <c r="Q805" s="92">
        <f t="shared" si="1"/>
        <v>1.59</v>
      </c>
      <c r="R805" s="91">
        <f t="array" ref="R805">IFERROR(INDEX('Fund YTD Target Values'!$1:$1000, MATCH($C805,'Fund YTD Target Values'!$A:$A,0), MATCH($A805,'Fund YTD Target Values'!$1:$1,0)),0)</f>
        <v>18043.81747</v>
      </c>
      <c r="S805" s="91">
        <f>IFERROR(__xludf.DUMMYFUNCTION("IFERROR(sum(FILTER('Fund Investment Data'!$V:$V, 'Fund Investment Data'!$C:$C = $C805, 'Fund Investment Data'!$A:$A &lt; $A805)),0) + IFERROR(sum(FILTER('Fund Investment Data'!$V:$V, 'Fund Investment Data'!$C:$C = $C805, 'Fund Investment Data'!$A:$A = $A805,"&amp;" 'Fund Investment Data'!$B:$B &lt;= $B805)),0)"),11540.75)</f>
        <v>11540.75</v>
      </c>
      <c r="T805" s="93">
        <v>10000.0</v>
      </c>
      <c r="U805" s="32">
        <f t="shared" si="3"/>
        <v>1540.75</v>
      </c>
      <c r="V805" s="32">
        <f>IFERROR(__xludf.DUMMYFUNCTION("$D805 - IFERROR(FILTER($D:$D,$C:$C = $C805, $A:$A = $A805, $B:$B = $B805 - 1),0)"),0.0)</f>
        <v>0</v>
      </c>
      <c r="W805" s="93">
        <f>IFERROR(__xludf.DUMMYFUNCTION("$E805 - IFERROR(FILTER($E:$E,$C:$C = $C805, $A:$A = $A805, $B:$B = $B805 - 1),0)"),0.0)</f>
        <v>0</v>
      </c>
      <c r="X805" s="93"/>
      <c r="Y805" s="93"/>
      <c r="Z805" s="93">
        <v>0.0</v>
      </c>
      <c r="AA805" s="93">
        <v>0.0</v>
      </c>
      <c r="AB805" s="93">
        <v>0.0</v>
      </c>
      <c r="AC805" s="93"/>
      <c r="AD805" s="93">
        <v>0.0</v>
      </c>
      <c r="AE805" s="32">
        <f t="shared" si="2"/>
        <v>0</v>
      </c>
      <c r="AF805" s="93">
        <v>0.0</v>
      </c>
    </row>
    <row r="806">
      <c r="A806" s="86">
        <v>2017.0</v>
      </c>
      <c r="B806" s="87">
        <v>12.0</v>
      </c>
      <c r="C806" s="88" t="s">
        <v>47</v>
      </c>
      <c r="D806" s="93">
        <v>10000.0</v>
      </c>
      <c r="E806" s="93">
        <v>-75000.0</v>
      </c>
      <c r="F806" s="93"/>
      <c r="G806" s="93">
        <v>-8767.97</v>
      </c>
      <c r="H806" s="93">
        <v>32129.94</v>
      </c>
      <c r="I806" s="93">
        <v>12221.83</v>
      </c>
      <c r="J806" s="93">
        <v>169460.51</v>
      </c>
      <c r="K806" s="32"/>
      <c r="L806" s="32"/>
      <c r="M806" s="32"/>
      <c r="N806" s="32"/>
      <c r="O806" s="93">
        <v>1514250.0</v>
      </c>
      <c r="P806" s="91">
        <f>IFERROR(__xludf.DUMMYFUNCTION("IFERROR(sum(FILTER($D:$N,$C:$C = $C806,$A:$A &lt; $A806,$B:$B = 12)),0) + sum($D806:$N806)"),1514249.6399999997)</f>
        <v>1514249.64</v>
      </c>
      <c r="Q806" s="92">
        <f t="shared" si="1"/>
        <v>0.3600000003</v>
      </c>
      <c r="R806" s="91">
        <f t="array" ref="R806">IFERROR(INDEX('Fund YTD Target Values'!$1:$1000, MATCH($C806,'Fund YTD Target Values'!$A:$A,0), MATCH($A806,'Fund YTD Target Values'!$1:$1,0)),0)</f>
        <v>1951070.709</v>
      </c>
      <c r="S806" s="91">
        <f>IFERROR(__xludf.DUMMYFUNCTION("IFERROR(sum(FILTER('Fund Investment Data'!$V:$V, 'Fund Investment Data'!$C:$C = $C806, 'Fund Investment Data'!$A:$A &lt; $A806)),0) + IFERROR(sum(FILTER('Fund Investment Data'!$V:$V, 'Fund Investment Data'!$C:$C = $C806, 'Fund Investment Data'!$A:$A = $A806,"&amp;" 'Fund Investment Data'!$B:$B &lt;= $B806)),0)"),1456367.46)</f>
        <v>1456367.46</v>
      </c>
      <c r="T806" s="93">
        <v>1348955.0</v>
      </c>
      <c r="U806" s="32">
        <f t="shared" si="3"/>
        <v>107412.46</v>
      </c>
      <c r="V806" s="32">
        <f>IFERROR(__xludf.DUMMYFUNCTION("$D806 - IFERROR(FILTER($D:$D,$C:$C = $C806, $A:$A = $A806, $B:$B = $B806 - 1),0)"),0.0)</f>
        <v>0</v>
      </c>
      <c r="W806" s="93">
        <f>IFERROR(__xludf.DUMMYFUNCTION("$E806 - IFERROR(FILTER($E:$E,$C:$C = $C806, $A:$A = $A806, $B:$B = $B806 - 1),0)"),0.0)</f>
        <v>0</v>
      </c>
      <c r="X806" s="93"/>
      <c r="Y806" s="93"/>
      <c r="Z806" s="93">
        <v>0.0</v>
      </c>
      <c r="AA806" s="93">
        <v>0.0</v>
      </c>
      <c r="AB806" s="93">
        <v>0.0</v>
      </c>
      <c r="AC806" s="93"/>
      <c r="AD806" s="93">
        <v>0.0</v>
      </c>
      <c r="AE806" s="32">
        <f t="shared" si="2"/>
        <v>-75000</v>
      </c>
      <c r="AF806" s="93">
        <v>0.0</v>
      </c>
    </row>
    <row r="807">
      <c r="A807" s="86">
        <v>2017.0</v>
      </c>
      <c r="B807" s="87">
        <v>12.0</v>
      </c>
      <c r="C807" s="88" t="s">
        <v>31</v>
      </c>
      <c r="D807" s="93">
        <v>1250.0</v>
      </c>
      <c r="E807" s="93">
        <v>-10000.0</v>
      </c>
      <c r="F807" s="93"/>
      <c r="G807" s="93">
        <v>-1108.18</v>
      </c>
      <c r="H807" s="93">
        <v>4045.34</v>
      </c>
      <c r="I807" s="93">
        <v>1842.16</v>
      </c>
      <c r="J807" s="93">
        <v>20985.49</v>
      </c>
      <c r="K807" s="32"/>
      <c r="L807" s="32"/>
      <c r="M807" s="32"/>
      <c r="N807" s="32"/>
      <c r="O807" s="93">
        <v>189259.0</v>
      </c>
      <c r="P807" s="91">
        <f>IFERROR(__xludf.DUMMYFUNCTION("IFERROR(sum(FILTER($D:$N,$C:$C = $C807,$A:$A &lt; $A807,$B:$B = 12)),0) + sum($D807:$N807)"),189259.35000000003)</f>
        <v>189259.35</v>
      </c>
      <c r="Q807" s="92">
        <f t="shared" si="1"/>
        <v>-0.35</v>
      </c>
      <c r="R807" s="91">
        <f t="array" ref="R807">IFERROR(INDEX('Fund YTD Target Values'!$1:$1000, MATCH($C807,'Fund YTD Target Values'!$A:$A,0), MATCH($A807,'Fund YTD Target Values'!$1:$1,0)),0)</f>
        <v>205534.6031</v>
      </c>
      <c r="S807" s="91">
        <f>IFERROR(__xludf.DUMMYFUNCTION("IFERROR(sum(FILTER('Fund Investment Data'!$V:$V, 'Fund Investment Data'!$C:$C = $C807, 'Fund Investment Data'!$A:$A &lt; $A807)),0) + IFERROR(sum(FILTER('Fund Investment Data'!$V:$V, 'Fund Investment Data'!$C:$C = $C807, 'Fund Investment Data'!$A:$A = $A807,"&amp;" 'Fund Investment Data'!$B:$B &lt;= $B807)),0)"),158100.0)</f>
        <v>158100</v>
      </c>
      <c r="T807" s="93">
        <v>156850.0</v>
      </c>
      <c r="U807" s="32">
        <f t="shared" si="3"/>
        <v>1250</v>
      </c>
      <c r="V807" s="32">
        <f>IFERROR(__xludf.DUMMYFUNCTION("$D807 - IFERROR(FILTER($D:$D,$C:$C = $C807, $A:$A = $A807, $B:$B = $B807 - 1),0)"),0.0)</f>
        <v>0</v>
      </c>
      <c r="W807" s="93">
        <f>IFERROR(__xludf.DUMMYFUNCTION("$E807 - IFERROR(FILTER($E:$E,$C:$C = $C807, $A:$A = $A807, $B:$B = $B807 - 1),0)"),0.0)</f>
        <v>0</v>
      </c>
      <c r="X807" s="93"/>
      <c r="Y807" s="93"/>
      <c r="Z807" s="93">
        <v>0.0</v>
      </c>
      <c r="AA807" s="93">
        <v>0.0</v>
      </c>
      <c r="AB807" s="93">
        <v>0.0</v>
      </c>
      <c r="AC807" s="93"/>
      <c r="AD807" s="93">
        <v>0.0</v>
      </c>
      <c r="AE807" s="32">
        <f t="shared" si="2"/>
        <v>-10000</v>
      </c>
      <c r="AF807" s="93">
        <v>0.0</v>
      </c>
    </row>
    <row r="808">
      <c r="A808" s="86">
        <v>2017.0</v>
      </c>
      <c r="B808" s="87">
        <v>12.0</v>
      </c>
      <c r="C808" s="88" t="s">
        <v>39</v>
      </c>
      <c r="D808" s="93">
        <v>15000.0</v>
      </c>
      <c r="E808" s="93">
        <v>-5000.0</v>
      </c>
      <c r="F808" s="93"/>
      <c r="G808" s="93">
        <v>-963.65</v>
      </c>
      <c r="H808" s="93">
        <v>3268.36</v>
      </c>
      <c r="I808" s="32"/>
      <c r="J808" s="93">
        <v>17887.01</v>
      </c>
      <c r="K808" s="32"/>
      <c r="L808" s="32"/>
      <c r="M808" s="32"/>
      <c r="N808" s="32"/>
      <c r="O808" s="93">
        <v>179723.0</v>
      </c>
      <c r="P808" s="91">
        <f>IFERROR(__xludf.DUMMYFUNCTION("IFERROR(sum(FILTER($D:$N,$C:$C = $C808,$A:$A &lt; $A808,$B:$B = 12)),0) + sum($D808:$N808)"),179723.26000000004)</f>
        <v>179723.26</v>
      </c>
      <c r="Q808" s="92">
        <f t="shared" si="1"/>
        <v>-0.26</v>
      </c>
      <c r="R808" s="91">
        <f t="array" ref="R808">IFERROR(INDEX('Fund YTD Target Values'!$1:$1000, MATCH($C808,'Fund YTD Target Values'!$A:$A,0), MATCH($A808,'Fund YTD Target Values'!$1:$1,0)),0)</f>
        <v>165832.7472</v>
      </c>
      <c r="S808" s="91">
        <f>IFERROR(__xludf.DUMMYFUNCTION("IFERROR(sum(FILTER('Fund Investment Data'!$V:$V, 'Fund Investment Data'!$C:$C = $C808, 'Fund Investment Data'!$A:$A &lt; $A808)),0) + IFERROR(sum(FILTER('Fund Investment Data'!$V:$V, 'Fund Investment Data'!$C:$C = $C808, 'Fund Investment Data'!$A:$A = $A808,"&amp;" 'Fund Investment Data'!$B:$B &lt;= $B808)),0)"),155000.0)</f>
        <v>155000</v>
      </c>
      <c r="T808" s="93">
        <v>155000.0</v>
      </c>
      <c r="U808" s="32">
        <f t="shared" si="3"/>
        <v>0</v>
      </c>
      <c r="V808" s="32">
        <f>IFERROR(__xludf.DUMMYFUNCTION("$D808 - IFERROR(FILTER($D:$D,$C:$C = $C808, $A:$A = $A808, $B:$B = $B808 - 1),0)"),0.0)</f>
        <v>0</v>
      </c>
      <c r="W808" s="93">
        <f>IFERROR(__xludf.DUMMYFUNCTION("$E808 - IFERROR(FILTER($E:$E,$C:$C = $C808, $A:$A = $A808, $B:$B = $B808 - 1),0)"),0.0)</f>
        <v>0</v>
      </c>
      <c r="X808" s="93"/>
      <c r="Y808" s="93"/>
      <c r="Z808" s="93">
        <v>0.0</v>
      </c>
      <c r="AA808" s="93">
        <v>0.0</v>
      </c>
      <c r="AB808" s="93">
        <v>0.0</v>
      </c>
      <c r="AC808" s="93"/>
      <c r="AD808" s="93">
        <v>0.0</v>
      </c>
      <c r="AE808" s="32">
        <f t="shared" si="2"/>
        <v>-5000</v>
      </c>
      <c r="AF808" s="93">
        <v>0.0</v>
      </c>
    </row>
    <row r="809">
      <c r="A809" s="86">
        <v>2017.0</v>
      </c>
      <c r="B809" s="87">
        <v>12.0</v>
      </c>
      <c r="C809" s="88" t="s">
        <v>50</v>
      </c>
      <c r="D809" s="32"/>
      <c r="E809" s="93">
        <v>-10000.0</v>
      </c>
      <c r="F809" s="93"/>
      <c r="G809" s="93">
        <v>-1254.18</v>
      </c>
      <c r="H809" s="93">
        <v>4277.7</v>
      </c>
      <c r="I809" s="32"/>
      <c r="J809" s="93">
        <v>23559.02</v>
      </c>
      <c r="K809" s="32"/>
      <c r="L809" s="32"/>
      <c r="M809" s="32"/>
      <c r="N809" s="32"/>
      <c r="O809" s="93">
        <v>215465.0</v>
      </c>
      <c r="P809" s="91">
        <f>IFERROR(__xludf.DUMMYFUNCTION("IFERROR(sum(FILTER($D:$N,$C:$C = $C809,$A:$A &lt; $A809,$B:$B = 12)),0) + sum($D809:$N809)"),215464.11)</f>
        <v>215464.11</v>
      </c>
      <c r="Q809" s="92">
        <f t="shared" si="1"/>
        <v>0.89</v>
      </c>
      <c r="R809" s="91">
        <f t="array" ref="R809">IFERROR(INDEX('Fund YTD Target Values'!$1:$1000, MATCH($C809,'Fund YTD Target Values'!$A:$A,0), MATCH($A809,'Fund YTD Target Values'!$1:$1,0)),0)</f>
        <v>212473.6146</v>
      </c>
      <c r="S809" s="91">
        <f>IFERROR(__xludf.DUMMYFUNCTION("IFERROR(sum(FILTER('Fund Investment Data'!$V:$V, 'Fund Investment Data'!$C:$C = $C809, 'Fund Investment Data'!$A:$A &lt; $A809)),0) + IFERROR(sum(FILTER('Fund Investment Data'!$V:$V, 'Fund Investment Data'!$C:$C = $C809, 'Fund Investment Data'!$A:$A = $A809,"&amp;" 'Fund Investment Data'!$B:$B &lt;= $B809)),0)"),185189.56)</f>
        <v>185189.56</v>
      </c>
      <c r="T809" s="93">
        <v>190241.0</v>
      </c>
      <c r="U809" s="32">
        <f t="shared" si="3"/>
        <v>-5051.44</v>
      </c>
      <c r="V809" s="32">
        <f>IFERROR(__xludf.DUMMYFUNCTION("$D809 - IFERROR(FILTER($D:$D,$C:$C = $C809, $A:$A = $A809, $B:$B = $B809 - 1),0)"),0.0)</f>
        <v>0</v>
      </c>
      <c r="W809" s="93">
        <f>IFERROR(__xludf.DUMMYFUNCTION("$E809 - IFERROR(FILTER($E:$E,$C:$C = $C809, $A:$A = $A809, $B:$B = $B809 - 1),0)"),0.0)</f>
        <v>0</v>
      </c>
      <c r="X809" s="93"/>
      <c r="Y809" s="93"/>
      <c r="Z809" s="93">
        <v>0.0</v>
      </c>
      <c r="AA809" s="93">
        <v>0.0</v>
      </c>
      <c r="AB809" s="93">
        <v>0.0</v>
      </c>
      <c r="AC809" s="93"/>
      <c r="AD809" s="93">
        <v>0.0</v>
      </c>
      <c r="AE809" s="32">
        <f t="shared" si="2"/>
        <v>-10000</v>
      </c>
      <c r="AF809" s="93">
        <v>0.0</v>
      </c>
    </row>
    <row r="810">
      <c r="A810" s="86">
        <v>2017.0</v>
      </c>
      <c r="B810" s="87">
        <v>12.0</v>
      </c>
      <c r="C810" s="88" t="s">
        <v>32</v>
      </c>
      <c r="D810" s="93"/>
      <c r="E810" s="32"/>
      <c r="F810" s="93"/>
      <c r="G810" s="93">
        <v>-300.57</v>
      </c>
      <c r="H810" s="93">
        <v>1073.04</v>
      </c>
      <c r="I810" s="32"/>
      <c r="J810" s="93">
        <v>6011.26</v>
      </c>
      <c r="K810" s="32"/>
      <c r="L810" s="32"/>
      <c r="M810" s="32"/>
      <c r="N810" s="32"/>
      <c r="O810" s="93">
        <v>53431.0</v>
      </c>
      <c r="P810" s="91">
        <f>IFERROR(__xludf.DUMMYFUNCTION("IFERROR(sum(FILTER($D:$N,$C:$C = $C810,$A:$A &lt; $A810,$B:$B = 12)),0) + sum($D810:$N810)"),53430.82000000003)</f>
        <v>53430.82</v>
      </c>
      <c r="Q810" s="92">
        <f t="shared" si="1"/>
        <v>0.18</v>
      </c>
      <c r="R810" s="91">
        <f t="array" ref="R810">IFERROR(INDEX('Fund YTD Target Values'!$1:$1000, MATCH($C810,'Fund YTD Target Values'!$A:$A,0), MATCH($A810,'Fund YTD Target Values'!$1:$1,0)),0)</f>
        <v>77291.136</v>
      </c>
      <c r="S810" s="91">
        <f>IFERROR(__xludf.DUMMYFUNCTION("IFERROR(sum(FILTER('Fund Investment Data'!$V:$V, 'Fund Investment Data'!$C:$C = $C810, 'Fund Investment Data'!$A:$A &lt; $A810)),0) + IFERROR(sum(FILTER('Fund Investment Data'!$V:$V, 'Fund Investment Data'!$C:$C = $C810, 'Fund Investment Data'!$A:$A = $A810,"&amp;" 'Fund Investment Data'!$B:$B &lt;= $B810)),0)"),49449.04)</f>
        <v>49449.04</v>
      </c>
      <c r="T810" s="93">
        <v>39268.0</v>
      </c>
      <c r="U810" s="32">
        <f t="shared" si="3"/>
        <v>10181.04</v>
      </c>
      <c r="V810" s="32">
        <f>IFERROR(__xludf.DUMMYFUNCTION("$D810 - IFERROR(FILTER($D:$D,$C:$C = $C810, $A:$A = $A810, $B:$B = $B810 - 1),0)"),0.0)</f>
        <v>0</v>
      </c>
      <c r="W810" s="93">
        <f>IFERROR(__xludf.DUMMYFUNCTION("$E810 - IFERROR(FILTER($E:$E,$C:$C = $C810, $A:$A = $A810, $B:$B = $B810 - 1),0)"),0.0)</f>
        <v>0</v>
      </c>
      <c r="X810" s="93"/>
      <c r="Y810" s="93"/>
      <c r="Z810" s="93">
        <v>0.0</v>
      </c>
      <c r="AA810" s="93">
        <v>0.0</v>
      </c>
      <c r="AB810" s="93">
        <v>0.0</v>
      </c>
      <c r="AC810" s="93"/>
      <c r="AD810" s="93">
        <v>0.0</v>
      </c>
      <c r="AE810" s="32">
        <f t="shared" si="2"/>
        <v>0</v>
      </c>
      <c r="AF810" s="93">
        <v>0.0</v>
      </c>
    </row>
    <row r="811">
      <c r="A811" s="86">
        <v>2017.0</v>
      </c>
      <c r="B811" s="87">
        <v>12.0</v>
      </c>
      <c r="C811" s="88" t="s">
        <v>40</v>
      </c>
      <c r="D811" s="32"/>
      <c r="E811" s="93">
        <v>-5000.0</v>
      </c>
      <c r="F811" s="93"/>
      <c r="G811" s="93">
        <v>-891.59</v>
      </c>
      <c r="H811" s="93">
        <v>3259.8</v>
      </c>
      <c r="I811" s="93">
        <v>586.12</v>
      </c>
      <c r="J811" s="93">
        <v>17850.68</v>
      </c>
      <c r="K811" s="32"/>
      <c r="L811" s="32"/>
      <c r="M811" s="32"/>
      <c r="N811" s="32"/>
      <c r="O811" s="93">
        <v>154813.0</v>
      </c>
      <c r="P811" s="91">
        <f>IFERROR(__xludf.DUMMYFUNCTION("IFERROR(sum(FILTER($D:$N,$C:$C = $C811,$A:$A &lt; $A811,$B:$B = 12)),0) + sum($D811:$N811)"),154812.70999999996)</f>
        <v>154812.71</v>
      </c>
      <c r="Q811" s="92">
        <f t="shared" si="1"/>
        <v>0.29</v>
      </c>
      <c r="R811" s="91">
        <f t="array" ref="R811">IFERROR(INDEX('Fund YTD Target Values'!$1:$1000, MATCH($C811,'Fund YTD Target Values'!$A:$A,0), MATCH($A811,'Fund YTD Target Values'!$1:$1,0)),0)</f>
        <v>157515.3664</v>
      </c>
      <c r="S811" s="91">
        <f>IFERROR(__xludf.DUMMYFUNCTION("IFERROR(sum(FILTER('Fund Investment Data'!$V:$V, 'Fund Investment Data'!$C:$C = $C811, 'Fund Investment Data'!$A:$A &lt; $A811)),0) + IFERROR(sum(FILTER('Fund Investment Data'!$V:$V, 'Fund Investment Data'!$C:$C = $C811, 'Fund Investment Data'!$A:$A = $A811,"&amp;" 'Fund Investment Data'!$B:$B &lt;= $B811)),0)"),129703.74)</f>
        <v>129703.74</v>
      </c>
      <c r="T811" s="93">
        <v>129723.0</v>
      </c>
      <c r="U811" s="32">
        <f t="shared" si="3"/>
        <v>-19.26</v>
      </c>
      <c r="V811" s="32">
        <f>IFERROR(__xludf.DUMMYFUNCTION("$D811 - IFERROR(FILTER($D:$D,$C:$C = $C811, $A:$A = $A811, $B:$B = $B811 - 1),0)"),0.0)</f>
        <v>0</v>
      </c>
      <c r="W811" s="93">
        <f>IFERROR(__xludf.DUMMYFUNCTION("$E811 - IFERROR(FILTER($E:$E,$C:$C = $C811, $A:$A = $A811, $B:$B = $B811 - 1),0)"),0.0)</f>
        <v>0</v>
      </c>
      <c r="X811" s="93"/>
      <c r="Y811" s="93"/>
      <c r="Z811" s="93">
        <v>0.0</v>
      </c>
      <c r="AA811" s="93">
        <v>0.0</v>
      </c>
      <c r="AB811" s="93">
        <v>0.0</v>
      </c>
      <c r="AC811" s="93"/>
      <c r="AD811" s="93">
        <v>0.0</v>
      </c>
      <c r="AE811" s="32">
        <f t="shared" si="2"/>
        <v>-5000</v>
      </c>
      <c r="AF811" s="93">
        <v>0.0</v>
      </c>
    </row>
    <row r="812">
      <c r="A812" s="86">
        <v>2017.0</v>
      </c>
      <c r="B812" s="87">
        <v>12.0</v>
      </c>
      <c r="C812" s="88" t="s">
        <v>51</v>
      </c>
      <c r="D812" s="93">
        <v>3300.0</v>
      </c>
      <c r="E812" s="93">
        <v>-5000.0</v>
      </c>
      <c r="F812" s="93"/>
      <c r="G812" s="93">
        <v>-2734.6</v>
      </c>
      <c r="H812" s="93">
        <v>9954.67</v>
      </c>
      <c r="I812" s="32"/>
      <c r="J812" s="93">
        <v>56294.96</v>
      </c>
      <c r="K812" s="32"/>
      <c r="L812" s="32"/>
      <c r="M812" s="32"/>
      <c r="N812" s="32"/>
      <c r="O812" s="93">
        <v>485302.0</v>
      </c>
      <c r="P812" s="91">
        <f>IFERROR(__xludf.DUMMYFUNCTION("IFERROR(sum(FILTER($D:$N,$C:$C = $C812,$A:$A &lt; $A812,$B:$B = 12)),0) + sum($D812:$N812)"),485351.93000000005)</f>
        <v>485351.93</v>
      </c>
      <c r="Q812" s="92">
        <f t="shared" si="1"/>
        <v>-49.93</v>
      </c>
      <c r="R812" s="91">
        <f t="array" ref="R812">IFERROR(INDEX('Fund YTD Target Values'!$1:$1000, MATCH($C812,'Fund YTD Target Values'!$A:$A,0), MATCH($A812,'Fund YTD Target Values'!$1:$1,0)),0)</f>
        <v>437835.4209</v>
      </c>
      <c r="S812" s="91">
        <f>IFERROR(__xludf.DUMMYFUNCTION("IFERROR(sum(FILTER('Fund Investment Data'!$V:$V, 'Fund Investment Data'!$C:$C = $C812, 'Fund Investment Data'!$A:$A &lt; $A812)),0) + IFERROR(sum(FILTER('Fund Investment Data'!$V:$V, 'Fund Investment Data'!$C:$C = $C812, 'Fund Investment Data'!$A:$A = $A812,"&amp;" 'Fund Investment Data'!$B:$B &lt;= $B812)),0)"),416423.55)</f>
        <v>416423.55</v>
      </c>
      <c r="T812" s="93">
        <v>418877.0</v>
      </c>
      <c r="U812" s="32">
        <f t="shared" si="3"/>
        <v>-2453.45</v>
      </c>
      <c r="V812" s="32">
        <f>IFERROR(__xludf.DUMMYFUNCTION("$D812 - IFERROR(FILTER($D:$D,$C:$C = $C812, $A:$A = $A812, $B:$B = $B812 - 1),0)"),50.0)</f>
        <v>50</v>
      </c>
      <c r="W812" s="93">
        <f>IFERROR(__xludf.DUMMYFUNCTION("$E812 - IFERROR(FILTER($E:$E,$C:$C = $C812, $A:$A = $A812, $B:$B = $B812 - 1),0)"),0.0)</f>
        <v>0</v>
      </c>
      <c r="X812" s="93"/>
      <c r="Y812" s="93"/>
      <c r="Z812" s="93">
        <v>0.0</v>
      </c>
      <c r="AA812" s="93">
        <v>0.0</v>
      </c>
      <c r="AB812" s="93">
        <v>0.0</v>
      </c>
      <c r="AC812" s="93"/>
      <c r="AD812" s="93">
        <v>0.0</v>
      </c>
      <c r="AE812" s="32">
        <f t="shared" si="2"/>
        <v>-5000</v>
      </c>
      <c r="AF812" s="93">
        <v>0.0</v>
      </c>
    </row>
    <row r="813">
      <c r="A813" s="86">
        <v>2017.0</v>
      </c>
      <c r="B813" s="87">
        <v>12.0</v>
      </c>
      <c r="C813" s="88" t="s">
        <v>48</v>
      </c>
      <c r="D813" s="32"/>
      <c r="E813" s="93">
        <v>-65000.0</v>
      </c>
      <c r="F813" s="93"/>
      <c r="G813" s="93">
        <v>-7300.74</v>
      </c>
      <c r="H813" s="93">
        <v>26780.53</v>
      </c>
      <c r="I813" s="93">
        <v>14510.48</v>
      </c>
      <c r="J813" s="93">
        <v>136838.65</v>
      </c>
      <c r="K813" s="32"/>
      <c r="L813" s="32"/>
      <c r="M813" s="32"/>
      <c r="N813" s="32"/>
      <c r="O813" s="93">
        <v>1248643.0</v>
      </c>
      <c r="P813" s="91">
        <f>IFERROR(__xludf.DUMMYFUNCTION("IFERROR(sum(FILTER($D:$N,$C:$C = $C813,$A:$A &lt; $A813,$B:$B = 12)),0) + sum($D813:$N813)"),1248641.6699999997)</f>
        <v>1248641.67</v>
      </c>
      <c r="Q813" s="92">
        <f t="shared" si="1"/>
        <v>1.33</v>
      </c>
      <c r="R813" s="91">
        <f t="array" ref="R813">IFERROR(INDEX('Fund YTD Target Values'!$1:$1000, MATCH($C813,'Fund YTD Target Values'!$A:$A,0), MATCH($A813,'Fund YTD Target Values'!$1:$1,0)),0)</f>
        <v>1851058.71</v>
      </c>
      <c r="S813" s="91">
        <f>IFERROR(__xludf.DUMMYFUNCTION("IFERROR(sum(FILTER('Fund Investment Data'!$V:$V, 'Fund Investment Data'!$C:$C = $C813, 'Fund Investment Data'!$A:$A &lt; $A813)),0) + IFERROR(sum(FILTER('Fund Investment Data'!$V:$V, 'Fund Investment Data'!$C:$C = $C813, 'Fund Investment Data'!$A:$A = $A813,"&amp;" 'Fund Investment Data'!$B:$B &lt;= $B813)),0)"),1183929.39)</f>
        <v>1183929.39</v>
      </c>
      <c r="T813" s="93">
        <v>1140040.0</v>
      </c>
      <c r="U813" s="32">
        <f t="shared" si="3"/>
        <v>43889.39</v>
      </c>
      <c r="V813" s="32">
        <f>IFERROR(__xludf.DUMMYFUNCTION("$D813 - IFERROR(FILTER($D:$D,$C:$C = $C813, $A:$A = $A813, $B:$B = $B813 - 1),0)"),0.0)</f>
        <v>0</v>
      </c>
      <c r="W813" s="93">
        <f>IFERROR(__xludf.DUMMYFUNCTION("$E813 - IFERROR(FILTER($E:$E,$C:$C = $C813, $A:$A = $A813, $B:$B = $B813 - 1),0)"),0.0)</f>
        <v>0</v>
      </c>
      <c r="X813" s="93"/>
      <c r="Y813" s="93"/>
      <c r="Z813" s="93">
        <v>0.0</v>
      </c>
      <c r="AA813" s="93">
        <v>0.0</v>
      </c>
      <c r="AB813" s="93">
        <v>0.0</v>
      </c>
      <c r="AC813" s="93"/>
      <c r="AD813" s="93">
        <v>0.0</v>
      </c>
      <c r="AE813" s="32">
        <f t="shared" si="2"/>
        <v>-65000</v>
      </c>
      <c r="AF813" s="93">
        <v>0.0</v>
      </c>
    </row>
    <row r="814">
      <c r="A814" s="86">
        <v>2017.0</v>
      </c>
      <c r="B814" s="87">
        <v>12.0</v>
      </c>
      <c r="C814" s="88" t="s">
        <v>49</v>
      </c>
      <c r="D814" s="32"/>
      <c r="E814" s="93">
        <v>-30000.0</v>
      </c>
      <c r="F814" s="93"/>
      <c r="G814" s="93">
        <v>-3211.39</v>
      </c>
      <c r="H814" s="93">
        <v>11766.64</v>
      </c>
      <c r="I814" s="93">
        <v>6563.86</v>
      </c>
      <c r="J814" s="93">
        <v>59878.03</v>
      </c>
      <c r="K814" s="32"/>
      <c r="L814" s="32"/>
      <c r="M814" s="32"/>
      <c r="N814" s="32"/>
      <c r="O814" s="93">
        <v>547713.0</v>
      </c>
      <c r="P814" s="91">
        <f>IFERROR(__xludf.DUMMYFUNCTION("IFERROR(sum(FILTER($D:$N,$C:$C = $C814,$A:$A &lt; $A814,$B:$B = 12)),0) + sum($D814:$N814)"),547713.1399999999)</f>
        <v>547713.14</v>
      </c>
      <c r="Q814" s="92">
        <f t="shared" si="1"/>
        <v>-0.1399999999</v>
      </c>
      <c r="R814" s="91">
        <f t="array" ref="R814">IFERROR(INDEX('Fund YTD Target Values'!$1:$1000, MATCH($C814,'Fund YTD Target Values'!$A:$A,0), MATCH($A814,'Fund YTD Target Values'!$1:$1,0)),0)</f>
        <v>684659.2079</v>
      </c>
      <c r="S814" s="91">
        <f>IFERROR(__xludf.DUMMYFUNCTION("IFERROR(sum(FILTER('Fund Investment Data'!$V:$V, 'Fund Investment Data'!$C:$C = $C814, 'Fund Investment Data'!$A:$A &lt; $A814)),0) + IFERROR(sum(FILTER('Fund Investment Data'!$V:$V, 'Fund Investment Data'!$C:$C = $C814, 'Fund Investment Data'!$A:$A = $A814,"&amp;" 'Fund Investment Data'!$B:$B &lt;= $B814)),0)"),500000.0)</f>
        <v>500000</v>
      </c>
      <c r="T814" s="93">
        <v>500000.0</v>
      </c>
      <c r="U814" s="32">
        <f t="shared" si="3"/>
        <v>0</v>
      </c>
      <c r="V814" s="32">
        <f>IFERROR(__xludf.DUMMYFUNCTION("$D814 - IFERROR(FILTER($D:$D,$C:$C = $C814, $A:$A = $A814, $B:$B = $B814 - 1),0)"),0.0)</f>
        <v>0</v>
      </c>
      <c r="W814" s="93">
        <f>IFERROR(__xludf.DUMMYFUNCTION("$E814 - IFERROR(FILTER($E:$E,$C:$C = $C814, $A:$A = $A814, $B:$B = $B814 - 1),0)"),0.0)</f>
        <v>0</v>
      </c>
      <c r="X814" s="93"/>
      <c r="Y814" s="93"/>
      <c r="Z814" s="93">
        <v>0.0</v>
      </c>
      <c r="AA814" s="93">
        <v>0.0</v>
      </c>
      <c r="AB814" s="93">
        <v>0.0</v>
      </c>
      <c r="AC814" s="93"/>
      <c r="AD814" s="93">
        <v>0.0</v>
      </c>
      <c r="AE814" s="32">
        <f t="shared" si="2"/>
        <v>-30000</v>
      </c>
      <c r="AF814" s="93">
        <v>0.0</v>
      </c>
    </row>
    <row r="815">
      <c r="A815" s="86">
        <v>2017.0</v>
      </c>
      <c r="B815" s="87">
        <v>12.0</v>
      </c>
      <c r="C815" s="88" t="s">
        <v>41</v>
      </c>
      <c r="D815" s="32"/>
      <c r="E815" s="93">
        <v>-30000.0</v>
      </c>
      <c r="F815" s="93"/>
      <c r="G815" s="93">
        <v>-3797.88</v>
      </c>
      <c r="H815" s="93">
        <v>13896.67</v>
      </c>
      <c r="I815" s="93">
        <v>4662.04</v>
      </c>
      <c r="J815" s="93">
        <v>73873.48</v>
      </c>
      <c r="K815" s="32"/>
      <c r="L815" s="32"/>
      <c r="M815" s="32"/>
      <c r="N815" s="32"/>
      <c r="O815" s="93">
        <v>653119.0</v>
      </c>
      <c r="P815" s="91">
        <f>IFERROR(__xludf.DUMMYFUNCTION("IFERROR(sum(FILTER($D:$N,$C:$C = $C815,$A:$A &lt; $A815,$B:$B = 12)),0) + sum($D815:$N815)"),653119.3500000001)</f>
        <v>653119.35</v>
      </c>
      <c r="Q815" s="92">
        <f t="shared" si="1"/>
        <v>-0.3500000001</v>
      </c>
      <c r="R815" s="91">
        <f t="array" ref="R815">IFERROR(INDEX('Fund YTD Target Values'!$1:$1000, MATCH($C815,'Fund YTD Target Values'!$A:$A,0), MATCH($A815,'Fund YTD Target Values'!$1:$1,0)),0)</f>
        <v>573948.5743</v>
      </c>
      <c r="S815" s="91">
        <f>IFERROR(__xludf.DUMMYFUNCTION("IFERROR(sum(FILTER('Fund Investment Data'!$V:$V, 'Fund Investment Data'!$C:$C = $C815, 'Fund Investment Data'!$A:$A &lt; $A815)),0) + IFERROR(sum(FILTER('Fund Investment Data'!$V:$V, 'Fund Investment Data'!$C:$C = $C815, 'Fund Investment Data'!$A:$A = $A815,"&amp;" 'Fund Investment Data'!$B:$B &lt;= $B815)),0)"),433755.86)</f>
        <v>433755.86</v>
      </c>
      <c r="T815" s="93">
        <v>434291.0</v>
      </c>
      <c r="U815" s="32">
        <f t="shared" si="3"/>
        <v>-535.14</v>
      </c>
      <c r="V815" s="32">
        <f>IFERROR(__xludf.DUMMYFUNCTION("$D815 - IFERROR(FILTER($D:$D,$C:$C = $C815, $A:$A = $A815, $B:$B = $B815 - 1),0)"),0.0)</f>
        <v>0</v>
      </c>
      <c r="W815" s="93">
        <f>IFERROR(__xludf.DUMMYFUNCTION("$E815 - IFERROR(FILTER($E:$E,$C:$C = $C815, $A:$A = $A815, $B:$B = $B815 - 1),0)"),0.0)</f>
        <v>0</v>
      </c>
      <c r="X815" s="93"/>
      <c r="Y815" s="93"/>
      <c r="Z815" s="93">
        <v>0.0</v>
      </c>
      <c r="AA815" s="93">
        <v>0.0</v>
      </c>
      <c r="AB815" s="93">
        <v>0.0</v>
      </c>
      <c r="AC815" s="93"/>
      <c r="AD815" s="93">
        <v>0.0</v>
      </c>
      <c r="AE815" s="32">
        <f t="shared" si="2"/>
        <v>-30000</v>
      </c>
      <c r="AF815" s="93">
        <v>0.0</v>
      </c>
    </row>
    <row r="816">
      <c r="A816" s="86">
        <v>2017.0</v>
      </c>
      <c r="B816" s="87">
        <v>12.0</v>
      </c>
      <c r="C816" s="88" t="s">
        <v>25</v>
      </c>
      <c r="D816" s="32"/>
      <c r="E816" s="93">
        <v>-5000.0</v>
      </c>
      <c r="F816" s="93"/>
      <c r="G816" s="93">
        <v>-591.12</v>
      </c>
      <c r="H816" s="93">
        <v>2162.08</v>
      </c>
      <c r="I816" s="93">
        <v>341.1</v>
      </c>
      <c r="J816" s="93">
        <v>11866.26</v>
      </c>
      <c r="K816" s="32"/>
      <c r="L816" s="32"/>
      <c r="M816" s="32"/>
      <c r="N816" s="32"/>
      <c r="O816" s="93">
        <v>101066.0</v>
      </c>
      <c r="P816" s="91">
        <f>IFERROR(__xludf.DUMMYFUNCTION("IFERROR(sum(FILTER($D:$N,$C:$C = $C816,$A:$A &lt; $A816,$B:$B = 12)),0) + sum($D816:$N816)"),101066.32999999999)</f>
        <v>101066.33</v>
      </c>
      <c r="Q816" s="92">
        <f t="shared" si="1"/>
        <v>-0.33</v>
      </c>
      <c r="R816" s="91">
        <f t="array" ref="R816">IFERROR(INDEX('Fund YTD Target Values'!$1:$1000, MATCH($C816,'Fund YTD Target Values'!$A:$A,0), MATCH($A816,'Fund YTD Target Values'!$1:$1,0)),0)</f>
        <v>106572.0284</v>
      </c>
      <c r="S816" s="91">
        <f>IFERROR(__xludf.DUMMYFUNCTION("IFERROR(sum(FILTER('Fund Investment Data'!$V:$V, 'Fund Investment Data'!$C:$C = $C816, 'Fund Investment Data'!$A:$A &lt; $A816)),0) + IFERROR(sum(FILTER('Fund Investment Data'!$V:$V, 'Fund Investment Data'!$C:$C = $C816, 'Fund Investment Data'!$A:$A = $A816,"&amp;" 'Fund Investment Data'!$B:$B &lt;= $B816)),0)"),81000.0)</f>
        <v>81000</v>
      </c>
      <c r="T816" s="93">
        <v>81000.0</v>
      </c>
      <c r="U816" s="32">
        <f t="shared" si="3"/>
        <v>0</v>
      </c>
      <c r="V816" s="32">
        <f>IFERROR(__xludf.DUMMYFUNCTION("$D816 - IFERROR(FILTER($D:$D,$C:$C = $C816, $A:$A = $A816, $B:$B = $B816 - 1),0)"),0.0)</f>
        <v>0</v>
      </c>
      <c r="W816" s="93">
        <f>IFERROR(__xludf.DUMMYFUNCTION("$E816 - IFERROR(FILTER($E:$E,$C:$C = $C816, $A:$A = $A816, $B:$B = $B816 - 1),0)"),0.0)</f>
        <v>0</v>
      </c>
      <c r="X816" s="93"/>
      <c r="Y816" s="93"/>
      <c r="Z816" s="93">
        <v>0.0</v>
      </c>
      <c r="AA816" s="93">
        <v>0.0</v>
      </c>
      <c r="AB816" s="93">
        <v>0.0</v>
      </c>
      <c r="AC816" s="93"/>
      <c r="AD816" s="93">
        <v>0.0</v>
      </c>
      <c r="AE816" s="32">
        <f t="shared" si="2"/>
        <v>-5000</v>
      </c>
      <c r="AF816" s="93">
        <v>0.0</v>
      </c>
    </row>
    <row r="817">
      <c r="A817" s="86">
        <v>2017.0</v>
      </c>
      <c r="B817" s="87">
        <v>12.0</v>
      </c>
      <c r="C817" s="88" t="s">
        <v>42</v>
      </c>
      <c r="D817" s="32"/>
      <c r="E817" s="93">
        <v>-5000.0</v>
      </c>
      <c r="F817" s="93"/>
      <c r="G817" s="93">
        <v>-1700.62</v>
      </c>
      <c r="H817" s="93">
        <v>6167.24</v>
      </c>
      <c r="I817" s="32"/>
      <c r="J817" s="93">
        <v>34822.87</v>
      </c>
      <c r="K817" s="32"/>
      <c r="L817" s="32"/>
      <c r="M817" s="32"/>
      <c r="N817" s="32"/>
      <c r="O817" s="93">
        <v>299448.0</v>
      </c>
      <c r="P817" s="91">
        <f>IFERROR(__xludf.DUMMYFUNCTION("IFERROR(sum(FILTER($D:$N,$C:$C = $C817,$A:$A &lt; $A817,$B:$B = 12)),0) + sum($D817:$N817)"),299447.7600000001)</f>
        <v>299447.76</v>
      </c>
      <c r="Q817" s="92">
        <f t="shared" si="1"/>
        <v>0.2399999999</v>
      </c>
      <c r="R817" s="91">
        <f t="array" ref="R817">IFERROR(INDEX('Fund YTD Target Values'!$1:$1000, MATCH($C817,'Fund YTD Target Values'!$A:$A,0), MATCH($A817,'Fund YTD Target Values'!$1:$1,0)),0)</f>
        <v>234458.6336</v>
      </c>
      <c r="S817" s="91">
        <f>IFERROR(__xludf.DUMMYFUNCTION("IFERROR(sum(FILTER('Fund Investment Data'!$V:$V, 'Fund Investment Data'!$C:$C = $C817, 'Fund Investment Data'!$A:$A &lt; $A817)),0) + IFERROR(sum(FILTER('Fund Investment Data'!$V:$V, 'Fund Investment Data'!$C:$C = $C817, 'Fund Investment Data'!$A:$A = $A817,"&amp;" 'Fund Investment Data'!$B:$B &lt;= $B817)),0)"),194469.0)</f>
        <v>194469</v>
      </c>
      <c r="T817" s="93">
        <v>194469.0</v>
      </c>
      <c r="U817" s="32">
        <f t="shared" si="3"/>
        <v>0</v>
      </c>
      <c r="V817" s="32">
        <f>IFERROR(__xludf.DUMMYFUNCTION("$D817 - IFERROR(FILTER($D:$D,$C:$C = $C817, $A:$A = $A817, $B:$B = $B817 - 1),0)"),0.0)</f>
        <v>0</v>
      </c>
      <c r="W817" s="93">
        <f>IFERROR(__xludf.DUMMYFUNCTION("$E817 - IFERROR(FILTER($E:$E,$C:$C = $C817, $A:$A = $A817, $B:$B = $B817 - 1),0)"),0.0)</f>
        <v>0</v>
      </c>
      <c r="X817" s="93"/>
      <c r="Y817" s="93"/>
      <c r="Z817" s="93">
        <v>0.0</v>
      </c>
      <c r="AA817" s="93">
        <v>0.0</v>
      </c>
      <c r="AB817" s="93">
        <v>0.0</v>
      </c>
      <c r="AC817" s="93"/>
      <c r="AD817" s="93">
        <v>0.0</v>
      </c>
      <c r="AE817" s="32">
        <f t="shared" si="2"/>
        <v>-5000</v>
      </c>
      <c r="AF817" s="93">
        <v>0.0</v>
      </c>
    </row>
    <row r="818">
      <c r="A818" s="86">
        <v>2017.0</v>
      </c>
      <c r="B818" s="87">
        <v>12.0</v>
      </c>
      <c r="C818" s="88" t="s">
        <v>43</v>
      </c>
      <c r="D818" s="32"/>
      <c r="E818" s="93">
        <v>-2000.0</v>
      </c>
      <c r="F818" s="93"/>
      <c r="G818" s="93">
        <v>-712.5</v>
      </c>
      <c r="H818" s="93">
        <v>2605.78</v>
      </c>
      <c r="I818" s="32"/>
      <c r="J818" s="93">
        <v>14763.06</v>
      </c>
      <c r="K818" s="32"/>
      <c r="L818" s="32"/>
      <c r="M818" s="32"/>
      <c r="N818" s="32"/>
      <c r="O818" s="93">
        <v>125513.0</v>
      </c>
      <c r="P818" s="91">
        <f>IFERROR(__xludf.DUMMYFUNCTION("IFERROR(sum(FILTER($D:$N,$C:$C = $C818,$A:$A &lt; $A818,$B:$B = 12)),0) + sum($D818:$N818)"),125512.55000000002)</f>
        <v>125512.55</v>
      </c>
      <c r="Q818" s="92">
        <f t="shared" si="1"/>
        <v>0.45</v>
      </c>
      <c r="R818" s="91">
        <f t="array" ref="R818">IFERROR(INDEX('Fund YTD Target Values'!$1:$1000, MATCH($C818,'Fund YTD Target Values'!$A:$A,0), MATCH($A818,'Fund YTD Target Values'!$1:$1,0)),0)</f>
        <v>127580.7013</v>
      </c>
      <c r="S818" s="91">
        <f>IFERROR(__xludf.DUMMYFUNCTION("IFERROR(sum(FILTER('Fund Investment Data'!$V:$V, 'Fund Investment Data'!$C:$C = $C818, 'Fund Investment Data'!$A:$A &lt; $A818)),0) + IFERROR(sum(FILTER('Fund Investment Data'!$V:$V, 'Fund Investment Data'!$C:$C = $C818, 'Fund Investment Data'!$A:$A = $A818,"&amp;" 'Fund Investment Data'!$B:$B &lt;= $B818)),0)"),100000.0)</f>
        <v>100000</v>
      </c>
      <c r="T818" s="93">
        <v>100000.0</v>
      </c>
      <c r="U818" s="32">
        <f t="shared" si="3"/>
        <v>0</v>
      </c>
      <c r="V818" s="32">
        <f>IFERROR(__xludf.DUMMYFUNCTION("$D818 - IFERROR(FILTER($D:$D,$C:$C = $C818, $A:$A = $A818, $B:$B = $B818 - 1),0)"),0.0)</f>
        <v>0</v>
      </c>
      <c r="W818" s="93">
        <f>IFERROR(__xludf.DUMMYFUNCTION("$E818 - IFERROR(FILTER($E:$E,$C:$C = $C818, $A:$A = $A818, $B:$B = $B818 - 1),0)"),0.0)</f>
        <v>0</v>
      </c>
      <c r="X818" s="93"/>
      <c r="Y818" s="93"/>
      <c r="Z818" s="93">
        <v>0.0</v>
      </c>
      <c r="AA818" s="93">
        <v>0.0</v>
      </c>
      <c r="AB818" s="93">
        <v>0.0</v>
      </c>
      <c r="AC818" s="93"/>
      <c r="AD818" s="93">
        <v>0.0</v>
      </c>
      <c r="AE818" s="32">
        <f t="shared" si="2"/>
        <v>-2000</v>
      </c>
      <c r="AF818" s="93">
        <v>0.0</v>
      </c>
    </row>
    <row r="819">
      <c r="A819" s="86">
        <v>2017.0</v>
      </c>
      <c r="B819" s="87">
        <v>12.0</v>
      </c>
      <c r="C819" s="88" t="s">
        <v>52</v>
      </c>
      <c r="D819" s="93">
        <v>3500.0</v>
      </c>
      <c r="E819" s="93">
        <v>-16500.0</v>
      </c>
      <c r="F819" s="93"/>
      <c r="G819" s="93">
        <v>-6929.99</v>
      </c>
      <c r="H819" s="93">
        <v>23969.63</v>
      </c>
      <c r="I819" s="32"/>
      <c r="J819" s="93">
        <v>135568.55</v>
      </c>
      <c r="K819" s="32"/>
      <c r="L819" s="32"/>
      <c r="M819" s="32"/>
      <c r="N819" s="32"/>
      <c r="O819" s="93">
        <v>1164456.0</v>
      </c>
      <c r="P819" s="91">
        <f>IFERROR(__xludf.DUMMYFUNCTION("IFERROR(sum(FILTER($D:$N,$C:$C = $C819,$A:$A &lt; $A819,$B:$B = 12)),0) + sum($D819:$N819)"),1164456.13)</f>
        <v>1164456.13</v>
      </c>
      <c r="Q819" s="92">
        <f t="shared" si="1"/>
        <v>-0.1299999999</v>
      </c>
      <c r="R819" s="91">
        <f t="array" ref="R819">IFERROR(INDEX('Fund YTD Target Values'!$1:$1000, MATCH($C819,'Fund YTD Target Values'!$A:$A,0), MATCH($A819,'Fund YTD Target Values'!$1:$1,0)),0)</f>
        <v>1048370.982</v>
      </c>
      <c r="S819" s="91">
        <f>IFERROR(__xludf.DUMMYFUNCTION("IFERROR(sum(FILTER('Fund Investment Data'!$V:$V, 'Fund Investment Data'!$C:$C = $C819, 'Fund Investment Data'!$A:$A &lt; $A819)),0) + IFERROR(sum(FILTER('Fund Investment Data'!$V:$V, 'Fund Investment Data'!$C:$C = $C819, 'Fund Investment Data'!$A:$A = $A819,"&amp;" 'Fund Investment Data'!$B:$B &lt;= $B819)),0)"),1005136.0)</f>
        <v>1005136</v>
      </c>
      <c r="T819" s="93">
        <v>1005043.0</v>
      </c>
      <c r="U819" s="32">
        <f t="shared" si="3"/>
        <v>93</v>
      </c>
      <c r="V819" s="32">
        <f>IFERROR(__xludf.DUMMYFUNCTION("$D819 - IFERROR(FILTER($D:$D,$C:$C = $C819, $A:$A = $A819, $B:$B = $B819 - 1),0)"),0.0)</f>
        <v>0</v>
      </c>
      <c r="W819" s="93">
        <f>IFERROR(__xludf.DUMMYFUNCTION("$E819 - IFERROR(FILTER($E:$E,$C:$C = $C819, $A:$A = $A819, $B:$B = $B819 - 1),0)"),0.0)</f>
        <v>0</v>
      </c>
      <c r="X819" s="93"/>
      <c r="Y819" s="93"/>
      <c r="Z819" s="93">
        <v>0.0</v>
      </c>
      <c r="AA819" s="93">
        <v>0.0</v>
      </c>
      <c r="AB819" s="93">
        <v>0.0</v>
      </c>
      <c r="AC819" s="93"/>
      <c r="AD819" s="93">
        <v>0.0</v>
      </c>
      <c r="AE819" s="32">
        <f t="shared" si="2"/>
        <v>-16500</v>
      </c>
      <c r="AF819" s="93">
        <v>0.0</v>
      </c>
    </row>
    <row r="820">
      <c r="A820" s="86">
        <v>2017.0</v>
      </c>
      <c r="B820" s="87">
        <v>12.0</v>
      </c>
      <c r="C820" s="88" t="s">
        <v>33</v>
      </c>
      <c r="D820" s="32"/>
      <c r="E820" s="93">
        <v>-40000.0</v>
      </c>
      <c r="F820" s="93"/>
      <c r="G820" s="93">
        <v>-2200.35</v>
      </c>
      <c r="H820" s="93">
        <v>8077.52</v>
      </c>
      <c r="I820" s="93">
        <v>11040.09</v>
      </c>
      <c r="J820" s="93">
        <v>34375.22</v>
      </c>
      <c r="K820" s="32"/>
      <c r="L820" s="32"/>
      <c r="M820" s="32"/>
      <c r="N820" s="32"/>
      <c r="O820" s="93">
        <v>357077.0</v>
      </c>
      <c r="P820" s="91">
        <f>IFERROR(__xludf.DUMMYFUNCTION("IFERROR(sum(FILTER($D:$N,$C:$C = $C820,$A:$A &lt; $A820,$B:$B = 12)),0) + sum($D820:$N820)"),357077.4499999997)</f>
        <v>357077.45</v>
      </c>
      <c r="Q820" s="92">
        <f t="shared" si="1"/>
        <v>-0.4499999997</v>
      </c>
      <c r="R820" s="91">
        <f t="array" ref="R820">IFERROR(INDEX('Fund YTD Target Values'!$1:$1000, MATCH($C820,'Fund YTD Target Values'!$A:$A,0), MATCH($A820,'Fund YTD Target Values'!$1:$1,0)),0)</f>
        <v>500698.0917</v>
      </c>
      <c r="S820" s="91">
        <f>IFERROR(__xludf.DUMMYFUNCTION("IFERROR(sum(FILTER('Fund Investment Data'!$V:$V, 'Fund Investment Data'!$C:$C = $C820, 'Fund Investment Data'!$A:$A &lt; $A820)),0) + IFERROR(sum(FILTER('Fund Investment Data'!$V:$V, 'Fund Investment Data'!$C:$C = $C820, 'Fund Investment Data'!$A:$A = $A820,"&amp;" 'Fund Investment Data'!$B:$B &lt;= $B820)),0)"),325871.6399999999)</f>
        <v>325871.64</v>
      </c>
      <c r="T820" s="93">
        <v>326032.0</v>
      </c>
      <c r="U820" s="32">
        <f t="shared" si="3"/>
        <v>-160.36</v>
      </c>
      <c r="V820" s="32">
        <f>IFERROR(__xludf.DUMMYFUNCTION("$D820 - IFERROR(FILTER($D:$D,$C:$C = $C820, $A:$A = $A820, $B:$B = $B820 - 1),0)"),0.0)</f>
        <v>0</v>
      </c>
      <c r="W820" s="93">
        <f>IFERROR(__xludf.DUMMYFUNCTION("$E820 - IFERROR(FILTER($E:$E,$C:$C = $C820, $A:$A = $A820, $B:$B = $B820 - 1),0)"),0.0)</f>
        <v>0</v>
      </c>
      <c r="X820" s="93"/>
      <c r="Y820" s="93"/>
      <c r="Z820" s="93">
        <v>0.0</v>
      </c>
      <c r="AA820" s="93">
        <v>0.0</v>
      </c>
      <c r="AB820" s="93">
        <v>0.0</v>
      </c>
      <c r="AC820" s="93"/>
      <c r="AD820" s="93">
        <v>0.0</v>
      </c>
      <c r="AE820" s="32">
        <f t="shared" si="2"/>
        <v>-40000</v>
      </c>
      <c r="AF820" s="93">
        <v>0.0</v>
      </c>
    </row>
    <row r="821">
      <c r="A821" s="86">
        <v>2017.0</v>
      </c>
      <c r="B821" s="87">
        <v>12.0</v>
      </c>
      <c r="C821" s="88" t="s">
        <v>53</v>
      </c>
      <c r="D821" s="32"/>
      <c r="E821" s="93">
        <v>-63500.0</v>
      </c>
      <c r="F821" s="93"/>
      <c r="G821" s="93">
        <v>-13002.59</v>
      </c>
      <c r="H821" s="93">
        <v>47705.94</v>
      </c>
      <c r="I821" s="93">
        <v>3378.62</v>
      </c>
      <c r="J821" s="93">
        <v>266819.43</v>
      </c>
      <c r="K821" s="32"/>
      <c r="L821" s="32"/>
      <c r="M821" s="32"/>
      <c r="N821" s="32"/>
      <c r="O821" s="93">
        <v>2275315.0</v>
      </c>
      <c r="P821" s="91">
        <f>IFERROR(__xludf.DUMMYFUNCTION("IFERROR(sum(FILTER($D:$N,$C:$C = $C821,$A:$A &lt; $A821,$B:$B = 12)),0) + sum($D821:$N821)"),2275314.6799999997)</f>
        <v>2275314.68</v>
      </c>
      <c r="Q821" s="92">
        <f t="shared" si="1"/>
        <v>0.3200000003</v>
      </c>
      <c r="R821" s="91">
        <f t="array" ref="R821">IFERROR(INDEX('Fund YTD Target Values'!$1:$1000, MATCH($C821,'Fund YTD Target Values'!$A:$A,0), MATCH($A821,'Fund YTD Target Values'!$1:$1,0)),0)</f>
        <v>2171706.82</v>
      </c>
      <c r="S821" s="91">
        <f>IFERROR(__xludf.DUMMYFUNCTION("IFERROR(sum(FILTER('Fund Investment Data'!$V:$V, 'Fund Investment Data'!$C:$C = $C821, 'Fund Investment Data'!$A:$A &lt; $A821)),0) + IFERROR(sum(FILTER('Fund Investment Data'!$V:$V, 'Fund Investment Data'!$C:$C = $C821, 'Fund Investment Data'!$A:$A = $A821,"&amp;" 'Fund Investment Data'!$B:$B &lt;= $B821)),0)"),2005500.0)</f>
        <v>2005500</v>
      </c>
      <c r="T821" s="93">
        <v>2005500.0</v>
      </c>
      <c r="U821" s="32">
        <f t="shared" si="3"/>
        <v>0</v>
      </c>
      <c r="V821" s="32">
        <f>IFERROR(__xludf.DUMMYFUNCTION("$D821 - IFERROR(FILTER($D:$D,$C:$C = $C821, $A:$A = $A821, $B:$B = $B821 - 1),0)"),0.0)</f>
        <v>0</v>
      </c>
      <c r="W821" s="93">
        <f>IFERROR(__xludf.DUMMYFUNCTION("$E821 - IFERROR(FILTER($E:$E,$C:$C = $C821, $A:$A = $A821, $B:$B = $B821 - 1),0)"),0.0)</f>
        <v>0</v>
      </c>
      <c r="X821" s="93"/>
      <c r="Y821" s="93"/>
      <c r="Z821" s="93">
        <v>0.0</v>
      </c>
      <c r="AA821" s="93">
        <v>0.0</v>
      </c>
      <c r="AB821" s="93">
        <v>0.0</v>
      </c>
      <c r="AC821" s="93"/>
      <c r="AD821" s="93">
        <v>0.0</v>
      </c>
      <c r="AE821" s="32">
        <f t="shared" si="2"/>
        <v>-63500</v>
      </c>
      <c r="AF821" s="93">
        <v>0.0</v>
      </c>
    </row>
    <row r="822">
      <c r="A822" s="86">
        <v>2017.0</v>
      </c>
      <c r="B822" s="87">
        <v>12.0</v>
      </c>
      <c r="C822" s="88" t="s">
        <v>34</v>
      </c>
      <c r="D822" s="93">
        <v>5000.0</v>
      </c>
      <c r="E822" s="93">
        <v>-5000.0</v>
      </c>
      <c r="F822" s="93"/>
      <c r="G822" s="93">
        <v>-823.29</v>
      </c>
      <c r="H822" s="93">
        <v>2939.43</v>
      </c>
      <c r="I822" s="32"/>
      <c r="J822" s="93">
        <v>16475.51</v>
      </c>
      <c r="K822" s="32"/>
      <c r="L822" s="32"/>
      <c r="M822" s="32"/>
      <c r="N822" s="32"/>
      <c r="O822" s="93">
        <v>144288.0</v>
      </c>
      <c r="P822" s="91">
        <f>IFERROR(__xludf.DUMMYFUNCTION("IFERROR(sum(FILTER($D:$N,$C:$C = $C822,$A:$A &lt; $A822,$B:$B = 12)),0) + sum($D822:$N822)"),144288.16)</f>
        <v>144288.16</v>
      </c>
      <c r="Q822" s="92">
        <f t="shared" si="1"/>
        <v>-0.16</v>
      </c>
      <c r="R822" s="91">
        <f t="array" ref="R822">IFERROR(INDEX('Fund YTD Target Values'!$1:$1000, MATCH($C822,'Fund YTD Target Values'!$A:$A,0), MATCH($A822,'Fund YTD Target Values'!$1:$1,0)),0)</f>
        <v>127220.0742</v>
      </c>
      <c r="S822" s="91">
        <f>IFERROR(__xludf.DUMMYFUNCTION("IFERROR(sum(FILTER('Fund Investment Data'!$V:$V, 'Fund Investment Data'!$C:$C = $C822, 'Fund Investment Data'!$A:$A &lt; $A822)),0) + IFERROR(sum(FILTER('Fund Investment Data'!$V:$V, 'Fund Investment Data'!$C:$C = $C822, 'Fund Investment Data'!$A:$A = $A822,"&amp;" 'Fund Investment Data'!$B:$B &lt;= $B822)),0)"),120000.0)</f>
        <v>120000</v>
      </c>
      <c r="T822" s="93">
        <v>120000.0</v>
      </c>
      <c r="U822" s="32">
        <f t="shared" si="3"/>
        <v>0</v>
      </c>
      <c r="V822" s="32">
        <f>IFERROR(__xludf.DUMMYFUNCTION("$D822 - IFERROR(FILTER($D:$D,$C:$C = $C822, $A:$A = $A822, $B:$B = $B822 - 1),0)"),0.0)</f>
        <v>0</v>
      </c>
      <c r="W822" s="93">
        <f>IFERROR(__xludf.DUMMYFUNCTION("$E822 - IFERROR(FILTER($E:$E,$C:$C = $C822, $A:$A = $A822, $B:$B = $B822 - 1),0)"),0.0)</f>
        <v>0</v>
      </c>
      <c r="X822" s="93"/>
      <c r="Y822" s="93"/>
      <c r="Z822" s="93">
        <v>0.0</v>
      </c>
      <c r="AA822" s="93">
        <v>0.0</v>
      </c>
      <c r="AB822" s="93">
        <v>0.0</v>
      </c>
      <c r="AC822" s="93"/>
      <c r="AD822" s="93">
        <v>0.0</v>
      </c>
      <c r="AE822" s="32">
        <f t="shared" si="2"/>
        <v>-5000</v>
      </c>
      <c r="AF822" s="93">
        <v>0.0</v>
      </c>
    </row>
    <row r="823">
      <c r="A823" s="86">
        <v>2017.0</v>
      </c>
      <c r="B823" s="87">
        <v>12.0</v>
      </c>
      <c r="C823" s="88" t="s">
        <v>54</v>
      </c>
      <c r="D823" s="93">
        <v>1087.0</v>
      </c>
      <c r="E823" s="32"/>
      <c r="F823" s="93"/>
      <c r="G823" s="93">
        <v>-972.32</v>
      </c>
      <c r="H823" s="93">
        <v>3406.37</v>
      </c>
      <c r="I823" s="32"/>
      <c r="J823" s="93">
        <v>18916.81</v>
      </c>
      <c r="K823" s="32"/>
      <c r="L823" s="32"/>
      <c r="M823" s="32"/>
      <c r="N823" s="32"/>
      <c r="O823" s="93">
        <v>172892.0</v>
      </c>
      <c r="P823" s="91">
        <f>IFERROR(__xludf.DUMMYFUNCTION("IFERROR(sum(FILTER($D:$N,$C:$C = $C823,$A:$A &lt; $A823,$B:$B = 12)),0) + sum($D823:$N823)"),172892.96999999997)</f>
        <v>172892.97</v>
      </c>
      <c r="Q823" s="92">
        <f t="shared" si="1"/>
        <v>-0.97</v>
      </c>
      <c r="R823" s="91">
        <f t="array" ref="R823">IFERROR(INDEX('Fund YTD Target Values'!$1:$1000, MATCH($C823,'Fund YTD Target Values'!$A:$A,0), MATCH($A823,'Fund YTD Target Values'!$1:$1,0)),0)</f>
        <v>151442.9959</v>
      </c>
      <c r="S823" s="91">
        <f>IFERROR(__xludf.DUMMYFUNCTION("IFERROR(sum(FILTER('Fund Investment Data'!$V:$V, 'Fund Investment Data'!$C:$C = $C823, 'Fund Investment Data'!$A:$A &lt; $A823)),0) + IFERROR(sum(FILTER('Fund Investment Data'!$V:$V, 'Fund Investment Data'!$C:$C = $C823, 'Fund Investment Data'!$A:$A = $A823,"&amp;" 'Fund Investment Data'!$B:$B &lt;= $B823)),0)"),112432.10999999999)</f>
        <v>112432.11</v>
      </c>
      <c r="T823" s="93">
        <v>108610.0</v>
      </c>
      <c r="U823" s="32">
        <f t="shared" si="3"/>
        <v>3822.11</v>
      </c>
      <c r="V823" s="32">
        <f>IFERROR(__xludf.DUMMYFUNCTION("$D823 - IFERROR(FILTER($D:$D,$C:$C = $C823, $A:$A = $A823, $B:$B = $B823 - 1),0)"),0.0)</f>
        <v>0</v>
      </c>
      <c r="W823" s="93">
        <f>IFERROR(__xludf.DUMMYFUNCTION("$E823 - IFERROR(FILTER($E:$E,$C:$C = $C823, $A:$A = $A823, $B:$B = $B823 - 1),0)"),0.0)</f>
        <v>0</v>
      </c>
      <c r="X823" s="93"/>
      <c r="Y823" s="93"/>
      <c r="Z823" s="93">
        <v>0.0</v>
      </c>
      <c r="AA823" s="93">
        <v>0.0</v>
      </c>
      <c r="AB823" s="93">
        <v>0.0</v>
      </c>
      <c r="AC823" s="93"/>
      <c r="AD823" s="93">
        <v>0.0</v>
      </c>
      <c r="AE823" s="32">
        <f t="shared" si="2"/>
        <v>0</v>
      </c>
      <c r="AF823" s="93">
        <v>0.0</v>
      </c>
    </row>
    <row r="824">
      <c r="A824" s="86">
        <v>2017.0</v>
      </c>
      <c r="B824" s="87">
        <v>12.0</v>
      </c>
      <c r="C824" s="88" t="s">
        <v>55</v>
      </c>
      <c r="D824" s="93">
        <v>70000.0</v>
      </c>
      <c r="E824" s="32"/>
      <c r="F824" s="93"/>
      <c r="G824" s="93">
        <v>-1258.19</v>
      </c>
      <c r="H824" s="93">
        <v>2595.15</v>
      </c>
      <c r="I824" s="32"/>
      <c r="J824" s="93">
        <v>15852.51</v>
      </c>
      <c r="K824" s="32"/>
      <c r="L824" s="32"/>
      <c r="M824" s="32"/>
      <c r="N824" s="32"/>
      <c r="O824" s="93">
        <v>229065.0</v>
      </c>
      <c r="P824" s="91">
        <f>IFERROR(__xludf.DUMMYFUNCTION("IFERROR(sum(FILTER($D:$N,$C:$C = $C824,$A:$A &lt; $A824,$B:$B = 12)),0) + sum($D824:$N824)"),229064.75999999995)</f>
        <v>229064.76</v>
      </c>
      <c r="Q824" s="92">
        <f t="shared" si="1"/>
        <v>0.24</v>
      </c>
      <c r="R824" s="91">
        <f t="array" ref="R824">IFERROR(INDEX('Fund YTD Target Values'!$1:$1000, MATCH($C824,'Fund YTD Target Values'!$A:$A,0), MATCH($A824,'Fund YTD Target Values'!$1:$1,0)),0)</f>
        <v>213886.3799</v>
      </c>
      <c r="S824" s="91">
        <f>IFERROR(__xludf.DUMMYFUNCTION("IFERROR(sum(FILTER('Fund Investment Data'!$V:$V, 'Fund Investment Data'!$C:$C = $C824, 'Fund Investment Data'!$A:$A &lt; $A824)),0) + IFERROR(sum(FILTER('Fund Investment Data'!$V:$V, 'Fund Investment Data'!$C:$C = $C824, 'Fund Investment Data'!$A:$A = $A824,"&amp;" 'Fund Investment Data'!$B:$B &lt;= $B824)),0)"),210000.0)</f>
        <v>210000</v>
      </c>
      <c r="T824" s="93">
        <v>210000.0</v>
      </c>
      <c r="U824" s="32">
        <f t="shared" si="3"/>
        <v>0</v>
      </c>
      <c r="V824" s="32">
        <f>IFERROR(__xludf.DUMMYFUNCTION("$D824 - IFERROR(FILTER($D:$D,$C:$C = $C824, $A:$A = $A824, $B:$B = $B824 - 1),0)"),0.0)</f>
        <v>0</v>
      </c>
      <c r="W824" s="93">
        <f>IFERROR(__xludf.DUMMYFUNCTION("$E824 - IFERROR(FILTER($E:$E,$C:$C = $C824, $A:$A = $A824, $B:$B = $B824 - 1),0)"),0.0)</f>
        <v>0</v>
      </c>
      <c r="X824" s="93"/>
      <c r="Y824" s="93"/>
      <c r="Z824" s="93">
        <v>0.0</v>
      </c>
      <c r="AA824" s="93">
        <v>0.0</v>
      </c>
      <c r="AB824" s="93">
        <v>0.0</v>
      </c>
      <c r="AC824" s="93"/>
      <c r="AD824" s="93">
        <v>0.0</v>
      </c>
      <c r="AE824" s="32">
        <f t="shared" si="2"/>
        <v>0</v>
      </c>
      <c r="AF824" s="93">
        <v>0.0</v>
      </c>
    </row>
    <row r="825">
      <c r="A825" s="86">
        <v>2017.0</v>
      </c>
      <c r="B825" s="87">
        <v>12.0</v>
      </c>
      <c r="C825" s="88" t="s">
        <v>44</v>
      </c>
      <c r="D825" s="32"/>
      <c r="E825" s="93">
        <v>-20000.0</v>
      </c>
      <c r="F825" s="93"/>
      <c r="G825" s="93">
        <v>-1707.44</v>
      </c>
      <c r="H825" s="93">
        <v>6253.58</v>
      </c>
      <c r="I825" s="93">
        <v>4956.86</v>
      </c>
      <c r="J825" s="93">
        <v>30282.32</v>
      </c>
      <c r="K825" s="32"/>
      <c r="L825" s="32"/>
      <c r="M825" s="32"/>
      <c r="N825" s="32"/>
      <c r="O825" s="93">
        <v>286636.0</v>
      </c>
      <c r="P825" s="91">
        <f>IFERROR(__xludf.DUMMYFUNCTION("IFERROR(sum(FILTER($D:$N,$C:$C = $C825,$A:$A &lt; $A825,$B:$B = 12)),0) + sum($D825:$N825)"),286636.47000000015)</f>
        <v>286636.47</v>
      </c>
      <c r="Q825" s="92">
        <f t="shared" si="1"/>
        <v>-0.4700000001</v>
      </c>
      <c r="R825" s="91">
        <f t="array" ref="R825">IFERROR(INDEX('Fund YTD Target Values'!$1:$1000, MATCH($C825,'Fund YTD Target Values'!$A:$A,0), MATCH($A825,'Fund YTD Target Values'!$1:$1,0)),0)</f>
        <v>313918.5223</v>
      </c>
      <c r="S825" s="91">
        <f>IFERROR(__xludf.DUMMYFUNCTION("IFERROR(sum(FILTER('Fund Investment Data'!$V:$V, 'Fund Investment Data'!$C:$C = $C825, 'Fund Investment Data'!$A:$A &lt; $A825)),0) + IFERROR(sum(FILTER('Fund Investment Data'!$V:$V, 'Fund Investment Data'!$C:$C = $C825, 'Fund Investment Data'!$A:$A = $A825,"&amp;" 'Fund Investment Data'!$B:$B &lt;= $B825)),0)"),250000.0)</f>
        <v>250000</v>
      </c>
      <c r="T825" s="93">
        <v>250000.0</v>
      </c>
      <c r="U825" s="32">
        <f t="shared" si="3"/>
        <v>0</v>
      </c>
      <c r="V825" s="32">
        <f>IFERROR(__xludf.DUMMYFUNCTION("$D825 - IFERROR(FILTER($D:$D,$C:$C = $C825, $A:$A = $A825, $B:$B = $B825 - 1),0)"),0.0)</f>
        <v>0</v>
      </c>
      <c r="W825" s="93">
        <f>IFERROR(__xludf.DUMMYFUNCTION("$E825 - IFERROR(FILTER($E:$E,$C:$C = $C825, $A:$A = $A825, $B:$B = $B825 - 1),0)"),0.0)</f>
        <v>0</v>
      </c>
      <c r="X825" s="93"/>
      <c r="Y825" s="93"/>
      <c r="Z825" s="93">
        <v>0.0</v>
      </c>
      <c r="AA825" s="93">
        <v>0.0</v>
      </c>
      <c r="AB825" s="93">
        <v>0.0</v>
      </c>
      <c r="AC825" s="93"/>
      <c r="AD825" s="93">
        <v>0.0</v>
      </c>
      <c r="AE825" s="32">
        <f t="shared" si="2"/>
        <v>-20000</v>
      </c>
      <c r="AF825" s="93">
        <v>0.0</v>
      </c>
    </row>
    <row r="826">
      <c r="A826" s="86">
        <v>2017.0</v>
      </c>
      <c r="B826" s="87">
        <v>12.0</v>
      </c>
      <c r="C826" s="88" t="s">
        <v>45</v>
      </c>
      <c r="D826" s="32"/>
      <c r="E826" s="93">
        <v>-5000.0</v>
      </c>
      <c r="F826" s="93"/>
      <c r="G826" s="93">
        <v>-852.91</v>
      </c>
      <c r="H826" s="93">
        <v>3063.97</v>
      </c>
      <c r="I826" s="32"/>
      <c r="J826" s="93">
        <v>17246.4</v>
      </c>
      <c r="K826" s="32"/>
      <c r="L826" s="32"/>
      <c r="M826" s="32"/>
      <c r="N826" s="32"/>
      <c r="O826" s="93">
        <v>148402.0</v>
      </c>
      <c r="P826" s="91">
        <f>IFERROR(__xludf.DUMMYFUNCTION("IFERROR(sum(FILTER($D:$N,$C:$C = $C826,$A:$A &lt; $A826,$B:$B = 12)),0) + sum($D826:$N826)"),148402.28999999998)</f>
        <v>148402.29</v>
      </c>
      <c r="Q826" s="92">
        <f t="shared" si="1"/>
        <v>-0.29</v>
      </c>
      <c r="R826" s="91">
        <f t="array" ref="R826">IFERROR(INDEX('Fund YTD Target Values'!$1:$1000, MATCH($C826,'Fund YTD Target Values'!$A:$A,0), MATCH($A826,'Fund YTD Target Values'!$1:$1,0)),0)</f>
        <v>118351.1878</v>
      </c>
      <c r="S826" s="91">
        <f>IFERROR(__xludf.DUMMYFUNCTION("IFERROR(sum(FILTER('Fund Investment Data'!$V:$V, 'Fund Investment Data'!$C:$C = $C826, 'Fund Investment Data'!$A:$A &lt; $A826)),0) + IFERROR(sum(FILTER('Fund Investment Data'!$V:$V, 'Fund Investment Data'!$C:$C = $C826, 'Fund Investment Data'!$A:$A = $A826,"&amp;" 'Fund Investment Data'!$B:$B &lt;= $B826)),0)"),100000.0)</f>
        <v>100000</v>
      </c>
      <c r="T826" s="93">
        <v>100000.0</v>
      </c>
      <c r="U826" s="32">
        <f t="shared" si="3"/>
        <v>0</v>
      </c>
      <c r="V826" s="32">
        <f>IFERROR(__xludf.DUMMYFUNCTION("$D826 - IFERROR(FILTER($D:$D,$C:$C = $C826, $A:$A = $A826, $B:$B = $B826 - 1),0)"),0.0)</f>
        <v>0</v>
      </c>
      <c r="W826" s="93">
        <f>IFERROR(__xludf.DUMMYFUNCTION("$E826 - IFERROR(FILTER($E:$E,$C:$C = $C826, $A:$A = $A826, $B:$B = $B826 - 1),0)"),0.0)</f>
        <v>0</v>
      </c>
      <c r="X826" s="93"/>
      <c r="Y826" s="93"/>
      <c r="Z826" s="93">
        <v>0.0</v>
      </c>
      <c r="AA826" s="93">
        <v>0.0</v>
      </c>
      <c r="AB826" s="93">
        <v>0.0</v>
      </c>
      <c r="AC826" s="93"/>
      <c r="AD826" s="93">
        <v>0.0</v>
      </c>
      <c r="AE826" s="32">
        <f t="shared" si="2"/>
        <v>-5000</v>
      </c>
      <c r="AF826" s="93">
        <v>0.0</v>
      </c>
    </row>
    <row r="827">
      <c r="A827" s="86">
        <v>2017.0</v>
      </c>
      <c r="B827" s="87">
        <v>12.0</v>
      </c>
      <c r="C827" s="88" t="s">
        <v>35</v>
      </c>
      <c r="D827" s="32"/>
      <c r="E827" s="93">
        <v>-75000.0</v>
      </c>
      <c r="F827" s="93"/>
      <c r="G827" s="93">
        <v>-8539.75</v>
      </c>
      <c r="H827" s="93">
        <v>31377.92</v>
      </c>
      <c r="I827" s="93">
        <v>16829.72</v>
      </c>
      <c r="J827" s="93">
        <v>160616.0</v>
      </c>
      <c r="K827" s="32"/>
      <c r="L827" s="32"/>
      <c r="M827" s="32"/>
      <c r="N827" s="32"/>
      <c r="O827" s="93">
        <v>1466142.0</v>
      </c>
      <c r="P827" s="91">
        <f>IFERROR(__xludf.DUMMYFUNCTION("IFERROR(sum(FILTER($D:$N,$C:$C = $C827,$A:$A &lt; $A827,$B:$B = 12)),0) + sum($D827:$N827)"),1466141.5600000003)</f>
        <v>1466141.56</v>
      </c>
      <c r="Q827" s="92">
        <f t="shared" si="1"/>
        <v>0.4399999997</v>
      </c>
      <c r="R827" s="91">
        <f t="array" ref="R827">IFERROR(INDEX('Fund YTD Target Values'!$1:$1000, MATCH($C827,'Fund YTD Target Values'!$A:$A,0), MATCH($A827,'Fund YTD Target Values'!$1:$1,0)),0)</f>
        <v>1541591.16</v>
      </c>
      <c r="S827" s="91">
        <f>IFERROR(__xludf.DUMMYFUNCTION("IFERROR(sum(FILTER('Fund Investment Data'!$V:$V, 'Fund Investment Data'!$C:$C = $C827, 'Fund Investment Data'!$A:$A &lt; $A827)),0) + IFERROR(sum(FILTER('Fund Investment Data'!$V:$V, 'Fund Investment Data'!$C:$C = $C827, 'Fund Investment Data'!$A:$A = $A827,"&amp;" 'Fund Investment Data'!$B:$B &lt;= $B827)),0)"),1086625.0)</f>
        <v>1086625</v>
      </c>
      <c r="T827" s="93">
        <v>1071625.0</v>
      </c>
      <c r="U827" s="32">
        <f t="shared" si="3"/>
        <v>15000</v>
      </c>
      <c r="V827" s="32">
        <f>IFERROR(__xludf.DUMMYFUNCTION("$D827 - IFERROR(FILTER($D:$D,$C:$C = $C827, $A:$A = $A827, $B:$B = $B827 - 1),0)"),0.0)</f>
        <v>0</v>
      </c>
      <c r="W827" s="93">
        <f>IFERROR(__xludf.DUMMYFUNCTION("$E827 - IFERROR(FILTER($E:$E,$C:$C = $C827, $A:$A = $A827, $B:$B = $B827 - 1),0)"),0.0)</f>
        <v>0</v>
      </c>
      <c r="X827" s="93"/>
      <c r="Y827" s="93"/>
      <c r="Z827" s="93">
        <v>0.0</v>
      </c>
      <c r="AA827" s="93">
        <v>0.0</v>
      </c>
      <c r="AB827" s="93">
        <v>0.0</v>
      </c>
      <c r="AC827" s="93"/>
      <c r="AD827" s="93">
        <v>0.0</v>
      </c>
      <c r="AE827" s="32">
        <f t="shared" si="2"/>
        <v>-75000</v>
      </c>
      <c r="AF827" s="93">
        <v>0.0</v>
      </c>
    </row>
    <row r="828">
      <c r="A828" s="86">
        <v>2017.0</v>
      </c>
      <c r="B828" s="87">
        <v>12.0</v>
      </c>
      <c r="C828" s="88" t="s">
        <v>56</v>
      </c>
      <c r="D828" s="32"/>
      <c r="E828" s="93">
        <v>-12000.0</v>
      </c>
      <c r="F828" s="93"/>
      <c r="G828" s="93">
        <v>-6416.56</v>
      </c>
      <c r="H828" s="93">
        <v>22953.67</v>
      </c>
      <c r="I828" s="32"/>
      <c r="J828" s="93">
        <v>128722.1</v>
      </c>
      <c r="K828" s="32"/>
      <c r="L828" s="32"/>
      <c r="M828" s="32"/>
      <c r="N828" s="32"/>
      <c r="O828" s="93">
        <v>1132978.0</v>
      </c>
      <c r="P828" s="91">
        <f>IFERROR(__xludf.DUMMYFUNCTION("IFERROR(sum(FILTER($D:$N,$C:$C = $C828,$A:$A &lt; $A828,$B:$B = 12)),0) + sum($D828:$N828)"),1132977.8299999998)</f>
        <v>1132977.83</v>
      </c>
      <c r="Q828" s="92">
        <f t="shared" si="1"/>
        <v>0.1700000002</v>
      </c>
      <c r="R828" s="91">
        <f t="array" ref="R828">IFERROR(INDEX('Fund YTD Target Values'!$1:$1000, MATCH($C828,'Fund YTD Target Values'!$A:$A,0), MATCH($A828,'Fund YTD Target Values'!$1:$1,0)),0)</f>
        <v>1035433.228</v>
      </c>
      <c r="S828" s="91">
        <f>IFERROR(__xludf.DUMMYFUNCTION("IFERROR(sum(FILTER('Fund Investment Data'!$V:$V, 'Fund Investment Data'!$C:$C = $C828, 'Fund Investment Data'!$A:$A &lt; $A828)),0) + IFERROR(sum(FILTER('Fund Investment Data'!$V:$V, 'Fund Investment Data'!$C:$C = $C828, 'Fund Investment Data'!$A:$A = $A828,"&amp;" 'Fund Investment Data'!$B:$B &lt;= $B828)),0)"),1000000.0)</f>
        <v>1000000</v>
      </c>
      <c r="T828" s="93">
        <v>1000000.0</v>
      </c>
      <c r="U828" s="32">
        <f t="shared" si="3"/>
        <v>0</v>
      </c>
      <c r="V828" s="32">
        <f>IFERROR(__xludf.DUMMYFUNCTION("$D828 - IFERROR(FILTER($D:$D,$C:$C = $C828, $A:$A = $A828, $B:$B = $B828 - 1),0)"),0.0)</f>
        <v>0</v>
      </c>
      <c r="W828" s="93">
        <f>IFERROR(__xludf.DUMMYFUNCTION("$E828 - IFERROR(FILTER($E:$E,$C:$C = $C828, $A:$A = $A828, $B:$B = $B828 - 1),0)"),0.0)</f>
        <v>0</v>
      </c>
      <c r="X828" s="93"/>
      <c r="Y828" s="93"/>
      <c r="Z828" s="93">
        <v>0.0</v>
      </c>
      <c r="AA828" s="93">
        <v>0.0</v>
      </c>
      <c r="AB828" s="93">
        <v>0.0</v>
      </c>
      <c r="AC828" s="93"/>
      <c r="AD828" s="93">
        <v>0.0</v>
      </c>
      <c r="AE828" s="32">
        <f t="shared" si="2"/>
        <v>-12000</v>
      </c>
      <c r="AF828" s="93">
        <v>0.0</v>
      </c>
    </row>
    <row r="829">
      <c r="A829" s="86">
        <v>2017.0</v>
      </c>
      <c r="B829" s="87">
        <v>12.0</v>
      </c>
      <c r="C829" s="88" t="s">
        <v>57</v>
      </c>
      <c r="D829" s="93">
        <v>2000000.0</v>
      </c>
      <c r="E829" s="32"/>
      <c r="F829" s="93"/>
      <c r="G829" s="93">
        <v>-1527.89</v>
      </c>
      <c r="H829" s="93">
        <v>4336.05</v>
      </c>
      <c r="I829" s="32"/>
      <c r="J829" s="93">
        <v>32370.67</v>
      </c>
      <c r="K829" s="32"/>
      <c r="L829" s="32"/>
      <c r="M829" s="32"/>
      <c r="N829" s="32"/>
      <c r="O829" s="93">
        <v>2035179.0</v>
      </c>
      <c r="P829" s="91">
        <f>IFERROR(__xludf.DUMMYFUNCTION("IFERROR(sum(FILTER($D:$N,$C:$C = $C829,$A:$A &lt; $A829,$B:$B = 12)),0) + sum($D829:$N829)"),2035178.83)</f>
        <v>2035178.83</v>
      </c>
      <c r="Q829" s="92">
        <f t="shared" si="1"/>
        <v>0.1699999999</v>
      </c>
      <c r="R829" s="91">
        <f t="array" ref="R829">IFERROR(INDEX('Fund YTD Target Values'!$1:$1000, MATCH($C829,'Fund YTD Target Values'!$A:$A,0), MATCH($A829,'Fund YTD Target Values'!$1:$1,0)),0)</f>
        <v>2000000</v>
      </c>
      <c r="S829" s="91">
        <f>IFERROR(__xludf.DUMMYFUNCTION("IFERROR(sum(FILTER('Fund Investment Data'!$V:$V, 'Fund Investment Data'!$C:$C = $C829, 'Fund Investment Data'!$A:$A &lt; $A829)),0) + IFERROR(sum(FILTER('Fund Investment Data'!$V:$V, 'Fund Investment Data'!$C:$C = $C829, 'Fund Investment Data'!$A:$A = $A829,"&amp;" 'Fund Investment Data'!$B:$B &lt;= $B829)),0)"),2000000.0)</f>
        <v>2000000</v>
      </c>
      <c r="T829" s="93">
        <v>2000000.0</v>
      </c>
      <c r="U829" s="32">
        <f t="shared" si="3"/>
        <v>0</v>
      </c>
      <c r="V829" s="32">
        <f>IFERROR(__xludf.DUMMYFUNCTION("$D829 - IFERROR(FILTER($D:$D,$C:$C = $C829, $A:$A = $A829, $B:$B = $B829 - 1),0)"),0.0)</f>
        <v>0</v>
      </c>
      <c r="W829" s="93">
        <f>IFERROR(__xludf.DUMMYFUNCTION("$E829 - IFERROR(FILTER($E:$E,$C:$C = $C829, $A:$A = $A829, $B:$B = $B829 - 1),0)"),0.0)</f>
        <v>0</v>
      </c>
      <c r="X829" s="93"/>
      <c r="Y829" s="93"/>
      <c r="Z829" s="93">
        <v>0.0</v>
      </c>
      <c r="AA829" s="93">
        <v>0.0</v>
      </c>
      <c r="AB829" s="93">
        <v>0.0</v>
      </c>
      <c r="AC829" s="93"/>
      <c r="AD829" s="93">
        <v>0.0</v>
      </c>
      <c r="AE829" s="32">
        <f t="shared" si="2"/>
        <v>0</v>
      </c>
      <c r="AF829" s="93">
        <v>0.0</v>
      </c>
    </row>
    <row r="830">
      <c r="A830" s="86">
        <v>2017.0</v>
      </c>
      <c r="B830" s="87">
        <v>12.0</v>
      </c>
      <c r="C830" s="88" t="s">
        <v>58</v>
      </c>
      <c r="D830" s="93">
        <v>2000000.0</v>
      </c>
      <c r="E830" s="32"/>
      <c r="F830" s="93"/>
      <c r="G830" s="93">
        <v>-1527.89</v>
      </c>
      <c r="H830" s="93">
        <v>4336.05</v>
      </c>
      <c r="I830" s="32"/>
      <c r="J830" s="93">
        <v>32370.67</v>
      </c>
      <c r="K830" s="32"/>
      <c r="L830" s="32"/>
      <c r="M830" s="32"/>
      <c r="N830" s="32"/>
      <c r="O830" s="93">
        <v>2035179.0</v>
      </c>
      <c r="P830" s="91">
        <f>IFERROR(__xludf.DUMMYFUNCTION("IFERROR(sum(FILTER($D:$N,$C:$C = $C830,$A:$A &lt; $A830,$B:$B = 12)),0) + sum($D830:$N830)"),2035178.83)</f>
        <v>2035178.83</v>
      </c>
      <c r="Q830" s="92">
        <f t="shared" si="1"/>
        <v>0.1699999999</v>
      </c>
      <c r="R830" s="91">
        <f t="array" ref="R830">IFERROR(INDEX('Fund YTD Target Values'!$1:$1000, MATCH($C830,'Fund YTD Target Values'!$A:$A,0), MATCH($A830,'Fund YTD Target Values'!$1:$1,0)),0)</f>
        <v>2000000</v>
      </c>
      <c r="S830" s="91">
        <f>IFERROR(__xludf.DUMMYFUNCTION("IFERROR(sum(FILTER('Fund Investment Data'!$V:$V, 'Fund Investment Data'!$C:$C = $C830, 'Fund Investment Data'!$A:$A &lt; $A830)),0) + IFERROR(sum(FILTER('Fund Investment Data'!$V:$V, 'Fund Investment Data'!$C:$C = $C830, 'Fund Investment Data'!$A:$A = $A830,"&amp;" 'Fund Investment Data'!$B:$B &lt;= $B830)),0)"),2000000.0)</f>
        <v>2000000</v>
      </c>
      <c r="T830" s="93">
        <v>2000000.0</v>
      </c>
      <c r="U830" s="32">
        <f t="shared" si="3"/>
        <v>0</v>
      </c>
      <c r="V830" s="32">
        <f>IFERROR(__xludf.DUMMYFUNCTION("$D830 - IFERROR(FILTER($D:$D,$C:$C = $C830, $A:$A = $A830, $B:$B = $B830 - 1),0)"),0.0)</f>
        <v>0</v>
      </c>
      <c r="W830" s="93">
        <f>IFERROR(__xludf.DUMMYFUNCTION("$E830 - IFERROR(FILTER($E:$E,$C:$C = $C830, $A:$A = $A830, $B:$B = $B830 - 1),0)"),0.0)</f>
        <v>0</v>
      </c>
      <c r="X830" s="93"/>
      <c r="Y830" s="93"/>
      <c r="Z830" s="93">
        <v>0.0</v>
      </c>
      <c r="AA830" s="93">
        <v>0.0</v>
      </c>
      <c r="AB830" s="93">
        <v>0.0</v>
      </c>
      <c r="AC830" s="93"/>
      <c r="AD830" s="93">
        <v>0.0</v>
      </c>
      <c r="AE830" s="32">
        <f t="shared" si="2"/>
        <v>0</v>
      </c>
      <c r="AF830" s="93">
        <v>0.0</v>
      </c>
    </row>
    <row r="831">
      <c r="A831" s="86">
        <v>2018.0</v>
      </c>
      <c r="B831" s="87">
        <v>1.0</v>
      </c>
      <c r="C831" s="88" t="s">
        <v>26</v>
      </c>
      <c r="D831" s="32"/>
      <c r="E831" s="32"/>
      <c r="F831" s="32"/>
      <c r="G831" s="93">
        <v>-644.23</v>
      </c>
      <c r="H831" s="93">
        <v>2024.95</v>
      </c>
      <c r="I831" s="32"/>
      <c r="J831" s="93">
        <v>10196.01</v>
      </c>
      <c r="K831" s="32"/>
      <c r="L831" s="32"/>
      <c r="M831" s="32"/>
      <c r="N831" s="32"/>
      <c r="O831" s="93">
        <v>343509.0</v>
      </c>
      <c r="P831" s="91">
        <f>IFERROR(__xludf.DUMMYFUNCTION("IFERROR(sum(FILTER($D:$N,$C:$C = $C831,$A:$A &lt; $A831,$B:$B = 12)),0) + sum($D831:$N831)"),343507.68999999994)</f>
        <v>343507.69</v>
      </c>
      <c r="Q831" s="92">
        <f t="shared" si="1"/>
        <v>1.31</v>
      </c>
      <c r="R831" s="91">
        <f t="array" ref="R831">IFERROR(INDEX('Fund YTD Target Values'!$1:$1000, MATCH($C831,'Fund YTD Target Values'!$A:$A,0), MATCH($A831,'Fund YTD Target Values'!$1:$1,0)),0)</f>
        <v>378110.9215</v>
      </c>
      <c r="S831" s="91">
        <f>IFERROR(__xludf.DUMMYFUNCTION("IFERROR(sum(FILTER('Fund Investment Data'!$V:$V, 'Fund Investment Data'!$C:$C = $C831, 'Fund Investment Data'!$A:$A &lt; $A831)),0) + IFERROR(sum(FILTER('Fund Investment Data'!$V:$V, 'Fund Investment Data'!$C:$C = $C831, 'Fund Investment Data'!$A:$A = $A831,"&amp;" 'Fund Investment Data'!$B:$B &lt;= $B831)),0)"),292060.0)</f>
        <v>292060</v>
      </c>
      <c r="T831" s="93">
        <v>292061.0</v>
      </c>
      <c r="U831" s="32">
        <f t="shared" si="3"/>
        <v>-1</v>
      </c>
      <c r="V831" s="32">
        <f>IFERROR(__xludf.DUMMYFUNCTION("$D831 - IFERROR(FILTER($D:$D,$C:$C = $C831, $A:$A = $A831, $B:$B = $B831 - 1),0)"),0.0)</f>
        <v>0</v>
      </c>
      <c r="W831" s="93">
        <f>IFERROR(__xludf.DUMMYFUNCTION("$E831 - IFERROR(FILTER($E:$E,$C:$C = $C831, $A:$A = $A831, $B:$B = $B831 - 1),0)"),0.0)</f>
        <v>0</v>
      </c>
      <c r="X831" s="93"/>
      <c r="Y831" s="93"/>
      <c r="Z831" s="93">
        <v>0.0</v>
      </c>
      <c r="AA831" s="93">
        <v>0.0</v>
      </c>
      <c r="AB831" s="93">
        <v>0.0</v>
      </c>
      <c r="AC831" s="93"/>
      <c r="AD831" s="93">
        <v>0.0</v>
      </c>
      <c r="AE831" s="32">
        <f t="shared" si="2"/>
        <v>0</v>
      </c>
      <c r="AF831" s="93">
        <v>0.0</v>
      </c>
    </row>
    <row r="832">
      <c r="A832" s="86">
        <v>2018.0</v>
      </c>
      <c r="B832" s="87">
        <v>1.0</v>
      </c>
      <c r="C832" s="88" t="s">
        <v>27</v>
      </c>
      <c r="D832" s="32"/>
      <c r="E832" s="32"/>
      <c r="F832" s="32"/>
      <c r="G832" s="93">
        <v>-605.93</v>
      </c>
      <c r="H832" s="93">
        <v>1907.91</v>
      </c>
      <c r="I832" s="32"/>
      <c r="J832" s="93">
        <v>9629.63</v>
      </c>
      <c r="K832" s="32"/>
      <c r="L832" s="32"/>
      <c r="M832" s="32"/>
      <c r="N832" s="32"/>
      <c r="O832" s="93">
        <v>319417.0</v>
      </c>
      <c r="P832" s="91">
        <f>IFERROR(__xludf.DUMMYFUNCTION("IFERROR(sum(FILTER($D:$N,$C:$C = $C832,$A:$A &lt; $A832,$B:$B = 12)),0) + sum($D832:$N832)"),319417.01000000007)</f>
        <v>319417.01</v>
      </c>
      <c r="Q832" s="92">
        <f t="shared" si="1"/>
        <v>-0.01000000007</v>
      </c>
      <c r="R832" s="91">
        <f t="array" ref="R832">IFERROR(INDEX('Fund YTD Target Values'!$1:$1000, MATCH($C832,'Fund YTD Target Values'!$A:$A,0), MATCH($A832,'Fund YTD Target Values'!$1:$1,0)),0)</f>
        <v>393297.582</v>
      </c>
      <c r="S832" s="91">
        <f>IFERROR(__xludf.DUMMYFUNCTION("IFERROR(sum(FILTER('Fund Investment Data'!$V:$V, 'Fund Investment Data'!$C:$C = $C832, 'Fund Investment Data'!$A:$A &lt; $A832)),0) + IFERROR(sum(FILTER('Fund Investment Data'!$V:$V, 'Fund Investment Data'!$C:$C = $C832, 'Fund Investment Data'!$A:$A = $A832,"&amp;" 'Fund Investment Data'!$B:$B &lt;= $B832)),0)"),276213.69999999995)</f>
        <v>276213.7</v>
      </c>
      <c r="T832" s="93">
        <v>272248.0</v>
      </c>
      <c r="U832" s="32">
        <f t="shared" si="3"/>
        <v>3965.7</v>
      </c>
      <c r="V832" s="32">
        <f>IFERROR(__xludf.DUMMYFUNCTION("$D832 - IFERROR(FILTER($D:$D,$C:$C = $C832, $A:$A = $A832, $B:$B = $B832 - 1),0)"),0.0)</f>
        <v>0</v>
      </c>
      <c r="W832" s="93">
        <f>IFERROR(__xludf.DUMMYFUNCTION("$E832 - IFERROR(FILTER($E:$E,$C:$C = $C832, $A:$A = $A832, $B:$B = $B832 - 1),0)"),0.0)</f>
        <v>0</v>
      </c>
      <c r="X832" s="93"/>
      <c r="Y832" s="93"/>
      <c r="Z832" s="93">
        <v>0.0</v>
      </c>
      <c r="AA832" s="93">
        <v>0.0</v>
      </c>
      <c r="AB832" s="93">
        <v>0.0</v>
      </c>
      <c r="AC832" s="93"/>
      <c r="AD832" s="93">
        <v>0.0</v>
      </c>
      <c r="AE832" s="32">
        <f t="shared" si="2"/>
        <v>0</v>
      </c>
      <c r="AF832" s="93">
        <v>0.0</v>
      </c>
    </row>
    <row r="833">
      <c r="A833" s="86">
        <v>2018.0</v>
      </c>
      <c r="B833" s="87">
        <v>1.0</v>
      </c>
      <c r="C833" s="88" t="s">
        <v>28</v>
      </c>
      <c r="D833" s="32"/>
      <c r="E833" s="32"/>
      <c r="F833" s="32"/>
      <c r="G833" s="93">
        <v>-6488.77</v>
      </c>
      <c r="H833" s="93">
        <v>20426.05</v>
      </c>
      <c r="I833" s="32"/>
      <c r="J833" s="93">
        <v>103059.45</v>
      </c>
      <c r="K833" s="32"/>
      <c r="L833" s="32"/>
      <c r="M833" s="32"/>
      <c r="N833" s="32"/>
      <c r="O833" s="93">
        <v>3426224.0</v>
      </c>
      <c r="P833" s="91">
        <f>IFERROR(__xludf.DUMMYFUNCTION("IFERROR(sum(FILTER($D:$N,$C:$C = $C833,$A:$A &lt; $A833,$B:$B = 12)),0) + sum($D833:$N833)"),3426222.8)</f>
        <v>3426222.8</v>
      </c>
      <c r="Q833" s="92">
        <f t="shared" si="1"/>
        <v>1.2</v>
      </c>
      <c r="R833" s="91">
        <f t="array" ref="R833">IFERROR(INDEX('Fund YTD Target Values'!$1:$1000, MATCH($C833,'Fund YTD Target Values'!$A:$A,0), MATCH($A833,'Fund YTD Target Values'!$1:$1,0)),0)</f>
        <v>3840487.513</v>
      </c>
      <c r="S833" s="91">
        <f>IFERROR(__xludf.DUMMYFUNCTION("IFERROR(sum(FILTER('Fund Investment Data'!$V:$V, 'Fund Investment Data'!$C:$C = $C833, 'Fund Investment Data'!$A:$A &lt; $A833)),0) + IFERROR(sum(FILTER('Fund Investment Data'!$V:$V, 'Fund Investment Data'!$C:$C = $C833, 'Fund Investment Data'!$A:$A = $A833,"&amp;" 'Fund Investment Data'!$B:$B &lt;= $B833)),0)"),2960091.25)</f>
        <v>2960091.25</v>
      </c>
      <c r="T833" s="93">
        <v>3009816.0</v>
      </c>
      <c r="U833" s="32">
        <f t="shared" si="3"/>
        <v>-49724.75</v>
      </c>
      <c r="V833" s="32">
        <f>IFERROR(__xludf.DUMMYFUNCTION("$D833 - IFERROR(FILTER($D:$D,$C:$C = $C833, $A:$A = $A833, $B:$B = $B833 - 1),0)"),0.0)</f>
        <v>0</v>
      </c>
      <c r="W833" s="93">
        <f>IFERROR(__xludf.DUMMYFUNCTION("$E833 - IFERROR(FILTER($E:$E,$C:$C = $C833, $A:$A = $A833, $B:$B = $B833 - 1),0)"),0.0)</f>
        <v>0</v>
      </c>
      <c r="X833" s="93"/>
      <c r="Y833" s="93"/>
      <c r="Z833" s="93">
        <v>0.0</v>
      </c>
      <c r="AA833" s="93">
        <v>0.0</v>
      </c>
      <c r="AB833" s="93">
        <v>0.0</v>
      </c>
      <c r="AC833" s="93"/>
      <c r="AD833" s="93">
        <v>0.0</v>
      </c>
      <c r="AE833" s="32">
        <f t="shared" si="2"/>
        <v>0</v>
      </c>
      <c r="AF833" s="93">
        <v>0.0</v>
      </c>
    </row>
    <row r="834">
      <c r="A834" s="86">
        <v>2018.0</v>
      </c>
      <c r="B834" s="87">
        <v>1.0</v>
      </c>
      <c r="C834" s="88" t="s">
        <v>46</v>
      </c>
      <c r="D834" s="32"/>
      <c r="E834" s="32"/>
      <c r="F834" s="32"/>
      <c r="G834" s="93">
        <v>-772.94</v>
      </c>
      <c r="H834" s="93">
        <v>2433.75</v>
      </c>
      <c r="I834" s="32"/>
      <c r="J834" s="93">
        <v>12283.66</v>
      </c>
      <c r="K834" s="32"/>
      <c r="L834" s="32"/>
      <c r="M834" s="32"/>
      <c r="N834" s="32"/>
      <c r="O834" s="93">
        <v>407452.0</v>
      </c>
      <c r="P834" s="91">
        <f>IFERROR(__xludf.DUMMYFUNCTION("IFERROR(sum(FILTER($D:$N,$C:$C = $C834,$A:$A &lt; $A834,$B:$B = 12)),0) + sum($D834:$N834)"),407452.13)</f>
        <v>407452.13</v>
      </c>
      <c r="Q834" s="92">
        <f t="shared" si="1"/>
        <v>-0.13</v>
      </c>
      <c r="R834" s="91">
        <f t="array" ref="R834">IFERROR(INDEX('Fund YTD Target Values'!$1:$1000, MATCH($C834,'Fund YTD Target Values'!$A:$A,0), MATCH($A834,'Fund YTD Target Values'!$1:$1,0)),0)</f>
        <v>456546.9656</v>
      </c>
      <c r="S834" s="91">
        <f>IFERROR(__xludf.DUMMYFUNCTION("IFERROR(sum(FILTER('Fund Investment Data'!$V:$V, 'Fund Investment Data'!$C:$C = $C834, 'Fund Investment Data'!$A:$A &lt; $A834)),0) + IFERROR(sum(FILTER('Fund Investment Data'!$V:$V, 'Fund Investment Data'!$C:$C = $C834, 'Fund Investment Data'!$A:$A = $A834,"&amp;" 'Fund Investment Data'!$B:$B &lt;= $B834)),0)"),366400.0)</f>
        <v>366400</v>
      </c>
      <c r="T834" s="93">
        <v>366400.0</v>
      </c>
      <c r="U834" s="32">
        <f t="shared" si="3"/>
        <v>0</v>
      </c>
      <c r="V834" s="32">
        <f>IFERROR(__xludf.DUMMYFUNCTION("$D834 - IFERROR(FILTER($D:$D,$C:$C = $C834, $A:$A = $A834, $B:$B = $B834 - 1),0)"),0.0)</f>
        <v>0</v>
      </c>
      <c r="W834" s="93">
        <f>IFERROR(__xludf.DUMMYFUNCTION("$E834 - IFERROR(FILTER($E:$E,$C:$C = $C834, $A:$A = $A834, $B:$B = $B834 - 1),0)"),0.0)</f>
        <v>0</v>
      </c>
      <c r="X834" s="93"/>
      <c r="Y834" s="93"/>
      <c r="Z834" s="93">
        <v>0.0</v>
      </c>
      <c r="AA834" s="93">
        <v>0.0</v>
      </c>
      <c r="AB834" s="93">
        <v>0.0</v>
      </c>
      <c r="AC834" s="93"/>
      <c r="AD834" s="93">
        <v>0.0</v>
      </c>
      <c r="AE834" s="32">
        <f t="shared" si="2"/>
        <v>0</v>
      </c>
      <c r="AF834" s="93">
        <v>0.0</v>
      </c>
    </row>
    <row r="835">
      <c r="A835" s="86">
        <v>2018.0</v>
      </c>
      <c r="B835" s="87">
        <v>1.0</v>
      </c>
      <c r="C835" s="88" t="s">
        <v>36</v>
      </c>
      <c r="D835" s="32"/>
      <c r="E835" s="32"/>
      <c r="F835" s="32"/>
      <c r="G835" s="93">
        <v>-885.38</v>
      </c>
      <c r="H835" s="93">
        <v>2787.81</v>
      </c>
      <c r="I835" s="32"/>
      <c r="J835" s="93">
        <v>14070.71</v>
      </c>
      <c r="K835" s="32"/>
      <c r="L835" s="32"/>
      <c r="M835" s="32"/>
      <c r="N835" s="32"/>
      <c r="O835" s="93">
        <v>466728.0</v>
      </c>
      <c r="P835" s="91">
        <f>IFERROR(__xludf.DUMMYFUNCTION("IFERROR(sum(FILTER($D:$N,$C:$C = $C835,$A:$A &lt; $A835,$B:$B = 12)),0) + sum($D835:$N835)"),466727.60000000003)</f>
        <v>466727.6</v>
      </c>
      <c r="Q835" s="92">
        <f t="shared" si="1"/>
        <v>0.4</v>
      </c>
      <c r="R835" s="91">
        <f t="array" ref="R835">IFERROR(INDEX('Fund YTD Target Values'!$1:$1000, MATCH($C835,'Fund YTD Target Values'!$A:$A,0), MATCH($A835,'Fund YTD Target Values'!$1:$1,0)),0)</f>
        <v>635486.6433</v>
      </c>
      <c r="S835" s="91">
        <f>IFERROR(__xludf.DUMMYFUNCTION("IFERROR(sum(FILTER('Fund Investment Data'!$V:$V, 'Fund Investment Data'!$C:$C = $C835, 'Fund Investment Data'!$A:$A &lt; $A835)),0) + IFERROR(sum(FILTER('Fund Investment Data'!$V:$V, 'Fund Investment Data'!$C:$C = $C835, 'Fund Investment Data'!$A:$A = $A835,"&amp;" 'Fund Investment Data'!$B:$B &lt;= $B835)),0)"),429067.24)</f>
        <v>429067.24</v>
      </c>
      <c r="T835" s="93">
        <v>413959.0</v>
      </c>
      <c r="U835" s="32">
        <f t="shared" si="3"/>
        <v>15108.24</v>
      </c>
      <c r="V835" s="32">
        <f>IFERROR(__xludf.DUMMYFUNCTION("$D835 - IFERROR(FILTER($D:$D,$C:$C = $C835, $A:$A = $A835, $B:$B = $B835 - 1),0)"),0.0)</f>
        <v>0</v>
      </c>
      <c r="W835" s="93">
        <f>IFERROR(__xludf.DUMMYFUNCTION("$E835 - IFERROR(FILTER($E:$E,$C:$C = $C835, $A:$A = $A835, $B:$B = $B835 - 1),0)"),0.0)</f>
        <v>0</v>
      </c>
      <c r="X835" s="93"/>
      <c r="Y835" s="93"/>
      <c r="Z835" s="93">
        <v>0.0</v>
      </c>
      <c r="AA835" s="93">
        <v>0.0</v>
      </c>
      <c r="AB835" s="93">
        <v>0.0</v>
      </c>
      <c r="AC835" s="93"/>
      <c r="AD835" s="93">
        <v>0.0</v>
      </c>
      <c r="AE835" s="32">
        <f t="shared" si="2"/>
        <v>0</v>
      </c>
      <c r="AF835" s="93">
        <v>0.0</v>
      </c>
    </row>
    <row r="836">
      <c r="A836" s="86">
        <v>2018.0</v>
      </c>
      <c r="B836" s="87">
        <v>1.0</v>
      </c>
      <c r="C836" s="88" t="s">
        <v>37</v>
      </c>
      <c r="D836" s="32"/>
      <c r="E836" s="32"/>
      <c r="F836" s="32"/>
      <c r="G836" s="93">
        <v>-1617.2</v>
      </c>
      <c r="H836" s="93">
        <v>5092.1</v>
      </c>
      <c r="I836" s="32"/>
      <c r="J836" s="93">
        <v>25700.94</v>
      </c>
      <c r="K836" s="32"/>
      <c r="L836" s="32"/>
      <c r="M836" s="32"/>
      <c r="N836" s="32"/>
      <c r="O836" s="93">
        <v>852505.0</v>
      </c>
      <c r="P836" s="91">
        <f>IFERROR(__xludf.DUMMYFUNCTION("IFERROR(sum(FILTER($D:$N,$C:$C = $C836,$A:$A &lt; $A836,$B:$B = 12)),0) + sum($D836:$N836)"),852505.0799999998)</f>
        <v>852505.08</v>
      </c>
      <c r="Q836" s="92">
        <f t="shared" si="1"/>
        <v>-0.07999999984</v>
      </c>
      <c r="R836" s="91">
        <f t="array" ref="R836">IFERROR(INDEX('Fund YTD Target Values'!$1:$1000, MATCH($C836,'Fund YTD Target Values'!$A:$A,0), MATCH($A836,'Fund YTD Target Values'!$1:$1,0)),0)</f>
        <v>845621.3635</v>
      </c>
      <c r="S836" s="91">
        <f>IFERROR(__xludf.DUMMYFUNCTION("IFERROR(sum(FILTER('Fund Investment Data'!$V:$V, 'Fund Investment Data'!$C:$C = $C836, 'Fund Investment Data'!$A:$A &lt; $A836)),0) + IFERROR(sum(FILTER('Fund Investment Data'!$V:$V, 'Fund Investment Data'!$C:$C = $C836, 'Fund Investment Data'!$A:$A = $A836,"&amp;" 'Fund Investment Data'!$B:$B &lt;= $B836)),0)"),758137.86)</f>
        <v>758137.86</v>
      </c>
      <c r="T836" s="93">
        <v>742866.0</v>
      </c>
      <c r="U836" s="32">
        <f t="shared" si="3"/>
        <v>15271.86</v>
      </c>
      <c r="V836" s="32">
        <f>IFERROR(__xludf.DUMMYFUNCTION("$D836 - IFERROR(FILTER($D:$D,$C:$C = $C836, $A:$A = $A836, $B:$B = $B836 - 1),0)"),0.0)</f>
        <v>0</v>
      </c>
      <c r="W836" s="93">
        <f>IFERROR(__xludf.DUMMYFUNCTION("$E836 - IFERROR(FILTER($E:$E,$C:$C = $C836, $A:$A = $A836, $B:$B = $B836 - 1),0)"),0.0)</f>
        <v>0</v>
      </c>
      <c r="X836" s="93"/>
      <c r="Y836" s="93"/>
      <c r="Z836" s="93">
        <v>0.0</v>
      </c>
      <c r="AA836" s="93">
        <v>0.0</v>
      </c>
      <c r="AB836" s="93">
        <v>0.0</v>
      </c>
      <c r="AC836" s="93"/>
      <c r="AD836" s="93">
        <v>0.0</v>
      </c>
      <c r="AE836" s="32">
        <f t="shared" si="2"/>
        <v>0</v>
      </c>
      <c r="AF836" s="93">
        <v>0.0</v>
      </c>
    </row>
    <row r="837">
      <c r="A837" s="86">
        <v>2018.0</v>
      </c>
      <c r="B837" s="87">
        <v>1.0</v>
      </c>
      <c r="C837" s="88" t="s">
        <v>29</v>
      </c>
      <c r="D837" s="32"/>
      <c r="E837" s="32"/>
      <c r="F837" s="32"/>
      <c r="G837" s="93">
        <v>-114.17</v>
      </c>
      <c r="H837" s="93">
        <v>359.46</v>
      </c>
      <c r="I837" s="32"/>
      <c r="J837" s="93">
        <v>1814.08</v>
      </c>
      <c r="K837" s="32"/>
      <c r="L837" s="32"/>
      <c r="M837" s="32"/>
      <c r="N837" s="32"/>
      <c r="O837" s="93">
        <v>60221.0</v>
      </c>
      <c r="P837" s="91">
        <f>IFERROR(__xludf.DUMMYFUNCTION("IFERROR(sum(FILTER($D:$N,$C:$C = $C837,$A:$A &lt; $A837,$B:$B = 12)),0) + sum($D837:$N837)"),60220.67999999993)</f>
        <v>60220.68</v>
      </c>
      <c r="Q837" s="92">
        <f t="shared" si="1"/>
        <v>0.3200000001</v>
      </c>
      <c r="R837" s="91">
        <f t="array" ref="R837">IFERROR(INDEX('Fund YTD Target Values'!$1:$1000, MATCH($C837,'Fund YTD Target Values'!$A:$A,0), MATCH($A837,'Fund YTD Target Values'!$1:$1,0)),0)</f>
        <v>77055.94062</v>
      </c>
      <c r="S837" s="91">
        <f>IFERROR(__xludf.DUMMYFUNCTION("IFERROR(sum(FILTER('Fund Investment Data'!$V:$V, 'Fund Investment Data'!$C:$C = $C837, 'Fund Investment Data'!$A:$A &lt; $A837)),0) + IFERROR(sum(FILTER('Fund Investment Data'!$V:$V, 'Fund Investment Data'!$C:$C = $C837, 'Fund Investment Data'!$A:$A = $A837,"&amp;" 'Fund Investment Data'!$B:$B &lt;= $B837)),0)"),50000.0)</f>
        <v>50000</v>
      </c>
      <c r="T837" s="93">
        <v>50000.0</v>
      </c>
      <c r="U837" s="32">
        <f t="shared" si="3"/>
        <v>0</v>
      </c>
      <c r="V837" s="32">
        <f>IFERROR(__xludf.DUMMYFUNCTION("$D837 - IFERROR(FILTER($D:$D,$C:$C = $C837, $A:$A = $A837, $B:$B = $B837 - 1),0)"),0.0)</f>
        <v>0</v>
      </c>
      <c r="W837" s="93">
        <f>IFERROR(__xludf.DUMMYFUNCTION("$E837 - IFERROR(FILTER($E:$E,$C:$C = $C837, $A:$A = $A837, $B:$B = $B837 - 1),0)"),0.0)</f>
        <v>0</v>
      </c>
      <c r="X837" s="93"/>
      <c r="Y837" s="93"/>
      <c r="Z837" s="93">
        <v>0.0</v>
      </c>
      <c r="AA837" s="93">
        <v>0.0</v>
      </c>
      <c r="AB837" s="93">
        <v>0.0</v>
      </c>
      <c r="AC837" s="93"/>
      <c r="AD837" s="93">
        <v>0.0</v>
      </c>
      <c r="AE837" s="32">
        <f t="shared" si="2"/>
        <v>0</v>
      </c>
      <c r="AF837" s="93">
        <v>0.0</v>
      </c>
    </row>
    <row r="838">
      <c r="A838" s="86">
        <v>2018.0</v>
      </c>
      <c r="B838" s="87">
        <v>1.0</v>
      </c>
      <c r="C838" s="88" t="s">
        <v>38</v>
      </c>
      <c r="D838" s="32"/>
      <c r="E838" s="32"/>
      <c r="F838" s="32"/>
      <c r="G838" s="93">
        <v>-1577.72</v>
      </c>
      <c r="H838" s="93">
        <v>4965.79</v>
      </c>
      <c r="I838" s="32"/>
      <c r="J838" s="93">
        <v>25055.27</v>
      </c>
      <c r="K838" s="32"/>
      <c r="L838" s="32"/>
      <c r="M838" s="32"/>
      <c r="N838" s="32"/>
      <c r="O838" s="93">
        <v>843853.0</v>
      </c>
      <c r="P838" s="91">
        <f>IFERROR(__xludf.DUMMYFUNCTION("IFERROR(sum(FILTER($D:$N,$C:$C = $C838,$A:$A &lt; $A838,$B:$B = 12)),0) + sum($D838:$N838)"),843851.4799999999)</f>
        <v>843851.48</v>
      </c>
      <c r="Q838" s="92">
        <f t="shared" si="1"/>
        <v>1.52</v>
      </c>
      <c r="R838" s="91">
        <f t="array" ref="R838">IFERROR(INDEX('Fund YTD Target Values'!$1:$1000, MATCH($C838,'Fund YTD Target Values'!$A:$A,0), MATCH($A838,'Fund YTD Target Values'!$1:$1,0)),0)</f>
        <v>702514.9803</v>
      </c>
      <c r="S838" s="91">
        <f>IFERROR(__xludf.DUMMYFUNCTION("IFERROR(sum(FILTER('Fund Investment Data'!$V:$V, 'Fund Investment Data'!$C:$C = $C838, 'Fund Investment Data'!$A:$A &lt; $A838)),0) + IFERROR(sum(FILTER('Fund Investment Data'!$V:$V, 'Fund Investment Data'!$C:$C = $C838, 'Fund Investment Data'!$A:$A = $A838,"&amp;" 'Fund Investment Data'!$B:$B &lt;= $B838)),0)"),556601.64)</f>
        <v>556601.64</v>
      </c>
      <c r="T838" s="93">
        <v>558656.0</v>
      </c>
      <c r="U838" s="32">
        <f t="shared" si="3"/>
        <v>-2054.36</v>
      </c>
      <c r="V838" s="32">
        <f>IFERROR(__xludf.DUMMYFUNCTION("$D838 - IFERROR(FILTER($D:$D,$C:$C = $C838, $A:$A = $A838, $B:$B = $B838 - 1),0)"),0.0)</f>
        <v>0</v>
      </c>
      <c r="W838" s="93">
        <f>IFERROR(__xludf.DUMMYFUNCTION("$E838 - IFERROR(FILTER($E:$E,$C:$C = $C838, $A:$A = $A838, $B:$B = $B838 - 1),0)"),0.0)</f>
        <v>0</v>
      </c>
      <c r="X838" s="93"/>
      <c r="Y838" s="93"/>
      <c r="Z838" s="93">
        <v>0.0</v>
      </c>
      <c r="AA838" s="93">
        <v>0.0</v>
      </c>
      <c r="AB838" s="93">
        <v>0.0</v>
      </c>
      <c r="AC838" s="93"/>
      <c r="AD838" s="93">
        <v>0.0</v>
      </c>
      <c r="AE838" s="32">
        <f t="shared" si="2"/>
        <v>0</v>
      </c>
      <c r="AF838" s="93">
        <v>0.0</v>
      </c>
    </row>
    <row r="839">
      <c r="A839" s="86">
        <v>2018.0</v>
      </c>
      <c r="B839" s="87">
        <v>1.0</v>
      </c>
      <c r="C839" s="88" t="s">
        <v>30</v>
      </c>
      <c r="D839" s="32"/>
      <c r="E839" s="32"/>
      <c r="F839" s="32"/>
      <c r="G839" s="93">
        <v>-32.62</v>
      </c>
      <c r="H839" s="93">
        <v>102.04</v>
      </c>
      <c r="I839" s="32"/>
      <c r="J839" s="93">
        <v>510.31</v>
      </c>
      <c r="K839" s="32"/>
      <c r="L839" s="32"/>
      <c r="M839" s="32"/>
      <c r="N839" s="32"/>
      <c r="O839" s="93">
        <v>17949.0</v>
      </c>
      <c r="P839" s="91">
        <f>IFERROR(__xludf.DUMMYFUNCTION("IFERROR(sum(FILTER($D:$N,$C:$C = $C839,$A:$A &lt; $A839,$B:$B = 12)),0) + sum($D839:$N839)"),17947.139999999985)</f>
        <v>17947.14</v>
      </c>
      <c r="Q839" s="92">
        <f t="shared" si="1"/>
        <v>1.86</v>
      </c>
      <c r="R839" s="91">
        <f t="array" ref="R839">IFERROR(INDEX('Fund YTD Target Values'!$1:$1000, MATCH($C839,'Fund YTD Target Values'!$A:$A,0), MATCH($A839,'Fund YTD Target Values'!$1:$1,0)),0)</f>
        <v>18484.57102</v>
      </c>
      <c r="S839" s="91">
        <f>IFERROR(__xludf.DUMMYFUNCTION("IFERROR(sum(FILTER('Fund Investment Data'!$V:$V, 'Fund Investment Data'!$C:$C = $C839, 'Fund Investment Data'!$A:$A &lt; $A839)),0) + IFERROR(sum(FILTER('Fund Investment Data'!$V:$V, 'Fund Investment Data'!$C:$C = $C839, 'Fund Investment Data'!$A:$A = $A839,"&amp;" 'Fund Investment Data'!$B:$B &lt;= $B839)),0)"),11540.75)</f>
        <v>11540.75</v>
      </c>
      <c r="T839" s="93">
        <v>10000.0</v>
      </c>
      <c r="U839" s="32">
        <f t="shared" si="3"/>
        <v>1540.75</v>
      </c>
      <c r="V839" s="32">
        <f>IFERROR(__xludf.DUMMYFUNCTION("$D839 - IFERROR(FILTER($D:$D,$C:$C = $C839, $A:$A = $A839, $B:$B = $B839 - 1),0)"),0.0)</f>
        <v>0</v>
      </c>
      <c r="W839" s="93">
        <f>IFERROR(__xludf.DUMMYFUNCTION("$E839 - IFERROR(FILTER($E:$E,$C:$C = $C839, $A:$A = $A839, $B:$B = $B839 - 1),0)"),0.0)</f>
        <v>0</v>
      </c>
      <c r="X839" s="93"/>
      <c r="Y839" s="93"/>
      <c r="Z839" s="93">
        <v>0.0</v>
      </c>
      <c r="AA839" s="93">
        <v>0.0</v>
      </c>
      <c r="AB839" s="93">
        <v>0.0</v>
      </c>
      <c r="AC839" s="93"/>
      <c r="AD839" s="93">
        <v>0.0</v>
      </c>
      <c r="AE839" s="32">
        <f t="shared" si="2"/>
        <v>0</v>
      </c>
      <c r="AF839" s="93">
        <v>0.0</v>
      </c>
    </row>
    <row r="840">
      <c r="A840" s="86">
        <v>2018.0</v>
      </c>
      <c r="B840" s="87">
        <v>1.0</v>
      </c>
      <c r="C840" s="88" t="s">
        <v>47</v>
      </c>
      <c r="D840" s="32"/>
      <c r="E840" s="32"/>
      <c r="F840" s="32"/>
      <c r="G840" s="93">
        <v>-2974.33</v>
      </c>
      <c r="H840" s="93">
        <v>9365.27</v>
      </c>
      <c r="I840" s="32"/>
      <c r="J840" s="93">
        <v>47268.65</v>
      </c>
      <c r="K840" s="32"/>
      <c r="L840" s="32"/>
      <c r="M840" s="32"/>
      <c r="N840" s="32"/>
      <c r="O840" s="93">
        <v>1567910.0</v>
      </c>
      <c r="P840" s="91">
        <f>IFERROR(__xludf.DUMMYFUNCTION("IFERROR(sum(FILTER($D:$N,$C:$C = $C840,$A:$A &lt; $A840,$B:$B = 12)),0) + sum($D840:$N840)"),1567909.2299999997)</f>
        <v>1567909.23</v>
      </c>
      <c r="Q840" s="92">
        <f t="shared" si="1"/>
        <v>0.7700000003</v>
      </c>
      <c r="R840" s="91">
        <f t="array" ref="R840">IFERROR(INDEX('Fund YTD Target Values'!$1:$1000, MATCH($C840,'Fund YTD Target Values'!$A:$A,0), MATCH($A840,'Fund YTD Target Values'!$1:$1,0)),0)</f>
        <v>1998729.212</v>
      </c>
      <c r="S840" s="91">
        <f>IFERROR(__xludf.DUMMYFUNCTION("IFERROR(sum(FILTER('Fund Investment Data'!$V:$V, 'Fund Investment Data'!$C:$C = $C840, 'Fund Investment Data'!$A:$A &lt; $A840)),0) + IFERROR(sum(FILTER('Fund Investment Data'!$V:$V, 'Fund Investment Data'!$C:$C = $C840, 'Fund Investment Data'!$A:$A = $A840,"&amp;" 'Fund Investment Data'!$B:$B &lt;= $B840)),0)"),1456367.46)</f>
        <v>1456367.46</v>
      </c>
      <c r="T840" s="93">
        <v>1348955.0</v>
      </c>
      <c r="U840" s="32">
        <f t="shared" si="3"/>
        <v>107412.46</v>
      </c>
      <c r="V840" s="32">
        <f>IFERROR(__xludf.DUMMYFUNCTION("$D840 - IFERROR(FILTER($D:$D,$C:$C = $C840, $A:$A = $A840, $B:$B = $B840 - 1),0)"),0.0)</f>
        <v>0</v>
      </c>
      <c r="W840" s="93">
        <f>IFERROR(__xludf.DUMMYFUNCTION("$E840 - IFERROR(FILTER($E:$E,$C:$C = $C840, $A:$A = $A840, $B:$B = $B840 - 1),0)"),0.0)</f>
        <v>0</v>
      </c>
      <c r="X840" s="93"/>
      <c r="Y840" s="93"/>
      <c r="Z840" s="93">
        <v>0.0</v>
      </c>
      <c r="AA840" s="93">
        <v>0.0</v>
      </c>
      <c r="AB840" s="93">
        <v>0.0</v>
      </c>
      <c r="AC840" s="93"/>
      <c r="AD840" s="93">
        <v>0.0</v>
      </c>
      <c r="AE840" s="32">
        <f t="shared" si="2"/>
        <v>0</v>
      </c>
      <c r="AF840" s="93">
        <v>0.0</v>
      </c>
    </row>
    <row r="841">
      <c r="A841" s="86">
        <v>2018.0</v>
      </c>
      <c r="B841" s="87">
        <v>1.0</v>
      </c>
      <c r="C841" s="88" t="s">
        <v>31</v>
      </c>
      <c r="D841" s="32"/>
      <c r="E841" s="32"/>
      <c r="F841" s="32"/>
      <c r="G841" s="93">
        <v>-371.75</v>
      </c>
      <c r="H841" s="93">
        <v>1170.53</v>
      </c>
      <c r="I841" s="32"/>
      <c r="J841" s="93">
        <v>5907.9</v>
      </c>
      <c r="K841" s="32"/>
      <c r="L841" s="32"/>
      <c r="M841" s="32"/>
      <c r="N841" s="32"/>
      <c r="O841" s="93">
        <v>195966.0</v>
      </c>
      <c r="P841" s="91">
        <f>IFERROR(__xludf.DUMMYFUNCTION("IFERROR(sum(FILTER($D:$N,$C:$C = $C841,$A:$A &lt; $A841,$B:$B = 12)),0) + sum($D841:$N841)"),195966.03000000003)</f>
        <v>195966.03</v>
      </c>
      <c r="Q841" s="92">
        <f t="shared" si="1"/>
        <v>-0.03000000003</v>
      </c>
      <c r="R841" s="91">
        <f t="array" ref="R841">IFERROR(INDEX('Fund YTD Target Values'!$1:$1000, MATCH($C841,'Fund YTD Target Values'!$A:$A,0), MATCH($A841,'Fund YTD Target Values'!$1:$1,0)),0)</f>
        <v>210555.1651</v>
      </c>
      <c r="S841" s="91">
        <f>IFERROR(__xludf.DUMMYFUNCTION("IFERROR(sum(FILTER('Fund Investment Data'!$V:$V, 'Fund Investment Data'!$C:$C = $C841, 'Fund Investment Data'!$A:$A &lt; $A841)),0) + IFERROR(sum(FILTER('Fund Investment Data'!$V:$V, 'Fund Investment Data'!$C:$C = $C841, 'Fund Investment Data'!$A:$A = $A841,"&amp;" 'Fund Investment Data'!$B:$B &lt;= $B841)),0)"),158100.0)</f>
        <v>158100</v>
      </c>
      <c r="T841" s="93">
        <v>156850.0</v>
      </c>
      <c r="U841" s="32">
        <f t="shared" si="3"/>
        <v>1250</v>
      </c>
      <c r="V841" s="32">
        <f>IFERROR(__xludf.DUMMYFUNCTION("$D841 - IFERROR(FILTER($D:$D,$C:$C = $C841, $A:$A = $A841, $B:$B = $B841 - 1),0)"),0.0)</f>
        <v>0</v>
      </c>
      <c r="W841" s="93">
        <f>IFERROR(__xludf.DUMMYFUNCTION("$E841 - IFERROR(FILTER($E:$E,$C:$C = $C841, $A:$A = $A841, $B:$B = $B841 - 1),0)"),0.0)</f>
        <v>0</v>
      </c>
      <c r="X841" s="93"/>
      <c r="Y841" s="93"/>
      <c r="Z841" s="93">
        <v>0.0</v>
      </c>
      <c r="AA841" s="93">
        <v>0.0</v>
      </c>
      <c r="AB841" s="93">
        <v>0.0</v>
      </c>
      <c r="AC841" s="93"/>
      <c r="AD841" s="93">
        <v>0.0</v>
      </c>
      <c r="AE841" s="32">
        <f t="shared" si="2"/>
        <v>0</v>
      </c>
      <c r="AF841" s="93">
        <v>0.0</v>
      </c>
    </row>
    <row r="842">
      <c r="A842" s="86">
        <v>2018.0</v>
      </c>
      <c r="B842" s="87">
        <v>1.0</v>
      </c>
      <c r="C842" s="88" t="s">
        <v>39</v>
      </c>
      <c r="D842" s="32"/>
      <c r="E842" s="32"/>
      <c r="F842" s="32"/>
      <c r="G842" s="93">
        <v>-312.53</v>
      </c>
      <c r="H842" s="93">
        <v>965.69</v>
      </c>
      <c r="I842" s="32"/>
      <c r="J842" s="93">
        <v>4747.05</v>
      </c>
      <c r="K842" s="32"/>
      <c r="L842" s="32"/>
      <c r="M842" s="32"/>
      <c r="N842" s="32"/>
      <c r="O842" s="93">
        <v>185123.0</v>
      </c>
      <c r="P842" s="91">
        <f>IFERROR(__xludf.DUMMYFUNCTION("IFERROR(sum(FILTER($D:$N,$C:$C = $C842,$A:$A &lt; $A842,$B:$B = 12)),0) + sum($D842:$N842)"),185123.47000000003)</f>
        <v>185123.47</v>
      </c>
      <c r="Q842" s="92">
        <f t="shared" si="1"/>
        <v>-0.47</v>
      </c>
      <c r="R842" s="91">
        <f t="array" ref="R842">IFERROR(INDEX('Fund YTD Target Values'!$1:$1000, MATCH($C842,'Fund YTD Target Values'!$A:$A,0), MATCH($A842,'Fund YTD Target Values'!$1:$1,0)),0)</f>
        <v>184883.5181</v>
      </c>
      <c r="S842" s="91">
        <f>IFERROR(__xludf.DUMMYFUNCTION("IFERROR(sum(FILTER('Fund Investment Data'!$V:$V, 'Fund Investment Data'!$C:$C = $C842, 'Fund Investment Data'!$A:$A &lt; $A842)),0) + IFERROR(sum(FILTER('Fund Investment Data'!$V:$V, 'Fund Investment Data'!$C:$C = $C842, 'Fund Investment Data'!$A:$A = $A842,"&amp;" 'Fund Investment Data'!$B:$B &lt;= $B842)),0)"),155000.0)</f>
        <v>155000</v>
      </c>
      <c r="T842" s="93">
        <v>155000.0</v>
      </c>
      <c r="U842" s="32">
        <f t="shared" si="3"/>
        <v>0</v>
      </c>
      <c r="V842" s="32">
        <f>IFERROR(__xludf.DUMMYFUNCTION("$D842 - IFERROR(FILTER($D:$D,$C:$C = $C842, $A:$A = $A842, $B:$B = $B842 - 1),0)"),0.0)</f>
        <v>0</v>
      </c>
      <c r="W842" s="93">
        <f>IFERROR(__xludf.DUMMYFUNCTION("$E842 - IFERROR(FILTER($E:$E,$C:$C = $C842, $A:$A = $A842, $B:$B = $B842 - 1),0)"),0.0)</f>
        <v>0</v>
      </c>
      <c r="X842" s="93"/>
      <c r="Y842" s="93"/>
      <c r="Z842" s="93">
        <v>0.0</v>
      </c>
      <c r="AA842" s="93">
        <v>0.0</v>
      </c>
      <c r="AB842" s="93">
        <v>0.0</v>
      </c>
      <c r="AC842" s="93"/>
      <c r="AD842" s="93">
        <v>0.0</v>
      </c>
      <c r="AE842" s="32">
        <f t="shared" si="2"/>
        <v>0</v>
      </c>
      <c r="AF842" s="93">
        <v>0.0</v>
      </c>
    </row>
    <row r="843">
      <c r="A843" s="86">
        <v>2018.0</v>
      </c>
      <c r="B843" s="87">
        <v>1.0</v>
      </c>
      <c r="C843" s="88" t="s">
        <v>50</v>
      </c>
      <c r="D843" s="32"/>
      <c r="E843" s="32"/>
      <c r="F843" s="32"/>
      <c r="G843" s="93">
        <v>-401.01</v>
      </c>
      <c r="H843" s="93">
        <v>1252.58</v>
      </c>
      <c r="I843" s="32"/>
      <c r="J843" s="93">
        <v>6252.35</v>
      </c>
      <c r="K843" s="32"/>
      <c r="L843" s="32"/>
      <c r="M843" s="32"/>
      <c r="N843" s="32"/>
      <c r="O843" s="93">
        <v>222569.0</v>
      </c>
      <c r="P843" s="91">
        <f>IFERROR(__xludf.DUMMYFUNCTION("IFERROR(sum(FILTER($D:$N,$C:$C = $C843,$A:$A &lt; $A843,$B:$B = 12)),0) + sum($D843:$N843)"),222568.03)</f>
        <v>222568.03</v>
      </c>
      <c r="Q843" s="92">
        <f t="shared" si="1"/>
        <v>0.97</v>
      </c>
      <c r="R843" s="91">
        <f t="array" ref="R843">IFERROR(INDEX('Fund YTD Target Values'!$1:$1000, MATCH($C843,'Fund YTD Target Values'!$A:$A,0), MATCH($A843,'Fund YTD Target Values'!$1:$1,0)),0)</f>
        <v>217663.6749</v>
      </c>
      <c r="S843" s="91">
        <f>IFERROR(__xludf.DUMMYFUNCTION("IFERROR(sum(FILTER('Fund Investment Data'!$V:$V, 'Fund Investment Data'!$C:$C = $C843, 'Fund Investment Data'!$A:$A &lt; $A843)),0) + IFERROR(sum(FILTER('Fund Investment Data'!$V:$V, 'Fund Investment Data'!$C:$C = $C843, 'Fund Investment Data'!$A:$A = $A843,"&amp;" 'Fund Investment Data'!$B:$B &lt;= $B843)),0)"),185189.56)</f>
        <v>185189.56</v>
      </c>
      <c r="T843" s="93">
        <v>190241.0</v>
      </c>
      <c r="U843" s="32">
        <f t="shared" si="3"/>
        <v>-5051.44</v>
      </c>
      <c r="V843" s="32">
        <f>IFERROR(__xludf.DUMMYFUNCTION("$D843 - IFERROR(FILTER($D:$D,$C:$C = $C843, $A:$A = $A843, $B:$B = $B843 - 1),0)"),0.0)</f>
        <v>0</v>
      </c>
      <c r="W843" s="93">
        <f>IFERROR(__xludf.DUMMYFUNCTION("$E843 - IFERROR(FILTER($E:$E,$C:$C = $C843, $A:$A = $A843, $B:$B = $B843 - 1),0)"),0.0)</f>
        <v>0</v>
      </c>
      <c r="X843" s="93"/>
      <c r="Y843" s="93"/>
      <c r="Z843" s="93">
        <v>0.0</v>
      </c>
      <c r="AA843" s="93">
        <v>0.0</v>
      </c>
      <c r="AB843" s="93">
        <v>0.0</v>
      </c>
      <c r="AC843" s="93"/>
      <c r="AD843" s="93">
        <v>0.0</v>
      </c>
      <c r="AE843" s="32">
        <f t="shared" si="2"/>
        <v>0</v>
      </c>
      <c r="AF843" s="93">
        <v>0.0</v>
      </c>
    </row>
    <row r="844">
      <c r="A844" s="86">
        <v>2018.0</v>
      </c>
      <c r="B844" s="87">
        <v>1.0</v>
      </c>
      <c r="C844" s="88" t="s">
        <v>32</v>
      </c>
      <c r="D844" s="32"/>
      <c r="E844" s="32"/>
      <c r="F844" s="32"/>
      <c r="G844" s="93">
        <v>-101.55</v>
      </c>
      <c r="H844" s="93">
        <v>318.2</v>
      </c>
      <c r="I844" s="32"/>
      <c r="J844" s="93">
        <v>1595.33</v>
      </c>
      <c r="K844" s="32"/>
      <c r="L844" s="32"/>
      <c r="M844" s="32"/>
      <c r="N844" s="32"/>
      <c r="O844" s="93">
        <v>55243.0</v>
      </c>
      <c r="P844" s="91">
        <f>IFERROR(__xludf.DUMMYFUNCTION("IFERROR(sum(FILTER($D:$N,$C:$C = $C844,$A:$A &lt; $A844,$B:$B = 12)),0) + sum($D844:$N844)"),55242.80000000003)</f>
        <v>55242.8</v>
      </c>
      <c r="Q844" s="92">
        <f t="shared" si="1"/>
        <v>0.2</v>
      </c>
      <c r="R844" s="91">
        <f t="array" ref="R844">IFERROR(INDEX('Fund YTD Target Values'!$1:$1000, MATCH($C844,'Fund YTD Target Values'!$A:$A,0), MATCH($A844,'Fund YTD Target Values'!$1:$1,0)),0)</f>
        <v>79179.11465</v>
      </c>
      <c r="S844" s="91">
        <f>IFERROR(__xludf.DUMMYFUNCTION("IFERROR(sum(FILTER('Fund Investment Data'!$V:$V, 'Fund Investment Data'!$C:$C = $C844, 'Fund Investment Data'!$A:$A &lt; $A844)),0) + IFERROR(sum(FILTER('Fund Investment Data'!$V:$V, 'Fund Investment Data'!$C:$C = $C844, 'Fund Investment Data'!$A:$A = $A844,"&amp;" 'Fund Investment Data'!$B:$B &lt;= $B844)),0)"),49449.04)</f>
        <v>49449.04</v>
      </c>
      <c r="T844" s="93">
        <v>39268.0</v>
      </c>
      <c r="U844" s="32">
        <f t="shared" si="3"/>
        <v>10181.04</v>
      </c>
      <c r="V844" s="32">
        <f>IFERROR(__xludf.DUMMYFUNCTION("$D844 - IFERROR(FILTER($D:$D,$C:$C = $C844, $A:$A = $A844, $B:$B = $B844 - 1),0)"),0.0)</f>
        <v>0</v>
      </c>
      <c r="W844" s="93">
        <f>IFERROR(__xludf.DUMMYFUNCTION("$E844 - IFERROR(FILTER($E:$E,$C:$C = $C844, $A:$A = $A844, $B:$B = $B844 - 1),0)"),0.0)</f>
        <v>0</v>
      </c>
      <c r="X844" s="93"/>
      <c r="Y844" s="93"/>
      <c r="Z844" s="93">
        <v>0.0</v>
      </c>
      <c r="AA844" s="93">
        <v>0.0</v>
      </c>
      <c r="AB844" s="93">
        <v>0.0</v>
      </c>
      <c r="AC844" s="93"/>
      <c r="AD844" s="93">
        <v>0.0</v>
      </c>
      <c r="AE844" s="32">
        <f t="shared" si="2"/>
        <v>0</v>
      </c>
      <c r="AF844" s="93">
        <v>0.0</v>
      </c>
    </row>
    <row r="845">
      <c r="A845" s="86">
        <v>2018.0</v>
      </c>
      <c r="B845" s="87">
        <v>1.0</v>
      </c>
      <c r="C845" s="88" t="s">
        <v>40</v>
      </c>
      <c r="D845" s="32"/>
      <c r="E845" s="32"/>
      <c r="F845" s="32"/>
      <c r="G845" s="93">
        <v>-304.09</v>
      </c>
      <c r="H845" s="93">
        <v>957.47</v>
      </c>
      <c r="I845" s="32"/>
      <c r="J845" s="93">
        <v>4832.62</v>
      </c>
      <c r="K845" s="32"/>
      <c r="L845" s="32"/>
      <c r="M845" s="32"/>
      <c r="N845" s="32"/>
      <c r="O845" s="93">
        <v>160299.0</v>
      </c>
      <c r="P845" s="91">
        <f>IFERROR(__xludf.DUMMYFUNCTION("IFERROR(sum(FILTER($D:$N,$C:$C = $C845,$A:$A &lt; $A845,$B:$B = 12)),0) + sum($D845:$N845)"),160298.70999999993)</f>
        <v>160298.71</v>
      </c>
      <c r="Q845" s="92">
        <f t="shared" si="1"/>
        <v>0.2900000001</v>
      </c>
      <c r="R845" s="91">
        <f t="array" ref="R845">IFERROR(INDEX('Fund YTD Target Values'!$1:$1000, MATCH($C845,'Fund YTD Target Values'!$A:$A,0), MATCH($A845,'Fund YTD Target Values'!$1:$1,0)),0)</f>
        <v>161362.9699</v>
      </c>
      <c r="S845" s="91">
        <f>IFERROR(__xludf.DUMMYFUNCTION("IFERROR(sum(FILTER('Fund Investment Data'!$V:$V, 'Fund Investment Data'!$C:$C = $C845, 'Fund Investment Data'!$A:$A &lt; $A845)),0) + IFERROR(sum(FILTER('Fund Investment Data'!$V:$V, 'Fund Investment Data'!$C:$C = $C845, 'Fund Investment Data'!$A:$A = $A845,"&amp;" 'Fund Investment Data'!$B:$B &lt;= $B845)),0)"),129703.74)</f>
        <v>129703.74</v>
      </c>
      <c r="T845" s="93">
        <v>129723.0</v>
      </c>
      <c r="U845" s="32">
        <f t="shared" si="3"/>
        <v>-19.26</v>
      </c>
      <c r="V845" s="32">
        <f>IFERROR(__xludf.DUMMYFUNCTION("$D845 - IFERROR(FILTER($D:$D,$C:$C = $C845, $A:$A = $A845, $B:$B = $B845 - 1),0)"),0.0)</f>
        <v>0</v>
      </c>
      <c r="W845" s="93">
        <f>IFERROR(__xludf.DUMMYFUNCTION("$E845 - IFERROR(FILTER($E:$E,$C:$C = $C845, $A:$A = $A845, $B:$B = $B845 - 1),0)"),0.0)</f>
        <v>0</v>
      </c>
      <c r="X845" s="93"/>
      <c r="Y845" s="93"/>
      <c r="Z845" s="93">
        <v>0.0</v>
      </c>
      <c r="AA845" s="93">
        <v>0.0</v>
      </c>
      <c r="AB845" s="93">
        <v>0.0</v>
      </c>
      <c r="AC845" s="93"/>
      <c r="AD845" s="93">
        <v>0.0</v>
      </c>
      <c r="AE845" s="32">
        <f t="shared" si="2"/>
        <v>0</v>
      </c>
      <c r="AF845" s="93">
        <v>0.0</v>
      </c>
    </row>
    <row r="846">
      <c r="A846" s="86">
        <v>2018.0</v>
      </c>
      <c r="B846" s="87">
        <v>1.0</v>
      </c>
      <c r="C846" s="88" t="s">
        <v>51</v>
      </c>
      <c r="D846" s="32"/>
      <c r="E846" s="32"/>
      <c r="F846" s="93"/>
      <c r="G846" s="93">
        <v>-943.44</v>
      </c>
      <c r="H846" s="93">
        <v>2966.14</v>
      </c>
      <c r="I846" s="32"/>
      <c r="J846" s="93">
        <v>14940.17</v>
      </c>
      <c r="K846" s="32"/>
      <c r="L846" s="32"/>
      <c r="M846" s="32"/>
      <c r="N846" s="32"/>
      <c r="O846" s="93">
        <v>502315.0</v>
      </c>
      <c r="P846" s="91">
        <f>IFERROR(__xludf.DUMMYFUNCTION("IFERROR(sum(FILTER($D:$N,$C:$C = $C846,$A:$A &lt; $A846,$B:$B = 12)),0) + sum($D846:$N846)"),502314.80000000005)</f>
        <v>502314.8</v>
      </c>
      <c r="Q846" s="92">
        <f t="shared" si="1"/>
        <v>0.2</v>
      </c>
      <c r="R846" s="91">
        <f t="array" ref="R846">IFERROR(INDEX('Fund YTD Target Values'!$1:$1000, MATCH($C846,'Fund YTD Target Values'!$A:$A,0), MATCH($A846,'Fund YTD Target Values'!$1:$1,0)),0)</f>
        <v>451180.3592</v>
      </c>
      <c r="S846" s="91">
        <f>IFERROR(__xludf.DUMMYFUNCTION("IFERROR(sum(FILTER('Fund Investment Data'!$V:$V, 'Fund Investment Data'!$C:$C = $C846, 'Fund Investment Data'!$A:$A &lt; $A846)),0) + IFERROR(sum(FILTER('Fund Investment Data'!$V:$V, 'Fund Investment Data'!$C:$C = $C846, 'Fund Investment Data'!$A:$A = $A846,"&amp;" 'Fund Investment Data'!$B:$B &lt;= $B846)),0)"),416423.55)</f>
        <v>416423.55</v>
      </c>
      <c r="T846" s="93">
        <v>418877.0</v>
      </c>
      <c r="U846" s="32">
        <f t="shared" si="3"/>
        <v>-2453.45</v>
      </c>
      <c r="V846" s="32">
        <f>IFERROR(__xludf.DUMMYFUNCTION("$D846 - IFERROR(FILTER($D:$D,$C:$C = $C846, $A:$A = $A846, $B:$B = $B846 - 1),0)"),0.0)</f>
        <v>0</v>
      </c>
      <c r="W846" s="93">
        <f>IFERROR(__xludf.DUMMYFUNCTION("$E846 - IFERROR(FILTER($E:$E,$C:$C = $C846, $A:$A = $A846, $B:$B = $B846 - 1),0)"),0.0)</f>
        <v>0</v>
      </c>
      <c r="X846" s="93"/>
      <c r="Y846" s="93"/>
      <c r="Z846" s="93">
        <v>0.0</v>
      </c>
      <c r="AA846" s="93">
        <v>0.0</v>
      </c>
      <c r="AB846" s="93">
        <v>0.0</v>
      </c>
      <c r="AC846" s="93"/>
      <c r="AD846" s="93">
        <v>0.0</v>
      </c>
      <c r="AE846" s="32">
        <f t="shared" si="2"/>
        <v>0</v>
      </c>
      <c r="AF846" s="93">
        <v>0.0</v>
      </c>
    </row>
    <row r="847">
      <c r="A847" s="86">
        <v>2018.0</v>
      </c>
      <c r="B847" s="87">
        <v>1.0</v>
      </c>
      <c r="C847" s="88" t="s">
        <v>48</v>
      </c>
      <c r="D847" s="32"/>
      <c r="E847" s="32"/>
      <c r="F847" s="32"/>
      <c r="G847" s="93">
        <v>-2452.61</v>
      </c>
      <c r="H847" s="93">
        <v>7722.56</v>
      </c>
      <c r="I847" s="32"/>
      <c r="J847" s="93">
        <v>38977.49</v>
      </c>
      <c r="K847" s="32"/>
      <c r="L847" s="32"/>
      <c r="M847" s="32"/>
      <c r="N847" s="32"/>
      <c r="O847" s="93">
        <v>1292890.0</v>
      </c>
      <c r="P847" s="91">
        <f>IFERROR(__xludf.DUMMYFUNCTION("IFERROR(sum(FILTER($D:$N,$C:$C = $C847,$A:$A &lt; $A847,$B:$B = 12)),0) + sum($D847:$N847)"),1292889.1099999996)</f>
        <v>1292889.11</v>
      </c>
      <c r="Q847" s="92">
        <f t="shared" si="1"/>
        <v>0.8900000004</v>
      </c>
      <c r="R847" s="91">
        <f t="array" ref="R847">IFERROR(INDEX('Fund YTD Target Values'!$1:$1000, MATCH($C847,'Fund YTD Target Values'!$A:$A,0), MATCH($A847,'Fund YTD Target Values'!$1:$1,0)),0)</f>
        <v>1896274.236</v>
      </c>
      <c r="S847" s="91">
        <f>IFERROR(__xludf.DUMMYFUNCTION("IFERROR(sum(FILTER('Fund Investment Data'!$V:$V, 'Fund Investment Data'!$C:$C = $C847, 'Fund Investment Data'!$A:$A &lt; $A847)),0) + IFERROR(sum(FILTER('Fund Investment Data'!$V:$V, 'Fund Investment Data'!$C:$C = $C847, 'Fund Investment Data'!$A:$A = $A847,"&amp;" 'Fund Investment Data'!$B:$B &lt;= $B847)),0)"),1183929.39)</f>
        <v>1183929.39</v>
      </c>
      <c r="T847" s="93">
        <v>1140040.0</v>
      </c>
      <c r="U847" s="32">
        <f t="shared" si="3"/>
        <v>43889.39</v>
      </c>
      <c r="V847" s="32">
        <f>IFERROR(__xludf.DUMMYFUNCTION("$D847 - IFERROR(FILTER($D:$D,$C:$C = $C847, $A:$A = $A847, $B:$B = $B847 - 1),0)"),0.0)</f>
        <v>0</v>
      </c>
      <c r="W847" s="93">
        <f>IFERROR(__xludf.DUMMYFUNCTION("$E847 - IFERROR(FILTER($E:$E,$C:$C = $C847, $A:$A = $A847, $B:$B = $B847 - 1),0)"),0.0)</f>
        <v>0</v>
      </c>
      <c r="X847" s="93"/>
      <c r="Y847" s="93"/>
      <c r="Z847" s="93">
        <v>0.0</v>
      </c>
      <c r="AA847" s="93">
        <v>0.0</v>
      </c>
      <c r="AB847" s="93">
        <v>0.0</v>
      </c>
      <c r="AC847" s="93"/>
      <c r="AD847" s="93">
        <v>0.0</v>
      </c>
      <c r="AE847" s="32">
        <f t="shared" si="2"/>
        <v>0</v>
      </c>
      <c r="AF847" s="93">
        <v>0.0</v>
      </c>
    </row>
    <row r="848">
      <c r="A848" s="86">
        <v>2018.0</v>
      </c>
      <c r="B848" s="87">
        <v>1.0</v>
      </c>
      <c r="C848" s="88" t="s">
        <v>49</v>
      </c>
      <c r="D848" s="32"/>
      <c r="E848" s="32"/>
      <c r="F848" s="32"/>
      <c r="G848" s="93">
        <v>-1075.83</v>
      </c>
      <c r="H848" s="93">
        <v>3387.48</v>
      </c>
      <c r="I848" s="32"/>
      <c r="J848" s="93">
        <v>17097.33</v>
      </c>
      <c r="K848" s="32"/>
      <c r="L848" s="32"/>
      <c r="M848" s="32"/>
      <c r="N848" s="32"/>
      <c r="O848" s="93">
        <v>567122.0</v>
      </c>
      <c r="P848" s="91">
        <f>IFERROR(__xludf.DUMMYFUNCTION("IFERROR(sum(FILTER($D:$N,$C:$C = $C848,$A:$A &lt; $A848,$B:$B = 12)),0) + sum($D848:$N848)"),567122.1199999999)</f>
        <v>567122.12</v>
      </c>
      <c r="Q848" s="92">
        <f t="shared" si="1"/>
        <v>-0.1199999999</v>
      </c>
      <c r="R848" s="91">
        <f t="array" ref="R848">IFERROR(INDEX('Fund YTD Target Values'!$1:$1000, MATCH($C848,'Fund YTD Target Values'!$A:$A,0), MATCH($A848,'Fund YTD Target Values'!$1:$1,0)),0)</f>
        <v>701383.2727</v>
      </c>
      <c r="S848" s="91">
        <f>IFERROR(__xludf.DUMMYFUNCTION("IFERROR(sum(FILTER('Fund Investment Data'!$V:$V, 'Fund Investment Data'!$C:$C = $C848, 'Fund Investment Data'!$A:$A &lt; $A848)),0) + IFERROR(sum(FILTER('Fund Investment Data'!$V:$V, 'Fund Investment Data'!$C:$C = $C848, 'Fund Investment Data'!$A:$A = $A848,"&amp;" 'Fund Investment Data'!$B:$B &lt;= $B848)),0)"),500000.0)</f>
        <v>500000</v>
      </c>
      <c r="T848" s="93">
        <v>500000.0</v>
      </c>
      <c r="U848" s="32">
        <f t="shared" si="3"/>
        <v>0</v>
      </c>
      <c r="V848" s="32">
        <f>IFERROR(__xludf.DUMMYFUNCTION("$D848 - IFERROR(FILTER($D:$D,$C:$C = $C848, $A:$A = $A848, $B:$B = $B848 - 1),0)"),0.0)</f>
        <v>0</v>
      </c>
      <c r="W848" s="93">
        <f>IFERROR(__xludf.DUMMYFUNCTION("$E848 - IFERROR(FILTER($E:$E,$C:$C = $C848, $A:$A = $A848, $B:$B = $B848 - 1),0)"),0.0)</f>
        <v>0</v>
      </c>
      <c r="X848" s="93"/>
      <c r="Y848" s="93"/>
      <c r="Z848" s="93">
        <v>0.0</v>
      </c>
      <c r="AA848" s="93">
        <v>0.0</v>
      </c>
      <c r="AB848" s="93">
        <v>0.0</v>
      </c>
      <c r="AC848" s="93"/>
      <c r="AD848" s="93">
        <v>0.0</v>
      </c>
      <c r="AE848" s="32">
        <f t="shared" si="2"/>
        <v>0</v>
      </c>
      <c r="AF848" s="93">
        <v>0.0</v>
      </c>
    </row>
    <row r="849">
      <c r="A849" s="86">
        <v>2018.0</v>
      </c>
      <c r="B849" s="87">
        <v>1.0</v>
      </c>
      <c r="C849" s="88" t="s">
        <v>41</v>
      </c>
      <c r="D849" s="32"/>
      <c r="E849" s="32"/>
      <c r="F849" s="32"/>
      <c r="G849" s="93">
        <v>-1282.87</v>
      </c>
      <c r="H849" s="93">
        <v>4039.39</v>
      </c>
      <c r="I849" s="32"/>
      <c r="J849" s="93">
        <v>20387.66</v>
      </c>
      <c r="K849" s="32"/>
      <c r="L849" s="32"/>
      <c r="M849" s="32"/>
      <c r="N849" s="32"/>
      <c r="O849" s="93">
        <v>676263.0</v>
      </c>
      <c r="P849" s="91">
        <f>IFERROR(__xludf.DUMMYFUNCTION("IFERROR(sum(FILTER($D:$N,$C:$C = $C849,$A:$A &lt; $A849,$B:$B = 12)),0) + sum($D849:$N849)"),676263.5300000001)</f>
        <v>676263.53</v>
      </c>
      <c r="Q849" s="92">
        <f t="shared" si="1"/>
        <v>-0.5300000001</v>
      </c>
      <c r="R849" s="91">
        <f t="array" ref="R849">IFERROR(INDEX('Fund YTD Target Values'!$1:$1000, MATCH($C849,'Fund YTD Target Values'!$A:$A,0), MATCH($A849,'Fund YTD Target Values'!$1:$1,0)),0)</f>
        <v>587968.3276</v>
      </c>
      <c r="S849" s="91">
        <f>IFERROR(__xludf.DUMMYFUNCTION("IFERROR(sum(FILTER('Fund Investment Data'!$V:$V, 'Fund Investment Data'!$C:$C = $C849, 'Fund Investment Data'!$A:$A &lt; $A849)),0) + IFERROR(sum(FILTER('Fund Investment Data'!$V:$V, 'Fund Investment Data'!$C:$C = $C849, 'Fund Investment Data'!$A:$A = $A849,"&amp;" 'Fund Investment Data'!$B:$B &lt;= $B849)),0)"),433755.86)</f>
        <v>433755.86</v>
      </c>
      <c r="T849" s="93">
        <v>434291.0</v>
      </c>
      <c r="U849" s="32">
        <f t="shared" si="3"/>
        <v>-535.14</v>
      </c>
      <c r="V849" s="32">
        <f>IFERROR(__xludf.DUMMYFUNCTION("$D849 - IFERROR(FILTER($D:$D,$C:$C = $C849, $A:$A = $A849, $B:$B = $B849 - 1),0)"),0.0)</f>
        <v>0</v>
      </c>
      <c r="W849" s="93">
        <f>IFERROR(__xludf.DUMMYFUNCTION("$E849 - IFERROR(FILTER($E:$E,$C:$C = $C849, $A:$A = $A849, $B:$B = $B849 - 1),0)"),0.0)</f>
        <v>0</v>
      </c>
      <c r="X849" s="93"/>
      <c r="Y849" s="93"/>
      <c r="Z849" s="93">
        <v>0.0</v>
      </c>
      <c r="AA849" s="93">
        <v>0.0</v>
      </c>
      <c r="AB849" s="93">
        <v>0.0</v>
      </c>
      <c r="AC849" s="93"/>
      <c r="AD849" s="93">
        <v>0.0</v>
      </c>
      <c r="AE849" s="32">
        <f t="shared" si="2"/>
        <v>0</v>
      </c>
      <c r="AF849" s="93">
        <v>0.0</v>
      </c>
    </row>
    <row r="850">
      <c r="A850" s="86">
        <v>2018.0</v>
      </c>
      <c r="B850" s="87">
        <v>1.0</v>
      </c>
      <c r="C850" s="88" t="s">
        <v>25</v>
      </c>
      <c r="D850" s="32"/>
      <c r="E850" s="32"/>
      <c r="F850" s="32"/>
      <c r="G850" s="93">
        <v>-198.52</v>
      </c>
      <c r="H850" s="93">
        <v>625.08</v>
      </c>
      <c r="I850" s="32"/>
      <c r="J850" s="93">
        <v>3154.87</v>
      </c>
      <c r="K850" s="32"/>
      <c r="L850" s="32"/>
      <c r="M850" s="32"/>
      <c r="N850" s="32"/>
      <c r="O850" s="93">
        <v>104648.0</v>
      </c>
      <c r="P850" s="91">
        <f>IFERROR(__xludf.DUMMYFUNCTION("IFERROR(sum(FILTER($D:$N,$C:$C = $C850,$A:$A &lt; $A850,$B:$B = 12)),0) + sum($D850:$N850)"),104647.76)</f>
        <v>104647.76</v>
      </c>
      <c r="Q850" s="92">
        <f t="shared" si="1"/>
        <v>0.24</v>
      </c>
      <c r="R850" s="91">
        <f t="array" ref="R850">IFERROR(INDEX('Fund YTD Target Values'!$1:$1000, MATCH($C850,'Fund YTD Target Values'!$A:$A,0), MATCH($A850,'Fund YTD Target Values'!$1:$1,0)),0)</f>
        <v>109175.2469</v>
      </c>
      <c r="S850" s="91">
        <f>IFERROR(__xludf.DUMMYFUNCTION("IFERROR(sum(FILTER('Fund Investment Data'!$V:$V, 'Fund Investment Data'!$C:$C = $C850, 'Fund Investment Data'!$A:$A &lt; $A850)),0) + IFERROR(sum(FILTER('Fund Investment Data'!$V:$V, 'Fund Investment Data'!$C:$C = $C850, 'Fund Investment Data'!$A:$A = $A850,"&amp;" 'Fund Investment Data'!$B:$B &lt;= $B850)),0)"),81000.0)</f>
        <v>81000</v>
      </c>
      <c r="T850" s="93">
        <v>81000.0</v>
      </c>
      <c r="U850" s="32">
        <f t="shared" si="3"/>
        <v>0</v>
      </c>
      <c r="V850" s="32">
        <f>IFERROR(__xludf.DUMMYFUNCTION("$D850 - IFERROR(FILTER($D:$D,$C:$C = $C850, $A:$A = $A850, $B:$B = $B850 - 1),0)"),0.0)</f>
        <v>0</v>
      </c>
      <c r="W850" s="93">
        <f>IFERROR(__xludf.DUMMYFUNCTION("$E850 - IFERROR(FILTER($E:$E,$C:$C = $C850, $A:$A = $A850, $B:$B = $B850 - 1),0)"),0.0)</f>
        <v>0</v>
      </c>
      <c r="X850" s="93"/>
      <c r="Y850" s="93"/>
      <c r="Z850" s="93">
        <v>0.0</v>
      </c>
      <c r="AA850" s="93">
        <v>0.0</v>
      </c>
      <c r="AB850" s="93">
        <v>0.0</v>
      </c>
      <c r="AC850" s="93"/>
      <c r="AD850" s="93">
        <v>0.0</v>
      </c>
      <c r="AE850" s="32">
        <f t="shared" si="2"/>
        <v>0</v>
      </c>
      <c r="AF850" s="93">
        <v>0.0</v>
      </c>
    </row>
    <row r="851">
      <c r="A851" s="86">
        <v>2018.0</v>
      </c>
      <c r="B851" s="87">
        <v>1.0</v>
      </c>
      <c r="C851" s="88" t="s">
        <v>42</v>
      </c>
      <c r="D851" s="32"/>
      <c r="E851" s="32"/>
      <c r="F851" s="32"/>
      <c r="G851" s="93">
        <v>-583.22</v>
      </c>
      <c r="H851" s="93">
        <v>1834.12</v>
      </c>
      <c r="I851" s="32"/>
      <c r="J851" s="93">
        <v>9241.67</v>
      </c>
      <c r="K851" s="32"/>
      <c r="L851" s="32"/>
      <c r="M851" s="32"/>
      <c r="N851" s="32"/>
      <c r="O851" s="93">
        <v>309941.0</v>
      </c>
      <c r="P851" s="91">
        <f>IFERROR(__xludf.DUMMYFUNCTION("IFERROR(sum(FILTER($D:$N,$C:$C = $C851,$A:$A &lt; $A851,$B:$B = 12)),0) + sum($D851:$N851)"),309940.33000000013)</f>
        <v>309940.33</v>
      </c>
      <c r="Q851" s="92">
        <f t="shared" si="1"/>
        <v>0.6699999999</v>
      </c>
      <c r="R851" s="91">
        <f t="array" ref="R851">IFERROR(INDEX('Fund YTD Target Values'!$1:$1000, MATCH($C851,'Fund YTD Target Values'!$A:$A,0), MATCH($A851,'Fund YTD Target Values'!$1:$1,0)),0)</f>
        <v>240185.7184</v>
      </c>
      <c r="S851" s="91">
        <f>IFERROR(__xludf.DUMMYFUNCTION("IFERROR(sum(FILTER('Fund Investment Data'!$V:$V, 'Fund Investment Data'!$C:$C = $C851, 'Fund Investment Data'!$A:$A &lt; $A851)),0) + IFERROR(sum(FILTER('Fund Investment Data'!$V:$V, 'Fund Investment Data'!$C:$C = $C851, 'Fund Investment Data'!$A:$A = $A851,"&amp;" 'Fund Investment Data'!$B:$B &lt;= $B851)),0)"),194469.0)</f>
        <v>194469</v>
      </c>
      <c r="T851" s="93">
        <v>194469.0</v>
      </c>
      <c r="U851" s="32">
        <f t="shared" si="3"/>
        <v>0</v>
      </c>
      <c r="V851" s="32">
        <f>IFERROR(__xludf.DUMMYFUNCTION("$D851 - IFERROR(FILTER($D:$D,$C:$C = $C851, $A:$A = $A851, $B:$B = $B851 - 1),0)"),0.0)</f>
        <v>0</v>
      </c>
      <c r="W851" s="93">
        <f>IFERROR(__xludf.DUMMYFUNCTION("$E851 - IFERROR(FILTER($E:$E,$C:$C = $C851, $A:$A = $A851, $B:$B = $B851 - 1),0)"),0.0)</f>
        <v>0</v>
      </c>
      <c r="X851" s="93"/>
      <c r="Y851" s="93"/>
      <c r="Z851" s="93">
        <v>0.0</v>
      </c>
      <c r="AA851" s="93">
        <v>0.0</v>
      </c>
      <c r="AB851" s="93">
        <v>0.0</v>
      </c>
      <c r="AC851" s="93"/>
      <c r="AD851" s="93">
        <v>0.0</v>
      </c>
      <c r="AE851" s="32">
        <f t="shared" si="2"/>
        <v>0</v>
      </c>
      <c r="AF851" s="93">
        <v>0.0</v>
      </c>
    </row>
    <row r="852">
      <c r="A852" s="86">
        <v>2018.0</v>
      </c>
      <c r="B852" s="87">
        <v>1.0</v>
      </c>
      <c r="C852" s="88" t="s">
        <v>43</v>
      </c>
      <c r="D852" s="32"/>
      <c r="E852" s="32"/>
      <c r="F852" s="32"/>
      <c r="G852" s="93">
        <v>-246.53</v>
      </c>
      <c r="H852" s="93">
        <v>776.27</v>
      </c>
      <c r="I852" s="32"/>
      <c r="J852" s="93">
        <v>3918.01</v>
      </c>
      <c r="K852" s="32"/>
      <c r="L852" s="32"/>
      <c r="M852" s="32"/>
      <c r="N852" s="32"/>
      <c r="O852" s="93">
        <v>129961.0</v>
      </c>
      <c r="P852" s="91">
        <f>IFERROR(__xludf.DUMMYFUNCTION("IFERROR(sum(FILTER($D:$N,$C:$C = $C852,$A:$A &lt; $A852,$B:$B = 12)),0) + sum($D852:$N852)"),129960.30000000002)</f>
        <v>129960.3</v>
      </c>
      <c r="Q852" s="92">
        <f t="shared" si="1"/>
        <v>0.7</v>
      </c>
      <c r="R852" s="91">
        <f t="array" ref="R852">IFERROR(INDEX('Fund YTD Target Values'!$1:$1000, MATCH($C852,'Fund YTD Target Values'!$A:$A,0), MATCH($A852,'Fund YTD Target Values'!$1:$1,0)),0)</f>
        <v>130697.0954</v>
      </c>
      <c r="S852" s="91">
        <f>IFERROR(__xludf.DUMMYFUNCTION("IFERROR(sum(FILTER('Fund Investment Data'!$V:$V, 'Fund Investment Data'!$C:$C = $C852, 'Fund Investment Data'!$A:$A &lt; $A852)),0) + IFERROR(sum(FILTER('Fund Investment Data'!$V:$V, 'Fund Investment Data'!$C:$C = $C852, 'Fund Investment Data'!$A:$A = $A852,"&amp;" 'Fund Investment Data'!$B:$B &lt;= $B852)),0)"),100000.0)</f>
        <v>100000</v>
      </c>
      <c r="T852" s="93">
        <v>100000.0</v>
      </c>
      <c r="U852" s="32">
        <f t="shared" si="3"/>
        <v>0</v>
      </c>
      <c r="V852" s="32">
        <f>IFERROR(__xludf.DUMMYFUNCTION("$D852 - IFERROR(FILTER($D:$D,$C:$C = $C852, $A:$A = $A852, $B:$B = $B852 - 1),0)"),0.0)</f>
        <v>0</v>
      </c>
      <c r="W852" s="93">
        <f>IFERROR(__xludf.DUMMYFUNCTION("$E852 - IFERROR(FILTER($E:$E,$C:$C = $C852, $A:$A = $A852, $B:$B = $B852 - 1),0)"),0.0)</f>
        <v>0</v>
      </c>
      <c r="X852" s="93"/>
      <c r="Y852" s="93"/>
      <c r="Z852" s="93">
        <v>0.0</v>
      </c>
      <c r="AA852" s="93">
        <v>0.0</v>
      </c>
      <c r="AB852" s="93">
        <v>0.0</v>
      </c>
      <c r="AC852" s="93"/>
      <c r="AD852" s="93">
        <v>0.0</v>
      </c>
      <c r="AE852" s="32">
        <f t="shared" si="2"/>
        <v>0</v>
      </c>
      <c r="AF852" s="93">
        <v>0.0</v>
      </c>
    </row>
    <row r="853">
      <c r="A853" s="86">
        <v>2018.0</v>
      </c>
      <c r="B853" s="87">
        <v>1.0</v>
      </c>
      <c r="C853" s="88" t="s">
        <v>52</v>
      </c>
      <c r="D853" s="32"/>
      <c r="E853" s="32"/>
      <c r="F853" s="32"/>
      <c r="G853" s="93">
        <v>-2298.53</v>
      </c>
      <c r="H853" s="93">
        <v>7138.32</v>
      </c>
      <c r="I853" s="32"/>
      <c r="J853" s="93">
        <v>35978.66</v>
      </c>
      <c r="K853" s="32"/>
      <c r="L853" s="32"/>
      <c r="M853" s="32"/>
      <c r="N853" s="32"/>
      <c r="O853" s="93">
        <v>1205275.0</v>
      </c>
      <c r="P853" s="91">
        <f>IFERROR(__xludf.DUMMYFUNCTION("IFERROR(sum(FILTER($D:$N,$C:$C = $C853,$A:$A &lt; $A853,$B:$B = 12)),0) + sum($D853:$N853)"),1205274.5799999998)</f>
        <v>1205274.58</v>
      </c>
      <c r="Q853" s="92">
        <f t="shared" si="1"/>
        <v>0.4200000002</v>
      </c>
      <c r="R853" s="91">
        <f t="array" ref="R853">IFERROR(INDEX('Fund YTD Target Values'!$1:$1000, MATCH($C853,'Fund YTD Target Values'!$A:$A,0), MATCH($A853,'Fund YTD Target Values'!$1:$1,0)),0)</f>
        <v>1148979.378</v>
      </c>
      <c r="S853" s="91">
        <f>IFERROR(__xludf.DUMMYFUNCTION("IFERROR(sum(FILTER('Fund Investment Data'!$V:$V, 'Fund Investment Data'!$C:$C = $C853, 'Fund Investment Data'!$A:$A &lt; $A853)),0) + IFERROR(sum(FILTER('Fund Investment Data'!$V:$V, 'Fund Investment Data'!$C:$C = $C853, 'Fund Investment Data'!$A:$A = $A853,"&amp;" 'Fund Investment Data'!$B:$B &lt;= $B853)),0)"),1005136.0)</f>
        <v>1005136</v>
      </c>
      <c r="T853" s="93">
        <v>1004091.0</v>
      </c>
      <c r="U853" s="32">
        <f t="shared" si="3"/>
        <v>1045</v>
      </c>
      <c r="V853" s="32">
        <f>IFERROR(__xludf.DUMMYFUNCTION("$D853 - IFERROR(FILTER($D:$D,$C:$C = $C853, $A:$A = $A853, $B:$B = $B853 - 1),0)"),0.0)</f>
        <v>0</v>
      </c>
      <c r="W853" s="93">
        <f>IFERROR(__xludf.DUMMYFUNCTION("$E853 - IFERROR(FILTER($E:$E,$C:$C = $C853, $A:$A = $A853, $B:$B = $B853 - 1),0)"),0.0)</f>
        <v>0</v>
      </c>
      <c r="X853" s="93"/>
      <c r="Y853" s="93"/>
      <c r="Z853" s="93">
        <v>0.0</v>
      </c>
      <c r="AA853" s="93">
        <v>0.0</v>
      </c>
      <c r="AB853" s="93">
        <v>0.0</v>
      </c>
      <c r="AC853" s="93"/>
      <c r="AD853" s="93">
        <v>0.0</v>
      </c>
      <c r="AE853" s="32">
        <f t="shared" si="2"/>
        <v>0</v>
      </c>
      <c r="AF853" s="93">
        <v>0.0</v>
      </c>
    </row>
    <row r="854">
      <c r="A854" s="86">
        <v>2018.0</v>
      </c>
      <c r="B854" s="87">
        <v>1.0</v>
      </c>
      <c r="C854" s="88" t="s">
        <v>33</v>
      </c>
      <c r="D854" s="32"/>
      <c r="E854" s="32"/>
      <c r="F854" s="32"/>
      <c r="G854" s="93">
        <v>-701.38</v>
      </c>
      <c r="H854" s="93">
        <v>2208.44</v>
      </c>
      <c r="I854" s="32"/>
      <c r="J854" s="93">
        <v>11146.47</v>
      </c>
      <c r="K854" s="32"/>
      <c r="L854" s="32"/>
      <c r="M854" s="32"/>
      <c r="N854" s="32"/>
      <c r="O854" s="93">
        <v>369731.0</v>
      </c>
      <c r="P854" s="91">
        <f>IFERROR(__xludf.DUMMYFUNCTION("IFERROR(sum(FILTER($D:$N,$C:$C = $C854,$A:$A &lt; $A854,$B:$B = 12)),0) + sum($D854:$N854)"),369730.97999999986)</f>
        <v>369730.98</v>
      </c>
      <c r="Q854" s="92">
        <f t="shared" si="1"/>
        <v>0.02000000014</v>
      </c>
      <c r="R854" s="91">
        <f t="array" ref="R854">IFERROR(INDEX('Fund YTD Target Values'!$1:$1000, MATCH($C854,'Fund YTD Target Values'!$A:$A,0), MATCH($A854,'Fund YTD Target Values'!$1:$1,0)),0)</f>
        <v>512928.5668</v>
      </c>
      <c r="S854" s="91">
        <f>IFERROR(__xludf.DUMMYFUNCTION("IFERROR(sum(FILTER('Fund Investment Data'!$V:$V, 'Fund Investment Data'!$C:$C = $C854, 'Fund Investment Data'!$A:$A &lt; $A854)),0) + IFERROR(sum(FILTER('Fund Investment Data'!$V:$V, 'Fund Investment Data'!$C:$C = $C854, 'Fund Investment Data'!$A:$A = $A854,"&amp;" 'Fund Investment Data'!$B:$B &lt;= $B854)),0)"),325871.6399999999)</f>
        <v>325871.64</v>
      </c>
      <c r="T854" s="93">
        <v>326032.0</v>
      </c>
      <c r="U854" s="32">
        <f t="shared" si="3"/>
        <v>-160.36</v>
      </c>
      <c r="V854" s="32">
        <f>IFERROR(__xludf.DUMMYFUNCTION("$D854 - IFERROR(FILTER($D:$D,$C:$C = $C854, $A:$A = $A854, $B:$B = $B854 - 1),0)"),0.0)</f>
        <v>0</v>
      </c>
      <c r="W854" s="93">
        <f>IFERROR(__xludf.DUMMYFUNCTION("$E854 - IFERROR(FILTER($E:$E,$C:$C = $C854, $A:$A = $A854, $B:$B = $B854 - 1),0)"),0.0)</f>
        <v>0</v>
      </c>
      <c r="X854" s="93"/>
      <c r="Y854" s="93"/>
      <c r="Z854" s="93">
        <v>0.0</v>
      </c>
      <c r="AA854" s="93">
        <v>0.0</v>
      </c>
      <c r="AB854" s="93">
        <v>0.0</v>
      </c>
      <c r="AC854" s="93"/>
      <c r="AD854" s="93">
        <v>0.0</v>
      </c>
      <c r="AE854" s="32">
        <f t="shared" si="2"/>
        <v>0</v>
      </c>
      <c r="AF854" s="93">
        <v>0.0</v>
      </c>
    </row>
    <row r="855">
      <c r="A855" s="86">
        <v>2018.0</v>
      </c>
      <c r="B855" s="87">
        <v>1.0</v>
      </c>
      <c r="C855" s="88" t="s">
        <v>53</v>
      </c>
      <c r="D855" s="32"/>
      <c r="E855" s="32"/>
      <c r="F855" s="32"/>
      <c r="G855" s="93">
        <v>-4469.23</v>
      </c>
      <c r="H855" s="93">
        <v>14072.28</v>
      </c>
      <c r="I855" s="32"/>
      <c r="J855" s="93">
        <v>71025.95</v>
      </c>
      <c r="K855" s="32"/>
      <c r="L855" s="32"/>
      <c r="M855" s="32"/>
      <c r="N855" s="32"/>
      <c r="O855" s="93">
        <v>2355944.0</v>
      </c>
      <c r="P855" s="91">
        <f>IFERROR(__xludf.DUMMYFUNCTION("IFERROR(sum(FILTER($D:$N,$C:$C = $C855,$A:$A &lt; $A855,$B:$B = 12)),0) + sum($D855:$N855)"),2355943.6799999997)</f>
        <v>2355943.68</v>
      </c>
      <c r="Q855" s="92">
        <f t="shared" si="1"/>
        <v>0.3200000003</v>
      </c>
      <c r="R855" s="91">
        <f t="array" ref="R855">IFERROR(INDEX('Fund YTD Target Values'!$1:$1000, MATCH($C855,'Fund YTD Target Values'!$A:$A,0), MATCH($A855,'Fund YTD Target Values'!$1:$1,0)),0)</f>
        <v>2224754.768</v>
      </c>
      <c r="S855" s="91">
        <f>IFERROR(__xludf.DUMMYFUNCTION("IFERROR(sum(FILTER('Fund Investment Data'!$V:$V, 'Fund Investment Data'!$C:$C = $C855, 'Fund Investment Data'!$A:$A &lt; $A855)),0) + IFERROR(sum(FILTER('Fund Investment Data'!$V:$V, 'Fund Investment Data'!$C:$C = $C855, 'Fund Investment Data'!$A:$A = $A855,"&amp;" 'Fund Investment Data'!$B:$B &lt;= $B855)),0)"),2005500.0)</f>
        <v>2005500</v>
      </c>
      <c r="T855" s="93">
        <v>2005500.0</v>
      </c>
      <c r="U855" s="32">
        <f t="shared" si="3"/>
        <v>0</v>
      </c>
      <c r="V855" s="32">
        <f>IFERROR(__xludf.DUMMYFUNCTION("$D855 - IFERROR(FILTER($D:$D,$C:$C = $C855, $A:$A = $A855, $B:$B = $B855 - 1),0)"),0.0)</f>
        <v>0</v>
      </c>
      <c r="W855" s="93">
        <f>IFERROR(__xludf.DUMMYFUNCTION("$E855 - IFERROR(FILTER($E:$E,$C:$C = $C855, $A:$A = $A855, $B:$B = $B855 - 1),0)"),0.0)</f>
        <v>0</v>
      </c>
      <c r="X855" s="93"/>
      <c r="Y855" s="93"/>
      <c r="Z855" s="93">
        <v>0.0</v>
      </c>
      <c r="AA855" s="93">
        <v>0.0</v>
      </c>
      <c r="AB855" s="93">
        <v>0.0</v>
      </c>
      <c r="AC855" s="93"/>
      <c r="AD855" s="93">
        <v>0.0</v>
      </c>
      <c r="AE855" s="32">
        <f t="shared" si="2"/>
        <v>0</v>
      </c>
      <c r="AF855" s="93">
        <v>0.0</v>
      </c>
    </row>
    <row r="856">
      <c r="A856" s="86">
        <v>2018.0</v>
      </c>
      <c r="B856" s="87">
        <v>1.0</v>
      </c>
      <c r="C856" s="88" t="s">
        <v>34</v>
      </c>
      <c r="D856" s="32"/>
      <c r="E856" s="32"/>
      <c r="F856" s="32"/>
      <c r="G856" s="93">
        <v>-277.24</v>
      </c>
      <c r="H856" s="93">
        <v>870.14</v>
      </c>
      <c r="I856" s="32"/>
      <c r="J856" s="93">
        <v>4372.45</v>
      </c>
      <c r="K856" s="32"/>
      <c r="L856" s="32"/>
      <c r="M856" s="32"/>
      <c r="N856" s="32"/>
      <c r="O856" s="93">
        <v>149254.0</v>
      </c>
      <c r="P856" s="91">
        <f>IFERROR(__xludf.DUMMYFUNCTION("IFERROR(sum(FILTER($D:$N,$C:$C = $C856,$A:$A &lt; $A856,$B:$B = 12)),0) + sum($D856:$N856)"),149253.51)</f>
        <v>149253.51</v>
      </c>
      <c r="Q856" s="92">
        <f t="shared" si="1"/>
        <v>0.49</v>
      </c>
      <c r="R856" s="91">
        <f t="array" ref="R856">IFERROR(INDEX('Fund YTD Target Values'!$1:$1000, MATCH($C856,'Fund YTD Target Values'!$A:$A,0), MATCH($A856,'Fund YTD Target Values'!$1:$1,0)),0)</f>
        <v>135327.6594</v>
      </c>
      <c r="S856" s="91">
        <f>IFERROR(__xludf.DUMMYFUNCTION("IFERROR(sum(FILTER('Fund Investment Data'!$V:$V, 'Fund Investment Data'!$C:$C = $C856, 'Fund Investment Data'!$A:$A &lt; $A856)),0) + IFERROR(sum(FILTER('Fund Investment Data'!$V:$V, 'Fund Investment Data'!$C:$C = $C856, 'Fund Investment Data'!$A:$A = $A856,"&amp;" 'Fund Investment Data'!$B:$B &lt;= $B856)),0)"),120000.0)</f>
        <v>120000</v>
      </c>
      <c r="T856" s="93">
        <v>115238.0</v>
      </c>
      <c r="U856" s="32">
        <f t="shared" si="3"/>
        <v>4762</v>
      </c>
      <c r="V856" s="32">
        <f>IFERROR(__xludf.DUMMYFUNCTION("$D856 - IFERROR(FILTER($D:$D,$C:$C = $C856, $A:$A = $A856, $B:$B = $B856 - 1),0)"),0.0)</f>
        <v>0</v>
      </c>
      <c r="W856" s="93">
        <f>IFERROR(__xludf.DUMMYFUNCTION("$E856 - IFERROR(FILTER($E:$E,$C:$C = $C856, $A:$A = $A856, $B:$B = $B856 - 1),0)"),0.0)</f>
        <v>0</v>
      </c>
      <c r="X856" s="93"/>
      <c r="Y856" s="93"/>
      <c r="Z856" s="93">
        <v>0.0</v>
      </c>
      <c r="AA856" s="93">
        <v>0.0</v>
      </c>
      <c r="AB856" s="93">
        <v>0.0</v>
      </c>
      <c r="AC856" s="93"/>
      <c r="AD856" s="93">
        <v>0.0</v>
      </c>
      <c r="AE856" s="32">
        <f t="shared" si="2"/>
        <v>0</v>
      </c>
      <c r="AF856" s="93">
        <v>0.0</v>
      </c>
    </row>
    <row r="857">
      <c r="A857" s="86">
        <v>2018.0</v>
      </c>
      <c r="B857" s="87">
        <v>1.0</v>
      </c>
      <c r="C857" s="88" t="s">
        <v>54</v>
      </c>
      <c r="D857" s="32"/>
      <c r="E857" s="32"/>
      <c r="F857" s="32"/>
      <c r="G857" s="93">
        <v>-321.93</v>
      </c>
      <c r="H857" s="93">
        <v>1005.66</v>
      </c>
      <c r="I857" s="32"/>
      <c r="J857" s="93">
        <v>5020.34</v>
      </c>
      <c r="K857" s="32"/>
      <c r="L857" s="32"/>
      <c r="M857" s="32"/>
      <c r="N857" s="32"/>
      <c r="O857" s="93">
        <v>178596.0</v>
      </c>
      <c r="P857" s="91">
        <f>IFERROR(__xludf.DUMMYFUNCTION("IFERROR(sum(FILTER($D:$N,$C:$C = $C857,$A:$A &lt; $A857,$B:$B = 12)),0) + sum($D857:$N857)"),178597.03999999995)</f>
        <v>178597.04</v>
      </c>
      <c r="Q857" s="92">
        <f t="shared" si="1"/>
        <v>-1.04</v>
      </c>
      <c r="R857" s="91">
        <f t="array" ref="R857">IFERROR(INDEX('Fund YTD Target Values'!$1:$1000, MATCH($C857,'Fund YTD Target Values'!$A:$A,0), MATCH($A857,'Fund YTD Target Values'!$1:$1,0)),0)</f>
        <v>155177.2706</v>
      </c>
      <c r="S857" s="91">
        <f>IFERROR(__xludf.DUMMYFUNCTION("IFERROR(sum(FILTER('Fund Investment Data'!$V:$V, 'Fund Investment Data'!$C:$C = $C857, 'Fund Investment Data'!$A:$A &lt; $A857)),0) + IFERROR(sum(FILTER('Fund Investment Data'!$V:$V, 'Fund Investment Data'!$C:$C = $C857, 'Fund Investment Data'!$A:$A = $A857,"&amp;" 'Fund Investment Data'!$B:$B &lt;= $B857)),0)"),112432.10999999999)</f>
        <v>112432.11</v>
      </c>
      <c r="T857" s="93">
        <v>108610.0</v>
      </c>
      <c r="U857" s="32">
        <f t="shared" si="3"/>
        <v>3822.11</v>
      </c>
      <c r="V857" s="32">
        <f>IFERROR(__xludf.DUMMYFUNCTION("$D857 - IFERROR(FILTER($D:$D,$C:$C = $C857, $A:$A = $A857, $B:$B = $B857 - 1),0)"),0.0)</f>
        <v>0</v>
      </c>
      <c r="W857" s="93">
        <f>IFERROR(__xludf.DUMMYFUNCTION("$E857 - IFERROR(FILTER($E:$E,$C:$C = $C857, $A:$A = $A857, $B:$B = $B857 - 1),0)"),0.0)</f>
        <v>0</v>
      </c>
      <c r="X857" s="93"/>
      <c r="Y857" s="93"/>
      <c r="Z857" s="93">
        <v>0.0</v>
      </c>
      <c r="AA857" s="93">
        <v>0.0</v>
      </c>
      <c r="AB857" s="93">
        <v>0.0</v>
      </c>
      <c r="AC857" s="93"/>
      <c r="AD857" s="93">
        <v>0.0</v>
      </c>
      <c r="AE857" s="32">
        <f t="shared" si="2"/>
        <v>0</v>
      </c>
      <c r="AF857" s="93">
        <v>0.0</v>
      </c>
    </row>
    <row r="858">
      <c r="A858" s="86">
        <v>2018.0</v>
      </c>
      <c r="B858" s="87">
        <v>1.0</v>
      </c>
      <c r="C858" s="88" t="s">
        <v>55</v>
      </c>
      <c r="D858" s="32"/>
      <c r="E858" s="32"/>
      <c r="F858" s="32"/>
      <c r="G858" s="93">
        <v>-460.77</v>
      </c>
      <c r="H858" s="93">
        <v>1025.46</v>
      </c>
      <c r="I858" s="32"/>
      <c r="J858" s="93">
        <v>4834.72</v>
      </c>
      <c r="K858" s="32"/>
      <c r="L858" s="32"/>
      <c r="M858" s="32"/>
      <c r="N858" s="32"/>
      <c r="O858" s="93">
        <v>234464.0</v>
      </c>
      <c r="P858" s="91">
        <f>IFERROR(__xludf.DUMMYFUNCTION("IFERROR(sum(FILTER($D:$N,$C:$C = $C858,$A:$A &lt; $A858,$B:$B = 12)),0) + sum($D858:$N858)"),234464.16999999998)</f>
        <v>234464.17</v>
      </c>
      <c r="Q858" s="92">
        <f t="shared" si="1"/>
        <v>-0.17</v>
      </c>
      <c r="R858" s="91">
        <f t="array" ref="R858">IFERROR(INDEX('Fund YTD Target Values'!$1:$1000, MATCH($C858,'Fund YTD Target Values'!$A:$A,0), MATCH($A858,'Fund YTD Target Values'!$1:$1,0)),0)</f>
        <v>289110.9496</v>
      </c>
      <c r="S858" s="91">
        <f>IFERROR(__xludf.DUMMYFUNCTION("IFERROR(sum(FILTER('Fund Investment Data'!$V:$V, 'Fund Investment Data'!$C:$C = $C858, 'Fund Investment Data'!$A:$A &lt; $A858)),0) + IFERROR(sum(FILTER('Fund Investment Data'!$V:$V, 'Fund Investment Data'!$C:$C = $C858, 'Fund Investment Data'!$A:$A = $A858,"&amp;" 'Fund Investment Data'!$B:$B &lt;= $B858)),0)"),210000.0)</f>
        <v>210000</v>
      </c>
      <c r="T858" s="93">
        <v>79841.0</v>
      </c>
      <c r="U858" s="32">
        <f t="shared" si="3"/>
        <v>130159</v>
      </c>
      <c r="V858" s="32">
        <f>IFERROR(__xludf.DUMMYFUNCTION("$D858 - IFERROR(FILTER($D:$D,$C:$C = $C858, $A:$A = $A858, $B:$B = $B858 - 1),0)"),0.0)</f>
        <v>0</v>
      </c>
      <c r="W858" s="93">
        <f>IFERROR(__xludf.DUMMYFUNCTION("$E858 - IFERROR(FILTER($E:$E,$C:$C = $C858, $A:$A = $A858, $B:$B = $B858 - 1),0)"),0.0)</f>
        <v>0</v>
      </c>
      <c r="X858" s="93"/>
      <c r="Y858" s="93"/>
      <c r="Z858" s="93">
        <v>0.0</v>
      </c>
      <c r="AA858" s="93">
        <v>0.0</v>
      </c>
      <c r="AB858" s="93">
        <v>0.0</v>
      </c>
      <c r="AC858" s="93"/>
      <c r="AD858" s="93">
        <v>0.0</v>
      </c>
      <c r="AE858" s="32">
        <f t="shared" si="2"/>
        <v>0</v>
      </c>
      <c r="AF858" s="93">
        <v>0.0</v>
      </c>
    </row>
    <row r="859">
      <c r="A859" s="86">
        <v>2018.0</v>
      </c>
      <c r="B859" s="87">
        <v>1.0</v>
      </c>
      <c r="C859" s="88" t="s">
        <v>44</v>
      </c>
      <c r="D859" s="32"/>
      <c r="E859" s="32"/>
      <c r="F859" s="32"/>
      <c r="G859" s="93">
        <v>-563.02</v>
      </c>
      <c r="H859" s="93">
        <v>1772.78</v>
      </c>
      <c r="I859" s="32"/>
      <c r="J859" s="93">
        <v>8947.58</v>
      </c>
      <c r="K859" s="32"/>
      <c r="L859" s="32"/>
      <c r="M859" s="32"/>
      <c r="N859" s="32"/>
      <c r="O859" s="93">
        <v>296793.0</v>
      </c>
      <c r="P859" s="91">
        <f>IFERROR(__xludf.DUMMYFUNCTION("IFERROR(sum(FILTER($D:$N,$C:$C = $C859,$A:$A &lt; $A859,$B:$B = 12)),0) + sum($D859:$N859)"),296793.8100000001)</f>
        <v>296793.81</v>
      </c>
      <c r="Q859" s="92">
        <f t="shared" si="1"/>
        <v>-0.8100000001</v>
      </c>
      <c r="R859" s="91">
        <f t="array" ref="R859">IFERROR(INDEX('Fund YTD Target Values'!$1:$1000, MATCH($C859,'Fund YTD Target Values'!$A:$A,0), MATCH($A859,'Fund YTD Target Values'!$1:$1,0)),0)</f>
        <v>321586.5616</v>
      </c>
      <c r="S859" s="91">
        <f>IFERROR(__xludf.DUMMYFUNCTION("IFERROR(sum(FILTER('Fund Investment Data'!$V:$V, 'Fund Investment Data'!$C:$C = $C859, 'Fund Investment Data'!$A:$A &lt; $A859)),0) + IFERROR(sum(FILTER('Fund Investment Data'!$V:$V, 'Fund Investment Data'!$C:$C = $C859, 'Fund Investment Data'!$A:$A = $A859,"&amp;" 'Fund Investment Data'!$B:$B &lt;= $B859)),0)"),250000.0)</f>
        <v>250000</v>
      </c>
      <c r="T859" s="93">
        <v>250000.0</v>
      </c>
      <c r="U859" s="32">
        <f t="shared" si="3"/>
        <v>0</v>
      </c>
      <c r="V859" s="32">
        <f>IFERROR(__xludf.DUMMYFUNCTION("$D859 - IFERROR(FILTER($D:$D,$C:$C = $C859, $A:$A = $A859, $B:$B = $B859 - 1),0)"),0.0)</f>
        <v>0</v>
      </c>
      <c r="W859" s="93">
        <f>IFERROR(__xludf.DUMMYFUNCTION("$E859 - IFERROR(FILTER($E:$E,$C:$C = $C859, $A:$A = $A859, $B:$B = $B859 - 1),0)"),0.0)</f>
        <v>0</v>
      </c>
      <c r="X859" s="93"/>
      <c r="Y859" s="93"/>
      <c r="Z859" s="93">
        <v>0.0</v>
      </c>
      <c r="AA859" s="93">
        <v>0.0</v>
      </c>
      <c r="AB859" s="93">
        <v>0.0</v>
      </c>
      <c r="AC859" s="93"/>
      <c r="AD859" s="93">
        <v>0.0</v>
      </c>
      <c r="AE859" s="32">
        <f t="shared" si="2"/>
        <v>0</v>
      </c>
      <c r="AF859" s="93">
        <v>0.0</v>
      </c>
    </row>
    <row r="860">
      <c r="A860" s="86">
        <v>2018.0</v>
      </c>
      <c r="B860" s="87">
        <v>1.0</v>
      </c>
      <c r="C860" s="88" t="s">
        <v>45</v>
      </c>
      <c r="D860" s="32"/>
      <c r="E860" s="32"/>
      <c r="F860" s="32"/>
      <c r="G860" s="93">
        <v>-288.89</v>
      </c>
      <c r="H860" s="93">
        <v>908.47</v>
      </c>
      <c r="I860" s="32"/>
      <c r="J860" s="93">
        <v>4577.04</v>
      </c>
      <c r="K860" s="32"/>
      <c r="L860" s="32"/>
      <c r="M860" s="32"/>
      <c r="N860" s="32"/>
      <c r="O860" s="93">
        <v>153599.0</v>
      </c>
      <c r="P860" s="91">
        <f>IFERROR(__xludf.DUMMYFUNCTION("IFERROR(sum(FILTER($D:$N,$C:$C = $C860,$A:$A &lt; $A860,$B:$B = 12)),0) + sum($D860:$N860)"),153598.90999999997)</f>
        <v>153598.91</v>
      </c>
      <c r="Q860" s="92">
        <f t="shared" si="1"/>
        <v>0.09000000003</v>
      </c>
      <c r="R860" s="91">
        <f t="array" ref="R860">IFERROR(INDEX('Fund YTD Target Values'!$1:$1000, MATCH($C860,'Fund YTD Target Values'!$A:$A,0), MATCH($A860,'Fund YTD Target Values'!$1:$1,0)),0)</f>
        <v>121242.134</v>
      </c>
      <c r="S860" s="91">
        <f>IFERROR(__xludf.DUMMYFUNCTION("IFERROR(sum(FILTER('Fund Investment Data'!$V:$V, 'Fund Investment Data'!$C:$C = $C860, 'Fund Investment Data'!$A:$A &lt; $A860)),0) + IFERROR(sum(FILTER('Fund Investment Data'!$V:$V, 'Fund Investment Data'!$C:$C = $C860, 'Fund Investment Data'!$A:$A = $A860,"&amp;" 'Fund Investment Data'!$B:$B &lt;= $B860)),0)"),100000.0)</f>
        <v>100000</v>
      </c>
      <c r="T860" s="93">
        <v>100000.0</v>
      </c>
      <c r="U860" s="32">
        <f t="shared" si="3"/>
        <v>0</v>
      </c>
      <c r="V860" s="32">
        <f>IFERROR(__xludf.DUMMYFUNCTION("$D860 - IFERROR(FILTER($D:$D,$C:$C = $C860, $A:$A = $A860, $B:$B = $B860 - 1),0)"),0.0)</f>
        <v>0</v>
      </c>
      <c r="W860" s="93">
        <f>IFERROR(__xludf.DUMMYFUNCTION("$E860 - IFERROR(FILTER($E:$E,$C:$C = $C860, $A:$A = $A860, $B:$B = $B860 - 1),0)"),0.0)</f>
        <v>0</v>
      </c>
      <c r="X860" s="93"/>
      <c r="Y860" s="93"/>
      <c r="Z860" s="93">
        <v>0.0</v>
      </c>
      <c r="AA860" s="93">
        <v>0.0</v>
      </c>
      <c r="AB860" s="93">
        <v>0.0</v>
      </c>
      <c r="AC860" s="93"/>
      <c r="AD860" s="93">
        <v>0.0</v>
      </c>
      <c r="AE860" s="32">
        <f t="shared" si="2"/>
        <v>0</v>
      </c>
      <c r="AF860" s="93">
        <v>0.0</v>
      </c>
    </row>
    <row r="861">
      <c r="A861" s="86">
        <v>2018.0</v>
      </c>
      <c r="B861" s="87">
        <v>1.0</v>
      </c>
      <c r="C861" s="88" t="s">
        <v>35</v>
      </c>
      <c r="D861" s="32"/>
      <c r="E861" s="32"/>
      <c r="F861" s="32"/>
      <c r="G861" s="93">
        <v>-2879.84</v>
      </c>
      <c r="H861" s="93">
        <v>9067.74</v>
      </c>
      <c r="I861" s="32"/>
      <c r="J861" s="93">
        <v>45766.92</v>
      </c>
      <c r="K861" s="32"/>
      <c r="L861" s="32"/>
      <c r="M861" s="32"/>
      <c r="N861" s="32"/>
      <c r="O861" s="93">
        <v>1518097.0</v>
      </c>
      <c r="P861" s="91">
        <f>IFERROR(__xludf.DUMMYFUNCTION("IFERROR(sum(FILTER($D:$N,$C:$C = $C861,$A:$A &lt; $A861,$B:$B = 12)),0) + sum($D861:$N861)"),1518096.3800000004)</f>
        <v>1518096.38</v>
      </c>
      <c r="Q861" s="92">
        <f t="shared" si="1"/>
        <v>0.6199999996</v>
      </c>
      <c r="R861" s="91">
        <f t="array" ref="R861">IFERROR(INDEX('Fund YTD Target Values'!$1:$1000, MATCH($C861,'Fund YTD Target Values'!$A:$A,0), MATCH($A861,'Fund YTD Target Values'!$1:$1,0)),0)</f>
        <v>1579247.369</v>
      </c>
      <c r="S861" s="91">
        <f>IFERROR(__xludf.DUMMYFUNCTION("IFERROR(sum(FILTER('Fund Investment Data'!$V:$V, 'Fund Investment Data'!$C:$C = $C861, 'Fund Investment Data'!$A:$A &lt; $A861)),0) + IFERROR(sum(FILTER('Fund Investment Data'!$V:$V, 'Fund Investment Data'!$C:$C = $C861, 'Fund Investment Data'!$A:$A = $A861,"&amp;" 'Fund Investment Data'!$B:$B &lt;= $B861)),0)"),1086625.0)</f>
        <v>1086625</v>
      </c>
      <c r="T861" s="93">
        <v>1071625.0</v>
      </c>
      <c r="U861" s="32">
        <f t="shared" si="3"/>
        <v>15000</v>
      </c>
      <c r="V861" s="32">
        <f>IFERROR(__xludf.DUMMYFUNCTION("$D861 - IFERROR(FILTER($D:$D,$C:$C = $C861, $A:$A = $A861, $B:$B = $B861 - 1),0)"),0.0)</f>
        <v>0</v>
      </c>
      <c r="W861" s="93">
        <f>IFERROR(__xludf.DUMMYFUNCTION("$E861 - IFERROR(FILTER($E:$E,$C:$C = $C861, $A:$A = $A861, $B:$B = $B861 - 1),0)"),0.0)</f>
        <v>0</v>
      </c>
      <c r="X861" s="93"/>
      <c r="Y861" s="93"/>
      <c r="Z861" s="93">
        <v>0.0</v>
      </c>
      <c r="AA861" s="93">
        <v>0.0</v>
      </c>
      <c r="AB861" s="93">
        <v>0.0</v>
      </c>
      <c r="AC861" s="93"/>
      <c r="AD861" s="93">
        <v>0.0</v>
      </c>
      <c r="AE861" s="32">
        <f t="shared" si="2"/>
        <v>0</v>
      </c>
      <c r="AF861" s="93">
        <v>0.0</v>
      </c>
    </row>
    <row r="862">
      <c r="A862" s="86">
        <v>2018.0</v>
      </c>
      <c r="B862" s="87">
        <v>1.0</v>
      </c>
      <c r="C862" s="88" t="s">
        <v>56</v>
      </c>
      <c r="D862" s="32"/>
      <c r="E862" s="32"/>
      <c r="F862" s="32"/>
      <c r="G862" s="93">
        <v>-2168.89</v>
      </c>
      <c r="H862" s="93">
        <v>6803.55</v>
      </c>
      <c r="I862" s="32"/>
      <c r="J862" s="93">
        <v>34161.67</v>
      </c>
      <c r="K862" s="32"/>
      <c r="L862" s="32"/>
      <c r="M862" s="32"/>
      <c r="N862" s="32"/>
      <c r="O862" s="93">
        <v>1171774.0</v>
      </c>
      <c r="P862" s="91">
        <f>IFERROR(__xludf.DUMMYFUNCTION("IFERROR(sum(FILTER($D:$N,$C:$C = $C862,$A:$A &lt; $A862,$B:$B = 12)),0) + sum($D862:$N862)"),1171774.16)</f>
        <v>1171774.16</v>
      </c>
      <c r="Q862" s="92">
        <f t="shared" si="1"/>
        <v>-0.1599999999</v>
      </c>
      <c r="R862" s="91">
        <f t="array" ref="R862">IFERROR(INDEX('Fund YTD Target Values'!$1:$1000, MATCH($C862,'Fund YTD Target Values'!$A:$A,0), MATCH($A862,'Fund YTD Target Values'!$1:$1,0)),0)</f>
        <v>1060725.595</v>
      </c>
      <c r="S862" s="91">
        <f>IFERROR(__xludf.DUMMYFUNCTION("IFERROR(sum(FILTER('Fund Investment Data'!$V:$V, 'Fund Investment Data'!$C:$C = $C862, 'Fund Investment Data'!$A:$A &lt; $A862)),0) + IFERROR(sum(FILTER('Fund Investment Data'!$V:$V, 'Fund Investment Data'!$C:$C = $C862, 'Fund Investment Data'!$A:$A = $A862,"&amp;" 'Fund Investment Data'!$B:$B &lt;= $B862)),0)"),1000000.0)</f>
        <v>1000000</v>
      </c>
      <c r="T862" s="93">
        <v>1000000.0</v>
      </c>
      <c r="U862" s="32">
        <f t="shared" si="3"/>
        <v>0</v>
      </c>
      <c r="V862" s="32">
        <f>IFERROR(__xludf.DUMMYFUNCTION("$D862 - IFERROR(FILTER($D:$D,$C:$C = $C862, $A:$A = $A862, $B:$B = $B862 - 1),0)"),0.0)</f>
        <v>0</v>
      </c>
      <c r="W862" s="93">
        <f>IFERROR(__xludf.DUMMYFUNCTION("$E862 - IFERROR(FILTER($E:$E,$C:$C = $C862, $A:$A = $A862, $B:$B = $B862 - 1),0)"),0.0)</f>
        <v>0</v>
      </c>
      <c r="X862" s="93"/>
      <c r="Y862" s="93"/>
      <c r="Z862" s="93">
        <v>0.0</v>
      </c>
      <c r="AA862" s="93">
        <v>0.0</v>
      </c>
      <c r="AB862" s="93">
        <v>0.0</v>
      </c>
      <c r="AC862" s="93"/>
      <c r="AD862" s="93">
        <v>0.0</v>
      </c>
      <c r="AE862" s="32">
        <f t="shared" si="2"/>
        <v>0</v>
      </c>
      <c r="AF862" s="93">
        <v>0.0</v>
      </c>
    </row>
    <row r="863">
      <c r="A863" s="86">
        <v>2018.0</v>
      </c>
      <c r="B863" s="87">
        <v>1.0</v>
      </c>
      <c r="C863" s="88" t="s">
        <v>57</v>
      </c>
      <c r="D863" s="32"/>
      <c r="E863" s="32"/>
      <c r="F863" s="32"/>
      <c r="G863" s="93">
        <v>-3995.81</v>
      </c>
      <c r="H863" s="93">
        <v>12580.79</v>
      </c>
      <c r="I863" s="32"/>
      <c r="J863" s="93">
        <v>63492.7</v>
      </c>
      <c r="K863" s="32"/>
      <c r="L863" s="32"/>
      <c r="M863" s="32"/>
      <c r="N863" s="32"/>
      <c r="O863" s="93">
        <v>2107257.0</v>
      </c>
      <c r="P863" s="91">
        <f>IFERROR(__xludf.DUMMYFUNCTION("IFERROR(sum(FILTER($D:$N,$C:$C = $C863,$A:$A &lt; $A863,$B:$B = 12)),0) + sum($D863:$N863)"),2107256.5100000002)</f>
        <v>2107256.51</v>
      </c>
      <c r="Q863" s="92">
        <f t="shared" si="1"/>
        <v>0.4899999998</v>
      </c>
      <c r="R863" s="91">
        <f t="array" ref="R863">IFERROR(INDEX('Fund YTD Target Values'!$1:$1000, MATCH($C863,'Fund YTD Target Values'!$A:$A,0), MATCH($A863,'Fund YTD Target Values'!$1:$1,0)),0)</f>
        <v>2048853.692</v>
      </c>
      <c r="S863" s="91">
        <f>IFERROR(__xludf.DUMMYFUNCTION("IFERROR(sum(FILTER('Fund Investment Data'!$V:$V, 'Fund Investment Data'!$C:$C = $C863, 'Fund Investment Data'!$A:$A &lt; $A863)),0) + IFERROR(sum(FILTER('Fund Investment Data'!$V:$V, 'Fund Investment Data'!$C:$C = $C863, 'Fund Investment Data'!$A:$A = $A863,"&amp;" 'Fund Investment Data'!$B:$B &lt;= $B863)),0)"),2000000.0)</f>
        <v>2000000</v>
      </c>
      <c r="T863" s="93">
        <v>2000000.0</v>
      </c>
      <c r="U863" s="32">
        <f t="shared" si="3"/>
        <v>0</v>
      </c>
      <c r="V863" s="32">
        <f>IFERROR(__xludf.DUMMYFUNCTION("$D863 - IFERROR(FILTER($D:$D,$C:$C = $C863, $A:$A = $A863, $B:$B = $B863 - 1),0)"),0.0)</f>
        <v>0</v>
      </c>
      <c r="W863" s="93">
        <f>IFERROR(__xludf.DUMMYFUNCTION("$E863 - IFERROR(FILTER($E:$E,$C:$C = $C863, $A:$A = $A863, $B:$B = $B863 - 1),0)"),0.0)</f>
        <v>0</v>
      </c>
      <c r="X863" s="93"/>
      <c r="Y863" s="93"/>
      <c r="Z863" s="93">
        <v>0.0</v>
      </c>
      <c r="AA863" s="93">
        <v>0.0</v>
      </c>
      <c r="AB863" s="93">
        <v>0.0</v>
      </c>
      <c r="AC863" s="93"/>
      <c r="AD863" s="93">
        <v>0.0</v>
      </c>
      <c r="AE863" s="32">
        <f t="shared" si="2"/>
        <v>0</v>
      </c>
      <c r="AF863" s="93">
        <v>0.0</v>
      </c>
    </row>
    <row r="864">
      <c r="A864" s="86">
        <v>2018.0</v>
      </c>
      <c r="B864" s="87">
        <v>1.0</v>
      </c>
      <c r="C864" s="88" t="s">
        <v>58</v>
      </c>
      <c r="D864" s="32"/>
      <c r="E864" s="32"/>
      <c r="F864" s="32"/>
      <c r="G864" s="93">
        <v>-3995.81</v>
      </c>
      <c r="H864" s="93">
        <v>12580.79</v>
      </c>
      <c r="I864" s="32"/>
      <c r="J864" s="93">
        <v>63492.7</v>
      </c>
      <c r="K864" s="32"/>
      <c r="L864" s="32"/>
      <c r="M864" s="32"/>
      <c r="N864" s="32"/>
      <c r="O864" s="93">
        <v>2107257.0</v>
      </c>
      <c r="P864" s="91">
        <f>IFERROR(__xludf.DUMMYFUNCTION("IFERROR(sum(FILTER($D:$N,$C:$C = $C864,$A:$A &lt; $A864,$B:$B = 12)),0) + sum($D864:$N864)"),2107256.5100000002)</f>
        <v>2107256.51</v>
      </c>
      <c r="Q864" s="92">
        <f t="shared" si="1"/>
        <v>0.4899999998</v>
      </c>
      <c r="R864" s="91">
        <f t="array" ref="R864">IFERROR(INDEX('Fund YTD Target Values'!$1:$1000, MATCH($C864,'Fund YTD Target Values'!$A:$A,0), MATCH($A864,'Fund YTD Target Values'!$1:$1,0)),0)</f>
        <v>2048853.692</v>
      </c>
      <c r="S864" s="91">
        <f>IFERROR(__xludf.DUMMYFUNCTION("IFERROR(sum(FILTER('Fund Investment Data'!$V:$V, 'Fund Investment Data'!$C:$C = $C864, 'Fund Investment Data'!$A:$A &lt; $A864)),0) + IFERROR(sum(FILTER('Fund Investment Data'!$V:$V, 'Fund Investment Data'!$C:$C = $C864, 'Fund Investment Data'!$A:$A = $A864,"&amp;" 'Fund Investment Data'!$B:$B &lt;= $B864)),0)"),2000000.0)</f>
        <v>2000000</v>
      </c>
      <c r="T864" s="93">
        <v>2000000.0</v>
      </c>
      <c r="U864" s="32">
        <f t="shared" si="3"/>
        <v>0</v>
      </c>
      <c r="V864" s="32">
        <f>IFERROR(__xludf.DUMMYFUNCTION("$D864 - IFERROR(FILTER($D:$D,$C:$C = $C864, $A:$A = $A864, $B:$B = $B864 - 1),0)"),0.0)</f>
        <v>0</v>
      </c>
      <c r="W864" s="93">
        <f>IFERROR(__xludf.DUMMYFUNCTION("$E864 - IFERROR(FILTER($E:$E,$C:$C = $C864, $A:$A = $A864, $B:$B = $B864 - 1),0)"),0.0)</f>
        <v>0</v>
      </c>
      <c r="X864" s="93"/>
      <c r="Y864" s="93"/>
      <c r="Z864" s="93">
        <v>0.0</v>
      </c>
      <c r="AA864" s="93">
        <v>0.0</v>
      </c>
      <c r="AB864" s="93">
        <v>0.0</v>
      </c>
      <c r="AC864" s="93"/>
      <c r="AD864" s="93">
        <v>0.0</v>
      </c>
      <c r="AE864" s="32">
        <f t="shared" si="2"/>
        <v>0</v>
      </c>
      <c r="AF864" s="93">
        <v>0.0</v>
      </c>
    </row>
    <row r="865">
      <c r="A865" s="86">
        <v>2018.0</v>
      </c>
      <c r="B865" s="87">
        <v>2.0</v>
      </c>
      <c r="C865" s="88" t="s">
        <v>26</v>
      </c>
      <c r="D865" s="93">
        <v>18189.0</v>
      </c>
      <c r="E865" s="32"/>
      <c r="F865" s="32"/>
      <c r="G865" s="93">
        <v>-815.99</v>
      </c>
      <c r="H865" s="93">
        <v>2273.13</v>
      </c>
      <c r="I865" s="32"/>
      <c r="J865" s="93">
        <v>13.94</v>
      </c>
      <c r="K865" s="32"/>
      <c r="L865" s="32"/>
      <c r="M865" s="32"/>
      <c r="N865" s="32"/>
      <c r="O865" s="93">
        <v>351593.0</v>
      </c>
      <c r="P865" s="91">
        <f>IFERROR(__xludf.DUMMYFUNCTION("IFERROR(sum(FILTER($D:$N,$C:$C = $C865,$A:$A &lt; $A865,$B:$B = 12)),0) + sum($D865:$N865)"),351591.04)</f>
        <v>351591.04</v>
      </c>
      <c r="Q865" s="92">
        <f t="shared" si="1"/>
        <v>1.96</v>
      </c>
      <c r="R865" s="91">
        <f t="array" ref="R865">IFERROR(INDEX('Fund YTD Target Values'!$1:$1000, MATCH($C865,'Fund YTD Target Values'!$A:$A,0), MATCH($A865,'Fund YTD Target Values'!$1:$1,0)),0)</f>
        <v>378110.9215</v>
      </c>
      <c r="S865" s="91">
        <f>IFERROR(__xludf.DUMMYFUNCTION("IFERROR(sum(FILTER('Fund Investment Data'!$V:$V, 'Fund Investment Data'!$C:$C = $C865, 'Fund Investment Data'!$A:$A &lt; $A865)),0) + IFERROR(sum(FILTER('Fund Investment Data'!$V:$V, 'Fund Investment Data'!$C:$C = $C865, 'Fund Investment Data'!$A:$A = $A865,"&amp;" 'Fund Investment Data'!$B:$B &lt;= $B865)),0)"),310249.0)</f>
        <v>310249</v>
      </c>
      <c r="T865" s="93">
        <v>310250.0</v>
      </c>
      <c r="U865" s="32">
        <f t="shared" si="3"/>
        <v>-1</v>
      </c>
      <c r="V865" s="32">
        <f>IFERROR(__xludf.DUMMYFUNCTION("$D865 - IFERROR(FILTER($D:$D,$C:$C = $C865, $A:$A = $A865, $B:$B = $B865 - 1),0)"),18189.0)</f>
        <v>18189</v>
      </c>
      <c r="W865" s="93">
        <f>IFERROR(__xludf.DUMMYFUNCTION("$E865 - IFERROR(FILTER($E:$E,$C:$C = $C865, $A:$A = $A865, $B:$B = $B865 - 1),0)"),0.0)</f>
        <v>0</v>
      </c>
      <c r="X865" s="93"/>
      <c r="Y865" s="93"/>
      <c r="Z865" s="93">
        <v>0.0</v>
      </c>
      <c r="AA865" s="93">
        <v>0.0</v>
      </c>
      <c r="AB865" s="93">
        <v>0.0</v>
      </c>
      <c r="AC865" s="93"/>
      <c r="AD865" s="93">
        <v>0.0</v>
      </c>
      <c r="AE865" s="32">
        <f t="shared" si="2"/>
        <v>0</v>
      </c>
      <c r="AF865" s="93">
        <v>0.0</v>
      </c>
    </row>
    <row r="866">
      <c r="A866" s="86">
        <v>2018.0</v>
      </c>
      <c r="B866" s="87">
        <v>2.0</v>
      </c>
      <c r="C866" s="88" t="s">
        <v>27</v>
      </c>
      <c r="D866" s="32"/>
      <c r="E866" s="32"/>
      <c r="F866" s="32"/>
      <c r="G866" s="93">
        <v>-765.64</v>
      </c>
      <c r="H866" s="93">
        <v>2137.23</v>
      </c>
      <c r="I866" s="32"/>
      <c r="J866" s="93">
        <v>132.36</v>
      </c>
      <c r="K866" s="32"/>
      <c r="L866" s="32"/>
      <c r="M866" s="32"/>
      <c r="N866" s="32"/>
      <c r="O866" s="93">
        <v>309989.0</v>
      </c>
      <c r="P866" s="91">
        <f>IFERROR(__xludf.DUMMYFUNCTION("IFERROR(sum(FILTER($D:$N,$C:$C = $C866,$A:$A &lt; $A866,$B:$B = 12)),0) + sum($D866:$N866)"),309989.3500000001)</f>
        <v>309989.35</v>
      </c>
      <c r="Q866" s="92">
        <f t="shared" si="1"/>
        <v>-0.3500000001</v>
      </c>
      <c r="R866" s="91">
        <f t="array" ref="R866">IFERROR(INDEX('Fund YTD Target Values'!$1:$1000, MATCH($C866,'Fund YTD Target Values'!$A:$A,0), MATCH($A866,'Fund YTD Target Values'!$1:$1,0)),0)</f>
        <v>393297.582</v>
      </c>
      <c r="S866" s="91">
        <f>IFERROR(__xludf.DUMMYFUNCTION("IFERROR(sum(FILTER('Fund Investment Data'!$V:$V, 'Fund Investment Data'!$C:$C = $C866, 'Fund Investment Data'!$A:$A &lt; $A866)),0) + IFERROR(sum(FILTER('Fund Investment Data'!$V:$V, 'Fund Investment Data'!$C:$C = $C866, 'Fund Investment Data'!$A:$A = $A866,"&amp;" 'Fund Investment Data'!$B:$B &lt;= $B866)),0)"),276213.69999999995)</f>
        <v>276213.7</v>
      </c>
      <c r="T866" s="93">
        <v>272248.0</v>
      </c>
      <c r="U866" s="32">
        <f t="shared" si="3"/>
        <v>3965.7</v>
      </c>
      <c r="V866" s="32">
        <f>IFERROR(__xludf.DUMMYFUNCTION("$D866 - IFERROR(FILTER($D:$D,$C:$C = $C866, $A:$A = $A866, $B:$B = $B866 - 1),0)"),0.0)</f>
        <v>0</v>
      </c>
      <c r="W866" s="93">
        <f>IFERROR(__xludf.DUMMYFUNCTION("$E866 - IFERROR(FILTER($E:$E,$C:$C = $C866, $A:$A = $A866, $B:$B = $B866 - 1),0)"),0.0)</f>
        <v>0</v>
      </c>
      <c r="X866" s="93"/>
      <c r="Y866" s="93"/>
      <c r="Z866" s="93">
        <v>0.0</v>
      </c>
      <c r="AA866" s="93">
        <v>0.0</v>
      </c>
      <c r="AB866" s="93">
        <v>0.0</v>
      </c>
      <c r="AC866" s="93"/>
      <c r="AD866" s="93">
        <v>0.0</v>
      </c>
      <c r="AE866" s="32">
        <f t="shared" si="2"/>
        <v>0</v>
      </c>
      <c r="AF866" s="93">
        <v>0.0</v>
      </c>
    </row>
    <row r="867">
      <c r="A867" s="86">
        <v>2018.0</v>
      </c>
      <c r="B867" s="87">
        <v>2.0</v>
      </c>
      <c r="C867" s="88" t="s">
        <v>28</v>
      </c>
      <c r="D867" s="32"/>
      <c r="E867" s="32"/>
      <c r="F867" s="32"/>
      <c r="G867" s="93">
        <v>-8201.88</v>
      </c>
      <c r="H867" s="93">
        <v>22888.11</v>
      </c>
      <c r="I867" s="32"/>
      <c r="J867" s="93">
        <v>1416.55</v>
      </c>
      <c r="K867" s="32"/>
      <c r="L867" s="32"/>
      <c r="M867" s="32"/>
      <c r="N867" s="32"/>
      <c r="O867" s="93">
        <v>3325330.0</v>
      </c>
      <c r="P867" s="91">
        <f>IFERROR(__xludf.DUMMYFUNCTION("IFERROR(sum(FILTER($D:$N,$C:$C = $C867,$A:$A &lt; $A867,$B:$B = 12)),0) + sum($D867:$N867)"),3325328.8499999996)</f>
        <v>3325328.85</v>
      </c>
      <c r="Q867" s="92">
        <f t="shared" si="1"/>
        <v>1.15</v>
      </c>
      <c r="R867" s="91">
        <f t="array" ref="R867">IFERROR(INDEX('Fund YTD Target Values'!$1:$1000, MATCH($C867,'Fund YTD Target Values'!$A:$A,0), MATCH($A867,'Fund YTD Target Values'!$1:$1,0)),0)</f>
        <v>3840487.513</v>
      </c>
      <c r="S867" s="91">
        <f>IFERROR(__xludf.DUMMYFUNCTION("IFERROR(sum(FILTER('Fund Investment Data'!$V:$V, 'Fund Investment Data'!$C:$C = $C867, 'Fund Investment Data'!$A:$A &lt; $A867)),0) + IFERROR(sum(FILTER('Fund Investment Data'!$V:$V, 'Fund Investment Data'!$C:$C = $C867, 'Fund Investment Data'!$A:$A = $A867,"&amp;" 'Fund Investment Data'!$B:$B &lt;= $B867)),0)"),2960091.25)</f>
        <v>2960091.25</v>
      </c>
      <c r="T867" s="93">
        <v>3009816.0</v>
      </c>
      <c r="U867" s="32">
        <f t="shared" si="3"/>
        <v>-49724.75</v>
      </c>
      <c r="V867" s="32">
        <f>IFERROR(__xludf.DUMMYFUNCTION("$D867 - IFERROR(FILTER($D:$D,$C:$C = $C867, $A:$A = $A867, $B:$B = $B867 - 1),0)"),0.0)</f>
        <v>0</v>
      </c>
      <c r="W867" s="93">
        <f>IFERROR(__xludf.DUMMYFUNCTION("$E867 - IFERROR(FILTER($E:$E,$C:$C = $C867, $A:$A = $A867, $B:$B = $B867 - 1),0)"),0.0)</f>
        <v>0</v>
      </c>
      <c r="X867" s="93"/>
      <c r="Y867" s="93"/>
      <c r="Z867" s="93">
        <v>0.0</v>
      </c>
      <c r="AA867" s="93">
        <v>0.0</v>
      </c>
      <c r="AB867" s="93">
        <v>0.0</v>
      </c>
      <c r="AC867" s="93"/>
      <c r="AD867" s="93">
        <v>0.0</v>
      </c>
      <c r="AE867" s="32">
        <f t="shared" si="2"/>
        <v>0</v>
      </c>
      <c r="AF867" s="93">
        <v>0.0</v>
      </c>
    </row>
    <row r="868">
      <c r="A868" s="86">
        <v>2018.0</v>
      </c>
      <c r="B868" s="87">
        <v>2.0</v>
      </c>
      <c r="C868" s="88" t="s">
        <v>46</v>
      </c>
      <c r="D868" s="32"/>
      <c r="E868" s="32"/>
      <c r="F868" s="32"/>
      <c r="G868" s="93">
        <v>-976.66</v>
      </c>
      <c r="H868" s="93">
        <v>2726.26</v>
      </c>
      <c r="I868" s="32"/>
      <c r="J868" s="93">
        <v>168.84</v>
      </c>
      <c r="K868" s="32"/>
      <c r="L868" s="32"/>
      <c r="M868" s="32"/>
      <c r="N868" s="32"/>
      <c r="O868" s="93">
        <v>395426.0</v>
      </c>
      <c r="P868" s="91">
        <f>IFERROR(__xludf.DUMMYFUNCTION("IFERROR(sum(FILTER($D:$N,$C:$C = $C868,$A:$A &lt; $A868,$B:$B = 12)),0) + sum($D868:$N868)"),395426.10000000003)</f>
        <v>395426.1</v>
      </c>
      <c r="Q868" s="92">
        <f t="shared" si="1"/>
        <v>-0.1</v>
      </c>
      <c r="R868" s="91">
        <f t="array" ref="R868">IFERROR(INDEX('Fund YTD Target Values'!$1:$1000, MATCH($C868,'Fund YTD Target Values'!$A:$A,0), MATCH($A868,'Fund YTD Target Values'!$1:$1,0)),0)</f>
        <v>456546.9656</v>
      </c>
      <c r="S868" s="91">
        <f>IFERROR(__xludf.DUMMYFUNCTION("IFERROR(sum(FILTER('Fund Investment Data'!$V:$V, 'Fund Investment Data'!$C:$C = $C868, 'Fund Investment Data'!$A:$A &lt; $A868)),0) + IFERROR(sum(FILTER('Fund Investment Data'!$V:$V, 'Fund Investment Data'!$C:$C = $C868, 'Fund Investment Data'!$A:$A = $A868,"&amp;" 'Fund Investment Data'!$B:$B &lt;= $B868)),0)"),366400.0)</f>
        <v>366400</v>
      </c>
      <c r="T868" s="93">
        <v>366400.0</v>
      </c>
      <c r="U868" s="32">
        <f t="shared" si="3"/>
        <v>0</v>
      </c>
      <c r="V868" s="32">
        <f>IFERROR(__xludf.DUMMYFUNCTION("$D868 - IFERROR(FILTER($D:$D,$C:$C = $C868, $A:$A = $A868, $B:$B = $B868 - 1),0)"),0.0)</f>
        <v>0</v>
      </c>
      <c r="W868" s="93">
        <f>IFERROR(__xludf.DUMMYFUNCTION("$E868 - IFERROR(FILTER($E:$E,$C:$C = $C868, $A:$A = $A868, $B:$B = $B868 - 1),0)"),0.0)</f>
        <v>0</v>
      </c>
      <c r="X868" s="93"/>
      <c r="Y868" s="93"/>
      <c r="Z868" s="93">
        <v>0.0</v>
      </c>
      <c r="AA868" s="93">
        <v>0.0</v>
      </c>
      <c r="AB868" s="93">
        <v>0.0</v>
      </c>
      <c r="AC868" s="93"/>
      <c r="AD868" s="93">
        <v>0.0</v>
      </c>
      <c r="AE868" s="32">
        <f t="shared" si="2"/>
        <v>0</v>
      </c>
      <c r="AF868" s="93">
        <v>0.0</v>
      </c>
    </row>
    <row r="869">
      <c r="A869" s="86">
        <v>2018.0</v>
      </c>
      <c r="B869" s="87">
        <v>2.0</v>
      </c>
      <c r="C869" s="88" t="s">
        <v>36</v>
      </c>
      <c r="D869" s="32"/>
      <c r="E869" s="32"/>
      <c r="F869" s="32"/>
      <c r="G869" s="93">
        <v>-1118.74</v>
      </c>
      <c r="H869" s="93">
        <v>3122.89</v>
      </c>
      <c r="I869" s="32"/>
      <c r="J869" s="93">
        <v>193.4</v>
      </c>
      <c r="K869" s="32"/>
      <c r="L869" s="32"/>
      <c r="M869" s="32"/>
      <c r="N869" s="32"/>
      <c r="O869" s="93">
        <v>452952.0</v>
      </c>
      <c r="P869" s="91">
        <f>IFERROR(__xludf.DUMMYFUNCTION("IFERROR(sum(FILTER($D:$N,$C:$C = $C869,$A:$A &lt; $A869,$B:$B = 12)),0) + sum($D869:$N869)"),452952.01)</f>
        <v>452952.01</v>
      </c>
      <c r="Q869" s="92">
        <f t="shared" si="1"/>
        <v>-0.01000000001</v>
      </c>
      <c r="R869" s="91">
        <f t="array" ref="R869">IFERROR(INDEX('Fund YTD Target Values'!$1:$1000, MATCH($C869,'Fund YTD Target Values'!$A:$A,0), MATCH($A869,'Fund YTD Target Values'!$1:$1,0)),0)</f>
        <v>635486.6433</v>
      </c>
      <c r="S869" s="91">
        <f>IFERROR(__xludf.DUMMYFUNCTION("IFERROR(sum(FILTER('Fund Investment Data'!$V:$V, 'Fund Investment Data'!$C:$C = $C869, 'Fund Investment Data'!$A:$A &lt; $A869)),0) + IFERROR(sum(FILTER('Fund Investment Data'!$V:$V, 'Fund Investment Data'!$C:$C = $C869, 'Fund Investment Data'!$A:$A = $A869,"&amp;" 'Fund Investment Data'!$B:$B &lt;= $B869)),0)"),429067.24)</f>
        <v>429067.24</v>
      </c>
      <c r="T869" s="93">
        <v>413959.0</v>
      </c>
      <c r="U869" s="32">
        <f t="shared" si="3"/>
        <v>15108.24</v>
      </c>
      <c r="V869" s="32">
        <f>IFERROR(__xludf.DUMMYFUNCTION("$D869 - IFERROR(FILTER($D:$D,$C:$C = $C869, $A:$A = $A869, $B:$B = $B869 - 1),0)"),0.0)</f>
        <v>0</v>
      </c>
      <c r="W869" s="93">
        <f>IFERROR(__xludf.DUMMYFUNCTION("$E869 - IFERROR(FILTER($E:$E,$C:$C = $C869, $A:$A = $A869, $B:$B = $B869 - 1),0)"),0.0)</f>
        <v>0</v>
      </c>
      <c r="X869" s="93"/>
      <c r="Y869" s="93"/>
      <c r="Z869" s="93">
        <v>0.0</v>
      </c>
      <c r="AA869" s="93">
        <v>0.0</v>
      </c>
      <c r="AB869" s="93">
        <v>0.0</v>
      </c>
      <c r="AC869" s="93"/>
      <c r="AD869" s="93">
        <v>0.0</v>
      </c>
      <c r="AE869" s="32">
        <f t="shared" si="2"/>
        <v>0</v>
      </c>
      <c r="AF869" s="93">
        <v>0.0</v>
      </c>
    </row>
    <row r="870">
      <c r="A870" s="86">
        <v>2018.0</v>
      </c>
      <c r="B870" s="87">
        <v>2.0</v>
      </c>
      <c r="C870" s="88" t="s">
        <v>37</v>
      </c>
      <c r="D870" s="32"/>
      <c r="E870" s="32"/>
      <c r="F870" s="32"/>
      <c r="G870" s="93">
        <v>-2043.45</v>
      </c>
      <c r="H870" s="93">
        <v>5704.13</v>
      </c>
      <c r="I870" s="32"/>
      <c r="J870" s="93">
        <v>353.26</v>
      </c>
      <c r="K870" s="32"/>
      <c r="L870" s="32"/>
      <c r="M870" s="32"/>
      <c r="N870" s="32"/>
      <c r="O870" s="93">
        <v>827343.0</v>
      </c>
      <c r="P870" s="91">
        <f>IFERROR(__xludf.DUMMYFUNCTION("IFERROR(sum(FILTER($D:$N,$C:$C = $C870,$A:$A &lt; $A870,$B:$B = 12)),0) + sum($D870:$N870)"),827343.1799999998)</f>
        <v>827343.18</v>
      </c>
      <c r="Q870" s="92">
        <f t="shared" si="1"/>
        <v>-0.1799999998</v>
      </c>
      <c r="R870" s="91">
        <f t="array" ref="R870">IFERROR(INDEX('Fund YTD Target Values'!$1:$1000, MATCH($C870,'Fund YTD Target Values'!$A:$A,0), MATCH($A870,'Fund YTD Target Values'!$1:$1,0)),0)</f>
        <v>845621.3635</v>
      </c>
      <c r="S870" s="91">
        <f>IFERROR(__xludf.DUMMYFUNCTION("IFERROR(sum(FILTER('Fund Investment Data'!$V:$V, 'Fund Investment Data'!$C:$C = $C870, 'Fund Investment Data'!$A:$A &lt; $A870)),0) + IFERROR(sum(FILTER('Fund Investment Data'!$V:$V, 'Fund Investment Data'!$C:$C = $C870, 'Fund Investment Data'!$A:$A = $A870,"&amp;" 'Fund Investment Data'!$B:$B &lt;= $B870)),0)"),758137.86)</f>
        <v>758137.86</v>
      </c>
      <c r="T870" s="93">
        <v>742866.0</v>
      </c>
      <c r="U870" s="32">
        <f t="shared" si="3"/>
        <v>15271.86</v>
      </c>
      <c r="V870" s="32">
        <f>IFERROR(__xludf.DUMMYFUNCTION("$D870 - IFERROR(FILTER($D:$D,$C:$C = $C870, $A:$A = $A870, $B:$B = $B870 - 1),0)"),0.0)</f>
        <v>0</v>
      </c>
      <c r="W870" s="93">
        <f>IFERROR(__xludf.DUMMYFUNCTION("$E870 - IFERROR(FILTER($E:$E,$C:$C = $C870, $A:$A = $A870, $B:$B = $B870 - 1),0)"),0.0)</f>
        <v>0</v>
      </c>
      <c r="X870" s="93"/>
      <c r="Y870" s="93"/>
      <c r="Z870" s="93">
        <v>0.0</v>
      </c>
      <c r="AA870" s="93">
        <v>0.0</v>
      </c>
      <c r="AB870" s="93">
        <v>0.0</v>
      </c>
      <c r="AC870" s="93"/>
      <c r="AD870" s="93">
        <v>0.0</v>
      </c>
      <c r="AE870" s="32">
        <f t="shared" si="2"/>
        <v>0</v>
      </c>
      <c r="AF870" s="93">
        <v>0.0</v>
      </c>
    </row>
    <row r="871">
      <c r="A871" s="86">
        <v>2018.0</v>
      </c>
      <c r="B871" s="87">
        <v>2.0</v>
      </c>
      <c r="C871" s="88" t="s">
        <v>29</v>
      </c>
      <c r="D871" s="32"/>
      <c r="E871" s="32"/>
      <c r="F871" s="32"/>
      <c r="G871" s="93">
        <v>-144.28</v>
      </c>
      <c r="H871" s="93">
        <v>402.7</v>
      </c>
      <c r="I871" s="32"/>
      <c r="J871" s="93">
        <v>24.93</v>
      </c>
      <c r="K871" s="32"/>
      <c r="L871" s="32"/>
      <c r="M871" s="32"/>
      <c r="N871" s="32"/>
      <c r="O871" s="93">
        <v>58445.0</v>
      </c>
      <c r="P871" s="91">
        <f>IFERROR(__xludf.DUMMYFUNCTION("IFERROR(sum(FILTER($D:$N,$C:$C = $C871,$A:$A &lt; $A871,$B:$B = 12)),0) + sum($D871:$N871)"),58444.65999999992)</f>
        <v>58444.66</v>
      </c>
      <c r="Q871" s="92">
        <f t="shared" si="1"/>
        <v>0.3400000001</v>
      </c>
      <c r="R871" s="91">
        <f t="array" ref="R871">IFERROR(INDEX('Fund YTD Target Values'!$1:$1000, MATCH($C871,'Fund YTD Target Values'!$A:$A,0), MATCH($A871,'Fund YTD Target Values'!$1:$1,0)),0)</f>
        <v>77055.94062</v>
      </c>
      <c r="S871" s="91">
        <f>IFERROR(__xludf.DUMMYFUNCTION("IFERROR(sum(FILTER('Fund Investment Data'!$V:$V, 'Fund Investment Data'!$C:$C = $C871, 'Fund Investment Data'!$A:$A &lt; $A871)),0) + IFERROR(sum(FILTER('Fund Investment Data'!$V:$V, 'Fund Investment Data'!$C:$C = $C871, 'Fund Investment Data'!$A:$A = $A871,"&amp;" 'Fund Investment Data'!$B:$B &lt;= $B871)),0)"),50000.0)</f>
        <v>50000</v>
      </c>
      <c r="T871" s="93">
        <v>50000.0</v>
      </c>
      <c r="U871" s="32">
        <f t="shared" si="3"/>
        <v>0</v>
      </c>
      <c r="V871" s="32">
        <f>IFERROR(__xludf.DUMMYFUNCTION("$D871 - IFERROR(FILTER($D:$D,$C:$C = $C871, $A:$A = $A871, $B:$B = $B871 - 1),0)"),0.0)</f>
        <v>0</v>
      </c>
      <c r="W871" s="93">
        <f>IFERROR(__xludf.DUMMYFUNCTION("$E871 - IFERROR(FILTER($E:$E,$C:$C = $C871, $A:$A = $A871, $B:$B = $B871 - 1),0)"),0.0)</f>
        <v>0</v>
      </c>
      <c r="X871" s="93"/>
      <c r="Y871" s="93"/>
      <c r="Z871" s="93">
        <v>0.0</v>
      </c>
      <c r="AA871" s="93">
        <v>0.0</v>
      </c>
      <c r="AB871" s="93">
        <v>0.0</v>
      </c>
      <c r="AC871" s="93"/>
      <c r="AD871" s="93">
        <v>0.0</v>
      </c>
      <c r="AE871" s="32">
        <f t="shared" si="2"/>
        <v>0</v>
      </c>
      <c r="AF871" s="93">
        <v>0.0</v>
      </c>
    </row>
    <row r="872">
      <c r="A872" s="86">
        <v>2018.0</v>
      </c>
      <c r="B872" s="87">
        <v>2.0</v>
      </c>
      <c r="C872" s="88" t="s">
        <v>38</v>
      </c>
      <c r="D872" s="32"/>
      <c r="E872" s="32"/>
      <c r="F872" s="32"/>
      <c r="G872" s="93">
        <v>-1999.65</v>
      </c>
      <c r="H872" s="93">
        <v>5575.06</v>
      </c>
      <c r="I872" s="32"/>
      <c r="J872" s="93">
        <v>344.38</v>
      </c>
      <c r="K872" s="32"/>
      <c r="L872" s="32"/>
      <c r="M872" s="32"/>
      <c r="N872" s="32"/>
      <c r="O872" s="93">
        <v>819329.0</v>
      </c>
      <c r="P872" s="91">
        <f>IFERROR(__xludf.DUMMYFUNCTION("IFERROR(sum(FILTER($D:$N,$C:$C = $C872,$A:$A &lt; $A872,$B:$B = 12)),0) + sum($D872:$N872)"),819327.9299999999)</f>
        <v>819327.93</v>
      </c>
      <c r="Q872" s="92">
        <f t="shared" si="1"/>
        <v>1.07</v>
      </c>
      <c r="R872" s="91">
        <f t="array" ref="R872">IFERROR(INDEX('Fund YTD Target Values'!$1:$1000, MATCH($C872,'Fund YTD Target Values'!$A:$A,0), MATCH($A872,'Fund YTD Target Values'!$1:$1,0)),0)</f>
        <v>702514.9803</v>
      </c>
      <c r="S872" s="91">
        <f>IFERROR(__xludf.DUMMYFUNCTION("IFERROR(sum(FILTER('Fund Investment Data'!$V:$V, 'Fund Investment Data'!$C:$C = $C872, 'Fund Investment Data'!$A:$A &lt; $A872)),0) + IFERROR(sum(FILTER('Fund Investment Data'!$V:$V, 'Fund Investment Data'!$C:$C = $C872, 'Fund Investment Data'!$A:$A = $A872,"&amp;" 'Fund Investment Data'!$B:$B &lt;= $B872)),0)"),556601.64)</f>
        <v>556601.64</v>
      </c>
      <c r="T872" s="93">
        <v>558656.0</v>
      </c>
      <c r="U872" s="32">
        <f t="shared" si="3"/>
        <v>-2054.36</v>
      </c>
      <c r="V872" s="32">
        <f>IFERROR(__xludf.DUMMYFUNCTION("$D872 - IFERROR(FILTER($D:$D,$C:$C = $C872, $A:$A = $A872, $B:$B = $B872 - 1),0)"),0.0)</f>
        <v>0</v>
      </c>
      <c r="W872" s="93">
        <f>IFERROR(__xludf.DUMMYFUNCTION("$E872 - IFERROR(FILTER($E:$E,$C:$C = $C872, $A:$A = $A872, $B:$B = $B872 - 1),0)"),0.0)</f>
        <v>0</v>
      </c>
      <c r="X872" s="93"/>
      <c r="Y872" s="93"/>
      <c r="Z872" s="93">
        <v>0.0</v>
      </c>
      <c r="AA872" s="93">
        <v>0.0</v>
      </c>
      <c r="AB872" s="93">
        <v>0.0</v>
      </c>
      <c r="AC872" s="93"/>
      <c r="AD872" s="93">
        <v>0.0</v>
      </c>
      <c r="AE872" s="32">
        <f t="shared" si="2"/>
        <v>0</v>
      </c>
      <c r="AF872" s="93">
        <v>0.0</v>
      </c>
    </row>
    <row r="873">
      <c r="A873" s="86">
        <v>2018.0</v>
      </c>
      <c r="B873" s="87">
        <v>2.0</v>
      </c>
      <c r="C873" s="88" t="s">
        <v>30</v>
      </c>
      <c r="D873" s="32"/>
      <c r="E873" s="32"/>
      <c r="F873" s="32"/>
      <c r="G873" s="93">
        <v>-41.6</v>
      </c>
      <c r="H873" s="93">
        <v>115.23</v>
      </c>
      <c r="I873" s="32"/>
      <c r="J873" s="93">
        <v>7.02</v>
      </c>
      <c r="K873" s="32"/>
      <c r="L873" s="32"/>
      <c r="M873" s="32"/>
      <c r="N873" s="32"/>
      <c r="O873" s="93">
        <v>17450.0</v>
      </c>
      <c r="P873" s="91">
        <f>IFERROR(__xludf.DUMMYFUNCTION("IFERROR(sum(FILTER($D:$N,$C:$C = $C873,$A:$A &lt; $A873,$B:$B = 12)),0) + sum($D873:$N873)"),17448.059999999987)</f>
        <v>17448.06</v>
      </c>
      <c r="Q873" s="92">
        <f t="shared" si="1"/>
        <v>1.94</v>
      </c>
      <c r="R873" s="91">
        <f t="array" ref="R873">IFERROR(INDEX('Fund YTD Target Values'!$1:$1000, MATCH($C873,'Fund YTD Target Values'!$A:$A,0), MATCH($A873,'Fund YTD Target Values'!$1:$1,0)),0)</f>
        <v>18484.57102</v>
      </c>
      <c r="S873" s="91">
        <f>IFERROR(__xludf.DUMMYFUNCTION("IFERROR(sum(FILTER('Fund Investment Data'!$V:$V, 'Fund Investment Data'!$C:$C = $C873, 'Fund Investment Data'!$A:$A &lt; $A873)),0) + IFERROR(sum(FILTER('Fund Investment Data'!$V:$V, 'Fund Investment Data'!$C:$C = $C873, 'Fund Investment Data'!$A:$A = $A873,"&amp;" 'Fund Investment Data'!$B:$B &lt;= $B873)),0)"),11540.75)</f>
        <v>11540.75</v>
      </c>
      <c r="T873" s="93">
        <v>10000.0</v>
      </c>
      <c r="U873" s="32">
        <f t="shared" si="3"/>
        <v>1540.75</v>
      </c>
      <c r="V873" s="32">
        <f>IFERROR(__xludf.DUMMYFUNCTION("$D873 - IFERROR(FILTER($D:$D,$C:$C = $C873, $A:$A = $A873, $B:$B = $B873 - 1),0)"),0.0)</f>
        <v>0</v>
      </c>
      <c r="W873" s="93">
        <f>IFERROR(__xludf.DUMMYFUNCTION("$E873 - IFERROR(FILTER($E:$E,$C:$C = $C873, $A:$A = $A873, $B:$B = $B873 - 1),0)"),0.0)</f>
        <v>0</v>
      </c>
      <c r="X873" s="93"/>
      <c r="Y873" s="93"/>
      <c r="Z873" s="93">
        <v>0.0</v>
      </c>
      <c r="AA873" s="93">
        <v>0.0</v>
      </c>
      <c r="AB873" s="93">
        <v>0.0</v>
      </c>
      <c r="AC873" s="93"/>
      <c r="AD873" s="93">
        <v>0.0</v>
      </c>
      <c r="AE873" s="32">
        <f t="shared" si="2"/>
        <v>0</v>
      </c>
      <c r="AF873" s="93">
        <v>0.0</v>
      </c>
    </row>
    <row r="874">
      <c r="A874" s="86">
        <v>2018.0</v>
      </c>
      <c r="B874" s="87">
        <v>2.0</v>
      </c>
      <c r="C874" s="88" t="s">
        <v>47</v>
      </c>
      <c r="D874" s="32"/>
      <c r="E874" s="32"/>
      <c r="F874" s="32"/>
      <c r="G874" s="93">
        <v>-3758.28</v>
      </c>
      <c r="H874" s="93">
        <v>10490.91</v>
      </c>
      <c r="I874" s="32"/>
      <c r="J874" s="93">
        <v>649.7</v>
      </c>
      <c r="K874" s="32"/>
      <c r="L874" s="32"/>
      <c r="M874" s="32"/>
      <c r="N874" s="32"/>
      <c r="O874" s="93">
        <v>1521632.0</v>
      </c>
      <c r="P874" s="91">
        <f>IFERROR(__xludf.DUMMYFUNCTION("IFERROR(sum(FILTER($D:$N,$C:$C = $C874,$A:$A &lt; $A874,$B:$B = 12)),0) + sum($D874:$N874)"),1521631.9699999997)</f>
        <v>1521631.97</v>
      </c>
      <c r="Q874" s="92">
        <f t="shared" si="1"/>
        <v>0.03000000026</v>
      </c>
      <c r="R874" s="91">
        <f t="array" ref="R874">IFERROR(INDEX('Fund YTD Target Values'!$1:$1000, MATCH($C874,'Fund YTD Target Values'!$A:$A,0), MATCH($A874,'Fund YTD Target Values'!$1:$1,0)),0)</f>
        <v>1998729.212</v>
      </c>
      <c r="S874" s="91">
        <f>IFERROR(__xludf.DUMMYFUNCTION("IFERROR(sum(FILTER('Fund Investment Data'!$V:$V, 'Fund Investment Data'!$C:$C = $C874, 'Fund Investment Data'!$A:$A &lt; $A874)),0) + IFERROR(sum(FILTER('Fund Investment Data'!$V:$V, 'Fund Investment Data'!$C:$C = $C874, 'Fund Investment Data'!$A:$A = $A874,"&amp;" 'Fund Investment Data'!$B:$B &lt;= $B874)),0)"),1456367.46)</f>
        <v>1456367.46</v>
      </c>
      <c r="T874" s="93">
        <v>1348955.0</v>
      </c>
      <c r="U874" s="32">
        <f t="shared" si="3"/>
        <v>107412.46</v>
      </c>
      <c r="V874" s="32">
        <f>IFERROR(__xludf.DUMMYFUNCTION("$D874 - IFERROR(FILTER($D:$D,$C:$C = $C874, $A:$A = $A874, $B:$B = $B874 - 1),0)"),0.0)</f>
        <v>0</v>
      </c>
      <c r="W874" s="93">
        <f>IFERROR(__xludf.DUMMYFUNCTION("$E874 - IFERROR(FILTER($E:$E,$C:$C = $C874, $A:$A = $A874, $B:$B = $B874 - 1),0)"),0.0)</f>
        <v>0</v>
      </c>
      <c r="X874" s="93"/>
      <c r="Y874" s="93"/>
      <c r="Z874" s="93">
        <v>0.0</v>
      </c>
      <c r="AA874" s="93">
        <v>0.0</v>
      </c>
      <c r="AB874" s="93">
        <v>0.0</v>
      </c>
      <c r="AC874" s="93"/>
      <c r="AD874" s="93">
        <v>0.0</v>
      </c>
      <c r="AE874" s="32">
        <f t="shared" si="2"/>
        <v>0</v>
      </c>
      <c r="AF874" s="93">
        <v>0.0</v>
      </c>
    </row>
    <row r="875">
      <c r="A875" s="86">
        <v>2018.0</v>
      </c>
      <c r="B875" s="87">
        <v>2.0</v>
      </c>
      <c r="C875" s="88" t="s">
        <v>31</v>
      </c>
      <c r="D875" s="32"/>
      <c r="E875" s="32"/>
      <c r="F875" s="32"/>
      <c r="G875" s="93">
        <v>-469.74</v>
      </c>
      <c r="H875" s="93">
        <v>1311.22</v>
      </c>
      <c r="I875" s="32"/>
      <c r="J875" s="93">
        <v>81.21</v>
      </c>
      <c r="K875" s="32"/>
      <c r="L875" s="32"/>
      <c r="M875" s="32"/>
      <c r="N875" s="32"/>
      <c r="O875" s="93">
        <v>190182.0</v>
      </c>
      <c r="P875" s="91">
        <f>IFERROR(__xludf.DUMMYFUNCTION("IFERROR(sum(FILTER($D:$N,$C:$C = $C875,$A:$A &lt; $A875,$B:$B = 12)),0) + sum($D875:$N875)"),190182.04000000004)</f>
        <v>190182.04</v>
      </c>
      <c r="Q875" s="92">
        <f t="shared" si="1"/>
        <v>-0.04000000004</v>
      </c>
      <c r="R875" s="91">
        <f t="array" ref="R875">IFERROR(INDEX('Fund YTD Target Values'!$1:$1000, MATCH($C875,'Fund YTD Target Values'!$A:$A,0), MATCH($A875,'Fund YTD Target Values'!$1:$1,0)),0)</f>
        <v>210555.1651</v>
      </c>
      <c r="S875" s="91">
        <f>IFERROR(__xludf.DUMMYFUNCTION("IFERROR(sum(FILTER('Fund Investment Data'!$V:$V, 'Fund Investment Data'!$C:$C = $C875, 'Fund Investment Data'!$A:$A &lt; $A875)),0) + IFERROR(sum(FILTER('Fund Investment Data'!$V:$V, 'Fund Investment Data'!$C:$C = $C875, 'Fund Investment Data'!$A:$A = $A875,"&amp;" 'Fund Investment Data'!$B:$B &lt;= $B875)),0)"),158100.0)</f>
        <v>158100</v>
      </c>
      <c r="T875" s="93">
        <v>156850.0</v>
      </c>
      <c r="U875" s="32">
        <f t="shared" si="3"/>
        <v>1250</v>
      </c>
      <c r="V875" s="32">
        <f>IFERROR(__xludf.DUMMYFUNCTION("$D875 - IFERROR(FILTER($D:$D,$C:$C = $C875, $A:$A = $A875, $B:$B = $B875 - 1),0)"),0.0)</f>
        <v>0</v>
      </c>
      <c r="W875" s="93">
        <f>IFERROR(__xludf.DUMMYFUNCTION("$E875 - IFERROR(FILTER($E:$E,$C:$C = $C875, $A:$A = $A875, $B:$B = $B875 - 1),0)"),0.0)</f>
        <v>0</v>
      </c>
      <c r="X875" s="93"/>
      <c r="Y875" s="93"/>
      <c r="Z875" s="93">
        <v>0.0</v>
      </c>
      <c r="AA875" s="93">
        <v>0.0</v>
      </c>
      <c r="AB875" s="93">
        <v>0.0</v>
      </c>
      <c r="AC875" s="93"/>
      <c r="AD875" s="93">
        <v>0.0</v>
      </c>
      <c r="AE875" s="32">
        <f t="shared" si="2"/>
        <v>0</v>
      </c>
      <c r="AF875" s="93">
        <v>0.0</v>
      </c>
    </row>
    <row r="876">
      <c r="A876" s="86">
        <v>2018.0</v>
      </c>
      <c r="B876" s="87">
        <v>2.0</v>
      </c>
      <c r="C876" s="88" t="s">
        <v>39</v>
      </c>
      <c r="D876" s="32"/>
      <c r="E876" s="32"/>
      <c r="F876" s="32"/>
      <c r="G876" s="93">
        <v>-405.09</v>
      </c>
      <c r="H876" s="93">
        <v>1117.76</v>
      </c>
      <c r="I876" s="32"/>
      <c r="J876" s="93">
        <v>-771.33</v>
      </c>
      <c r="K876" s="32"/>
      <c r="L876" s="32"/>
      <c r="M876" s="32"/>
      <c r="N876" s="32"/>
      <c r="O876" s="93">
        <v>179665.0</v>
      </c>
      <c r="P876" s="91">
        <f>IFERROR(__xludf.DUMMYFUNCTION("IFERROR(sum(FILTER($D:$N,$C:$C = $C876,$A:$A &lt; $A876,$B:$B = 12)),0) + sum($D876:$N876)"),179664.60000000003)</f>
        <v>179664.6</v>
      </c>
      <c r="Q876" s="92">
        <f t="shared" si="1"/>
        <v>0.4</v>
      </c>
      <c r="R876" s="91">
        <f t="array" ref="R876">IFERROR(INDEX('Fund YTD Target Values'!$1:$1000, MATCH($C876,'Fund YTD Target Values'!$A:$A,0), MATCH($A876,'Fund YTD Target Values'!$1:$1,0)),0)</f>
        <v>184883.5181</v>
      </c>
      <c r="S876" s="91">
        <f>IFERROR(__xludf.DUMMYFUNCTION("IFERROR(sum(FILTER('Fund Investment Data'!$V:$V, 'Fund Investment Data'!$C:$C = $C876, 'Fund Investment Data'!$A:$A &lt; $A876)),0) + IFERROR(sum(FILTER('Fund Investment Data'!$V:$V, 'Fund Investment Data'!$C:$C = $C876, 'Fund Investment Data'!$A:$A = $A876,"&amp;" 'Fund Investment Data'!$B:$B &lt;= $B876)),0)"),155000.0)</f>
        <v>155000</v>
      </c>
      <c r="T876" s="93">
        <v>155000.0</v>
      </c>
      <c r="U876" s="32">
        <f t="shared" si="3"/>
        <v>0</v>
      </c>
      <c r="V876" s="32">
        <f>IFERROR(__xludf.DUMMYFUNCTION("$D876 - IFERROR(FILTER($D:$D,$C:$C = $C876, $A:$A = $A876, $B:$B = $B876 - 1),0)"),0.0)</f>
        <v>0</v>
      </c>
      <c r="W876" s="93">
        <f>IFERROR(__xludf.DUMMYFUNCTION("$E876 - IFERROR(FILTER($E:$E,$C:$C = $C876, $A:$A = $A876, $B:$B = $B876 - 1),0)"),0.0)</f>
        <v>0</v>
      </c>
      <c r="X876" s="93"/>
      <c r="Y876" s="93"/>
      <c r="Z876" s="93">
        <v>0.0</v>
      </c>
      <c r="AA876" s="93">
        <v>0.0</v>
      </c>
      <c r="AB876" s="93">
        <v>0.0</v>
      </c>
      <c r="AC876" s="93"/>
      <c r="AD876" s="93">
        <v>0.0</v>
      </c>
      <c r="AE876" s="32">
        <f t="shared" si="2"/>
        <v>0</v>
      </c>
      <c r="AF876" s="93">
        <v>0.0</v>
      </c>
    </row>
    <row r="877">
      <c r="A877" s="86">
        <v>2018.0</v>
      </c>
      <c r="B877" s="87">
        <v>2.0</v>
      </c>
      <c r="C877" s="88" t="s">
        <v>50</v>
      </c>
      <c r="D877" s="32"/>
      <c r="E877" s="32"/>
      <c r="F877" s="32"/>
      <c r="G877" s="93">
        <v>-512.29</v>
      </c>
      <c r="H877" s="93">
        <v>1416.88</v>
      </c>
      <c r="I877" s="32"/>
      <c r="J877" s="93">
        <v>85.94</v>
      </c>
      <c r="K877" s="32"/>
      <c r="L877" s="32"/>
      <c r="M877" s="32"/>
      <c r="N877" s="32"/>
      <c r="O877" s="93">
        <v>216455.0</v>
      </c>
      <c r="P877" s="91">
        <f>IFERROR(__xludf.DUMMYFUNCTION("IFERROR(sum(FILTER($D:$N,$C:$C = $C877,$A:$A &lt; $A877,$B:$B = 12)),0) + sum($D877:$N877)"),216454.63999999998)</f>
        <v>216454.64</v>
      </c>
      <c r="Q877" s="92">
        <f t="shared" si="1"/>
        <v>0.36</v>
      </c>
      <c r="R877" s="91">
        <f t="array" ref="R877">IFERROR(INDEX('Fund YTD Target Values'!$1:$1000, MATCH($C877,'Fund YTD Target Values'!$A:$A,0), MATCH($A877,'Fund YTD Target Values'!$1:$1,0)),0)</f>
        <v>217663.6749</v>
      </c>
      <c r="S877" s="91">
        <f>IFERROR(__xludf.DUMMYFUNCTION("IFERROR(sum(FILTER('Fund Investment Data'!$V:$V, 'Fund Investment Data'!$C:$C = $C877, 'Fund Investment Data'!$A:$A &lt; $A877)),0) + IFERROR(sum(FILTER('Fund Investment Data'!$V:$V, 'Fund Investment Data'!$C:$C = $C877, 'Fund Investment Data'!$A:$A = $A877,"&amp;" 'Fund Investment Data'!$B:$B &lt;= $B877)),0)"),185189.56)</f>
        <v>185189.56</v>
      </c>
      <c r="T877" s="93">
        <v>190241.0</v>
      </c>
      <c r="U877" s="32">
        <f t="shared" si="3"/>
        <v>-5051.44</v>
      </c>
      <c r="V877" s="32">
        <f>IFERROR(__xludf.DUMMYFUNCTION("$D877 - IFERROR(FILTER($D:$D,$C:$C = $C877, $A:$A = $A877, $B:$B = $B877 - 1),0)"),0.0)</f>
        <v>0</v>
      </c>
      <c r="W877" s="93">
        <f>IFERROR(__xludf.DUMMYFUNCTION("$E877 - IFERROR(FILTER($E:$E,$C:$C = $C877, $A:$A = $A877, $B:$B = $B877 - 1),0)"),0.0)</f>
        <v>0</v>
      </c>
      <c r="X877" s="93"/>
      <c r="Y877" s="93"/>
      <c r="Z877" s="93">
        <v>0.0</v>
      </c>
      <c r="AA877" s="93">
        <v>0.0</v>
      </c>
      <c r="AB877" s="93">
        <v>0.0</v>
      </c>
      <c r="AC877" s="93"/>
      <c r="AD877" s="93">
        <v>0.0</v>
      </c>
      <c r="AE877" s="32">
        <f t="shared" si="2"/>
        <v>0</v>
      </c>
      <c r="AF877" s="93">
        <v>0.0</v>
      </c>
    </row>
    <row r="878">
      <c r="A878" s="86">
        <v>2018.0</v>
      </c>
      <c r="B878" s="87">
        <v>2.0</v>
      </c>
      <c r="C878" s="88" t="s">
        <v>32</v>
      </c>
      <c r="D878" s="32"/>
      <c r="E878" s="32"/>
      <c r="F878" s="32"/>
      <c r="G878" s="93">
        <v>-129.17</v>
      </c>
      <c r="H878" s="93">
        <v>358.55</v>
      </c>
      <c r="I878" s="32"/>
      <c r="J878" s="93">
        <v>21.93</v>
      </c>
      <c r="K878" s="32"/>
      <c r="L878" s="32"/>
      <c r="M878" s="32"/>
      <c r="N878" s="32"/>
      <c r="O878" s="93">
        <v>53683.0</v>
      </c>
      <c r="P878" s="91">
        <f>IFERROR(__xludf.DUMMYFUNCTION("IFERROR(sum(FILTER($D:$N,$C:$C = $C878,$A:$A &lt; $A878,$B:$B = 12)),0) + sum($D878:$N878)"),53682.13000000003)</f>
        <v>53682.13</v>
      </c>
      <c r="Q878" s="92">
        <f t="shared" si="1"/>
        <v>0.87</v>
      </c>
      <c r="R878" s="91">
        <f t="array" ref="R878">IFERROR(INDEX('Fund YTD Target Values'!$1:$1000, MATCH($C878,'Fund YTD Target Values'!$A:$A,0), MATCH($A878,'Fund YTD Target Values'!$1:$1,0)),0)</f>
        <v>79179.11465</v>
      </c>
      <c r="S878" s="91">
        <f>IFERROR(__xludf.DUMMYFUNCTION("IFERROR(sum(FILTER('Fund Investment Data'!$V:$V, 'Fund Investment Data'!$C:$C = $C878, 'Fund Investment Data'!$A:$A &lt; $A878)),0) + IFERROR(sum(FILTER('Fund Investment Data'!$V:$V, 'Fund Investment Data'!$C:$C = $C878, 'Fund Investment Data'!$A:$A = $A878,"&amp;" 'Fund Investment Data'!$B:$B &lt;= $B878)),0)"),49449.04)</f>
        <v>49449.04</v>
      </c>
      <c r="T878" s="93">
        <v>39268.0</v>
      </c>
      <c r="U878" s="32">
        <f t="shared" si="3"/>
        <v>10181.04</v>
      </c>
      <c r="V878" s="32">
        <f>IFERROR(__xludf.DUMMYFUNCTION("$D878 - IFERROR(FILTER($D:$D,$C:$C = $C878, $A:$A = $A878, $B:$B = $B878 - 1),0)"),0.0)</f>
        <v>0</v>
      </c>
      <c r="W878" s="93">
        <f>IFERROR(__xludf.DUMMYFUNCTION("$E878 - IFERROR(FILTER($E:$E,$C:$C = $C878, $A:$A = $A878, $B:$B = $B878 - 1),0)"),0.0)</f>
        <v>0</v>
      </c>
      <c r="X878" s="93"/>
      <c r="Y878" s="93"/>
      <c r="Z878" s="93">
        <v>0.0</v>
      </c>
      <c r="AA878" s="93">
        <v>0.0</v>
      </c>
      <c r="AB878" s="93">
        <v>0.0</v>
      </c>
      <c r="AC878" s="93"/>
      <c r="AD878" s="93">
        <v>0.0</v>
      </c>
      <c r="AE878" s="32">
        <f t="shared" si="2"/>
        <v>0</v>
      </c>
      <c r="AF878" s="93">
        <v>0.0</v>
      </c>
    </row>
    <row r="879">
      <c r="A879" s="86">
        <v>2018.0</v>
      </c>
      <c r="B879" s="87">
        <v>2.0</v>
      </c>
      <c r="C879" s="88" t="s">
        <v>40</v>
      </c>
      <c r="D879" s="32"/>
      <c r="E879" s="32"/>
      <c r="F879" s="32"/>
      <c r="G879" s="93">
        <v>-384.24</v>
      </c>
      <c r="H879" s="93">
        <v>1072.55</v>
      </c>
      <c r="I879" s="32"/>
      <c r="J879" s="93">
        <v>66.42</v>
      </c>
      <c r="K879" s="32"/>
      <c r="L879" s="32"/>
      <c r="M879" s="32"/>
      <c r="N879" s="32"/>
      <c r="O879" s="93">
        <v>155567.0</v>
      </c>
      <c r="P879" s="91">
        <f>IFERROR(__xludf.DUMMYFUNCTION("IFERROR(sum(FILTER($D:$N,$C:$C = $C879,$A:$A &lt; $A879,$B:$B = 12)),0) + sum($D879:$N879)"),155567.43999999994)</f>
        <v>155567.44</v>
      </c>
      <c r="Q879" s="92">
        <f t="shared" si="1"/>
        <v>-0.4399999999</v>
      </c>
      <c r="R879" s="91">
        <f t="array" ref="R879">IFERROR(INDEX('Fund YTD Target Values'!$1:$1000, MATCH($C879,'Fund YTD Target Values'!$A:$A,0), MATCH($A879,'Fund YTD Target Values'!$1:$1,0)),0)</f>
        <v>161362.9699</v>
      </c>
      <c r="S879" s="91">
        <f>IFERROR(__xludf.DUMMYFUNCTION("IFERROR(sum(FILTER('Fund Investment Data'!$V:$V, 'Fund Investment Data'!$C:$C = $C879, 'Fund Investment Data'!$A:$A &lt; $A879)),0) + IFERROR(sum(FILTER('Fund Investment Data'!$V:$V, 'Fund Investment Data'!$C:$C = $C879, 'Fund Investment Data'!$A:$A = $A879,"&amp;" 'Fund Investment Data'!$B:$B &lt;= $B879)),0)"),129703.74)</f>
        <v>129703.74</v>
      </c>
      <c r="T879" s="93">
        <v>129723.0</v>
      </c>
      <c r="U879" s="32">
        <f t="shared" si="3"/>
        <v>-19.26</v>
      </c>
      <c r="V879" s="32">
        <f>IFERROR(__xludf.DUMMYFUNCTION("$D879 - IFERROR(FILTER($D:$D,$C:$C = $C879, $A:$A = $A879, $B:$B = $B879 - 1),0)"),0.0)</f>
        <v>0</v>
      </c>
      <c r="W879" s="93">
        <f>IFERROR(__xludf.DUMMYFUNCTION("$E879 - IFERROR(FILTER($E:$E,$C:$C = $C879, $A:$A = $A879, $B:$B = $B879 - 1),0)"),0.0)</f>
        <v>0</v>
      </c>
      <c r="X879" s="93"/>
      <c r="Y879" s="93"/>
      <c r="Z879" s="93">
        <v>0.0</v>
      </c>
      <c r="AA879" s="93">
        <v>0.0</v>
      </c>
      <c r="AB879" s="93">
        <v>0.0</v>
      </c>
      <c r="AC879" s="93"/>
      <c r="AD879" s="93">
        <v>0.0</v>
      </c>
      <c r="AE879" s="32">
        <f t="shared" si="2"/>
        <v>0</v>
      </c>
      <c r="AF879" s="93">
        <v>0.0</v>
      </c>
    </row>
    <row r="880">
      <c r="A880" s="86">
        <v>2018.0</v>
      </c>
      <c r="B880" s="87">
        <v>2.0</v>
      </c>
      <c r="C880" s="88" t="s">
        <v>51</v>
      </c>
      <c r="D880" s="93">
        <v>50.0</v>
      </c>
      <c r="E880" s="32"/>
      <c r="F880" s="93"/>
      <c r="G880" s="93">
        <v>-1194.6</v>
      </c>
      <c r="H880" s="93">
        <v>3328.76</v>
      </c>
      <c r="I880" s="32"/>
      <c r="J880" s="93">
        <v>205.35</v>
      </c>
      <c r="K880" s="32"/>
      <c r="L880" s="32"/>
      <c r="M880" s="32"/>
      <c r="N880" s="32"/>
      <c r="O880" s="93">
        <v>487741.0</v>
      </c>
      <c r="P880" s="91">
        <f>IFERROR(__xludf.DUMMYFUNCTION("IFERROR(sum(FILTER($D:$N,$C:$C = $C880,$A:$A &lt; $A880,$B:$B = 12)),0) + sum($D880:$N880)"),487741.44000000006)</f>
        <v>487741.44</v>
      </c>
      <c r="Q880" s="92">
        <f t="shared" si="1"/>
        <v>-0.4400000001</v>
      </c>
      <c r="R880" s="91">
        <f t="array" ref="R880">IFERROR(INDEX('Fund YTD Target Values'!$1:$1000, MATCH($C880,'Fund YTD Target Values'!$A:$A,0), MATCH($A880,'Fund YTD Target Values'!$1:$1,0)),0)</f>
        <v>451180.3592</v>
      </c>
      <c r="S880" s="91">
        <f>IFERROR(__xludf.DUMMYFUNCTION("IFERROR(sum(FILTER('Fund Investment Data'!$V:$V, 'Fund Investment Data'!$C:$C = $C880, 'Fund Investment Data'!$A:$A &lt; $A880)),0) + IFERROR(sum(FILTER('Fund Investment Data'!$V:$V, 'Fund Investment Data'!$C:$C = $C880, 'Fund Investment Data'!$A:$A = $A880,"&amp;" 'Fund Investment Data'!$B:$B &lt;= $B880)),0)"),416473.55)</f>
        <v>416473.55</v>
      </c>
      <c r="T880" s="93">
        <v>418927.0</v>
      </c>
      <c r="U880" s="32">
        <f t="shared" si="3"/>
        <v>-2453.45</v>
      </c>
      <c r="V880" s="32">
        <f>IFERROR(__xludf.DUMMYFUNCTION("$D880 - IFERROR(FILTER($D:$D,$C:$C = $C880, $A:$A = $A880, $B:$B = $B880 - 1),0)"),50.0)</f>
        <v>50</v>
      </c>
      <c r="W880" s="93">
        <f>IFERROR(__xludf.DUMMYFUNCTION("$E880 - IFERROR(FILTER($E:$E,$C:$C = $C880, $A:$A = $A880, $B:$B = $B880 - 1),0)"),0.0)</f>
        <v>0</v>
      </c>
      <c r="X880" s="93"/>
      <c r="Y880" s="93"/>
      <c r="Z880" s="93">
        <v>0.0</v>
      </c>
      <c r="AA880" s="93">
        <v>0.0</v>
      </c>
      <c r="AB880" s="93">
        <v>0.0</v>
      </c>
      <c r="AC880" s="93"/>
      <c r="AD880" s="93">
        <v>0.0</v>
      </c>
      <c r="AE880" s="32">
        <f t="shared" si="2"/>
        <v>0</v>
      </c>
      <c r="AF880" s="93">
        <v>0.0</v>
      </c>
    </row>
    <row r="881">
      <c r="A881" s="86">
        <v>2018.0</v>
      </c>
      <c r="B881" s="87">
        <v>2.0</v>
      </c>
      <c r="C881" s="88" t="s">
        <v>48</v>
      </c>
      <c r="D881" s="32"/>
      <c r="E881" s="32"/>
      <c r="F881" s="32"/>
      <c r="G881" s="93">
        <v>-3099.06</v>
      </c>
      <c r="H881" s="93">
        <v>8650.76</v>
      </c>
      <c r="I881" s="32"/>
      <c r="J881" s="93">
        <v>535.75</v>
      </c>
      <c r="K881" s="32"/>
      <c r="L881" s="32"/>
      <c r="M881" s="32"/>
      <c r="N881" s="32"/>
      <c r="O881" s="93">
        <v>1254730.0</v>
      </c>
      <c r="P881" s="91">
        <f>IFERROR(__xludf.DUMMYFUNCTION("IFERROR(sum(FILTER($D:$N,$C:$C = $C881,$A:$A &lt; $A881,$B:$B = 12)),0) + sum($D881:$N881)"),1254729.1199999996)</f>
        <v>1254729.12</v>
      </c>
      <c r="Q881" s="92">
        <f t="shared" si="1"/>
        <v>0.8800000004</v>
      </c>
      <c r="R881" s="91">
        <f t="array" ref="R881">IFERROR(INDEX('Fund YTD Target Values'!$1:$1000, MATCH($C881,'Fund YTD Target Values'!$A:$A,0), MATCH($A881,'Fund YTD Target Values'!$1:$1,0)),0)</f>
        <v>1896274.236</v>
      </c>
      <c r="S881" s="91">
        <f>IFERROR(__xludf.DUMMYFUNCTION("IFERROR(sum(FILTER('Fund Investment Data'!$V:$V, 'Fund Investment Data'!$C:$C = $C881, 'Fund Investment Data'!$A:$A &lt; $A881)),0) + IFERROR(sum(FILTER('Fund Investment Data'!$V:$V, 'Fund Investment Data'!$C:$C = $C881, 'Fund Investment Data'!$A:$A = $A881,"&amp;" 'Fund Investment Data'!$B:$B &lt;= $B881)),0)"),1183929.39)</f>
        <v>1183929.39</v>
      </c>
      <c r="T881" s="93">
        <v>1140040.0</v>
      </c>
      <c r="U881" s="32">
        <f t="shared" si="3"/>
        <v>43889.39</v>
      </c>
      <c r="V881" s="32">
        <f>IFERROR(__xludf.DUMMYFUNCTION("$D881 - IFERROR(FILTER($D:$D,$C:$C = $C881, $A:$A = $A881, $B:$B = $B881 - 1),0)"),0.0)</f>
        <v>0</v>
      </c>
      <c r="W881" s="93">
        <f>IFERROR(__xludf.DUMMYFUNCTION("$E881 - IFERROR(FILTER($E:$E,$C:$C = $C881, $A:$A = $A881, $B:$B = $B881 - 1),0)"),0.0)</f>
        <v>0</v>
      </c>
      <c r="X881" s="93"/>
      <c r="Y881" s="93"/>
      <c r="Z881" s="93">
        <v>0.0</v>
      </c>
      <c r="AA881" s="93">
        <v>0.0</v>
      </c>
      <c r="AB881" s="93">
        <v>0.0</v>
      </c>
      <c r="AC881" s="93"/>
      <c r="AD881" s="93">
        <v>0.0</v>
      </c>
      <c r="AE881" s="32">
        <f t="shared" si="2"/>
        <v>0</v>
      </c>
      <c r="AF881" s="93">
        <v>0.0</v>
      </c>
    </row>
    <row r="882">
      <c r="A882" s="86">
        <v>2018.0</v>
      </c>
      <c r="B882" s="87">
        <v>2.0</v>
      </c>
      <c r="C882" s="88" t="s">
        <v>49</v>
      </c>
      <c r="D882" s="32"/>
      <c r="E882" s="32"/>
      <c r="F882" s="32"/>
      <c r="G882" s="93">
        <v>-1359.39</v>
      </c>
      <c r="H882" s="93">
        <v>3794.63</v>
      </c>
      <c r="I882" s="32"/>
      <c r="J882" s="93">
        <v>235.0</v>
      </c>
      <c r="K882" s="32"/>
      <c r="L882" s="32"/>
      <c r="M882" s="32"/>
      <c r="N882" s="32"/>
      <c r="O882" s="93">
        <v>550383.0</v>
      </c>
      <c r="P882" s="91">
        <f>IFERROR(__xludf.DUMMYFUNCTION("IFERROR(sum(FILTER($D:$N,$C:$C = $C882,$A:$A &lt; $A882,$B:$B = 12)),0) + sum($D882:$N882)"),550383.3799999999)</f>
        <v>550383.38</v>
      </c>
      <c r="Q882" s="92">
        <f t="shared" si="1"/>
        <v>-0.3799999999</v>
      </c>
      <c r="R882" s="91">
        <f t="array" ref="R882">IFERROR(INDEX('Fund YTD Target Values'!$1:$1000, MATCH($C882,'Fund YTD Target Values'!$A:$A,0), MATCH($A882,'Fund YTD Target Values'!$1:$1,0)),0)</f>
        <v>701383.2727</v>
      </c>
      <c r="S882" s="91">
        <f>IFERROR(__xludf.DUMMYFUNCTION("IFERROR(sum(FILTER('Fund Investment Data'!$V:$V, 'Fund Investment Data'!$C:$C = $C882, 'Fund Investment Data'!$A:$A &lt; $A882)),0) + IFERROR(sum(FILTER('Fund Investment Data'!$V:$V, 'Fund Investment Data'!$C:$C = $C882, 'Fund Investment Data'!$A:$A = $A882,"&amp;" 'Fund Investment Data'!$B:$B &lt;= $B882)),0)"),500000.0)</f>
        <v>500000</v>
      </c>
      <c r="T882" s="93">
        <v>500000.0</v>
      </c>
      <c r="U882" s="32">
        <f t="shared" si="3"/>
        <v>0</v>
      </c>
      <c r="V882" s="32">
        <f>IFERROR(__xludf.DUMMYFUNCTION("$D882 - IFERROR(FILTER($D:$D,$C:$C = $C882, $A:$A = $A882, $B:$B = $B882 - 1),0)"),0.0)</f>
        <v>0</v>
      </c>
      <c r="W882" s="93">
        <f>IFERROR(__xludf.DUMMYFUNCTION("$E882 - IFERROR(FILTER($E:$E,$C:$C = $C882, $A:$A = $A882, $B:$B = $B882 - 1),0)"),0.0)</f>
        <v>0</v>
      </c>
      <c r="X882" s="93"/>
      <c r="Y882" s="93"/>
      <c r="Z882" s="93">
        <v>0.0</v>
      </c>
      <c r="AA882" s="93">
        <v>0.0</v>
      </c>
      <c r="AB882" s="93">
        <v>0.0</v>
      </c>
      <c r="AC882" s="93"/>
      <c r="AD882" s="93">
        <v>0.0</v>
      </c>
      <c r="AE882" s="32">
        <f t="shared" si="2"/>
        <v>0</v>
      </c>
      <c r="AF882" s="93">
        <v>0.0</v>
      </c>
    </row>
    <row r="883">
      <c r="A883" s="86">
        <v>2018.0</v>
      </c>
      <c r="B883" s="87">
        <v>2.0</v>
      </c>
      <c r="C883" s="88" t="s">
        <v>41</v>
      </c>
      <c r="D883" s="32"/>
      <c r="E883" s="32"/>
      <c r="F883" s="32"/>
      <c r="G883" s="93">
        <v>-1621.0</v>
      </c>
      <c r="H883" s="93">
        <v>4524.9</v>
      </c>
      <c r="I883" s="32"/>
      <c r="J883" s="93">
        <v>280.23</v>
      </c>
      <c r="K883" s="32"/>
      <c r="L883" s="32"/>
      <c r="M883" s="32"/>
      <c r="N883" s="32"/>
      <c r="O883" s="93">
        <v>656303.0</v>
      </c>
      <c r="P883" s="91">
        <f>IFERROR(__xludf.DUMMYFUNCTION("IFERROR(sum(FILTER($D:$N,$C:$C = $C883,$A:$A &lt; $A883,$B:$B = 12)),0) + sum($D883:$N883)"),656303.4800000001)</f>
        <v>656303.48</v>
      </c>
      <c r="Q883" s="92">
        <f t="shared" si="1"/>
        <v>-0.4800000001</v>
      </c>
      <c r="R883" s="91">
        <f t="array" ref="R883">IFERROR(INDEX('Fund YTD Target Values'!$1:$1000, MATCH($C883,'Fund YTD Target Values'!$A:$A,0), MATCH($A883,'Fund YTD Target Values'!$1:$1,0)),0)</f>
        <v>587968.3276</v>
      </c>
      <c r="S883" s="91">
        <f>IFERROR(__xludf.DUMMYFUNCTION("IFERROR(sum(FILTER('Fund Investment Data'!$V:$V, 'Fund Investment Data'!$C:$C = $C883, 'Fund Investment Data'!$A:$A &lt; $A883)),0) + IFERROR(sum(FILTER('Fund Investment Data'!$V:$V, 'Fund Investment Data'!$C:$C = $C883, 'Fund Investment Data'!$A:$A = $A883,"&amp;" 'Fund Investment Data'!$B:$B &lt;= $B883)),0)"),433755.86)</f>
        <v>433755.86</v>
      </c>
      <c r="T883" s="93">
        <v>434291.0</v>
      </c>
      <c r="U883" s="32">
        <f t="shared" si="3"/>
        <v>-535.14</v>
      </c>
      <c r="V883" s="32">
        <f>IFERROR(__xludf.DUMMYFUNCTION("$D883 - IFERROR(FILTER($D:$D,$C:$C = $C883, $A:$A = $A883, $B:$B = $B883 - 1),0)"),0.0)</f>
        <v>0</v>
      </c>
      <c r="W883" s="93">
        <f>IFERROR(__xludf.DUMMYFUNCTION("$E883 - IFERROR(FILTER($E:$E,$C:$C = $C883, $A:$A = $A883, $B:$B = $B883 - 1),0)"),0.0)</f>
        <v>0</v>
      </c>
      <c r="X883" s="93"/>
      <c r="Y883" s="93"/>
      <c r="Z883" s="93">
        <v>0.0</v>
      </c>
      <c r="AA883" s="93">
        <v>0.0</v>
      </c>
      <c r="AB883" s="93">
        <v>0.0</v>
      </c>
      <c r="AC883" s="93"/>
      <c r="AD883" s="93">
        <v>0.0</v>
      </c>
      <c r="AE883" s="32">
        <f t="shared" si="2"/>
        <v>0</v>
      </c>
      <c r="AF883" s="93">
        <v>0.0</v>
      </c>
    </row>
    <row r="884">
      <c r="A884" s="86">
        <v>2018.0</v>
      </c>
      <c r="B884" s="87">
        <v>2.0</v>
      </c>
      <c r="C884" s="88" t="s">
        <v>25</v>
      </c>
      <c r="D884" s="32"/>
      <c r="E884" s="32"/>
      <c r="F884" s="32"/>
      <c r="G884" s="93">
        <v>-250.85</v>
      </c>
      <c r="H884" s="93">
        <v>700.21</v>
      </c>
      <c r="I884" s="32"/>
      <c r="J884" s="93">
        <v>43.37</v>
      </c>
      <c r="K884" s="32"/>
      <c r="L884" s="32"/>
      <c r="M884" s="32"/>
      <c r="N884" s="32"/>
      <c r="O884" s="93">
        <v>101559.0</v>
      </c>
      <c r="P884" s="91">
        <f>IFERROR(__xludf.DUMMYFUNCTION("IFERROR(sum(FILTER($D:$N,$C:$C = $C884,$A:$A &lt; $A884,$B:$B = 12)),0) + sum($D884:$N884)"),101559.06)</f>
        <v>101559.06</v>
      </c>
      <c r="Q884" s="92">
        <f t="shared" si="1"/>
        <v>-0.06</v>
      </c>
      <c r="R884" s="91">
        <f t="array" ref="R884">IFERROR(INDEX('Fund YTD Target Values'!$1:$1000, MATCH($C884,'Fund YTD Target Values'!$A:$A,0), MATCH($A884,'Fund YTD Target Values'!$1:$1,0)),0)</f>
        <v>109175.2469</v>
      </c>
      <c r="S884" s="91">
        <f>IFERROR(__xludf.DUMMYFUNCTION("IFERROR(sum(FILTER('Fund Investment Data'!$V:$V, 'Fund Investment Data'!$C:$C = $C884, 'Fund Investment Data'!$A:$A &lt; $A884)),0) + IFERROR(sum(FILTER('Fund Investment Data'!$V:$V, 'Fund Investment Data'!$C:$C = $C884, 'Fund Investment Data'!$A:$A = $A884,"&amp;" 'Fund Investment Data'!$B:$B &lt;= $B884)),0)"),81000.0)</f>
        <v>81000</v>
      </c>
      <c r="T884" s="93">
        <v>81000.0</v>
      </c>
      <c r="U884" s="32">
        <f t="shared" si="3"/>
        <v>0</v>
      </c>
      <c r="V884" s="32">
        <f>IFERROR(__xludf.DUMMYFUNCTION("$D884 - IFERROR(FILTER($D:$D,$C:$C = $C884, $A:$A = $A884, $B:$B = $B884 - 1),0)"),0.0)</f>
        <v>0</v>
      </c>
      <c r="W884" s="93">
        <f>IFERROR(__xludf.DUMMYFUNCTION("$E884 - IFERROR(FILTER($E:$E,$C:$C = $C884, $A:$A = $A884, $B:$B = $B884 - 1),0)"),0.0)</f>
        <v>0</v>
      </c>
      <c r="X884" s="93"/>
      <c r="Y884" s="93"/>
      <c r="Z884" s="93">
        <v>0.0</v>
      </c>
      <c r="AA884" s="93">
        <v>0.0</v>
      </c>
      <c r="AB884" s="93">
        <v>0.0</v>
      </c>
      <c r="AC884" s="93"/>
      <c r="AD884" s="93">
        <v>0.0</v>
      </c>
      <c r="AE884" s="32">
        <f t="shared" si="2"/>
        <v>0</v>
      </c>
      <c r="AF884" s="93">
        <v>0.0</v>
      </c>
    </row>
    <row r="885">
      <c r="A885" s="86">
        <v>2018.0</v>
      </c>
      <c r="B885" s="87">
        <v>2.0</v>
      </c>
      <c r="C885" s="88" t="s">
        <v>42</v>
      </c>
      <c r="D885" s="32"/>
      <c r="E885" s="32"/>
      <c r="F885" s="32"/>
      <c r="G885" s="93">
        <v>-738.19</v>
      </c>
      <c r="H885" s="93">
        <v>2057.64</v>
      </c>
      <c r="I885" s="32"/>
      <c r="J885" s="93">
        <v>127.02</v>
      </c>
      <c r="K885" s="32"/>
      <c r="L885" s="32"/>
      <c r="M885" s="32"/>
      <c r="N885" s="32"/>
      <c r="O885" s="93">
        <v>300895.0</v>
      </c>
      <c r="P885" s="91">
        <f>IFERROR(__xludf.DUMMYFUNCTION("IFERROR(sum(FILTER($D:$N,$C:$C = $C885,$A:$A &lt; $A885,$B:$B = 12)),0) + sum($D885:$N885)"),300894.2300000001)</f>
        <v>300894.23</v>
      </c>
      <c r="Q885" s="92">
        <f t="shared" si="1"/>
        <v>0.7699999999</v>
      </c>
      <c r="R885" s="91">
        <f t="array" ref="R885">IFERROR(INDEX('Fund YTD Target Values'!$1:$1000, MATCH($C885,'Fund YTD Target Values'!$A:$A,0), MATCH($A885,'Fund YTD Target Values'!$1:$1,0)),0)</f>
        <v>240185.7184</v>
      </c>
      <c r="S885" s="91">
        <f>IFERROR(__xludf.DUMMYFUNCTION("IFERROR(sum(FILTER('Fund Investment Data'!$V:$V, 'Fund Investment Data'!$C:$C = $C885, 'Fund Investment Data'!$A:$A &lt; $A885)),0) + IFERROR(sum(FILTER('Fund Investment Data'!$V:$V, 'Fund Investment Data'!$C:$C = $C885, 'Fund Investment Data'!$A:$A = $A885,"&amp;" 'Fund Investment Data'!$B:$B &lt;= $B885)),0)"),194469.0)</f>
        <v>194469</v>
      </c>
      <c r="T885" s="93">
        <v>194469.0</v>
      </c>
      <c r="U885" s="32">
        <f t="shared" si="3"/>
        <v>0</v>
      </c>
      <c r="V885" s="32">
        <f>IFERROR(__xludf.DUMMYFUNCTION("$D885 - IFERROR(FILTER($D:$D,$C:$C = $C885, $A:$A = $A885, $B:$B = $B885 - 1),0)"),0.0)</f>
        <v>0</v>
      </c>
      <c r="W885" s="93">
        <f>IFERROR(__xludf.DUMMYFUNCTION("$E885 - IFERROR(FILTER($E:$E,$C:$C = $C885, $A:$A = $A885, $B:$B = $B885 - 1),0)"),0.0)</f>
        <v>0</v>
      </c>
      <c r="X885" s="93"/>
      <c r="Y885" s="93"/>
      <c r="Z885" s="93">
        <v>0.0</v>
      </c>
      <c r="AA885" s="93">
        <v>0.0</v>
      </c>
      <c r="AB885" s="93">
        <v>0.0</v>
      </c>
      <c r="AC885" s="93"/>
      <c r="AD885" s="93">
        <v>0.0</v>
      </c>
      <c r="AE885" s="32">
        <f t="shared" si="2"/>
        <v>0</v>
      </c>
      <c r="AF885" s="93">
        <v>0.0</v>
      </c>
    </row>
    <row r="886">
      <c r="A886" s="86">
        <v>2018.0</v>
      </c>
      <c r="B886" s="87">
        <v>2.0</v>
      </c>
      <c r="C886" s="88" t="s">
        <v>43</v>
      </c>
      <c r="D886" s="32"/>
      <c r="E886" s="32"/>
      <c r="F886" s="32"/>
      <c r="G886" s="93">
        <v>-311.51</v>
      </c>
      <c r="H886" s="93">
        <v>869.57</v>
      </c>
      <c r="I886" s="32"/>
      <c r="J886" s="93">
        <v>53.86</v>
      </c>
      <c r="K886" s="32"/>
      <c r="L886" s="32"/>
      <c r="M886" s="32"/>
      <c r="N886" s="32"/>
      <c r="O886" s="93">
        <v>126125.0</v>
      </c>
      <c r="P886" s="91">
        <f>IFERROR(__xludf.DUMMYFUNCTION("IFERROR(sum(FILTER($D:$N,$C:$C = $C886,$A:$A &lt; $A886,$B:$B = 12)),0) + sum($D886:$N886)"),126124.47000000002)</f>
        <v>126124.47</v>
      </c>
      <c r="Q886" s="92">
        <f t="shared" si="1"/>
        <v>0.53</v>
      </c>
      <c r="R886" s="91">
        <f t="array" ref="R886">IFERROR(INDEX('Fund YTD Target Values'!$1:$1000, MATCH($C886,'Fund YTD Target Values'!$A:$A,0), MATCH($A886,'Fund YTD Target Values'!$1:$1,0)),0)</f>
        <v>130697.0954</v>
      </c>
      <c r="S886" s="91">
        <f>IFERROR(__xludf.DUMMYFUNCTION("IFERROR(sum(FILTER('Fund Investment Data'!$V:$V, 'Fund Investment Data'!$C:$C = $C886, 'Fund Investment Data'!$A:$A &lt; $A886)),0) + IFERROR(sum(FILTER('Fund Investment Data'!$V:$V, 'Fund Investment Data'!$C:$C = $C886, 'Fund Investment Data'!$A:$A = $A886,"&amp;" 'Fund Investment Data'!$B:$B &lt;= $B886)),0)"),100000.0)</f>
        <v>100000</v>
      </c>
      <c r="T886" s="93">
        <v>100000.0</v>
      </c>
      <c r="U886" s="32">
        <f t="shared" si="3"/>
        <v>0</v>
      </c>
      <c r="V886" s="32">
        <f>IFERROR(__xludf.DUMMYFUNCTION("$D886 - IFERROR(FILTER($D:$D,$C:$C = $C886, $A:$A = $A886, $B:$B = $B886 - 1),0)"),0.0)</f>
        <v>0</v>
      </c>
      <c r="W886" s="93">
        <f>IFERROR(__xludf.DUMMYFUNCTION("$E886 - IFERROR(FILTER($E:$E,$C:$C = $C886, $A:$A = $A886, $B:$B = $B886 - 1),0)"),0.0)</f>
        <v>0</v>
      </c>
      <c r="X886" s="93"/>
      <c r="Y886" s="93"/>
      <c r="Z886" s="93">
        <v>0.0</v>
      </c>
      <c r="AA886" s="93">
        <v>0.0</v>
      </c>
      <c r="AB886" s="93">
        <v>0.0</v>
      </c>
      <c r="AC886" s="93"/>
      <c r="AD886" s="93">
        <v>0.0</v>
      </c>
      <c r="AE886" s="32">
        <f t="shared" si="2"/>
        <v>0</v>
      </c>
      <c r="AF886" s="93">
        <v>0.0</v>
      </c>
    </row>
    <row r="887">
      <c r="A887" s="86">
        <v>2018.0</v>
      </c>
      <c r="B887" s="87">
        <v>2.0</v>
      </c>
      <c r="C887" s="88" t="s">
        <v>52</v>
      </c>
      <c r="D887" s="93">
        <v>75000.0</v>
      </c>
      <c r="E887" s="32"/>
      <c r="F887" s="32"/>
      <c r="G887" s="93">
        <v>-2930.34</v>
      </c>
      <c r="H887" s="93">
        <v>8006.83</v>
      </c>
      <c r="I887" s="32"/>
      <c r="J887" s="93">
        <v>494.53</v>
      </c>
      <c r="K887" s="32"/>
      <c r="L887" s="32"/>
      <c r="M887" s="32"/>
      <c r="N887" s="32"/>
      <c r="O887" s="93">
        <v>1245027.0</v>
      </c>
      <c r="P887" s="91">
        <f>IFERROR(__xludf.DUMMYFUNCTION("IFERROR(sum(FILTER($D:$N,$C:$C = $C887,$A:$A &lt; $A887,$B:$B = 12)),0) + sum($D887:$N887)"),1245027.15)</f>
        <v>1245027.15</v>
      </c>
      <c r="Q887" s="92">
        <f t="shared" si="1"/>
        <v>-0.1499999999</v>
      </c>
      <c r="R887" s="91">
        <f t="array" ref="R887">IFERROR(INDEX('Fund YTD Target Values'!$1:$1000, MATCH($C887,'Fund YTD Target Values'!$A:$A,0), MATCH($A887,'Fund YTD Target Values'!$1:$1,0)),0)</f>
        <v>1148979.378</v>
      </c>
      <c r="S887" s="91">
        <f>IFERROR(__xludf.DUMMYFUNCTION("IFERROR(sum(FILTER('Fund Investment Data'!$V:$V, 'Fund Investment Data'!$C:$C = $C887, 'Fund Investment Data'!$A:$A &lt; $A887)),0) + IFERROR(sum(FILTER('Fund Investment Data'!$V:$V, 'Fund Investment Data'!$C:$C = $C887, 'Fund Investment Data'!$A:$A = $A887,"&amp;" 'Fund Investment Data'!$B:$B &lt;= $B887)),0)"),1080136.0)</f>
        <v>1080136</v>
      </c>
      <c r="T887" s="93">
        <v>1079091.0</v>
      </c>
      <c r="U887" s="32">
        <f t="shared" si="3"/>
        <v>1045</v>
      </c>
      <c r="V887" s="32">
        <f>IFERROR(__xludf.DUMMYFUNCTION("$D887 - IFERROR(FILTER($D:$D,$C:$C = $C887, $A:$A = $A887, $B:$B = $B887 - 1),0)"),75000.0)</f>
        <v>75000</v>
      </c>
      <c r="W887" s="93">
        <f>IFERROR(__xludf.DUMMYFUNCTION("$E887 - IFERROR(FILTER($E:$E,$C:$C = $C887, $A:$A = $A887, $B:$B = $B887 - 1),0)"),0.0)</f>
        <v>0</v>
      </c>
      <c r="X887" s="93"/>
      <c r="Y887" s="93"/>
      <c r="Z887" s="93">
        <v>0.0</v>
      </c>
      <c r="AA887" s="93">
        <v>0.0</v>
      </c>
      <c r="AB887" s="93">
        <v>0.0</v>
      </c>
      <c r="AC887" s="93"/>
      <c r="AD887" s="93">
        <v>0.0</v>
      </c>
      <c r="AE887" s="32">
        <f t="shared" si="2"/>
        <v>0</v>
      </c>
      <c r="AF887" s="93">
        <v>0.0</v>
      </c>
    </row>
    <row r="888">
      <c r="A888" s="86">
        <v>2018.0</v>
      </c>
      <c r="B888" s="87">
        <v>2.0</v>
      </c>
      <c r="C888" s="88" t="s">
        <v>33</v>
      </c>
      <c r="D888" s="32"/>
      <c r="E888" s="32"/>
      <c r="F888" s="32"/>
      <c r="G888" s="93">
        <v>-886.25</v>
      </c>
      <c r="H888" s="93">
        <v>2473.87</v>
      </c>
      <c r="I888" s="32"/>
      <c r="J888" s="93">
        <v>153.21</v>
      </c>
      <c r="K888" s="32"/>
      <c r="L888" s="32"/>
      <c r="M888" s="32"/>
      <c r="N888" s="32"/>
      <c r="O888" s="93">
        <v>358818.0</v>
      </c>
      <c r="P888" s="91">
        <f>IFERROR(__xludf.DUMMYFUNCTION("IFERROR(sum(FILTER($D:$N,$C:$C = $C888,$A:$A &lt; $A888,$B:$B = 12)),0) + sum($D888:$N888)"),358818.27999999985)</f>
        <v>358818.28</v>
      </c>
      <c r="Q888" s="92">
        <f t="shared" si="1"/>
        <v>-0.2799999999</v>
      </c>
      <c r="R888" s="91">
        <f t="array" ref="R888">IFERROR(INDEX('Fund YTD Target Values'!$1:$1000, MATCH($C888,'Fund YTD Target Values'!$A:$A,0), MATCH($A888,'Fund YTD Target Values'!$1:$1,0)),0)</f>
        <v>512928.5668</v>
      </c>
      <c r="S888" s="91">
        <f>IFERROR(__xludf.DUMMYFUNCTION("IFERROR(sum(FILTER('Fund Investment Data'!$V:$V, 'Fund Investment Data'!$C:$C = $C888, 'Fund Investment Data'!$A:$A &lt; $A888)),0) + IFERROR(sum(FILTER('Fund Investment Data'!$V:$V, 'Fund Investment Data'!$C:$C = $C888, 'Fund Investment Data'!$A:$A = $A888,"&amp;" 'Fund Investment Data'!$B:$B &lt;= $B888)),0)"),325871.6399999999)</f>
        <v>325871.64</v>
      </c>
      <c r="T888" s="93">
        <v>326032.0</v>
      </c>
      <c r="U888" s="32">
        <f t="shared" si="3"/>
        <v>-160.36</v>
      </c>
      <c r="V888" s="32">
        <f>IFERROR(__xludf.DUMMYFUNCTION("$D888 - IFERROR(FILTER($D:$D,$C:$C = $C888, $A:$A = $A888, $B:$B = $B888 - 1),0)"),0.0)</f>
        <v>0</v>
      </c>
      <c r="W888" s="93">
        <f>IFERROR(__xludf.DUMMYFUNCTION("$E888 - IFERROR(FILTER($E:$E,$C:$C = $C888, $A:$A = $A888, $B:$B = $B888 - 1),0)"),0.0)</f>
        <v>0</v>
      </c>
      <c r="X888" s="93"/>
      <c r="Y888" s="93"/>
      <c r="Z888" s="93">
        <v>0.0</v>
      </c>
      <c r="AA888" s="93">
        <v>0.0</v>
      </c>
      <c r="AB888" s="93">
        <v>0.0</v>
      </c>
      <c r="AC888" s="93"/>
      <c r="AD888" s="93">
        <v>0.0</v>
      </c>
      <c r="AE888" s="32">
        <f t="shared" si="2"/>
        <v>0</v>
      </c>
      <c r="AF888" s="93">
        <v>0.0</v>
      </c>
    </row>
    <row r="889">
      <c r="A889" s="86">
        <v>2018.0</v>
      </c>
      <c r="B889" s="87">
        <v>2.0</v>
      </c>
      <c r="C889" s="88" t="s">
        <v>53</v>
      </c>
      <c r="D889" s="32"/>
      <c r="E889" s="32"/>
      <c r="F889" s="32"/>
      <c r="G889" s="93">
        <v>-5647.2</v>
      </c>
      <c r="H889" s="93">
        <v>15763.66</v>
      </c>
      <c r="I889" s="32"/>
      <c r="J889" s="93">
        <v>976.25</v>
      </c>
      <c r="K889" s="32"/>
      <c r="L889" s="32"/>
      <c r="M889" s="32"/>
      <c r="N889" s="32"/>
      <c r="O889" s="93">
        <v>2286407.0</v>
      </c>
      <c r="P889" s="91">
        <f>IFERROR(__xludf.DUMMYFUNCTION("IFERROR(sum(FILTER($D:$N,$C:$C = $C889,$A:$A &lt; $A889,$B:$B = 12)),0) + sum($D889:$N889)"),2286407.3899999997)</f>
        <v>2286407.39</v>
      </c>
      <c r="Q889" s="92">
        <f t="shared" si="1"/>
        <v>-0.3899999997</v>
      </c>
      <c r="R889" s="91">
        <f t="array" ref="R889">IFERROR(INDEX('Fund YTD Target Values'!$1:$1000, MATCH($C889,'Fund YTD Target Values'!$A:$A,0), MATCH($A889,'Fund YTD Target Values'!$1:$1,0)),0)</f>
        <v>2224754.768</v>
      </c>
      <c r="S889" s="91">
        <f>IFERROR(__xludf.DUMMYFUNCTION("IFERROR(sum(FILTER('Fund Investment Data'!$V:$V, 'Fund Investment Data'!$C:$C = $C889, 'Fund Investment Data'!$A:$A &lt; $A889)),0) + IFERROR(sum(FILTER('Fund Investment Data'!$V:$V, 'Fund Investment Data'!$C:$C = $C889, 'Fund Investment Data'!$A:$A = $A889,"&amp;" 'Fund Investment Data'!$B:$B &lt;= $B889)),0)"),2005500.0)</f>
        <v>2005500</v>
      </c>
      <c r="T889" s="93">
        <v>2005500.0</v>
      </c>
      <c r="U889" s="32">
        <f t="shared" si="3"/>
        <v>0</v>
      </c>
      <c r="V889" s="32">
        <f>IFERROR(__xludf.DUMMYFUNCTION("$D889 - IFERROR(FILTER($D:$D,$C:$C = $C889, $A:$A = $A889, $B:$B = $B889 - 1),0)"),0.0)</f>
        <v>0</v>
      </c>
      <c r="W889" s="93">
        <f>IFERROR(__xludf.DUMMYFUNCTION("$E889 - IFERROR(FILTER($E:$E,$C:$C = $C889, $A:$A = $A889, $B:$B = $B889 - 1),0)"),0.0)</f>
        <v>0</v>
      </c>
      <c r="X889" s="93"/>
      <c r="Y889" s="93"/>
      <c r="Z889" s="93">
        <v>0.0</v>
      </c>
      <c r="AA889" s="93">
        <v>0.0</v>
      </c>
      <c r="AB889" s="93">
        <v>0.0</v>
      </c>
      <c r="AC889" s="93"/>
      <c r="AD889" s="93">
        <v>0.0</v>
      </c>
      <c r="AE889" s="32">
        <f t="shared" si="2"/>
        <v>0</v>
      </c>
      <c r="AF889" s="93">
        <v>0.0</v>
      </c>
    </row>
    <row r="890">
      <c r="A890" s="86">
        <v>2018.0</v>
      </c>
      <c r="B890" s="87">
        <v>2.0</v>
      </c>
      <c r="C890" s="88" t="s">
        <v>34</v>
      </c>
      <c r="D890" s="32"/>
      <c r="E890" s="32"/>
      <c r="F890" s="32"/>
      <c r="G890" s="93">
        <v>-351.87</v>
      </c>
      <c r="H890" s="93">
        <v>978.55</v>
      </c>
      <c r="I890" s="32"/>
      <c r="J890" s="93">
        <v>60.1</v>
      </c>
      <c r="K890" s="32"/>
      <c r="L890" s="32"/>
      <c r="M890" s="32"/>
      <c r="N890" s="32"/>
      <c r="O890" s="93">
        <v>144975.0</v>
      </c>
      <c r="P890" s="91">
        <f>IFERROR(__xludf.DUMMYFUNCTION("IFERROR(sum(FILTER($D:$N,$C:$C = $C890,$A:$A &lt; $A890,$B:$B = 12)),0) + sum($D890:$N890)"),144974.94)</f>
        <v>144974.94</v>
      </c>
      <c r="Q890" s="92">
        <f t="shared" si="1"/>
        <v>0.06</v>
      </c>
      <c r="R890" s="91">
        <f t="array" ref="R890">IFERROR(INDEX('Fund YTD Target Values'!$1:$1000, MATCH($C890,'Fund YTD Target Values'!$A:$A,0), MATCH($A890,'Fund YTD Target Values'!$1:$1,0)),0)</f>
        <v>135327.6594</v>
      </c>
      <c r="S890" s="91">
        <f>IFERROR(__xludf.DUMMYFUNCTION("IFERROR(sum(FILTER('Fund Investment Data'!$V:$V, 'Fund Investment Data'!$C:$C = $C890, 'Fund Investment Data'!$A:$A &lt; $A890)),0) + IFERROR(sum(FILTER('Fund Investment Data'!$V:$V, 'Fund Investment Data'!$C:$C = $C890, 'Fund Investment Data'!$A:$A = $A890,"&amp;" 'Fund Investment Data'!$B:$B &lt;= $B890)),0)"),120000.0)</f>
        <v>120000</v>
      </c>
      <c r="T890" s="93">
        <v>115238.0</v>
      </c>
      <c r="U890" s="32">
        <f t="shared" si="3"/>
        <v>4762</v>
      </c>
      <c r="V890" s="32">
        <f>IFERROR(__xludf.DUMMYFUNCTION("$D890 - IFERROR(FILTER($D:$D,$C:$C = $C890, $A:$A = $A890, $B:$B = $B890 - 1),0)"),0.0)</f>
        <v>0</v>
      </c>
      <c r="W890" s="93">
        <f>IFERROR(__xludf.DUMMYFUNCTION("$E890 - IFERROR(FILTER($E:$E,$C:$C = $C890, $A:$A = $A890, $B:$B = $B890 - 1),0)"),0.0)</f>
        <v>0</v>
      </c>
      <c r="X890" s="93"/>
      <c r="Y890" s="93"/>
      <c r="Z890" s="93">
        <v>0.0</v>
      </c>
      <c r="AA890" s="93">
        <v>0.0</v>
      </c>
      <c r="AB890" s="93">
        <v>0.0</v>
      </c>
      <c r="AC890" s="93"/>
      <c r="AD890" s="93">
        <v>0.0</v>
      </c>
      <c r="AE890" s="32">
        <f t="shared" si="2"/>
        <v>0</v>
      </c>
      <c r="AF890" s="93">
        <v>0.0</v>
      </c>
    </row>
    <row r="891">
      <c r="A891" s="86">
        <v>2018.0</v>
      </c>
      <c r="B891" s="87">
        <v>2.0</v>
      </c>
      <c r="C891" s="88" t="s">
        <v>54</v>
      </c>
      <c r="D891" s="32"/>
      <c r="E891" s="32"/>
      <c r="F891" s="32"/>
      <c r="G891" s="93">
        <v>-411.23</v>
      </c>
      <c r="H891" s="93">
        <v>1137.47</v>
      </c>
      <c r="I891" s="32"/>
      <c r="J891" s="93">
        <v>69.0</v>
      </c>
      <c r="K891" s="32"/>
      <c r="L891" s="32"/>
      <c r="M891" s="32"/>
      <c r="N891" s="32"/>
      <c r="O891" s="93">
        <v>173687.0</v>
      </c>
      <c r="P891" s="91">
        <f>IFERROR(__xludf.DUMMYFUNCTION("IFERROR(sum(FILTER($D:$N,$C:$C = $C891,$A:$A &lt; $A891,$B:$B = 12)),0) + sum($D891:$N891)"),173688.20999999993)</f>
        <v>173688.21</v>
      </c>
      <c r="Q891" s="92">
        <f t="shared" si="1"/>
        <v>-1.21</v>
      </c>
      <c r="R891" s="91">
        <f t="array" ref="R891">IFERROR(INDEX('Fund YTD Target Values'!$1:$1000, MATCH($C891,'Fund YTD Target Values'!$A:$A,0), MATCH($A891,'Fund YTD Target Values'!$1:$1,0)),0)</f>
        <v>155177.2706</v>
      </c>
      <c r="S891" s="91">
        <f>IFERROR(__xludf.DUMMYFUNCTION("IFERROR(sum(FILTER('Fund Investment Data'!$V:$V, 'Fund Investment Data'!$C:$C = $C891, 'Fund Investment Data'!$A:$A &lt; $A891)),0) + IFERROR(sum(FILTER('Fund Investment Data'!$V:$V, 'Fund Investment Data'!$C:$C = $C891, 'Fund Investment Data'!$A:$A = $A891,"&amp;" 'Fund Investment Data'!$B:$B &lt;= $B891)),0)"),112432.10999999999)</f>
        <v>112432.11</v>
      </c>
      <c r="T891" s="93">
        <v>108610.0</v>
      </c>
      <c r="U891" s="32">
        <f t="shared" si="3"/>
        <v>3822.11</v>
      </c>
      <c r="V891" s="32">
        <f>IFERROR(__xludf.DUMMYFUNCTION("$D891 - IFERROR(FILTER($D:$D,$C:$C = $C891, $A:$A = $A891, $B:$B = $B891 - 1),0)"),0.0)</f>
        <v>0</v>
      </c>
      <c r="W891" s="93">
        <f>IFERROR(__xludf.DUMMYFUNCTION("$E891 - IFERROR(FILTER($E:$E,$C:$C = $C891, $A:$A = $A891, $B:$B = $B891 - 1),0)"),0.0)</f>
        <v>0</v>
      </c>
      <c r="X891" s="93"/>
      <c r="Y891" s="93"/>
      <c r="Z891" s="93">
        <v>0.0</v>
      </c>
      <c r="AA891" s="93">
        <v>0.0</v>
      </c>
      <c r="AB891" s="93">
        <v>0.0</v>
      </c>
      <c r="AC891" s="93"/>
      <c r="AD891" s="93">
        <v>0.0</v>
      </c>
      <c r="AE891" s="32">
        <f t="shared" si="2"/>
        <v>0</v>
      </c>
      <c r="AF891" s="93">
        <v>0.0</v>
      </c>
    </row>
    <row r="892">
      <c r="A892" s="86">
        <v>2018.0</v>
      </c>
      <c r="B892" s="87">
        <v>2.0</v>
      </c>
      <c r="C892" s="88" t="s">
        <v>55</v>
      </c>
      <c r="D892" s="32"/>
      <c r="E892" s="32"/>
      <c r="F892" s="32"/>
      <c r="G892" s="93">
        <v>-619.03</v>
      </c>
      <c r="H892" s="93">
        <v>1245.19</v>
      </c>
      <c r="I892" s="32"/>
      <c r="J892" s="93">
        <v>-2174.39</v>
      </c>
      <c r="K892" s="32"/>
      <c r="L892" s="32"/>
      <c r="M892" s="32"/>
      <c r="N892" s="32"/>
      <c r="O892" s="93">
        <v>227517.0</v>
      </c>
      <c r="P892" s="91">
        <f>IFERROR(__xludf.DUMMYFUNCTION("IFERROR(sum(FILTER($D:$N,$C:$C = $C892,$A:$A &lt; $A892,$B:$B = 12)),0) + sum($D892:$N892)"),227516.52999999997)</f>
        <v>227516.53</v>
      </c>
      <c r="Q892" s="92">
        <f t="shared" si="1"/>
        <v>0.47</v>
      </c>
      <c r="R892" s="91">
        <f t="array" ref="R892">IFERROR(INDEX('Fund YTD Target Values'!$1:$1000, MATCH($C892,'Fund YTD Target Values'!$A:$A,0), MATCH($A892,'Fund YTD Target Values'!$1:$1,0)),0)</f>
        <v>289110.9496</v>
      </c>
      <c r="S892" s="91">
        <f>IFERROR(__xludf.DUMMYFUNCTION("IFERROR(sum(FILTER('Fund Investment Data'!$V:$V, 'Fund Investment Data'!$C:$C = $C892, 'Fund Investment Data'!$A:$A &lt; $A892)),0) + IFERROR(sum(FILTER('Fund Investment Data'!$V:$V, 'Fund Investment Data'!$C:$C = $C892, 'Fund Investment Data'!$A:$A = $A892,"&amp;" 'Fund Investment Data'!$B:$B &lt;= $B892)),0)"),210000.0)</f>
        <v>210000</v>
      </c>
      <c r="T892" s="93">
        <v>79841.0</v>
      </c>
      <c r="U892" s="32">
        <f t="shared" si="3"/>
        <v>130159</v>
      </c>
      <c r="V892" s="32">
        <f>IFERROR(__xludf.DUMMYFUNCTION("$D892 - IFERROR(FILTER($D:$D,$C:$C = $C892, $A:$A = $A892, $B:$B = $B892 - 1),0)"),0.0)</f>
        <v>0</v>
      </c>
      <c r="W892" s="93">
        <f>IFERROR(__xludf.DUMMYFUNCTION("$E892 - IFERROR(FILTER($E:$E,$C:$C = $C892, $A:$A = $A892, $B:$B = $B892 - 1),0)"),0.0)</f>
        <v>0</v>
      </c>
      <c r="X892" s="93"/>
      <c r="Y892" s="93"/>
      <c r="Z892" s="93">
        <v>0.0</v>
      </c>
      <c r="AA892" s="93">
        <v>0.0</v>
      </c>
      <c r="AB892" s="93">
        <v>0.0</v>
      </c>
      <c r="AC892" s="93"/>
      <c r="AD892" s="93">
        <v>0.0</v>
      </c>
      <c r="AE892" s="32">
        <f t="shared" si="2"/>
        <v>0</v>
      </c>
      <c r="AF892" s="93">
        <v>0.0</v>
      </c>
    </row>
    <row r="893">
      <c r="A893" s="86">
        <v>2018.0</v>
      </c>
      <c r="B893" s="87">
        <v>2.0</v>
      </c>
      <c r="C893" s="88" t="s">
        <v>44</v>
      </c>
      <c r="D893" s="32"/>
      <c r="E893" s="32"/>
      <c r="F893" s="32"/>
      <c r="G893" s="93">
        <v>-711.42</v>
      </c>
      <c r="H893" s="93">
        <v>1985.85</v>
      </c>
      <c r="I893" s="32"/>
      <c r="J893" s="93">
        <v>122.99</v>
      </c>
      <c r="K893" s="32"/>
      <c r="L893" s="32"/>
      <c r="M893" s="32"/>
      <c r="N893" s="32"/>
      <c r="O893" s="93">
        <v>288033.0</v>
      </c>
      <c r="P893" s="91">
        <f>IFERROR(__xludf.DUMMYFUNCTION("IFERROR(sum(FILTER($D:$N,$C:$C = $C893,$A:$A &lt; $A893,$B:$B = 12)),0) + sum($D893:$N893)"),288033.8900000001)</f>
        <v>288033.89</v>
      </c>
      <c r="Q893" s="92">
        <f t="shared" si="1"/>
        <v>-0.8900000001</v>
      </c>
      <c r="R893" s="91">
        <f t="array" ref="R893">IFERROR(INDEX('Fund YTD Target Values'!$1:$1000, MATCH($C893,'Fund YTD Target Values'!$A:$A,0), MATCH($A893,'Fund YTD Target Values'!$1:$1,0)),0)</f>
        <v>321586.5616</v>
      </c>
      <c r="S893" s="91">
        <f>IFERROR(__xludf.DUMMYFUNCTION("IFERROR(sum(FILTER('Fund Investment Data'!$V:$V, 'Fund Investment Data'!$C:$C = $C893, 'Fund Investment Data'!$A:$A &lt; $A893)),0) + IFERROR(sum(FILTER('Fund Investment Data'!$V:$V, 'Fund Investment Data'!$C:$C = $C893, 'Fund Investment Data'!$A:$A = $A893,"&amp;" 'Fund Investment Data'!$B:$B &lt;= $B893)),0)"),250000.0)</f>
        <v>250000</v>
      </c>
      <c r="T893" s="93">
        <v>250000.0</v>
      </c>
      <c r="U893" s="32">
        <f t="shared" si="3"/>
        <v>0</v>
      </c>
      <c r="V893" s="32">
        <f>IFERROR(__xludf.DUMMYFUNCTION("$D893 - IFERROR(FILTER($D:$D,$C:$C = $C893, $A:$A = $A893, $B:$B = $B893 - 1),0)"),0.0)</f>
        <v>0</v>
      </c>
      <c r="W893" s="93">
        <f>IFERROR(__xludf.DUMMYFUNCTION("$E893 - IFERROR(FILTER($E:$E,$C:$C = $C893, $A:$A = $A893, $B:$B = $B893 - 1),0)"),0.0)</f>
        <v>0</v>
      </c>
      <c r="X893" s="93"/>
      <c r="Y893" s="93"/>
      <c r="Z893" s="93">
        <v>0.0</v>
      </c>
      <c r="AA893" s="93">
        <v>0.0</v>
      </c>
      <c r="AB893" s="93">
        <v>0.0</v>
      </c>
      <c r="AC893" s="93"/>
      <c r="AD893" s="93">
        <v>0.0</v>
      </c>
      <c r="AE893" s="32">
        <f t="shared" si="2"/>
        <v>0</v>
      </c>
      <c r="AF893" s="93">
        <v>0.0</v>
      </c>
    </row>
    <row r="894">
      <c r="A894" s="86">
        <v>2018.0</v>
      </c>
      <c r="B894" s="87">
        <v>2.0</v>
      </c>
      <c r="C894" s="88" t="s">
        <v>45</v>
      </c>
      <c r="D894" s="32"/>
      <c r="E894" s="32"/>
      <c r="F894" s="32"/>
      <c r="G894" s="93">
        <v>-365.69</v>
      </c>
      <c r="H894" s="93">
        <v>1019.27</v>
      </c>
      <c r="I894" s="32"/>
      <c r="J894" s="93">
        <v>62.91</v>
      </c>
      <c r="K894" s="32"/>
      <c r="L894" s="32"/>
      <c r="M894" s="32"/>
      <c r="N894" s="32"/>
      <c r="O894" s="93">
        <v>149119.0</v>
      </c>
      <c r="P894" s="91">
        <f>IFERROR(__xludf.DUMMYFUNCTION("IFERROR(sum(FILTER($D:$N,$C:$C = $C894,$A:$A &lt; $A894,$B:$B = 12)),0) + sum($D894:$N894)"),149118.77999999997)</f>
        <v>149118.78</v>
      </c>
      <c r="Q894" s="92">
        <f t="shared" si="1"/>
        <v>0.22</v>
      </c>
      <c r="R894" s="91">
        <f t="array" ref="R894">IFERROR(INDEX('Fund YTD Target Values'!$1:$1000, MATCH($C894,'Fund YTD Target Values'!$A:$A,0), MATCH($A894,'Fund YTD Target Values'!$1:$1,0)),0)</f>
        <v>121242.134</v>
      </c>
      <c r="S894" s="91">
        <f>IFERROR(__xludf.DUMMYFUNCTION("IFERROR(sum(FILTER('Fund Investment Data'!$V:$V, 'Fund Investment Data'!$C:$C = $C894, 'Fund Investment Data'!$A:$A &lt; $A894)),0) + IFERROR(sum(FILTER('Fund Investment Data'!$V:$V, 'Fund Investment Data'!$C:$C = $C894, 'Fund Investment Data'!$A:$A = $A894,"&amp;" 'Fund Investment Data'!$B:$B &lt;= $B894)),0)"),100000.0)</f>
        <v>100000</v>
      </c>
      <c r="T894" s="93">
        <v>100000.0</v>
      </c>
      <c r="U894" s="32">
        <f t="shared" si="3"/>
        <v>0</v>
      </c>
      <c r="V894" s="32">
        <f>IFERROR(__xludf.DUMMYFUNCTION("$D894 - IFERROR(FILTER($D:$D,$C:$C = $C894, $A:$A = $A894, $B:$B = $B894 - 1),0)"),0.0)</f>
        <v>0</v>
      </c>
      <c r="W894" s="93">
        <f>IFERROR(__xludf.DUMMYFUNCTION("$E894 - IFERROR(FILTER($E:$E,$C:$C = $C894, $A:$A = $A894, $B:$B = $B894 - 1),0)"),0.0)</f>
        <v>0</v>
      </c>
      <c r="X894" s="93"/>
      <c r="Y894" s="93"/>
      <c r="Z894" s="93">
        <v>0.0</v>
      </c>
      <c r="AA894" s="93">
        <v>0.0</v>
      </c>
      <c r="AB894" s="93">
        <v>0.0</v>
      </c>
      <c r="AC894" s="93"/>
      <c r="AD894" s="93">
        <v>0.0</v>
      </c>
      <c r="AE894" s="32">
        <f t="shared" si="2"/>
        <v>0</v>
      </c>
      <c r="AF894" s="93">
        <v>0.0</v>
      </c>
    </row>
    <row r="895">
      <c r="A895" s="86">
        <v>2018.0</v>
      </c>
      <c r="B895" s="87">
        <v>2.0</v>
      </c>
      <c r="C895" s="88" t="s">
        <v>35</v>
      </c>
      <c r="D895" s="32"/>
      <c r="E895" s="32"/>
      <c r="F895" s="32"/>
      <c r="G895" s="93">
        <v>-3638.89</v>
      </c>
      <c r="H895" s="93">
        <v>10157.62</v>
      </c>
      <c r="I895" s="32"/>
      <c r="J895" s="93">
        <v>629.06</v>
      </c>
      <c r="K895" s="32"/>
      <c r="L895" s="32"/>
      <c r="M895" s="32"/>
      <c r="N895" s="32"/>
      <c r="O895" s="93">
        <v>1473290.0</v>
      </c>
      <c r="P895" s="91">
        <f>IFERROR(__xludf.DUMMYFUNCTION("IFERROR(sum(FILTER($D:$N,$C:$C = $C895,$A:$A &lt; $A895,$B:$B = 12)),0) + sum($D895:$N895)"),1473289.3500000003)</f>
        <v>1473289.35</v>
      </c>
      <c r="Q895" s="92">
        <f t="shared" si="1"/>
        <v>0.6499999997</v>
      </c>
      <c r="R895" s="91">
        <f t="array" ref="R895">IFERROR(INDEX('Fund YTD Target Values'!$1:$1000, MATCH($C895,'Fund YTD Target Values'!$A:$A,0), MATCH($A895,'Fund YTD Target Values'!$1:$1,0)),0)</f>
        <v>1579247.369</v>
      </c>
      <c r="S895" s="91">
        <f>IFERROR(__xludf.DUMMYFUNCTION("IFERROR(sum(FILTER('Fund Investment Data'!$V:$V, 'Fund Investment Data'!$C:$C = $C895, 'Fund Investment Data'!$A:$A &lt; $A895)),0) + IFERROR(sum(FILTER('Fund Investment Data'!$V:$V, 'Fund Investment Data'!$C:$C = $C895, 'Fund Investment Data'!$A:$A = $A895,"&amp;" 'Fund Investment Data'!$B:$B &lt;= $B895)),0)"),1086625.0)</f>
        <v>1086625</v>
      </c>
      <c r="T895" s="93">
        <v>1071625.0</v>
      </c>
      <c r="U895" s="32">
        <f t="shared" si="3"/>
        <v>15000</v>
      </c>
      <c r="V895" s="32">
        <f>IFERROR(__xludf.DUMMYFUNCTION("$D895 - IFERROR(FILTER($D:$D,$C:$C = $C895, $A:$A = $A895, $B:$B = $B895 - 1),0)"),0.0)</f>
        <v>0</v>
      </c>
      <c r="W895" s="93">
        <f>IFERROR(__xludf.DUMMYFUNCTION("$E895 - IFERROR(FILTER($E:$E,$C:$C = $C895, $A:$A = $A895, $B:$B = $B895 - 1),0)"),0.0)</f>
        <v>0</v>
      </c>
      <c r="X895" s="93"/>
      <c r="Y895" s="93"/>
      <c r="Z895" s="93">
        <v>0.0</v>
      </c>
      <c r="AA895" s="93">
        <v>0.0</v>
      </c>
      <c r="AB895" s="93">
        <v>0.0</v>
      </c>
      <c r="AC895" s="93"/>
      <c r="AD895" s="93">
        <v>0.0</v>
      </c>
      <c r="AE895" s="32">
        <f t="shared" si="2"/>
        <v>0</v>
      </c>
      <c r="AF895" s="93">
        <v>0.0</v>
      </c>
    </row>
    <row r="896">
      <c r="A896" s="86">
        <v>2018.0</v>
      </c>
      <c r="B896" s="87">
        <v>2.0</v>
      </c>
      <c r="C896" s="88" t="s">
        <v>56</v>
      </c>
      <c r="D896" s="32"/>
      <c r="E896" s="32"/>
      <c r="F896" s="32"/>
      <c r="G896" s="93">
        <v>-2754.78</v>
      </c>
      <c r="H896" s="93">
        <v>7656.27</v>
      </c>
      <c r="I896" s="32"/>
      <c r="J896" s="93">
        <v>469.56</v>
      </c>
      <c r="K896" s="32"/>
      <c r="L896" s="32"/>
      <c r="M896" s="32"/>
      <c r="N896" s="32"/>
      <c r="O896" s="93">
        <v>1138349.0</v>
      </c>
      <c r="P896" s="91">
        <f>IFERROR(__xludf.DUMMYFUNCTION("IFERROR(sum(FILTER($D:$N,$C:$C = $C896,$A:$A &lt; $A896,$B:$B = 12)),0) + sum($D896:$N896)"),1138348.88)</f>
        <v>1138348.88</v>
      </c>
      <c r="Q896" s="92">
        <f t="shared" si="1"/>
        <v>0.1200000001</v>
      </c>
      <c r="R896" s="91">
        <f t="array" ref="R896">IFERROR(INDEX('Fund YTD Target Values'!$1:$1000, MATCH($C896,'Fund YTD Target Values'!$A:$A,0), MATCH($A896,'Fund YTD Target Values'!$1:$1,0)),0)</f>
        <v>1060725.595</v>
      </c>
      <c r="S896" s="91">
        <f>IFERROR(__xludf.DUMMYFUNCTION("IFERROR(sum(FILTER('Fund Investment Data'!$V:$V, 'Fund Investment Data'!$C:$C = $C896, 'Fund Investment Data'!$A:$A &lt; $A896)),0) + IFERROR(sum(FILTER('Fund Investment Data'!$V:$V, 'Fund Investment Data'!$C:$C = $C896, 'Fund Investment Data'!$A:$A = $A896,"&amp;" 'Fund Investment Data'!$B:$B &lt;= $B896)),0)"),1000000.0)</f>
        <v>1000000</v>
      </c>
      <c r="T896" s="93">
        <v>1000000.0</v>
      </c>
      <c r="U896" s="32">
        <f t="shared" si="3"/>
        <v>0</v>
      </c>
      <c r="V896" s="32">
        <f>IFERROR(__xludf.DUMMYFUNCTION("$D896 - IFERROR(FILTER($D:$D,$C:$C = $C896, $A:$A = $A896, $B:$B = $B896 - 1),0)"),0.0)</f>
        <v>0</v>
      </c>
      <c r="W896" s="93">
        <f>IFERROR(__xludf.DUMMYFUNCTION("$E896 - IFERROR(FILTER($E:$E,$C:$C = $C896, $A:$A = $A896, $B:$B = $B896 - 1),0)"),0.0)</f>
        <v>0</v>
      </c>
      <c r="X896" s="93"/>
      <c r="Y896" s="93"/>
      <c r="Z896" s="93">
        <v>0.0</v>
      </c>
      <c r="AA896" s="93">
        <v>0.0</v>
      </c>
      <c r="AB896" s="93">
        <v>0.0</v>
      </c>
      <c r="AC896" s="93"/>
      <c r="AD896" s="93">
        <v>0.0</v>
      </c>
      <c r="AE896" s="32">
        <f t="shared" si="2"/>
        <v>0</v>
      </c>
      <c r="AF896" s="93">
        <v>0.0</v>
      </c>
    </row>
    <row r="897">
      <c r="A897" s="86">
        <v>2018.0</v>
      </c>
      <c r="B897" s="87">
        <v>2.0</v>
      </c>
      <c r="C897" s="88" t="s">
        <v>57</v>
      </c>
      <c r="D897" s="32"/>
      <c r="E897" s="32"/>
      <c r="F897" s="32"/>
      <c r="G897" s="93">
        <v>-5049.44</v>
      </c>
      <c r="H897" s="93">
        <v>14093.99</v>
      </c>
      <c r="I897" s="32"/>
      <c r="J897" s="93">
        <v>872.71</v>
      </c>
      <c r="K897" s="32"/>
      <c r="L897" s="32"/>
      <c r="M897" s="32"/>
      <c r="N897" s="32"/>
      <c r="O897" s="93">
        <v>2045096.0</v>
      </c>
      <c r="P897" s="91">
        <f>IFERROR(__xludf.DUMMYFUNCTION("IFERROR(sum(FILTER($D:$N,$C:$C = $C897,$A:$A &lt; $A897,$B:$B = 12)),0) + sum($D897:$N897)"),2045096.09)</f>
        <v>2045096.09</v>
      </c>
      <c r="Q897" s="92">
        <f t="shared" si="1"/>
        <v>-0.09000000008</v>
      </c>
      <c r="R897" s="91">
        <f t="array" ref="R897">IFERROR(INDEX('Fund YTD Target Values'!$1:$1000, MATCH($C897,'Fund YTD Target Values'!$A:$A,0), MATCH($A897,'Fund YTD Target Values'!$1:$1,0)),0)</f>
        <v>2048853.692</v>
      </c>
      <c r="S897" s="91">
        <f>IFERROR(__xludf.DUMMYFUNCTION("IFERROR(sum(FILTER('Fund Investment Data'!$V:$V, 'Fund Investment Data'!$C:$C = $C897, 'Fund Investment Data'!$A:$A &lt; $A897)),0) + IFERROR(sum(FILTER('Fund Investment Data'!$V:$V, 'Fund Investment Data'!$C:$C = $C897, 'Fund Investment Data'!$A:$A = $A897,"&amp;" 'Fund Investment Data'!$B:$B &lt;= $B897)),0)"),2000000.0)</f>
        <v>2000000</v>
      </c>
      <c r="T897" s="93">
        <v>2000000.0</v>
      </c>
      <c r="U897" s="32">
        <f t="shared" si="3"/>
        <v>0</v>
      </c>
      <c r="V897" s="32">
        <f>IFERROR(__xludf.DUMMYFUNCTION("$D897 - IFERROR(FILTER($D:$D,$C:$C = $C897, $A:$A = $A897, $B:$B = $B897 - 1),0)"),0.0)</f>
        <v>0</v>
      </c>
      <c r="W897" s="93">
        <f>IFERROR(__xludf.DUMMYFUNCTION("$E897 - IFERROR(FILTER($E:$E,$C:$C = $C897, $A:$A = $A897, $B:$B = $B897 - 1),0)"),0.0)</f>
        <v>0</v>
      </c>
      <c r="X897" s="93"/>
      <c r="Y897" s="93"/>
      <c r="Z897" s="93">
        <v>0.0</v>
      </c>
      <c r="AA897" s="93">
        <v>0.0</v>
      </c>
      <c r="AB897" s="93">
        <v>0.0</v>
      </c>
      <c r="AC897" s="93"/>
      <c r="AD897" s="93">
        <v>0.0</v>
      </c>
      <c r="AE897" s="32">
        <f t="shared" si="2"/>
        <v>0</v>
      </c>
      <c r="AF897" s="93">
        <v>0.0</v>
      </c>
    </row>
    <row r="898">
      <c r="A898" s="86">
        <v>2018.0</v>
      </c>
      <c r="B898" s="87">
        <v>2.0</v>
      </c>
      <c r="C898" s="88" t="s">
        <v>58</v>
      </c>
      <c r="D898" s="32"/>
      <c r="E898" s="32"/>
      <c r="F898" s="32"/>
      <c r="G898" s="93">
        <v>-5049.44</v>
      </c>
      <c r="H898" s="93">
        <v>14093.99</v>
      </c>
      <c r="I898" s="32"/>
      <c r="J898" s="93">
        <v>872.71</v>
      </c>
      <c r="K898" s="32"/>
      <c r="L898" s="32"/>
      <c r="M898" s="32"/>
      <c r="N898" s="32"/>
      <c r="O898" s="93">
        <v>2045096.0</v>
      </c>
      <c r="P898" s="91">
        <f>IFERROR(__xludf.DUMMYFUNCTION("IFERROR(sum(FILTER($D:$N,$C:$C = $C898,$A:$A &lt; $A898,$B:$B = 12)),0) + sum($D898:$N898)"),2045096.09)</f>
        <v>2045096.09</v>
      </c>
      <c r="Q898" s="92">
        <f t="shared" si="1"/>
        <v>-0.09000000008</v>
      </c>
      <c r="R898" s="91">
        <f t="array" ref="R898">IFERROR(INDEX('Fund YTD Target Values'!$1:$1000, MATCH($C898,'Fund YTD Target Values'!$A:$A,0), MATCH($A898,'Fund YTD Target Values'!$1:$1,0)),0)</f>
        <v>2048853.692</v>
      </c>
      <c r="S898" s="91">
        <f>IFERROR(__xludf.DUMMYFUNCTION("IFERROR(sum(FILTER('Fund Investment Data'!$V:$V, 'Fund Investment Data'!$C:$C = $C898, 'Fund Investment Data'!$A:$A &lt; $A898)),0) + IFERROR(sum(FILTER('Fund Investment Data'!$V:$V, 'Fund Investment Data'!$C:$C = $C898, 'Fund Investment Data'!$A:$A = $A898,"&amp;" 'Fund Investment Data'!$B:$B &lt;= $B898)),0)"),2000000.0)</f>
        <v>2000000</v>
      </c>
      <c r="T898" s="93">
        <v>2000000.0</v>
      </c>
      <c r="U898" s="32">
        <f t="shared" si="3"/>
        <v>0</v>
      </c>
      <c r="V898" s="32">
        <f>IFERROR(__xludf.DUMMYFUNCTION("$D898 - IFERROR(FILTER($D:$D,$C:$C = $C898, $A:$A = $A898, $B:$B = $B898 - 1),0)"),0.0)</f>
        <v>0</v>
      </c>
      <c r="W898" s="93">
        <f>IFERROR(__xludf.DUMMYFUNCTION("$E898 - IFERROR(FILTER($E:$E,$C:$C = $C898, $A:$A = $A898, $B:$B = $B898 - 1),0)"),0.0)</f>
        <v>0</v>
      </c>
      <c r="X898" s="93"/>
      <c r="Y898" s="93"/>
      <c r="Z898" s="93">
        <v>0.0</v>
      </c>
      <c r="AA898" s="93">
        <v>0.0</v>
      </c>
      <c r="AB898" s="93">
        <v>0.0</v>
      </c>
      <c r="AC898" s="93"/>
      <c r="AD898" s="93">
        <v>0.0</v>
      </c>
      <c r="AE898" s="32">
        <f t="shared" si="2"/>
        <v>0</v>
      </c>
      <c r="AF898" s="93">
        <v>0.0</v>
      </c>
    </row>
    <row r="899">
      <c r="A899" s="86">
        <v>2018.0</v>
      </c>
      <c r="B899" s="87">
        <v>3.0</v>
      </c>
      <c r="C899" s="88" t="s">
        <v>26</v>
      </c>
      <c r="D899" s="93">
        <v>18189.0</v>
      </c>
      <c r="E899" s="32"/>
      <c r="F899" s="32"/>
      <c r="G899" s="93">
        <v>-513.52</v>
      </c>
      <c r="H899" s="93">
        <v>2586.34</v>
      </c>
      <c r="I899" s="32"/>
      <c r="J899" s="93">
        <v>-2388.82</v>
      </c>
      <c r="K899" s="32"/>
      <c r="L899" s="32"/>
      <c r="M899" s="32"/>
      <c r="N899" s="32"/>
      <c r="O899" s="93">
        <v>349805.0</v>
      </c>
      <c r="P899" s="91">
        <f>IFERROR(__xludf.DUMMYFUNCTION("IFERROR(sum(FILTER($D:$N,$C:$C = $C899,$A:$A &lt; $A899,$B:$B = 12)),0) + sum($D899:$N899)"),349803.95999999996)</f>
        <v>349803.96</v>
      </c>
      <c r="Q899" s="92">
        <f t="shared" si="1"/>
        <v>1.04</v>
      </c>
      <c r="R899" s="91">
        <f t="array" ref="R899">IFERROR(INDEX('Fund YTD Target Values'!$1:$1000, MATCH($C899,'Fund YTD Target Values'!$A:$A,0), MATCH($A899,'Fund YTD Target Values'!$1:$1,0)),0)</f>
        <v>378110.9215</v>
      </c>
      <c r="S899" s="91">
        <f>IFERROR(__xludf.DUMMYFUNCTION("IFERROR(sum(FILTER('Fund Investment Data'!$V:$V, 'Fund Investment Data'!$C:$C = $C899, 'Fund Investment Data'!$A:$A &lt; $A899)),0) + IFERROR(sum(FILTER('Fund Investment Data'!$V:$V, 'Fund Investment Data'!$C:$C = $C899, 'Fund Investment Data'!$A:$A = $A899,"&amp;" 'Fund Investment Data'!$B:$B &lt;= $B899)),0)"),310249.0)</f>
        <v>310249</v>
      </c>
      <c r="T899" s="93">
        <v>310250.0</v>
      </c>
      <c r="U899" s="32">
        <f t="shared" si="3"/>
        <v>-1</v>
      </c>
      <c r="V899" s="32">
        <f>IFERROR(__xludf.DUMMYFUNCTION("$D899 - IFERROR(FILTER($D:$D,$C:$C = $C899, $A:$A = $A899, $B:$B = $B899 - 1),0)"),0.0)</f>
        <v>0</v>
      </c>
      <c r="W899" s="93">
        <f>IFERROR(__xludf.DUMMYFUNCTION("$E899 - IFERROR(FILTER($E:$E,$C:$C = $C899, $A:$A = $A899, $B:$B = $B899 - 1),0)"),0.0)</f>
        <v>0</v>
      </c>
      <c r="X899" s="93"/>
      <c r="Y899" s="93"/>
      <c r="Z899" s="93">
        <v>0.0</v>
      </c>
      <c r="AA899" s="93">
        <v>0.0</v>
      </c>
      <c r="AB899" s="93">
        <v>0.0</v>
      </c>
      <c r="AC899" s="93"/>
      <c r="AD899" s="93">
        <v>0.0</v>
      </c>
      <c r="AE899" s="32">
        <f t="shared" si="2"/>
        <v>0</v>
      </c>
      <c r="AF899" s="93">
        <v>0.0</v>
      </c>
    </row>
    <row r="900">
      <c r="A900" s="86">
        <v>2018.0</v>
      </c>
      <c r="B900" s="87">
        <v>3.0</v>
      </c>
      <c r="C900" s="88" t="s">
        <v>27</v>
      </c>
      <c r="D900" s="32"/>
      <c r="E900" s="32"/>
      <c r="F900" s="32"/>
      <c r="G900" s="93">
        <v>-468.94</v>
      </c>
      <c r="H900" s="93">
        <v>2408.66</v>
      </c>
      <c r="I900" s="32"/>
      <c r="J900" s="93">
        <v>-2017.97</v>
      </c>
      <c r="K900" s="32"/>
      <c r="L900" s="32"/>
      <c r="M900" s="32"/>
      <c r="N900" s="32"/>
      <c r="O900" s="93">
        <v>308407.0</v>
      </c>
      <c r="P900" s="91">
        <f>IFERROR(__xludf.DUMMYFUNCTION("IFERROR(sum(FILTER($D:$N,$C:$C = $C900,$A:$A &lt; $A900,$B:$B = 12)),0) + sum($D900:$N900)"),308407.1500000001)</f>
        <v>308407.15</v>
      </c>
      <c r="Q900" s="92">
        <f t="shared" si="1"/>
        <v>-0.1500000001</v>
      </c>
      <c r="R900" s="91">
        <f t="array" ref="R900">IFERROR(INDEX('Fund YTD Target Values'!$1:$1000, MATCH($C900,'Fund YTD Target Values'!$A:$A,0), MATCH($A900,'Fund YTD Target Values'!$1:$1,0)),0)</f>
        <v>393297.582</v>
      </c>
      <c r="S900" s="91">
        <f>IFERROR(__xludf.DUMMYFUNCTION("IFERROR(sum(FILTER('Fund Investment Data'!$V:$V, 'Fund Investment Data'!$C:$C = $C900, 'Fund Investment Data'!$A:$A &lt; $A900)),0) + IFERROR(sum(FILTER('Fund Investment Data'!$V:$V, 'Fund Investment Data'!$C:$C = $C900, 'Fund Investment Data'!$A:$A = $A900,"&amp;" 'Fund Investment Data'!$B:$B &lt;= $B900)),0)"),276213.69999999995)</f>
        <v>276213.7</v>
      </c>
      <c r="T900" s="93">
        <v>272248.0</v>
      </c>
      <c r="U900" s="32">
        <f t="shared" si="3"/>
        <v>3965.7</v>
      </c>
      <c r="V900" s="32">
        <f>IFERROR(__xludf.DUMMYFUNCTION("$D900 - IFERROR(FILTER($D:$D,$C:$C = $C900, $A:$A = $A900, $B:$B = $B900 - 1),0)"),0.0)</f>
        <v>0</v>
      </c>
      <c r="W900" s="93">
        <f>IFERROR(__xludf.DUMMYFUNCTION("$E900 - IFERROR(FILTER($E:$E,$C:$C = $C900, $A:$A = $A900, $B:$B = $B900 - 1),0)"),0.0)</f>
        <v>0</v>
      </c>
      <c r="X900" s="93"/>
      <c r="Y900" s="93"/>
      <c r="Z900" s="93">
        <v>0.0</v>
      </c>
      <c r="AA900" s="93">
        <v>0.0</v>
      </c>
      <c r="AB900" s="93">
        <v>0.0</v>
      </c>
      <c r="AC900" s="93"/>
      <c r="AD900" s="93">
        <v>0.0</v>
      </c>
      <c r="AE900" s="32">
        <f t="shared" si="2"/>
        <v>0</v>
      </c>
      <c r="AF900" s="93">
        <v>0.0</v>
      </c>
    </row>
    <row r="901">
      <c r="A901" s="86">
        <v>2018.0</v>
      </c>
      <c r="B901" s="87">
        <v>3.0</v>
      </c>
      <c r="C901" s="88" t="s">
        <v>28</v>
      </c>
      <c r="D901" s="32"/>
      <c r="E901" s="32"/>
      <c r="F901" s="32"/>
      <c r="G901" s="93">
        <v>-5030.39</v>
      </c>
      <c r="H901" s="93">
        <v>25800.35</v>
      </c>
      <c r="I901" s="32"/>
      <c r="J901" s="93">
        <v>-21596.94</v>
      </c>
      <c r="K901" s="32"/>
      <c r="L901" s="32"/>
      <c r="M901" s="32"/>
      <c r="N901" s="32"/>
      <c r="O901" s="93">
        <v>3308400.0</v>
      </c>
      <c r="P901" s="91">
        <f>IFERROR(__xludf.DUMMYFUNCTION("IFERROR(sum(FILTER($D:$N,$C:$C = $C901,$A:$A &lt; $A901,$B:$B = 12)),0) + sum($D901:$N901)"),3308399.09)</f>
        <v>3308399.09</v>
      </c>
      <c r="Q901" s="92">
        <f t="shared" si="1"/>
        <v>0.9100000001</v>
      </c>
      <c r="R901" s="91">
        <f t="array" ref="R901">IFERROR(INDEX('Fund YTD Target Values'!$1:$1000, MATCH($C901,'Fund YTD Target Values'!$A:$A,0), MATCH($A901,'Fund YTD Target Values'!$1:$1,0)),0)</f>
        <v>3840487.513</v>
      </c>
      <c r="S901" s="91">
        <f>IFERROR(__xludf.DUMMYFUNCTION("IFERROR(sum(FILTER('Fund Investment Data'!$V:$V, 'Fund Investment Data'!$C:$C = $C901, 'Fund Investment Data'!$A:$A &lt; $A901)),0) + IFERROR(sum(FILTER('Fund Investment Data'!$V:$V, 'Fund Investment Data'!$C:$C = $C901, 'Fund Investment Data'!$A:$A = $A901,"&amp;" 'Fund Investment Data'!$B:$B &lt;= $B901)),0)"),2960091.25)</f>
        <v>2960091.25</v>
      </c>
      <c r="T901" s="93">
        <v>3009816.0</v>
      </c>
      <c r="U901" s="32">
        <f t="shared" si="3"/>
        <v>-49724.75</v>
      </c>
      <c r="V901" s="32">
        <f>IFERROR(__xludf.DUMMYFUNCTION("$D901 - IFERROR(FILTER($D:$D,$C:$C = $C901, $A:$A = $A901, $B:$B = $B901 - 1),0)"),0.0)</f>
        <v>0</v>
      </c>
      <c r="W901" s="93">
        <f>IFERROR(__xludf.DUMMYFUNCTION("$E901 - IFERROR(FILTER($E:$E,$C:$C = $C901, $A:$A = $A901, $B:$B = $B901 - 1),0)"),0.0)</f>
        <v>0</v>
      </c>
      <c r="X901" s="93"/>
      <c r="Y901" s="93"/>
      <c r="Z901" s="93">
        <v>0.0</v>
      </c>
      <c r="AA901" s="93">
        <v>0.0</v>
      </c>
      <c r="AB901" s="93">
        <v>0.0</v>
      </c>
      <c r="AC901" s="93"/>
      <c r="AD901" s="93">
        <v>0.0</v>
      </c>
      <c r="AE901" s="32">
        <f t="shared" si="2"/>
        <v>0</v>
      </c>
      <c r="AF901" s="93">
        <v>0.0</v>
      </c>
    </row>
    <row r="902">
      <c r="A902" s="86">
        <v>2018.0</v>
      </c>
      <c r="B902" s="87">
        <v>3.0</v>
      </c>
      <c r="C902" s="88" t="s">
        <v>46</v>
      </c>
      <c r="D902" s="32"/>
      <c r="E902" s="32"/>
      <c r="F902" s="32"/>
      <c r="G902" s="93">
        <v>-598.18</v>
      </c>
      <c r="H902" s="93">
        <v>3072.5</v>
      </c>
      <c r="I902" s="32"/>
      <c r="J902" s="93">
        <v>-2574.14</v>
      </c>
      <c r="K902" s="32"/>
      <c r="L902" s="32"/>
      <c r="M902" s="32"/>
      <c r="N902" s="32"/>
      <c r="O902" s="93">
        <v>393407.0</v>
      </c>
      <c r="P902" s="91">
        <f>IFERROR(__xludf.DUMMYFUNCTION("IFERROR(sum(FILTER($D:$N,$C:$C = $C902,$A:$A &lt; $A902,$B:$B = 12)),0) + sum($D902:$N902)"),393407.84)</f>
        <v>393407.84</v>
      </c>
      <c r="Q902" s="92">
        <f t="shared" si="1"/>
        <v>-0.84</v>
      </c>
      <c r="R902" s="91">
        <f t="array" ref="R902">IFERROR(INDEX('Fund YTD Target Values'!$1:$1000, MATCH($C902,'Fund YTD Target Values'!$A:$A,0), MATCH($A902,'Fund YTD Target Values'!$1:$1,0)),0)</f>
        <v>456546.9656</v>
      </c>
      <c r="S902" s="91">
        <f>IFERROR(__xludf.DUMMYFUNCTION("IFERROR(sum(FILTER('Fund Investment Data'!$V:$V, 'Fund Investment Data'!$C:$C = $C902, 'Fund Investment Data'!$A:$A &lt; $A902)),0) + IFERROR(sum(FILTER('Fund Investment Data'!$V:$V, 'Fund Investment Data'!$C:$C = $C902, 'Fund Investment Data'!$A:$A = $A902,"&amp;" 'Fund Investment Data'!$B:$B &lt;= $B902)),0)"),366400.0)</f>
        <v>366400</v>
      </c>
      <c r="T902" s="93">
        <v>366400.0</v>
      </c>
      <c r="U902" s="32">
        <f t="shared" si="3"/>
        <v>0</v>
      </c>
      <c r="V902" s="32">
        <f>IFERROR(__xludf.DUMMYFUNCTION("$D902 - IFERROR(FILTER($D:$D,$C:$C = $C902, $A:$A = $A902, $B:$B = $B902 - 1),0)"),0.0)</f>
        <v>0</v>
      </c>
      <c r="W902" s="93">
        <f>IFERROR(__xludf.DUMMYFUNCTION("$E902 - IFERROR(FILTER($E:$E,$C:$C = $C902, $A:$A = $A902, $B:$B = $B902 - 1),0)"),0.0)</f>
        <v>0</v>
      </c>
      <c r="X902" s="93"/>
      <c r="Y902" s="93"/>
      <c r="Z902" s="93">
        <v>0.0</v>
      </c>
      <c r="AA902" s="93">
        <v>0.0</v>
      </c>
      <c r="AB902" s="93">
        <v>0.0</v>
      </c>
      <c r="AC902" s="93"/>
      <c r="AD902" s="93">
        <v>0.0</v>
      </c>
      <c r="AE902" s="32">
        <f t="shared" si="2"/>
        <v>0</v>
      </c>
      <c r="AF902" s="93">
        <v>0.0</v>
      </c>
    </row>
    <row r="903">
      <c r="A903" s="86">
        <v>2018.0</v>
      </c>
      <c r="B903" s="87">
        <v>3.0</v>
      </c>
      <c r="C903" s="88" t="s">
        <v>36</v>
      </c>
      <c r="D903" s="32"/>
      <c r="E903" s="32"/>
      <c r="F903" s="32"/>
      <c r="G903" s="93">
        <v>-685.22</v>
      </c>
      <c r="H903" s="93">
        <v>3519.49</v>
      </c>
      <c r="I903" s="32"/>
      <c r="J903" s="93">
        <v>-2948.63</v>
      </c>
      <c r="K903" s="32"/>
      <c r="L903" s="32"/>
      <c r="M903" s="32"/>
      <c r="N903" s="32"/>
      <c r="O903" s="93">
        <v>450641.0</v>
      </c>
      <c r="P903" s="91">
        <f>IFERROR(__xludf.DUMMYFUNCTION("IFERROR(sum(FILTER($D:$N,$C:$C = $C903,$A:$A &lt; $A903,$B:$B = 12)),0) + sum($D903:$N903)"),450640.10000000003)</f>
        <v>450640.1</v>
      </c>
      <c r="Q903" s="92">
        <f t="shared" si="1"/>
        <v>0.9</v>
      </c>
      <c r="R903" s="91">
        <f t="array" ref="R903">IFERROR(INDEX('Fund YTD Target Values'!$1:$1000, MATCH($C903,'Fund YTD Target Values'!$A:$A,0), MATCH($A903,'Fund YTD Target Values'!$1:$1,0)),0)</f>
        <v>635486.6433</v>
      </c>
      <c r="S903" s="91">
        <f>IFERROR(__xludf.DUMMYFUNCTION("IFERROR(sum(FILTER('Fund Investment Data'!$V:$V, 'Fund Investment Data'!$C:$C = $C903, 'Fund Investment Data'!$A:$A &lt; $A903)),0) + IFERROR(sum(FILTER('Fund Investment Data'!$V:$V, 'Fund Investment Data'!$C:$C = $C903, 'Fund Investment Data'!$A:$A = $A903,"&amp;" 'Fund Investment Data'!$B:$B &lt;= $B903)),0)"),429067.24)</f>
        <v>429067.24</v>
      </c>
      <c r="T903" s="93">
        <v>413959.0</v>
      </c>
      <c r="U903" s="32">
        <f t="shared" si="3"/>
        <v>15108.24</v>
      </c>
      <c r="V903" s="32">
        <f>IFERROR(__xludf.DUMMYFUNCTION("$D903 - IFERROR(FILTER($D:$D,$C:$C = $C903, $A:$A = $A903, $B:$B = $B903 - 1),0)"),0.0)</f>
        <v>0</v>
      </c>
      <c r="W903" s="93">
        <f>IFERROR(__xludf.DUMMYFUNCTION("$E903 - IFERROR(FILTER($E:$E,$C:$C = $C903, $A:$A = $A903, $B:$B = $B903 - 1),0)"),0.0)</f>
        <v>0</v>
      </c>
      <c r="X903" s="93"/>
      <c r="Y903" s="93"/>
      <c r="Z903" s="93">
        <v>0.0</v>
      </c>
      <c r="AA903" s="93">
        <v>0.0</v>
      </c>
      <c r="AB903" s="93">
        <v>0.0</v>
      </c>
      <c r="AC903" s="93"/>
      <c r="AD903" s="93">
        <v>0.0</v>
      </c>
      <c r="AE903" s="32">
        <f t="shared" si="2"/>
        <v>0</v>
      </c>
      <c r="AF903" s="93">
        <v>0.0</v>
      </c>
    </row>
    <row r="904">
      <c r="A904" s="86">
        <v>2018.0</v>
      </c>
      <c r="B904" s="87">
        <v>3.0</v>
      </c>
      <c r="C904" s="88" t="s">
        <v>37</v>
      </c>
      <c r="D904" s="32"/>
      <c r="E904" s="32"/>
      <c r="F904" s="32"/>
      <c r="G904" s="93">
        <v>-1251.59</v>
      </c>
      <c r="H904" s="93">
        <v>6428.55</v>
      </c>
      <c r="I904" s="32"/>
      <c r="J904" s="93">
        <v>-5385.84</v>
      </c>
      <c r="K904" s="32"/>
      <c r="L904" s="32"/>
      <c r="M904" s="32"/>
      <c r="N904" s="32"/>
      <c r="O904" s="93">
        <v>823120.0</v>
      </c>
      <c r="P904" s="91">
        <f>IFERROR(__xludf.DUMMYFUNCTION("IFERROR(sum(FILTER($D:$N,$C:$C = $C904,$A:$A &lt; $A904,$B:$B = 12)),0) + sum($D904:$N904)"),823120.3599999999)</f>
        <v>823120.36</v>
      </c>
      <c r="Q904" s="92">
        <f t="shared" si="1"/>
        <v>-0.3599999999</v>
      </c>
      <c r="R904" s="91">
        <f t="array" ref="R904">IFERROR(INDEX('Fund YTD Target Values'!$1:$1000, MATCH($C904,'Fund YTD Target Values'!$A:$A,0), MATCH($A904,'Fund YTD Target Values'!$1:$1,0)),0)</f>
        <v>845621.3635</v>
      </c>
      <c r="S904" s="91">
        <f>IFERROR(__xludf.DUMMYFUNCTION("IFERROR(sum(FILTER('Fund Investment Data'!$V:$V, 'Fund Investment Data'!$C:$C = $C904, 'Fund Investment Data'!$A:$A &lt; $A904)),0) + IFERROR(sum(FILTER('Fund Investment Data'!$V:$V, 'Fund Investment Data'!$C:$C = $C904, 'Fund Investment Data'!$A:$A = $A904,"&amp;" 'Fund Investment Data'!$B:$B &lt;= $B904)),0)"),758137.86)</f>
        <v>758137.86</v>
      </c>
      <c r="T904" s="93">
        <v>742866.0</v>
      </c>
      <c r="U904" s="32">
        <f t="shared" si="3"/>
        <v>15271.86</v>
      </c>
      <c r="V904" s="32">
        <f>IFERROR(__xludf.DUMMYFUNCTION("$D904 - IFERROR(FILTER($D:$D,$C:$C = $C904, $A:$A = $A904, $B:$B = $B904 - 1),0)"),0.0)</f>
        <v>0</v>
      </c>
      <c r="W904" s="93">
        <f>IFERROR(__xludf.DUMMYFUNCTION("$E904 - IFERROR(FILTER($E:$E,$C:$C = $C904, $A:$A = $A904, $B:$B = $B904 - 1),0)"),0.0)</f>
        <v>0</v>
      </c>
      <c r="X904" s="93"/>
      <c r="Y904" s="93"/>
      <c r="Z904" s="93">
        <v>0.0</v>
      </c>
      <c r="AA904" s="93">
        <v>0.0</v>
      </c>
      <c r="AB904" s="93">
        <v>0.0</v>
      </c>
      <c r="AC904" s="93"/>
      <c r="AD904" s="93">
        <v>0.0</v>
      </c>
      <c r="AE904" s="32">
        <f t="shared" si="2"/>
        <v>0</v>
      </c>
      <c r="AF904" s="93">
        <v>0.0</v>
      </c>
    </row>
    <row r="905">
      <c r="A905" s="86">
        <v>2018.0</v>
      </c>
      <c r="B905" s="87">
        <v>3.0</v>
      </c>
      <c r="C905" s="88" t="s">
        <v>29</v>
      </c>
      <c r="D905" s="32"/>
      <c r="E905" s="32"/>
      <c r="F905" s="32"/>
      <c r="G905" s="93">
        <v>-88.41</v>
      </c>
      <c r="H905" s="93">
        <v>453.88</v>
      </c>
      <c r="I905" s="32"/>
      <c r="J905" s="93">
        <v>-380.16</v>
      </c>
      <c r="K905" s="32"/>
      <c r="L905" s="32"/>
      <c r="M905" s="32"/>
      <c r="N905" s="32"/>
      <c r="O905" s="93">
        <v>58147.0</v>
      </c>
      <c r="P905" s="91">
        <f>IFERROR(__xludf.DUMMYFUNCTION("IFERROR(sum(FILTER($D:$N,$C:$C = $C905,$A:$A &lt; $A905,$B:$B = 12)),0) + sum($D905:$N905)"),58146.61999999992)</f>
        <v>58146.62</v>
      </c>
      <c r="Q905" s="92">
        <f t="shared" si="1"/>
        <v>0.3800000001</v>
      </c>
      <c r="R905" s="91">
        <f t="array" ref="R905">IFERROR(INDEX('Fund YTD Target Values'!$1:$1000, MATCH($C905,'Fund YTD Target Values'!$A:$A,0), MATCH($A905,'Fund YTD Target Values'!$1:$1,0)),0)</f>
        <v>77055.94062</v>
      </c>
      <c r="S905" s="91">
        <f>IFERROR(__xludf.DUMMYFUNCTION("IFERROR(sum(FILTER('Fund Investment Data'!$V:$V, 'Fund Investment Data'!$C:$C = $C905, 'Fund Investment Data'!$A:$A &lt; $A905)),0) + IFERROR(sum(FILTER('Fund Investment Data'!$V:$V, 'Fund Investment Data'!$C:$C = $C905, 'Fund Investment Data'!$A:$A = $A905,"&amp;" 'Fund Investment Data'!$B:$B &lt;= $B905)),0)"),50000.0)</f>
        <v>50000</v>
      </c>
      <c r="T905" s="93">
        <v>50000.0</v>
      </c>
      <c r="U905" s="32">
        <f t="shared" si="3"/>
        <v>0</v>
      </c>
      <c r="V905" s="32">
        <f>IFERROR(__xludf.DUMMYFUNCTION("$D905 - IFERROR(FILTER($D:$D,$C:$C = $C905, $A:$A = $A905, $B:$B = $B905 - 1),0)"),0.0)</f>
        <v>0</v>
      </c>
      <c r="W905" s="93">
        <f>IFERROR(__xludf.DUMMYFUNCTION("$E905 - IFERROR(FILTER($E:$E,$C:$C = $C905, $A:$A = $A905, $B:$B = $B905 - 1),0)"),0.0)</f>
        <v>0</v>
      </c>
      <c r="X905" s="93"/>
      <c r="Y905" s="93"/>
      <c r="Z905" s="93">
        <v>0.0</v>
      </c>
      <c r="AA905" s="93">
        <v>0.0</v>
      </c>
      <c r="AB905" s="93">
        <v>0.0</v>
      </c>
      <c r="AC905" s="93"/>
      <c r="AD905" s="93">
        <v>0.0</v>
      </c>
      <c r="AE905" s="32">
        <f t="shared" si="2"/>
        <v>0</v>
      </c>
      <c r="AF905" s="93">
        <v>0.0</v>
      </c>
    </row>
    <row r="906">
      <c r="A906" s="86">
        <v>2018.0</v>
      </c>
      <c r="B906" s="87">
        <v>3.0</v>
      </c>
      <c r="C906" s="88" t="s">
        <v>38</v>
      </c>
      <c r="D906" s="32"/>
      <c r="E906" s="32"/>
      <c r="F906" s="32"/>
      <c r="G906" s="93">
        <v>-1234.05</v>
      </c>
      <c r="H906" s="93">
        <v>6293.43</v>
      </c>
      <c r="I906" s="32"/>
      <c r="J906" s="93">
        <v>-5250.53</v>
      </c>
      <c r="K906" s="32"/>
      <c r="L906" s="32"/>
      <c r="M906" s="32"/>
      <c r="N906" s="32"/>
      <c r="O906" s="93">
        <v>815218.0</v>
      </c>
      <c r="P906" s="91">
        <f>IFERROR(__xludf.DUMMYFUNCTION("IFERROR(sum(FILTER($D:$N,$C:$C = $C906,$A:$A &lt; $A906,$B:$B = 12)),0) + sum($D906:$N906)"),815216.9899999999)</f>
        <v>815216.99</v>
      </c>
      <c r="Q906" s="92">
        <f t="shared" si="1"/>
        <v>1.01</v>
      </c>
      <c r="R906" s="91">
        <f t="array" ref="R906">IFERROR(INDEX('Fund YTD Target Values'!$1:$1000, MATCH($C906,'Fund YTD Target Values'!$A:$A,0), MATCH($A906,'Fund YTD Target Values'!$1:$1,0)),0)</f>
        <v>702514.9803</v>
      </c>
      <c r="S906" s="91">
        <f>IFERROR(__xludf.DUMMYFUNCTION("IFERROR(sum(FILTER('Fund Investment Data'!$V:$V, 'Fund Investment Data'!$C:$C = $C906, 'Fund Investment Data'!$A:$A &lt; $A906)),0) + IFERROR(sum(FILTER('Fund Investment Data'!$V:$V, 'Fund Investment Data'!$C:$C = $C906, 'Fund Investment Data'!$A:$A = $A906,"&amp;" 'Fund Investment Data'!$B:$B &lt;= $B906)),0)"),556601.64)</f>
        <v>556601.64</v>
      </c>
      <c r="T906" s="93">
        <v>558656.0</v>
      </c>
      <c r="U906" s="32">
        <f t="shared" si="3"/>
        <v>-2054.36</v>
      </c>
      <c r="V906" s="32">
        <f>IFERROR(__xludf.DUMMYFUNCTION("$D906 - IFERROR(FILTER($D:$D,$C:$C = $C906, $A:$A = $A906, $B:$B = $B906 - 1),0)"),0.0)</f>
        <v>0</v>
      </c>
      <c r="W906" s="93">
        <f>IFERROR(__xludf.DUMMYFUNCTION("$E906 - IFERROR(FILTER($E:$E,$C:$C = $C906, $A:$A = $A906, $B:$B = $B906 - 1),0)"),0.0)</f>
        <v>0</v>
      </c>
      <c r="X906" s="93"/>
      <c r="Y906" s="93"/>
      <c r="Z906" s="93">
        <v>0.0</v>
      </c>
      <c r="AA906" s="93">
        <v>0.0</v>
      </c>
      <c r="AB906" s="93">
        <v>0.0</v>
      </c>
      <c r="AC906" s="93"/>
      <c r="AD906" s="93">
        <v>0.0</v>
      </c>
      <c r="AE906" s="32">
        <f t="shared" si="2"/>
        <v>0</v>
      </c>
      <c r="AF906" s="93">
        <v>0.0</v>
      </c>
    </row>
    <row r="907">
      <c r="A907" s="86">
        <v>2018.0</v>
      </c>
      <c r="B907" s="87">
        <v>3.0</v>
      </c>
      <c r="C907" s="88" t="s">
        <v>30</v>
      </c>
      <c r="D907" s="32"/>
      <c r="E907" s="32"/>
      <c r="F907" s="32"/>
      <c r="G907" s="93">
        <v>-26.38</v>
      </c>
      <c r="H907" s="93">
        <v>131.14</v>
      </c>
      <c r="I907" s="32"/>
      <c r="J907" s="93">
        <v>-113.91</v>
      </c>
      <c r="K907" s="32"/>
      <c r="L907" s="32"/>
      <c r="M907" s="32"/>
      <c r="N907" s="32"/>
      <c r="O907" s="93">
        <v>17360.0</v>
      </c>
      <c r="P907" s="91">
        <f>IFERROR(__xludf.DUMMYFUNCTION("IFERROR(sum(FILTER($D:$N,$C:$C = $C907,$A:$A &lt; $A907,$B:$B = 12)),0) + sum($D907:$N907)"),17358.259999999984)</f>
        <v>17358.26</v>
      </c>
      <c r="Q907" s="92">
        <f t="shared" si="1"/>
        <v>1.74</v>
      </c>
      <c r="R907" s="91">
        <f t="array" ref="R907">IFERROR(INDEX('Fund YTD Target Values'!$1:$1000, MATCH($C907,'Fund YTD Target Values'!$A:$A,0), MATCH($A907,'Fund YTD Target Values'!$1:$1,0)),0)</f>
        <v>18484.57102</v>
      </c>
      <c r="S907" s="91">
        <f>IFERROR(__xludf.DUMMYFUNCTION("IFERROR(sum(FILTER('Fund Investment Data'!$V:$V, 'Fund Investment Data'!$C:$C = $C907, 'Fund Investment Data'!$A:$A &lt; $A907)),0) + IFERROR(sum(FILTER('Fund Investment Data'!$V:$V, 'Fund Investment Data'!$C:$C = $C907, 'Fund Investment Data'!$A:$A = $A907,"&amp;" 'Fund Investment Data'!$B:$B &lt;= $B907)),0)"),11540.75)</f>
        <v>11540.75</v>
      </c>
      <c r="T907" s="93">
        <v>10000.0</v>
      </c>
      <c r="U907" s="32">
        <f t="shared" si="3"/>
        <v>1540.75</v>
      </c>
      <c r="V907" s="32">
        <f>IFERROR(__xludf.DUMMYFUNCTION("$D907 - IFERROR(FILTER($D:$D,$C:$C = $C907, $A:$A = $A907, $B:$B = $B907 - 1),0)"),0.0)</f>
        <v>0</v>
      </c>
      <c r="W907" s="93">
        <f>IFERROR(__xludf.DUMMYFUNCTION("$E907 - IFERROR(FILTER($E:$E,$C:$C = $C907, $A:$A = $A907, $B:$B = $B907 - 1),0)"),0.0)</f>
        <v>0</v>
      </c>
      <c r="X907" s="93"/>
      <c r="Y907" s="93"/>
      <c r="Z907" s="93">
        <v>0.0</v>
      </c>
      <c r="AA907" s="93">
        <v>0.0</v>
      </c>
      <c r="AB907" s="93">
        <v>0.0</v>
      </c>
      <c r="AC907" s="93"/>
      <c r="AD907" s="93">
        <v>0.0</v>
      </c>
      <c r="AE907" s="32">
        <f t="shared" si="2"/>
        <v>0</v>
      </c>
      <c r="AF907" s="93">
        <v>0.0</v>
      </c>
    </row>
    <row r="908">
      <c r="A908" s="86">
        <v>2018.0</v>
      </c>
      <c r="B908" s="87">
        <v>3.0</v>
      </c>
      <c r="C908" s="88" t="s">
        <v>47</v>
      </c>
      <c r="D908" s="32"/>
      <c r="E908" s="32"/>
      <c r="F908" s="32"/>
      <c r="G908" s="93">
        <v>-2301.89</v>
      </c>
      <c r="H908" s="93">
        <v>11823.24</v>
      </c>
      <c r="I908" s="32"/>
      <c r="J908" s="93">
        <v>-9905.53</v>
      </c>
      <c r="K908" s="32"/>
      <c r="L908" s="32"/>
      <c r="M908" s="32"/>
      <c r="N908" s="32"/>
      <c r="O908" s="93">
        <v>1513866.0</v>
      </c>
      <c r="P908" s="91">
        <f>IFERROR(__xludf.DUMMYFUNCTION("IFERROR(sum(FILTER($D:$N,$C:$C = $C908,$A:$A &lt; $A908,$B:$B = 12)),0) + sum($D908:$N908)"),1513865.4599999997)</f>
        <v>1513865.46</v>
      </c>
      <c r="Q908" s="92">
        <f t="shared" si="1"/>
        <v>0.5400000003</v>
      </c>
      <c r="R908" s="91">
        <f t="array" ref="R908">IFERROR(INDEX('Fund YTD Target Values'!$1:$1000, MATCH($C908,'Fund YTD Target Values'!$A:$A,0), MATCH($A908,'Fund YTD Target Values'!$1:$1,0)),0)</f>
        <v>1998729.212</v>
      </c>
      <c r="S908" s="91">
        <f>IFERROR(__xludf.DUMMYFUNCTION("IFERROR(sum(FILTER('Fund Investment Data'!$V:$V, 'Fund Investment Data'!$C:$C = $C908, 'Fund Investment Data'!$A:$A &lt; $A908)),0) + IFERROR(sum(FILTER('Fund Investment Data'!$V:$V, 'Fund Investment Data'!$C:$C = $C908, 'Fund Investment Data'!$A:$A = $A908,"&amp;" 'Fund Investment Data'!$B:$B &lt;= $B908)),0)"),1456367.46)</f>
        <v>1456367.46</v>
      </c>
      <c r="T908" s="93">
        <v>1348955.0</v>
      </c>
      <c r="U908" s="32">
        <f t="shared" si="3"/>
        <v>107412.46</v>
      </c>
      <c r="V908" s="32">
        <f>IFERROR(__xludf.DUMMYFUNCTION("$D908 - IFERROR(FILTER($D:$D,$C:$C = $C908, $A:$A = $A908, $B:$B = $B908 - 1),0)"),0.0)</f>
        <v>0</v>
      </c>
      <c r="W908" s="93">
        <f>IFERROR(__xludf.DUMMYFUNCTION("$E908 - IFERROR(FILTER($E:$E,$C:$C = $C908, $A:$A = $A908, $B:$B = $B908 - 1),0)"),0.0)</f>
        <v>0</v>
      </c>
      <c r="X908" s="93"/>
      <c r="Y908" s="93"/>
      <c r="Z908" s="93">
        <v>0.0</v>
      </c>
      <c r="AA908" s="93">
        <v>0.0</v>
      </c>
      <c r="AB908" s="93">
        <v>0.0</v>
      </c>
      <c r="AC908" s="93"/>
      <c r="AD908" s="93">
        <v>0.0</v>
      </c>
      <c r="AE908" s="32">
        <f t="shared" si="2"/>
        <v>0</v>
      </c>
      <c r="AF908" s="93">
        <v>0.0</v>
      </c>
    </row>
    <row r="909">
      <c r="A909" s="86">
        <v>2018.0</v>
      </c>
      <c r="B909" s="87">
        <v>3.0</v>
      </c>
      <c r="C909" s="88" t="s">
        <v>31</v>
      </c>
      <c r="D909" s="32"/>
      <c r="E909" s="32"/>
      <c r="F909" s="32"/>
      <c r="G909" s="93">
        <v>-287.71</v>
      </c>
      <c r="H909" s="93">
        <v>1477.75</v>
      </c>
      <c r="I909" s="32"/>
      <c r="J909" s="93">
        <v>-1238.04</v>
      </c>
      <c r="K909" s="32"/>
      <c r="L909" s="32"/>
      <c r="M909" s="32"/>
      <c r="N909" s="32"/>
      <c r="O909" s="93">
        <v>189211.0</v>
      </c>
      <c r="P909" s="91">
        <f>IFERROR(__xludf.DUMMYFUNCTION("IFERROR(sum(FILTER($D:$N,$C:$C = $C909,$A:$A &lt; $A909,$B:$B = 12)),0) + sum($D909:$N909)"),189211.35000000003)</f>
        <v>189211.35</v>
      </c>
      <c r="Q909" s="92">
        <f t="shared" si="1"/>
        <v>-0.35</v>
      </c>
      <c r="R909" s="91">
        <f t="array" ref="R909">IFERROR(INDEX('Fund YTD Target Values'!$1:$1000, MATCH($C909,'Fund YTD Target Values'!$A:$A,0), MATCH($A909,'Fund YTD Target Values'!$1:$1,0)),0)</f>
        <v>210555.1651</v>
      </c>
      <c r="S909" s="91">
        <f>IFERROR(__xludf.DUMMYFUNCTION("IFERROR(sum(FILTER('Fund Investment Data'!$V:$V, 'Fund Investment Data'!$C:$C = $C909, 'Fund Investment Data'!$A:$A &lt; $A909)),0) + IFERROR(sum(FILTER('Fund Investment Data'!$V:$V, 'Fund Investment Data'!$C:$C = $C909, 'Fund Investment Data'!$A:$A = $A909,"&amp;" 'Fund Investment Data'!$B:$B &lt;= $B909)),0)"),158100.0)</f>
        <v>158100</v>
      </c>
      <c r="T909" s="93">
        <v>156850.0</v>
      </c>
      <c r="U909" s="32">
        <f t="shared" si="3"/>
        <v>1250</v>
      </c>
      <c r="V909" s="32">
        <f>IFERROR(__xludf.DUMMYFUNCTION("$D909 - IFERROR(FILTER($D:$D,$C:$C = $C909, $A:$A = $A909, $B:$B = $B909 - 1),0)"),0.0)</f>
        <v>0</v>
      </c>
      <c r="W909" s="93">
        <f>IFERROR(__xludf.DUMMYFUNCTION("$E909 - IFERROR(FILTER($E:$E,$C:$C = $C909, $A:$A = $A909, $B:$B = $B909 - 1),0)"),0.0)</f>
        <v>0</v>
      </c>
      <c r="X909" s="93"/>
      <c r="Y909" s="93"/>
      <c r="Z909" s="93">
        <v>0.0</v>
      </c>
      <c r="AA909" s="93">
        <v>0.0</v>
      </c>
      <c r="AB909" s="93">
        <v>0.0</v>
      </c>
      <c r="AC909" s="93"/>
      <c r="AD909" s="93">
        <v>0.0</v>
      </c>
      <c r="AE909" s="32">
        <f t="shared" si="2"/>
        <v>0</v>
      </c>
      <c r="AF909" s="93">
        <v>0.0</v>
      </c>
    </row>
    <row r="910">
      <c r="A910" s="86">
        <v>2018.0</v>
      </c>
      <c r="B910" s="87">
        <v>3.0</v>
      </c>
      <c r="C910" s="88" t="s">
        <v>39</v>
      </c>
      <c r="D910" s="32"/>
      <c r="E910" s="32"/>
      <c r="F910" s="32"/>
      <c r="G910" s="93">
        <v>-272.25</v>
      </c>
      <c r="H910" s="93">
        <v>1275.98</v>
      </c>
      <c r="I910" s="32"/>
      <c r="J910" s="93">
        <v>-2020.78</v>
      </c>
      <c r="K910" s="32"/>
      <c r="L910" s="32"/>
      <c r="M910" s="32"/>
      <c r="N910" s="32"/>
      <c r="O910" s="93">
        <v>178706.0</v>
      </c>
      <c r="P910" s="91">
        <f>IFERROR(__xludf.DUMMYFUNCTION("IFERROR(sum(FILTER($D:$N,$C:$C = $C910,$A:$A &lt; $A910,$B:$B = 12)),0) + sum($D910:$N910)"),178706.21000000005)</f>
        <v>178706.21</v>
      </c>
      <c r="Q910" s="92">
        <f t="shared" si="1"/>
        <v>-0.2100000001</v>
      </c>
      <c r="R910" s="91">
        <f t="array" ref="R910">IFERROR(INDEX('Fund YTD Target Values'!$1:$1000, MATCH($C910,'Fund YTD Target Values'!$A:$A,0), MATCH($A910,'Fund YTD Target Values'!$1:$1,0)),0)</f>
        <v>184883.5181</v>
      </c>
      <c r="S910" s="91">
        <f>IFERROR(__xludf.DUMMYFUNCTION("IFERROR(sum(FILTER('Fund Investment Data'!$V:$V, 'Fund Investment Data'!$C:$C = $C910, 'Fund Investment Data'!$A:$A &lt; $A910)),0) + IFERROR(sum(FILTER('Fund Investment Data'!$V:$V, 'Fund Investment Data'!$C:$C = $C910, 'Fund Investment Data'!$A:$A = $A910,"&amp;" 'Fund Investment Data'!$B:$B &lt;= $B910)),0)"),155000.0)</f>
        <v>155000</v>
      </c>
      <c r="T910" s="93">
        <v>155000.0</v>
      </c>
      <c r="U910" s="32">
        <f t="shared" si="3"/>
        <v>0</v>
      </c>
      <c r="V910" s="32">
        <f>IFERROR(__xludf.DUMMYFUNCTION("$D910 - IFERROR(FILTER($D:$D,$C:$C = $C910, $A:$A = $A910, $B:$B = $B910 - 1),0)"),0.0)</f>
        <v>0</v>
      </c>
      <c r="W910" s="93">
        <f>IFERROR(__xludf.DUMMYFUNCTION("$E910 - IFERROR(FILTER($E:$E,$C:$C = $C910, $A:$A = $A910, $B:$B = $B910 - 1),0)"),0.0)</f>
        <v>0</v>
      </c>
      <c r="X910" s="93"/>
      <c r="Y910" s="93"/>
      <c r="Z910" s="93">
        <v>0.0</v>
      </c>
      <c r="AA910" s="93">
        <v>0.0</v>
      </c>
      <c r="AB910" s="93">
        <v>0.0</v>
      </c>
      <c r="AC910" s="93"/>
      <c r="AD910" s="93">
        <v>0.0</v>
      </c>
      <c r="AE910" s="32">
        <f t="shared" si="2"/>
        <v>0</v>
      </c>
      <c r="AF910" s="93">
        <v>0.0</v>
      </c>
    </row>
    <row r="911">
      <c r="A911" s="86">
        <v>2018.0</v>
      </c>
      <c r="B911" s="87">
        <v>3.0</v>
      </c>
      <c r="C911" s="88" t="s">
        <v>50</v>
      </c>
      <c r="D911" s="32"/>
      <c r="E911" s="32"/>
      <c r="F911" s="32"/>
      <c r="G911" s="93">
        <v>-327.24</v>
      </c>
      <c r="H911" s="93">
        <v>1615.82</v>
      </c>
      <c r="I911" s="32"/>
      <c r="J911" s="93">
        <v>-1414.83</v>
      </c>
      <c r="K911" s="32"/>
      <c r="L911" s="32"/>
      <c r="M911" s="32"/>
      <c r="N911" s="32"/>
      <c r="O911" s="93">
        <v>215338.0</v>
      </c>
      <c r="P911" s="91">
        <f>IFERROR(__xludf.DUMMYFUNCTION("IFERROR(sum(FILTER($D:$N,$C:$C = $C911,$A:$A &lt; $A911,$B:$B = 12)),0) + sum($D911:$N911)"),215337.86)</f>
        <v>215337.86</v>
      </c>
      <c r="Q911" s="92">
        <f t="shared" si="1"/>
        <v>0.14</v>
      </c>
      <c r="R911" s="91">
        <f t="array" ref="R911">IFERROR(INDEX('Fund YTD Target Values'!$1:$1000, MATCH($C911,'Fund YTD Target Values'!$A:$A,0), MATCH($A911,'Fund YTD Target Values'!$1:$1,0)),0)</f>
        <v>217663.6749</v>
      </c>
      <c r="S911" s="91">
        <f>IFERROR(__xludf.DUMMYFUNCTION("IFERROR(sum(FILTER('Fund Investment Data'!$V:$V, 'Fund Investment Data'!$C:$C = $C911, 'Fund Investment Data'!$A:$A &lt; $A911)),0) + IFERROR(sum(FILTER('Fund Investment Data'!$V:$V, 'Fund Investment Data'!$C:$C = $C911, 'Fund Investment Data'!$A:$A = $A911,"&amp;" 'Fund Investment Data'!$B:$B &lt;= $B911)),0)"),185189.56)</f>
        <v>185189.56</v>
      </c>
      <c r="T911" s="93">
        <v>190241.0</v>
      </c>
      <c r="U911" s="32">
        <f t="shared" si="3"/>
        <v>-5051.44</v>
      </c>
      <c r="V911" s="32">
        <f>IFERROR(__xludf.DUMMYFUNCTION("$D911 - IFERROR(FILTER($D:$D,$C:$C = $C911, $A:$A = $A911, $B:$B = $B911 - 1),0)"),0.0)</f>
        <v>0</v>
      </c>
      <c r="W911" s="93">
        <f>IFERROR(__xludf.DUMMYFUNCTION("$E911 - IFERROR(FILTER($E:$E,$C:$C = $C911, $A:$A = $A911, $B:$B = $B911 - 1),0)"),0.0)</f>
        <v>0</v>
      </c>
      <c r="X911" s="93"/>
      <c r="Y911" s="93"/>
      <c r="Z911" s="93">
        <v>0.0</v>
      </c>
      <c r="AA911" s="93">
        <v>0.0</v>
      </c>
      <c r="AB911" s="93">
        <v>0.0</v>
      </c>
      <c r="AC911" s="93"/>
      <c r="AD911" s="93">
        <v>0.0</v>
      </c>
      <c r="AE911" s="32">
        <f t="shared" si="2"/>
        <v>0</v>
      </c>
      <c r="AF911" s="93">
        <v>0.0</v>
      </c>
    </row>
    <row r="912">
      <c r="A912" s="86">
        <v>2018.0</v>
      </c>
      <c r="B912" s="87">
        <v>3.0</v>
      </c>
      <c r="C912" s="88" t="s">
        <v>32</v>
      </c>
      <c r="D912" s="32"/>
      <c r="E912" s="32"/>
      <c r="F912" s="32"/>
      <c r="G912" s="93">
        <v>-81.18</v>
      </c>
      <c r="H912" s="93">
        <v>406.83</v>
      </c>
      <c r="I912" s="32"/>
      <c r="J912" s="93">
        <v>-348.26</v>
      </c>
      <c r="K912" s="32"/>
      <c r="L912" s="32"/>
      <c r="M912" s="32"/>
      <c r="N912" s="32"/>
      <c r="O912" s="93">
        <v>53409.0</v>
      </c>
      <c r="P912" s="91">
        <f>IFERROR(__xludf.DUMMYFUNCTION("IFERROR(sum(FILTER($D:$N,$C:$C = $C912,$A:$A &lt; $A912,$B:$B = 12)),0) + sum($D912:$N912)"),53408.21000000003)</f>
        <v>53408.21</v>
      </c>
      <c r="Q912" s="92">
        <f t="shared" si="1"/>
        <v>0.79</v>
      </c>
      <c r="R912" s="91">
        <f t="array" ref="R912">IFERROR(INDEX('Fund YTD Target Values'!$1:$1000, MATCH($C912,'Fund YTD Target Values'!$A:$A,0), MATCH($A912,'Fund YTD Target Values'!$1:$1,0)),0)</f>
        <v>79179.11465</v>
      </c>
      <c r="S912" s="91">
        <f>IFERROR(__xludf.DUMMYFUNCTION("IFERROR(sum(FILTER('Fund Investment Data'!$V:$V, 'Fund Investment Data'!$C:$C = $C912, 'Fund Investment Data'!$A:$A &lt; $A912)),0) + IFERROR(sum(FILTER('Fund Investment Data'!$V:$V, 'Fund Investment Data'!$C:$C = $C912, 'Fund Investment Data'!$A:$A = $A912,"&amp;" 'Fund Investment Data'!$B:$B &lt;= $B912)),0)"),49449.04)</f>
        <v>49449.04</v>
      </c>
      <c r="T912" s="93">
        <v>39268.0</v>
      </c>
      <c r="U912" s="32">
        <f t="shared" si="3"/>
        <v>10181.04</v>
      </c>
      <c r="V912" s="32">
        <f>IFERROR(__xludf.DUMMYFUNCTION("$D912 - IFERROR(FILTER($D:$D,$C:$C = $C912, $A:$A = $A912, $B:$B = $B912 - 1),0)"),0.0)</f>
        <v>0</v>
      </c>
      <c r="W912" s="93">
        <f>IFERROR(__xludf.DUMMYFUNCTION("$E912 - IFERROR(FILTER($E:$E,$C:$C = $C912, $A:$A = $A912, $B:$B = $B912 - 1),0)"),0.0)</f>
        <v>0</v>
      </c>
      <c r="X912" s="93"/>
      <c r="Y912" s="93"/>
      <c r="Z912" s="93">
        <v>0.0</v>
      </c>
      <c r="AA912" s="93">
        <v>0.0</v>
      </c>
      <c r="AB912" s="93">
        <v>0.0</v>
      </c>
      <c r="AC912" s="93"/>
      <c r="AD912" s="93">
        <v>0.0</v>
      </c>
      <c r="AE912" s="32">
        <f t="shared" si="2"/>
        <v>0</v>
      </c>
      <c r="AF912" s="93">
        <v>0.0</v>
      </c>
    </row>
    <row r="913">
      <c r="A913" s="86">
        <v>2018.0</v>
      </c>
      <c r="B913" s="87">
        <v>3.0</v>
      </c>
      <c r="C913" s="88" t="s">
        <v>40</v>
      </c>
      <c r="D913" s="32"/>
      <c r="E913" s="32"/>
      <c r="F913" s="32"/>
      <c r="G913" s="93">
        <v>-235.34</v>
      </c>
      <c r="H913" s="93">
        <v>1208.76</v>
      </c>
      <c r="I913" s="32"/>
      <c r="J913" s="93">
        <v>-1012.71</v>
      </c>
      <c r="K913" s="32"/>
      <c r="L913" s="32"/>
      <c r="M913" s="32"/>
      <c r="N913" s="32"/>
      <c r="O913" s="93">
        <v>154773.0</v>
      </c>
      <c r="P913" s="91">
        <f>IFERROR(__xludf.DUMMYFUNCTION("IFERROR(sum(FILTER($D:$N,$C:$C = $C913,$A:$A &lt; $A913,$B:$B = 12)),0) + sum($D913:$N913)"),154773.41999999993)</f>
        <v>154773.42</v>
      </c>
      <c r="Q913" s="92">
        <f t="shared" si="1"/>
        <v>-0.4199999999</v>
      </c>
      <c r="R913" s="91">
        <f t="array" ref="R913">IFERROR(INDEX('Fund YTD Target Values'!$1:$1000, MATCH($C913,'Fund YTD Target Values'!$A:$A,0), MATCH($A913,'Fund YTD Target Values'!$1:$1,0)),0)</f>
        <v>161362.9699</v>
      </c>
      <c r="S913" s="91">
        <f>IFERROR(__xludf.DUMMYFUNCTION("IFERROR(sum(FILTER('Fund Investment Data'!$V:$V, 'Fund Investment Data'!$C:$C = $C913, 'Fund Investment Data'!$A:$A &lt; $A913)),0) + IFERROR(sum(FILTER('Fund Investment Data'!$V:$V, 'Fund Investment Data'!$C:$C = $C913, 'Fund Investment Data'!$A:$A = $A913,"&amp;" 'Fund Investment Data'!$B:$B &lt;= $B913)),0)"),129703.74)</f>
        <v>129703.74</v>
      </c>
      <c r="T913" s="93">
        <v>129723.0</v>
      </c>
      <c r="U913" s="32">
        <f t="shared" si="3"/>
        <v>-19.26</v>
      </c>
      <c r="V913" s="32">
        <f>IFERROR(__xludf.DUMMYFUNCTION("$D913 - IFERROR(FILTER($D:$D,$C:$C = $C913, $A:$A = $A913, $B:$B = $B913 - 1),0)"),0.0)</f>
        <v>0</v>
      </c>
      <c r="W913" s="93">
        <f>IFERROR(__xludf.DUMMYFUNCTION("$E913 - IFERROR(FILTER($E:$E,$C:$C = $C913, $A:$A = $A913, $B:$B = $B913 - 1),0)"),0.0)</f>
        <v>0</v>
      </c>
      <c r="X913" s="93"/>
      <c r="Y913" s="93"/>
      <c r="Z913" s="93">
        <v>0.0</v>
      </c>
      <c r="AA913" s="93">
        <v>0.0</v>
      </c>
      <c r="AB913" s="93">
        <v>0.0</v>
      </c>
      <c r="AC913" s="93"/>
      <c r="AD913" s="93">
        <v>0.0</v>
      </c>
      <c r="AE913" s="32">
        <f t="shared" si="2"/>
        <v>0</v>
      </c>
      <c r="AF913" s="93">
        <v>0.0</v>
      </c>
    </row>
    <row r="914">
      <c r="A914" s="86">
        <v>2018.0</v>
      </c>
      <c r="B914" s="87">
        <v>3.0</v>
      </c>
      <c r="C914" s="88" t="s">
        <v>51</v>
      </c>
      <c r="D914" s="93">
        <v>100.0</v>
      </c>
      <c r="E914" s="32"/>
      <c r="F914" s="93"/>
      <c r="G914" s="93">
        <v>-737.68</v>
      </c>
      <c r="H914" s="93">
        <v>3756.31</v>
      </c>
      <c r="I914" s="32"/>
      <c r="J914" s="93">
        <v>-3130.83</v>
      </c>
      <c r="K914" s="32"/>
      <c r="L914" s="32"/>
      <c r="M914" s="32"/>
      <c r="N914" s="32"/>
      <c r="O914" s="93">
        <v>485340.0</v>
      </c>
      <c r="P914" s="91">
        <f>IFERROR(__xludf.DUMMYFUNCTION("IFERROR(sum(FILTER($D:$N,$C:$C = $C914,$A:$A &lt; $A914,$B:$B = 12)),0) + sum($D914:$N914)"),485339.73000000004)</f>
        <v>485339.73</v>
      </c>
      <c r="Q914" s="92">
        <f t="shared" si="1"/>
        <v>0.27</v>
      </c>
      <c r="R914" s="91">
        <f t="array" ref="R914">IFERROR(INDEX('Fund YTD Target Values'!$1:$1000, MATCH($C914,'Fund YTD Target Values'!$A:$A,0), MATCH($A914,'Fund YTD Target Values'!$1:$1,0)),0)</f>
        <v>451180.3592</v>
      </c>
      <c r="S914" s="91">
        <f>IFERROR(__xludf.DUMMYFUNCTION("IFERROR(sum(FILTER('Fund Investment Data'!$V:$V, 'Fund Investment Data'!$C:$C = $C914, 'Fund Investment Data'!$A:$A &lt; $A914)),0) + IFERROR(sum(FILTER('Fund Investment Data'!$V:$V, 'Fund Investment Data'!$C:$C = $C914, 'Fund Investment Data'!$A:$A = $A914,"&amp;" 'Fund Investment Data'!$B:$B &lt;= $B914)),0)"),416523.55)</f>
        <v>416523.55</v>
      </c>
      <c r="T914" s="93">
        <v>419027.0</v>
      </c>
      <c r="U914" s="32">
        <f t="shared" si="3"/>
        <v>-2503.45</v>
      </c>
      <c r="V914" s="32">
        <f>IFERROR(__xludf.DUMMYFUNCTION("$D914 - IFERROR(FILTER($D:$D,$C:$C = $C914, $A:$A = $A914, $B:$B = $B914 - 1),0)"),50.0)</f>
        <v>50</v>
      </c>
      <c r="W914" s="93">
        <f>IFERROR(__xludf.DUMMYFUNCTION("$E914 - IFERROR(FILTER($E:$E,$C:$C = $C914, $A:$A = $A914, $B:$B = $B914 - 1),0)"),0.0)</f>
        <v>0</v>
      </c>
      <c r="X914" s="93"/>
      <c r="Y914" s="93"/>
      <c r="Z914" s="93">
        <v>0.0</v>
      </c>
      <c r="AA914" s="93">
        <v>0.0</v>
      </c>
      <c r="AB914" s="93">
        <v>0.0</v>
      </c>
      <c r="AC914" s="93"/>
      <c r="AD914" s="93">
        <v>0.0</v>
      </c>
      <c r="AE914" s="32">
        <f t="shared" si="2"/>
        <v>0</v>
      </c>
      <c r="AF914" s="93">
        <v>0.0</v>
      </c>
    </row>
    <row r="915">
      <c r="A915" s="86">
        <v>2018.0</v>
      </c>
      <c r="B915" s="87">
        <v>3.0</v>
      </c>
      <c r="C915" s="88" t="s">
        <v>48</v>
      </c>
      <c r="D915" s="32"/>
      <c r="E915" s="32"/>
      <c r="F915" s="32"/>
      <c r="G915" s="93">
        <v>-1898.14</v>
      </c>
      <c r="H915" s="93">
        <v>9749.4</v>
      </c>
      <c r="I915" s="32"/>
      <c r="J915" s="93">
        <v>-8168.04</v>
      </c>
      <c r="K915" s="32"/>
      <c r="L915" s="32"/>
      <c r="M915" s="32"/>
      <c r="N915" s="32"/>
      <c r="O915" s="93">
        <v>1248326.0</v>
      </c>
      <c r="P915" s="91">
        <f>IFERROR(__xludf.DUMMYFUNCTION("IFERROR(sum(FILTER($D:$N,$C:$C = $C915,$A:$A &lt; $A915,$B:$B = 12)),0) + sum($D915:$N915)"),1248324.8899999997)</f>
        <v>1248324.89</v>
      </c>
      <c r="Q915" s="92">
        <f t="shared" si="1"/>
        <v>1.11</v>
      </c>
      <c r="R915" s="91">
        <f t="array" ref="R915">IFERROR(INDEX('Fund YTD Target Values'!$1:$1000, MATCH($C915,'Fund YTD Target Values'!$A:$A,0), MATCH($A915,'Fund YTD Target Values'!$1:$1,0)),0)</f>
        <v>1896274.236</v>
      </c>
      <c r="S915" s="91">
        <f>IFERROR(__xludf.DUMMYFUNCTION("IFERROR(sum(FILTER('Fund Investment Data'!$V:$V, 'Fund Investment Data'!$C:$C = $C915, 'Fund Investment Data'!$A:$A &lt; $A915)),0) + IFERROR(sum(FILTER('Fund Investment Data'!$V:$V, 'Fund Investment Data'!$C:$C = $C915, 'Fund Investment Data'!$A:$A = $A915,"&amp;" 'Fund Investment Data'!$B:$B &lt;= $B915)),0)"),1183929.39)</f>
        <v>1183929.39</v>
      </c>
      <c r="T915" s="93">
        <v>1140040.0</v>
      </c>
      <c r="U915" s="32">
        <f t="shared" si="3"/>
        <v>43889.39</v>
      </c>
      <c r="V915" s="32">
        <f>IFERROR(__xludf.DUMMYFUNCTION("$D915 - IFERROR(FILTER($D:$D,$C:$C = $C915, $A:$A = $A915, $B:$B = $B915 - 1),0)"),0.0)</f>
        <v>0</v>
      </c>
      <c r="W915" s="93">
        <f>IFERROR(__xludf.DUMMYFUNCTION("$E915 - IFERROR(FILTER($E:$E,$C:$C = $C915, $A:$A = $A915, $B:$B = $B915 - 1),0)"),0.0)</f>
        <v>0</v>
      </c>
      <c r="X915" s="93"/>
      <c r="Y915" s="93"/>
      <c r="Z915" s="93">
        <v>0.0</v>
      </c>
      <c r="AA915" s="93">
        <v>0.0</v>
      </c>
      <c r="AB915" s="93">
        <v>0.0</v>
      </c>
      <c r="AC915" s="93"/>
      <c r="AD915" s="93">
        <v>0.0</v>
      </c>
      <c r="AE915" s="32">
        <f t="shared" si="2"/>
        <v>0</v>
      </c>
      <c r="AF915" s="93">
        <v>0.0</v>
      </c>
    </row>
    <row r="916">
      <c r="A916" s="86">
        <v>2018.0</v>
      </c>
      <c r="B916" s="87">
        <v>3.0</v>
      </c>
      <c r="C916" s="88" t="s">
        <v>49</v>
      </c>
      <c r="D916" s="32"/>
      <c r="E916" s="32"/>
      <c r="F916" s="32"/>
      <c r="G916" s="93">
        <v>-832.61</v>
      </c>
      <c r="H916" s="93">
        <v>4276.54</v>
      </c>
      <c r="I916" s="32"/>
      <c r="J916" s="93">
        <v>-3582.88</v>
      </c>
      <c r="K916" s="32"/>
      <c r="L916" s="32"/>
      <c r="M916" s="32"/>
      <c r="N916" s="32"/>
      <c r="O916" s="93">
        <v>547574.0</v>
      </c>
      <c r="P916" s="91">
        <f>IFERROR(__xludf.DUMMYFUNCTION("IFERROR(sum(FILTER($D:$N,$C:$C = $C916,$A:$A &lt; $A916,$B:$B = 12)),0) + sum($D916:$N916)"),547574.19)</f>
        <v>547574.19</v>
      </c>
      <c r="Q916" s="92">
        <f t="shared" si="1"/>
        <v>-0.1899999999</v>
      </c>
      <c r="R916" s="91">
        <f t="array" ref="R916">IFERROR(INDEX('Fund YTD Target Values'!$1:$1000, MATCH($C916,'Fund YTD Target Values'!$A:$A,0), MATCH($A916,'Fund YTD Target Values'!$1:$1,0)),0)</f>
        <v>701383.2727</v>
      </c>
      <c r="S916" s="91">
        <f>IFERROR(__xludf.DUMMYFUNCTION("IFERROR(sum(FILTER('Fund Investment Data'!$V:$V, 'Fund Investment Data'!$C:$C = $C916, 'Fund Investment Data'!$A:$A &lt; $A916)),0) + IFERROR(sum(FILTER('Fund Investment Data'!$V:$V, 'Fund Investment Data'!$C:$C = $C916, 'Fund Investment Data'!$A:$A = $A916,"&amp;" 'Fund Investment Data'!$B:$B &lt;= $B916)),0)"),500000.0)</f>
        <v>500000</v>
      </c>
      <c r="T916" s="93">
        <v>500000.0</v>
      </c>
      <c r="U916" s="32">
        <f t="shared" si="3"/>
        <v>0</v>
      </c>
      <c r="V916" s="32">
        <f>IFERROR(__xludf.DUMMYFUNCTION("$D916 - IFERROR(FILTER($D:$D,$C:$C = $C916, $A:$A = $A916, $B:$B = $B916 - 1),0)"),0.0)</f>
        <v>0</v>
      </c>
      <c r="W916" s="93">
        <f>IFERROR(__xludf.DUMMYFUNCTION("$E916 - IFERROR(FILTER($E:$E,$C:$C = $C916, $A:$A = $A916, $B:$B = $B916 - 1),0)"),0.0)</f>
        <v>0</v>
      </c>
      <c r="X916" s="93"/>
      <c r="Y916" s="93"/>
      <c r="Z916" s="93">
        <v>0.0</v>
      </c>
      <c r="AA916" s="93">
        <v>0.0</v>
      </c>
      <c r="AB916" s="93">
        <v>0.0</v>
      </c>
      <c r="AC916" s="93"/>
      <c r="AD916" s="93">
        <v>0.0</v>
      </c>
      <c r="AE916" s="32">
        <f t="shared" si="2"/>
        <v>0</v>
      </c>
      <c r="AF916" s="93">
        <v>0.0</v>
      </c>
    </row>
    <row r="917">
      <c r="A917" s="86">
        <v>2018.0</v>
      </c>
      <c r="B917" s="87">
        <v>3.0</v>
      </c>
      <c r="C917" s="88" t="s">
        <v>41</v>
      </c>
      <c r="D917" s="32"/>
      <c r="E917" s="32"/>
      <c r="F917" s="32"/>
      <c r="G917" s="93">
        <v>-992.84</v>
      </c>
      <c r="H917" s="93">
        <v>5099.56</v>
      </c>
      <c r="I917" s="32"/>
      <c r="J917" s="93">
        <v>-4272.4</v>
      </c>
      <c r="K917" s="32"/>
      <c r="L917" s="32"/>
      <c r="M917" s="32"/>
      <c r="N917" s="32"/>
      <c r="O917" s="93">
        <v>652953.0</v>
      </c>
      <c r="P917" s="91">
        <f>IFERROR(__xludf.DUMMYFUNCTION("IFERROR(sum(FILTER($D:$N,$C:$C = $C917,$A:$A &lt; $A917,$B:$B = 12)),0) + sum($D917:$N917)"),652953.67)</f>
        <v>652953.67</v>
      </c>
      <c r="Q917" s="92">
        <f t="shared" si="1"/>
        <v>-0.67</v>
      </c>
      <c r="R917" s="91">
        <f t="array" ref="R917">IFERROR(INDEX('Fund YTD Target Values'!$1:$1000, MATCH($C917,'Fund YTD Target Values'!$A:$A,0), MATCH($A917,'Fund YTD Target Values'!$1:$1,0)),0)</f>
        <v>587968.3276</v>
      </c>
      <c r="S917" s="91">
        <f>IFERROR(__xludf.DUMMYFUNCTION("IFERROR(sum(FILTER('Fund Investment Data'!$V:$V, 'Fund Investment Data'!$C:$C = $C917, 'Fund Investment Data'!$A:$A &lt; $A917)),0) + IFERROR(sum(FILTER('Fund Investment Data'!$V:$V, 'Fund Investment Data'!$C:$C = $C917, 'Fund Investment Data'!$A:$A = $A917,"&amp;" 'Fund Investment Data'!$B:$B &lt;= $B917)),0)"),433755.86)</f>
        <v>433755.86</v>
      </c>
      <c r="T917" s="93">
        <v>434291.0</v>
      </c>
      <c r="U917" s="32">
        <f t="shared" si="3"/>
        <v>-535.14</v>
      </c>
      <c r="V917" s="32">
        <f>IFERROR(__xludf.DUMMYFUNCTION("$D917 - IFERROR(FILTER($D:$D,$C:$C = $C917, $A:$A = $A917, $B:$B = $B917 - 1),0)"),0.0)</f>
        <v>0</v>
      </c>
      <c r="W917" s="93">
        <f>IFERROR(__xludf.DUMMYFUNCTION("$E917 - IFERROR(FILTER($E:$E,$C:$C = $C917, $A:$A = $A917, $B:$B = $B917 - 1),0)"),0.0)</f>
        <v>0</v>
      </c>
      <c r="X917" s="93"/>
      <c r="Y917" s="93"/>
      <c r="Z917" s="93">
        <v>0.0</v>
      </c>
      <c r="AA917" s="93">
        <v>0.0</v>
      </c>
      <c r="AB917" s="93">
        <v>0.0</v>
      </c>
      <c r="AC917" s="93"/>
      <c r="AD917" s="93">
        <v>0.0</v>
      </c>
      <c r="AE917" s="32">
        <f t="shared" si="2"/>
        <v>0</v>
      </c>
      <c r="AF917" s="93">
        <v>0.0</v>
      </c>
    </row>
    <row r="918">
      <c r="A918" s="86">
        <v>2018.0</v>
      </c>
      <c r="B918" s="87">
        <v>3.0</v>
      </c>
      <c r="C918" s="88" t="s">
        <v>25</v>
      </c>
      <c r="D918" s="32"/>
      <c r="E918" s="32"/>
      <c r="F918" s="32"/>
      <c r="G918" s="93">
        <v>-153.64</v>
      </c>
      <c r="H918" s="93">
        <v>789.13</v>
      </c>
      <c r="I918" s="32"/>
      <c r="J918" s="93">
        <v>-661.13</v>
      </c>
      <c r="K918" s="32"/>
      <c r="L918" s="32"/>
      <c r="M918" s="32"/>
      <c r="N918" s="32"/>
      <c r="O918" s="93">
        <v>101041.0</v>
      </c>
      <c r="P918" s="91">
        <f>IFERROR(__xludf.DUMMYFUNCTION("IFERROR(sum(FILTER($D:$N,$C:$C = $C918,$A:$A &lt; $A918,$B:$B = 12)),0) + sum($D918:$N918)"),101040.69)</f>
        <v>101040.69</v>
      </c>
      <c r="Q918" s="92">
        <f t="shared" si="1"/>
        <v>0.31</v>
      </c>
      <c r="R918" s="91">
        <f t="array" ref="R918">IFERROR(INDEX('Fund YTD Target Values'!$1:$1000, MATCH($C918,'Fund YTD Target Values'!$A:$A,0), MATCH($A918,'Fund YTD Target Values'!$1:$1,0)),0)</f>
        <v>109175.2469</v>
      </c>
      <c r="S918" s="91">
        <f>IFERROR(__xludf.DUMMYFUNCTION("IFERROR(sum(FILTER('Fund Investment Data'!$V:$V, 'Fund Investment Data'!$C:$C = $C918, 'Fund Investment Data'!$A:$A &lt; $A918)),0) + IFERROR(sum(FILTER('Fund Investment Data'!$V:$V, 'Fund Investment Data'!$C:$C = $C918, 'Fund Investment Data'!$A:$A = $A918,"&amp;" 'Fund Investment Data'!$B:$B &lt;= $B918)),0)"),81000.0)</f>
        <v>81000</v>
      </c>
      <c r="T918" s="93">
        <v>81000.0</v>
      </c>
      <c r="U918" s="32">
        <f t="shared" si="3"/>
        <v>0</v>
      </c>
      <c r="V918" s="32">
        <f>IFERROR(__xludf.DUMMYFUNCTION("$D918 - IFERROR(FILTER($D:$D,$C:$C = $C918, $A:$A = $A918, $B:$B = $B918 - 1),0)"),0.0)</f>
        <v>0</v>
      </c>
      <c r="W918" s="93">
        <f>IFERROR(__xludf.DUMMYFUNCTION("$E918 - IFERROR(FILTER($E:$E,$C:$C = $C918, $A:$A = $A918, $B:$B = $B918 - 1),0)"),0.0)</f>
        <v>0</v>
      </c>
      <c r="X918" s="93"/>
      <c r="Y918" s="93"/>
      <c r="Z918" s="93">
        <v>0.0</v>
      </c>
      <c r="AA918" s="93">
        <v>0.0</v>
      </c>
      <c r="AB918" s="93">
        <v>0.0</v>
      </c>
      <c r="AC918" s="93"/>
      <c r="AD918" s="93">
        <v>0.0</v>
      </c>
      <c r="AE918" s="32">
        <f t="shared" si="2"/>
        <v>0</v>
      </c>
      <c r="AF918" s="93">
        <v>0.0</v>
      </c>
    </row>
    <row r="919">
      <c r="A919" s="86">
        <v>2018.0</v>
      </c>
      <c r="B919" s="87">
        <v>3.0</v>
      </c>
      <c r="C919" s="88" t="s">
        <v>42</v>
      </c>
      <c r="D919" s="32"/>
      <c r="E919" s="32"/>
      <c r="F919" s="32"/>
      <c r="G919" s="93">
        <v>-455.14</v>
      </c>
      <c r="H919" s="93">
        <v>2321.36</v>
      </c>
      <c r="I919" s="32"/>
      <c r="J919" s="93">
        <v>-1936.67</v>
      </c>
      <c r="K919" s="32"/>
      <c r="L919" s="32"/>
      <c r="M919" s="32"/>
      <c r="N919" s="32"/>
      <c r="O919" s="93">
        <v>299378.0</v>
      </c>
      <c r="P919" s="91">
        <f>IFERROR(__xludf.DUMMYFUNCTION("IFERROR(sum(FILTER($D:$N,$C:$C = $C919,$A:$A &lt; $A919,$B:$B = 12)),0) + sum($D919:$N919)"),299377.3100000001)</f>
        <v>299377.31</v>
      </c>
      <c r="Q919" s="92">
        <f t="shared" si="1"/>
        <v>0.6899999999</v>
      </c>
      <c r="R919" s="91">
        <f t="array" ref="R919">IFERROR(INDEX('Fund YTD Target Values'!$1:$1000, MATCH($C919,'Fund YTD Target Values'!$A:$A,0), MATCH($A919,'Fund YTD Target Values'!$1:$1,0)),0)</f>
        <v>240185.7184</v>
      </c>
      <c r="S919" s="91">
        <f>IFERROR(__xludf.DUMMYFUNCTION("IFERROR(sum(FILTER('Fund Investment Data'!$V:$V, 'Fund Investment Data'!$C:$C = $C919, 'Fund Investment Data'!$A:$A &lt; $A919)),0) + IFERROR(sum(FILTER('Fund Investment Data'!$V:$V, 'Fund Investment Data'!$C:$C = $C919, 'Fund Investment Data'!$A:$A = $A919,"&amp;" 'Fund Investment Data'!$B:$B &lt;= $B919)),0)"),194469.0)</f>
        <v>194469</v>
      </c>
      <c r="T919" s="93">
        <v>194469.0</v>
      </c>
      <c r="U919" s="32">
        <f t="shared" si="3"/>
        <v>0</v>
      </c>
      <c r="V919" s="32">
        <f>IFERROR(__xludf.DUMMYFUNCTION("$D919 - IFERROR(FILTER($D:$D,$C:$C = $C919, $A:$A = $A919, $B:$B = $B919 - 1),0)"),0.0)</f>
        <v>0</v>
      </c>
      <c r="W919" s="93">
        <f>IFERROR(__xludf.DUMMYFUNCTION("$E919 - IFERROR(FILTER($E:$E,$C:$C = $C919, $A:$A = $A919, $B:$B = $B919 - 1),0)"),0.0)</f>
        <v>0</v>
      </c>
      <c r="X919" s="93"/>
      <c r="Y919" s="93"/>
      <c r="Z919" s="93">
        <v>0.0</v>
      </c>
      <c r="AA919" s="93">
        <v>0.0</v>
      </c>
      <c r="AB919" s="93">
        <v>0.0</v>
      </c>
      <c r="AC919" s="93"/>
      <c r="AD919" s="93">
        <v>0.0</v>
      </c>
      <c r="AE919" s="32">
        <f t="shared" si="2"/>
        <v>0</v>
      </c>
      <c r="AF919" s="93">
        <v>0.0</v>
      </c>
    </row>
    <row r="920">
      <c r="A920" s="86">
        <v>2018.0</v>
      </c>
      <c r="B920" s="87">
        <v>3.0</v>
      </c>
      <c r="C920" s="88" t="s">
        <v>43</v>
      </c>
      <c r="D920" s="32"/>
      <c r="E920" s="32"/>
      <c r="F920" s="32"/>
      <c r="G920" s="93">
        <v>-190.79</v>
      </c>
      <c r="H920" s="93">
        <v>980.0</v>
      </c>
      <c r="I920" s="32"/>
      <c r="J920" s="93">
        <v>-821.05</v>
      </c>
      <c r="K920" s="32"/>
      <c r="L920" s="32"/>
      <c r="M920" s="32"/>
      <c r="N920" s="32"/>
      <c r="O920" s="93">
        <v>125482.0</v>
      </c>
      <c r="P920" s="91">
        <f>IFERROR(__xludf.DUMMYFUNCTION("IFERROR(sum(FILTER($D:$N,$C:$C = $C920,$A:$A &lt; $A920,$B:$B = 12)),0) + sum($D920:$N920)"),125480.71000000002)</f>
        <v>125480.71</v>
      </c>
      <c r="Q920" s="92">
        <f t="shared" si="1"/>
        <v>1.29</v>
      </c>
      <c r="R920" s="91">
        <f t="array" ref="R920">IFERROR(INDEX('Fund YTD Target Values'!$1:$1000, MATCH($C920,'Fund YTD Target Values'!$A:$A,0), MATCH($A920,'Fund YTD Target Values'!$1:$1,0)),0)</f>
        <v>130697.0954</v>
      </c>
      <c r="S920" s="91">
        <f>IFERROR(__xludf.DUMMYFUNCTION("IFERROR(sum(FILTER('Fund Investment Data'!$V:$V, 'Fund Investment Data'!$C:$C = $C920, 'Fund Investment Data'!$A:$A &lt; $A920)),0) + IFERROR(sum(FILTER('Fund Investment Data'!$V:$V, 'Fund Investment Data'!$C:$C = $C920, 'Fund Investment Data'!$A:$A = $A920,"&amp;" 'Fund Investment Data'!$B:$B &lt;= $B920)),0)"),100000.0)</f>
        <v>100000</v>
      </c>
      <c r="T920" s="93">
        <v>100000.0</v>
      </c>
      <c r="U920" s="32">
        <f t="shared" si="3"/>
        <v>0</v>
      </c>
      <c r="V920" s="32">
        <f>IFERROR(__xludf.DUMMYFUNCTION("$D920 - IFERROR(FILTER($D:$D,$C:$C = $C920, $A:$A = $A920, $B:$B = $B920 - 1),0)"),0.0)</f>
        <v>0</v>
      </c>
      <c r="W920" s="93">
        <f>IFERROR(__xludf.DUMMYFUNCTION("$E920 - IFERROR(FILTER($E:$E,$C:$C = $C920, $A:$A = $A920, $B:$B = $B920 - 1),0)"),0.0)</f>
        <v>0</v>
      </c>
      <c r="X920" s="93"/>
      <c r="Y920" s="93"/>
      <c r="Z920" s="93">
        <v>0.0</v>
      </c>
      <c r="AA920" s="93">
        <v>0.0</v>
      </c>
      <c r="AB920" s="93">
        <v>0.0</v>
      </c>
      <c r="AC920" s="93"/>
      <c r="AD920" s="93">
        <v>0.0</v>
      </c>
      <c r="AE920" s="32">
        <f t="shared" si="2"/>
        <v>0</v>
      </c>
      <c r="AF920" s="93">
        <v>0.0</v>
      </c>
    </row>
    <row r="921">
      <c r="A921" s="86">
        <v>2018.0</v>
      </c>
      <c r="B921" s="87">
        <v>3.0</v>
      </c>
      <c r="C921" s="88" t="s">
        <v>52</v>
      </c>
      <c r="D921" s="93">
        <v>75000.0</v>
      </c>
      <c r="E921" s="32"/>
      <c r="F921" s="32"/>
      <c r="G921" s="93">
        <v>-1894.39</v>
      </c>
      <c r="H921" s="93">
        <v>9087.56</v>
      </c>
      <c r="I921" s="32"/>
      <c r="J921" s="93">
        <v>-8174.17</v>
      </c>
      <c r="K921" s="32"/>
      <c r="L921" s="32"/>
      <c r="M921" s="32"/>
      <c r="N921" s="32"/>
      <c r="O921" s="93">
        <v>1238475.0</v>
      </c>
      <c r="P921" s="91">
        <f>IFERROR(__xludf.DUMMYFUNCTION("IFERROR(sum(FILTER($D:$N,$C:$C = $C921,$A:$A &lt; $A921,$B:$B = 12)),0) + sum($D921:$N921)"),1238475.13)</f>
        <v>1238475.13</v>
      </c>
      <c r="Q921" s="92">
        <f t="shared" si="1"/>
        <v>-0.1299999999</v>
      </c>
      <c r="R921" s="91">
        <f t="array" ref="R921">IFERROR(INDEX('Fund YTD Target Values'!$1:$1000, MATCH($C921,'Fund YTD Target Values'!$A:$A,0), MATCH($A921,'Fund YTD Target Values'!$1:$1,0)),0)</f>
        <v>1148979.378</v>
      </c>
      <c r="S921" s="91">
        <f>IFERROR(__xludf.DUMMYFUNCTION("IFERROR(sum(FILTER('Fund Investment Data'!$V:$V, 'Fund Investment Data'!$C:$C = $C921, 'Fund Investment Data'!$A:$A &lt; $A921)),0) + IFERROR(sum(FILTER('Fund Investment Data'!$V:$V, 'Fund Investment Data'!$C:$C = $C921, 'Fund Investment Data'!$A:$A = $A921,"&amp;" 'Fund Investment Data'!$B:$B &lt;= $B921)),0)"),1080136.0)</f>
        <v>1080136</v>
      </c>
      <c r="T921" s="93">
        <v>1079091.0</v>
      </c>
      <c r="U921" s="32">
        <f t="shared" si="3"/>
        <v>1045</v>
      </c>
      <c r="V921" s="32">
        <f>IFERROR(__xludf.DUMMYFUNCTION("$D921 - IFERROR(FILTER($D:$D,$C:$C = $C921, $A:$A = $A921, $B:$B = $B921 - 1),0)"),0.0)</f>
        <v>0</v>
      </c>
      <c r="W921" s="93">
        <f>IFERROR(__xludf.DUMMYFUNCTION("$E921 - IFERROR(FILTER($E:$E,$C:$C = $C921, $A:$A = $A921, $B:$B = $B921 - 1),0)"),0.0)</f>
        <v>0</v>
      </c>
      <c r="X921" s="93"/>
      <c r="Y921" s="93"/>
      <c r="Z921" s="93">
        <v>0.0</v>
      </c>
      <c r="AA921" s="93">
        <v>0.0</v>
      </c>
      <c r="AB921" s="93">
        <v>0.0</v>
      </c>
      <c r="AC921" s="93"/>
      <c r="AD921" s="93">
        <v>0.0</v>
      </c>
      <c r="AE921" s="32">
        <f t="shared" si="2"/>
        <v>0</v>
      </c>
      <c r="AF921" s="93">
        <v>0.0</v>
      </c>
    </row>
    <row r="922">
      <c r="A922" s="86">
        <v>2018.0</v>
      </c>
      <c r="B922" s="87">
        <v>3.0</v>
      </c>
      <c r="C922" s="88" t="s">
        <v>33</v>
      </c>
      <c r="D922" s="32"/>
      <c r="E922" s="32"/>
      <c r="F922" s="32"/>
      <c r="G922" s="93">
        <v>-542.82</v>
      </c>
      <c r="H922" s="93">
        <v>2788.04</v>
      </c>
      <c r="I922" s="32"/>
      <c r="J922" s="93">
        <v>-2335.83</v>
      </c>
      <c r="K922" s="32"/>
      <c r="L922" s="32"/>
      <c r="M922" s="32"/>
      <c r="N922" s="32"/>
      <c r="O922" s="93">
        <v>356987.0</v>
      </c>
      <c r="P922" s="91">
        <f>IFERROR(__xludf.DUMMYFUNCTION("IFERROR(sum(FILTER($D:$N,$C:$C = $C922,$A:$A &lt; $A922,$B:$B = 12)),0) + sum($D922:$N922)"),356986.83999999985)</f>
        <v>356986.84</v>
      </c>
      <c r="Q922" s="92">
        <f t="shared" si="1"/>
        <v>0.1600000001</v>
      </c>
      <c r="R922" s="91">
        <f t="array" ref="R922">IFERROR(INDEX('Fund YTD Target Values'!$1:$1000, MATCH($C922,'Fund YTD Target Values'!$A:$A,0), MATCH($A922,'Fund YTD Target Values'!$1:$1,0)),0)</f>
        <v>512928.5668</v>
      </c>
      <c r="S922" s="91">
        <f>IFERROR(__xludf.DUMMYFUNCTION("IFERROR(sum(FILTER('Fund Investment Data'!$V:$V, 'Fund Investment Data'!$C:$C = $C922, 'Fund Investment Data'!$A:$A &lt; $A922)),0) + IFERROR(sum(FILTER('Fund Investment Data'!$V:$V, 'Fund Investment Data'!$C:$C = $C922, 'Fund Investment Data'!$A:$A = $A922,"&amp;" 'Fund Investment Data'!$B:$B &lt;= $B922)),0)"),325871.6399999999)</f>
        <v>325871.64</v>
      </c>
      <c r="T922" s="93">
        <v>326032.0</v>
      </c>
      <c r="U922" s="32">
        <f t="shared" si="3"/>
        <v>-160.36</v>
      </c>
      <c r="V922" s="32">
        <f>IFERROR(__xludf.DUMMYFUNCTION("$D922 - IFERROR(FILTER($D:$D,$C:$C = $C922, $A:$A = $A922, $B:$B = $B922 - 1),0)"),0.0)</f>
        <v>0</v>
      </c>
      <c r="W922" s="93">
        <f>IFERROR(__xludf.DUMMYFUNCTION("$E922 - IFERROR(FILTER($E:$E,$C:$C = $C922, $A:$A = $A922, $B:$B = $B922 - 1),0)"),0.0)</f>
        <v>0</v>
      </c>
      <c r="X922" s="93"/>
      <c r="Y922" s="93"/>
      <c r="Z922" s="93">
        <v>0.0</v>
      </c>
      <c r="AA922" s="93">
        <v>0.0</v>
      </c>
      <c r="AB922" s="93">
        <v>0.0</v>
      </c>
      <c r="AC922" s="93"/>
      <c r="AD922" s="93">
        <v>0.0</v>
      </c>
      <c r="AE922" s="32">
        <f t="shared" si="2"/>
        <v>0</v>
      </c>
      <c r="AF922" s="93">
        <v>0.0</v>
      </c>
    </row>
    <row r="923">
      <c r="A923" s="86">
        <v>2018.0</v>
      </c>
      <c r="B923" s="87">
        <v>3.0</v>
      </c>
      <c r="C923" s="88" t="s">
        <v>53</v>
      </c>
      <c r="D923" s="32"/>
      <c r="E923" s="32"/>
      <c r="F923" s="32"/>
      <c r="G923" s="93">
        <v>-3458.83</v>
      </c>
      <c r="H923" s="93">
        <v>17765.64</v>
      </c>
      <c r="I923" s="32"/>
      <c r="J923" s="93">
        <v>-14884.06</v>
      </c>
      <c r="K923" s="32"/>
      <c r="L923" s="32"/>
      <c r="M923" s="32"/>
      <c r="N923" s="32"/>
      <c r="O923" s="93">
        <v>2274737.0</v>
      </c>
      <c r="P923" s="91">
        <f>IFERROR(__xludf.DUMMYFUNCTION("IFERROR(sum(FILTER($D:$N,$C:$C = $C923,$A:$A &lt; $A923,$B:$B = 12)),0) + sum($D923:$N923)"),2274737.4299999997)</f>
        <v>2274737.43</v>
      </c>
      <c r="Q923" s="92">
        <f t="shared" si="1"/>
        <v>-0.4299999997</v>
      </c>
      <c r="R923" s="91">
        <f t="array" ref="R923">IFERROR(INDEX('Fund YTD Target Values'!$1:$1000, MATCH($C923,'Fund YTD Target Values'!$A:$A,0), MATCH($A923,'Fund YTD Target Values'!$1:$1,0)),0)</f>
        <v>2224754.768</v>
      </c>
      <c r="S923" s="91">
        <f>IFERROR(__xludf.DUMMYFUNCTION("IFERROR(sum(FILTER('Fund Investment Data'!$V:$V, 'Fund Investment Data'!$C:$C = $C923, 'Fund Investment Data'!$A:$A &lt; $A923)),0) + IFERROR(sum(FILTER('Fund Investment Data'!$V:$V, 'Fund Investment Data'!$C:$C = $C923, 'Fund Investment Data'!$A:$A = $A923,"&amp;" 'Fund Investment Data'!$B:$B &lt;= $B923)),0)"),2005500.0)</f>
        <v>2005500</v>
      </c>
      <c r="T923" s="93">
        <v>2005500.0</v>
      </c>
      <c r="U923" s="32">
        <f t="shared" si="3"/>
        <v>0</v>
      </c>
      <c r="V923" s="32">
        <f>IFERROR(__xludf.DUMMYFUNCTION("$D923 - IFERROR(FILTER($D:$D,$C:$C = $C923, $A:$A = $A923, $B:$B = $B923 - 1),0)"),0.0)</f>
        <v>0</v>
      </c>
      <c r="W923" s="93">
        <f>IFERROR(__xludf.DUMMYFUNCTION("$E923 - IFERROR(FILTER($E:$E,$C:$C = $C923, $A:$A = $A923, $B:$B = $B923 - 1),0)"),0.0)</f>
        <v>0</v>
      </c>
      <c r="X923" s="93"/>
      <c r="Y923" s="93"/>
      <c r="Z923" s="93">
        <v>0.0</v>
      </c>
      <c r="AA923" s="93">
        <v>0.0</v>
      </c>
      <c r="AB923" s="93">
        <v>0.0</v>
      </c>
      <c r="AC923" s="93"/>
      <c r="AD923" s="93">
        <v>0.0</v>
      </c>
      <c r="AE923" s="32">
        <f t="shared" si="2"/>
        <v>0</v>
      </c>
      <c r="AF923" s="93">
        <v>0.0</v>
      </c>
    </row>
    <row r="924">
      <c r="A924" s="86">
        <v>2018.0</v>
      </c>
      <c r="B924" s="87">
        <v>3.0</v>
      </c>
      <c r="C924" s="88" t="s">
        <v>34</v>
      </c>
      <c r="D924" s="32"/>
      <c r="E924" s="32"/>
      <c r="F924" s="32"/>
      <c r="G924" s="93">
        <v>-219.26</v>
      </c>
      <c r="H924" s="93">
        <v>1108.02</v>
      </c>
      <c r="I924" s="32"/>
      <c r="J924" s="93">
        <v>-944.17</v>
      </c>
      <c r="K924" s="32"/>
      <c r="L924" s="32"/>
      <c r="M924" s="32"/>
      <c r="N924" s="32"/>
      <c r="O924" s="93">
        <v>144233.0</v>
      </c>
      <c r="P924" s="91">
        <f>IFERROR(__xludf.DUMMYFUNCTION("IFERROR(sum(FILTER($D:$N,$C:$C = $C924,$A:$A &lt; $A924,$B:$B = 12)),0) + sum($D924:$N924)"),144232.75)</f>
        <v>144232.75</v>
      </c>
      <c r="Q924" s="92">
        <f t="shared" si="1"/>
        <v>0.25</v>
      </c>
      <c r="R924" s="91">
        <f t="array" ref="R924">IFERROR(INDEX('Fund YTD Target Values'!$1:$1000, MATCH($C924,'Fund YTD Target Values'!$A:$A,0), MATCH($A924,'Fund YTD Target Values'!$1:$1,0)),0)</f>
        <v>135327.6594</v>
      </c>
      <c r="S924" s="91">
        <f>IFERROR(__xludf.DUMMYFUNCTION("IFERROR(sum(FILTER('Fund Investment Data'!$V:$V, 'Fund Investment Data'!$C:$C = $C924, 'Fund Investment Data'!$A:$A &lt; $A924)),0) + IFERROR(sum(FILTER('Fund Investment Data'!$V:$V, 'Fund Investment Data'!$C:$C = $C924, 'Fund Investment Data'!$A:$A = $A924,"&amp;" 'Fund Investment Data'!$B:$B &lt;= $B924)),0)"),120000.0)</f>
        <v>120000</v>
      </c>
      <c r="T924" s="93">
        <v>115238.0</v>
      </c>
      <c r="U924" s="32">
        <f t="shared" si="3"/>
        <v>4762</v>
      </c>
      <c r="V924" s="32">
        <f>IFERROR(__xludf.DUMMYFUNCTION("$D924 - IFERROR(FILTER($D:$D,$C:$C = $C924, $A:$A = $A924, $B:$B = $B924 - 1),0)"),0.0)</f>
        <v>0</v>
      </c>
      <c r="W924" s="93">
        <f>IFERROR(__xludf.DUMMYFUNCTION("$E924 - IFERROR(FILTER($E:$E,$C:$C = $C924, $A:$A = $A924, $B:$B = $B924 - 1),0)"),0.0)</f>
        <v>0</v>
      </c>
      <c r="X924" s="93"/>
      <c r="Y924" s="93"/>
      <c r="Z924" s="93">
        <v>0.0</v>
      </c>
      <c r="AA924" s="93">
        <v>0.0</v>
      </c>
      <c r="AB924" s="93">
        <v>0.0</v>
      </c>
      <c r="AC924" s="93"/>
      <c r="AD924" s="93">
        <v>0.0</v>
      </c>
      <c r="AE924" s="32">
        <f t="shared" si="2"/>
        <v>0</v>
      </c>
      <c r="AF924" s="93">
        <v>0.0</v>
      </c>
    </row>
    <row r="925">
      <c r="A925" s="86">
        <v>2018.0</v>
      </c>
      <c r="B925" s="87">
        <v>3.0</v>
      </c>
      <c r="C925" s="88" t="s">
        <v>54</v>
      </c>
      <c r="D925" s="32"/>
      <c r="E925" s="32"/>
      <c r="F925" s="32"/>
      <c r="G925" s="93">
        <v>-262.59</v>
      </c>
      <c r="H925" s="93">
        <v>1297.07</v>
      </c>
      <c r="I925" s="32"/>
      <c r="J925" s="93">
        <v>-1135.74</v>
      </c>
      <c r="K925" s="32"/>
      <c r="L925" s="32"/>
      <c r="M925" s="32"/>
      <c r="N925" s="32"/>
      <c r="O925" s="93">
        <v>172791.0</v>
      </c>
      <c r="P925" s="91">
        <f>IFERROR(__xludf.DUMMYFUNCTION("IFERROR(sum(FILTER($D:$N,$C:$C = $C925,$A:$A &lt; $A925,$B:$B = 12)),0) + sum($D925:$N925)"),172791.70999999993)</f>
        <v>172791.71</v>
      </c>
      <c r="Q925" s="92">
        <f t="shared" si="1"/>
        <v>-0.7099999999</v>
      </c>
      <c r="R925" s="91">
        <f t="array" ref="R925">IFERROR(INDEX('Fund YTD Target Values'!$1:$1000, MATCH($C925,'Fund YTD Target Values'!$A:$A,0), MATCH($A925,'Fund YTD Target Values'!$1:$1,0)),0)</f>
        <v>155177.2706</v>
      </c>
      <c r="S925" s="91">
        <f>IFERROR(__xludf.DUMMYFUNCTION("IFERROR(sum(FILTER('Fund Investment Data'!$V:$V, 'Fund Investment Data'!$C:$C = $C925, 'Fund Investment Data'!$A:$A &lt; $A925)),0) + IFERROR(sum(FILTER('Fund Investment Data'!$V:$V, 'Fund Investment Data'!$C:$C = $C925, 'Fund Investment Data'!$A:$A = $A925,"&amp;" 'Fund Investment Data'!$B:$B &lt;= $B925)),0)"),112432.10999999999)</f>
        <v>112432.11</v>
      </c>
      <c r="T925" s="93">
        <v>108610.0</v>
      </c>
      <c r="U925" s="32">
        <f t="shared" si="3"/>
        <v>3822.11</v>
      </c>
      <c r="V925" s="32">
        <f>IFERROR(__xludf.DUMMYFUNCTION("$D925 - IFERROR(FILTER($D:$D,$C:$C = $C925, $A:$A = $A925, $B:$B = $B925 - 1),0)"),0.0)</f>
        <v>0</v>
      </c>
      <c r="W925" s="93">
        <f>IFERROR(__xludf.DUMMYFUNCTION("$E925 - IFERROR(FILTER($E:$E,$C:$C = $C925, $A:$A = $A925, $B:$B = $B925 - 1),0)"),0.0)</f>
        <v>0</v>
      </c>
      <c r="X925" s="93"/>
      <c r="Y925" s="93"/>
      <c r="Z925" s="93">
        <v>0.0</v>
      </c>
      <c r="AA925" s="93">
        <v>0.0</v>
      </c>
      <c r="AB925" s="93">
        <v>0.0</v>
      </c>
      <c r="AC925" s="93"/>
      <c r="AD925" s="93">
        <v>0.0</v>
      </c>
      <c r="AE925" s="32">
        <f t="shared" si="2"/>
        <v>0</v>
      </c>
      <c r="AF925" s="93">
        <v>0.0</v>
      </c>
    </row>
    <row r="926">
      <c r="A926" s="86">
        <v>2018.0</v>
      </c>
      <c r="B926" s="87">
        <v>3.0</v>
      </c>
      <c r="C926" s="88" t="s">
        <v>55</v>
      </c>
      <c r="D926" s="32"/>
      <c r="E926" s="32"/>
      <c r="F926" s="32"/>
      <c r="G926" s="93">
        <v>-466.55</v>
      </c>
      <c r="H926" s="93">
        <v>1446.85</v>
      </c>
      <c r="I926" s="32"/>
      <c r="J926" s="93">
        <v>-3761.36</v>
      </c>
      <c r="K926" s="32"/>
      <c r="L926" s="32"/>
      <c r="M926" s="32"/>
      <c r="N926" s="32"/>
      <c r="O926" s="93">
        <v>226284.0</v>
      </c>
      <c r="P926" s="91">
        <f>IFERROR(__xludf.DUMMYFUNCTION("IFERROR(sum(FILTER($D:$N,$C:$C = $C926,$A:$A &lt; $A926,$B:$B = 12)),0) + sum($D926:$N926)"),226283.69999999998)</f>
        <v>226283.7</v>
      </c>
      <c r="Q926" s="92">
        <f t="shared" si="1"/>
        <v>0.3</v>
      </c>
      <c r="R926" s="91">
        <f t="array" ref="R926">IFERROR(INDEX('Fund YTD Target Values'!$1:$1000, MATCH($C926,'Fund YTD Target Values'!$A:$A,0), MATCH($A926,'Fund YTD Target Values'!$1:$1,0)),0)</f>
        <v>289110.9496</v>
      </c>
      <c r="S926" s="91">
        <f>IFERROR(__xludf.DUMMYFUNCTION("IFERROR(sum(FILTER('Fund Investment Data'!$V:$V, 'Fund Investment Data'!$C:$C = $C926, 'Fund Investment Data'!$A:$A &lt; $A926)),0) + IFERROR(sum(FILTER('Fund Investment Data'!$V:$V, 'Fund Investment Data'!$C:$C = $C926, 'Fund Investment Data'!$A:$A = $A926,"&amp;" 'Fund Investment Data'!$B:$B &lt;= $B926)),0)"),210000.0)</f>
        <v>210000</v>
      </c>
      <c r="T926" s="93">
        <v>79841.0</v>
      </c>
      <c r="U926" s="32">
        <f t="shared" si="3"/>
        <v>130159</v>
      </c>
      <c r="V926" s="32">
        <f>IFERROR(__xludf.DUMMYFUNCTION("$D926 - IFERROR(FILTER($D:$D,$C:$C = $C926, $A:$A = $A926, $B:$B = $B926 - 1),0)"),0.0)</f>
        <v>0</v>
      </c>
      <c r="W926" s="93">
        <f>IFERROR(__xludf.DUMMYFUNCTION("$E926 - IFERROR(FILTER($E:$E,$C:$C = $C926, $A:$A = $A926, $B:$B = $B926 - 1),0)"),0.0)</f>
        <v>0</v>
      </c>
      <c r="X926" s="93"/>
      <c r="Y926" s="93"/>
      <c r="Z926" s="93">
        <v>0.0</v>
      </c>
      <c r="AA926" s="93">
        <v>0.0</v>
      </c>
      <c r="AB926" s="93">
        <v>0.0</v>
      </c>
      <c r="AC926" s="93"/>
      <c r="AD926" s="93">
        <v>0.0</v>
      </c>
      <c r="AE926" s="32">
        <f t="shared" si="2"/>
        <v>0</v>
      </c>
      <c r="AF926" s="93">
        <v>0.0</v>
      </c>
    </row>
    <row r="927">
      <c r="A927" s="86">
        <v>2018.0</v>
      </c>
      <c r="B927" s="87">
        <v>3.0</v>
      </c>
      <c r="C927" s="88" t="s">
        <v>44</v>
      </c>
      <c r="D927" s="32"/>
      <c r="E927" s="32"/>
      <c r="F927" s="32"/>
      <c r="G927" s="93">
        <v>-435.74</v>
      </c>
      <c r="H927" s="93">
        <v>2238.07</v>
      </c>
      <c r="I927" s="32"/>
      <c r="J927" s="93">
        <v>-1875.03</v>
      </c>
      <c r="K927" s="32"/>
      <c r="L927" s="32"/>
      <c r="M927" s="32"/>
      <c r="N927" s="32"/>
      <c r="O927" s="93">
        <v>286563.0</v>
      </c>
      <c r="P927" s="91">
        <f>IFERROR(__xludf.DUMMYFUNCTION("IFERROR(sum(FILTER($D:$N,$C:$C = $C927,$A:$A &lt; $A927,$B:$B = 12)),0) + sum($D927:$N927)"),286563.7700000001)</f>
        <v>286563.77</v>
      </c>
      <c r="Q927" s="92">
        <f t="shared" si="1"/>
        <v>-0.7700000001</v>
      </c>
      <c r="R927" s="91">
        <f t="array" ref="R927">IFERROR(INDEX('Fund YTD Target Values'!$1:$1000, MATCH($C927,'Fund YTD Target Values'!$A:$A,0), MATCH($A927,'Fund YTD Target Values'!$1:$1,0)),0)</f>
        <v>321586.5616</v>
      </c>
      <c r="S927" s="91">
        <f>IFERROR(__xludf.DUMMYFUNCTION("IFERROR(sum(FILTER('Fund Investment Data'!$V:$V, 'Fund Investment Data'!$C:$C = $C927, 'Fund Investment Data'!$A:$A &lt; $A927)),0) + IFERROR(sum(FILTER('Fund Investment Data'!$V:$V, 'Fund Investment Data'!$C:$C = $C927, 'Fund Investment Data'!$A:$A = $A927,"&amp;" 'Fund Investment Data'!$B:$B &lt;= $B927)),0)"),250000.0)</f>
        <v>250000</v>
      </c>
      <c r="T927" s="93">
        <v>250000.0</v>
      </c>
      <c r="U927" s="32">
        <f t="shared" si="3"/>
        <v>0</v>
      </c>
      <c r="V927" s="32">
        <f>IFERROR(__xludf.DUMMYFUNCTION("$D927 - IFERROR(FILTER($D:$D,$C:$C = $C927, $A:$A = $A927, $B:$B = $B927 - 1),0)"),0.0)</f>
        <v>0</v>
      </c>
      <c r="W927" s="93">
        <f>IFERROR(__xludf.DUMMYFUNCTION("$E927 - IFERROR(FILTER($E:$E,$C:$C = $C927, $A:$A = $A927, $B:$B = $B927 - 1),0)"),0.0)</f>
        <v>0</v>
      </c>
      <c r="X927" s="93"/>
      <c r="Y927" s="93"/>
      <c r="Z927" s="93">
        <v>0.0</v>
      </c>
      <c r="AA927" s="93">
        <v>0.0</v>
      </c>
      <c r="AB927" s="93">
        <v>0.0</v>
      </c>
      <c r="AC927" s="93"/>
      <c r="AD927" s="93">
        <v>0.0</v>
      </c>
      <c r="AE927" s="32">
        <f t="shared" si="2"/>
        <v>0</v>
      </c>
      <c r="AF927" s="93">
        <v>0.0</v>
      </c>
    </row>
    <row r="928">
      <c r="A928" s="86">
        <v>2018.0</v>
      </c>
      <c r="B928" s="87">
        <v>3.0</v>
      </c>
      <c r="C928" s="88" t="s">
        <v>45</v>
      </c>
      <c r="D928" s="32"/>
      <c r="E928" s="32"/>
      <c r="F928" s="32"/>
      <c r="G928" s="93">
        <v>-225.56</v>
      </c>
      <c r="H928" s="93">
        <v>1149.97</v>
      </c>
      <c r="I928" s="32"/>
      <c r="J928" s="93">
        <v>-959.15</v>
      </c>
      <c r="K928" s="32"/>
      <c r="L928" s="32"/>
      <c r="M928" s="32"/>
      <c r="N928" s="32"/>
      <c r="O928" s="93">
        <v>148367.0</v>
      </c>
      <c r="P928" s="91">
        <f>IFERROR(__xludf.DUMMYFUNCTION("IFERROR(sum(FILTER($D:$N,$C:$C = $C928,$A:$A &lt; $A928,$B:$B = 12)),0) + sum($D928:$N928)"),148367.55)</f>
        <v>148367.55</v>
      </c>
      <c r="Q928" s="92">
        <f t="shared" si="1"/>
        <v>-0.55</v>
      </c>
      <c r="R928" s="91">
        <f t="array" ref="R928">IFERROR(INDEX('Fund YTD Target Values'!$1:$1000, MATCH($C928,'Fund YTD Target Values'!$A:$A,0), MATCH($A928,'Fund YTD Target Values'!$1:$1,0)),0)</f>
        <v>121242.134</v>
      </c>
      <c r="S928" s="91">
        <f>IFERROR(__xludf.DUMMYFUNCTION("IFERROR(sum(FILTER('Fund Investment Data'!$V:$V, 'Fund Investment Data'!$C:$C = $C928, 'Fund Investment Data'!$A:$A &lt; $A928)),0) + IFERROR(sum(FILTER('Fund Investment Data'!$V:$V, 'Fund Investment Data'!$C:$C = $C928, 'Fund Investment Data'!$A:$A = $A928,"&amp;" 'Fund Investment Data'!$B:$B &lt;= $B928)),0)"),100000.0)</f>
        <v>100000</v>
      </c>
      <c r="T928" s="93">
        <v>100000.0</v>
      </c>
      <c r="U928" s="32">
        <f t="shared" si="3"/>
        <v>0</v>
      </c>
      <c r="V928" s="32">
        <f>IFERROR(__xludf.DUMMYFUNCTION("$D928 - IFERROR(FILTER($D:$D,$C:$C = $C928, $A:$A = $A928, $B:$B = $B928 - 1),0)"),0.0)</f>
        <v>0</v>
      </c>
      <c r="W928" s="93">
        <f>IFERROR(__xludf.DUMMYFUNCTION("$E928 - IFERROR(FILTER($E:$E,$C:$C = $C928, $A:$A = $A928, $B:$B = $B928 - 1),0)"),0.0)</f>
        <v>0</v>
      </c>
      <c r="X928" s="93"/>
      <c r="Y928" s="93"/>
      <c r="Z928" s="93">
        <v>0.0</v>
      </c>
      <c r="AA928" s="93">
        <v>0.0</v>
      </c>
      <c r="AB928" s="93">
        <v>0.0</v>
      </c>
      <c r="AC928" s="93"/>
      <c r="AD928" s="93">
        <v>0.0</v>
      </c>
      <c r="AE928" s="32">
        <f t="shared" si="2"/>
        <v>0</v>
      </c>
      <c r="AF928" s="93">
        <v>0.0</v>
      </c>
    </row>
    <row r="929">
      <c r="A929" s="86">
        <v>2018.0</v>
      </c>
      <c r="B929" s="87">
        <v>3.0</v>
      </c>
      <c r="C929" s="88" t="s">
        <v>35</v>
      </c>
      <c r="D929" s="32"/>
      <c r="E929" s="32"/>
      <c r="F929" s="32"/>
      <c r="G929" s="93">
        <v>-2228.76</v>
      </c>
      <c r="H929" s="93">
        <v>11447.63</v>
      </c>
      <c r="I929" s="32"/>
      <c r="J929" s="93">
        <v>-9590.83</v>
      </c>
      <c r="K929" s="32"/>
      <c r="L929" s="32"/>
      <c r="M929" s="32"/>
      <c r="N929" s="32"/>
      <c r="O929" s="93">
        <v>1465770.0</v>
      </c>
      <c r="P929" s="91">
        <f>IFERROR(__xludf.DUMMYFUNCTION("IFERROR(sum(FILTER($D:$N,$C:$C = $C929,$A:$A &lt; $A929,$B:$B = 12)),0) + sum($D929:$N929)"),1465769.6000000003)</f>
        <v>1465769.6</v>
      </c>
      <c r="Q929" s="92">
        <f t="shared" si="1"/>
        <v>0.3999999997</v>
      </c>
      <c r="R929" s="91">
        <f t="array" ref="R929">IFERROR(INDEX('Fund YTD Target Values'!$1:$1000, MATCH($C929,'Fund YTD Target Values'!$A:$A,0), MATCH($A929,'Fund YTD Target Values'!$1:$1,0)),0)</f>
        <v>1579247.369</v>
      </c>
      <c r="S929" s="91">
        <f>IFERROR(__xludf.DUMMYFUNCTION("IFERROR(sum(FILTER('Fund Investment Data'!$V:$V, 'Fund Investment Data'!$C:$C = $C929, 'Fund Investment Data'!$A:$A &lt; $A929)),0) + IFERROR(sum(FILTER('Fund Investment Data'!$V:$V, 'Fund Investment Data'!$C:$C = $C929, 'Fund Investment Data'!$A:$A = $A929,"&amp;" 'Fund Investment Data'!$B:$B &lt;= $B929)),0)"),1086625.0)</f>
        <v>1086625</v>
      </c>
      <c r="T929" s="93">
        <v>1071625.0</v>
      </c>
      <c r="U929" s="32">
        <f t="shared" si="3"/>
        <v>15000</v>
      </c>
      <c r="V929" s="32">
        <f>IFERROR(__xludf.DUMMYFUNCTION("$D929 - IFERROR(FILTER($D:$D,$C:$C = $C929, $A:$A = $A929, $B:$B = $B929 - 1),0)"),0.0)</f>
        <v>0</v>
      </c>
      <c r="W929" s="93">
        <f>IFERROR(__xludf.DUMMYFUNCTION("$E929 - IFERROR(FILTER($E:$E,$C:$C = $C929, $A:$A = $A929, $B:$B = $B929 - 1),0)"),0.0)</f>
        <v>0</v>
      </c>
      <c r="X929" s="93"/>
      <c r="Y929" s="93"/>
      <c r="Z929" s="93">
        <v>0.0</v>
      </c>
      <c r="AA929" s="93">
        <v>0.0</v>
      </c>
      <c r="AB929" s="93">
        <v>0.0</v>
      </c>
      <c r="AC929" s="93"/>
      <c r="AD929" s="93">
        <v>0.0</v>
      </c>
      <c r="AE929" s="32">
        <f t="shared" si="2"/>
        <v>0</v>
      </c>
      <c r="AF929" s="93">
        <v>0.0</v>
      </c>
    </row>
    <row r="930">
      <c r="A930" s="86">
        <v>2018.0</v>
      </c>
      <c r="B930" s="87">
        <v>3.0</v>
      </c>
      <c r="C930" s="88" t="s">
        <v>56</v>
      </c>
      <c r="D930" s="32"/>
      <c r="E930" s="32"/>
      <c r="F930" s="32"/>
      <c r="G930" s="93">
        <v>-1721.55</v>
      </c>
      <c r="H930" s="93">
        <v>8679.63</v>
      </c>
      <c r="I930" s="32"/>
      <c r="J930" s="93">
        <v>-7458.7</v>
      </c>
      <c r="K930" s="32"/>
      <c r="L930" s="32"/>
      <c r="M930" s="32"/>
      <c r="N930" s="32"/>
      <c r="O930" s="93">
        <v>1132477.0</v>
      </c>
      <c r="P930" s="91">
        <f>IFERROR(__xludf.DUMMYFUNCTION("IFERROR(sum(FILTER($D:$N,$C:$C = $C930,$A:$A &lt; $A930,$B:$B = 12)),0) + sum($D930:$N930)"),1132477.2099999997)</f>
        <v>1132477.21</v>
      </c>
      <c r="Q930" s="92">
        <f t="shared" si="1"/>
        <v>-0.2099999997</v>
      </c>
      <c r="R930" s="91">
        <f t="array" ref="R930">IFERROR(INDEX('Fund YTD Target Values'!$1:$1000, MATCH($C930,'Fund YTD Target Values'!$A:$A,0), MATCH($A930,'Fund YTD Target Values'!$1:$1,0)),0)</f>
        <v>1060725.595</v>
      </c>
      <c r="S930" s="91">
        <f>IFERROR(__xludf.DUMMYFUNCTION("IFERROR(sum(FILTER('Fund Investment Data'!$V:$V, 'Fund Investment Data'!$C:$C = $C930, 'Fund Investment Data'!$A:$A &lt; $A930)),0) + IFERROR(sum(FILTER('Fund Investment Data'!$V:$V, 'Fund Investment Data'!$C:$C = $C930, 'Fund Investment Data'!$A:$A = $A930,"&amp;" 'Fund Investment Data'!$B:$B &lt;= $B930)),0)"),1000000.0)</f>
        <v>1000000</v>
      </c>
      <c r="T930" s="93">
        <v>1000000.0</v>
      </c>
      <c r="U930" s="32">
        <f t="shared" si="3"/>
        <v>0</v>
      </c>
      <c r="V930" s="32">
        <f>IFERROR(__xludf.DUMMYFUNCTION("$D930 - IFERROR(FILTER($D:$D,$C:$C = $C930, $A:$A = $A930, $B:$B = $B930 - 1),0)"),0.0)</f>
        <v>0</v>
      </c>
      <c r="W930" s="93">
        <f>IFERROR(__xludf.DUMMYFUNCTION("$E930 - IFERROR(FILTER($E:$E,$C:$C = $C930, $A:$A = $A930, $B:$B = $B930 - 1),0)"),0.0)</f>
        <v>0</v>
      </c>
      <c r="X930" s="93"/>
      <c r="Y930" s="93"/>
      <c r="Z930" s="93">
        <v>0.0</v>
      </c>
      <c r="AA930" s="93">
        <v>0.0</v>
      </c>
      <c r="AB930" s="93">
        <v>0.0</v>
      </c>
      <c r="AC930" s="93"/>
      <c r="AD930" s="93">
        <v>0.0</v>
      </c>
      <c r="AE930" s="32">
        <f t="shared" si="2"/>
        <v>0</v>
      </c>
      <c r="AF930" s="93">
        <v>0.0</v>
      </c>
    </row>
    <row r="931">
      <c r="A931" s="86">
        <v>2018.0</v>
      </c>
      <c r="B931" s="87">
        <v>3.0</v>
      </c>
      <c r="C931" s="88" t="s">
        <v>57</v>
      </c>
      <c r="D931" s="32"/>
      <c r="E931" s="32"/>
      <c r="F931" s="32"/>
      <c r="G931" s="93">
        <v>-3093.77</v>
      </c>
      <c r="H931" s="93">
        <v>15884.76</v>
      </c>
      <c r="I931" s="32"/>
      <c r="J931" s="93">
        <v>-13305.41</v>
      </c>
      <c r="K931" s="32"/>
      <c r="L931" s="32"/>
      <c r="M931" s="32"/>
      <c r="N931" s="32"/>
      <c r="O931" s="93">
        <v>2034664.0</v>
      </c>
      <c r="P931" s="91">
        <f>IFERROR(__xludf.DUMMYFUNCTION("IFERROR(sum(FILTER($D:$N,$C:$C = $C931,$A:$A &lt; $A931,$B:$B = 12)),0) + sum($D931:$N931)"),2034664.4100000001)</f>
        <v>2034664.41</v>
      </c>
      <c r="Q931" s="92">
        <f t="shared" si="1"/>
        <v>-0.4100000001</v>
      </c>
      <c r="R931" s="91">
        <f t="array" ref="R931">IFERROR(INDEX('Fund YTD Target Values'!$1:$1000, MATCH($C931,'Fund YTD Target Values'!$A:$A,0), MATCH($A931,'Fund YTD Target Values'!$1:$1,0)),0)</f>
        <v>2048853.692</v>
      </c>
      <c r="S931" s="91">
        <f>IFERROR(__xludf.DUMMYFUNCTION("IFERROR(sum(FILTER('Fund Investment Data'!$V:$V, 'Fund Investment Data'!$C:$C = $C931, 'Fund Investment Data'!$A:$A &lt; $A931)),0) + IFERROR(sum(FILTER('Fund Investment Data'!$V:$V, 'Fund Investment Data'!$C:$C = $C931, 'Fund Investment Data'!$A:$A = $A931,"&amp;" 'Fund Investment Data'!$B:$B &lt;= $B931)),0)"),2000000.0)</f>
        <v>2000000</v>
      </c>
      <c r="T931" s="93">
        <v>2000000.0</v>
      </c>
      <c r="U931" s="32">
        <f t="shared" si="3"/>
        <v>0</v>
      </c>
      <c r="V931" s="32">
        <f>IFERROR(__xludf.DUMMYFUNCTION("$D931 - IFERROR(FILTER($D:$D,$C:$C = $C931, $A:$A = $A931, $B:$B = $B931 - 1),0)"),0.0)</f>
        <v>0</v>
      </c>
      <c r="W931" s="93">
        <f>IFERROR(__xludf.DUMMYFUNCTION("$E931 - IFERROR(FILTER($E:$E,$C:$C = $C931, $A:$A = $A931, $B:$B = $B931 - 1),0)"),0.0)</f>
        <v>0</v>
      </c>
      <c r="X931" s="93"/>
      <c r="Y931" s="93"/>
      <c r="Z931" s="93">
        <v>0.0</v>
      </c>
      <c r="AA931" s="93">
        <v>0.0</v>
      </c>
      <c r="AB931" s="93">
        <v>0.0</v>
      </c>
      <c r="AC931" s="93"/>
      <c r="AD931" s="93">
        <v>0.0</v>
      </c>
      <c r="AE931" s="32">
        <f t="shared" si="2"/>
        <v>0</v>
      </c>
      <c r="AF931" s="93">
        <v>0.0</v>
      </c>
    </row>
    <row r="932">
      <c r="A932" s="86">
        <v>2018.0</v>
      </c>
      <c r="B932" s="87">
        <v>3.0</v>
      </c>
      <c r="C932" s="88" t="s">
        <v>58</v>
      </c>
      <c r="D932" s="32"/>
      <c r="E932" s="32"/>
      <c r="F932" s="32"/>
      <c r="G932" s="93">
        <v>-3093.77</v>
      </c>
      <c r="H932" s="93">
        <v>15884.76</v>
      </c>
      <c r="I932" s="32"/>
      <c r="J932" s="93">
        <v>-13305.41</v>
      </c>
      <c r="K932" s="32"/>
      <c r="L932" s="32"/>
      <c r="M932" s="32"/>
      <c r="N932" s="32"/>
      <c r="O932" s="93">
        <v>2034664.0</v>
      </c>
      <c r="P932" s="91">
        <f>IFERROR(__xludf.DUMMYFUNCTION("IFERROR(sum(FILTER($D:$N,$C:$C = $C932,$A:$A &lt; $A932,$B:$B = 12)),0) + sum($D932:$N932)"),2034664.4100000001)</f>
        <v>2034664.41</v>
      </c>
      <c r="Q932" s="92">
        <f t="shared" si="1"/>
        <v>-0.4100000001</v>
      </c>
      <c r="R932" s="91">
        <f t="array" ref="R932">IFERROR(INDEX('Fund YTD Target Values'!$1:$1000, MATCH($C932,'Fund YTD Target Values'!$A:$A,0), MATCH($A932,'Fund YTD Target Values'!$1:$1,0)),0)</f>
        <v>2048853.692</v>
      </c>
      <c r="S932" s="91">
        <f>IFERROR(__xludf.DUMMYFUNCTION("IFERROR(sum(FILTER('Fund Investment Data'!$V:$V, 'Fund Investment Data'!$C:$C = $C932, 'Fund Investment Data'!$A:$A &lt; $A932)),0) + IFERROR(sum(FILTER('Fund Investment Data'!$V:$V, 'Fund Investment Data'!$C:$C = $C932, 'Fund Investment Data'!$A:$A = $A932,"&amp;" 'Fund Investment Data'!$B:$B &lt;= $B932)),0)"),2000000.0)</f>
        <v>2000000</v>
      </c>
      <c r="T932" s="93">
        <v>2000000.0</v>
      </c>
      <c r="U932" s="32">
        <f t="shared" si="3"/>
        <v>0</v>
      </c>
      <c r="V932" s="32">
        <f>IFERROR(__xludf.DUMMYFUNCTION("$D932 - IFERROR(FILTER($D:$D,$C:$C = $C932, $A:$A = $A932, $B:$B = $B932 - 1),0)"),0.0)</f>
        <v>0</v>
      </c>
      <c r="W932" s="93">
        <f>IFERROR(__xludf.DUMMYFUNCTION("$E932 - IFERROR(FILTER($E:$E,$C:$C = $C932, $A:$A = $A932, $B:$B = $B932 - 1),0)"),0.0)</f>
        <v>0</v>
      </c>
      <c r="X932" s="93"/>
      <c r="Y932" s="93"/>
      <c r="Z932" s="93">
        <v>0.0</v>
      </c>
      <c r="AA932" s="93">
        <v>0.0</v>
      </c>
      <c r="AB932" s="93">
        <v>0.0</v>
      </c>
      <c r="AC932" s="93"/>
      <c r="AD932" s="93">
        <v>0.0</v>
      </c>
      <c r="AE932" s="32">
        <f t="shared" si="2"/>
        <v>0</v>
      </c>
      <c r="AF932" s="93">
        <v>0.0</v>
      </c>
    </row>
    <row r="933">
      <c r="A933" s="86">
        <v>2018.0</v>
      </c>
      <c r="B933" s="87">
        <v>4.0</v>
      </c>
      <c r="C933" s="88" t="s">
        <v>26</v>
      </c>
      <c r="D933" s="93">
        <v>18189.0</v>
      </c>
      <c r="E933" s="32"/>
      <c r="F933" s="32"/>
      <c r="G933" s="93">
        <v>-688.42</v>
      </c>
      <c r="H933" s="93">
        <v>3424.0</v>
      </c>
      <c r="I933" s="32"/>
      <c r="J933" s="93">
        <v>-2106.67</v>
      </c>
      <c r="K933" s="32"/>
      <c r="L933" s="32"/>
      <c r="M933" s="32"/>
      <c r="N933" s="32"/>
      <c r="O933" s="93">
        <v>350750.0</v>
      </c>
      <c r="P933" s="91">
        <f>IFERROR(__xludf.DUMMYFUNCTION("IFERROR(sum(FILTER($D:$N,$C:$C = $C933,$A:$A &lt; $A933,$B:$B = 12)),0) + sum($D933:$N933)"),350748.87)</f>
        <v>350748.87</v>
      </c>
      <c r="Q933" s="92">
        <f t="shared" si="1"/>
        <v>1.13</v>
      </c>
      <c r="R933" s="91">
        <f t="array" ref="R933">IFERROR(INDEX('Fund YTD Target Values'!$1:$1000, MATCH($C933,'Fund YTD Target Values'!$A:$A,0), MATCH($A933,'Fund YTD Target Values'!$1:$1,0)),0)</f>
        <v>378110.9215</v>
      </c>
      <c r="S933" s="91">
        <f>IFERROR(__xludf.DUMMYFUNCTION("IFERROR(sum(FILTER('Fund Investment Data'!$V:$V, 'Fund Investment Data'!$C:$C = $C933, 'Fund Investment Data'!$A:$A &lt; $A933)),0) + IFERROR(sum(FILTER('Fund Investment Data'!$V:$V, 'Fund Investment Data'!$C:$C = $C933, 'Fund Investment Data'!$A:$A = $A933,"&amp;" 'Fund Investment Data'!$B:$B &lt;= $B933)),0)"),310249.0)</f>
        <v>310249</v>
      </c>
      <c r="T933" s="93">
        <v>310250.0</v>
      </c>
      <c r="U933" s="32">
        <f t="shared" si="3"/>
        <v>-1</v>
      </c>
      <c r="V933" s="32">
        <f>IFERROR(__xludf.DUMMYFUNCTION("$D933 - IFERROR(FILTER($D:$D,$C:$C = $C933, $A:$A = $A933, $B:$B = $B933 - 1),0)"),0.0)</f>
        <v>0</v>
      </c>
      <c r="W933" s="93">
        <f>IFERROR(__xludf.DUMMYFUNCTION("$E933 - IFERROR(FILTER($E:$E,$C:$C = $C933, $A:$A = $A933, $B:$B = $B933 - 1),0)"),0.0)</f>
        <v>0</v>
      </c>
      <c r="X933" s="93"/>
      <c r="Y933" s="93"/>
      <c r="Z933" s="93">
        <v>0.0</v>
      </c>
      <c r="AA933" s="93">
        <v>0.0</v>
      </c>
      <c r="AB933" s="93">
        <v>0.0</v>
      </c>
      <c r="AC933" s="93"/>
      <c r="AD933" s="93">
        <v>0.0</v>
      </c>
      <c r="AE933" s="32">
        <f t="shared" si="2"/>
        <v>0</v>
      </c>
      <c r="AF933" s="93">
        <v>0.0</v>
      </c>
    </row>
    <row r="934">
      <c r="A934" s="86">
        <v>2018.0</v>
      </c>
      <c r="B934" s="87">
        <v>4.0</v>
      </c>
      <c r="C934" s="88" t="s">
        <v>27</v>
      </c>
      <c r="D934" s="32"/>
      <c r="E934" s="32"/>
      <c r="F934" s="32"/>
      <c r="G934" s="93">
        <v>-623.15</v>
      </c>
      <c r="H934" s="93">
        <v>3152.84</v>
      </c>
      <c r="I934" s="32"/>
      <c r="J934" s="93">
        <v>-1765.47</v>
      </c>
      <c r="K934" s="32"/>
      <c r="L934" s="32"/>
      <c r="M934" s="32"/>
      <c r="N934" s="32"/>
      <c r="O934" s="93">
        <v>309249.0</v>
      </c>
      <c r="P934" s="91">
        <f>IFERROR(__xludf.DUMMYFUNCTION("IFERROR(sum(FILTER($D:$N,$C:$C = $C934,$A:$A &lt; $A934,$B:$B = 12)),0) + sum($D934:$N934)"),309249.62000000005)</f>
        <v>309249.62</v>
      </c>
      <c r="Q934" s="92">
        <f t="shared" si="1"/>
        <v>-0.6200000001</v>
      </c>
      <c r="R934" s="91">
        <f t="array" ref="R934">IFERROR(INDEX('Fund YTD Target Values'!$1:$1000, MATCH($C934,'Fund YTD Target Values'!$A:$A,0), MATCH($A934,'Fund YTD Target Values'!$1:$1,0)),0)</f>
        <v>393297.582</v>
      </c>
      <c r="S934" s="91">
        <f>IFERROR(__xludf.DUMMYFUNCTION("IFERROR(sum(FILTER('Fund Investment Data'!$V:$V, 'Fund Investment Data'!$C:$C = $C934, 'Fund Investment Data'!$A:$A &lt; $A934)),0) + IFERROR(sum(FILTER('Fund Investment Data'!$V:$V, 'Fund Investment Data'!$C:$C = $C934, 'Fund Investment Data'!$A:$A = $A934,"&amp;" 'Fund Investment Data'!$B:$B &lt;= $B934)),0)"),276213.69999999995)</f>
        <v>276213.7</v>
      </c>
      <c r="T934" s="93">
        <v>272248.0</v>
      </c>
      <c r="U934" s="32">
        <f t="shared" si="3"/>
        <v>3965.7</v>
      </c>
      <c r="V934" s="32">
        <f>IFERROR(__xludf.DUMMYFUNCTION("$D934 - IFERROR(FILTER($D:$D,$C:$C = $C934, $A:$A = $A934, $B:$B = $B934 - 1),0)"),0.0)</f>
        <v>0</v>
      </c>
      <c r="W934" s="93">
        <f>IFERROR(__xludf.DUMMYFUNCTION("$E934 - IFERROR(FILTER($E:$E,$C:$C = $C934, $A:$A = $A934, $B:$B = $B934 - 1),0)"),0.0)</f>
        <v>0</v>
      </c>
      <c r="X934" s="93"/>
      <c r="Y934" s="93"/>
      <c r="Z934" s="93">
        <v>0.0</v>
      </c>
      <c r="AA934" s="93">
        <v>0.0</v>
      </c>
      <c r="AB934" s="93">
        <v>0.0</v>
      </c>
      <c r="AC934" s="93"/>
      <c r="AD934" s="93">
        <v>0.0</v>
      </c>
      <c r="AE934" s="32">
        <f t="shared" si="2"/>
        <v>0</v>
      </c>
      <c r="AF934" s="93">
        <v>0.0</v>
      </c>
    </row>
    <row r="935">
      <c r="A935" s="86">
        <v>2018.0</v>
      </c>
      <c r="B935" s="87">
        <v>4.0</v>
      </c>
      <c r="C935" s="88" t="s">
        <v>28</v>
      </c>
      <c r="D935" s="32"/>
      <c r="E935" s="32"/>
      <c r="F935" s="32"/>
      <c r="G935" s="93">
        <v>-6684.59</v>
      </c>
      <c r="H935" s="93">
        <v>33773.88</v>
      </c>
      <c r="I935" s="32"/>
      <c r="J935" s="93">
        <v>-18894.6</v>
      </c>
      <c r="K935" s="32"/>
      <c r="L935" s="32"/>
      <c r="M935" s="32"/>
      <c r="N935" s="32"/>
      <c r="O935" s="93">
        <v>3317422.0</v>
      </c>
      <c r="P935" s="91">
        <f>IFERROR(__xludf.DUMMYFUNCTION("IFERROR(sum(FILTER($D:$N,$C:$C = $C935,$A:$A &lt; $A935,$B:$B = 12)),0) + sum($D935:$N935)"),3317420.76)</f>
        <v>3317420.76</v>
      </c>
      <c r="Q935" s="92">
        <f t="shared" si="1"/>
        <v>1.24</v>
      </c>
      <c r="R935" s="91">
        <f t="array" ref="R935">IFERROR(INDEX('Fund YTD Target Values'!$1:$1000, MATCH($C935,'Fund YTD Target Values'!$A:$A,0), MATCH($A935,'Fund YTD Target Values'!$1:$1,0)),0)</f>
        <v>3840487.513</v>
      </c>
      <c r="S935" s="91">
        <f>IFERROR(__xludf.DUMMYFUNCTION("IFERROR(sum(FILTER('Fund Investment Data'!$V:$V, 'Fund Investment Data'!$C:$C = $C935, 'Fund Investment Data'!$A:$A &lt; $A935)),0) + IFERROR(sum(FILTER('Fund Investment Data'!$V:$V, 'Fund Investment Data'!$C:$C = $C935, 'Fund Investment Data'!$A:$A = $A935,"&amp;" 'Fund Investment Data'!$B:$B &lt;= $B935)),0)"),2960091.25)</f>
        <v>2960091.25</v>
      </c>
      <c r="T935" s="93">
        <v>3009816.0</v>
      </c>
      <c r="U935" s="32">
        <f t="shared" si="3"/>
        <v>-49724.75</v>
      </c>
      <c r="V935" s="32">
        <f>IFERROR(__xludf.DUMMYFUNCTION("$D935 - IFERROR(FILTER($D:$D,$C:$C = $C935, $A:$A = $A935, $B:$B = $B935 - 1),0)"),0.0)</f>
        <v>0</v>
      </c>
      <c r="W935" s="93">
        <f>IFERROR(__xludf.DUMMYFUNCTION("$E935 - IFERROR(FILTER($E:$E,$C:$C = $C935, $A:$A = $A935, $B:$B = $B935 - 1),0)"),0.0)</f>
        <v>0</v>
      </c>
      <c r="X935" s="93"/>
      <c r="Y935" s="93"/>
      <c r="Z935" s="93">
        <v>0.0</v>
      </c>
      <c r="AA935" s="93">
        <v>0.0</v>
      </c>
      <c r="AB935" s="93">
        <v>0.0</v>
      </c>
      <c r="AC935" s="93"/>
      <c r="AD935" s="93">
        <v>0.0</v>
      </c>
      <c r="AE935" s="32">
        <f t="shared" si="2"/>
        <v>0</v>
      </c>
      <c r="AF935" s="93">
        <v>0.0</v>
      </c>
    </row>
    <row r="936">
      <c r="A936" s="86">
        <v>2018.0</v>
      </c>
      <c r="B936" s="87">
        <v>4.0</v>
      </c>
      <c r="C936" s="88" t="s">
        <v>46</v>
      </c>
      <c r="D936" s="32"/>
      <c r="E936" s="32"/>
      <c r="F936" s="32"/>
      <c r="G936" s="93">
        <v>-794.88</v>
      </c>
      <c r="H936" s="93">
        <v>4021.79</v>
      </c>
      <c r="I936" s="32"/>
      <c r="J936" s="93">
        <v>-2252.05</v>
      </c>
      <c r="K936" s="32"/>
      <c r="L936" s="32"/>
      <c r="M936" s="32"/>
      <c r="N936" s="32"/>
      <c r="O936" s="93">
        <v>394482.0</v>
      </c>
      <c r="P936" s="91">
        <f>IFERROR(__xludf.DUMMYFUNCTION("IFERROR(sum(FILTER($D:$N,$C:$C = $C936,$A:$A &lt; $A936,$B:$B = 12)),0) + sum($D936:$N936)"),394482.52)</f>
        <v>394482.52</v>
      </c>
      <c r="Q936" s="92">
        <f t="shared" si="1"/>
        <v>-0.52</v>
      </c>
      <c r="R936" s="91">
        <f t="array" ref="R936">IFERROR(INDEX('Fund YTD Target Values'!$1:$1000, MATCH($C936,'Fund YTD Target Values'!$A:$A,0), MATCH($A936,'Fund YTD Target Values'!$1:$1,0)),0)</f>
        <v>456546.9656</v>
      </c>
      <c r="S936" s="91">
        <f>IFERROR(__xludf.DUMMYFUNCTION("IFERROR(sum(FILTER('Fund Investment Data'!$V:$V, 'Fund Investment Data'!$C:$C = $C936, 'Fund Investment Data'!$A:$A &lt; $A936)),0) + IFERROR(sum(FILTER('Fund Investment Data'!$V:$V, 'Fund Investment Data'!$C:$C = $C936, 'Fund Investment Data'!$A:$A = $A936,"&amp;" 'Fund Investment Data'!$B:$B &lt;= $B936)),0)"),366400.0)</f>
        <v>366400</v>
      </c>
      <c r="T936" s="93">
        <v>366400.0</v>
      </c>
      <c r="U936" s="32">
        <f t="shared" si="3"/>
        <v>0</v>
      </c>
      <c r="V936" s="32">
        <f>IFERROR(__xludf.DUMMYFUNCTION("$D936 - IFERROR(FILTER($D:$D,$C:$C = $C936, $A:$A = $A936, $B:$B = $B936 - 1),0)"),0.0)</f>
        <v>0</v>
      </c>
      <c r="W936" s="93">
        <f>IFERROR(__xludf.DUMMYFUNCTION("$E936 - IFERROR(FILTER($E:$E,$C:$C = $C936, $A:$A = $A936, $B:$B = $B936 - 1),0)"),0.0)</f>
        <v>0</v>
      </c>
      <c r="X936" s="93"/>
      <c r="Y936" s="93"/>
      <c r="Z936" s="93">
        <v>0.0</v>
      </c>
      <c r="AA936" s="93">
        <v>0.0</v>
      </c>
      <c r="AB936" s="93">
        <v>0.0</v>
      </c>
      <c r="AC936" s="93"/>
      <c r="AD936" s="93">
        <v>0.0</v>
      </c>
      <c r="AE936" s="32">
        <f t="shared" si="2"/>
        <v>0</v>
      </c>
      <c r="AF936" s="93">
        <v>0.0</v>
      </c>
    </row>
    <row r="937">
      <c r="A937" s="86">
        <v>2018.0</v>
      </c>
      <c r="B937" s="87">
        <v>4.0</v>
      </c>
      <c r="C937" s="88" t="s">
        <v>36</v>
      </c>
      <c r="D937" s="32"/>
      <c r="E937" s="32"/>
      <c r="F937" s="32"/>
      <c r="G937" s="93">
        <v>-910.54</v>
      </c>
      <c r="H937" s="93">
        <v>4606.88</v>
      </c>
      <c r="I937" s="32"/>
      <c r="J937" s="93">
        <v>-2579.68</v>
      </c>
      <c r="K937" s="32"/>
      <c r="L937" s="32"/>
      <c r="M937" s="32"/>
      <c r="N937" s="32"/>
      <c r="O937" s="93">
        <v>451872.0</v>
      </c>
      <c r="P937" s="91">
        <f>IFERROR(__xludf.DUMMYFUNCTION("IFERROR(sum(FILTER($D:$N,$C:$C = $C937,$A:$A &lt; $A937,$B:$B = 12)),0) + sum($D937:$N937)"),451871.12)</f>
        <v>451871.12</v>
      </c>
      <c r="Q937" s="92">
        <f t="shared" si="1"/>
        <v>0.88</v>
      </c>
      <c r="R937" s="91">
        <f t="array" ref="R937">IFERROR(INDEX('Fund YTD Target Values'!$1:$1000, MATCH($C937,'Fund YTD Target Values'!$A:$A,0), MATCH($A937,'Fund YTD Target Values'!$1:$1,0)),0)</f>
        <v>635486.6433</v>
      </c>
      <c r="S937" s="91">
        <f>IFERROR(__xludf.DUMMYFUNCTION("IFERROR(sum(FILTER('Fund Investment Data'!$V:$V, 'Fund Investment Data'!$C:$C = $C937, 'Fund Investment Data'!$A:$A &lt; $A937)),0) + IFERROR(sum(FILTER('Fund Investment Data'!$V:$V, 'Fund Investment Data'!$C:$C = $C937, 'Fund Investment Data'!$A:$A = $A937,"&amp;" 'Fund Investment Data'!$B:$B &lt;= $B937)),0)"),429067.24)</f>
        <v>429067.24</v>
      </c>
      <c r="T937" s="93">
        <v>413959.0</v>
      </c>
      <c r="U937" s="32">
        <f t="shared" si="3"/>
        <v>15108.24</v>
      </c>
      <c r="V937" s="32">
        <f>IFERROR(__xludf.DUMMYFUNCTION("$D937 - IFERROR(FILTER($D:$D,$C:$C = $C937, $A:$A = $A937, $B:$B = $B937 - 1),0)"),0.0)</f>
        <v>0</v>
      </c>
      <c r="W937" s="93">
        <f>IFERROR(__xludf.DUMMYFUNCTION("$E937 - IFERROR(FILTER($E:$E,$C:$C = $C937, $A:$A = $A937, $B:$B = $B937 - 1),0)"),0.0)</f>
        <v>0</v>
      </c>
      <c r="X937" s="93"/>
      <c r="Y937" s="93"/>
      <c r="Z937" s="93">
        <v>0.0</v>
      </c>
      <c r="AA937" s="93">
        <v>0.0</v>
      </c>
      <c r="AB937" s="93">
        <v>0.0</v>
      </c>
      <c r="AC937" s="93"/>
      <c r="AD937" s="93">
        <v>0.0</v>
      </c>
      <c r="AE937" s="32">
        <f t="shared" si="2"/>
        <v>0</v>
      </c>
      <c r="AF937" s="93">
        <v>0.0</v>
      </c>
    </row>
    <row r="938">
      <c r="A938" s="86">
        <v>2018.0</v>
      </c>
      <c r="B938" s="87">
        <v>4.0</v>
      </c>
      <c r="C938" s="88" t="s">
        <v>37</v>
      </c>
      <c r="D938" s="32"/>
      <c r="E938" s="32"/>
      <c r="F938" s="32"/>
      <c r="G938" s="93">
        <v>-1663.15</v>
      </c>
      <c r="H938" s="93">
        <v>8414.73</v>
      </c>
      <c r="I938" s="32"/>
      <c r="J938" s="93">
        <v>-4711.93</v>
      </c>
      <c r="K938" s="32"/>
      <c r="L938" s="32"/>
      <c r="M938" s="32"/>
      <c r="N938" s="32"/>
      <c r="O938" s="93">
        <v>825369.0</v>
      </c>
      <c r="P938" s="91">
        <f>IFERROR(__xludf.DUMMYFUNCTION("IFERROR(sum(FILTER($D:$N,$C:$C = $C938,$A:$A &lt; $A938,$B:$B = 12)),0) + sum($D938:$N938)"),825368.8899999999)</f>
        <v>825368.89</v>
      </c>
      <c r="Q938" s="92">
        <f t="shared" si="1"/>
        <v>0.1100000001</v>
      </c>
      <c r="R938" s="91">
        <f t="array" ref="R938">IFERROR(INDEX('Fund YTD Target Values'!$1:$1000, MATCH($C938,'Fund YTD Target Values'!$A:$A,0), MATCH($A938,'Fund YTD Target Values'!$1:$1,0)),0)</f>
        <v>845621.3635</v>
      </c>
      <c r="S938" s="91">
        <f>IFERROR(__xludf.DUMMYFUNCTION("IFERROR(sum(FILTER('Fund Investment Data'!$V:$V, 'Fund Investment Data'!$C:$C = $C938, 'Fund Investment Data'!$A:$A &lt; $A938)),0) + IFERROR(sum(FILTER('Fund Investment Data'!$V:$V, 'Fund Investment Data'!$C:$C = $C938, 'Fund Investment Data'!$A:$A = $A938,"&amp;" 'Fund Investment Data'!$B:$B &lt;= $B938)),0)"),758137.86)</f>
        <v>758137.86</v>
      </c>
      <c r="T938" s="93">
        <v>742866.0</v>
      </c>
      <c r="U938" s="32">
        <f t="shared" si="3"/>
        <v>15271.86</v>
      </c>
      <c r="V938" s="32">
        <f>IFERROR(__xludf.DUMMYFUNCTION("$D938 - IFERROR(FILTER($D:$D,$C:$C = $C938, $A:$A = $A938, $B:$B = $B938 - 1),0)"),0.0)</f>
        <v>0</v>
      </c>
      <c r="W938" s="93">
        <f>IFERROR(__xludf.DUMMYFUNCTION("$E938 - IFERROR(FILTER($E:$E,$C:$C = $C938, $A:$A = $A938, $B:$B = $B938 - 1),0)"),0.0)</f>
        <v>0</v>
      </c>
      <c r="X938" s="93"/>
      <c r="Y938" s="93"/>
      <c r="Z938" s="93">
        <v>0.0</v>
      </c>
      <c r="AA938" s="93">
        <v>0.0</v>
      </c>
      <c r="AB938" s="93">
        <v>0.0</v>
      </c>
      <c r="AC938" s="93"/>
      <c r="AD938" s="93">
        <v>0.0</v>
      </c>
      <c r="AE938" s="32">
        <f t="shared" si="2"/>
        <v>0</v>
      </c>
      <c r="AF938" s="93">
        <v>0.0</v>
      </c>
    </row>
    <row r="939">
      <c r="A939" s="86">
        <v>2018.0</v>
      </c>
      <c r="B939" s="87">
        <v>4.0</v>
      </c>
      <c r="C939" s="88" t="s">
        <v>29</v>
      </c>
      <c r="D939" s="32"/>
      <c r="E939" s="32"/>
      <c r="F939" s="32"/>
      <c r="G939" s="93">
        <v>-117.49</v>
      </c>
      <c r="H939" s="93">
        <v>594.13</v>
      </c>
      <c r="I939" s="32"/>
      <c r="J939" s="93">
        <v>-332.59</v>
      </c>
      <c r="K939" s="32"/>
      <c r="L939" s="32"/>
      <c r="M939" s="32"/>
      <c r="N939" s="32"/>
      <c r="O939" s="93">
        <v>58305.0</v>
      </c>
      <c r="P939" s="91">
        <f>IFERROR(__xludf.DUMMYFUNCTION("IFERROR(sum(FILTER($D:$N,$C:$C = $C939,$A:$A &lt; $A939,$B:$B = 12)),0) + sum($D939:$N939)"),58305.35999999993)</f>
        <v>58305.36</v>
      </c>
      <c r="Q939" s="92">
        <f t="shared" si="1"/>
        <v>-0.3599999999</v>
      </c>
      <c r="R939" s="91">
        <f t="array" ref="R939">IFERROR(INDEX('Fund YTD Target Values'!$1:$1000, MATCH($C939,'Fund YTD Target Values'!$A:$A,0), MATCH($A939,'Fund YTD Target Values'!$1:$1,0)),0)</f>
        <v>77055.94062</v>
      </c>
      <c r="S939" s="91">
        <f>IFERROR(__xludf.DUMMYFUNCTION("IFERROR(sum(FILTER('Fund Investment Data'!$V:$V, 'Fund Investment Data'!$C:$C = $C939, 'Fund Investment Data'!$A:$A &lt; $A939)),0) + IFERROR(sum(FILTER('Fund Investment Data'!$V:$V, 'Fund Investment Data'!$C:$C = $C939, 'Fund Investment Data'!$A:$A = $A939,"&amp;" 'Fund Investment Data'!$B:$B &lt;= $B939)),0)"),50000.0)</f>
        <v>50000</v>
      </c>
      <c r="T939" s="93">
        <v>50000.0</v>
      </c>
      <c r="U939" s="32">
        <f t="shared" si="3"/>
        <v>0</v>
      </c>
      <c r="V939" s="32">
        <f>IFERROR(__xludf.DUMMYFUNCTION("$D939 - IFERROR(FILTER($D:$D,$C:$C = $C939, $A:$A = $A939, $B:$B = $B939 - 1),0)"),0.0)</f>
        <v>0</v>
      </c>
      <c r="W939" s="93">
        <f>IFERROR(__xludf.DUMMYFUNCTION("$E939 - IFERROR(FILTER($E:$E,$C:$C = $C939, $A:$A = $A939, $B:$B = $B939 - 1),0)"),0.0)</f>
        <v>0</v>
      </c>
      <c r="X939" s="93"/>
      <c r="Y939" s="93"/>
      <c r="Z939" s="93">
        <v>0.0</v>
      </c>
      <c r="AA939" s="93">
        <v>0.0</v>
      </c>
      <c r="AB939" s="93">
        <v>0.0</v>
      </c>
      <c r="AC939" s="93"/>
      <c r="AD939" s="93">
        <v>0.0</v>
      </c>
      <c r="AE939" s="32">
        <f t="shared" si="2"/>
        <v>0</v>
      </c>
      <c r="AF939" s="93">
        <v>0.0</v>
      </c>
    </row>
    <row r="940">
      <c r="A940" s="86">
        <v>2018.0</v>
      </c>
      <c r="B940" s="87">
        <v>4.0</v>
      </c>
      <c r="C940" s="88" t="s">
        <v>38</v>
      </c>
      <c r="D940" s="32"/>
      <c r="E940" s="32"/>
      <c r="F940" s="32"/>
      <c r="G940" s="93">
        <v>-1641.66</v>
      </c>
      <c r="H940" s="93">
        <v>8244.7</v>
      </c>
      <c r="I940" s="32"/>
      <c r="J940" s="93">
        <v>-4593.56</v>
      </c>
      <c r="K940" s="32"/>
      <c r="L940" s="32"/>
      <c r="M940" s="32"/>
      <c r="N940" s="32"/>
      <c r="O940" s="93">
        <v>817419.0</v>
      </c>
      <c r="P940" s="91">
        <f>IFERROR(__xludf.DUMMYFUNCTION("IFERROR(sum(FILTER($D:$N,$C:$C = $C940,$A:$A &lt; $A940,$B:$B = 12)),0) + sum($D940:$N940)"),817417.6199999999)</f>
        <v>817417.62</v>
      </c>
      <c r="Q940" s="92">
        <f t="shared" si="1"/>
        <v>1.38</v>
      </c>
      <c r="R940" s="91">
        <f t="array" ref="R940">IFERROR(INDEX('Fund YTD Target Values'!$1:$1000, MATCH($C940,'Fund YTD Target Values'!$A:$A,0), MATCH($A940,'Fund YTD Target Values'!$1:$1,0)),0)</f>
        <v>702514.9803</v>
      </c>
      <c r="S940" s="91">
        <f>IFERROR(__xludf.DUMMYFUNCTION("IFERROR(sum(FILTER('Fund Investment Data'!$V:$V, 'Fund Investment Data'!$C:$C = $C940, 'Fund Investment Data'!$A:$A &lt; $A940)),0) + IFERROR(sum(FILTER('Fund Investment Data'!$V:$V, 'Fund Investment Data'!$C:$C = $C940, 'Fund Investment Data'!$A:$A = $A940,"&amp;" 'Fund Investment Data'!$B:$B &lt;= $B940)),0)"),556601.64)</f>
        <v>556601.64</v>
      </c>
      <c r="T940" s="93">
        <v>558656.0</v>
      </c>
      <c r="U940" s="32">
        <f t="shared" si="3"/>
        <v>-2054.36</v>
      </c>
      <c r="V940" s="32">
        <f>IFERROR(__xludf.DUMMYFUNCTION("$D940 - IFERROR(FILTER($D:$D,$C:$C = $C940, $A:$A = $A940, $B:$B = $B940 - 1),0)"),0.0)</f>
        <v>0</v>
      </c>
      <c r="W940" s="93">
        <f>IFERROR(__xludf.DUMMYFUNCTION("$E940 - IFERROR(FILTER($E:$E,$C:$C = $C940, $A:$A = $A940, $B:$B = $B940 - 1),0)"),0.0)</f>
        <v>0</v>
      </c>
      <c r="X940" s="93"/>
      <c r="Y940" s="93"/>
      <c r="Z940" s="93">
        <v>0.0</v>
      </c>
      <c r="AA940" s="93">
        <v>0.0</v>
      </c>
      <c r="AB940" s="93">
        <v>0.0</v>
      </c>
      <c r="AC940" s="93"/>
      <c r="AD940" s="93">
        <v>0.0</v>
      </c>
      <c r="AE940" s="32">
        <f t="shared" si="2"/>
        <v>0</v>
      </c>
      <c r="AF940" s="93">
        <v>0.0</v>
      </c>
    </row>
    <row r="941">
      <c r="A941" s="86">
        <v>2018.0</v>
      </c>
      <c r="B941" s="87">
        <v>4.0</v>
      </c>
      <c r="C941" s="88" t="s">
        <v>30</v>
      </c>
      <c r="D941" s="32"/>
      <c r="E941" s="32"/>
      <c r="F941" s="32"/>
      <c r="G941" s="93">
        <v>-35.06</v>
      </c>
      <c r="H941" s="93">
        <v>173.04</v>
      </c>
      <c r="I941" s="32"/>
      <c r="J941" s="93">
        <v>-99.71</v>
      </c>
      <c r="K941" s="32"/>
      <c r="L941" s="32"/>
      <c r="M941" s="32"/>
      <c r="N941" s="32"/>
      <c r="O941" s="93">
        <v>17407.0</v>
      </c>
      <c r="P941" s="91">
        <f>IFERROR(__xludf.DUMMYFUNCTION("IFERROR(sum(FILTER($D:$N,$C:$C = $C941,$A:$A &lt; $A941,$B:$B = 12)),0) + sum($D941:$N941)"),17405.679999999986)</f>
        <v>17405.68</v>
      </c>
      <c r="Q941" s="92">
        <f t="shared" si="1"/>
        <v>1.32</v>
      </c>
      <c r="R941" s="91">
        <f t="array" ref="R941">IFERROR(INDEX('Fund YTD Target Values'!$1:$1000, MATCH($C941,'Fund YTD Target Values'!$A:$A,0), MATCH($A941,'Fund YTD Target Values'!$1:$1,0)),0)</f>
        <v>18484.57102</v>
      </c>
      <c r="S941" s="91">
        <f>IFERROR(__xludf.DUMMYFUNCTION("IFERROR(sum(FILTER('Fund Investment Data'!$V:$V, 'Fund Investment Data'!$C:$C = $C941, 'Fund Investment Data'!$A:$A &lt; $A941)),0) + IFERROR(sum(FILTER('Fund Investment Data'!$V:$V, 'Fund Investment Data'!$C:$C = $C941, 'Fund Investment Data'!$A:$A = $A941,"&amp;" 'Fund Investment Data'!$B:$B &lt;= $B941)),0)"),11540.75)</f>
        <v>11540.75</v>
      </c>
      <c r="T941" s="93">
        <v>10000.0</v>
      </c>
      <c r="U941" s="32">
        <f t="shared" si="3"/>
        <v>1540.75</v>
      </c>
      <c r="V941" s="32">
        <f>IFERROR(__xludf.DUMMYFUNCTION("$D941 - IFERROR(FILTER($D:$D,$C:$C = $C941, $A:$A = $A941, $B:$B = $B941 - 1),0)"),0.0)</f>
        <v>0</v>
      </c>
      <c r="W941" s="93">
        <f>IFERROR(__xludf.DUMMYFUNCTION("$E941 - IFERROR(FILTER($E:$E,$C:$C = $C941, $A:$A = $A941, $B:$B = $B941 - 1),0)"),0.0)</f>
        <v>0</v>
      </c>
      <c r="X941" s="93"/>
      <c r="Y941" s="93"/>
      <c r="Z941" s="93">
        <v>0.0</v>
      </c>
      <c r="AA941" s="93">
        <v>0.0</v>
      </c>
      <c r="AB941" s="93">
        <v>0.0</v>
      </c>
      <c r="AC941" s="93"/>
      <c r="AD941" s="93">
        <v>0.0</v>
      </c>
      <c r="AE941" s="32">
        <f t="shared" si="2"/>
        <v>0</v>
      </c>
      <c r="AF941" s="93">
        <v>0.0</v>
      </c>
    </row>
    <row r="942">
      <c r="A942" s="86">
        <v>2018.0</v>
      </c>
      <c r="B942" s="87">
        <v>4.0</v>
      </c>
      <c r="C942" s="88" t="s">
        <v>47</v>
      </c>
      <c r="D942" s="32"/>
      <c r="E942" s="32"/>
      <c r="F942" s="32"/>
      <c r="G942" s="93">
        <v>-3058.82</v>
      </c>
      <c r="H942" s="93">
        <v>15476.18</v>
      </c>
      <c r="I942" s="32"/>
      <c r="J942" s="93">
        <v>-8666.09</v>
      </c>
      <c r="K942" s="32"/>
      <c r="L942" s="32"/>
      <c r="M942" s="32"/>
      <c r="N942" s="32"/>
      <c r="O942" s="93">
        <v>1518001.0</v>
      </c>
      <c r="P942" s="91">
        <f>IFERROR(__xludf.DUMMYFUNCTION("IFERROR(sum(FILTER($D:$N,$C:$C = $C942,$A:$A &lt; $A942,$B:$B = 12)),0) + sum($D942:$N942)"),1518000.9099999997)</f>
        <v>1518000.91</v>
      </c>
      <c r="Q942" s="92">
        <f t="shared" si="1"/>
        <v>0.09000000032</v>
      </c>
      <c r="R942" s="91">
        <f t="array" ref="R942">IFERROR(INDEX('Fund YTD Target Values'!$1:$1000, MATCH($C942,'Fund YTD Target Values'!$A:$A,0), MATCH($A942,'Fund YTD Target Values'!$1:$1,0)),0)</f>
        <v>1998729.212</v>
      </c>
      <c r="S942" s="91">
        <f>IFERROR(__xludf.DUMMYFUNCTION("IFERROR(sum(FILTER('Fund Investment Data'!$V:$V, 'Fund Investment Data'!$C:$C = $C942, 'Fund Investment Data'!$A:$A &lt; $A942)),0) + IFERROR(sum(FILTER('Fund Investment Data'!$V:$V, 'Fund Investment Data'!$C:$C = $C942, 'Fund Investment Data'!$A:$A = $A942,"&amp;" 'Fund Investment Data'!$B:$B &lt;= $B942)),0)"),1456367.46)</f>
        <v>1456367.46</v>
      </c>
      <c r="T942" s="93">
        <v>1348955.0</v>
      </c>
      <c r="U942" s="32">
        <f t="shared" si="3"/>
        <v>107412.46</v>
      </c>
      <c r="V942" s="32">
        <f>IFERROR(__xludf.DUMMYFUNCTION("$D942 - IFERROR(FILTER($D:$D,$C:$C = $C942, $A:$A = $A942, $B:$B = $B942 - 1),0)"),0.0)</f>
        <v>0</v>
      </c>
      <c r="W942" s="93">
        <f>IFERROR(__xludf.DUMMYFUNCTION("$E942 - IFERROR(FILTER($E:$E,$C:$C = $C942, $A:$A = $A942, $B:$B = $B942 - 1),0)"),0.0)</f>
        <v>0</v>
      </c>
      <c r="X942" s="93"/>
      <c r="Y942" s="93"/>
      <c r="Z942" s="93">
        <v>0.0</v>
      </c>
      <c r="AA942" s="93">
        <v>0.0</v>
      </c>
      <c r="AB942" s="93">
        <v>0.0</v>
      </c>
      <c r="AC942" s="93"/>
      <c r="AD942" s="93">
        <v>0.0</v>
      </c>
      <c r="AE942" s="32">
        <f t="shared" si="2"/>
        <v>0</v>
      </c>
      <c r="AF942" s="93">
        <v>0.0</v>
      </c>
    </row>
    <row r="943">
      <c r="A943" s="86">
        <v>2018.0</v>
      </c>
      <c r="B943" s="87">
        <v>4.0</v>
      </c>
      <c r="C943" s="88" t="s">
        <v>31</v>
      </c>
      <c r="D943" s="32"/>
      <c r="E943" s="32"/>
      <c r="F943" s="32"/>
      <c r="G943" s="93">
        <v>-382.32</v>
      </c>
      <c r="H943" s="93">
        <v>1934.32</v>
      </c>
      <c r="I943" s="32"/>
      <c r="J943" s="93">
        <v>-1083.13</v>
      </c>
      <c r="K943" s="32"/>
      <c r="L943" s="32"/>
      <c r="M943" s="32"/>
      <c r="N943" s="32"/>
      <c r="O943" s="93">
        <v>189728.0</v>
      </c>
      <c r="P943" s="91">
        <f>IFERROR(__xludf.DUMMYFUNCTION("IFERROR(sum(FILTER($D:$N,$C:$C = $C943,$A:$A &lt; $A943,$B:$B = 12)),0) + sum($D943:$N943)"),189728.22000000003)</f>
        <v>189728.22</v>
      </c>
      <c r="Q943" s="92">
        <f t="shared" si="1"/>
        <v>-0.22</v>
      </c>
      <c r="R943" s="91">
        <f t="array" ref="R943">IFERROR(INDEX('Fund YTD Target Values'!$1:$1000, MATCH($C943,'Fund YTD Target Values'!$A:$A,0), MATCH($A943,'Fund YTD Target Values'!$1:$1,0)),0)</f>
        <v>210555.1651</v>
      </c>
      <c r="S943" s="91">
        <f>IFERROR(__xludf.DUMMYFUNCTION("IFERROR(sum(FILTER('Fund Investment Data'!$V:$V, 'Fund Investment Data'!$C:$C = $C943, 'Fund Investment Data'!$A:$A &lt; $A943)),0) + IFERROR(sum(FILTER('Fund Investment Data'!$V:$V, 'Fund Investment Data'!$C:$C = $C943, 'Fund Investment Data'!$A:$A = $A943,"&amp;" 'Fund Investment Data'!$B:$B &lt;= $B943)),0)"),158100.0)</f>
        <v>158100</v>
      </c>
      <c r="T943" s="93">
        <v>156850.0</v>
      </c>
      <c r="U943" s="32">
        <f t="shared" si="3"/>
        <v>1250</v>
      </c>
      <c r="V943" s="32">
        <f>IFERROR(__xludf.DUMMYFUNCTION("$D943 - IFERROR(FILTER($D:$D,$C:$C = $C943, $A:$A = $A943, $B:$B = $B943 - 1),0)"),0.0)</f>
        <v>0</v>
      </c>
      <c r="W943" s="93">
        <f>IFERROR(__xludf.DUMMYFUNCTION("$E943 - IFERROR(FILTER($E:$E,$C:$C = $C943, $A:$A = $A943, $B:$B = $B943 - 1),0)"),0.0)</f>
        <v>0</v>
      </c>
      <c r="X943" s="93"/>
      <c r="Y943" s="93"/>
      <c r="Z943" s="93">
        <v>0.0</v>
      </c>
      <c r="AA943" s="93">
        <v>0.0</v>
      </c>
      <c r="AB943" s="93">
        <v>0.0</v>
      </c>
      <c r="AC943" s="93"/>
      <c r="AD943" s="93">
        <v>0.0</v>
      </c>
      <c r="AE943" s="32">
        <f t="shared" si="2"/>
        <v>0</v>
      </c>
      <c r="AF943" s="93">
        <v>0.0</v>
      </c>
    </row>
    <row r="944">
      <c r="A944" s="86">
        <v>2018.0</v>
      </c>
      <c r="B944" s="87">
        <v>4.0</v>
      </c>
      <c r="C944" s="88" t="s">
        <v>39</v>
      </c>
      <c r="D944" s="32"/>
      <c r="E944" s="32"/>
      <c r="F944" s="32"/>
      <c r="G944" s="93">
        <v>-361.6</v>
      </c>
      <c r="H944" s="93">
        <v>1707.84</v>
      </c>
      <c r="I944" s="32"/>
      <c r="J944" s="93">
        <v>-1874.06</v>
      </c>
      <c r="K944" s="32"/>
      <c r="L944" s="32"/>
      <c r="M944" s="32"/>
      <c r="N944" s="32"/>
      <c r="O944" s="93">
        <v>179195.0</v>
      </c>
      <c r="P944" s="91">
        <f>IFERROR(__xludf.DUMMYFUNCTION("IFERROR(sum(FILTER($D:$N,$C:$C = $C944,$A:$A &lt; $A944,$B:$B = 12)),0) + sum($D944:$N944)"),179195.44000000003)</f>
        <v>179195.44</v>
      </c>
      <c r="Q944" s="92">
        <f t="shared" si="1"/>
        <v>-0.44</v>
      </c>
      <c r="R944" s="91">
        <f t="array" ref="R944">IFERROR(INDEX('Fund YTD Target Values'!$1:$1000, MATCH($C944,'Fund YTD Target Values'!$A:$A,0), MATCH($A944,'Fund YTD Target Values'!$1:$1,0)),0)</f>
        <v>184883.5181</v>
      </c>
      <c r="S944" s="91">
        <f>IFERROR(__xludf.DUMMYFUNCTION("IFERROR(sum(FILTER('Fund Investment Data'!$V:$V, 'Fund Investment Data'!$C:$C = $C944, 'Fund Investment Data'!$A:$A &lt; $A944)),0) + IFERROR(sum(FILTER('Fund Investment Data'!$V:$V, 'Fund Investment Data'!$C:$C = $C944, 'Fund Investment Data'!$A:$A = $A944,"&amp;" 'Fund Investment Data'!$B:$B &lt;= $B944)),0)"),155000.0)</f>
        <v>155000</v>
      </c>
      <c r="T944" s="93">
        <v>155000.0</v>
      </c>
      <c r="U944" s="32">
        <f t="shared" si="3"/>
        <v>0</v>
      </c>
      <c r="V944" s="32">
        <f>IFERROR(__xludf.DUMMYFUNCTION("$D944 - IFERROR(FILTER($D:$D,$C:$C = $C944, $A:$A = $A944, $B:$B = $B944 - 1),0)"),0.0)</f>
        <v>0</v>
      </c>
      <c r="W944" s="93">
        <f>IFERROR(__xludf.DUMMYFUNCTION("$E944 - IFERROR(FILTER($E:$E,$C:$C = $C944, $A:$A = $A944, $B:$B = $B944 - 1),0)"),0.0)</f>
        <v>0</v>
      </c>
      <c r="X944" s="93"/>
      <c r="Y944" s="93"/>
      <c r="Z944" s="93">
        <v>0.0</v>
      </c>
      <c r="AA944" s="93">
        <v>0.0</v>
      </c>
      <c r="AB944" s="93">
        <v>0.0</v>
      </c>
      <c r="AC944" s="93"/>
      <c r="AD944" s="93">
        <v>0.0</v>
      </c>
      <c r="AE944" s="32">
        <f t="shared" si="2"/>
        <v>0</v>
      </c>
      <c r="AF944" s="93">
        <v>0.0</v>
      </c>
    </row>
    <row r="945">
      <c r="A945" s="86">
        <v>2018.0</v>
      </c>
      <c r="B945" s="87">
        <v>4.0</v>
      </c>
      <c r="C945" s="88" t="s">
        <v>50</v>
      </c>
      <c r="D945" s="32"/>
      <c r="E945" s="32"/>
      <c r="F945" s="32"/>
      <c r="G945" s="93">
        <v>-434.91</v>
      </c>
      <c r="H945" s="93">
        <v>2135.85</v>
      </c>
      <c r="I945" s="32"/>
      <c r="J945" s="93">
        <v>-1238.6</v>
      </c>
      <c r="K945" s="32"/>
      <c r="L945" s="32"/>
      <c r="M945" s="32"/>
      <c r="N945" s="32"/>
      <c r="O945" s="93">
        <v>215927.0</v>
      </c>
      <c r="P945" s="91">
        <f>IFERROR(__xludf.DUMMYFUNCTION("IFERROR(sum(FILTER($D:$N,$C:$C = $C945,$A:$A &lt; $A945,$B:$B = 12)),0) + sum($D945:$N945)"),215926.44999999998)</f>
        <v>215926.45</v>
      </c>
      <c r="Q945" s="92">
        <f t="shared" si="1"/>
        <v>0.55</v>
      </c>
      <c r="R945" s="91">
        <f t="array" ref="R945">IFERROR(INDEX('Fund YTD Target Values'!$1:$1000, MATCH($C945,'Fund YTD Target Values'!$A:$A,0), MATCH($A945,'Fund YTD Target Values'!$1:$1,0)),0)</f>
        <v>217663.6749</v>
      </c>
      <c r="S945" s="91">
        <f>IFERROR(__xludf.DUMMYFUNCTION("IFERROR(sum(FILTER('Fund Investment Data'!$V:$V, 'Fund Investment Data'!$C:$C = $C945, 'Fund Investment Data'!$A:$A &lt; $A945)),0) + IFERROR(sum(FILTER('Fund Investment Data'!$V:$V, 'Fund Investment Data'!$C:$C = $C945, 'Fund Investment Data'!$A:$A = $A945,"&amp;" 'Fund Investment Data'!$B:$B &lt;= $B945)),0)"),185189.56)</f>
        <v>185189.56</v>
      </c>
      <c r="T945" s="93">
        <v>190241.0</v>
      </c>
      <c r="U945" s="32">
        <f t="shared" si="3"/>
        <v>-5051.44</v>
      </c>
      <c r="V945" s="32">
        <f>IFERROR(__xludf.DUMMYFUNCTION("$D945 - IFERROR(FILTER($D:$D,$C:$C = $C945, $A:$A = $A945, $B:$B = $B945 - 1),0)"),0.0)</f>
        <v>0</v>
      </c>
      <c r="W945" s="93">
        <f>IFERROR(__xludf.DUMMYFUNCTION("$E945 - IFERROR(FILTER($E:$E,$C:$C = $C945, $A:$A = $A945, $B:$B = $B945 - 1),0)"),0.0)</f>
        <v>0</v>
      </c>
      <c r="X945" s="93"/>
      <c r="Y945" s="93"/>
      <c r="Z945" s="93">
        <v>0.0</v>
      </c>
      <c r="AA945" s="93">
        <v>0.0</v>
      </c>
      <c r="AB945" s="93">
        <v>0.0</v>
      </c>
      <c r="AC945" s="93"/>
      <c r="AD945" s="93">
        <v>0.0</v>
      </c>
      <c r="AE945" s="32">
        <f t="shared" si="2"/>
        <v>0</v>
      </c>
      <c r="AF945" s="93">
        <v>0.0</v>
      </c>
    </row>
    <row r="946">
      <c r="A946" s="86">
        <v>2018.0</v>
      </c>
      <c r="B946" s="87">
        <v>4.0</v>
      </c>
      <c r="C946" s="88" t="s">
        <v>32</v>
      </c>
      <c r="D946" s="32"/>
      <c r="E946" s="32"/>
      <c r="F946" s="32"/>
      <c r="G946" s="93">
        <v>-107.89</v>
      </c>
      <c r="H946" s="93">
        <v>535.38</v>
      </c>
      <c r="I946" s="32"/>
      <c r="J946" s="93">
        <v>-304.79</v>
      </c>
      <c r="K946" s="32"/>
      <c r="L946" s="32"/>
      <c r="M946" s="32"/>
      <c r="N946" s="32"/>
      <c r="O946" s="93">
        <v>53554.0</v>
      </c>
      <c r="P946" s="91">
        <f>IFERROR(__xludf.DUMMYFUNCTION("IFERROR(sum(FILTER($D:$N,$C:$C = $C946,$A:$A &lt; $A946,$B:$B = 12)),0) + sum($D946:$N946)"),53553.520000000026)</f>
        <v>53553.52</v>
      </c>
      <c r="Q946" s="92">
        <f t="shared" si="1"/>
        <v>0.48</v>
      </c>
      <c r="R946" s="91">
        <f t="array" ref="R946">IFERROR(INDEX('Fund YTD Target Values'!$1:$1000, MATCH($C946,'Fund YTD Target Values'!$A:$A,0), MATCH($A946,'Fund YTD Target Values'!$1:$1,0)),0)</f>
        <v>79179.11465</v>
      </c>
      <c r="S946" s="91">
        <f>IFERROR(__xludf.DUMMYFUNCTION("IFERROR(sum(FILTER('Fund Investment Data'!$V:$V, 'Fund Investment Data'!$C:$C = $C946, 'Fund Investment Data'!$A:$A &lt; $A946)),0) + IFERROR(sum(FILTER('Fund Investment Data'!$V:$V, 'Fund Investment Data'!$C:$C = $C946, 'Fund Investment Data'!$A:$A = $A946,"&amp;" 'Fund Investment Data'!$B:$B &lt;= $B946)),0)"),49449.04)</f>
        <v>49449.04</v>
      </c>
      <c r="T946" s="93">
        <v>39268.0</v>
      </c>
      <c r="U946" s="32">
        <f t="shared" si="3"/>
        <v>10181.04</v>
      </c>
      <c r="V946" s="32">
        <f>IFERROR(__xludf.DUMMYFUNCTION("$D946 - IFERROR(FILTER($D:$D,$C:$C = $C946, $A:$A = $A946, $B:$B = $B946 - 1),0)"),0.0)</f>
        <v>0</v>
      </c>
      <c r="W946" s="93">
        <f>IFERROR(__xludf.DUMMYFUNCTION("$E946 - IFERROR(FILTER($E:$E,$C:$C = $C946, $A:$A = $A946, $B:$B = $B946 - 1),0)"),0.0)</f>
        <v>0</v>
      </c>
      <c r="X946" s="93"/>
      <c r="Y946" s="93"/>
      <c r="Z946" s="93">
        <v>0.0</v>
      </c>
      <c r="AA946" s="93">
        <v>0.0</v>
      </c>
      <c r="AB946" s="93">
        <v>0.0</v>
      </c>
      <c r="AC946" s="93"/>
      <c r="AD946" s="93">
        <v>0.0</v>
      </c>
      <c r="AE946" s="32">
        <f t="shared" si="2"/>
        <v>0</v>
      </c>
      <c r="AF946" s="93">
        <v>0.0</v>
      </c>
    </row>
    <row r="947">
      <c r="A947" s="86">
        <v>2018.0</v>
      </c>
      <c r="B947" s="87">
        <v>4.0</v>
      </c>
      <c r="C947" s="88" t="s">
        <v>40</v>
      </c>
      <c r="D947" s="32"/>
      <c r="E947" s="32"/>
      <c r="F947" s="32"/>
      <c r="G947" s="93">
        <v>-312.73</v>
      </c>
      <c r="H947" s="93">
        <v>1582.23</v>
      </c>
      <c r="I947" s="32"/>
      <c r="J947" s="93">
        <v>-886.0</v>
      </c>
      <c r="K947" s="32"/>
      <c r="L947" s="32"/>
      <c r="M947" s="32"/>
      <c r="N947" s="32"/>
      <c r="O947" s="93">
        <v>155196.0</v>
      </c>
      <c r="P947" s="91">
        <f>IFERROR(__xludf.DUMMYFUNCTION("IFERROR(sum(FILTER($D:$N,$C:$C = $C947,$A:$A &lt; $A947,$B:$B = 12)),0) + sum($D947:$N947)"),155196.20999999993)</f>
        <v>155196.21</v>
      </c>
      <c r="Q947" s="92">
        <f t="shared" si="1"/>
        <v>-0.2099999999</v>
      </c>
      <c r="R947" s="91">
        <f t="array" ref="R947">IFERROR(INDEX('Fund YTD Target Values'!$1:$1000, MATCH($C947,'Fund YTD Target Values'!$A:$A,0), MATCH($A947,'Fund YTD Target Values'!$1:$1,0)),0)</f>
        <v>161362.9699</v>
      </c>
      <c r="S947" s="91">
        <f>IFERROR(__xludf.DUMMYFUNCTION("IFERROR(sum(FILTER('Fund Investment Data'!$V:$V, 'Fund Investment Data'!$C:$C = $C947, 'Fund Investment Data'!$A:$A &lt; $A947)),0) + IFERROR(sum(FILTER('Fund Investment Data'!$V:$V, 'Fund Investment Data'!$C:$C = $C947, 'Fund Investment Data'!$A:$A = $A947,"&amp;" 'Fund Investment Data'!$B:$B &lt;= $B947)),0)"),129703.74)</f>
        <v>129703.74</v>
      </c>
      <c r="T947" s="93">
        <v>129723.0</v>
      </c>
      <c r="U947" s="32">
        <f t="shared" si="3"/>
        <v>-19.26</v>
      </c>
      <c r="V947" s="32">
        <f>IFERROR(__xludf.DUMMYFUNCTION("$D947 - IFERROR(FILTER($D:$D,$C:$C = $C947, $A:$A = $A947, $B:$B = $B947 - 1),0)"),0.0)</f>
        <v>0</v>
      </c>
      <c r="W947" s="93">
        <f>IFERROR(__xludf.DUMMYFUNCTION("$E947 - IFERROR(FILTER($E:$E,$C:$C = $C947, $A:$A = $A947, $B:$B = $B947 - 1),0)"),0.0)</f>
        <v>0</v>
      </c>
      <c r="X947" s="93"/>
      <c r="Y947" s="93"/>
      <c r="Z947" s="93">
        <v>0.0</v>
      </c>
      <c r="AA947" s="93">
        <v>0.0</v>
      </c>
      <c r="AB947" s="93">
        <v>0.0</v>
      </c>
      <c r="AC947" s="93"/>
      <c r="AD947" s="93">
        <v>0.0</v>
      </c>
      <c r="AE947" s="32">
        <f t="shared" si="2"/>
        <v>0</v>
      </c>
      <c r="AF947" s="93">
        <v>0.0</v>
      </c>
    </row>
    <row r="948">
      <c r="A948" s="86">
        <v>2018.0</v>
      </c>
      <c r="B948" s="87">
        <v>4.0</v>
      </c>
      <c r="C948" s="88" t="s">
        <v>51</v>
      </c>
      <c r="D948" s="93">
        <v>150.0</v>
      </c>
      <c r="E948" s="32"/>
      <c r="F948" s="93"/>
      <c r="G948" s="93">
        <v>-980.35</v>
      </c>
      <c r="H948" s="93">
        <v>4918.89</v>
      </c>
      <c r="I948" s="32"/>
      <c r="J948" s="93">
        <v>-2739.08</v>
      </c>
      <c r="K948" s="32"/>
      <c r="L948" s="32"/>
      <c r="M948" s="32"/>
      <c r="N948" s="32"/>
      <c r="O948" s="93">
        <v>486701.0</v>
      </c>
      <c r="P948" s="91">
        <f>IFERROR(__xludf.DUMMYFUNCTION("IFERROR(sum(FILTER($D:$N,$C:$C = $C948,$A:$A &lt; $A948,$B:$B = 12)),0) + sum($D948:$N948)"),486701.3900000001)</f>
        <v>486701.39</v>
      </c>
      <c r="Q948" s="92">
        <f t="shared" si="1"/>
        <v>-0.3900000001</v>
      </c>
      <c r="R948" s="91">
        <f t="array" ref="R948">IFERROR(INDEX('Fund YTD Target Values'!$1:$1000, MATCH($C948,'Fund YTD Target Values'!$A:$A,0), MATCH($A948,'Fund YTD Target Values'!$1:$1,0)),0)</f>
        <v>451180.3592</v>
      </c>
      <c r="S948" s="91">
        <f>IFERROR(__xludf.DUMMYFUNCTION("IFERROR(sum(FILTER('Fund Investment Data'!$V:$V, 'Fund Investment Data'!$C:$C = $C948, 'Fund Investment Data'!$A:$A &lt; $A948)),0) + IFERROR(sum(FILTER('Fund Investment Data'!$V:$V, 'Fund Investment Data'!$C:$C = $C948, 'Fund Investment Data'!$A:$A = $A948,"&amp;" 'Fund Investment Data'!$B:$B &lt;= $B948)),0)"),416573.55)</f>
        <v>416573.55</v>
      </c>
      <c r="T948" s="93">
        <v>419027.0</v>
      </c>
      <c r="U948" s="32">
        <f t="shared" si="3"/>
        <v>-2453.45</v>
      </c>
      <c r="V948" s="32">
        <f>IFERROR(__xludf.DUMMYFUNCTION("$D948 - IFERROR(FILTER($D:$D,$C:$C = $C948, $A:$A = $A948, $B:$B = $B948 - 1),0)"),50.0)</f>
        <v>50</v>
      </c>
      <c r="W948" s="93">
        <f>IFERROR(__xludf.DUMMYFUNCTION("$E948 - IFERROR(FILTER($E:$E,$C:$C = $C948, $A:$A = $A948, $B:$B = $B948 - 1),0)"),0.0)</f>
        <v>0</v>
      </c>
      <c r="X948" s="93"/>
      <c r="Y948" s="93"/>
      <c r="Z948" s="93">
        <v>0.0</v>
      </c>
      <c r="AA948" s="93">
        <v>0.0</v>
      </c>
      <c r="AB948" s="93">
        <v>0.0</v>
      </c>
      <c r="AC948" s="93"/>
      <c r="AD948" s="93">
        <v>0.0</v>
      </c>
      <c r="AE948" s="32">
        <f t="shared" si="2"/>
        <v>0</v>
      </c>
      <c r="AF948" s="93">
        <v>0.0</v>
      </c>
    </row>
    <row r="949">
      <c r="A949" s="86">
        <v>2018.0</v>
      </c>
      <c r="B949" s="87">
        <v>4.0</v>
      </c>
      <c r="C949" s="88" t="s">
        <v>48</v>
      </c>
      <c r="D949" s="32"/>
      <c r="E949" s="32"/>
      <c r="F949" s="32"/>
      <c r="G949" s="93">
        <v>-2522.3</v>
      </c>
      <c r="H949" s="93">
        <v>12761.59</v>
      </c>
      <c r="I949" s="32"/>
      <c r="J949" s="93">
        <v>-7146.01</v>
      </c>
      <c r="K949" s="32"/>
      <c r="L949" s="32"/>
      <c r="M949" s="32"/>
      <c r="N949" s="32"/>
      <c r="O949" s="93">
        <v>1251736.0</v>
      </c>
      <c r="P949" s="91">
        <f>IFERROR(__xludf.DUMMYFUNCTION("IFERROR(sum(FILTER($D:$N,$C:$C = $C949,$A:$A &lt; $A949,$B:$B = 12)),0) + sum($D949:$N949)"),1251734.9499999997)</f>
        <v>1251734.95</v>
      </c>
      <c r="Q949" s="92">
        <f t="shared" si="1"/>
        <v>1.05</v>
      </c>
      <c r="R949" s="91">
        <f t="array" ref="R949">IFERROR(INDEX('Fund YTD Target Values'!$1:$1000, MATCH($C949,'Fund YTD Target Values'!$A:$A,0), MATCH($A949,'Fund YTD Target Values'!$1:$1,0)),0)</f>
        <v>1896274.236</v>
      </c>
      <c r="S949" s="91">
        <f>IFERROR(__xludf.DUMMYFUNCTION("IFERROR(sum(FILTER('Fund Investment Data'!$V:$V, 'Fund Investment Data'!$C:$C = $C949, 'Fund Investment Data'!$A:$A &lt; $A949)),0) + IFERROR(sum(FILTER('Fund Investment Data'!$V:$V, 'Fund Investment Data'!$C:$C = $C949, 'Fund Investment Data'!$A:$A = $A949,"&amp;" 'Fund Investment Data'!$B:$B &lt;= $B949)),0)"),1183929.39)</f>
        <v>1183929.39</v>
      </c>
      <c r="T949" s="93">
        <v>1140040.0</v>
      </c>
      <c r="U949" s="32">
        <f t="shared" si="3"/>
        <v>43889.39</v>
      </c>
      <c r="V949" s="32">
        <f>IFERROR(__xludf.DUMMYFUNCTION("$D949 - IFERROR(FILTER($D:$D,$C:$C = $C949, $A:$A = $A949, $B:$B = $B949 - 1),0)"),0.0)</f>
        <v>0</v>
      </c>
      <c r="W949" s="93">
        <f>IFERROR(__xludf.DUMMYFUNCTION("$E949 - IFERROR(FILTER($E:$E,$C:$C = $C949, $A:$A = $A949, $B:$B = $B949 - 1),0)"),0.0)</f>
        <v>0</v>
      </c>
      <c r="X949" s="93"/>
      <c r="Y949" s="93"/>
      <c r="Z949" s="93">
        <v>0.0</v>
      </c>
      <c r="AA949" s="93">
        <v>0.0</v>
      </c>
      <c r="AB949" s="93">
        <v>0.0</v>
      </c>
      <c r="AC949" s="93"/>
      <c r="AD949" s="93">
        <v>0.0</v>
      </c>
      <c r="AE949" s="32">
        <f t="shared" si="2"/>
        <v>0</v>
      </c>
      <c r="AF949" s="93">
        <v>0.0</v>
      </c>
    </row>
    <row r="950">
      <c r="A950" s="86">
        <v>2018.0</v>
      </c>
      <c r="B950" s="87">
        <v>4.0</v>
      </c>
      <c r="C950" s="88" t="s">
        <v>49</v>
      </c>
      <c r="D950" s="32"/>
      <c r="E950" s="32"/>
      <c r="F950" s="32"/>
      <c r="G950" s="93">
        <v>-1106.4</v>
      </c>
      <c r="H950" s="93">
        <v>5597.83</v>
      </c>
      <c r="I950" s="32"/>
      <c r="J950" s="93">
        <v>-3134.57</v>
      </c>
      <c r="K950" s="32"/>
      <c r="L950" s="32"/>
      <c r="M950" s="32"/>
      <c r="N950" s="32"/>
      <c r="O950" s="93">
        <v>549070.0</v>
      </c>
      <c r="P950" s="91">
        <f>IFERROR(__xludf.DUMMYFUNCTION("IFERROR(sum(FILTER($D:$N,$C:$C = $C950,$A:$A &lt; $A950,$B:$B = 12)),0) + sum($D950:$N950)"),549069.9999999999)</f>
        <v>549070</v>
      </c>
      <c r="Q950" s="92">
        <f t="shared" si="1"/>
        <v>0.0000000001164153218</v>
      </c>
      <c r="R950" s="91">
        <f t="array" ref="R950">IFERROR(INDEX('Fund YTD Target Values'!$1:$1000, MATCH($C950,'Fund YTD Target Values'!$A:$A,0), MATCH($A950,'Fund YTD Target Values'!$1:$1,0)),0)</f>
        <v>701383.2727</v>
      </c>
      <c r="S950" s="91">
        <f>IFERROR(__xludf.DUMMYFUNCTION("IFERROR(sum(FILTER('Fund Investment Data'!$V:$V, 'Fund Investment Data'!$C:$C = $C950, 'Fund Investment Data'!$A:$A &lt; $A950)),0) + IFERROR(sum(FILTER('Fund Investment Data'!$V:$V, 'Fund Investment Data'!$C:$C = $C950, 'Fund Investment Data'!$A:$A = $A950,"&amp;" 'Fund Investment Data'!$B:$B &lt;= $B950)),0)"),500000.0)</f>
        <v>500000</v>
      </c>
      <c r="T950" s="93">
        <v>500000.0</v>
      </c>
      <c r="U950" s="32">
        <f t="shared" si="3"/>
        <v>0</v>
      </c>
      <c r="V950" s="32">
        <f>IFERROR(__xludf.DUMMYFUNCTION("$D950 - IFERROR(FILTER($D:$D,$C:$C = $C950, $A:$A = $A950, $B:$B = $B950 - 1),0)"),0.0)</f>
        <v>0</v>
      </c>
      <c r="W950" s="93">
        <f>IFERROR(__xludf.DUMMYFUNCTION("$E950 - IFERROR(FILTER($E:$E,$C:$C = $C950, $A:$A = $A950, $B:$B = $B950 - 1),0)"),0.0)</f>
        <v>0</v>
      </c>
      <c r="X950" s="93"/>
      <c r="Y950" s="93"/>
      <c r="Z950" s="93">
        <v>0.0</v>
      </c>
      <c r="AA950" s="93">
        <v>0.0</v>
      </c>
      <c r="AB950" s="93">
        <v>0.0</v>
      </c>
      <c r="AC950" s="93"/>
      <c r="AD950" s="93">
        <v>0.0</v>
      </c>
      <c r="AE950" s="32">
        <f t="shared" si="2"/>
        <v>0</v>
      </c>
      <c r="AF950" s="93">
        <v>0.0</v>
      </c>
    </row>
    <row r="951">
      <c r="A951" s="86">
        <v>2018.0</v>
      </c>
      <c r="B951" s="87">
        <v>4.0</v>
      </c>
      <c r="C951" s="88" t="s">
        <v>41</v>
      </c>
      <c r="D951" s="32"/>
      <c r="E951" s="32"/>
      <c r="F951" s="32"/>
      <c r="G951" s="93">
        <v>-1319.32</v>
      </c>
      <c r="H951" s="93">
        <v>6675.12</v>
      </c>
      <c r="I951" s="32"/>
      <c r="J951" s="93">
        <v>-3737.81</v>
      </c>
      <c r="K951" s="32"/>
      <c r="L951" s="32"/>
      <c r="M951" s="32"/>
      <c r="N951" s="32"/>
      <c r="O951" s="93">
        <v>654736.0</v>
      </c>
      <c r="P951" s="91">
        <f>IFERROR(__xludf.DUMMYFUNCTION("IFERROR(sum(FILTER($D:$N,$C:$C = $C951,$A:$A &lt; $A951,$B:$B = 12)),0) + sum($D951:$N951)"),654737.3400000001)</f>
        <v>654737.34</v>
      </c>
      <c r="Q951" s="92">
        <f t="shared" si="1"/>
        <v>-1.34</v>
      </c>
      <c r="R951" s="91">
        <f t="array" ref="R951">IFERROR(INDEX('Fund YTD Target Values'!$1:$1000, MATCH($C951,'Fund YTD Target Values'!$A:$A,0), MATCH($A951,'Fund YTD Target Values'!$1:$1,0)),0)</f>
        <v>587968.3276</v>
      </c>
      <c r="S951" s="91">
        <f>IFERROR(__xludf.DUMMYFUNCTION("IFERROR(sum(FILTER('Fund Investment Data'!$V:$V, 'Fund Investment Data'!$C:$C = $C951, 'Fund Investment Data'!$A:$A &lt; $A951)),0) + IFERROR(sum(FILTER('Fund Investment Data'!$V:$V, 'Fund Investment Data'!$C:$C = $C951, 'Fund Investment Data'!$A:$A = $A951,"&amp;" 'Fund Investment Data'!$B:$B &lt;= $B951)),0)"),433755.86)</f>
        <v>433755.86</v>
      </c>
      <c r="T951" s="93">
        <v>434291.0</v>
      </c>
      <c r="U951" s="32">
        <f t="shared" si="3"/>
        <v>-535.14</v>
      </c>
      <c r="V951" s="32">
        <f>IFERROR(__xludf.DUMMYFUNCTION("$D951 - IFERROR(FILTER($D:$D,$C:$C = $C951, $A:$A = $A951, $B:$B = $B951 - 1),0)"),0.0)</f>
        <v>0</v>
      </c>
      <c r="W951" s="93">
        <f>IFERROR(__xludf.DUMMYFUNCTION("$E951 - IFERROR(FILTER($E:$E,$C:$C = $C951, $A:$A = $A951, $B:$B = $B951 - 1),0)"),0.0)</f>
        <v>0</v>
      </c>
      <c r="X951" s="93"/>
      <c r="Y951" s="93"/>
      <c r="Z951" s="93">
        <v>0.0</v>
      </c>
      <c r="AA951" s="93">
        <v>0.0</v>
      </c>
      <c r="AB951" s="93">
        <v>0.0</v>
      </c>
      <c r="AC951" s="93"/>
      <c r="AD951" s="93">
        <v>0.0</v>
      </c>
      <c r="AE951" s="32">
        <f t="shared" si="2"/>
        <v>0</v>
      </c>
      <c r="AF951" s="93">
        <v>0.0</v>
      </c>
    </row>
    <row r="952">
      <c r="A952" s="86">
        <v>2018.0</v>
      </c>
      <c r="B952" s="87">
        <v>4.0</v>
      </c>
      <c r="C952" s="88" t="s">
        <v>25</v>
      </c>
      <c r="D952" s="32"/>
      <c r="E952" s="32"/>
      <c r="F952" s="32"/>
      <c r="G952" s="93">
        <v>-204.16</v>
      </c>
      <c r="H952" s="93">
        <v>1032.94</v>
      </c>
      <c r="I952" s="32"/>
      <c r="J952" s="93">
        <v>-578.4</v>
      </c>
      <c r="K952" s="32"/>
      <c r="L952" s="32"/>
      <c r="M952" s="32"/>
      <c r="N952" s="32"/>
      <c r="O952" s="93">
        <v>101317.0</v>
      </c>
      <c r="P952" s="91">
        <f>IFERROR(__xludf.DUMMYFUNCTION("IFERROR(sum(FILTER($D:$N,$C:$C = $C952,$A:$A &lt; $A952,$B:$B = 12)),0) + sum($D952:$N952)"),101316.71)</f>
        <v>101316.71</v>
      </c>
      <c r="Q952" s="92">
        <f t="shared" si="1"/>
        <v>0.29</v>
      </c>
      <c r="R952" s="91">
        <f t="array" ref="R952">IFERROR(INDEX('Fund YTD Target Values'!$1:$1000, MATCH($C952,'Fund YTD Target Values'!$A:$A,0), MATCH($A952,'Fund YTD Target Values'!$1:$1,0)),0)</f>
        <v>109175.2469</v>
      </c>
      <c r="S952" s="91">
        <f>IFERROR(__xludf.DUMMYFUNCTION("IFERROR(sum(FILTER('Fund Investment Data'!$V:$V, 'Fund Investment Data'!$C:$C = $C952, 'Fund Investment Data'!$A:$A &lt; $A952)),0) + IFERROR(sum(FILTER('Fund Investment Data'!$V:$V, 'Fund Investment Data'!$C:$C = $C952, 'Fund Investment Data'!$A:$A = $A952,"&amp;" 'Fund Investment Data'!$B:$B &lt;= $B952)),0)"),81000.0)</f>
        <v>81000</v>
      </c>
      <c r="T952" s="93">
        <v>81000.0</v>
      </c>
      <c r="U952" s="32">
        <f t="shared" si="3"/>
        <v>0</v>
      </c>
      <c r="V952" s="32">
        <f>IFERROR(__xludf.DUMMYFUNCTION("$D952 - IFERROR(FILTER($D:$D,$C:$C = $C952, $A:$A = $A952, $B:$B = $B952 - 1),0)"),0.0)</f>
        <v>0</v>
      </c>
      <c r="W952" s="93">
        <f>IFERROR(__xludf.DUMMYFUNCTION("$E952 - IFERROR(FILTER($E:$E,$C:$C = $C952, $A:$A = $A952, $B:$B = $B952 - 1),0)"),0.0)</f>
        <v>0</v>
      </c>
      <c r="X952" s="93"/>
      <c r="Y952" s="93"/>
      <c r="Z952" s="93">
        <v>0.0</v>
      </c>
      <c r="AA952" s="93">
        <v>0.0</v>
      </c>
      <c r="AB952" s="93">
        <v>0.0</v>
      </c>
      <c r="AC952" s="93"/>
      <c r="AD952" s="93">
        <v>0.0</v>
      </c>
      <c r="AE952" s="32">
        <f t="shared" si="2"/>
        <v>0</v>
      </c>
      <c r="AF952" s="93">
        <v>0.0</v>
      </c>
    </row>
    <row r="953">
      <c r="A953" s="86">
        <v>2018.0</v>
      </c>
      <c r="B953" s="87">
        <v>4.0</v>
      </c>
      <c r="C953" s="88" t="s">
        <v>42</v>
      </c>
      <c r="D953" s="32"/>
      <c r="E953" s="32"/>
      <c r="F953" s="32"/>
      <c r="G953" s="93">
        <v>-604.83</v>
      </c>
      <c r="H953" s="93">
        <v>3039.54</v>
      </c>
      <c r="I953" s="32"/>
      <c r="J953" s="93">
        <v>-1694.34</v>
      </c>
      <c r="K953" s="32"/>
      <c r="L953" s="32"/>
      <c r="M953" s="32"/>
      <c r="N953" s="32"/>
      <c r="O953" s="93">
        <v>300189.0</v>
      </c>
      <c r="P953" s="91">
        <f>IFERROR(__xludf.DUMMYFUNCTION("IFERROR(sum(FILTER($D:$N,$C:$C = $C953,$A:$A &lt; $A953,$B:$B = 12)),0) + sum($D953:$N953)"),300188.1300000001)</f>
        <v>300188.13</v>
      </c>
      <c r="Q953" s="92">
        <f t="shared" si="1"/>
        <v>0.8699999999</v>
      </c>
      <c r="R953" s="91">
        <f t="array" ref="R953">IFERROR(INDEX('Fund YTD Target Values'!$1:$1000, MATCH($C953,'Fund YTD Target Values'!$A:$A,0), MATCH($A953,'Fund YTD Target Values'!$1:$1,0)),0)</f>
        <v>240185.7184</v>
      </c>
      <c r="S953" s="91">
        <f>IFERROR(__xludf.DUMMYFUNCTION("IFERROR(sum(FILTER('Fund Investment Data'!$V:$V, 'Fund Investment Data'!$C:$C = $C953, 'Fund Investment Data'!$A:$A &lt; $A953)),0) + IFERROR(sum(FILTER('Fund Investment Data'!$V:$V, 'Fund Investment Data'!$C:$C = $C953, 'Fund Investment Data'!$A:$A = $A953,"&amp;" 'Fund Investment Data'!$B:$B &lt;= $B953)),0)"),194469.0)</f>
        <v>194469</v>
      </c>
      <c r="T953" s="93">
        <v>194469.0</v>
      </c>
      <c r="U953" s="32">
        <f t="shared" si="3"/>
        <v>0</v>
      </c>
      <c r="V953" s="32">
        <f>IFERROR(__xludf.DUMMYFUNCTION("$D953 - IFERROR(FILTER($D:$D,$C:$C = $C953, $A:$A = $A953, $B:$B = $B953 - 1),0)"),0.0)</f>
        <v>0</v>
      </c>
      <c r="W953" s="93">
        <f>IFERROR(__xludf.DUMMYFUNCTION("$E953 - IFERROR(FILTER($E:$E,$C:$C = $C953, $A:$A = $A953, $B:$B = $B953 - 1),0)"),0.0)</f>
        <v>0</v>
      </c>
      <c r="X953" s="93"/>
      <c r="Y953" s="93"/>
      <c r="Z953" s="93">
        <v>0.0</v>
      </c>
      <c r="AA953" s="93">
        <v>0.0</v>
      </c>
      <c r="AB953" s="93">
        <v>0.0</v>
      </c>
      <c r="AC953" s="93"/>
      <c r="AD953" s="93">
        <v>0.0</v>
      </c>
      <c r="AE953" s="32">
        <f t="shared" si="2"/>
        <v>0</v>
      </c>
      <c r="AF953" s="93">
        <v>0.0</v>
      </c>
    </row>
    <row r="954">
      <c r="A954" s="86">
        <v>2018.0</v>
      </c>
      <c r="B954" s="87">
        <v>4.0</v>
      </c>
      <c r="C954" s="88" t="s">
        <v>43</v>
      </c>
      <c r="D954" s="32"/>
      <c r="E954" s="32"/>
      <c r="F954" s="32"/>
      <c r="G954" s="93">
        <v>-253.53</v>
      </c>
      <c r="H954" s="93">
        <v>1282.78</v>
      </c>
      <c r="I954" s="32"/>
      <c r="J954" s="93">
        <v>-718.31</v>
      </c>
      <c r="K954" s="32"/>
      <c r="L954" s="32"/>
      <c r="M954" s="32"/>
      <c r="N954" s="32"/>
      <c r="O954" s="93">
        <v>125824.0</v>
      </c>
      <c r="P954" s="91">
        <f>IFERROR(__xludf.DUMMYFUNCTION("IFERROR(sum(FILTER($D:$N,$C:$C = $C954,$A:$A &lt; $A954,$B:$B = 12)),0) + sum($D954:$N954)"),125823.49000000002)</f>
        <v>125823.49</v>
      </c>
      <c r="Q954" s="92">
        <f t="shared" si="1"/>
        <v>0.51</v>
      </c>
      <c r="R954" s="91">
        <f t="array" ref="R954">IFERROR(INDEX('Fund YTD Target Values'!$1:$1000, MATCH($C954,'Fund YTD Target Values'!$A:$A,0), MATCH($A954,'Fund YTD Target Values'!$1:$1,0)),0)</f>
        <v>130697.0954</v>
      </c>
      <c r="S954" s="91">
        <f>IFERROR(__xludf.DUMMYFUNCTION("IFERROR(sum(FILTER('Fund Investment Data'!$V:$V, 'Fund Investment Data'!$C:$C = $C954, 'Fund Investment Data'!$A:$A &lt; $A954)),0) + IFERROR(sum(FILTER('Fund Investment Data'!$V:$V, 'Fund Investment Data'!$C:$C = $C954, 'Fund Investment Data'!$A:$A = $A954,"&amp;" 'Fund Investment Data'!$B:$B &lt;= $B954)),0)"),100000.0)</f>
        <v>100000</v>
      </c>
      <c r="T954" s="93">
        <v>100000.0</v>
      </c>
      <c r="U954" s="32">
        <f t="shared" si="3"/>
        <v>0</v>
      </c>
      <c r="V954" s="32">
        <f>IFERROR(__xludf.DUMMYFUNCTION("$D954 - IFERROR(FILTER($D:$D,$C:$C = $C954, $A:$A = $A954, $B:$B = $B954 - 1),0)"),0.0)</f>
        <v>0</v>
      </c>
      <c r="W954" s="93">
        <f>IFERROR(__xludf.DUMMYFUNCTION("$E954 - IFERROR(FILTER($E:$E,$C:$C = $C954, $A:$A = $A954, $B:$B = $B954 - 1),0)"),0.0)</f>
        <v>0</v>
      </c>
      <c r="X954" s="93"/>
      <c r="Y954" s="93"/>
      <c r="Z954" s="93">
        <v>0.0</v>
      </c>
      <c r="AA954" s="93">
        <v>0.0</v>
      </c>
      <c r="AB954" s="93">
        <v>0.0</v>
      </c>
      <c r="AC954" s="93"/>
      <c r="AD954" s="93">
        <v>0.0</v>
      </c>
      <c r="AE954" s="32">
        <f t="shared" si="2"/>
        <v>0</v>
      </c>
      <c r="AF954" s="93">
        <v>0.0</v>
      </c>
    </row>
    <row r="955">
      <c r="A955" s="86">
        <v>2018.0</v>
      </c>
      <c r="B955" s="87">
        <v>4.0</v>
      </c>
      <c r="C955" s="88" t="s">
        <v>52</v>
      </c>
      <c r="D955" s="93">
        <v>75000.0</v>
      </c>
      <c r="E955" s="32"/>
      <c r="F955" s="32"/>
      <c r="G955" s="93">
        <v>-2542.8</v>
      </c>
      <c r="H955" s="93">
        <v>12085.26</v>
      </c>
      <c r="I955" s="32"/>
      <c r="J955" s="93">
        <v>-7156.26</v>
      </c>
      <c r="K955" s="32"/>
      <c r="L955" s="32"/>
      <c r="M955" s="32"/>
      <c r="N955" s="32"/>
      <c r="O955" s="93">
        <v>1241843.0</v>
      </c>
      <c r="P955" s="91">
        <f>IFERROR(__xludf.DUMMYFUNCTION("IFERROR(sum(FILTER($D:$N,$C:$C = $C955,$A:$A &lt; $A955,$B:$B = 12)),0) + sum($D955:$N955)"),1241842.3299999998)</f>
        <v>1241842.33</v>
      </c>
      <c r="Q955" s="92">
        <f t="shared" si="1"/>
        <v>0.6700000002</v>
      </c>
      <c r="R955" s="91">
        <f t="array" ref="R955">IFERROR(INDEX('Fund YTD Target Values'!$1:$1000, MATCH($C955,'Fund YTD Target Values'!$A:$A,0), MATCH($A955,'Fund YTD Target Values'!$1:$1,0)),0)</f>
        <v>1148979.378</v>
      </c>
      <c r="S955" s="91">
        <f>IFERROR(__xludf.DUMMYFUNCTION("IFERROR(sum(FILTER('Fund Investment Data'!$V:$V, 'Fund Investment Data'!$C:$C = $C955, 'Fund Investment Data'!$A:$A &lt; $A955)),0) + IFERROR(sum(FILTER('Fund Investment Data'!$V:$V, 'Fund Investment Data'!$C:$C = $C955, 'Fund Investment Data'!$A:$A = $A955,"&amp;" 'Fund Investment Data'!$B:$B &lt;= $B955)),0)"),1080136.0)</f>
        <v>1080136</v>
      </c>
      <c r="T955" s="93">
        <v>1079091.0</v>
      </c>
      <c r="U955" s="32">
        <f t="shared" si="3"/>
        <v>1045</v>
      </c>
      <c r="V955" s="32">
        <f>IFERROR(__xludf.DUMMYFUNCTION("$D955 - IFERROR(FILTER($D:$D,$C:$C = $C955, $A:$A = $A955, $B:$B = $B955 - 1),0)"),0.0)</f>
        <v>0</v>
      </c>
      <c r="W955" s="93">
        <f>IFERROR(__xludf.DUMMYFUNCTION("$E955 - IFERROR(FILTER($E:$E,$C:$C = $C955, $A:$A = $A955, $B:$B = $B955 - 1),0)"),0.0)</f>
        <v>0</v>
      </c>
      <c r="X955" s="93"/>
      <c r="Y955" s="93"/>
      <c r="Z955" s="93">
        <v>0.0</v>
      </c>
      <c r="AA955" s="93">
        <v>0.0</v>
      </c>
      <c r="AB955" s="93">
        <v>0.0</v>
      </c>
      <c r="AC955" s="93"/>
      <c r="AD955" s="93">
        <v>0.0</v>
      </c>
      <c r="AE955" s="32">
        <f t="shared" si="2"/>
        <v>0</v>
      </c>
      <c r="AF955" s="93">
        <v>0.0</v>
      </c>
    </row>
    <row r="956">
      <c r="A956" s="86">
        <v>2018.0</v>
      </c>
      <c r="B956" s="87">
        <v>4.0</v>
      </c>
      <c r="C956" s="88" t="s">
        <v>33</v>
      </c>
      <c r="D956" s="32"/>
      <c r="E956" s="32"/>
      <c r="F956" s="32"/>
      <c r="G956" s="93">
        <v>-721.31</v>
      </c>
      <c r="H956" s="93">
        <v>3649.44</v>
      </c>
      <c r="I956" s="32"/>
      <c r="J956" s="93">
        <v>-2043.56</v>
      </c>
      <c r="K956" s="32"/>
      <c r="L956" s="32"/>
      <c r="M956" s="32"/>
      <c r="N956" s="32"/>
      <c r="O956" s="93">
        <v>357962.0</v>
      </c>
      <c r="P956" s="91">
        <f>IFERROR(__xludf.DUMMYFUNCTION("IFERROR(sum(FILTER($D:$N,$C:$C = $C956,$A:$A &lt; $A956,$B:$B = 12)),0) + sum($D956:$N956)"),357962.01999999984)</f>
        <v>357962.02</v>
      </c>
      <c r="Q956" s="92">
        <f t="shared" si="1"/>
        <v>-0.01999999984</v>
      </c>
      <c r="R956" s="91">
        <f t="array" ref="R956">IFERROR(INDEX('Fund YTD Target Values'!$1:$1000, MATCH($C956,'Fund YTD Target Values'!$A:$A,0), MATCH($A956,'Fund YTD Target Values'!$1:$1,0)),0)</f>
        <v>512928.5668</v>
      </c>
      <c r="S956" s="91">
        <f>IFERROR(__xludf.DUMMYFUNCTION("IFERROR(sum(FILTER('Fund Investment Data'!$V:$V, 'Fund Investment Data'!$C:$C = $C956, 'Fund Investment Data'!$A:$A &lt; $A956)),0) + IFERROR(sum(FILTER('Fund Investment Data'!$V:$V, 'Fund Investment Data'!$C:$C = $C956, 'Fund Investment Data'!$A:$A = $A956,"&amp;" 'Fund Investment Data'!$B:$B &lt;= $B956)),0)"),325871.6399999999)</f>
        <v>325871.64</v>
      </c>
      <c r="T956" s="93">
        <v>326032.0</v>
      </c>
      <c r="U956" s="32">
        <f t="shared" si="3"/>
        <v>-160.36</v>
      </c>
      <c r="V956" s="32">
        <f>IFERROR(__xludf.DUMMYFUNCTION("$D956 - IFERROR(FILTER($D:$D,$C:$C = $C956, $A:$A = $A956, $B:$B = $B956 - 1),0)"),0.0)</f>
        <v>0</v>
      </c>
      <c r="W956" s="93">
        <f>IFERROR(__xludf.DUMMYFUNCTION("$E956 - IFERROR(FILTER($E:$E,$C:$C = $C956, $A:$A = $A956, $B:$B = $B956 - 1),0)"),0.0)</f>
        <v>0</v>
      </c>
      <c r="X956" s="93"/>
      <c r="Y956" s="93"/>
      <c r="Z956" s="93">
        <v>0.0</v>
      </c>
      <c r="AA956" s="93">
        <v>0.0</v>
      </c>
      <c r="AB956" s="93">
        <v>0.0</v>
      </c>
      <c r="AC956" s="93"/>
      <c r="AD956" s="93">
        <v>0.0</v>
      </c>
      <c r="AE956" s="32">
        <f t="shared" si="2"/>
        <v>0</v>
      </c>
      <c r="AF956" s="93">
        <v>0.0</v>
      </c>
    </row>
    <row r="957">
      <c r="A957" s="86">
        <v>2018.0</v>
      </c>
      <c r="B957" s="87">
        <v>4.0</v>
      </c>
      <c r="C957" s="88" t="s">
        <v>53</v>
      </c>
      <c r="D957" s="32"/>
      <c r="E957" s="32"/>
      <c r="F957" s="32"/>
      <c r="G957" s="93">
        <v>-4596.2</v>
      </c>
      <c r="H957" s="93">
        <v>23254.54</v>
      </c>
      <c r="I957" s="32"/>
      <c r="J957" s="93">
        <v>-13021.67</v>
      </c>
      <c r="K957" s="32"/>
      <c r="L957" s="32"/>
      <c r="M957" s="32"/>
      <c r="N957" s="32"/>
      <c r="O957" s="93">
        <v>2280951.0</v>
      </c>
      <c r="P957" s="91">
        <f>IFERROR(__xludf.DUMMYFUNCTION("IFERROR(sum(FILTER($D:$N,$C:$C = $C957,$A:$A &lt; $A957,$B:$B = 12)),0) + sum($D957:$N957)"),2280951.3499999996)</f>
        <v>2280951.35</v>
      </c>
      <c r="Q957" s="92">
        <f t="shared" si="1"/>
        <v>-0.3499999996</v>
      </c>
      <c r="R957" s="91">
        <f t="array" ref="R957">IFERROR(INDEX('Fund YTD Target Values'!$1:$1000, MATCH($C957,'Fund YTD Target Values'!$A:$A,0), MATCH($A957,'Fund YTD Target Values'!$1:$1,0)),0)</f>
        <v>2224754.768</v>
      </c>
      <c r="S957" s="91">
        <f>IFERROR(__xludf.DUMMYFUNCTION("IFERROR(sum(FILTER('Fund Investment Data'!$V:$V, 'Fund Investment Data'!$C:$C = $C957, 'Fund Investment Data'!$A:$A &lt; $A957)),0) + IFERROR(sum(FILTER('Fund Investment Data'!$V:$V, 'Fund Investment Data'!$C:$C = $C957, 'Fund Investment Data'!$A:$A = $A957,"&amp;" 'Fund Investment Data'!$B:$B &lt;= $B957)),0)"),2005500.0)</f>
        <v>2005500</v>
      </c>
      <c r="T957" s="93">
        <v>2005500.0</v>
      </c>
      <c r="U957" s="32">
        <f t="shared" si="3"/>
        <v>0</v>
      </c>
      <c r="V957" s="32">
        <f>IFERROR(__xludf.DUMMYFUNCTION("$D957 - IFERROR(FILTER($D:$D,$C:$C = $C957, $A:$A = $A957, $B:$B = $B957 - 1),0)"),0.0)</f>
        <v>0</v>
      </c>
      <c r="W957" s="93">
        <f>IFERROR(__xludf.DUMMYFUNCTION("$E957 - IFERROR(FILTER($E:$E,$C:$C = $C957, $A:$A = $A957, $B:$B = $B957 - 1),0)"),0.0)</f>
        <v>0</v>
      </c>
      <c r="X957" s="93"/>
      <c r="Y957" s="93"/>
      <c r="Z957" s="93">
        <v>0.0</v>
      </c>
      <c r="AA957" s="93">
        <v>0.0</v>
      </c>
      <c r="AB957" s="93">
        <v>0.0</v>
      </c>
      <c r="AC957" s="93"/>
      <c r="AD957" s="93">
        <v>0.0</v>
      </c>
      <c r="AE957" s="32">
        <f t="shared" si="2"/>
        <v>0</v>
      </c>
      <c r="AF957" s="93">
        <v>0.0</v>
      </c>
    </row>
    <row r="958">
      <c r="A958" s="86">
        <v>2018.0</v>
      </c>
      <c r="B958" s="87">
        <v>4.0</v>
      </c>
      <c r="C958" s="88" t="s">
        <v>34</v>
      </c>
      <c r="D958" s="32"/>
      <c r="E958" s="32"/>
      <c r="F958" s="32"/>
      <c r="G958" s="93">
        <v>-291.37</v>
      </c>
      <c r="H958" s="93">
        <v>1455.95</v>
      </c>
      <c r="I958" s="32"/>
      <c r="J958" s="93">
        <v>-826.25</v>
      </c>
      <c r="K958" s="32"/>
      <c r="L958" s="32"/>
      <c r="M958" s="32"/>
      <c r="N958" s="32"/>
      <c r="O958" s="93">
        <v>144626.0</v>
      </c>
      <c r="P958" s="91">
        <f>IFERROR(__xludf.DUMMYFUNCTION("IFERROR(sum(FILTER($D:$N,$C:$C = $C958,$A:$A &lt; $A958,$B:$B = 12)),0) + sum($D958:$N958)"),144626.49)</f>
        <v>144626.49</v>
      </c>
      <c r="Q958" s="92">
        <f t="shared" si="1"/>
        <v>-0.49</v>
      </c>
      <c r="R958" s="91">
        <f t="array" ref="R958">IFERROR(INDEX('Fund YTD Target Values'!$1:$1000, MATCH($C958,'Fund YTD Target Values'!$A:$A,0), MATCH($A958,'Fund YTD Target Values'!$1:$1,0)),0)</f>
        <v>135327.6594</v>
      </c>
      <c r="S958" s="91">
        <f>IFERROR(__xludf.DUMMYFUNCTION("IFERROR(sum(FILTER('Fund Investment Data'!$V:$V, 'Fund Investment Data'!$C:$C = $C958, 'Fund Investment Data'!$A:$A &lt; $A958)),0) + IFERROR(sum(FILTER('Fund Investment Data'!$V:$V, 'Fund Investment Data'!$C:$C = $C958, 'Fund Investment Data'!$A:$A = $A958,"&amp;" 'Fund Investment Data'!$B:$B &lt;= $B958)),0)"),120000.0)</f>
        <v>120000</v>
      </c>
      <c r="T958" s="93">
        <v>115238.0</v>
      </c>
      <c r="U958" s="32">
        <f t="shared" si="3"/>
        <v>4762</v>
      </c>
      <c r="V958" s="32">
        <f>IFERROR(__xludf.DUMMYFUNCTION("$D958 - IFERROR(FILTER($D:$D,$C:$C = $C958, $A:$A = $A958, $B:$B = $B958 - 1),0)"),0.0)</f>
        <v>0</v>
      </c>
      <c r="W958" s="93">
        <f>IFERROR(__xludf.DUMMYFUNCTION("$E958 - IFERROR(FILTER($E:$E,$C:$C = $C958, $A:$A = $A958, $B:$B = $B958 - 1),0)"),0.0)</f>
        <v>0</v>
      </c>
      <c r="X958" s="93"/>
      <c r="Y958" s="93"/>
      <c r="Z958" s="93">
        <v>0.0</v>
      </c>
      <c r="AA958" s="93">
        <v>0.0</v>
      </c>
      <c r="AB958" s="93">
        <v>0.0</v>
      </c>
      <c r="AC958" s="93"/>
      <c r="AD958" s="93">
        <v>0.0</v>
      </c>
      <c r="AE958" s="32">
        <f t="shared" si="2"/>
        <v>0</v>
      </c>
      <c r="AF958" s="93">
        <v>0.0</v>
      </c>
    </row>
    <row r="959">
      <c r="A959" s="86">
        <v>2018.0</v>
      </c>
      <c r="B959" s="87">
        <v>4.0</v>
      </c>
      <c r="C959" s="88" t="s">
        <v>54</v>
      </c>
      <c r="D959" s="32"/>
      <c r="E959" s="32"/>
      <c r="F959" s="32"/>
      <c r="G959" s="93">
        <v>-348.98</v>
      </c>
      <c r="H959" s="93">
        <v>1714.44</v>
      </c>
      <c r="I959" s="32"/>
      <c r="J959" s="93">
        <v>-994.27</v>
      </c>
      <c r="K959" s="32"/>
      <c r="L959" s="32"/>
      <c r="M959" s="32"/>
      <c r="N959" s="32"/>
      <c r="O959" s="93">
        <v>173263.0</v>
      </c>
      <c r="P959" s="91">
        <f>IFERROR(__xludf.DUMMYFUNCTION("IFERROR(sum(FILTER($D:$N,$C:$C = $C959,$A:$A &lt; $A959,$B:$B = 12)),0) + sum($D959:$N959)"),173264.15999999995)</f>
        <v>173264.16</v>
      </c>
      <c r="Q959" s="92">
        <f t="shared" si="1"/>
        <v>-1.16</v>
      </c>
      <c r="R959" s="91">
        <f t="array" ref="R959">IFERROR(INDEX('Fund YTD Target Values'!$1:$1000, MATCH($C959,'Fund YTD Target Values'!$A:$A,0), MATCH($A959,'Fund YTD Target Values'!$1:$1,0)),0)</f>
        <v>155177.2706</v>
      </c>
      <c r="S959" s="91">
        <f>IFERROR(__xludf.DUMMYFUNCTION("IFERROR(sum(FILTER('Fund Investment Data'!$V:$V, 'Fund Investment Data'!$C:$C = $C959, 'Fund Investment Data'!$A:$A &lt; $A959)),0) + IFERROR(sum(FILTER('Fund Investment Data'!$V:$V, 'Fund Investment Data'!$C:$C = $C959, 'Fund Investment Data'!$A:$A = $A959,"&amp;" 'Fund Investment Data'!$B:$B &lt;= $B959)),0)"),112432.10999999999)</f>
        <v>112432.11</v>
      </c>
      <c r="T959" s="93">
        <v>108610.0</v>
      </c>
      <c r="U959" s="32">
        <f t="shared" si="3"/>
        <v>3822.11</v>
      </c>
      <c r="V959" s="32">
        <f>IFERROR(__xludf.DUMMYFUNCTION("$D959 - IFERROR(FILTER($D:$D,$C:$C = $C959, $A:$A = $A959, $B:$B = $B959 - 1),0)"),0.0)</f>
        <v>0</v>
      </c>
      <c r="W959" s="93">
        <f>IFERROR(__xludf.DUMMYFUNCTION("$E959 - IFERROR(FILTER($E:$E,$C:$C = $C959, $A:$A = $A959, $B:$B = $B959 - 1),0)"),0.0)</f>
        <v>0</v>
      </c>
      <c r="X959" s="93"/>
      <c r="Y959" s="93"/>
      <c r="Z959" s="93">
        <v>0.0</v>
      </c>
      <c r="AA959" s="93">
        <v>0.0</v>
      </c>
      <c r="AB959" s="93">
        <v>0.0</v>
      </c>
      <c r="AC959" s="93"/>
      <c r="AD959" s="93">
        <v>0.0</v>
      </c>
      <c r="AE959" s="32">
        <f t="shared" si="2"/>
        <v>0</v>
      </c>
      <c r="AF959" s="93">
        <v>0.0</v>
      </c>
    </row>
    <row r="960">
      <c r="A960" s="86">
        <v>2018.0</v>
      </c>
      <c r="B960" s="87">
        <v>4.0</v>
      </c>
      <c r="C960" s="88" t="s">
        <v>55</v>
      </c>
      <c r="D960" s="32"/>
      <c r="E960" s="32"/>
      <c r="F960" s="32"/>
      <c r="G960" s="93">
        <v>-619.29</v>
      </c>
      <c r="H960" s="93">
        <v>1994.57</v>
      </c>
      <c r="I960" s="32"/>
      <c r="J960" s="93">
        <v>-3575.01</v>
      </c>
      <c r="K960" s="32"/>
      <c r="L960" s="32"/>
      <c r="M960" s="32"/>
      <c r="N960" s="32"/>
      <c r="O960" s="93">
        <v>226865.0</v>
      </c>
      <c r="P960" s="91">
        <f>IFERROR(__xludf.DUMMYFUNCTION("IFERROR(sum(FILTER($D:$N,$C:$C = $C960,$A:$A &lt; $A960,$B:$B = 12)),0) + sum($D960:$N960)"),226865.02999999997)</f>
        <v>226865.03</v>
      </c>
      <c r="Q960" s="92">
        <f t="shared" si="1"/>
        <v>-0.02999999997</v>
      </c>
      <c r="R960" s="91">
        <f t="array" ref="R960">IFERROR(INDEX('Fund YTD Target Values'!$1:$1000, MATCH($C960,'Fund YTD Target Values'!$A:$A,0), MATCH($A960,'Fund YTD Target Values'!$1:$1,0)),0)</f>
        <v>289110.9496</v>
      </c>
      <c r="S960" s="91">
        <f>IFERROR(__xludf.DUMMYFUNCTION("IFERROR(sum(FILTER('Fund Investment Data'!$V:$V, 'Fund Investment Data'!$C:$C = $C960, 'Fund Investment Data'!$A:$A &lt; $A960)),0) + IFERROR(sum(FILTER('Fund Investment Data'!$V:$V, 'Fund Investment Data'!$C:$C = $C960, 'Fund Investment Data'!$A:$A = $A960,"&amp;" 'Fund Investment Data'!$B:$B &lt;= $B960)),0)"),210000.0)</f>
        <v>210000</v>
      </c>
      <c r="T960" s="93">
        <v>79841.0</v>
      </c>
      <c r="U960" s="32">
        <f t="shared" si="3"/>
        <v>130159</v>
      </c>
      <c r="V960" s="32">
        <f>IFERROR(__xludf.DUMMYFUNCTION("$D960 - IFERROR(FILTER($D:$D,$C:$C = $C960, $A:$A = $A960, $B:$B = $B960 - 1),0)"),0.0)</f>
        <v>0</v>
      </c>
      <c r="W960" s="93">
        <f>IFERROR(__xludf.DUMMYFUNCTION("$E960 - IFERROR(FILTER($E:$E,$C:$C = $C960, $A:$A = $A960, $B:$B = $B960 - 1),0)"),0.0)</f>
        <v>0</v>
      </c>
      <c r="X960" s="93"/>
      <c r="Y960" s="93"/>
      <c r="Z960" s="93">
        <v>0.0</v>
      </c>
      <c r="AA960" s="93">
        <v>0.0</v>
      </c>
      <c r="AB960" s="93">
        <v>0.0</v>
      </c>
      <c r="AC960" s="93"/>
      <c r="AD960" s="93">
        <v>0.0</v>
      </c>
      <c r="AE960" s="32">
        <f t="shared" si="2"/>
        <v>0</v>
      </c>
      <c r="AF960" s="93">
        <v>0.0</v>
      </c>
    </row>
    <row r="961">
      <c r="A961" s="86">
        <v>2018.0</v>
      </c>
      <c r="B961" s="87">
        <v>4.0</v>
      </c>
      <c r="C961" s="88" t="s">
        <v>44</v>
      </c>
      <c r="D961" s="32"/>
      <c r="E961" s="32"/>
      <c r="F961" s="32"/>
      <c r="G961" s="93">
        <v>-579.02</v>
      </c>
      <c r="H961" s="93">
        <v>2929.54</v>
      </c>
      <c r="I961" s="32"/>
      <c r="J961" s="93">
        <v>-1640.42</v>
      </c>
      <c r="K961" s="32"/>
      <c r="L961" s="32"/>
      <c r="M961" s="32"/>
      <c r="N961" s="32"/>
      <c r="O961" s="93">
        <v>287346.0</v>
      </c>
      <c r="P961" s="91">
        <f>IFERROR(__xludf.DUMMYFUNCTION("IFERROR(sum(FILTER($D:$N,$C:$C = $C961,$A:$A &lt; $A961,$B:$B = 12)),0) + sum($D961:$N961)"),287346.57000000007)</f>
        <v>287346.57</v>
      </c>
      <c r="Q961" s="92">
        <f t="shared" si="1"/>
        <v>-0.5700000001</v>
      </c>
      <c r="R961" s="91">
        <f t="array" ref="R961">IFERROR(INDEX('Fund YTD Target Values'!$1:$1000, MATCH($C961,'Fund YTD Target Values'!$A:$A,0), MATCH($A961,'Fund YTD Target Values'!$1:$1,0)),0)</f>
        <v>321586.5616</v>
      </c>
      <c r="S961" s="91">
        <f>IFERROR(__xludf.DUMMYFUNCTION("IFERROR(sum(FILTER('Fund Investment Data'!$V:$V, 'Fund Investment Data'!$C:$C = $C961, 'Fund Investment Data'!$A:$A &lt; $A961)),0) + IFERROR(sum(FILTER('Fund Investment Data'!$V:$V, 'Fund Investment Data'!$C:$C = $C961, 'Fund Investment Data'!$A:$A = $A961,"&amp;" 'Fund Investment Data'!$B:$B &lt;= $B961)),0)"),250000.0)</f>
        <v>250000</v>
      </c>
      <c r="T961" s="93">
        <v>250000.0</v>
      </c>
      <c r="U961" s="32">
        <f t="shared" si="3"/>
        <v>0</v>
      </c>
      <c r="V961" s="32">
        <f>IFERROR(__xludf.DUMMYFUNCTION("$D961 - IFERROR(FILTER($D:$D,$C:$C = $C961, $A:$A = $A961, $B:$B = $B961 - 1),0)"),0.0)</f>
        <v>0</v>
      </c>
      <c r="W961" s="93">
        <f>IFERROR(__xludf.DUMMYFUNCTION("$E961 - IFERROR(FILTER($E:$E,$C:$C = $C961, $A:$A = $A961, $B:$B = $B961 - 1),0)"),0.0)</f>
        <v>0</v>
      </c>
      <c r="X961" s="93"/>
      <c r="Y961" s="93"/>
      <c r="Z961" s="93">
        <v>0.0</v>
      </c>
      <c r="AA961" s="93">
        <v>0.0</v>
      </c>
      <c r="AB961" s="93">
        <v>0.0</v>
      </c>
      <c r="AC961" s="93"/>
      <c r="AD961" s="93">
        <v>0.0</v>
      </c>
      <c r="AE961" s="32">
        <f t="shared" si="2"/>
        <v>0</v>
      </c>
      <c r="AF961" s="93">
        <v>0.0</v>
      </c>
    </row>
    <row r="962">
      <c r="A962" s="86">
        <v>2018.0</v>
      </c>
      <c r="B962" s="87">
        <v>4.0</v>
      </c>
      <c r="C962" s="88" t="s">
        <v>45</v>
      </c>
      <c r="D962" s="32"/>
      <c r="E962" s="32"/>
      <c r="F962" s="32"/>
      <c r="G962" s="93">
        <v>-299.74</v>
      </c>
      <c r="H962" s="93">
        <v>1505.77</v>
      </c>
      <c r="I962" s="32"/>
      <c r="J962" s="93">
        <v>-839.14</v>
      </c>
      <c r="K962" s="32"/>
      <c r="L962" s="32"/>
      <c r="M962" s="32"/>
      <c r="N962" s="32"/>
      <c r="O962" s="93">
        <v>148769.0</v>
      </c>
      <c r="P962" s="91">
        <f>IFERROR(__xludf.DUMMYFUNCTION("IFERROR(sum(FILTER($D:$N,$C:$C = $C962,$A:$A &lt; $A962,$B:$B = 12)),0) + sum($D962:$N962)"),148769.18)</f>
        <v>148769.18</v>
      </c>
      <c r="Q962" s="92">
        <f t="shared" si="1"/>
        <v>-0.18</v>
      </c>
      <c r="R962" s="91">
        <f t="array" ref="R962">IFERROR(INDEX('Fund YTD Target Values'!$1:$1000, MATCH($C962,'Fund YTD Target Values'!$A:$A,0), MATCH($A962,'Fund YTD Target Values'!$1:$1,0)),0)</f>
        <v>121242.134</v>
      </c>
      <c r="S962" s="91">
        <f>IFERROR(__xludf.DUMMYFUNCTION("IFERROR(sum(FILTER('Fund Investment Data'!$V:$V, 'Fund Investment Data'!$C:$C = $C962, 'Fund Investment Data'!$A:$A &lt; $A962)),0) + IFERROR(sum(FILTER('Fund Investment Data'!$V:$V, 'Fund Investment Data'!$C:$C = $C962, 'Fund Investment Data'!$A:$A = $A962,"&amp;" 'Fund Investment Data'!$B:$B &lt;= $B962)),0)"),100000.0)</f>
        <v>100000</v>
      </c>
      <c r="T962" s="93">
        <v>100000.0</v>
      </c>
      <c r="U962" s="32">
        <f t="shared" si="3"/>
        <v>0</v>
      </c>
      <c r="V962" s="32">
        <f>IFERROR(__xludf.DUMMYFUNCTION("$D962 - IFERROR(FILTER($D:$D,$C:$C = $C962, $A:$A = $A962, $B:$B = $B962 - 1),0)"),0.0)</f>
        <v>0</v>
      </c>
      <c r="W962" s="93">
        <f>IFERROR(__xludf.DUMMYFUNCTION("$E962 - IFERROR(FILTER($E:$E,$C:$C = $C962, $A:$A = $A962, $B:$B = $B962 - 1),0)"),0.0)</f>
        <v>0</v>
      </c>
      <c r="X962" s="93"/>
      <c r="Y962" s="93"/>
      <c r="Z962" s="93">
        <v>0.0</v>
      </c>
      <c r="AA962" s="93">
        <v>0.0</v>
      </c>
      <c r="AB962" s="93">
        <v>0.0</v>
      </c>
      <c r="AC962" s="93"/>
      <c r="AD962" s="93">
        <v>0.0</v>
      </c>
      <c r="AE962" s="32">
        <f t="shared" si="2"/>
        <v>0</v>
      </c>
      <c r="AF962" s="93">
        <v>0.0</v>
      </c>
    </row>
    <row r="963">
      <c r="A963" s="86">
        <v>2018.0</v>
      </c>
      <c r="B963" s="87">
        <v>4.0</v>
      </c>
      <c r="C963" s="88" t="s">
        <v>35</v>
      </c>
      <c r="D963" s="32"/>
      <c r="E963" s="32"/>
      <c r="F963" s="32"/>
      <c r="G963" s="93">
        <v>-2961.65</v>
      </c>
      <c r="H963" s="93">
        <v>14984.51</v>
      </c>
      <c r="I963" s="32"/>
      <c r="J963" s="93">
        <v>-8390.77</v>
      </c>
      <c r="K963" s="32"/>
      <c r="L963" s="32"/>
      <c r="M963" s="32"/>
      <c r="N963" s="32"/>
      <c r="O963" s="93">
        <v>1469774.0</v>
      </c>
      <c r="P963" s="91">
        <f>IFERROR(__xludf.DUMMYFUNCTION("IFERROR(sum(FILTER($D:$N,$C:$C = $C963,$A:$A &lt; $A963,$B:$B = 12)),0) + sum($D963:$N963)"),1469773.6500000004)</f>
        <v>1469773.65</v>
      </c>
      <c r="Q963" s="92">
        <f t="shared" si="1"/>
        <v>0.3499999996</v>
      </c>
      <c r="R963" s="91">
        <f t="array" ref="R963">IFERROR(INDEX('Fund YTD Target Values'!$1:$1000, MATCH($C963,'Fund YTD Target Values'!$A:$A,0), MATCH($A963,'Fund YTD Target Values'!$1:$1,0)),0)</f>
        <v>1579247.369</v>
      </c>
      <c r="S963" s="91">
        <f>IFERROR(__xludf.DUMMYFUNCTION("IFERROR(sum(FILTER('Fund Investment Data'!$V:$V, 'Fund Investment Data'!$C:$C = $C963, 'Fund Investment Data'!$A:$A &lt; $A963)),0) + IFERROR(sum(FILTER('Fund Investment Data'!$V:$V, 'Fund Investment Data'!$C:$C = $C963, 'Fund Investment Data'!$A:$A = $A963,"&amp;" 'Fund Investment Data'!$B:$B &lt;= $B963)),0)"),1086625.0)</f>
        <v>1086625</v>
      </c>
      <c r="T963" s="93">
        <v>1071625.0</v>
      </c>
      <c r="U963" s="32">
        <f t="shared" si="3"/>
        <v>15000</v>
      </c>
      <c r="V963" s="32">
        <f>IFERROR(__xludf.DUMMYFUNCTION("$D963 - IFERROR(FILTER($D:$D,$C:$C = $C963, $A:$A = $A963, $B:$B = $B963 - 1),0)"),0.0)</f>
        <v>0</v>
      </c>
      <c r="W963" s="93">
        <f>IFERROR(__xludf.DUMMYFUNCTION("$E963 - IFERROR(FILTER($E:$E,$C:$C = $C963, $A:$A = $A963, $B:$B = $B963 - 1),0)"),0.0)</f>
        <v>0</v>
      </c>
      <c r="X963" s="93"/>
      <c r="Y963" s="93"/>
      <c r="Z963" s="93">
        <v>0.0</v>
      </c>
      <c r="AA963" s="93">
        <v>0.0</v>
      </c>
      <c r="AB963" s="93">
        <v>0.0</v>
      </c>
      <c r="AC963" s="93"/>
      <c r="AD963" s="93">
        <v>0.0</v>
      </c>
      <c r="AE963" s="32">
        <f t="shared" si="2"/>
        <v>0</v>
      </c>
      <c r="AF963" s="93">
        <v>0.0</v>
      </c>
    </row>
    <row r="964">
      <c r="A964" s="86">
        <v>2018.0</v>
      </c>
      <c r="B964" s="87">
        <v>4.0</v>
      </c>
      <c r="C964" s="88" t="s">
        <v>56</v>
      </c>
      <c r="D964" s="32"/>
      <c r="E964" s="32"/>
      <c r="F964" s="32"/>
      <c r="G964" s="93">
        <v>-2287.79</v>
      </c>
      <c r="H964" s="93">
        <v>11419.57</v>
      </c>
      <c r="I964" s="32"/>
      <c r="J964" s="93">
        <v>-6527.73</v>
      </c>
      <c r="K964" s="32"/>
      <c r="L964" s="32"/>
      <c r="M964" s="32"/>
      <c r="N964" s="32"/>
      <c r="O964" s="93">
        <v>1135582.0</v>
      </c>
      <c r="P964" s="91">
        <f>IFERROR(__xludf.DUMMYFUNCTION("IFERROR(sum(FILTER($D:$N,$C:$C = $C964,$A:$A &lt; $A964,$B:$B = 12)),0) + sum($D964:$N964)"),1135581.88)</f>
        <v>1135581.88</v>
      </c>
      <c r="Q964" s="92">
        <f t="shared" si="1"/>
        <v>0.1200000001</v>
      </c>
      <c r="R964" s="91">
        <f t="array" ref="R964">IFERROR(INDEX('Fund YTD Target Values'!$1:$1000, MATCH($C964,'Fund YTD Target Values'!$A:$A,0), MATCH($A964,'Fund YTD Target Values'!$1:$1,0)),0)</f>
        <v>1060725.595</v>
      </c>
      <c r="S964" s="91">
        <f>IFERROR(__xludf.DUMMYFUNCTION("IFERROR(sum(FILTER('Fund Investment Data'!$V:$V, 'Fund Investment Data'!$C:$C = $C964, 'Fund Investment Data'!$A:$A &lt; $A964)),0) + IFERROR(sum(FILTER('Fund Investment Data'!$V:$V, 'Fund Investment Data'!$C:$C = $C964, 'Fund Investment Data'!$A:$A = $A964,"&amp;" 'Fund Investment Data'!$B:$B &lt;= $B964)),0)"),1000000.0)</f>
        <v>1000000</v>
      </c>
      <c r="T964" s="93">
        <v>1000000.0</v>
      </c>
      <c r="U964" s="32">
        <f t="shared" si="3"/>
        <v>0</v>
      </c>
      <c r="V964" s="32">
        <f>IFERROR(__xludf.DUMMYFUNCTION("$D964 - IFERROR(FILTER($D:$D,$C:$C = $C964, $A:$A = $A964, $B:$B = $B964 - 1),0)"),0.0)</f>
        <v>0</v>
      </c>
      <c r="W964" s="93">
        <f>IFERROR(__xludf.DUMMYFUNCTION("$E964 - IFERROR(FILTER($E:$E,$C:$C = $C964, $A:$A = $A964, $B:$B = $B964 - 1),0)"),0.0)</f>
        <v>0</v>
      </c>
      <c r="X964" s="93"/>
      <c r="Y964" s="93"/>
      <c r="Z964" s="93">
        <v>0.0</v>
      </c>
      <c r="AA964" s="93">
        <v>0.0</v>
      </c>
      <c r="AB964" s="93">
        <v>0.0</v>
      </c>
      <c r="AC964" s="93"/>
      <c r="AD964" s="93">
        <v>0.0</v>
      </c>
      <c r="AE964" s="32">
        <f t="shared" si="2"/>
        <v>0</v>
      </c>
      <c r="AF964" s="93">
        <v>0.0</v>
      </c>
    </row>
    <row r="965">
      <c r="A965" s="86">
        <v>2018.0</v>
      </c>
      <c r="B965" s="87">
        <v>4.0</v>
      </c>
      <c r="C965" s="88" t="s">
        <v>57</v>
      </c>
      <c r="D965" s="32"/>
      <c r="E965" s="32"/>
      <c r="F965" s="32"/>
      <c r="G965" s="93">
        <v>-4111.1</v>
      </c>
      <c r="H965" s="93">
        <v>20792.89</v>
      </c>
      <c r="I965" s="32"/>
      <c r="J965" s="93">
        <v>-11640.55</v>
      </c>
      <c r="K965" s="32"/>
      <c r="L965" s="32"/>
      <c r="M965" s="32"/>
      <c r="N965" s="32"/>
      <c r="O965" s="93">
        <v>2040220.0</v>
      </c>
      <c r="P965" s="91">
        <f>IFERROR(__xludf.DUMMYFUNCTION("IFERROR(sum(FILTER($D:$N,$C:$C = $C965,$A:$A &lt; $A965,$B:$B = 12)),0) + sum($D965:$N965)"),2040220.07)</f>
        <v>2040220.07</v>
      </c>
      <c r="Q965" s="92">
        <f t="shared" si="1"/>
        <v>-0.07000000007</v>
      </c>
      <c r="R965" s="91">
        <f t="array" ref="R965">IFERROR(INDEX('Fund YTD Target Values'!$1:$1000, MATCH($C965,'Fund YTD Target Values'!$A:$A,0), MATCH($A965,'Fund YTD Target Values'!$1:$1,0)),0)</f>
        <v>2048853.692</v>
      </c>
      <c r="S965" s="91">
        <f>IFERROR(__xludf.DUMMYFUNCTION("IFERROR(sum(FILTER('Fund Investment Data'!$V:$V, 'Fund Investment Data'!$C:$C = $C965, 'Fund Investment Data'!$A:$A &lt; $A965)),0) + IFERROR(sum(FILTER('Fund Investment Data'!$V:$V, 'Fund Investment Data'!$C:$C = $C965, 'Fund Investment Data'!$A:$A = $A965,"&amp;" 'Fund Investment Data'!$B:$B &lt;= $B965)),0)"),2000000.0)</f>
        <v>2000000</v>
      </c>
      <c r="T965" s="93">
        <v>2000000.0</v>
      </c>
      <c r="U965" s="32">
        <f t="shared" si="3"/>
        <v>0</v>
      </c>
      <c r="V965" s="32">
        <f>IFERROR(__xludf.DUMMYFUNCTION("$D965 - IFERROR(FILTER($D:$D,$C:$C = $C965, $A:$A = $A965, $B:$B = $B965 - 1),0)"),0.0)</f>
        <v>0</v>
      </c>
      <c r="W965" s="93">
        <f>IFERROR(__xludf.DUMMYFUNCTION("$E965 - IFERROR(FILTER($E:$E,$C:$C = $C965, $A:$A = $A965, $B:$B = $B965 - 1),0)"),0.0)</f>
        <v>0</v>
      </c>
      <c r="X965" s="93"/>
      <c r="Y965" s="93"/>
      <c r="Z965" s="93">
        <v>0.0</v>
      </c>
      <c r="AA965" s="93">
        <v>0.0</v>
      </c>
      <c r="AB965" s="93">
        <v>0.0</v>
      </c>
      <c r="AC965" s="93"/>
      <c r="AD965" s="93">
        <v>0.0</v>
      </c>
      <c r="AE965" s="32">
        <f t="shared" si="2"/>
        <v>0</v>
      </c>
      <c r="AF965" s="93">
        <v>0.0</v>
      </c>
    </row>
    <row r="966">
      <c r="A966" s="86">
        <v>2018.0</v>
      </c>
      <c r="B966" s="87">
        <v>4.0</v>
      </c>
      <c r="C966" s="88" t="s">
        <v>58</v>
      </c>
      <c r="D966" s="32"/>
      <c r="E966" s="32"/>
      <c r="F966" s="32"/>
      <c r="G966" s="93">
        <v>-4111.1</v>
      </c>
      <c r="H966" s="93">
        <v>20792.89</v>
      </c>
      <c r="I966" s="32"/>
      <c r="J966" s="93">
        <v>-11640.55</v>
      </c>
      <c r="K966" s="32"/>
      <c r="L966" s="32"/>
      <c r="M966" s="32"/>
      <c r="N966" s="32"/>
      <c r="O966" s="93">
        <v>2040220.0</v>
      </c>
      <c r="P966" s="91">
        <f>IFERROR(__xludf.DUMMYFUNCTION("IFERROR(sum(FILTER($D:$N,$C:$C = $C966,$A:$A &lt; $A966,$B:$B = 12)),0) + sum($D966:$N966)"),2040220.07)</f>
        <v>2040220.07</v>
      </c>
      <c r="Q966" s="92">
        <f t="shared" si="1"/>
        <v>-0.07000000007</v>
      </c>
      <c r="R966" s="91">
        <f t="array" ref="R966">IFERROR(INDEX('Fund YTD Target Values'!$1:$1000, MATCH($C966,'Fund YTD Target Values'!$A:$A,0), MATCH($A966,'Fund YTD Target Values'!$1:$1,0)),0)</f>
        <v>2048853.692</v>
      </c>
      <c r="S966" s="91">
        <f>IFERROR(__xludf.DUMMYFUNCTION("IFERROR(sum(FILTER('Fund Investment Data'!$V:$V, 'Fund Investment Data'!$C:$C = $C966, 'Fund Investment Data'!$A:$A &lt; $A966)),0) + IFERROR(sum(FILTER('Fund Investment Data'!$V:$V, 'Fund Investment Data'!$C:$C = $C966, 'Fund Investment Data'!$A:$A = $A966,"&amp;" 'Fund Investment Data'!$B:$B &lt;= $B966)),0)"),2000000.0)</f>
        <v>2000000</v>
      </c>
      <c r="T966" s="93">
        <v>2000000.0</v>
      </c>
      <c r="U966" s="32">
        <f t="shared" si="3"/>
        <v>0</v>
      </c>
      <c r="V966" s="32">
        <f>IFERROR(__xludf.DUMMYFUNCTION("$D966 - IFERROR(FILTER($D:$D,$C:$C = $C966, $A:$A = $A966, $B:$B = $B966 - 1),0)"),0.0)</f>
        <v>0</v>
      </c>
      <c r="W966" s="93">
        <f>IFERROR(__xludf.DUMMYFUNCTION("$E966 - IFERROR(FILTER($E:$E,$C:$C = $C966, $A:$A = $A966, $B:$B = $B966 - 1),0)"),0.0)</f>
        <v>0</v>
      </c>
      <c r="X966" s="93"/>
      <c r="Y966" s="93"/>
      <c r="Z966" s="93">
        <v>0.0</v>
      </c>
      <c r="AA966" s="93">
        <v>0.0</v>
      </c>
      <c r="AB966" s="93">
        <v>0.0</v>
      </c>
      <c r="AC966" s="93"/>
      <c r="AD966" s="93">
        <v>0.0</v>
      </c>
      <c r="AE966" s="32">
        <f t="shared" si="2"/>
        <v>0</v>
      </c>
      <c r="AF966" s="93">
        <v>0.0</v>
      </c>
    </row>
    <row r="967">
      <c r="A967" s="86">
        <v>2018.0</v>
      </c>
      <c r="B967" s="87">
        <v>5.0</v>
      </c>
      <c r="C967" s="88" t="s">
        <v>26</v>
      </c>
      <c r="D967" s="93">
        <v>18189.0</v>
      </c>
      <c r="E967" s="93">
        <v>-8000.0</v>
      </c>
      <c r="F967" s="32"/>
      <c r="G967" s="93">
        <v>-863.79</v>
      </c>
      <c r="H967" s="93">
        <v>3703.15</v>
      </c>
      <c r="I967" s="32"/>
      <c r="J967" s="93">
        <v>-1380.84</v>
      </c>
      <c r="K967" s="32"/>
      <c r="L967" s="32"/>
      <c r="M967" s="32"/>
      <c r="N967" s="32"/>
      <c r="O967" s="93">
        <v>343580.0</v>
      </c>
      <c r="P967" s="91">
        <f>IFERROR(__xludf.DUMMYFUNCTION("IFERROR(sum(FILTER($D:$N,$C:$C = $C967,$A:$A &lt; $A967,$B:$B = 12)),0) + sum($D967:$N967)"),343578.48)</f>
        <v>343578.48</v>
      </c>
      <c r="Q967" s="92">
        <f t="shared" si="1"/>
        <v>1.52</v>
      </c>
      <c r="R967" s="91">
        <f t="array" ref="R967">IFERROR(INDEX('Fund YTD Target Values'!$1:$1000, MATCH($C967,'Fund YTD Target Values'!$A:$A,0), MATCH($A967,'Fund YTD Target Values'!$1:$1,0)),0)</f>
        <v>378110.9215</v>
      </c>
      <c r="S967" s="91">
        <f>IFERROR(__xludf.DUMMYFUNCTION("IFERROR(sum(FILTER('Fund Investment Data'!$V:$V, 'Fund Investment Data'!$C:$C = $C967, 'Fund Investment Data'!$A:$A &lt; $A967)),0) + IFERROR(sum(FILTER('Fund Investment Data'!$V:$V, 'Fund Investment Data'!$C:$C = $C967, 'Fund Investment Data'!$A:$A = $A967,"&amp;" 'Fund Investment Data'!$B:$B &lt;= $B967)),0)"),310249.0)</f>
        <v>310249</v>
      </c>
      <c r="T967" s="93">
        <v>310250.0</v>
      </c>
      <c r="U967" s="32">
        <f t="shared" si="3"/>
        <v>-1</v>
      </c>
      <c r="V967" s="32">
        <f>IFERROR(__xludf.DUMMYFUNCTION("$D967 - IFERROR(FILTER($D:$D,$C:$C = $C967, $A:$A = $A967, $B:$B = $B967 - 1),0)"),0.0)</f>
        <v>0</v>
      </c>
      <c r="W967" s="93">
        <f>IFERROR(__xludf.DUMMYFUNCTION("$E967 - IFERROR(FILTER($E:$E,$C:$C = $C967, $A:$A = $A967, $B:$B = $B967 - 1),0)"),-8000.0)</f>
        <v>-8000</v>
      </c>
      <c r="X967" s="93"/>
      <c r="Y967" s="93"/>
      <c r="Z967" s="93">
        <v>0.0</v>
      </c>
      <c r="AA967" s="93">
        <v>0.0</v>
      </c>
      <c r="AB967" s="93">
        <v>0.0</v>
      </c>
      <c r="AC967" s="93"/>
      <c r="AD967" s="93">
        <v>0.0</v>
      </c>
      <c r="AE967" s="32">
        <f t="shared" si="2"/>
        <v>-8000</v>
      </c>
      <c r="AF967" s="93">
        <v>0.0</v>
      </c>
    </row>
    <row r="968">
      <c r="A968" s="86">
        <v>2018.0</v>
      </c>
      <c r="B968" s="87">
        <v>5.0</v>
      </c>
      <c r="C968" s="88" t="s">
        <v>27</v>
      </c>
      <c r="D968" s="32"/>
      <c r="E968" s="32"/>
      <c r="F968" s="32"/>
      <c r="G968" s="93">
        <v>-777.78</v>
      </c>
      <c r="H968" s="93">
        <v>3396.76</v>
      </c>
      <c r="I968" s="32"/>
      <c r="J968" s="93">
        <v>-1115.89</v>
      </c>
      <c r="K968" s="32"/>
      <c r="L968" s="32"/>
      <c r="M968" s="32"/>
      <c r="N968" s="32"/>
      <c r="O968" s="93">
        <v>309988.0</v>
      </c>
      <c r="P968" s="91">
        <f>IFERROR(__xludf.DUMMYFUNCTION("IFERROR(sum(FILTER($D:$N,$C:$C = $C968,$A:$A &lt; $A968,$B:$B = 12)),0) + sum($D968:$N968)"),309988.4900000001)</f>
        <v>309988.49</v>
      </c>
      <c r="Q968" s="92">
        <f t="shared" si="1"/>
        <v>-0.4900000001</v>
      </c>
      <c r="R968" s="91">
        <f t="array" ref="R968">IFERROR(INDEX('Fund YTD Target Values'!$1:$1000, MATCH($C968,'Fund YTD Target Values'!$A:$A,0), MATCH($A968,'Fund YTD Target Values'!$1:$1,0)),0)</f>
        <v>393297.582</v>
      </c>
      <c r="S968" s="91">
        <f>IFERROR(__xludf.DUMMYFUNCTION("IFERROR(sum(FILTER('Fund Investment Data'!$V:$V, 'Fund Investment Data'!$C:$C = $C968, 'Fund Investment Data'!$A:$A &lt; $A968)),0) + IFERROR(sum(FILTER('Fund Investment Data'!$V:$V, 'Fund Investment Data'!$C:$C = $C968, 'Fund Investment Data'!$A:$A = $A968,"&amp;" 'Fund Investment Data'!$B:$B &lt;= $B968)),0)"),276213.69999999995)</f>
        <v>276213.7</v>
      </c>
      <c r="T968" s="93">
        <v>272248.0</v>
      </c>
      <c r="U968" s="32">
        <f t="shared" si="3"/>
        <v>3965.7</v>
      </c>
      <c r="V968" s="32">
        <f>IFERROR(__xludf.DUMMYFUNCTION("$D968 - IFERROR(FILTER($D:$D,$C:$C = $C968, $A:$A = $A968, $B:$B = $B968 - 1),0)"),0.0)</f>
        <v>0</v>
      </c>
      <c r="W968" s="93">
        <f>IFERROR(__xludf.DUMMYFUNCTION("$E968 - IFERROR(FILTER($E:$E,$C:$C = $C968, $A:$A = $A968, $B:$B = $B968 - 1),0)"),0.0)</f>
        <v>0</v>
      </c>
      <c r="X968" s="93"/>
      <c r="Y968" s="93"/>
      <c r="Z968" s="93">
        <v>0.0</v>
      </c>
      <c r="AA968" s="93">
        <v>0.0</v>
      </c>
      <c r="AB968" s="93">
        <v>0.0</v>
      </c>
      <c r="AC968" s="93"/>
      <c r="AD968" s="93">
        <v>0.0</v>
      </c>
      <c r="AE968" s="32">
        <f t="shared" si="2"/>
        <v>0</v>
      </c>
      <c r="AF968" s="93">
        <v>0.0</v>
      </c>
    </row>
    <row r="969">
      <c r="A969" s="86">
        <v>2018.0</v>
      </c>
      <c r="B969" s="87">
        <v>5.0</v>
      </c>
      <c r="C969" s="88" t="s">
        <v>28</v>
      </c>
      <c r="D969" s="32"/>
      <c r="E969" s="93">
        <v>-35000.0</v>
      </c>
      <c r="F969" s="32"/>
      <c r="G969" s="93">
        <v>-8343.3</v>
      </c>
      <c r="H969" s="93">
        <v>36394.12</v>
      </c>
      <c r="I969" s="32"/>
      <c r="J969" s="93">
        <v>-11942.6</v>
      </c>
      <c r="K969" s="32"/>
      <c r="L969" s="32"/>
      <c r="M969" s="32"/>
      <c r="N969" s="32"/>
      <c r="O969" s="93">
        <v>3290335.0</v>
      </c>
      <c r="P969" s="91">
        <f>IFERROR(__xludf.DUMMYFUNCTION("IFERROR(sum(FILTER($D:$N,$C:$C = $C969,$A:$A &lt; $A969,$B:$B = 12)),0) + sum($D969:$N969)"),3290334.29)</f>
        <v>3290334.29</v>
      </c>
      <c r="Q969" s="92">
        <f t="shared" si="1"/>
        <v>0.71</v>
      </c>
      <c r="R969" s="91">
        <f t="array" ref="R969">IFERROR(INDEX('Fund YTD Target Values'!$1:$1000, MATCH($C969,'Fund YTD Target Values'!$A:$A,0), MATCH($A969,'Fund YTD Target Values'!$1:$1,0)),0)</f>
        <v>3840487.513</v>
      </c>
      <c r="S969" s="91">
        <f>IFERROR(__xludf.DUMMYFUNCTION("IFERROR(sum(FILTER('Fund Investment Data'!$V:$V, 'Fund Investment Data'!$C:$C = $C969, 'Fund Investment Data'!$A:$A &lt; $A969)),0) + IFERROR(sum(FILTER('Fund Investment Data'!$V:$V, 'Fund Investment Data'!$C:$C = $C969, 'Fund Investment Data'!$A:$A = $A969,"&amp;" 'Fund Investment Data'!$B:$B &lt;= $B969)),0)"),2960091.25)</f>
        <v>2960091.25</v>
      </c>
      <c r="T969" s="93">
        <v>3009816.0</v>
      </c>
      <c r="U969" s="32">
        <f t="shared" si="3"/>
        <v>-49724.75</v>
      </c>
      <c r="V969" s="32">
        <f>IFERROR(__xludf.DUMMYFUNCTION("$D969 - IFERROR(FILTER($D:$D,$C:$C = $C969, $A:$A = $A969, $B:$B = $B969 - 1),0)"),0.0)</f>
        <v>0</v>
      </c>
      <c r="W969" s="93">
        <f>IFERROR(__xludf.DUMMYFUNCTION("$E969 - IFERROR(FILTER($E:$E,$C:$C = $C969, $A:$A = $A969, $B:$B = $B969 - 1),0)"),-35000.0)</f>
        <v>-35000</v>
      </c>
      <c r="X969" s="93"/>
      <c r="Y969" s="93"/>
      <c r="Z969" s="93">
        <v>0.0</v>
      </c>
      <c r="AA969" s="93">
        <v>0.0</v>
      </c>
      <c r="AB969" s="93">
        <v>0.0</v>
      </c>
      <c r="AC969" s="93"/>
      <c r="AD969" s="93">
        <v>0.0</v>
      </c>
      <c r="AE969" s="32">
        <f t="shared" si="2"/>
        <v>-35000</v>
      </c>
      <c r="AF969" s="93">
        <v>0.0</v>
      </c>
    </row>
    <row r="970">
      <c r="A970" s="86">
        <v>2018.0</v>
      </c>
      <c r="B970" s="87">
        <v>5.0</v>
      </c>
      <c r="C970" s="88" t="s">
        <v>46</v>
      </c>
      <c r="D970" s="32"/>
      <c r="E970" s="32"/>
      <c r="F970" s="32"/>
      <c r="G970" s="93">
        <v>-992.12</v>
      </c>
      <c r="H970" s="93">
        <v>4332.93</v>
      </c>
      <c r="I970" s="32"/>
      <c r="J970" s="93">
        <v>-1423.44</v>
      </c>
      <c r="K970" s="32"/>
      <c r="L970" s="32"/>
      <c r="M970" s="32"/>
      <c r="N970" s="32"/>
      <c r="O970" s="93">
        <v>395425.0</v>
      </c>
      <c r="P970" s="91">
        <f>IFERROR(__xludf.DUMMYFUNCTION("IFERROR(sum(FILTER($D:$N,$C:$C = $C970,$A:$A &lt; $A970,$B:$B = 12)),0) + sum($D970:$N970)"),395425.03)</f>
        <v>395425.03</v>
      </c>
      <c r="Q970" s="92">
        <f t="shared" si="1"/>
        <v>-0.03000000003</v>
      </c>
      <c r="R970" s="91">
        <f t="array" ref="R970">IFERROR(INDEX('Fund YTD Target Values'!$1:$1000, MATCH($C970,'Fund YTD Target Values'!$A:$A,0), MATCH($A970,'Fund YTD Target Values'!$1:$1,0)),0)</f>
        <v>456546.9656</v>
      </c>
      <c r="S970" s="91">
        <f>IFERROR(__xludf.DUMMYFUNCTION("IFERROR(sum(FILTER('Fund Investment Data'!$V:$V, 'Fund Investment Data'!$C:$C = $C970, 'Fund Investment Data'!$A:$A &lt; $A970)),0) + IFERROR(sum(FILTER('Fund Investment Data'!$V:$V, 'Fund Investment Data'!$C:$C = $C970, 'Fund Investment Data'!$A:$A = $A970,"&amp;" 'Fund Investment Data'!$B:$B &lt;= $B970)),0)"),366400.0)</f>
        <v>366400</v>
      </c>
      <c r="T970" s="93">
        <v>366400.0</v>
      </c>
      <c r="U970" s="32">
        <f t="shared" si="3"/>
        <v>0</v>
      </c>
      <c r="V970" s="32">
        <f>IFERROR(__xludf.DUMMYFUNCTION("$D970 - IFERROR(FILTER($D:$D,$C:$C = $C970, $A:$A = $A970, $B:$B = $B970 - 1),0)"),0.0)</f>
        <v>0</v>
      </c>
      <c r="W970" s="93">
        <f>IFERROR(__xludf.DUMMYFUNCTION("$E970 - IFERROR(FILTER($E:$E,$C:$C = $C970, $A:$A = $A970, $B:$B = $B970 - 1),0)"),0.0)</f>
        <v>0</v>
      </c>
      <c r="X970" s="93"/>
      <c r="Y970" s="93"/>
      <c r="Z970" s="93">
        <v>0.0</v>
      </c>
      <c r="AA970" s="93">
        <v>0.0</v>
      </c>
      <c r="AB970" s="93">
        <v>0.0</v>
      </c>
      <c r="AC970" s="93"/>
      <c r="AD970" s="93">
        <v>0.0</v>
      </c>
      <c r="AE970" s="32">
        <f t="shared" si="2"/>
        <v>0</v>
      </c>
      <c r="AF970" s="93">
        <v>0.0</v>
      </c>
    </row>
    <row r="971">
      <c r="A971" s="86">
        <v>2018.0</v>
      </c>
      <c r="B971" s="87">
        <v>5.0</v>
      </c>
      <c r="C971" s="88" t="s">
        <v>36</v>
      </c>
      <c r="D971" s="32"/>
      <c r="E971" s="93">
        <v>-4000.0</v>
      </c>
      <c r="F971" s="32"/>
      <c r="G971" s="93">
        <v>-1136.48</v>
      </c>
      <c r="H971" s="93">
        <v>4963.28</v>
      </c>
      <c r="I971" s="32"/>
      <c r="J971" s="93">
        <v>-1630.52</v>
      </c>
      <c r="K971" s="32"/>
      <c r="L971" s="32"/>
      <c r="M971" s="32"/>
      <c r="N971" s="32"/>
      <c r="O971" s="93">
        <v>448951.0</v>
      </c>
      <c r="P971" s="91">
        <f>IFERROR(__xludf.DUMMYFUNCTION("IFERROR(sum(FILTER($D:$N,$C:$C = $C971,$A:$A &lt; $A971,$B:$B = 12)),0) + sum($D971:$N971)"),448950.74000000005)</f>
        <v>448950.74</v>
      </c>
      <c r="Q971" s="92">
        <f t="shared" si="1"/>
        <v>0.26</v>
      </c>
      <c r="R971" s="91">
        <f t="array" ref="R971">IFERROR(INDEX('Fund YTD Target Values'!$1:$1000, MATCH($C971,'Fund YTD Target Values'!$A:$A,0), MATCH($A971,'Fund YTD Target Values'!$1:$1,0)),0)</f>
        <v>635486.6433</v>
      </c>
      <c r="S971" s="91">
        <f>IFERROR(__xludf.DUMMYFUNCTION("IFERROR(sum(FILTER('Fund Investment Data'!$V:$V, 'Fund Investment Data'!$C:$C = $C971, 'Fund Investment Data'!$A:$A &lt; $A971)),0) + IFERROR(sum(FILTER('Fund Investment Data'!$V:$V, 'Fund Investment Data'!$C:$C = $C971, 'Fund Investment Data'!$A:$A = $A971,"&amp;" 'Fund Investment Data'!$B:$B &lt;= $B971)),0)"),429067.24)</f>
        <v>429067.24</v>
      </c>
      <c r="T971" s="93">
        <v>413959.0</v>
      </c>
      <c r="U971" s="32">
        <f t="shared" si="3"/>
        <v>15108.24</v>
      </c>
      <c r="V971" s="32">
        <f>IFERROR(__xludf.DUMMYFUNCTION("$D971 - IFERROR(FILTER($D:$D,$C:$C = $C971, $A:$A = $A971, $B:$B = $B971 - 1),0)"),0.0)</f>
        <v>0</v>
      </c>
      <c r="W971" s="93">
        <f>IFERROR(__xludf.DUMMYFUNCTION("$E971 - IFERROR(FILTER($E:$E,$C:$C = $C971, $A:$A = $A971, $B:$B = $B971 - 1),0)"),-4000.0)</f>
        <v>-4000</v>
      </c>
      <c r="X971" s="93"/>
      <c r="Y971" s="93"/>
      <c r="Z971" s="93">
        <v>0.0</v>
      </c>
      <c r="AA971" s="93">
        <v>0.0</v>
      </c>
      <c r="AB971" s="93">
        <v>0.0</v>
      </c>
      <c r="AC971" s="93"/>
      <c r="AD971" s="93">
        <v>0.0</v>
      </c>
      <c r="AE971" s="32">
        <f t="shared" si="2"/>
        <v>-4000</v>
      </c>
      <c r="AF971" s="93">
        <v>0.0</v>
      </c>
    </row>
    <row r="972">
      <c r="A972" s="86">
        <v>2018.0</v>
      </c>
      <c r="B972" s="87">
        <v>5.0</v>
      </c>
      <c r="C972" s="88" t="s">
        <v>37</v>
      </c>
      <c r="D972" s="32"/>
      <c r="E972" s="93">
        <v>-7000.0</v>
      </c>
      <c r="F972" s="32"/>
      <c r="G972" s="93">
        <v>-2075.84</v>
      </c>
      <c r="H972" s="93">
        <v>9065.72</v>
      </c>
      <c r="I972" s="32"/>
      <c r="J972" s="93">
        <v>-2978.24</v>
      </c>
      <c r="K972" s="32"/>
      <c r="L972" s="32"/>
      <c r="M972" s="32"/>
      <c r="N972" s="32"/>
      <c r="O972" s="93">
        <v>820341.0</v>
      </c>
      <c r="P972" s="91">
        <f>IFERROR(__xludf.DUMMYFUNCTION("IFERROR(sum(FILTER($D:$N,$C:$C = $C972,$A:$A &lt; $A972,$B:$B = 12)),0) + sum($D972:$N972)"),820340.8799999999)</f>
        <v>820340.88</v>
      </c>
      <c r="Q972" s="92">
        <f t="shared" si="1"/>
        <v>0.1200000001</v>
      </c>
      <c r="R972" s="91">
        <f t="array" ref="R972">IFERROR(INDEX('Fund YTD Target Values'!$1:$1000, MATCH($C972,'Fund YTD Target Values'!$A:$A,0), MATCH($A972,'Fund YTD Target Values'!$1:$1,0)),0)</f>
        <v>845621.3635</v>
      </c>
      <c r="S972" s="91">
        <f>IFERROR(__xludf.DUMMYFUNCTION("IFERROR(sum(FILTER('Fund Investment Data'!$V:$V, 'Fund Investment Data'!$C:$C = $C972, 'Fund Investment Data'!$A:$A &lt; $A972)),0) + IFERROR(sum(FILTER('Fund Investment Data'!$V:$V, 'Fund Investment Data'!$C:$C = $C972, 'Fund Investment Data'!$A:$A = $A972,"&amp;" 'Fund Investment Data'!$B:$B &lt;= $B972)),0)"),758137.86)</f>
        <v>758137.86</v>
      </c>
      <c r="T972" s="93">
        <v>742866.0</v>
      </c>
      <c r="U972" s="32">
        <f t="shared" si="3"/>
        <v>15271.86</v>
      </c>
      <c r="V972" s="32">
        <f>IFERROR(__xludf.DUMMYFUNCTION("$D972 - IFERROR(FILTER($D:$D,$C:$C = $C972, $A:$A = $A972, $B:$B = $B972 - 1),0)"),0.0)</f>
        <v>0</v>
      </c>
      <c r="W972" s="93">
        <f>IFERROR(__xludf.DUMMYFUNCTION("$E972 - IFERROR(FILTER($E:$E,$C:$C = $C972, $A:$A = $A972, $B:$B = $B972 - 1),0)"),-7000.0)</f>
        <v>-7000</v>
      </c>
      <c r="X972" s="93"/>
      <c r="Y972" s="93"/>
      <c r="Z972" s="93">
        <v>0.0</v>
      </c>
      <c r="AA972" s="93">
        <v>0.0</v>
      </c>
      <c r="AB972" s="93">
        <v>0.0</v>
      </c>
      <c r="AC972" s="93"/>
      <c r="AD972" s="93">
        <v>0.0</v>
      </c>
      <c r="AE972" s="32">
        <f t="shared" si="2"/>
        <v>-7000</v>
      </c>
      <c r="AF972" s="93">
        <v>0.0</v>
      </c>
    </row>
    <row r="973">
      <c r="A973" s="86">
        <v>2018.0</v>
      </c>
      <c r="B973" s="87">
        <v>5.0</v>
      </c>
      <c r="C973" s="88" t="s">
        <v>29</v>
      </c>
      <c r="D973" s="32"/>
      <c r="E973" s="32"/>
      <c r="F973" s="32"/>
      <c r="G973" s="93">
        <v>-146.64</v>
      </c>
      <c r="H973" s="93">
        <v>640.14</v>
      </c>
      <c r="I973" s="32"/>
      <c r="J973" s="93">
        <v>-210.22</v>
      </c>
      <c r="K973" s="32"/>
      <c r="L973" s="32"/>
      <c r="M973" s="32"/>
      <c r="N973" s="32"/>
      <c r="O973" s="93">
        <v>58445.0</v>
      </c>
      <c r="P973" s="91">
        <f>IFERROR(__xludf.DUMMYFUNCTION("IFERROR(sum(FILTER($D:$N,$C:$C = $C973,$A:$A &lt; $A973,$B:$B = 12)),0) + sum($D973:$N973)"),58444.589999999924)</f>
        <v>58444.59</v>
      </c>
      <c r="Q973" s="92">
        <f t="shared" si="1"/>
        <v>0.4100000001</v>
      </c>
      <c r="R973" s="91">
        <f t="array" ref="R973">IFERROR(INDEX('Fund YTD Target Values'!$1:$1000, MATCH($C973,'Fund YTD Target Values'!$A:$A,0), MATCH($A973,'Fund YTD Target Values'!$1:$1,0)),0)</f>
        <v>77055.94062</v>
      </c>
      <c r="S973" s="91">
        <f>IFERROR(__xludf.DUMMYFUNCTION("IFERROR(sum(FILTER('Fund Investment Data'!$V:$V, 'Fund Investment Data'!$C:$C = $C973, 'Fund Investment Data'!$A:$A &lt; $A973)),0) + IFERROR(sum(FILTER('Fund Investment Data'!$V:$V, 'Fund Investment Data'!$C:$C = $C973, 'Fund Investment Data'!$A:$A = $A973,"&amp;" 'Fund Investment Data'!$B:$B &lt;= $B973)),0)"),50000.0)</f>
        <v>50000</v>
      </c>
      <c r="T973" s="93">
        <v>50000.0</v>
      </c>
      <c r="U973" s="32">
        <f t="shared" si="3"/>
        <v>0</v>
      </c>
      <c r="V973" s="32">
        <f>IFERROR(__xludf.DUMMYFUNCTION("$D973 - IFERROR(FILTER($D:$D,$C:$C = $C973, $A:$A = $A973, $B:$B = $B973 - 1),0)"),0.0)</f>
        <v>0</v>
      </c>
      <c r="W973" s="93">
        <f>IFERROR(__xludf.DUMMYFUNCTION("$E973 - IFERROR(FILTER($E:$E,$C:$C = $C973, $A:$A = $A973, $B:$B = $B973 - 1),0)"),0.0)</f>
        <v>0</v>
      </c>
      <c r="X973" s="93"/>
      <c r="Y973" s="93"/>
      <c r="Z973" s="93">
        <v>0.0</v>
      </c>
      <c r="AA973" s="93">
        <v>0.0</v>
      </c>
      <c r="AB973" s="93">
        <v>0.0</v>
      </c>
      <c r="AC973" s="93"/>
      <c r="AD973" s="93">
        <v>0.0</v>
      </c>
      <c r="AE973" s="32">
        <f t="shared" si="2"/>
        <v>0</v>
      </c>
      <c r="AF973" s="93">
        <v>0.0</v>
      </c>
    </row>
    <row r="974">
      <c r="A974" s="86">
        <v>2018.0</v>
      </c>
      <c r="B974" s="87">
        <v>5.0</v>
      </c>
      <c r="C974" s="88" t="s">
        <v>38</v>
      </c>
      <c r="D974" s="32"/>
      <c r="E974" s="93">
        <v>-20000.0</v>
      </c>
      <c r="F974" s="32"/>
      <c r="G974" s="93">
        <v>-2050.37</v>
      </c>
      <c r="H974" s="93">
        <v>8895.56</v>
      </c>
      <c r="I974" s="32"/>
      <c r="J974" s="93">
        <v>-2903.42</v>
      </c>
      <c r="K974" s="32"/>
      <c r="L974" s="32"/>
      <c r="M974" s="32"/>
      <c r="N974" s="32"/>
      <c r="O974" s="93">
        <v>799351.0</v>
      </c>
      <c r="P974" s="91">
        <f>IFERROR(__xludf.DUMMYFUNCTION("IFERROR(sum(FILTER($D:$N,$C:$C = $C974,$A:$A &lt; $A974,$B:$B = 12)),0) + sum($D974:$N974)"),799349.9099999999)</f>
        <v>799349.91</v>
      </c>
      <c r="Q974" s="92">
        <f t="shared" si="1"/>
        <v>1.09</v>
      </c>
      <c r="R974" s="91">
        <f t="array" ref="R974">IFERROR(INDEX('Fund YTD Target Values'!$1:$1000, MATCH($C974,'Fund YTD Target Values'!$A:$A,0), MATCH($A974,'Fund YTD Target Values'!$1:$1,0)),0)</f>
        <v>702514.9803</v>
      </c>
      <c r="S974" s="91">
        <f>IFERROR(__xludf.DUMMYFUNCTION("IFERROR(sum(FILTER('Fund Investment Data'!$V:$V, 'Fund Investment Data'!$C:$C = $C974, 'Fund Investment Data'!$A:$A &lt; $A974)),0) + IFERROR(sum(FILTER('Fund Investment Data'!$V:$V, 'Fund Investment Data'!$C:$C = $C974, 'Fund Investment Data'!$A:$A = $A974,"&amp;" 'Fund Investment Data'!$B:$B &lt;= $B974)),0)"),556601.64)</f>
        <v>556601.64</v>
      </c>
      <c r="T974" s="93">
        <v>558656.0</v>
      </c>
      <c r="U974" s="32">
        <f t="shared" si="3"/>
        <v>-2054.36</v>
      </c>
      <c r="V974" s="32">
        <f>IFERROR(__xludf.DUMMYFUNCTION("$D974 - IFERROR(FILTER($D:$D,$C:$C = $C974, $A:$A = $A974, $B:$B = $B974 - 1),0)"),0.0)</f>
        <v>0</v>
      </c>
      <c r="W974" s="93">
        <f>IFERROR(__xludf.DUMMYFUNCTION("$E974 - IFERROR(FILTER($E:$E,$C:$C = $C974, $A:$A = $A974, $B:$B = $B974 - 1),0)"),-20000.0)</f>
        <v>-20000</v>
      </c>
      <c r="X974" s="93"/>
      <c r="Y974" s="93"/>
      <c r="Z974" s="93">
        <v>0.0</v>
      </c>
      <c r="AA974" s="93">
        <v>0.0</v>
      </c>
      <c r="AB974" s="93">
        <v>0.0</v>
      </c>
      <c r="AC974" s="93"/>
      <c r="AD974" s="93">
        <v>0.0</v>
      </c>
      <c r="AE974" s="32">
        <f t="shared" si="2"/>
        <v>-20000</v>
      </c>
      <c r="AF974" s="93">
        <v>0.0</v>
      </c>
    </row>
    <row r="975">
      <c r="A975" s="86">
        <v>2018.0</v>
      </c>
      <c r="B975" s="87">
        <v>5.0</v>
      </c>
      <c r="C975" s="88" t="s">
        <v>30</v>
      </c>
      <c r="D975" s="32"/>
      <c r="E975" s="32"/>
      <c r="F975" s="32"/>
      <c r="G975" s="93">
        <v>-43.77</v>
      </c>
      <c r="H975" s="93">
        <v>186.78</v>
      </c>
      <c r="I975" s="32"/>
      <c r="J975" s="93">
        <v>-63.18</v>
      </c>
      <c r="K975" s="32"/>
      <c r="L975" s="32"/>
      <c r="M975" s="32"/>
      <c r="N975" s="32"/>
      <c r="O975" s="93">
        <v>17449.0</v>
      </c>
      <c r="P975" s="91">
        <f>IFERROR(__xludf.DUMMYFUNCTION("IFERROR(sum(FILTER($D:$N,$C:$C = $C975,$A:$A &lt; $A975,$B:$B = 12)),0) + sum($D975:$N975)"),17447.239999999987)</f>
        <v>17447.24</v>
      </c>
      <c r="Q975" s="92">
        <f t="shared" si="1"/>
        <v>1.76</v>
      </c>
      <c r="R975" s="91">
        <f t="array" ref="R975">IFERROR(INDEX('Fund YTD Target Values'!$1:$1000, MATCH($C975,'Fund YTD Target Values'!$A:$A,0), MATCH($A975,'Fund YTD Target Values'!$1:$1,0)),0)</f>
        <v>18484.57102</v>
      </c>
      <c r="S975" s="91">
        <f>IFERROR(__xludf.DUMMYFUNCTION("IFERROR(sum(FILTER('Fund Investment Data'!$V:$V, 'Fund Investment Data'!$C:$C = $C975, 'Fund Investment Data'!$A:$A &lt; $A975)),0) + IFERROR(sum(FILTER('Fund Investment Data'!$V:$V, 'Fund Investment Data'!$C:$C = $C975, 'Fund Investment Data'!$A:$A = $A975,"&amp;" 'Fund Investment Data'!$B:$B &lt;= $B975)),0)"),11540.75)</f>
        <v>11540.75</v>
      </c>
      <c r="T975" s="93">
        <v>10000.0</v>
      </c>
      <c r="U975" s="32">
        <f t="shared" si="3"/>
        <v>1540.75</v>
      </c>
      <c r="V975" s="32">
        <f>IFERROR(__xludf.DUMMYFUNCTION("$D975 - IFERROR(FILTER($D:$D,$C:$C = $C975, $A:$A = $A975, $B:$B = $B975 - 1),0)"),0.0)</f>
        <v>0</v>
      </c>
      <c r="W975" s="93">
        <f>IFERROR(__xludf.DUMMYFUNCTION("$E975 - IFERROR(FILTER($E:$E,$C:$C = $C975, $A:$A = $A975, $B:$B = $B975 - 1),0)"),0.0)</f>
        <v>0</v>
      </c>
      <c r="X975" s="93"/>
      <c r="Y975" s="93"/>
      <c r="Z975" s="93">
        <v>0.0</v>
      </c>
      <c r="AA975" s="93">
        <v>0.0</v>
      </c>
      <c r="AB975" s="93">
        <v>0.0</v>
      </c>
      <c r="AC975" s="93"/>
      <c r="AD975" s="93">
        <v>0.0</v>
      </c>
      <c r="AE975" s="32">
        <f t="shared" si="2"/>
        <v>0</v>
      </c>
      <c r="AF975" s="93">
        <v>0.0</v>
      </c>
    </row>
    <row r="976">
      <c r="A976" s="86">
        <v>2018.0</v>
      </c>
      <c r="B976" s="87">
        <v>5.0</v>
      </c>
      <c r="C976" s="88" t="s">
        <v>47</v>
      </c>
      <c r="D976" s="32"/>
      <c r="E976" s="93">
        <v>-14000.0</v>
      </c>
      <c r="F976" s="32"/>
      <c r="G976" s="93">
        <v>-3817.82</v>
      </c>
      <c r="H976" s="93">
        <v>16673.47</v>
      </c>
      <c r="I976" s="32"/>
      <c r="J976" s="93">
        <v>-5477.53</v>
      </c>
      <c r="K976" s="32"/>
      <c r="L976" s="32"/>
      <c r="M976" s="32"/>
      <c r="N976" s="32"/>
      <c r="O976" s="93">
        <v>1507628.0</v>
      </c>
      <c r="P976" s="91">
        <f>IFERROR(__xludf.DUMMYFUNCTION("IFERROR(sum(FILTER($D:$N,$C:$C = $C976,$A:$A &lt; $A976,$B:$B = 12)),0) + sum($D976:$N976)"),1507627.7599999998)</f>
        <v>1507627.76</v>
      </c>
      <c r="Q976" s="92">
        <f t="shared" si="1"/>
        <v>0.2400000002</v>
      </c>
      <c r="R976" s="91">
        <f t="array" ref="R976">IFERROR(INDEX('Fund YTD Target Values'!$1:$1000, MATCH($C976,'Fund YTD Target Values'!$A:$A,0), MATCH($A976,'Fund YTD Target Values'!$1:$1,0)),0)</f>
        <v>1998729.212</v>
      </c>
      <c r="S976" s="91">
        <f>IFERROR(__xludf.DUMMYFUNCTION("IFERROR(sum(FILTER('Fund Investment Data'!$V:$V, 'Fund Investment Data'!$C:$C = $C976, 'Fund Investment Data'!$A:$A &lt; $A976)),0) + IFERROR(sum(FILTER('Fund Investment Data'!$V:$V, 'Fund Investment Data'!$C:$C = $C976, 'Fund Investment Data'!$A:$A = $A976,"&amp;" 'Fund Investment Data'!$B:$B &lt;= $B976)),0)"),1456367.46)</f>
        <v>1456367.46</v>
      </c>
      <c r="T976" s="93">
        <v>1348955.0</v>
      </c>
      <c r="U976" s="32">
        <f t="shared" si="3"/>
        <v>107412.46</v>
      </c>
      <c r="V976" s="32">
        <f>IFERROR(__xludf.DUMMYFUNCTION("$D976 - IFERROR(FILTER($D:$D,$C:$C = $C976, $A:$A = $A976, $B:$B = $B976 - 1),0)"),0.0)</f>
        <v>0</v>
      </c>
      <c r="W976" s="93">
        <f>IFERROR(__xludf.DUMMYFUNCTION("$E976 - IFERROR(FILTER($E:$E,$C:$C = $C976, $A:$A = $A976, $B:$B = $B976 - 1),0)"),-14000.0)</f>
        <v>-14000</v>
      </c>
      <c r="X976" s="93"/>
      <c r="Y976" s="93"/>
      <c r="Z976" s="93">
        <v>0.0</v>
      </c>
      <c r="AA976" s="93">
        <v>0.0</v>
      </c>
      <c r="AB976" s="93">
        <v>0.0</v>
      </c>
      <c r="AC976" s="93"/>
      <c r="AD976" s="93">
        <v>0.0</v>
      </c>
      <c r="AE976" s="32">
        <f t="shared" si="2"/>
        <v>-14000</v>
      </c>
      <c r="AF976" s="93">
        <v>0.0</v>
      </c>
    </row>
    <row r="977">
      <c r="A977" s="86">
        <v>2018.0</v>
      </c>
      <c r="B977" s="87">
        <v>5.0</v>
      </c>
      <c r="C977" s="88" t="s">
        <v>31</v>
      </c>
      <c r="D977" s="32"/>
      <c r="E977" s="32"/>
      <c r="F977" s="32"/>
      <c r="G977" s="93">
        <v>-477.19</v>
      </c>
      <c r="H977" s="93">
        <v>2083.96</v>
      </c>
      <c r="I977" s="32"/>
      <c r="J977" s="93">
        <v>-684.61</v>
      </c>
      <c r="K977" s="32"/>
      <c r="L977" s="32"/>
      <c r="M977" s="32"/>
      <c r="N977" s="32"/>
      <c r="O977" s="93">
        <v>190182.0</v>
      </c>
      <c r="P977" s="91">
        <f>IFERROR(__xludf.DUMMYFUNCTION("IFERROR(sum(FILTER($D:$N,$C:$C = $C977,$A:$A &lt; $A977,$B:$B = 12)),0) + sum($D977:$N977)"),190181.51000000004)</f>
        <v>190181.51</v>
      </c>
      <c r="Q977" s="92">
        <f t="shared" si="1"/>
        <v>0.49</v>
      </c>
      <c r="R977" s="91">
        <f t="array" ref="R977">IFERROR(INDEX('Fund YTD Target Values'!$1:$1000, MATCH($C977,'Fund YTD Target Values'!$A:$A,0), MATCH($A977,'Fund YTD Target Values'!$1:$1,0)),0)</f>
        <v>210555.1651</v>
      </c>
      <c r="S977" s="91">
        <f>IFERROR(__xludf.DUMMYFUNCTION("IFERROR(sum(FILTER('Fund Investment Data'!$V:$V, 'Fund Investment Data'!$C:$C = $C977, 'Fund Investment Data'!$A:$A &lt; $A977)),0) + IFERROR(sum(FILTER('Fund Investment Data'!$V:$V, 'Fund Investment Data'!$C:$C = $C977, 'Fund Investment Data'!$A:$A = $A977,"&amp;" 'Fund Investment Data'!$B:$B &lt;= $B977)),0)"),158100.0)</f>
        <v>158100</v>
      </c>
      <c r="T977" s="93">
        <v>156850.0</v>
      </c>
      <c r="U977" s="32">
        <f t="shared" si="3"/>
        <v>1250</v>
      </c>
      <c r="V977" s="32">
        <f>IFERROR(__xludf.DUMMYFUNCTION("$D977 - IFERROR(FILTER($D:$D,$C:$C = $C977, $A:$A = $A977, $B:$B = $B977 - 1),0)"),0.0)</f>
        <v>0</v>
      </c>
      <c r="W977" s="93">
        <f>IFERROR(__xludf.DUMMYFUNCTION("$E977 - IFERROR(FILTER($E:$E,$C:$C = $C977, $A:$A = $A977, $B:$B = $B977 - 1),0)"),0.0)</f>
        <v>0</v>
      </c>
      <c r="X977" s="93"/>
      <c r="Y977" s="93"/>
      <c r="Z977" s="93">
        <v>0.0</v>
      </c>
      <c r="AA977" s="93">
        <v>0.0</v>
      </c>
      <c r="AB977" s="93">
        <v>0.0</v>
      </c>
      <c r="AC977" s="93"/>
      <c r="AD977" s="93">
        <v>0.0</v>
      </c>
      <c r="AE977" s="32">
        <f t="shared" si="2"/>
        <v>0</v>
      </c>
      <c r="AF977" s="93">
        <v>0.0</v>
      </c>
    </row>
    <row r="978">
      <c r="A978" s="86">
        <v>2018.0</v>
      </c>
      <c r="B978" s="87">
        <v>5.0</v>
      </c>
      <c r="C978" s="88" t="s">
        <v>39</v>
      </c>
      <c r="D978" s="32"/>
      <c r="E978" s="32"/>
      <c r="F978" s="32"/>
      <c r="G978" s="93">
        <v>-451.2</v>
      </c>
      <c r="H978" s="93">
        <v>1848.94</v>
      </c>
      <c r="I978" s="32"/>
      <c r="J978" s="93">
        <v>-1496.63</v>
      </c>
      <c r="K978" s="32"/>
      <c r="L978" s="32"/>
      <c r="M978" s="32"/>
      <c r="N978" s="32"/>
      <c r="O978" s="93">
        <v>179624.0</v>
      </c>
      <c r="P978" s="91">
        <f>IFERROR(__xludf.DUMMYFUNCTION("IFERROR(sum(FILTER($D:$N,$C:$C = $C978,$A:$A &lt; $A978,$B:$B = 12)),0) + sum($D978:$N978)"),179624.37000000002)</f>
        <v>179624.37</v>
      </c>
      <c r="Q978" s="92">
        <f t="shared" si="1"/>
        <v>-0.37</v>
      </c>
      <c r="R978" s="91">
        <f t="array" ref="R978">IFERROR(INDEX('Fund YTD Target Values'!$1:$1000, MATCH($C978,'Fund YTD Target Values'!$A:$A,0), MATCH($A978,'Fund YTD Target Values'!$1:$1,0)),0)</f>
        <v>184883.5181</v>
      </c>
      <c r="S978" s="91">
        <f>IFERROR(__xludf.DUMMYFUNCTION("IFERROR(sum(FILTER('Fund Investment Data'!$V:$V, 'Fund Investment Data'!$C:$C = $C978, 'Fund Investment Data'!$A:$A &lt; $A978)),0) + IFERROR(sum(FILTER('Fund Investment Data'!$V:$V, 'Fund Investment Data'!$C:$C = $C978, 'Fund Investment Data'!$A:$A = $A978,"&amp;" 'Fund Investment Data'!$B:$B &lt;= $B978)),0)"),155000.0)</f>
        <v>155000</v>
      </c>
      <c r="T978" s="93">
        <v>155000.0</v>
      </c>
      <c r="U978" s="32">
        <f t="shared" si="3"/>
        <v>0</v>
      </c>
      <c r="V978" s="32">
        <f>IFERROR(__xludf.DUMMYFUNCTION("$D978 - IFERROR(FILTER($D:$D,$C:$C = $C978, $A:$A = $A978, $B:$B = $B978 - 1),0)"),0.0)</f>
        <v>0</v>
      </c>
      <c r="W978" s="93">
        <f>IFERROR(__xludf.DUMMYFUNCTION("$E978 - IFERROR(FILTER($E:$E,$C:$C = $C978, $A:$A = $A978, $B:$B = $B978 - 1),0)"),0.0)</f>
        <v>0</v>
      </c>
      <c r="X978" s="93"/>
      <c r="Y978" s="93"/>
      <c r="Z978" s="93">
        <v>0.0</v>
      </c>
      <c r="AA978" s="93">
        <v>0.0</v>
      </c>
      <c r="AB978" s="93">
        <v>0.0</v>
      </c>
      <c r="AC978" s="93"/>
      <c r="AD978" s="93">
        <v>0.0</v>
      </c>
      <c r="AE978" s="32">
        <f t="shared" si="2"/>
        <v>0</v>
      </c>
      <c r="AF978" s="93">
        <v>0.0</v>
      </c>
    </row>
    <row r="979">
      <c r="A979" s="86">
        <v>2018.0</v>
      </c>
      <c r="B979" s="87">
        <v>5.0</v>
      </c>
      <c r="C979" s="88" t="s">
        <v>50</v>
      </c>
      <c r="D979" s="32"/>
      <c r="E979" s="93">
        <v>-2000.0</v>
      </c>
      <c r="F979" s="32"/>
      <c r="G979" s="93">
        <v>-542.87</v>
      </c>
      <c r="H979" s="93">
        <v>2306.21</v>
      </c>
      <c r="I979" s="32"/>
      <c r="J979" s="93">
        <v>-785.25</v>
      </c>
      <c r="K979" s="32"/>
      <c r="L979" s="32"/>
      <c r="M979" s="32"/>
      <c r="N979" s="32"/>
      <c r="O979" s="93">
        <v>214443.0</v>
      </c>
      <c r="P979" s="91">
        <f>IFERROR(__xludf.DUMMYFUNCTION("IFERROR(sum(FILTER($D:$N,$C:$C = $C979,$A:$A &lt; $A979,$B:$B = 12)),0) + sum($D979:$N979)"),214442.19999999998)</f>
        <v>214442.2</v>
      </c>
      <c r="Q979" s="92">
        <f t="shared" si="1"/>
        <v>0.8</v>
      </c>
      <c r="R979" s="91">
        <f t="array" ref="R979">IFERROR(INDEX('Fund YTD Target Values'!$1:$1000, MATCH($C979,'Fund YTD Target Values'!$A:$A,0), MATCH($A979,'Fund YTD Target Values'!$1:$1,0)),0)</f>
        <v>217663.6749</v>
      </c>
      <c r="S979" s="91">
        <f>IFERROR(__xludf.DUMMYFUNCTION("IFERROR(sum(FILTER('Fund Investment Data'!$V:$V, 'Fund Investment Data'!$C:$C = $C979, 'Fund Investment Data'!$A:$A &lt; $A979)),0) + IFERROR(sum(FILTER('Fund Investment Data'!$V:$V, 'Fund Investment Data'!$C:$C = $C979, 'Fund Investment Data'!$A:$A = $A979,"&amp;" 'Fund Investment Data'!$B:$B &lt;= $B979)),0)"),185189.56)</f>
        <v>185189.56</v>
      </c>
      <c r="T979" s="93">
        <v>190241.0</v>
      </c>
      <c r="U979" s="32">
        <f t="shared" si="3"/>
        <v>-5051.44</v>
      </c>
      <c r="V979" s="32">
        <f>IFERROR(__xludf.DUMMYFUNCTION("$D979 - IFERROR(FILTER($D:$D,$C:$C = $C979, $A:$A = $A979, $B:$B = $B979 - 1),0)"),0.0)</f>
        <v>0</v>
      </c>
      <c r="W979" s="93">
        <f>IFERROR(__xludf.DUMMYFUNCTION("$E979 - IFERROR(FILTER($E:$E,$C:$C = $C979, $A:$A = $A979, $B:$B = $B979 - 1),0)"),-2000.0)</f>
        <v>-2000</v>
      </c>
      <c r="X979" s="93"/>
      <c r="Y979" s="93"/>
      <c r="Z979" s="93">
        <v>0.0</v>
      </c>
      <c r="AA979" s="93">
        <v>0.0</v>
      </c>
      <c r="AB979" s="93">
        <v>0.0</v>
      </c>
      <c r="AC979" s="93"/>
      <c r="AD979" s="93">
        <v>0.0</v>
      </c>
      <c r="AE979" s="32">
        <f t="shared" si="2"/>
        <v>-2000</v>
      </c>
      <c r="AF979" s="93">
        <v>0.0</v>
      </c>
    </row>
    <row r="980">
      <c r="A980" s="86">
        <v>2018.0</v>
      </c>
      <c r="B980" s="87">
        <v>5.0</v>
      </c>
      <c r="C980" s="88" t="s">
        <v>32</v>
      </c>
      <c r="D980" s="32"/>
      <c r="E980" s="32"/>
      <c r="F980" s="32"/>
      <c r="G980" s="93">
        <v>-134.67</v>
      </c>
      <c r="H980" s="93">
        <v>577.77</v>
      </c>
      <c r="I980" s="32"/>
      <c r="J980" s="93">
        <v>-192.97</v>
      </c>
      <c r="K980" s="32"/>
      <c r="L980" s="32"/>
      <c r="M980" s="32"/>
      <c r="N980" s="32"/>
      <c r="O980" s="93">
        <v>53681.0</v>
      </c>
      <c r="P980" s="91">
        <f>IFERROR(__xludf.DUMMYFUNCTION("IFERROR(sum(FILTER($D:$N,$C:$C = $C980,$A:$A &lt; $A980,$B:$B = 12)),0) + sum($D980:$N980)"),53680.950000000026)</f>
        <v>53680.95</v>
      </c>
      <c r="Q980" s="92">
        <f t="shared" si="1"/>
        <v>0.04999999997</v>
      </c>
      <c r="R980" s="91">
        <f t="array" ref="R980">IFERROR(INDEX('Fund YTD Target Values'!$1:$1000, MATCH($C980,'Fund YTD Target Values'!$A:$A,0), MATCH($A980,'Fund YTD Target Values'!$1:$1,0)),0)</f>
        <v>79179.11465</v>
      </c>
      <c r="S980" s="91">
        <f>IFERROR(__xludf.DUMMYFUNCTION("IFERROR(sum(FILTER('Fund Investment Data'!$V:$V, 'Fund Investment Data'!$C:$C = $C980, 'Fund Investment Data'!$A:$A &lt; $A980)),0) + IFERROR(sum(FILTER('Fund Investment Data'!$V:$V, 'Fund Investment Data'!$C:$C = $C980, 'Fund Investment Data'!$A:$A = $A980,"&amp;" 'Fund Investment Data'!$B:$B &lt;= $B980)),0)"),49449.04)</f>
        <v>49449.04</v>
      </c>
      <c r="T980" s="93">
        <v>39268.0</v>
      </c>
      <c r="U980" s="32">
        <f t="shared" si="3"/>
        <v>10181.04</v>
      </c>
      <c r="V980" s="32">
        <f>IFERROR(__xludf.DUMMYFUNCTION("$D980 - IFERROR(FILTER($D:$D,$C:$C = $C980, $A:$A = $A980, $B:$B = $B980 - 1),0)"),0.0)</f>
        <v>0</v>
      </c>
      <c r="W980" s="93">
        <f>IFERROR(__xludf.DUMMYFUNCTION("$E980 - IFERROR(FILTER($E:$E,$C:$C = $C980, $A:$A = $A980, $B:$B = $B980 - 1),0)"),0.0)</f>
        <v>0</v>
      </c>
      <c r="X980" s="93"/>
      <c r="Y980" s="93"/>
      <c r="Z980" s="93">
        <v>0.0</v>
      </c>
      <c r="AA980" s="93">
        <v>0.0</v>
      </c>
      <c r="AB980" s="93">
        <v>0.0</v>
      </c>
      <c r="AC980" s="93"/>
      <c r="AD980" s="93">
        <v>0.0</v>
      </c>
      <c r="AE980" s="32">
        <f t="shared" si="2"/>
        <v>0</v>
      </c>
      <c r="AF980" s="93">
        <v>0.0</v>
      </c>
    </row>
    <row r="981">
      <c r="A981" s="86">
        <v>2018.0</v>
      </c>
      <c r="B981" s="87">
        <v>5.0</v>
      </c>
      <c r="C981" s="88" t="s">
        <v>40</v>
      </c>
      <c r="D981" s="32"/>
      <c r="E981" s="32"/>
      <c r="F981" s="32"/>
      <c r="G981" s="93">
        <v>-390.33</v>
      </c>
      <c r="H981" s="93">
        <v>1704.64</v>
      </c>
      <c r="I981" s="32"/>
      <c r="J981" s="93">
        <v>-560.01</v>
      </c>
      <c r="K981" s="32"/>
      <c r="L981" s="32"/>
      <c r="M981" s="32"/>
      <c r="N981" s="32"/>
      <c r="O981" s="93">
        <v>155567.0</v>
      </c>
      <c r="P981" s="91">
        <f>IFERROR(__xludf.DUMMYFUNCTION("IFERROR(sum(FILTER($D:$N,$C:$C = $C981,$A:$A &lt; $A981,$B:$B = 12)),0) + sum($D981:$N981)"),155567.00999999992)</f>
        <v>155567.01</v>
      </c>
      <c r="Q981" s="92">
        <f t="shared" si="1"/>
        <v>-0.009999999922</v>
      </c>
      <c r="R981" s="91">
        <f t="array" ref="R981">IFERROR(INDEX('Fund YTD Target Values'!$1:$1000, MATCH($C981,'Fund YTD Target Values'!$A:$A,0), MATCH($A981,'Fund YTD Target Values'!$1:$1,0)),0)</f>
        <v>161362.9699</v>
      </c>
      <c r="S981" s="91">
        <f>IFERROR(__xludf.DUMMYFUNCTION("IFERROR(sum(FILTER('Fund Investment Data'!$V:$V, 'Fund Investment Data'!$C:$C = $C981, 'Fund Investment Data'!$A:$A &lt; $A981)),0) + IFERROR(sum(FILTER('Fund Investment Data'!$V:$V, 'Fund Investment Data'!$C:$C = $C981, 'Fund Investment Data'!$A:$A = $A981,"&amp;" 'Fund Investment Data'!$B:$B &lt;= $B981)),0)"),129703.74)</f>
        <v>129703.74</v>
      </c>
      <c r="T981" s="93">
        <v>129723.0</v>
      </c>
      <c r="U981" s="32">
        <f t="shared" si="3"/>
        <v>-19.26</v>
      </c>
      <c r="V981" s="32">
        <f>IFERROR(__xludf.DUMMYFUNCTION("$D981 - IFERROR(FILTER($D:$D,$C:$C = $C981, $A:$A = $A981, $B:$B = $B981 - 1),0)"),0.0)</f>
        <v>0</v>
      </c>
      <c r="W981" s="93">
        <f>IFERROR(__xludf.DUMMYFUNCTION("$E981 - IFERROR(FILTER($E:$E,$C:$C = $C981, $A:$A = $A981, $B:$B = $B981 - 1),0)"),0.0)</f>
        <v>0</v>
      </c>
      <c r="X981" s="93"/>
      <c r="Y981" s="93"/>
      <c r="Z981" s="93">
        <v>0.0</v>
      </c>
      <c r="AA981" s="93">
        <v>0.0</v>
      </c>
      <c r="AB981" s="93">
        <v>0.0</v>
      </c>
      <c r="AC981" s="93"/>
      <c r="AD981" s="93">
        <v>0.0</v>
      </c>
      <c r="AE981" s="32">
        <f t="shared" si="2"/>
        <v>0</v>
      </c>
      <c r="AF981" s="93">
        <v>0.0</v>
      </c>
    </row>
    <row r="982">
      <c r="A982" s="86">
        <v>2018.0</v>
      </c>
      <c r="B982" s="87">
        <v>5.0</v>
      </c>
      <c r="C982" s="88" t="s">
        <v>51</v>
      </c>
      <c r="D982" s="93">
        <v>150.0</v>
      </c>
      <c r="E982" s="93">
        <v>-10000.0</v>
      </c>
      <c r="F982" s="93"/>
      <c r="G982" s="93">
        <v>-1223.7</v>
      </c>
      <c r="H982" s="93">
        <v>5306.03</v>
      </c>
      <c r="I982" s="32"/>
      <c r="J982" s="93">
        <v>-1731.28</v>
      </c>
      <c r="K982" s="32"/>
      <c r="L982" s="32"/>
      <c r="M982" s="32"/>
      <c r="N982" s="32"/>
      <c r="O982" s="93">
        <v>477853.0</v>
      </c>
      <c r="P982" s="91">
        <f>IFERROR(__xludf.DUMMYFUNCTION("IFERROR(sum(FILTER($D:$N,$C:$C = $C982,$A:$A &lt; $A982,$B:$B = 12)),0) + sum($D982:$N982)"),477852.98000000004)</f>
        <v>477852.98</v>
      </c>
      <c r="Q982" s="92">
        <f t="shared" si="1"/>
        <v>0.01999999996</v>
      </c>
      <c r="R982" s="91">
        <f t="array" ref="R982">IFERROR(INDEX('Fund YTD Target Values'!$1:$1000, MATCH($C982,'Fund YTD Target Values'!$A:$A,0), MATCH($A982,'Fund YTD Target Values'!$1:$1,0)),0)</f>
        <v>451180.3592</v>
      </c>
      <c r="S982" s="91">
        <f>IFERROR(__xludf.DUMMYFUNCTION("IFERROR(sum(FILTER('Fund Investment Data'!$V:$V, 'Fund Investment Data'!$C:$C = $C982, 'Fund Investment Data'!$A:$A &lt; $A982)),0) + IFERROR(sum(FILTER('Fund Investment Data'!$V:$V, 'Fund Investment Data'!$C:$C = $C982, 'Fund Investment Data'!$A:$A = $A982,"&amp;" 'Fund Investment Data'!$B:$B &lt;= $B982)),0)"),416573.55)</f>
        <v>416573.55</v>
      </c>
      <c r="T982" s="93">
        <v>419027.0</v>
      </c>
      <c r="U982" s="32">
        <f t="shared" si="3"/>
        <v>-2453.45</v>
      </c>
      <c r="V982" s="32">
        <f>IFERROR(__xludf.DUMMYFUNCTION("$D982 - IFERROR(FILTER($D:$D,$C:$C = $C982, $A:$A = $A982, $B:$B = $B982 - 1),0)"),0.0)</f>
        <v>0</v>
      </c>
      <c r="W982" s="93">
        <f>IFERROR(__xludf.DUMMYFUNCTION("$E982 - IFERROR(FILTER($E:$E,$C:$C = $C982, $A:$A = $A982, $B:$B = $B982 - 1),0)"),-10000.0)</f>
        <v>-10000</v>
      </c>
      <c r="X982" s="93"/>
      <c r="Y982" s="93"/>
      <c r="Z982" s="93">
        <v>0.0</v>
      </c>
      <c r="AA982" s="93">
        <v>0.0</v>
      </c>
      <c r="AB982" s="93">
        <v>0.0</v>
      </c>
      <c r="AC982" s="93"/>
      <c r="AD982" s="93">
        <v>0.0</v>
      </c>
      <c r="AE982" s="32">
        <f t="shared" si="2"/>
        <v>-10000</v>
      </c>
      <c r="AF982" s="93">
        <v>0.0</v>
      </c>
    </row>
    <row r="983">
      <c r="A983" s="86">
        <v>2018.0</v>
      </c>
      <c r="B983" s="87">
        <v>5.0</v>
      </c>
      <c r="C983" s="88" t="s">
        <v>48</v>
      </c>
      <c r="D983" s="32"/>
      <c r="E983" s="93">
        <v>-10000.0</v>
      </c>
      <c r="F983" s="32"/>
      <c r="G983" s="93">
        <v>-3148.17</v>
      </c>
      <c r="H983" s="93">
        <v>13748.87</v>
      </c>
      <c r="I983" s="32"/>
      <c r="J983" s="93">
        <v>-4516.74</v>
      </c>
      <c r="K983" s="32"/>
      <c r="L983" s="32"/>
      <c r="M983" s="32"/>
      <c r="N983" s="32"/>
      <c r="O983" s="93">
        <v>1244727.0</v>
      </c>
      <c r="P983" s="91">
        <f>IFERROR(__xludf.DUMMYFUNCTION("IFERROR(sum(FILTER($D:$N,$C:$C = $C983,$A:$A &lt; $A983,$B:$B = 12)),0) + sum($D983:$N983)"),1244725.6299999997)</f>
        <v>1244725.63</v>
      </c>
      <c r="Q983" s="92">
        <f t="shared" si="1"/>
        <v>1.37</v>
      </c>
      <c r="R983" s="91">
        <f t="array" ref="R983">IFERROR(INDEX('Fund YTD Target Values'!$1:$1000, MATCH($C983,'Fund YTD Target Values'!$A:$A,0), MATCH($A983,'Fund YTD Target Values'!$1:$1,0)),0)</f>
        <v>1896274.236</v>
      </c>
      <c r="S983" s="91">
        <f>IFERROR(__xludf.DUMMYFUNCTION("IFERROR(sum(FILTER('Fund Investment Data'!$V:$V, 'Fund Investment Data'!$C:$C = $C983, 'Fund Investment Data'!$A:$A &lt; $A983)),0) + IFERROR(sum(FILTER('Fund Investment Data'!$V:$V, 'Fund Investment Data'!$C:$C = $C983, 'Fund Investment Data'!$A:$A = $A983,"&amp;" 'Fund Investment Data'!$B:$B &lt;= $B983)),0)"),1183929.39)</f>
        <v>1183929.39</v>
      </c>
      <c r="T983" s="93">
        <v>1140040.0</v>
      </c>
      <c r="U983" s="32">
        <f t="shared" si="3"/>
        <v>43889.39</v>
      </c>
      <c r="V983" s="32">
        <f>IFERROR(__xludf.DUMMYFUNCTION("$D983 - IFERROR(FILTER($D:$D,$C:$C = $C983, $A:$A = $A983, $B:$B = $B983 - 1),0)"),0.0)</f>
        <v>0</v>
      </c>
      <c r="W983" s="93">
        <f>IFERROR(__xludf.DUMMYFUNCTION("$E983 - IFERROR(FILTER($E:$E,$C:$C = $C983, $A:$A = $A983, $B:$B = $B983 - 1),0)"),-10000.0)</f>
        <v>-10000</v>
      </c>
      <c r="X983" s="93"/>
      <c r="Y983" s="93"/>
      <c r="Z983" s="93">
        <v>0.0</v>
      </c>
      <c r="AA983" s="93">
        <v>0.0</v>
      </c>
      <c r="AB983" s="93">
        <v>0.0</v>
      </c>
      <c r="AC983" s="93"/>
      <c r="AD983" s="93">
        <v>0.0</v>
      </c>
      <c r="AE983" s="32">
        <f t="shared" si="2"/>
        <v>-10000</v>
      </c>
      <c r="AF983" s="93">
        <v>0.0</v>
      </c>
    </row>
    <row r="984">
      <c r="A984" s="86">
        <v>2018.0</v>
      </c>
      <c r="B984" s="87">
        <v>5.0</v>
      </c>
      <c r="C984" s="88" t="s">
        <v>49</v>
      </c>
      <c r="D984" s="32"/>
      <c r="E984" s="93">
        <v>-5000.0</v>
      </c>
      <c r="F984" s="32"/>
      <c r="G984" s="93">
        <v>-1380.94</v>
      </c>
      <c r="H984" s="93">
        <v>6030.9</v>
      </c>
      <c r="I984" s="32"/>
      <c r="J984" s="93">
        <v>-1981.25</v>
      </c>
      <c r="K984" s="32"/>
      <c r="L984" s="32"/>
      <c r="M984" s="32"/>
      <c r="N984" s="32"/>
      <c r="O984" s="93">
        <v>545382.0</v>
      </c>
      <c r="P984" s="91">
        <f>IFERROR(__xludf.DUMMYFUNCTION("IFERROR(sum(FILTER($D:$N,$C:$C = $C984,$A:$A &lt; $A984,$B:$B = 12)),0) + sum($D984:$N984)"),545381.8499999999)</f>
        <v>545381.85</v>
      </c>
      <c r="Q984" s="92">
        <f t="shared" si="1"/>
        <v>0.1500000001</v>
      </c>
      <c r="R984" s="91">
        <f t="array" ref="R984">IFERROR(INDEX('Fund YTD Target Values'!$1:$1000, MATCH($C984,'Fund YTD Target Values'!$A:$A,0), MATCH($A984,'Fund YTD Target Values'!$1:$1,0)),0)</f>
        <v>701383.2727</v>
      </c>
      <c r="S984" s="91">
        <f>IFERROR(__xludf.DUMMYFUNCTION("IFERROR(sum(FILTER('Fund Investment Data'!$V:$V, 'Fund Investment Data'!$C:$C = $C984, 'Fund Investment Data'!$A:$A &lt; $A984)),0) + IFERROR(sum(FILTER('Fund Investment Data'!$V:$V, 'Fund Investment Data'!$C:$C = $C984, 'Fund Investment Data'!$A:$A = $A984,"&amp;" 'Fund Investment Data'!$B:$B &lt;= $B984)),0)"),500000.0)</f>
        <v>500000</v>
      </c>
      <c r="T984" s="93">
        <v>500000.0</v>
      </c>
      <c r="U984" s="32">
        <f t="shared" si="3"/>
        <v>0</v>
      </c>
      <c r="V984" s="32">
        <f>IFERROR(__xludf.DUMMYFUNCTION("$D984 - IFERROR(FILTER($D:$D,$C:$C = $C984, $A:$A = $A984, $B:$B = $B984 - 1),0)"),0.0)</f>
        <v>0</v>
      </c>
      <c r="W984" s="93">
        <f>IFERROR(__xludf.DUMMYFUNCTION("$E984 - IFERROR(FILTER($E:$E,$C:$C = $C984, $A:$A = $A984, $B:$B = $B984 - 1),0)"),-5000.0)</f>
        <v>-5000</v>
      </c>
      <c r="X984" s="93"/>
      <c r="Y984" s="93"/>
      <c r="Z984" s="93">
        <v>0.0</v>
      </c>
      <c r="AA984" s="93">
        <v>0.0</v>
      </c>
      <c r="AB984" s="93">
        <v>0.0</v>
      </c>
      <c r="AC984" s="93"/>
      <c r="AD984" s="93">
        <v>0.0</v>
      </c>
      <c r="AE984" s="32">
        <f t="shared" si="2"/>
        <v>-5000</v>
      </c>
      <c r="AF984" s="93">
        <v>0.0</v>
      </c>
    </row>
    <row r="985">
      <c r="A985" s="86">
        <v>2018.0</v>
      </c>
      <c r="B985" s="87">
        <v>5.0</v>
      </c>
      <c r="C985" s="88" t="s">
        <v>41</v>
      </c>
      <c r="D985" s="32"/>
      <c r="E985" s="32"/>
      <c r="F985" s="32"/>
      <c r="G985" s="93">
        <v>-1646.69</v>
      </c>
      <c r="H985" s="93">
        <v>7191.52</v>
      </c>
      <c r="I985" s="32"/>
      <c r="J985" s="93">
        <v>-2362.54</v>
      </c>
      <c r="K985" s="32"/>
      <c r="L985" s="32"/>
      <c r="M985" s="32"/>
      <c r="N985" s="32"/>
      <c r="O985" s="93">
        <v>656301.0</v>
      </c>
      <c r="P985" s="91">
        <f>IFERROR(__xludf.DUMMYFUNCTION("IFERROR(sum(FILTER($D:$N,$C:$C = $C985,$A:$A &lt; $A985,$B:$B = 12)),0) + sum($D985:$N985)"),656301.6400000001)</f>
        <v>656301.64</v>
      </c>
      <c r="Q985" s="92">
        <f t="shared" si="1"/>
        <v>-0.6400000001</v>
      </c>
      <c r="R985" s="91">
        <f t="array" ref="R985">IFERROR(INDEX('Fund YTD Target Values'!$1:$1000, MATCH($C985,'Fund YTD Target Values'!$A:$A,0), MATCH($A985,'Fund YTD Target Values'!$1:$1,0)),0)</f>
        <v>587968.3276</v>
      </c>
      <c r="S985" s="91">
        <f>IFERROR(__xludf.DUMMYFUNCTION("IFERROR(sum(FILTER('Fund Investment Data'!$V:$V, 'Fund Investment Data'!$C:$C = $C985, 'Fund Investment Data'!$A:$A &lt; $A985)),0) + IFERROR(sum(FILTER('Fund Investment Data'!$V:$V, 'Fund Investment Data'!$C:$C = $C985, 'Fund Investment Data'!$A:$A = $A985,"&amp;" 'Fund Investment Data'!$B:$B &lt;= $B985)),0)"),433755.86)</f>
        <v>433755.86</v>
      </c>
      <c r="T985" s="93">
        <v>434291.0</v>
      </c>
      <c r="U985" s="32">
        <f t="shared" si="3"/>
        <v>-535.14</v>
      </c>
      <c r="V985" s="32">
        <f>IFERROR(__xludf.DUMMYFUNCTION("$D985 - IFERROR(FILTER($D:$D,$C:$C = $C985, $A:$A = $A985, $B:$B = $B985 - 1),0)"),0.0)</f>
        <v>0</v>
      </c>
      <c r="W985" s="93">
        <f>IFERROR(__xludf.DUMMYFUNCTION("$E985 - IFERROR(FILTER($E:$E,$C:$C = $C985, $A:$A = $A985, $B:$B = $B985 - 1),0)"),0.0)</f>
        <v>0</v>
      </c>
      <c r="X985" s="93"/>
      <c r="Y985" s="93"/>
      <c r="Z985" s="93">
        <v>0.0</v>
      </c>
      <c r="AA985" s="93">
        <v>0.0</v>
      </c>
      <c r="AB985" s="93">
        <v>0.0</v>
      </c>
      <c r="AC985" s="93"/>
      <c r="AD985" s="93">
        <v>0.0</v>
      </c>
      <c r="AE985" s="32">
        <f t="shared" si="2"/>
        <v>0</v>
      </c>
      <c r="AF985" s="93">
        <v>0.0</v>
      </c>
    </row>
    <row r="986">
      <c r="A986" s="86">
        <v>2018.0</v>
      </c>
      <c r="B986" s="87">
        <v>5.0</v>
      </c>
      <c r="C986" s="88" t="s">
        <v>25</v>
      </c>
      <c r="D986" s="32"/>
      <c r="E986" s="32"/>
      <c r="F986" s="32"/>
      <c r="G986" s="93">
        <v>-254.82</v>
      </c>
      <c r="H986" s="93">
        <v>1112.85</v>
      </c>
      <c r="I986" s="32"/>
      <c r="J986" s="93">
        <v>-365.59</v>
      </c>
      <c r="K986" s="32"/>
      <c r="L986" s="32"/>
      <c r="M986" s="32"/>
      <c r="N986" s="32"/>
      <c r="O986" s="93">
        <v>101559.0</v>
      </c>
      <c r="P986" s="91">
        <f>IFERROR(__xludf.DUMMYFUNCTION("IFERROR(sum(FILTER($D:$N,$C:$C = $C986,$A:$A &lt; $A986,$B:$B = 12)),0) + sum($D986:$N986)"),101558.77)</f>
        <v>101558.77</v>
      </c>
      <c r="Q986" s="92">
        <f t="shared" si="1"/>
        <v>0.23</v>
      </c>
      <c r="R986" s="91">
        <f t="array" ref="R986">IFERROR(INDEX('Fund YTD Target Values'!$1:$1000, MATCH($C986,'Fund YTD Target Values'!$A:$A,0), MATCH($A986,'Fund YTD Target Values'!$1:$1,0)),0)</f>
        <v>109175.2469</v>
      </c>
      <c r="S986" s="91">
        <f>IFERROR(__xludf.DUMMYFUNCTION("IFERROR(sum(FILTER('Fund Investment Data'!$V:$V, 'Fund Investment Data'!$C:$C = $C986, 'Fund Investment Data'!$A:$A &lt; $A986)),0) + IFERROR(sum(FILTER('Fund Investment Data'!$V:$V, 'Fund Investment Data'!$C:$C = $C986, 'Fund Investment Data'!$A:$A = $A986,"&amp;" 'Fund Investment Data'!$B:$B &lt;= $B986)),0)"),81000.0)</f>
        <v>81000</v>
      </c>
      <c r="T986" s="93">
        <v>81000.0</v>
      </c>
      <c r="U986" s="32">
        <f t="shared" si="3"/>
        <v>0</v>
      </c>
      <c r="V986" s="32">
        <f>IFERROR(__xludf.DUMMYFUNCTION("$D986 - IFERROR(FILTER($D:$D,$C:$C = $C986, $A:$A = $A986, $B:$B = $B986 - 1),0)"),0.0)</f>
        <v>0</v>
      </c>
      <c r="W986" s="93">
        <f>IFERROR(__xludf.DUMMYFUNCTION("$E986 - IFERROR(FILTER($E:$E,$C:$C = $C986, $A:$A = $A986, $B:$B = $B986 - 1),0)"),0.0)</f>
        <v>0</v>
      </c>
      <c r="X986" s="93"/>
      <c r="Y986" s="93"/>
      <c r="Z986" s="93">
        <v>0.0</v>
      </c>
      <c r="AA986" s="93">
        <v>0.0</v>
      </c>
      <c r="AB986" s="93">
        <v>0.0</v>
      </c>
      <c r="AC986" s="93"/>
      <c r="AD986" s="93">
        <v>0.0</v>
      </c>
      <c r="AE986" s="32">
        <f t="shared" si="2"/>
        <v>0</v>
      </c>
      <c r="AF986" s="93">
        <v>0.0</v>
      </c>
    </row>
    <row r="987">
      <c r="A987" s="86">
        <v>2018.0</v>
      </c>
      <c r="B987" s="87">
        <v>5.0</v>
      </c>
      <c r="C987" s="88" t="s">
        <v>42</v>
      </c>
      <c r="D987" s="32"/>
      <c r="E987" s="32"/>
      <c r="F987" s="32"/>
      <c r="G987" s="93">
        <v>-754.93</v>
      </c>
      <c r="H987" s="93">
        <v>3277.94</v>
      </c>
      <c r="I987" s="32"/>
      <c r="J987" s="93">
        <v>-1070.94</v>
      </c>
      <c r="K987" s="32"/>
      <c r="L987" s="32"/>
      <c r="M987" s="32"/>
      <c r="N987" s="32"/>
      <c r="O987" s="93">
        <v>300900.0</v>
      </c>
      <c r="P987" s="91">
        <f>IFERROR(__xludf.DUMMYFUNCTION("IFERROR(sum(FILTER($D:$N,$C:$C = $C987,$A:$A &lt; $A987,$B:$B = 12)),0) + sum($D987:$N987)"),300899.83000000013)</f>
        <v>300899.83</v>
      </c>
      <c r="Q987" s="92">
        <f t="shared" si="1"/>
        <v>0.1699999999</v>
      </c>
      <c r="R987" s="91">
        <f t="array" ref="R987">IFERROR(INDEX('Fund YTD Target Values'!$1:$1000, MATCH($C987,'Fund YTD Target Values'!$A:$A,0), MATCH($A987,'Fund YTD Target Values'!$1:$1,0)),0)</f>
        <v>240185.7184</v>
      </c>
      <c r="S987" s="91">
        <f>IFERROR(__xludf.DUMMYFUNCTION("IFERROR(sum(FILTER('Fund Investment Data'!$V:$V, 'Fund Investment Data'!$C:$C = $C987, 'Fund Investment Data'!$A:$A &lt; $A987)),0) + IFERROR(sum(FILTER('Fund Investment Data'!$V:$V, 'Fund Investment Data'!$C:$C = $C987, 'Fund Investment Data'!$A:$A = $A987,"&amp;" 'Fund Investment Data'!$B:$B &lt;= $B987)),0)"),194469.0)</f>
        <v>194469</v>
      </c>
      <c r="T987" s="93">
        <v>194469.0</v>
      </c>
      <c r="U987" s="32">
        <f t="shared" si="3"/>
        <v>0</v>
      </c>
      <c r="V987" s="32">
        <f>IFERROR(__xludf.DUMMYFUNCTION("$D987 - IFERROR(FILTER($D:$D,$C:$C = $C987, $A:$A = $A987, $B:$B = $B987 - 1),0)"),0.0)</f>
        <v>0</v>
      </c>
      <c r="W987" s="93">
        <f>IFERROR(__xludf.DUMMYFUNCTION("$E987 - IFERROR(FILTER($E:$E,$C:$C = $C987, $A:$A = $A987, $B:$B = $B987 - 1),0)"),0.0)</f>
        <v>0</v>
      </c>
      <c r="X987" s="93"/>
      <c r="Y987" s="93"/>
      <c r="Z987" s="93">
        <v>0.0</v>
      </c>
      <c r="AA987" s="93">
        <v>0.0</v>
      </c>
      <c r="AB987" s="93">
        <v>0.0</v>
      </c>
      <c r="AC987" s="93"/>
      <c r="AD987" s="93">
        <v>0.0</v>
      </c>
      <c r="AE987" s="32">
        <f t="shared" si="2"/>
        <v>0</v>
      </c>
      <c r="AF987" s="93">
        <v>0.0</v>
      </c>
    </row>
    <row r="988">
      <c r="A988" s="86">
        <v>2018.0</v>
      </c>
      <c r="B988" s="87">
        <v>5.0</v>
      </c>
      <c r="C988" s="88" t="s">
        <v>43</v>
      </c>
      <c r="D988" s="32"/>
      <c r="E988" s="32"/>
      <c r="F988" s="32"/>
      <c r="G988" s="93">
        <v>-316.44</v>
      </c>
      <c r="H988" s="93">
        <v>1382.02</v>
      </c>
      <c r="I988" s="32"/>
      <c r="J988" s="93">
        <v>-454.02</v>
      </c>
      <c r="K988" s="32"/>
      <c r="L988" s="32"/>
      <c r="M988" s="32"/>
      <c r="N988" s="32"/>
      <c r="O988" s="93">
        <v>126125.0</v>
      </c>
      <c r="P988" s="91">
        <f>IFERROR(__xludf.DUMMYFUNCTION("IFERROR(sum(FILTER($D:$N,$C:$C = $C988,$A:$A &lt; $A988,$B:$B = 12)),0) + sum($D988:$N988)"),126124.11000000002)</f>
        <v>126124.11</v>
      </c>
      <c r="Q988" s="92">
        <f t="shared" si="1"/>
        <v>0.89</v>
      </c>
      <c r="R988" s="91">
        <f t="array" ref="R988">IFERROR(INDEX('Fund YTD Target Values'!$1:$1000, MATCH($C988,'Fund YTD Target Values'!$A:$A,0), MATCH($A988,'Fund YTD Target Values'!$1:$1,0)),0)</f>
        <v>130697.0954</v>
      </c>
      <c r="S988" s="91">
        <f>IFERROR(__xludf.DUMMYFUNCTION("IFERROR(sum(FILTER('Fund Investment Data'!$V:$V, 'Fund Investment Data'!$C:$C = $C988, 'Fund Investment Data'!$A:$A &lt; $A988)),0) + IFERROR(sum(FILTER('Fund Investment Data'!$V:$V, 'Fund Investment Data'!$C:$C = $C988, 'Fund Investment Data'!$A:$A = $A988,"&amp;" 'Fund Investment Data'!$B:$B &lt;= $B988)),0)"),100000.0)</f>
        <v>100000</v>
      </c>
      <c r="T988" s="93">
        <v>100000.0</v>
      </c>
      <c r="U988" s="32">
        <f t="shared" si="3"/>
        <v>0</v>
      </c>
      <c r="V988" s="32">
        <f>IFERROR(__xludf.DUMMYFUNCTION("$D988 - IFERROR(FILTER($D:$D,$C:$C = $C988, $A:$A = $A988, $B:$B = $B988 - 1),0)"),0.0)</f>
        <v>0</v>
      </c>
      <c r="W988" s="93">
        <f>IFERROR(__xludf.DUMMYFUNCTION("$E988 - IFERROR(FILTER($E:$E,$C:$C = $C988, $A:$A = $A988, $B:$B = $B988 - 1),0)"),0.0)</f>
        <v>0</v>
      </c>
      <c r="X988" s="93"/>
      <c r="Y988" s="93"/>
      <c r="Z988" s="93">
        <v>0.0</v>
      </c>
      <c r="AA988" s="93">
        <v>0.0</v>
      </c>
      <c r="AB988" s="93">
        <v>0.0</v>
      </c>
      <c r="AC988" s="93"/>
      <c r="AD988" s="93">
        <v>0.0</v>
      </c>
      <c r="AE988" s="32">
        <f t="shared" si="2"/>
        <v>0</v>
      </c>
      <c r="AF988" s="93">
        <v>0.0</v>
      </c>
    </row>
    <row r="989">
      <c r="A989" s="86">
        <v>2018.0</v>
      </c>
      <c r="B989" s="87">
        <v>5.0</v>
      </c>
      <c r="C989" s="88" t="s">
        <v>52</v>
      </c>
      <c r="D989" s="93">
        <v>75000.0</v>
      </c>
      <c r="E989" s="93">
        <v>-6000.0</v>
      </c>
      <c r="F989" s="32"/>
      <c r="G989" s="93">
        <v>-3192.89</v>
      </c>
      <c r="H989" s="93">
        <v>13062.42</v>
      </c>
      <c r="I989" s="32"/>
      <c r="J989" s="93">
        <v>-4537.59</v>
      </c>
      <c r="K989" s="32"/>
      <c r="L989" s="32"/>
      <c r="M989" s="32"/>
      <c r="N989" s="32"/>
      <c r="O989" s="93">
        <v>1238788.0</v>
      </c>
      <c r="P989" s="91">
        <f>IFERROR(__xludf.DUMMYFUNCTION("IFERROR(sum(FILTER($D:$N,$C:$C = $C989,$A:$A &lt; $A989,$B:$B = 12)),0) + sum($D989:$N989)"),1238788.0699999998)</f>
        <v>1238788.07</v>
      </c>
      <c r="Q989" s="92">
        <f t="shared" si="1"/>
        <v>-0.06999999983</v>
      </c>
      <c r="R989" s="91">
        <f t="array" ref="R989">IFERROR(INDEX('Fund YTD Target Values'!$1:$1000, MATCH($C989,'Fund YTD Target Values'!$A:$A,0), MATCH($A989,'Fund YTD Target Values'!$1:$1,0)),0)</f>
        <v>1148979.378</v>
      </c>
      <c r="S989" s="91">
        <f>IFERROR(__xludf.DUMMYFUNCTION("IFERROR(sum(FILTER('Fund Investment Data'!$V:$V, 'Fund Investment Data'!$C:$C = $C989, 'Fund Investment Data'!$A:$A &lt; $A989)),0) + IFERROR(sum(FILTER('Fund Investment Data'!$V:$V, 'Fund Investment Data'!$C:$C = $C989, 'Fund Investment Data'!$A:$A = $A989,"&amp;" 'Fund Investment Data'!$B:$B &lt;= $B989)),0)"),1080136.0)</f>
        <v>1080136</v>
      </c>
      <c r="T989" s="93">
        <v>1079091.0</v>
      </c>
      <c r="U989" s="32">
        <f t="shared" si="3"/>
        <v>1045</v>
      </c>
      <c r="V989" s="32">
        <f>IFERROR(__xludf.DUMMYFUNCTION("$D989 - IFERROR(FILTER($D:$D,$C:$C = $C989, $A:$A = $A989, $B:$B = $B989 - 1),0)"),0.0)</f>
        <v>0</v>
      </c>
      <c r="W989" s="93">
        <f>IFERROR(__xludf.DUMMYFUNCTION("$E989 - IFERROR(FILTER($E:$E,$C:$C = $C989, $A:$A = $A989, $B:$B = $B989 - 1),0)"),-6000.0)</f>
        <v>-6000</v>
      </c>
      <c r="X989" s="93"/>
      <c r="Y989" s="93"/>
      <c r="Z989" s="93">
        <v>0.0</v>
      </c>
      <c r="AA989" s="93">
        <v>0.0</v>
      </c>
      <c r="AB989" s="93">
        <v>0.0</v>
      </c>
      <c r="AC989" s="93"/>
      <c r="AD989" s="93">
        <v>0.0</v>
      </c>
      <c r="AE989" s="32">
        <f t="shared" si="2"/>
        <v>-6000</v>
      </c>
      <c r="AF989" s="93">
        <v>0.0</v>
      </c>
    </row>
    <row r="990">
      <c r="A990" s="86">
        <v>2018.0</v>
      </c>
      <c r="B990" s="87">
        <v>5.0</v>
      </c>
      <c r="C990" s="88" t="s">
        <v>33</v>
      </c>
      <c r="D990" s="32"/>
      <c r="E990" s="32"/>
      <c r="F990" s="32"/>
      <c r="G990" s="93">
        <v>-900.29</v>
      </c>
      <c r="H990" s="93">
        <v>3931.77</v>
      </c>
      <c r="I990" s="32"/>
      <c r="J990" s="93">
        <v>-1291.66</v>
      </c>
      <c r="K990" s="32"/>
      <c r="L990" s="32"/>
      <c r="M990" s="32"/>
      <c r="N990" s="32"/>
      <c r="O990" s="93">
        <v>358817.0</v>
      </c>
      <c r="P990" s="91">
        <f>IFERROR(__xludf.DUMMYFUNCTION("IFERROR(sum(FILTER($D:$N,$C:$C = $C990,$A:$A &lt; $A990,$B:$B = 12)),0) + sum($D990:$N990)"),358817.26999999984)</f>
        <v>358817.27</v>
      </c>
      <c r="Q990" s="92">
        <f t="shared" si="1"/>
        <v>-0.2699999998</v>
      </c>
      <c r="R990" s="91">
        <f t="array" ref="R990">IFERROR(INDEX('Fund YTD Target Values'!$1:$1000, MATCH($C990,'Fund YTD Target Values'!$A:$A,0), MATCH($A990,'Fund YTD Target Values'!$1:$1,0)),0)</f>
        <v>512928.5668</v>
      </c>
      <c r="S990" s="91">
        <f>IFERROR(__xludf.DUMMYFUNCTION("IFERROR(sum(FILTER('Fund Investment Data'!$V:$V, 'Fund Investment Data'!$C:$C = $C990, 'Fund Investment Data'!$A:$A &lt; $A990)),0) + IFERROR(sum(FILTER('Fund Investment Data'!$V:$V, 'Fund Investment Data'!$C:$C = $C990, 'Fund Investment Data'!$A:$A = $A990,"&amp;" 'Fund Investment Data'!$B:$B &lt;= $B990)),0)"),325871.6399999999)</f>
        <v>325871.64</v>
      </c>
      <c r="T990" s="93">
        <v>326032.0</v>
      </c>
      <c r="U990" s="32">
        <f t="shared" si="3"/>
        <v>-160.36</v>
      </c>
      <c r="V990" s="32">
        <f>IFERROR(__xludf.DUMMYFUNCTION("$D990 - IFERROR(FILTER($D:$D,$C:$C = $C990, $A:$A = $A990, $B:$B = $B990 - 1),0)"),0.0)</f>
        <v>0</v>
      </c>
      <c r="W990" s="93">
        <f>IFERROR(__xludf.DUMMYFUNCTION("$E990 - IFERROR(FILTER($E:$E,$C:$C = $C990, $A:$A = $A990, $B:$B = $B990 - 1),0)"),0.0)</f>
        <v>0</v>
      </c>
      <c r="X990" s="93"/>
      <c r="Y990" s="93"/>
      <c r="Z990" s="93">
        <v>0.0</v>
      </c>
      <c r="AA990" s="93">
        <v>0.0</v>
      </c>
      <c r="AB990" s="93">
        <v>0.0</v>
      </c>
      <c r="AC990" s="93"/>
      <c r="AD990" s="93">
        <v>0.0</v>
      </c>
      <c r="AE990" s="32">
        <f t="shared" si="2"/>
        <v>0</v>
      </c>
      <c r="AF990" s="93">
        <v>0.0</v>
      </c>
    </row>
    <row r="991">
      <c r="A991" s="86">
        <v>2018.0</v>
      </c>
      <c r="B991" s="87">
        <v>5.0</v>
      </c>
      <c r="C991" s="88" t="s">
        <v>53</v>
      </c>
      <c r="D991" s="32"/>
      <c r="E991" s="93">
        <v>-20000.0</v>
      </c>
      <c r="F991" s="32"/>
      <c r="G991" s="93">
        <v>-5736.67</v>
      </c>
      <c r="H991" s="93">
        <v>25053.59</v>
      </c>
      <c r="I991" s="32"/>
      <c r="J991" s="93">
        <v>-8230.54</v>
      </c>
      <c r="K991" s="32"/>
      <c r="L991" s="32"/>
      <c r="M991" s="32"/>
      <c r="N991" s="32"/>
      <c r="O991" s="93">
        <v>2266401.0</v>
      </c>
      <c r="P991" s="91">
        <f>IFERROR(__xludf.DUMMYFUNCTION("IFERROR(sum(FILTER($D:$N,$C:$C = $C991,$A:$A &lt; $A991,$B:$B = 12)),0) + sum($D991:$N991)"),2266401.0599999996)</f>
        <v>2266401.06</v>
      </c>
      <c r="Q991" s="92">
        <f t="shared" si="1"/>
        <v>-0.05999999959</v>
      </c>
      <c r="R991" s="91">
        <f t="array" ref="R991">IFERROR(INDEX('Fund YTD Target Values'!$1:$1000, MATCH($C991,'Fund YTD Target Values'!$A:$A,0), MATCH($A991,'Fund YTD Target Values'!$1:$1,0)),0)</f>
        <v>2224754.768</v>
      </c>
      <c r="S991" s="91">
        <f>IFERROR(__xludf.DUMMYFUNCTION("IFERROR(sum(FILTER('Fund Investment Data'!$V:$V, 'Fund Investment Data'!$C:$C = $C991, 'Fund Investment Data'!$A:$A &lt; $A991)),0) + IFERROR(sum(FILTER('Fund Investment Data'!$V:$V, 'Fund Investment Data'!$C:$C = $C991, 'Fund Investment Data'!$A:$A = $A991,"&amp;" 'Fund Investment Data'!$B:$B &lt;= $B991)),0)"),2005500.0)</f>
        <v>2005500</v>
      </c>
      <c r="T991" s="93">
        <v>2005500.0</v>
      </c>
      <c r="U991" s="32">
        <f t="shared" si="3"/>
        <v>0</v>
      </c>
      <c r="V991" s="32">
        <f>IFERROR(__xludf.DUMMYFUNCTION("$D991 - IFERROR(FILTER($D:$D,$C:$C = $C991, $A:$A = $A991, $B:$B = $B991 - 1),0)"),0.0)</f>
        <v>0</v>
      </c>
      <c r="W991" s="93">
        <f>IFERROR(__xludf.DUMMYFUNCTION("$E991 - IFERROR(FILTER($E:$E,$C:$C = $C991, $A:$A = $A991, $B:$B = $B991 - 1),0)"),-20000.0)</f>
        <v>-20000</v>
      </c>
      <c r="X991" s="93"/>
      <c r="Y991" s="93"/>
      <c r="Z991" s="93">
        <v>0.0</v>
      </c>
      <c r="AA991" s="93">
        <v>0.0</v>
      </c>
      <c r="AB991" s="93">
        <v>0.0</v>
      </c>
      <c r="AC991" s="93"/>
      <c r="AD991" s="93">
        <v>0.0</v>
      </c>
      <c r="AE991" s="32">
        <f t="shared" si="2"/>
        <v>-20000</v>
      </c>
      <c r="AF991" s="93">
        <v>0.0</v>
      </c>
    </row>
    <row r="992">
      <c r="A992" s="86">
        <v>2018.0</v>
      </c>
      <c r="B992" s="87">
        <v>5.0</v>
      </c>
      <c r="C992" s="88" t="s">
        <v>34</v>
      </c>
      <c r="D992" s="32"/>
      <c r="E992" s="32"/>
      <c r="F992" s="32"/>
      <c r="G992" s="93">
        <v>-363.68</v>
      </c>
      <c r="H992" s="93">
        <v>1570.12</v>
      </c>
      <c r="I992" s="32"/>
      <c r="J992" s="93">
        <v>-522.88</v>
      </c>
      <c r="K992" s="32"/>
      <c r="L992" s="32"/>
      <c r="M992" s="32"/>
      <c r="N992" s="32"/>
      <c r="O992" s="93">
        <v>144972.0</v>
      </c>
      <c r="P992" s="91">
        <f>IFERROR(__xludf.DUMMYFUNCTION("IFERROR(sum(FILTER($D:$N,$C:$C = $C992,$A:$A &lt; $A992,$B:$B = 12)),0) + sum($D992:$N992)"),144971.72)</f>
        <v>144971.72</v>
      </c>
      <c r="Q992" s="92">
        <f t="shared" si="1"/>
        <v>0.28</v>
      </c>
      <c r="R992" s="91">
        <f t="array" ref="R992">IFERROR(INDEX('Fund YTD Target Values'!$1:$1000, MATCH($C992,'Fund YTD Target Values'!$A:$A,0), MATCH($A992,'Fund YTD Target Values'!$1:$1,0)),0)</f>
        <v>135327.6594</v>
      </c>
      <c r="S992" s="91">
        <f>IFERROR(__xludf.DUMMYFUNCTION("IFERROR(sum(FILTER('Fund Investment Data'!$V:$V, 'Fund Investment Data'!$C:$C = $C992, 'Fund Investment Data'!$A:$A &lt; $A992)),0) + IFERROR(sum(FILTER('Fund Investment Data'!$V:$V, 'Fund Investment Data'!$C:$C = $C992, 'Fund Investment Data'!$A:$A = $A992,"&amp;" 'Fund Investment Data'!$B:$B &lt;= $B992)),0)"),120000.0)</f>
        <v>120000</v>
      </c>
      <c r="T992" s="93">
        <v>115238.0</v>
      </c>
      <c r="U992" s="32">
        <f t="shared" si="3"/>
        <v>4762</v>
      </c>
      <c r="V992" s="32">
        <f>IFERROR(__xludf.DUMMYFUNCTION("$D992 - IFERROR(FILTER($D:$D,$C:$C = $C992, $A:$A = $A992, $B:$B = $B992 - 1),0)"),0.0)</f>
        <v>0</v>
      </c>
      <c r="W992" s="93">
        <f>IFERROR(__xludf.DUMMYFUNCTION("$E992 - IFERROR(FILTER($E:$E,$C:$C = $C992, $A:$A = $A992, $B:$B = $B992 - 1),0)"),0.0)</f>
        <v>0</v>
      </c>
      <c r="X992" s="93"/>
      <c r="Y992" s="93"/>
      <c r="Z992" s="93">
        <v>0.0</v>
      </c>
      <c r="AA992" s="93">
        <v>0.0</v>
      </c>
      <c r="AB992" s="93">
        <v>0.0</v>
      </c>
      <c r="AC992" s="93"/>
      <c r="AD992" s="93">
        <v>0.0</v>
      </c>
      <c r="AE992" s="32">
        <f t="shared" si="2"/>
        <v>0</v>
      </c>
      <c r="AF992" s="93">
        <v>0.0</v>
      </c>
    </row>
    <row r="993">
      <c r="A993" s="86">
        <v>2018.0</v>
      </c>
      <c r="B993" s="87">
        <v>5.0</v>
      </c>
      <c r="C993" s="88" t="s">
        <v>54</v>
      </c>
      <c r="D993" s="93">
        <v>35.0</v>
      </c>
      <c r="E993" s="93">
        <v>-1500.0</v>
      </c>
      <c r="F993" s="32"/>
      <c r="G993" s="93">
        <v>-435.61</v>
      </c>
      <c r="H993" s="93">
        <v>1851.1</v>
      </c>
      <c r="I993" s="32"/>
      <c r="J993" s="93">
        <v>-630.34</v>
      </c>
      <c r="K993" s="32"/>
      <c r="L993" s="32"/>
      <c r="M993" s="32"/>
      <c r="N993" s="32"/>
      <c r="O993" s="93">
        <v>172212.0</v>
      </c>
      <c r="P993" s="91">
        <f>IFERROR(__xludf.DUMMYFUNCTION("IFERROR(sum(FILTER($D:$N,$C:$C = $C993,$A:$A &lt; $A993,$B:$B = 12)),0) + sum($D993:$N993)"),172213.11999999994)</f>
        <v>172213.12</v>
      </c>
      <c r="Q993" s="92">
        <f t="shared" si="1"/>
        <v>-1.12</v>
      </c>
      <c r="R993" s="91">
        <f t="array" ref="R993">IFERROR(INDEX('Fund YTD Target Values'!$1:$1000, MATCH($C993,'Fund YTD Target Values'!$A:$A,0), MATCH($A993,'Fund YTD Target Values'!$1:$1,0)),0)</f>
        <v>155177.2706</v>
      </c>
      <c r="S993" s="91">
        <f>IFERROR(__xludf.DUMMYFUNCTION("IFERROR(sum(FILTER('Fund Investment Data'!$V:$V, 'Fund Investment Data'!$C:$C = $C993, 'Fund Investment Data'!$A:$A &lt; $A993)),0) + IFERROR(sum(FILTER('Fund Investment Data'!$V:$V, 'Fund Investment Data'!$C:$C = $C993, 'Fund Investment Data'!$A:$A = $A993,"&amp;" 'Fund Investment Data'!$B:$B &lt;= $B993)),0)"),112467.10999999999)</f>
        <v>112467.11</v>
      </c>
      <c r="T993" s="93">
        <v>108645.0</v>
      </c>
      <c r="U993" s="32">
        <f t="shared" si="3"/>
        <v>3822.11</v>
      </c>
      <c r="V993" s="32">
        <f>IFERROR(__xludf.DUMMYFUNCTION("$D993 - IFERROR(FILTER($D:$D,$C:$C = $C993, $A:$A = $A993, $B:$B = $B993 - 1),0)"),35.0)</f>
        <v>35</v>
      </c>
      <c r="W993" s="93">
        <f>IFERROR(__xludf.DUMMYFUNCTION("$E993 - IFERROR(FILTER($E:$E,$C:$C = $C993, $A:$A = $A993, $B:$B = $B993 - 1),0)"),-1500.0)</f>
        <v>-1500</v>
      </c>
      <c r="X993" s="93"/>
      <c r="Y993" s="93"/>
      <c r="Z993" s="93">
        <v>0.0</v>
      </c>
      <c r="AA993" s="93">
        <v>0.0</v>
      </c>
      <c r="AB993" s="93">
        <v>0.0</v>
      </c>
      <c r="AC993" s="93"/>
      <c r="AD993" s="93">
        <v>0.0</v>
      </c>
      <c r="AE993" s="32">
        <f t="shared" si="2"/>
        <v>-1500</v>
      </c>
      <c r="AF993" s="93">
        <v>0.0</v>
      </c>
    </row>
    <row r="994">
      <c r="A994" s="86">
        <v>2018.0</v>
      </c>
      <c r="B994" s="87">
        <v>5.0</v>
      </c>
      <c r="C994" s="88" t="s">
        <v>55</v>
      </c>
      <c r="D994" s="32"/>
      <c r="E994" s="32"/>
      <c r="F994" s="32"/>
      <c r="G994" s="93">
        <v>-772.42</v>
      </c>
      <c r="H994" s="93">
        <v>2172.87</v>
      </c>
      <c r="I994" s="32"/>
      <c r="J994" s="93">
        <v>-3095.62</v>
      </c>
      <c r="K994" s="32"/>
      <c r="L994" s="32"/>
      <c r="M994" s="32"/>
      <c r="N994" s="32"/>
      <c r="O994" s="93">
        <v>227370.0</v>
      </c>
      <c r="P994" s="91">
        <f>IFERROR(__xludf.DUMMYFUNCTION("IFERROR(sum(FILTER($D:$N,$C:$C = $C994,$A:$A &lt; $A994,$B:$B = 12)),0) + sum($D994:$N994)"),227369.58999999997)</f>
        <v>227369.59</v>
      </c>
      <c r="Q994" s="92">
        <f t="shared" si="1"/>
        <v>0.41</v>
      </c>
      <c r="R994" s="91">
        <f t="array" ref="R994">IFERROR(INDEX('Fund YTD Target Values'!$1:$1000, MATCH($C994,'Fund YTD Target Values'!$A:$A,0), MATCH($A994,'Fund YTD Target Values'!$1:$1,0)),0)</f>
        <v>289110.9496</v>
      </c>
      <c r="S994" s="91">
        <f>IFERROR(__xludf.DUMMYFUNCTION("IFERROR(sum(FILTER('Fund Investment Data'!$V:$V, 'Fund Investment Data'!$C:$C = $C994, 'Fund Investment Data'!$A:$A &lt; $A994)),0) + IFERROR(sum(FILTER('Fund Investment Data'!$V:$V, 'Fund Investment Data'!$C:$C = $C994, 'Fund Investment Data'!$A:$A = $A994,"&amp;" 'Fund Investment Data'!$B:$B &lt;= $B994)),0)"),210000.0)</f>
        <v>210000</v>
      </c>
      <c r="T994" s="93">
        <v>79841.0</v>
      </c>
      <c r="U994" s="32">
        <f t="shared" si="3"/>
        <v>130159</v>
      </c>
      <c r="V994" s="32">
        <f>IFERROR(__xludf.DUMMYFUNCTION("$D994 - IFERROR(FILTER($D:$D,$C:$C = $C994, $A:$A = $A994, $B:$B = $B994 - 1),0)"),0.0)</f>
        <v>0</v>
      </c>
      <c r="W994" s="93">
        <f>IFERROR(__xludf.DUMMYFUNCTION("$E994 - IFERROR(FILTER($E:$E,$C:$C = $C994, $A:$A = $A994, $B:$B = $B994 - 1),0)"),0.0)</f>
        <v>0</v>
      </c>
      <c r="X994" s="93"/>
      <c r="Y994" s="93"/>
      <c r="Z994" s="93">
        <v>0.0</v>
      </c>
      <c r="AA994" s="93">
        <v>0.0</v>
      </c>
      <c r="AB994" s="93">
        <v>0.0</v>
      </c>
      <c r="AC994" s="93"/>
      <c r="AD994" s="93">
        <v>0.0</v>
      </c>
      <c r="AE994" s="32">
        <f t="shared" si="2"/>
        <v>0</v>
      </c>
      <c r="AF994" s="93">
        <v>0.0</v>
      </c>
    </row>
    <row r="995">
      <c r="A995" s="86">
        <v>2018.0</v>
      </c>
      <c r="B995" s="87">
        <v>5.0</v>
      </c>
      <c r="C995" s="88" t="s">
        <v>44</v>
      </c>
      <c r="D995" s="32"/>
      <c r="E995" s="93">
        <v>-2000.0</v>
      </c>
      <c r="F995" s="32"/>
      <c r="G995" s="93">
        <v>-722.69</v>
      </c>
      <c r="H995" s="93">
        <v>3156.18</v>
      </c>
      <c r="I995" s="32"/>
      <c r="J995" s="93">
        <v>-1036.85</v>
      </c>
      <c r="K995" s="32"/>
      <c r="L995" s="32"/>
      <c r="M995" s="32"/>
      <c r="N995" s="32"/>
      <c r="O995" s="93">
        <v>286032.0</v>
      </c>
      <c r="P995" s="91">
        <f>IFERROR(__xludf.DUMMYFUNCTION("IFERROR(sum(FILTER($D:$N,$C:$C = $C995,$A:$A &lt; $A995,$B:$B = 12)),0) + sum($D995:$N995)"),286033.1100000001)</f>
        <v>286033.11</v>
      </c>
      <c r="Q995" s="92">
        <f t="shared" si="1"/>
        <v>-1.11</v>
      </c>
      <c r="R995" s="91">
        <f t="array" ref="R995">IFERROR(INDEX('Fund YTD Target Values'!$1:$1000, MATCH($C995,'Fund YTD Target Values'!$A:$A,0), MATCH($A995,'Fund YTD Target Values'!$1:$1,0)),0)</f>
        <v>321586.5616</v>
      </c>
      <c r="S995" s="91">
        <f>IFERROR(__xludf.DUMMYFUNCTION("IFERROR(sum(FILTER('Fund Investment Data'!$V:$V, 'Fund Investment Data'!$C:$C = $C995, 'Fund Investment Data'!$A:$A &lt; $A995)),0) + IFERROR(sum(FILTER('Fund Investment Data'!$V:$V, 'Fund Investment Data'!$C:$C = $C995, 'Fund Investment Data'!$A:$A = $A995,"&amp;" 'Fund Investment Data'!$B:$B &lt;= $B995)),0)"),250000.0)</f>
        <v>250000</v>
      </c>
      <c r="T995" s="93">
        <v>250000.0</v>
      </c>
      <c r="U995" s="32">
        <f t="shared" si="3"/>
        <v>0</v>
      </c>
      <c r="V995" s="32">
        <f>IFERROR(__xludf.DUMMYFUNCTION("$D995 - IFERROR(FILTER($D:$D,$C:$C = $C995, $A:$A = $A995, $B:$B = $B995 - 1),0)"),0.0)</f>
        <v>0</v>
      </c>
      <c r="W995" s="93">
        <f>IFERROR(__xludf.DUMMYFUNCTION("$E995 - IFERROR(FILTER($E:$E,$C:$C = $C995, $A:$A = $A995, $B:$B = $B995 - 1),0)"),-2000.0)</f>
        <v>-2000</v>
      </c>
      <c r="X995" s="93"/>
      <c r="Y995" s="93"/>
      <c r="Z995" s="93">
        <v>0.0</v>
      </c>
      <c r="AA995" s="93">
        <v>0.0</v>
      </c>
      <c r="AB995" s="93">
        <v>0.0</v>
      </c>
      <c r="AC995" s="93"/>
      <c r="AD995" s="93">
        <v>0.0</v>
      </c>
      <c r="AE995" s="32">
        <f t="shared" si="2"/>
        <v>-2000</v>
      </c>
      <c r="AF995" s="93">
        <v>0.0</v>
      </c>
    </row>
    <row r="996">
      <c r="A996" s="86">
        <v>2018.0</v>
      </c>
      <c r="B996" s="87">
        <v>5.0</v>
      </c>
      <c r="C996" s="88" t="s">
        <v>45</v>
      </c>
      <c r="D996" s="32"/>
      <c r="E996" s="32"/>
      <c r="F996" s="32"/>
      <c r="G996" s="93">
        <v>-374.12</v>
      </c>
      <c r="H996" s="93">
        <v>1623.97</v>
      </c>
      <c r="I996" s="32"/>
      <c r="J996" s="93">
        <v>-530.39</v>
      </c>
      <c r="K996" s="32"/>
      <c r="L996" s="32"/>
      <c r="M996" s="32"/>
      <c r="N996" s="32"/>
      <c r="O996" s="93">
        <v>149122.0</v>
      </c>
      <c r="P996" s="91">
        <f>IFERROR(__xludf.DUMMYFUNCTION("IFERROR(sum(FILTER($D:$N,$C:$C = $C996,$A:$A &lt; $A996,$B:$B = 12)),0) + sum($D996:$N996)"),149121.74999999997)</f>
        <v>149121.75</v>
      </c>
      <c r="Q996" s="92">
        <f t="shared" si="1"/>
        <v>0.25</v>
      </c>
      <c r="R996" s="91">
        <f t="array" ref="R996">IFERROR(INDEX('Fund YTD Target Values'!$1:$1000, MATCH($C996,'Fund YTD Target Values'!$A:$A,0), MATCH($A996,'Fund YTD Target Values'!$1:$1,0)),0)</f>
        <v>121242.134</v>
      </c>
      <c r="S996" s="91">
        <f>IFERROR(__xludf.DUMMYFUNCTION("IFERROR(sum(FILTER('Fund Investment Data'!$V:$V, 'Fund Investment Data'!$C:$C = $C996, 'Fund Investment Data'!$A:$A &lt; $A996)),0) + IFERROR(sum(FILTER('Fund Investment Data'!$V:$V, 'Fund Investment Data'!$C:$C = $C996, 'Fund Investment Data'!$A:$A = $A996,"&amp;" 'Fund Investment Data'!$B:$B &lt;= $B996)),0)"),100000.0)</f>
        <v>100000</v>
      </c>
      <c r="T996" s="93">
        <v>100000.0</v>
      </c>
      <c r="U996" s="32">
        <f t="shared" si="3"/>
        <v>0</v>
      </c>
      <c r="V996" s="32">
        <f>IFERROR(__xludf.DUMMYFUNCTION("$D996 - IFERROR(FILTER($D:$D,$C:$C = $C996, $A:$A = $A996, $B:$B = $B996 - 1),0)"),0.0)</f>
        <v>0</v>
      </c>
      <c r="W996" s="93">
        <f>IFERROR(__xludf.DUMMYFUNCTION("$E996 - IFERROR(FILTER($E:$E,$C:$C = $C996, $A:$A = $A996, $B:$B = $B996 - 1),0)"),0.0)</f>
        <v>0</v>
      </c>
      <c r="X996" s="93"/>
      <c r="Y996" s="93"/>
      <c r="Z996" s="93">
        <v>0.0</v>
      </c>
      <c r="AA996" s="93">
        <v>0.0</v>
      </c>
      <c r="AB996" s="93">
        <v>0.0</v>
      </c>
      <c r="AC996" s="93"/>
      <c r="AD996" s="93">
        <v>0.0</v>
      </c>
      <c r="AE996" s="32">
        <f t="shared" si="2"/>
        <v>0</v>
      </c>
      <c r="AF996" s="93">
        <v>0.0</v>
      </c>
    </row>
    <row r="997">
      <c r="A997" s="86">
        <v>2018.0</v>
      </c>
      <c r="B997" s="87">
        <v>5.0</v>
      </c>
      <c r="C997" s="88" t="s">
        <v>35</v>
      </c>
      <c r="D997" s="32"/>
      <c r="E997" s="93">
        <v>-13000.0</v>
      </c>
      <c r="F997" s="32"/>
      <c r="G997" s="93">
        <v>-3696.54</v>
      </c>
      <c r="H997" s="93">
        <v>16143.75</v>
      </c>
      <c r="I997" s="32"/>
      <c r="J997" s="93">
        <v>-5303.51</v>
      </c>
      <c r="K997" s="32"/>
      <c r="L997" s="32"/>
      <c r="M997" s="32"/>
      <c r="N997" s="32"/>
      <c r="O997" s="93">
        <v>1460286.0</v>
      </c>
      <c r="P997" s="91">
        <f>IFERROR(__xludf.DUMMYFUNCTION("IFERROR(sum(FILTER($D:$N,$C:$C = $C997,$A:$A &lt; $A997,$B:$B = 12)),0) + sum($D997:$N997)"),1460285.2600000002)</f>
        <v>1460285.26</v>
      </c>
      <c r="Q997" s="92">
        <f t="shared" si="1"/>
        <v>0.7399999998</v>
      </c>
      <c r="R997" s="91">
        <f t="array" ref="R997">IFERROR(INDEX('Fund YTD Target Values'!$1:$1000, MATCH($C997,'Fund YTD Target Values'!$A:$A,0), MATCH($A997,'Fund YTD Target Values'!$1:$1,0)),0)</f>
        <v>1579247.369</v>
      </c>
      <c r="S997" s="91">
        <f>IFERROR(__xludf.DUMMYFUNCTION("IFERROR(sum(FILTER('Fund Investment Data'!$V:$V, 'Fund Investment Data'!$C:$C = $C997, 'Fund Investment Data'!$A:$A &lt; $A997)),0) + IFERROR(sum(FILTER('Fund Investment Data'!$V:$V, 'Fund Investment Data'!$C:$C = $C997, 'Fund Investment Data'!$A:$A = $A997,"&amp;" 'Fund Investment Data'!$B:$B &lt;= $B997)),0)"),1086625.0)</f>
        <v>1086625</v>
      </c>
      <c r="T997" s="93">
        <v>1071625.0</v>
      </c>
      <c r="U997" s="32">
        <f t="shared" si="3"/>
        <v>15000</v>
      </c>
      <c r="V997" s="32">
        <f>IFERROR(__xludf.DUMMYFUNCTION("$D997 - IFERROR(FILTER($D:$D,$C:$C = $C997, $A:$A = $A997, $B:$B = $B997 - 1),0)"),0.0)</f>
        <v>0</v>
      </c>
      <c r="W997" s="93">
        <f>IFERROR(__xludf.DUMMYFUNCTION("$E997 - IFERROR(FILTER($E:$E,$C:$C = $C997, $A:$A = $A997, $B:$B = $B997 - 1),0)"),-13000.0)</f>
        <v>-13000</v>
      </c>
      <c r="X997" s="93"/>
      <c r="Y997" s="93"/>
      <c r="Z997" s="93">
        <v>0.0</v>
      </c>
      <c r="AA997" s="93">
        <v>0.0</v>
      </c>
      <c r="AB997" s="93">
        <v>0.0</v>
      </c>
      <c r="AC997" s="93"/>
      <c r="AD997" s="93">
        <v>0.0</v>
      </c>
      <c r="AE997" s="32">
        <f t="shared" si="2"/>
        <v>-13000</v>
      </c>
      <c r="AF997" s="93">
        <v>0.0</v>
      </c>
    </row>
    <row r="998">
      <c r="A998" s="86">
        <v>2018.0</v>
      </c>
      <c r="B998" s="87">
        <v>5.0</v>
      </c>
      <c r="C998" s="88" t="s">
        <v>56</v>
      </c>
      <c r="D998" s="32"/>
      <c r="E998" s="32"/>
      <c r="F998" s="32"/>
      <c r="G998" s="93">
        <v>-2855.58</v>
      </c>
      <c r="H998" s="93">
        <v>12313.0</v>
      </c>
      <c r="I998" s="32"/>
      <c r="J998" s="93">
        <v>-4132.74</v>
      </c>
      <c r="K998" s="32"/>
      <c r="L998" s="32"/>
      <c r="M998" s="32"/>
      <c r="N998" s="32"/>
      <c r="O998" s="93">
        <v>1138303.0</v>
      </c>
      <c r="P998" s="91">
        <f>IFERROR(__xludf.DUMMYFUNCTION("IFERROR(sum(FILTER($D:$N,$C:$C = $C998,$A:$A &lt; $A998,$B:$B = 12)),0) + sum($D998:$N998)"),1138302.5099999998)</f>
        <v>1138302.51</v>
      </c>
      <c r="Q998" s="92">
        <f t="shared" si="1"/>
        <v>0.4900000002</v>
      </c>
      <c r="R998" s="91">
        <f t="array" ref="R998">IFERROR(INDEX('Fund YTD Target Values'!$1:$1000, MATCH($C998,'Fund YTD Target Values'!$A:$A,0), MATCH($A998,'Fund YTD Target Values'!$1:$1,0)),0)</f>
        <v>1060725.595</v>
      </c>
      <c r="S998" s="91">
        <f>IFERROR(__xludf.DUMMYFUNCTION("IFERROR(sum(FILTER('Fund Investment Data'!$V:$V, 'Fund Investment Data'!$C:$C = $C998, 'Fund Investment Data'!$A:$A &lt; $A998)),0) + IFERROR(sum(FILTER('Fund Investment Data'!$V:$V, 'Fund Investment Data'!$C:$C = $C998, 'Fund Investment Data'!$A:$A = $A998,"&amp;" 'Fund Investment Data'!$B:$B &lt;= $B998)),0)"),1000000.0)</f>
        <v>1000000</v>
      </c>
      <c r="T998" s="93">
        <v>1000000.0</v>
      </c>
      <c r="U998" s="32">
        <f t="shared" si="3"/>
        <v>0</v>
      </c>
      <c r="V998" s="32">
        <f>IFERROR(__xludf.DUMMYFUNCTION("$D998 - IFERROR(FILTER($D:$D,$C:$C = $C998, $A:$A = $A998, $B:$B = $B998 - 1),0)"),0.0)</f>
        <v>0</v>
      </c>
      <c r="W998" s="93">
        <f>IFERROR(__xludf.DUMMYFUNCTION("$E998 - IFERROR(FILTER($E:$E,$C:$C = $C998, $A:$A = $A998, $B:$B = $B998 - 1),0)"),0.0)</f>
        <v>0</v>
      </c>
      <c r="X998" s="93"/>
      <c r="Y998" s="93"/>
      <c r="Z998" s="93">
        <v>0.0</v>
      </c>
      <c r="AA998" s="93">
        <v>0.0</v>
      </c>
      <c r="AB998" s="93">
        <v>0.0</v>
      </c>
      <c r="AC998" s="93"/>
      <c r="AD998" s="93">
        <v>0.0</v>
      </c>
      <c r="AE998" s="32">
        <f t="shared" si="2"/>
        <v>0</v>
      </c>
      <c r="AF998" s="93">
        <v>0.0</v>
      </c>
    </row>
    <row r="999">
      <c r="A999" s="86">
        <v>2018.0</v>
      </c>
      <c r="B999" s="87">
        <v>5.0</v>
      </c>
      <c r="C999" s="88" t="s">
        <v>57</v>
      </c>
      <c r="D999" s="32"/>
      <c r="E999" s="32"/>
      <c r="F999" s="32"/>
      <c r="G999" s="93">
        <v>-5131.21</v>
      </c>
      <c r="H999" s="93">
        <v>22402.63</v>
      </c>
      <c r="I999" s="32"/>
      <c r="J999" s="93">
        <v>-7357.58</v>
      </c>
      <c r="K999" s="32"/>
      <c r="L999" s="32"/>
      <c r="M999" s="32"/>
      <c r="N999" s="32"/>
      <c r="O999" s="93">
        <v>2045093.0</v>
      </c>
      <c r="P999" s="91">
        <f>IFERROR(__xludf.DUMMYFUNCTION("IFERROR(sum(FILTER($D:$N,$C:$C = $C999,$A:$A &lt; $A999,$B:$B = 12)),0) + sum($D999:$N999)"),2045092.6700000002)</f>
        <v>2045092.67</v>
      </c>
      <c r="Q999" s="92">
        <f t="shared" si="1"/>
        <v>0.3299999998</v>
      </c>
      <c r="R999" s="91">
        <f t="array" ref="R999">IFERROR(INDEX('Fund YTD Target Values'!$1:$1000, MATCH($C999,'Fund YTD Target Values'!$A:$A,0), MATCH($A999,'Fund YTD Target Values'!$1:$1,0)),0)</f>
        <v>2048853.692</v>
      </c>
      <c r="S999" s="91">
        <f>IFERROR(__xludf.DUMMYFUNCTION("IFERROR(sum(FILTER('Fund Investment Data'!$V:$V, 'Fund Investment Data'!$C:$C = $C999, 'Fund Investment Data'!$A:$A &lt; $A999)),0) + IFERROR(sum(FILTER('Fund Investment Data'!$V:$V, 'Fund Investment Data'!$C:$C = $C999, 'Fund Investment Data'!$A:$A = $A999,"&amp;" 'Fund Investment Data'!$B:$B &lt;= $B999)),0)"),2000000.0)</f>
        <v>2000000</v>
      </c>
      <c r="T999" s="93">
        <v>2000000.0</v>
      </c>
      <c r="U999" s="32">
        <f t="shared" si="3"/>
        <v>0</v>
      </c>
      <c r="V999" s="32">
        <f>IFERROR(__xludf.DUMMYFUNCTION("$D999 - IFERROR(FILTER($D:$D,$C:$C = $C999, $A:$A = $A999, $B:$B = $B999 - 1),0)"),0.0)</f>
        <v>0</v>
      </c>
      <c r="W999" s="93">
        <f>IFERROR(__xludf.DUMMYFUNCTION("$E999 - IFERROR(FILTER($E:$E,$C:$C = $C999, $A:$A = $A999, $B:$B = $B999 - 1),0)"),0.0)</f>
        <v>0</v>
      </c>
      <c r="X999" s="93"/>
      <c r="Y999" s="93"/>
      <c r="Z999" s="93">
        <v>0.0</v>
      </c>
      <c r="AA999" s="93">
        <v>0.0</v>
      </c>
      <c r="AB999" s="93">
        <v>0.0</v>
      </c>
      <c r="AC999" s="93"/>
      <c r="AD999" s="93">
        <v>0.0</v>
      </c>
      <c r="AE999" s="32">
        <f t="shared" si="2"/>
        <v>0</v>
      </c>
      <c r="AF999" s="93">
        <v>0.0</v>
      </c>
    </row>
    <row r="1000">
      <c r="A1000" s="86">
        <v>2018.0</v>
      </c>
      <c r="B1000" s="87">
        <v>5.0</v>
      </c>
      <c r="C1000" s="88" t="s">
        <v>58</v>
      </c>
      <c r="D1000" s="32"/>
      <c r="E1000" s="32"/>
      <c r="F1000" s="32"/>
      <c r="G1000" s="93">
        <v>-5131.21</v>
      </c>
      <c r="H1000" s="93">
        <v>22402.63</v>
      </c>
      <c r="I1000" s="32"/>
      <c r="J1000" s="93">
        <v>-7357.58</v>
      </c>
      <c r="K1000" s="32"/>
      <c r="L1000" s="32"/>
      <c r="M1000" s="32"/>
      <c r="N1000" s="32"/>
      <c r="O1000" s="93">
        <v>2045093.0</v>
      </c>
      <c r="P1000" s="91">
        <f>IFERROR(__xludf.DUMMYFUNCTION("IFERROR(sum(FILTER($D:$N,$C:$C = $C1000,$A:$A &lt; $A1000,$B:$B = 12)),0) + sum($D1000:$N1000)"),2045092.6700000002)</f>
        <v>2045092.67</v>
      </c>
      <c r="Q1000" s="92">
        <f t="shared" si="1"/>
        <v>0.3299999998</v>
      </c>
      <c r="R1000" s="91">
        <f t="array" ref="R1000">IFERROR(INDEX('Fund YTD Target Values'!$1:$1000, MATCH($C1000,'Fund YTD Target Values'!$A:$A,0), MATCH($A1000,'Fund YTD Target Values'!$1:$1,0)),0)</f>
        <v>2048853.692</v>
      </c>
      <c r="S1000" s="91">
        <f>IFERROR(__xludf.DUMMYFUNCTION("IFERROR(sum(FILTER('Fund Investment Data'!$V:$V, 'Fund Investment Data'!$C:$C = $C1000, 'Fund Investment Data'!$A:$A &lt; $A1000)),0) + IFERROR(sum(FILTER('Fund Investment Data'!$V:$V, 'Fund Investment Data'!$C:$C = $C1000, 'Fund Investment Data'!$A:$A = $A1"&amp;"000, 'Fund Investment Data'!$B:$B &lt;= $B1000)),0)"),2000000.0)</f>
        <v>2000000</v>
      </c>
      <c r="T1000" s="93">
        <v>2000000.0</v>
      </c>
      <c r="U1000" s="32">
        <f t="shared" si="3"/>
        <v>0</v>
      </c>
      <c r="V1000" s="32">
        <f>IFERROR(__xludf.DUMMYFUNCTION("$D1000 - IFERROR(FILTER($D:$D,$C:$C = $C1000, $A:$A = $A1000, $B:$B = $B1000 - 1),0)"),0.0)</f>
        <v>0</v>
      </c>
      <c r="W1000" s="93">
        <f>IFERROR(__xludf.DUMMYFUNCTION("$E1000 - IFERROR(FILTER($E:$E,$C:$C = $C1000, $A:$A = $A1000, $B:$B = $B1000 - 1),0)"),0.0)</f>
        <v>0</v>
      </c>
      <c r="X1000" s="93"/>
      <c r="Y1000" s="93"/>
      <c r="Z1000" s="93">
        <v>0.0</v>
      </c>
      <c r="AA1000" s="93">
        <v>0.0</v>
      </c>
      <c r="AB1000" s="93">
        <v>0.0</v>
      </c>
      <c r="AC1000" s="93"/>
      <c r="AD1000" s="93">
        <v>0.0</v>
      </c>
      <c r="AE1000" s="32">
        <f t="shared" si="2"/>
        <v>0</v>
      </c>
      <c r="AF1000" s="93">
        <v>0.0</v>
      </c>
    </row>
    <row r="1001">
      <c r="A1001" s="86">
        <v>2018.0</v>
      </c>
      <c r="B1001" s="87">
        <v>6.0</v>
      </c>
      <c r="C1001" s="88" t="s">
        <v>26</v>
      </c>
      <c r="D1001" s="93">
        <v>18189.0</v>
      </c>
      <c r="E1001" s="93">
        <v>-8000.0</v>
      </c>
      <c r="F1001" s="32"/>
      <c r="G1001" s="93">
        <v>-1035.58</v>
      </c>
      <c r="H1001" s="93">
        <v>4199.03</v>
      </c>
      <c r="I1001" s="32"/>
      <c r="J1001" s="93">
        <v>-3949.7</v>
      </c>
      <c r="K1001" s="32"/>
      <c r="L1001" s="32"/>
      <c r="M1001" s="32"/>
      <c r="N1001" s="32"/>
      <c r="O1001" s="93">
        <v>341335.0</v>
      </c>
      <c r="P1001" s="91">
        <f>IFERROR(__xludf.DUMMYFUNCTION("IFERROR(sum(FILTER($D:$N,$C:$C = $C1001,$A:$A &lt; $A1001,$B:$B = 12)),0) + sum($D1001:$N1001)"),341333.70999999996)</f>
        <v>341333.71</v>
      </c>
      <c r="Q1001" s="92">
        <f t="shared" si="1"/>
        <v>1.29</v>
      </c>
      <c r="R1001" s="91">
        <f t="array" ref="R1001">IFERROR(INDEX('Fund YTD Target Values'!$1:$1000, MATCH($C1001,'Fund YTD Target Values'!$A:$A,0), MATCH($A1001,'Fund YTD Target Values'!$1:$1,0)),0)</f>
        <v>378110.9215</v>
      </c>
      <c r="S1001" s="91">
        <f>IFERROR(__xludf.DUMMYFUNCTION("IFERROR(sum(FILTER('Fund Investment Data'!$V:$V, 'Fund Investment Data'!$C:$C = $C1001, 'Fund Investment Data'!$A:$A &lt; $A1001)),0) + IFERROR(sum(FILTER('Fund Investment Data'!$V:$V, 'Fund Investment Data'!$C:$C = $C1001, 'Fund Investment Data'!$A:$A = $A1"&amp;"001, 'Fund Investment Data'!$B:$B &lt;= $B1001)),0)"),310249.0)</f>
        <v>310249</v>
      </c>
      <c r="T1001" s="93">
        <v>310250.0</v>
      </c>
      <c r="U1001" s="32">
        <f t="shared" si="3"/>
        <v>-1</v>
      </c>
      <c r="V1001" s="32">
        <f>IFERROR(__xludf.DUMMYFUNCTION("$D1001 - IFERROR(FILTER($D:$D,$C:$C = $C1001, $A:$A = $A1001, $B:$B = $B1001 - 1),0)"),0.0)</f>
        <v>0</v>
      </c>
      <c r="W1001" s="93">
        <f>IFERROR(__xludf.DUMMYFUNCTION("$E1001 - IFERROR(FILTER($E:$E,$C:$C = $C1001, $A:$A = $A1001, $B:$B = $B1001 - 1),0)"),0.0)</f>
        <v>0</v>
      </c>
      <c r="X1001" s="93"/>
      <c r="Y1001" s="93"/>
      <c r="Z1001" s="93">
        <v>0.0</v>
      </c>
      <c r="AA1001" s="93">
        <v>0.0</v>
      </c>
      <c r="AB1001" s="93">
        <v>0.0</v>
      </c>
      <c r="AC1001" s="93"/>
      <c r="AD1001" s="93">
        <v>0.0</v>
      </c>
      <c r="AE1001" s="32">
        <f t="shared" si="2"/>
        <v>-8000</v>
      </c>
      <c r="AF1001" s="93">
        <v>0.0</v>
      </c>
    </row>
    <row r="1002">
      <c r="A1002" s="86">
        <v>2018.0</v>
      </c>
      <c r="B1002" s="87">
        <v>6.0</v>
      </c>
      <c r="C1002" s="88" t="s">
        <v>27</v>
      </c>
      <c r="D1002" s="32"/>
      <c r="E1002" s="93">
        <v>-5500.0</v>
      </c>
      <c r="F1002" s="32"/>
      <c r="G1002" s="93">
        <v>-932.77</v>
      </c>
      <c r="H1002" s="93">
        <v>3837.36</v>
      </c>
      <c r="I1002" s="93">
        <v>859.75</v>
      </c>
      <c r="J1002" s="93">
        <v>-4236.74</v>
      </c>
      <c r="K1002" s="32"/>
      <c r="L1002" s="32"/>
      <c r="M1002" s="32"/>
      <c r="N1002" s="32"/>
      <c r="O1002" s="93">
        <v>302513.0</v>
      </c>
      <c r="P1002" s="91">
        <f>IFERROR(__xludf.DUMMYFUNCTION("IFERROR(sum(FILTER($D:$N,$C:$C = $C1002,$A:$A &lt; $A1002,$B:$B = 12)),0) + sum($D1002:$N1002)"),302513.00000000006)</f>
        <v>302513</v>
      </c>
      <c r="Q1002" s="92">
        <f t="shared" si="1"/>
        <v>0</v>
      </c>
      <c r="R1002" s="91">
        <f t="array" ref="R1002">IFERROR(INDEX('Fund YTD Target Values'!$1:$1000, MATCH($C1002,'Fund YTD Target Values'!$A:$A,0), MATCH($A1002,'Fund YTD Target Values'!$1:$1,0)),0)</f>
        <v>393297.582</v>
      </c>
      <c r="S1002" s="91">
        <f>IFERROR(__xludf.DUMMYFUNCTION("IFERROR(sum(FILTER('Fund Investment Data'!$V:$V, 'Fund Investment Data'!$C:$C = $C1002, 'Fund Investment Data'!$A:$A &lt; $A1002)),0) + IFERROR(sum(FILTER('Fund Investment Data'!$V:$V, 'Fund Investment Data'!$C:$C = $C1002, 'Fund Investment Data'!$A:$A = $A1"&amp;"002, 'Fund Investment Data'!$B:$B &lt;= $B1002)),0)"),276213.69999999995)</f>
        <v>276213.7</v>
      </c>
      <c r="T1002" s="93">
        <v>272248.0</v>
      </c>
      <c r="U1002" s="32">
        <f t="shared" si="3"/>
        <v>3965.7</v>
      </c>
      <c r="V1002" s="32">
        <f>IFERROR(__xludf.DUMMYFUNCTION("$D1002 - IFERROR(FILTER($D:$D,$C:$C = $C1002, $A:$A = $A1002, $B:$B = $B1002 - 1),0)"),0.0)</f>
        <v>0</v>
      </c>
      <c r="W1002" s="93">
        <f>IFERROR(__xludf.DUMMYFUNCTION("$E1002 - IFERROR(FILTER($E:$E,$C:$C = $C1002, $A:$A = $A1002, $B:$B = $B1002 - 1),0)"),-5500.0)</f>
        <v>-5500</v>
      </c>
      <c r="X1002" s="93"/>
      <c r="Y1002" s="93"/>
      <c r="Z1002" s="93">
        <v>0.0</v>
      </c>
      <c r="AA1002" s="93">
        <v>0.0</v>
      </c>
      <c r="AB1002" s="93">
        <v>0.0</v>
      </c>
      <c r="AC1002" s="93"/>
      <c r="AD1002" s="93">
        <v>0.0</v>
      </c>
      <c r="AE1002" s="32">
        <f t="shared" si="2"/>
        <v>-5500</v>
      </c>
      <c r="AF1002" s="93">
        <v>0.0</v>
      </c>
    </row>
    <row r="1003">
      <c r="A1003" s="86">
        <v>2018.0</v>
      </c>
      <c r="B1003" s="87">
        <v>6.0</v>
      </c>
      <c r="C1003" s="88" t="s">
        <v>28</v>
      </c>
      <c r="D1003" s="32"/>
      <c r="E1003" s="93">
        <v>-64500.0</v>
      </c>
      <c r="F1003" s="32"/>
      <c r="G1003" s="93">
        <v>-9988.47</v>
      </c>
      <c r="H1003" s="93">
        <v>41104.55</v>
      </c>
      <c r="I1003" s="93">
        <v>8483.71</v>
      </c>
      <c r="J1003" s="93">
        <v>-44656.97</v>
      </c>
      <c r="K1003" s="32"/>
      <c r="L1003" s="32"/>
      <c r="M1003" s="32"/>
      <c r="N1003" s="32"/>
      <c r="O1003" s="93">
        <v>3239670.0</v>
      </c>
      <c r="P1003" s="91">
        <f>IFERROR(__xludf.DUMMYFUNCTION("IFERROR(sum(FILTER($D:$N,$C:$C = $C1003,$A:$A &lt; $A1003,$B:$B = 12)),0) + sum($D1003:$N1003)"),3239668.8899999997)</f>
        <v>3239668.89</v>
      </c>
      <c r="Q1003" s="92">
        <f t="shared" si="1"/>
        <v>1.11</v>
      </c>
      <c r="R1003" s="91">
        <f t="array" ref="R1003">IFERROR(INDEX('Fund YTD Target Values'!$1:$1000, MATCH($C1003,'Fund YTD Target Values'!$A:$A,0), MATCH($A1003,'Fund YTD Target Values'!$1:$1,0)),0)</f>
        <v>3840487.513</v>
      </c>
      <c r="S1003" s="91">
        <f>IFERROR(__xludf.DUMMYFUNCTION("IFERROR(sum(FILTER('Fund Investment Data'!$V:$V, 'Fund Investment Data'!$C:$C = $C1003, 'Fund Investment Data'!$A:$A &lt; $A1003)),0) + IFERROR(sum(FILTER('Fund Investment Data'!$V:$V, 'Fund Investment Data'!$C:$C = $C1003, 'Fund Investment Data'!$A:$A = $A1"&amp;"003, 'Fund Investment Data'!$B:$B &lt;= $B1003)),0)"),2960091.25)</f>
        <v>2960091.25</v>
      </c>
      <c r="T1003" s="93">
        <v>3009816.0</v>
      </c>
      <c r="U1003" s="32">
        <f t="shared" si="3"/>
        <v>-49724.75</v>
      </c>
      <c r="V1003" s="32">
        <f>IFERROR(__xludf.DUMMYFUNCTION("$D1003 - IFERROR(FILTER($D:$D,$C:$C = $C1003, $A:$A = $A1003, $B:$B = $B1003 - 1),0)"),0.0)</f>
        <v>0</v>
      </c>
      <c r="W1003" s="93">
        <f>IFERROR(__xludf.DUMMYFUNCTION("$E1003 - IFERROR(FILTER($E:$E,$C:$C = $C1003, $A:$A = $A1003, $B:$B = $B1003 - 1),0)"),-29500.0)</f>
        <v>-29500</v>
      </c>
      <c r="X1003" s="93"/>
      <c r="Y1003" s="93"/>
      <c r="Z1003" s="93">
        <v>0.0</v>
      </c>
      <c r="AA1003" s="93">
        <v>0.0</v>
      </c>
      <c r="AB1003" s="93">
        <v>0.0</v>
      </c>
      <c r="AC1003" s="93"/>
      <c r="AD1003" s="93">
        <v>0.0</v>
      </c>
      <c r="AE1003" s="32">
        <f t="shared" si="2"/>
        <v>-64500</v>
      </c>
      <c r="AF1003" s="93">
        <v>0.0</v>
      </c>
    </row>
    <row r="1004">
      <c r="A1004" s="86">
        <v>2018.0</v>
      </c>
      <c r="B1004" s="87">
        <v>6.0</v>
      </c>
      <c r="C1004" s="88" t="s">
        <v>46</v>
      </c>
      <c r="D1004" s="32"/>
      <c r="E1004" s="93">
        <v>-13800.0</v>
      </c>
      <c r="F1004" s="32"/>
      <c r="G1004" s="93">
        <v>-1189.83</v>
      </c>
      <c r="H1004" s="93">
        <v>4894.98</v>
      </c>
      <c r="I1004" s="93">
        <v>3417.03</v>
      </c>
      <c r="J1004" s="93">
        <v>-7622.54</v>
      </c>
      <c r="K1004" s="32"/>
      <c r="L1004" s="32"/>
      <c r="M1004" s="32"/>
      <c r="N1004" s="32"/>
      <c r="O1004" s="93">
        <v>379207.0</v>
      </c>
      <c r="P1004" s="91">
        <f>IFERROR(__xludf.DUMMYFUNCTION("IFERROR(sum(FILTER($D:$N,$C:$C = $C1004,$A:$A &lt; $A1004,$B:$B = 12)),0) + sum($D1004:$N1004)"),379207.30000000005)</f>
        <v>379207.3</v>
      </c>
      <c r="Q1004" s="92">
        <f t="shared" si="1"/>
        <v>-0.3</v>
      </c>
      <c r="R1004" s="91">
        <f t="array" ref="R1004">IFERROR(INDEX('Fund YTD Target Values'!$1:$1000, MATCH($C1004,'Fund YTD Target Values'!$A:$A,0), MATCH($A1004,'Fund YTD Target Values'!$1:$1,0)),0)</f>
        <v>456546.9656</v>
      </c>
      <c r="S1004" s="91">
        <f>IFERROR(__xludf.DUMMYFUNCTION("IFERROR(sum(FILTER('Fund Investment Data'!$V:$V, 'Fund Investment Data'!$C:$C = $C1004, 'Fund Investment Data'!$A:$A &lt; $A1004)),0) + IFERROR(sum(FILTER('Fund Investment Data'!$V:$V, 'Fund Investment Data'!$C:$C = $C1004, 'Fund Investment Data'!$A:$A = $A1"&amp;"004, 'Fund Investment Data'!$B:$B &lt;= $B1004)),0)"),366400.0)</f>
        <v>366400</v>
      </c>
      <c r="T1004" s="93">
        <v>366400.0</v>
      </c>
      <c r="U1004" s="32">
        <f t="shared" si="3"/>
        <v>0</v>
      </c>
      <c r="V1004" s="32">
        <f>IFERROR(__xludf.DUMMYFUNCTION("$D1004 - IFERROR(FILTER($D:$D,$C:$C = $C1004, $A:$A = $A1004, $B:$B = $B1004 - 1),0)"),0.0)</f>
        <v>0</v>
      </c>
      <c r="W1004" s="93">
        <f>IFERROR(__xludf.DUMMYFUNCTION("$E1004 - IFERROR(FILTER($E:$E,$C:$C = $C1004, $A:$A = $A1004, $B:$B = $B1004 - 1),0)"),-13800.0)</f>
        <v>-13800</v>
      </c>
      <c r="X1004" s="93"/>
      <c r="Y1004" s="93"/>
      <c r="Z1004" s="93">
        <v>0.0</v>
      </c>
      <c r="AA1004" s="93">
        <v>0.0</v>
      </c>
      <c r="AB1004" s="93">
        <v>0.0</v>
      </c>
      <c r="AC1004" s="93"/>
      <c r="AD1004" s="93">
        <v>0.0</v>
      </c>
      <c r="AE1004" s="32">
        <f t="shared" si="2"/>
        <v>-13800</v>
      </c>
      <c r="AF1004" s="93">
        <v>0.0</v>
      </c>
    </row>
    <row r="1005">
      <c r="A1005" s="86">
        <v>2018.0</v>
      </c>
      <c r="B1005" s="87">
        <v>6.0</v>
      </c>
      <c r="C1005" s="88" t="s">
        <v>36</v>
      </c>
      <c r="D1005" s="32"/>
      <c r="E1005" s="93">
        <v>-9000.0</v>
      </c>
      <c r="F1005" s="32"/>
      <c r="G1005" s="93">
        <v>-1360.96</v>
      </c>
      <c r="H1005" s="93">
        <v>5605.3</v>
      </c>
      <c r="I1005" s="93">
        <v>1586.45</v>
      </c>
      <c r="J1005" s="93">
        <v>-6506.33</v>
      </c>
      <c r="K1005" s="32"/>
      <c r="L1005" s="32"/>
      <c r="M1005" s="32"/>
      <c r="N1005" s="32"/>
      <c r="O1005" s="93">
        <v>441079.0</v>
      </c>
      <c r="P1005" s="91">
        <f>IFERROR(__xludf.DUMMYFUNCTION("IFERROR(sum(FILTER($D:$N,$C:$C = $C1005,$A:$A &lt; $A1005,$B:$B = 12)),0) + sum($D1005:$N1005)"),441078.92000000004)</f>
        <v>441078.92</v>
      </c>
      <c r="Q1005" s="92">
        <f t="shared" si="1"/>
        <v>0.07999999996</v>
      </c>
      <c r="R1005" s="91">
        <f t="array" ref="R1005">IFERROR(INDEX('Fund YTD Target Values'!$1:$1000, MATCH($C1005,'Fund YTD Target Values'!$A:$A,0), MATCH($A1005,'Fund YTD Target Values'!$1:$1,0)),0)</f>
        <v>635486.6433</v>
      </c>
      <c r="S1005" s="91">
        <f>IFERROR(__xludf.DUMMYFUNCTION("IFERROR(sum(FILTER('Fund Investment Data'!$V:$V, 'Fund Investment Data'!$C:$C = $C1005, 'Fund Investment Data'!$A:$A &lt; $A1005)),0) + IFERROR(sum(FILTER('Fund Investment Data'!$V:$V, 'Fund Investment Data'!$C:$C = $C1005, 'Fund Investment Data'!$A:$A = $A1"&amp;"005, 'Fund Investment Data'!$B:$B &lt;= $B1005)),0)"),429067.24)</f>
        <v>429067.24</v>
      </c>
      <c r="T1005" s="93">
        <v>413959.0</v>
      </c>
      <c r="U1005" s="32">
        <f t="shared" si="3"/>
        <v>15108.24</v>
      </c>
      <c r="V1005" s="32">
        <f>IFERROR(__xludf.DUMMYFUNCTION("$D1005 - IFERROR(FILTER($D:$D,$C:$C = $C1005, $A:$A = $A1005, $B:$B = $B1005 - 1),0)"),0.0)</f>
        <v>0</v>
      </c>
      <c r="W1005" s="93">
        <f>IFERROR(__xludf.DUMMYFUNCTION("$E1005 - IFERROR(FILTER($E:$E,$C:$C = $C1005, $A:$A = $A1005, $B:$B = $B1005 - 1),0)"),-5000.0)</f>
        <v>-5000</v>
      </c>
      <c r="X1005" s="93"/>
      <c r="Y1005" s="93"/>
      <c r="Z1005" s="93">
        <v>0.0</v>
      </c>
      <c r="AA1005" s="93">
        <v>0.0</v>
      </c>
      <c r="AB1005" s="93">
        <v>0.0</v>
      </c>
      <c r="AC1005" s="93"/>
      <c r="AD1005" s="93">
        <v>0.0</v>
      </c>
      <c r="AE1005" s="32">
        <f t="shared" si="2"/>
        <v>-9000</v>
      </c>
      <c r="AF1005" s="93">
        <v>0.0</v>
      </c>
    </row>
    <row r="1006">
      <c r="A1006" s="86">
        <v>2018.0</v>
      </c>
      <c r="B1006" s="87">
        <v>6.0</v>
      </c>
      <c r="C1006" s="88" t="s">
        <v>37</v>
      </c>
      <c r="D1006" s="32"/>
      <c r="E1006" s="93">
        <v>-17000.0</v>
      </c>
      <c r="F1006" s="32"/>
      <c r="G1006" s="93">
        <v>-2486.01</v>
      </c>
      <c r="H1006" s="93">
        <v>10238.53</v>
      </c>
      <c r="I1006" s="93">
        <v>2394.84</v>
      </c>
      <c r="J1006" s="93">
        <v>-11372.82</v>
      </c>
      <c r="K1006" s="32"/>
      <c r="L1006" s="32"/>
      <c r="M1006" s="32"/>
      <c r="N1006" s="32"/>
      <c r="O1006" s="93">
        <v>805104.0</v>
      </c>
      <c r="P1006" s="91">
        <f>IFERROR(__xludf.DUMMYFUNCTION("IFERROR(sum(FILTER($D:$N,$C:$C = $C1006,$A:$A &lt; $A1006,$B:$B = 12)),0) + sum($D1006:$N1006)"),805103.7799999999)</f>
        <v>805103.78</v>
      </c>
      <c r="Q1006" s="92">
        <f t="shared" si="1"/>
        <v>0.2200000001</v>
      </c>
      <c r="R1006" s="91">
        <f t="array" ref="R1006">IFERROR(INDEX('Fund YTD Target Values'!$1:$1000, MATCH($C1006,'Fund YTD Target Values'!$A:$A,0), MATCH($A1006,'Fund YTD Target Values'!$1:$1,0)),0)</f>
        <v>845621.3635</v>
      </c>
      <c r="S1006" s="91">
        <f>IFERROR(__xludf.DUMMYFUNCTION("IFERROR(sum(FILTER('Fund Investment Data'!$V:$V, 'Fund Investment Data'!$C:$C = $C1006, 'Fund Investment Data'!$A:$A &lt; $A1006)),0) + IFERROR(sum(FILTER('Fund Investment Data'!$V:$V, 'Fund Investment Data'!$C:$C = $C1006, 'Fund Investment Data'!$A:$A = $A1"&amp;"006, 'Fund Investment Data'!$B:$B &lt;= $B1006)),0)"),758137.86)</f>
        <v>758137.86</v>
      </c>
      <c r="T1006" s="93">
        <v>742866.0</v>
      </c>
      <c r="U1006" s="32">
        <f t="shared" si="3"/>
        <v>15271.86</v>
      </c>
      <c r="V1006" s="32">
        <f>IFERROR(__xludf.DUMMYFUNCTION("$D1006 - IFERROR(FILTER($D:$D,$C:$C = $C1006, $A:$A = $A1006, $B:$B = $B1006 - 1),0)"),0.0)</f>
        <v>0</v>
      </c>
      <c r="W1006" s="93">
        <f>IFERROR(__xludf.DUMMYFUNCTION("$E1006 - IFERROR(FILTER($E:$E,$C:$C = $C1006, $A:$A = $A1006, $B:$B = $B1006 - 1),0)"),-10000.0)</f>
        <v>-10000</v>
      </c>
      <c r="X1006" s="93"/>
      <c r="Y1006" s="93"/>
      <c r="Z1006" s="93">
        <v>0.0</v>
      </c>
      <c r="AA1006" s="93">
        <v>0.0</v>
      </c>
      <c r="AB1006" s="93">
        <v>0.0</v>
      </c>
      <c r="AC1006" s="93"/>
      <c r="AD1006" s="93">
        <v>0.0</v>
      </c>
      <c r="AE1006" s="32">
        <f t="shared" si="2"/>
        <v>-17000</v>
      </c>
      <c r="AF1006" s="93">
        <v>0.0</v>
      </c>
    </row>
    <row r="1007">
      <c r="A1007" s="86">
        <v>2018.0</v>
      </c>
      <c r="B1007" s="87">
        <v>6.0</v>
      </c>
      <c r="C1007" s="88" t="s">
        <v>29</v>
      </c>
      <c r="D1007" s="32"/>
      <c r="E1007" s="32"/>
      <c r="F1007" s="32"/>
      <c r="G1007" s="93">
        <v>-175.86</v>
      </c>
      <c r="H1007" s="93">
        <v>723.2</v>
      </c>
      <c r="I1007" s="32"/>
      <c r="J1007" s="93">
        <v>-643.31</v>
      </c>
      <c r="K1007" s="32"/>
      <c r="L1007" s="32"/>
      <c r="M1007" s="32"/>
      <c r="N1007" s="32"/>
      <c r="O1007" s="93">
        <v>58065.0</v>
      </c>
      <c r="P1007" s="91">
        <f>IFERROR(__xludf.DUMMYFUNCTION("IFERROR(sum(FILTER($D:$N,$C:$C = $C1007,$A:$A &lt; $A1007,$B:$B = 12)),0) + sum($D1007:$N1007)"),58065.339999999924)</f>
        <v>58065.34</v>
      </c>
      <c r="Q1007" s="92">
        <f t="shared" si="1"/>
        <v>-0.3399999999</v>
      </c>
      <c r="R1007" s="91">
        <f t="array" ref="R1007">IFERROR(INDEX('Fund YTD Target Values'!$1:$1000, MATCH($C1007,'Fund YTD Target Values'!$A:$A,0), MATCH($A1007,'Fund YTD Target Values'!$1:$1,0)),0)</f>
        <v>77055.94062</v>
      </c>
      <c r="S1007" s="91">
        <f>IFERROR(__xludf.DUMMYFUNCTION("IFERROR(sum(FILTER('Fund Investment Data'!$V:$V, 'Fund Investment Data'!$C:$C = $C1007, 'Fund Investment Data'!$A:$A &lt; $A1007)),0) + IFERROR(sum(FILTER('Fund Investment Data'!$V:$V, 'Fund Investment Data'!$C:$C = $C1007, 'Fund Investment Data'!$A:$A = $A1"&amp;"007, 'Fund Investment Data'!$B:$B &lt;= $B1007)),0)"),50000.0)</f>
        <v>50000</v>
      </c>
      <c r="T1007" s="93">
        <v>50000.0</v>
      </c>
      <c r="U1007" s="32">
        <f t="shared" si="3"/>
        <v>0</v>
      </c>
      <c r="V1007" s="32">
        <f>IFERROR(__xludf.DUMMYFUNCTION("$D1007 - IFERROR(FILTER($D:$D,$C:$C = $C1007, $A:$A = $A1007, $B:$B = $B1007 - 1),0)"),0.0)</f>
        <v>0</v>
      </c>
      <c r="W1007" s="93">
        <f>IFERROR(__xludf.DUMMYFUNCTION("$E1007 - IFERROR(FILTER($E:$E,$C:$C = $C1007, $A:$A = $A1007, $B:$B = $B1007 - 1),0)"),0.0)</f>
        <v>0</v>
      </c>
      <c r="X1007" s="93"/>
      <c r="Y1007" s="93"/>
      <c r="Z1007" s="93">
        <v>0.0</v>
      </c>
      <c r="AA1007" s="93">
        <v>0.0</v>
      </c>
      <c r="AB1007" s="93">
        <v>0.0</v>
      </c>
      <c r="AC1007" s="93"/>
      <c r="AD1007" s="93">
        <v>0.0</v>
      </c>
      <c r="AE1007" s="32">
        <f t="shared" si="2"/>
        <v>0</v>
      </c>
      <c r="AF1007" s="93">
        <v>0.0</v>
      </c>
    </row>
    <row r="1008">
      <c r="A1008" s="86">
        <v>2018.0</v>
      </c>
      <c r="B1008" s="87">
        <v>6.0</v>
      </c>
      <c r="C1008" s="88" t="s">
        <v>38</v>
      </c>
      <c r="D1008" s="32"/>
      <c r="E1008" s="93">
        <v>-20000.0</v>
      </c>
      <c r="F1008" s="32"/>
      <c r="G1008" s="93">
        <v>-2450.05</v>
      </c>
      <c r="H1008" s="93">
        <v>10050.56</v>
      </c>
      <c r="I1008" s="32"/>
      <c r="J1008" s="93">
        <v>-8885.11</v>
      </c>
      <c r="K1008" s="32"/>
      <c r="L1008" s="32"/>
      <c r="M1008" s="32"/>
      <c r="N1008" s="32"/>
      <c r="O1008" s="93">
        <v>794125.0</v>
      </c>
      <c r="P1008" s="91">
        <f>IFERROR(__xludf.DUMMYFUNCTION("IFERROR(sum(FILTER($D:$N,$C:$C = $C1008,$A:$A &lt; $A1008,$B:$B = 12)),0) + sum($D1008:$N1008)"),794123.5399999999)</f>
        <v>794123.54</v>
      </c>
      <c r="Q1008" s="92">
        <f t="shared" si="1"/>
        <v>1.46</v>
      </c>
      <c r="R1008" s="91">
        <f t="array" ref="R1008">IFERROR(INDEX('Fund YTD Target Values'!$1:$1000, MATCH($C1008,'Fund YTD Target Values'!$A:$A,0), MATCH($A1008,'Fund YTD Target Values'!$1:$1,0)),0)</f>
        <v>702514.9803</v>
      </c>
      <c r="S1008" s="91">
        <f>IFERROR(__xludf.DUMMYFUNCTION("IFERROR(sum(FILTER('Fund Investment Data'!$V:$V, 'Fund Investment Data'!$C:$C = $C1008, 'Fund Investment Data'!$A:$A &lt; $A1008)),0) + IFERROR(sum(FILTER('Fund Investment Data'!$V:$V, 'Fund Investment Data'!$C:$C = $C1008, 'Fund Investment Data'!$A:$A = $A1"&amp;"008, 'Fund Investment Data'!$B:$B &lt;= $B1008)),0)"),556601.64)</f>
        <v>556601.64</v>
      </c>
      <c r="T1008" s="93">
        <v>558656.0</v>
      </c>
      <c r="U1008" s="32">
        <f t="shared" si="3"/>
        <v>-2054.36</v>
      </c>
      <c r="V1008" s="32">
        <f>IFERROR(__xludf.DUMMYFUNCTION("$D1008 - IFERROR(FILTER($D:$D,$C:$C = $C1008, $A:$A = $A1008, $B:$B = $B1008 - 1),0)"),0.0)</f>
        <v>0</v>
      </c>
      <c r="W1008" s="93">
        <f>IFERROR(__xludf.DUMMYFUNCTION("$E1008 - IFERROR(FILTER($E:$E,$C:$C = $C1008, $A:$A = $A1008, $B:$B = $B1008 - 1),0)"),0.0)</f>
        <v>0</v>
      </c>
      <c r="X1008" s="93"/>
      <c r="Y1008" s="93"/>
      <c r="Z1008" s="93">
        <v>0.0</v>
      </c>
      <c r="AA1008" s="93">
        <v>0.0</v>
      </c>
      <c r="AB1008" s="93">
        <v>0.0</v>
      </c>
      <c r="AC1008" s="93"/>
      <c r="AD1008" s="93">
        <v>0.0</v>
      </c>
      <c r="AE1008" s="32">
        <f t="shared" si="2"/>
        <v>-20000</v>
      </c>
      <c r="AF1008" s="93">
        <v>0.0</v>
      </c>
    </row>
    <row r="1009">
      <c r="A1009" s="86">
        <v>2018.0</v>
      </c>
      <c r="B1009" s="87">
        <v>6.0</v>
      </c>
      <c r="C1009" s="88" t="s">
        <v>30</v>
      </c>
      <c r="D1009" s="32"/>
      <c r="E1009" s="32"/>
      <c r="F1009" s="32"/>
      <c r="G1009" s="93">
        <v>-52.49</v>
      </c>
      <c r="H1009" s="93">
        <v>211.58</v>
      </c>
      <c r="I1009" s="32"/>
      <c r="J1009" s="93">
        <v>-192.47</v>
      </c>
      <c r="K1009" s="32"/>
      <c r="L1009" s="32"/>
      <c r="M1009" s="32"/>
      <c r="N1009" s="32"/>
      <c r="O1009" s="93">
        <v>17336.0</v>
      </c>
      <c r="P1009" s="91">
        <f>IFERROR(__xludf.DUMMYFUNCTION("IFERROR(sum(FILTER($D:$N,$C:$C = $C1009,$A:$A &lt; $A1009,$B:$B = 12)),0) + sum($D1009:$N1009)"),17334.029999999984)</f>
        <v>17334.03</v>
      </c>
      <c r="Q1009" s="92">
        <f t="shared" si="1"/>
        <v>1.97</v>
      </c>
      <c r="R1009" s="91">
        <f t="array" ref="R1009">IFERROR(INDEX('Fund YTD Target Values'!$1:$1000, MATCH($C1009,'Fund YTD Target Values'!$A:$A,0), MATCH($A1009,'Fund YTD Target Values'!$1:$1,0)),0)</f>
        <v>18484.57102</v>
      </c>
      <c r="S1009" s="91">
        <f>IFERROR(__xludf.DUMMYFUNCTION("IFERROR(sum(FILTER('Fund Investment Data'!$V:$V, 'Fund Investment Data'!$C:$C = $C1009, 'Fund Investment Data'!$A:$A &lt; $A1009)),0) + IFERROR(sum(FILTER('Fund Investment Data'!$V:$V, 'Fund Investment Data'!$C:$C = $C1009, 'Fund Investment Data'!$A:$A = $A1"&amp;"009, 'Fund Investment Data'!$B:$B &lt;= $B1009)),0)"),11540.75)</f>
        <v>11540.75</v>
      </c>
      <c r="T1009" s="93">
        <v>10000.0</v>
      </c>
      <c r="U1009" s="32">
        <f t="shared" si="3"/>
        <v>1540.75</v>
      </c>
      <c r="V1009" s="32">
        <f>IFERROR(__xludf.DUMMYFUNCTION("$D1009 - IFERROR(FILTER($D:$D,$C:$C = $C1009, $A:$A = $A1009, $B:$B = $B1009 - 1),0)"),0.0)</f>
        <v>0</v>
      </c>
      <c r="W1009" s="93">
        <f>IFERROR(__xludf.DUMMYFUNCTION("$E1009 - IFERROR(FILTER($E:$E,$C:$C = $C1009, $A:$A = $A1009, $B:$B = $B1009 - 1),0)"),0.0)</f>
        <v>0</v>
      </c>
      <c r="X1009" s="93"/>
      <c r="Y1009" s="93"/>
      <c r="Z1009" s="93">
        <v>0.0</v>
      </c>
      <c r="AA1009" s="93">
        <v>0.0</v>
      </c>
      <c r="AB1009" s="93">
        <v>0.0</v>
      </c>
      <c r="AC1009" s="93"/>
      <c r="AD1009" s="93">
        <v>0.0</v>
      </c>
      <c r="AE1009" s="32">
        <f t="shared" si="2"/>
        <v>0</v>
      </c>
      <c r="AF1009" s="93">
        <v>0.0</v>
      </c>
    </row>
    <row r="1010">
      <c r="A1010" s="86">
        <v>2018.0</v>
      </c>
      <c r="B1010" s="87">
        <v>6.0</v>
      </c>
      <c r="C1010" s="88" t="s">
        <v>47</v>
      </c>
      <c r="D1010" s="32"/>
      <c r="E1010" s="93">
        <v>-24000.0</v>
      </c>
      <c r="F1010" s="32"/>
      <c r="G1010" s="93">
        <v>-4571.64</v>
      </c>
      <c r="H1010" s="93">
        <v>18829.98</v>
      </c>
      <c r="I1010" s="93">
        <v>3197.33</v>
      </c>
      <c r="J1010" s="93">
        <v>-19818.91</v>
      </c>
      <c r="K1010" s="32"/>
      <c r="L1010" s="32"/>
      <c r="M1010" s="32"/>
      <c r="N1010" s="32"/>
      <c r="O1010" s="93">
        <v>1487887.0</v>
      </c>
      <c r="P1010" s="91">
        <f>IFERROR(__xludf.DUMMYFUNCTION("IFERROR(sum(FILTER($D:$N,$C:$C = $C1010,$A:$A &lt; $A1010,$B:$B = 12)),0) + sum($D1010:$N1010)"),1487886.3999999997)</f>
        <v>1487886.4</v>
      </c>
      <c r="Q1010" s="92">
        <f t="shared" si="1"/>
        <v>0.6000000003</v>
      </c>
      <c r="R1010" s="91">
        <f t="array" ref="R1010">IFERROR(INDEX('Fund YTD Target Values'!$1:$1000, MATCH($C1010,'Fund YTD Target Values'!$A:$A,0), MATCH($A1010,'Fund YTD Target Values'!$1:$1,0)),0)</f>
        <v>1998729.212</v>
      </c>
      <c r="S1010" s="91">
        <f>IFERROR(__xludf.DUMMYFUNCTION("IFERROR(sum(FILTER('Fund Investment Data'!$V:$V, 'Fund Investment Data'!$C:$C = $C1010, 'Fund Investment Data'!$A:$A &lt; $A1010)),0) + IFERROR(sum(FILTER('Fund Investment Data'!$V:$V, 'Fund Investment Data'!$C:$C = $C1010, 'Fund Investment Data'!$A:$A = $A1"&amp;"010, 'Fund Investment Data'!$B:$B &lt;= $B1010)),0)"),1456367.46)</f>
        <v>1456367.46</v>
      </c>
      <c r="T1010" s="93">
        <v>1348955.0</v>
      </c>
      <c r="U1010" s="32">
        <f t="shared" si="3"/>
        <v>107412.46</v>
      </c>
      <c r="V1010" s="32">
        <f>IFERROR(__xludf.DUMMYFUNCTION("$D1010 - IFERROR(FILTER($D:$D,$C:$C = $C1010, $A:$A = $A1010, $B:$B = $B1010 - 1),0)"),0.0)</f>
        <v>0</v>
      </c>
      <c r="W1010" s="93">
        <f>IFERROR(__xludf.DUMMYFUNCTION("$E1010 - IFERROR(FILTER($E:$E,$C:$C = $C1010, $A:$A = $A1010, $B:$B = $B1010 - 1),0)"),-10000.0)</f>
        <v>-10000</v>
      </c>
      <c r="X1010" s="93"/>
      <c r="Y1010" s="93"/>
      <c r="Z1010" s="93">
        <v>0.0</v>
      </c>
      <c r="AA1010" s="93">
        <v>0.0</v>
      </c>
      <c r="AB1010" s="93">
        <v>0.0</v>
      </c>
      <c r="AC1010" s="93"/>
      <c r="AD1010" s="93">
        <v>0.0</v>
      </c>
      <c r="AE1010" s="32">
        <f t="shared" si="2"/>
        <v>-24000</v>
      </c>
      <c r="AF1010" s="93">
        <v>0.0</v>
      </c>
    </row>
    <row r="1011">
      <c r="A1011" s="86">
        <v>2018.0</v>
      </c>
      <c r="B1011" s="87">
        <v>6.0</v>
      </c>
      <c r="C1011" s="88" t="s">
        <v>31</v>
      </c>
      <c r="D1011" s="32"/>
      <c r="E1011" s="93">
        <v>-1800.0</v>
      </c>
      <c r="F1011" s="32"/>
      <c r="G1011" s="93">
        <v>-572.28</v>
      </c>
      <c r="H1011" s="93">
        <v>2354.27</v>
      </c>
      <c r="I1011" s="32"/>
      <c r="J1011" s="93">
        <v>-2095.06</v>
      </c>
      <c r="K1011" s="32"/>
      <c r="L1011" s="32"/>
      <c r="M1011" s="32"/>
      <c r="N1011" s="32"/>
      <c r="O1011" s="93">
        <v>187146.0</v>
      </c>
      <c r="P1011" s="91">
        <f>IFERROR(__xludf.DUMMYFUNCTION("IFERROR(sum(FILTER($D:$N,$C:$C = $C1011,$A:$A &lt; $A1011,$B:$B = 12)),0) + sum($D1011:$N1011)"),187146.28000000003)</f>
        <v>187146.28</v>
      </c>
      <c r="Q1011" s="92">
        <f t="shared" si="1"/>
        <v>-0.28</v>
      </c>
      <c r="R1011" s="91">
        <f t="array" ref="R1011">IFERROR(INDEX('Fund YTD Target Values'!$1:$1000, MATCH($C1011,'Fund YTD Target Values'!$A:$A,0), MATCH($A1011,'Fund YTD Target Values'!$1:$1,0)),0)</f>
        <v>210555.1651</v>
      </c>
      <c r="S1011" s="91">
        <f>IFERROR(__xludf.DUMMYFUNCTION("IFERROR(sum(FILTER('Fund Investment Data'!$V:$V, 'Fund Investment Data'!$C:$C = $C1011, 'Fund Investment Data'!$A:$A &lt; $A1011)),0) + IFERROR(sum(FILTER('Fund Investment Data'!$V:$V, 'Fund Investment Data'!$C:$C = $C1011, 'Fund Investment Data'!$A:$A = $A1"&amp;"011, 'Fund Investment Data'!$B:$B &lt;= $B1011)),0)"),158100.0)</f>
        <v>158100</v>
      </c>
      <c r="T1011" s="93">
        <v>156850.0</v>
      </c>
      <c r="U1011" s="32">
        <f t="shared" si="3"/>
        <v>1250</v>
      </c>
      <c r="V1011" s="32">
        <f>IFERROR(__xludf.DUMMYFUNCTION("$D1011 - IFERROR(FILTER($D:$D,$C:$C = $C1011, $A:$A = $A1011, $B:$B = $B1011 - 1),0)"),0.0)</f>
        <v>0</v>
      </c>
      <c r="W1011" s="93">
        <f>IFERROR(__xludf.DUMMYFUNCTION("$E1011 - IFERROR(FILTER($E:$E,$C:$C = $C1011, $A:$A = $A1011, $B:$B = $B1011 - 1),0)"),-1800.0)</f>
        <v>-1800</v>
      </c>
      <c r="X1011" s="93"/>
      <c r="Y1011" s="93"/>
      <c r="Z1011" s="93">
        <v>0.0</v>
      </c>
      <c r="AA1011" s="93">
        <v>0.0</v>
      </c>
      <c r="AB1011" s="93">
        <v>0.0</v>
      </c>
      <c r="AC1011" s="93"/>
      <c r="AD1011" s="93">
        <v>0.0</v>
      </c>
      <c r="AE1011" s="32">
        <f t="shared" si="2"/>
        <v>-1800</v>
      </c>
      <c r="AF1011" s="93">
        <v>0.0</v>
      </c>
    </row>
    <row r="1012">
      <c r="A1012" s="86">
        <v>2018.0</v>
      </c>
      <c r="B1012" s="87">
        <v>6.0</v>
      </c>
      <c r="C1012" s="88" t="s">
        <v>39</v>
      </c>
      <c r="D1012" s="32"/>
      <c r="E1012" s="93">
        <v>-4200.0</v>
      </c>
      <c r="F1012" s="32"/>
      <c r="G1012" s="93">
        <v>-541.01</v>
      </c>
      <c r="H1012" s="93">
        <v>2104.28</v>
      </c>
      <c r="I1012" s="93">
        <v>392.08</v>
      </c>
      <c r="J1012" s="93">
        <v>-3179.94</v>
      </c>
      <c r="K1012" s="32"/>
      <c r="L1012" s="32"/>
      <c r="M1012" s="32"/>
      <c r="N1012" s="32"/>
      <c r="O1012" s="93">
        <v>174299.0</v>
      </c>
      <c r="P1012" s="91">
        <f>IFERROR(__xludf.DUMMYFUNCTION("IFERROR(sum(FILTER($D:$N,$C:$C = $C1012,$A:$A &lt; $A1012,$B:$B = 12)),0) + sum($D1012:$N1012)"),174298.67000000004)</f>
        <v>174298.67</v>
      </c>
      <c r="Q1012" s="92">
        <f t="shared" si="1"/>
        <v>0.33</v>
      </c>
      <c r="R1012" s="91">
        <f t="array" ref="R1012">IFERROR(INDEX('Fund YTD Target Values'!$1:$1000, MATCH($C1012,'Fund YTD Target Values'!$A:$A,0), MATCH($A1012,'Fund YTD Target Values'!$1:$1,0)),0)</f>
        <v>184883.5181</v>
      </c>
      <c r="S1012" s="91">
        <f>IFERROR(__xludf.DUMMYFUNCTION("IFERROR(sum(FILTER('Fund Investment Data'!$V:$V, 'Fund Investment Data'!$C:$C = $C1012, 'Fund Investment Data'!$A:$A &lt; $A1012)),0) + IFERROR(sum(FILTER('Fund Investment Data'!$V:$V, 'Fund Investment Data'!$C:$C = $C1012, 'Fund Investment Data'!$A:$A = $A1"&amp;"012, 'Fund Investment Data'!$B:$B &lt;= $B1012)),0)"),155000.0)</f>
        <v>155000</v>
      </c>
      <c r="T1012" s="93">
        <v>155000.0</v>
      </c>
      <c r="U1012" s="32">
        <f t="shared" si="3"/>
        <v>0</v>
      </c>
      <c r="V1012" s="32">
        <f>IFERROR(__xludf.DUMMYFUNCTION("$D1012 - IFERROR(FILTER($D:$D,$C:$C = $C1012, $A:$A = $A1012, $B:$B = $B1012 - 1),0)"),0.0)</f>
        <v>0</v>
      </c>
      <c r="W1012" s="93">
        <f>IFERROR(__xludf.DUMMYFUNCTION("$E1012 - IFERROR(FILTER($E:$E,$C:$C = $C1012, $A:$A = $A1012, $B:$B = $B1012 - 1),0)"),-4200.0)</f>
        <v>-4200</v>
      </c>
      <c r="X1012" s="93"/>
      <c r="Y1012" s="93"/>
      <c r="Z1012" s="93">
        <v>0.0</v>
      </c>
      <c r="AA1012" s="93">
        <v>0.0</v>
      </c>
      <c r="AB1012" s="93">
        <v>0.0</v>
      </c>
      <c r="AC1012" s="93"/>
      <c r="AD1012" s="93">
        <v>0.0</v>
      </c>
      <c r="AE1012" s="32">
        <f t="shared" si="2"/>
        <v>-4200</v>
      </c>
      <c r="AF1012" s="93">
        <v>0.0</v>
      </c>
    </row>
    <row r="1013">
      <c r="A1013" s="86">
        <v>2018.0</v>
      </c>
      <c r="B1013" s="87">
        <v>6.0</v>
      </c>
      <c r="C1013" s="88" t="s">
        <v>50</v>
      </c>
      <c r="D1013" s="32"/>
      <c r="E1013" s="93">
        <v>-2000.0</v>
      </c>
      <c r="F1013" s="32"/>
      <c r="G1013" s="93">
        <v>-650.09</v>
      </c>
      <c r="H1013" s="93">
        <v>2612.95</v>
      </c>
      <c r="I1013" s="32"/>
      <c r="J1013" s="93">
        <v>-2389.76</v>
      </c>
      <c r="K1013" s="32"/>
      <c r="L1013" s="32"/>
      <c r="M1013" s="32"/>
      <c r="N1013" s="32"/>
      <c r="O1013" s="93">
        <v>213038.0</v>
      </c>
      <c r="P1013" s="91">
        <f>IFERROR(__xludf.DUMMYFUNCTION("IFERROR(sum(FILTER($D:$N,$C:$C = $C1013,$A:$A &lt; $A1013,$B:$B = 12)),0) + sum($D1013:$N1013)"),213037.21)</f>
        <v>213037.21</v>
      </c>
      <c r="Q1013" s="92">
        <f t="shared" si="1"/>
        <v>0.79</v>
      </c>
      <c r="R1013" s="91">
        <f t="array" ref="R1013">IFERROR(INDEX('Fund YTD Target Values'!$1:$1000, MATCH($C1013,'Fund YTD Target Values'!$A:$A,0), MATCH($A1013,'Fund YTD Target Values'!$1:$1,0)),0)</f>
        <v>217663.6749</v>
      </c>
      <c r="S1013" s="91">
        <f>IFERROR(__xludf.DUMMYFUNCTION("IFERROR(sum(FILTER('Fund Investment Data'!$V:$V, 'Fund Investment Data'!$C:$C = $C1013, 'Fund Investment Data'!$A:$A &lt; $A1013)),0) + IFERROR(sum(FILTER('Fund Investment Data'!$V:$V, 'Fund Investment Data'!$C:$C = $C1013, 'Fund Investment Data'!$A:$A = $A1"&amp;"013, 'Fund Investment Data'!$B:$B &lt;= $B1013)),0)"),185189.56)</f>
        <v>185189.56</v>
      </c>
      <c r="T1013" s="93">
        <v>190241.0</v>
      </c>
      <c r="U1013" s="32">
        <f t="shared" si="3"/>
        <v>-5051.44</v>
      </c>
      <c r="V1013" s="32">
        <f>IFERROR(__xludf.DUMMYFUNCTION("$D1013 - IFERROR(FILTER($D:$D,$C:$C = $C1013, $A:$A = $A1013, $B:$B = $B1013 - 1),0)"),0.0)</f>
        <v>0</v>
      </c>
      <c r="W1013" s="93">
        <f>IFERROR(__xludf.DUMMYFUNCTION("$E1013 - IFERROR(FILTER($E:$E,$C:$C = $C1013, $A:$A = $A1013, $B:$B = $B1013 - 1),0)"),0.0)</f>
        <v>0</v>
      </c>
      <c r="X1013" s="93"/>
      <c r="Y1013" s="93"/>
      <c r="Z1013" s="93">
        <v>0.0</v>
      </c>
      <c r="AA1013" s="93">
        <v>0.0</v>
      </c>
      <c r="AB1013" s="93">
        <v>0.0</v>
      </c>
      <c r="AC1013" s="93"/>
      <c r="AD1013" s="93">
        <v>0.0</v>
      </c>
      <c r="AE1013" s="32">
        <f t="shared" si="2"/>
        <v>-2000</v>
      </c>
      <c r="AF1013" s="93">
        <v>0.0</v>
      </c>
    </row>
    <row r="1014">
      <c r="A1014" s="86">
        <v>2018.0</v>
      </c>
      <c r="B1014" s="87">
        <v>6.0</v>
      </c>
      <c r="C1014" s="88" t="s">
        <v>32</v>
      </c>
      <c r="D1014" s="32"/>
      <c r="E1014" s="32"/>
      <c r="F1014" s="32"/>
      <c r="G1014" s="93">
        <v>-161.51</v>
      </c>
      <c r="H1014" s="93">
        <v>654.05</v>
      </c>
      <c r="I1014" s="32"/>
      <c r="J1014" s="93">
        <v>-588.75</v>
      </c>
      <c r="K1014" s="32"/>
      <c r="L1014" s="32"/>
      <c r="M1014" s="32"/>
      <c r="N1014" s="32"/>
      <c r="O1014" s="93">
        <v>53335.0</v>
      </c>
      <c r="P1014" s="91">
        <f>IFERROR(__xludf.DUMMYFUNCTION("IFERROR(sum(FILTER($D:$N,$C:$C = $C1014,$A:$A &lt; $A1014,$B:$B = 12)),0) + sum($D1014:$N1014)"),53334.61000000003)</f>
        <v>53334.61</v>
      </c>
      <c r="Q1014" s="92">
        <f t="shared" si="1"/>
        <v>0.39</v>
      </c>
      <c r="R1014" s="91">
        <f t="array" ref="R1014">IFERROR(INDEX('Fund YTD Target Values'!$1:$1000, MATCH($C1014,'Fund YTD Target Values'!$A:$A,0), MATCH($A1014,'Fund YTD Target Values'!$1:$1,0)),0)</f>
        <v>79179.11465</v>
      </c>
      <c r="S1014" s="91">
        <f>IFERROR(__xludf.DUMMYFUNCTION("IFERROR(sum(FILTER('Fund Investment Data'!$V:$V, 'Fund Investment Data'!$C:$C = $C1014, 'Fund Investment Data'!$A:$A &lt; $A1014)),0) + IFERROR(sum(FILTER('Fund Investment Data'!$V:$V, 'Fund Investment Data'!$C:$C = $C1014, 'Fund Investment Data'!$A:$A = $A1"&amp;"014, 'Fund Investment Data'!$B:$B &lt;= $B1014)),0)"),49449.04)</f>
        <v>49449.04</v>
      </c>
      <c r="T1014" s="93">
        <v>39268.0</v>
      </c>
      <c r="U1014" s="32">
        <f t="shared" si="3"/>
        <v>10181.04</v>
      </c>
      <c r="V1014" s="32">
        <f>IFERROR(__xludf.DUMMYFUNCTION("$D1014 - IFERROR(FILTER($D:$D,$C:$C = $C1014, $A:$A = $A1014, $B:$B = $B1014 - 1),0)"),0.0)</f>
        <v>0</v>
      </c>
      <c r="W1014" s="93">
        <f>IFERROR(__xludf.DUMMYFUNCTION("$E1014 - IFERROR(FILTER($E:$E,$C:$C = $C1014, $A:$A = $A1014, $B:$B = $B1014 - 1),0)"),0.0)</f>
        <v>0</v>
      </c>
      <c r="X1014" s="93"/>
      <c r="Y1014" s="93"/>
      <c r="Z1014" s="93">
        <v>0.0</v>
      </c>
      <c r="AA1014" s="93">
        <v>0.0</v>
      </c>
      <c r="AB1014" s="93">
        <v>0.0</v>
      </c>
      <c r="AC1014" s="93"/>
      <c r="AD1014" s="93">
        <v>0.0</v>
      </c>
      <c r="AE1014" s="32">
        <f t="shared" si="2"/>
        <v>0</v>
      </c>
      <c r="AF1014" s="93">
        <v>0.0</v>
      </c>
    </row>
    <row r="1015">
      <c r="A1015" s="86">
        <v>2018.0</v>
      </c>
      <c r="B1015" s="87">
        <v>6.0</v>
      </c>
      <c r="C1015" s="88" t="s">
        <v>40</v>
      </c>
      <c r="D1015" s="32"/>
      <c r="E1015" s="93">
        <v>-4200.0</v>
      </c>
      <c r="F1015" s="32"/>
      <c r="G1015" s="93">
        <v>-468.11</v>
      </c>
      <c r="H1015" s="93">
        <v>1925.75</v>
      </c>
      <c r="I1015" s="93">
        <v>745.49</v>
      </c>
      <c r="J1015" s="93">
        <v>-2418.53</v>
      </c>
      <c r="K1015" s="32"/>
      <c r="L1015" s="32"/>
      <c r="M1015" s="32"/>
      <c r="N1015" s="32"/>
      <c r="O1015" s="93">
        <v>150397.0</v>
      </c>
      <c r="P1015" s="91">
        <f>IFERROR(__xludf.DUMMYFUNCTION("IFERROR(sum(FILTER($D:$N,$C:$C = $C1015,$A:$A &lt; $A1015,$B:$B = 12)),0) + sum($D1015:$N1015)"),150397.30999999994)</f>
        <v>150397.31</v>
      </c>
      <c r="Q1015" s="92">
        <f t="shared" si="1"/>
        <v>-0.3099999999</v>
      </c>
      <c r="R1015" s="91">
        <f t="array" ref="R1015">IFERROR(INDEX('Fund YTD Target Values'!$1:$1000, MATCH($C1015,'Fund YTD Target Values'!$A:$A,0), MATCH($A1015,'Fund YTD Target Values'!$1:$1,0)),0)</f>
        <v>161362.9699</v>
      </c>
      <c r="S1015" s="91">
        <f>IFERROR(__xludf.DUMMYFUNCTION("IFERROR(sum(FILTER('Fund Investment Data'!$V:$V, 'Fund Investment Data'!$C:$C = $C1015, 'Fund Investment Data'!$A:$A &lt; $A1015)),0) + IFERROR(sum(FILTER('Fund Investment Data'!$V:$V, 'Fund Investment Data'!$C:$C = $C1015, 'Fund Investment Data'!$A:$A = $A1"&amp;"015, 'Fund Investment Data'!$B:$B &lt;= $B1015)),0)"),129703.74)</f>
        <v>129703.74</v>
      </c>
      <c r="T1015" s="93">
        <v>129723.0</v>
      </c>
      <c r="U1015" s="32">
        <f t="shared" si="3"/>
        <v>-19.26</v>
      </c>
      <c r="V1015" s="32">
        <f>IFERROR(__xludf.DUMMYFUNCTION("$D1015 - IFERROR(FILTER($D:$D,$C:$C = $C1015, $A:$A = $A1015, $B:$B = $B1015 - 1),0)"),0.0)</f>
        <v>0</v>
      </c>
      <c r="W1015" s="93">
        <f>IFERROR(__xludf.DUMMYFUNCTION("$E1015 - IFERROR(FILTER($E:$E,$C:$C = $C1015, $A:$A = $A1015, $B:$B = $B1015 - 1),0)"),-4200.0)</f>
        <v>-4200</v>
      </c>
      <c r="X1015" s="93"/>
      <c r="Y1015" s="93"/>
      <c r="Z1015" s="93">
        <v>0.0</v>
      </c>
      <c r="AA1015" s="93">
        <v>0.0</v>
      </c>
      <c r="AB1015" s="93">
        <v>0.0</v>
      </c>
      <c r="AC1015" s="93"/>
      <c r="AD1015" s="93">
        <v>0.0</v>
      </c>
      <c r="AE1015" s="32">
        <f t="shared" si="2"/>
        <v>-4200</v>
      </c>
      <c r="AF1015" s="93">
        <v>0.0</v>
      </c>
    </row>
    <row r="1016">
      <c r="A1016" s="86">
        <v>2018.0</v>
      </c>
      <c r="B1016" s="87">
        <v>6.0</v>
      </c>
      <c r="C1016" s="88" t="s">
        <v>51</v>
      </c>
      <c r="D1016" s="93">
        <v>150.0</v>
      </c>
      <c r="E1016" s="93">
        <v>-11500.0</v>
      </c>
      <c r="F1016" s="93"/>
      <c r="G1016" s="93">
        <v>-1462.63</v>
      </c>
      <c r="H1016" s="93">
        <v>5994.61</v>
      </c>
      <c r="I1016" s="32"/>
      <c r="J1016" s="93">
        <v>-5298.09</v>
      </c>
      <c r="K1016" s="32"/>
      <c r="L1016" s="32"/>
      <c r="M1016" s="32"/>
      <c r="N1016" s="32"/>
      <c r="O1016" s="93">
        <v>473236.0</v>
      </c>
      <c r="P1016" s="91">
        <f>IFERROR(__xludf.DUMMYFUNCTION("IFERROR(sum(FILTER($D:$N,$C:$C = $C1016,$A:$A &lt; $A1016,$B:$B = 12)),0) + sum($D1016:$N1016)"),473235.82000000007)</f>
        <v>473235.82</v>
      </c>
      <c r="Q1016" s="92">
        <f t="shared" si="1"/>
        <v>0.1799999999</v>
      </c>
      <c r="R1016" s="91">
        <f t="array" ref="R1016">IFERROR(INDEX('Fund YTD Target Values'!$1:$1000, MATCH($C1016,'Fund YTD Target Values'!$A:$A,0), MATCH($A1016,'Fund YTD Target Values'!$1:$1,0)),0)</f>
        <v>451180.3592</v>
      </c>
      <c r="S1016" s="91">
        <f>IFERROR(__xludf.DUMMYFUNCTION("IFERROR(sum(FILTER('Fund Investment Data'!$V:$V, 'Fund Investment Data'!$C:$C = $C1016, 'Fund Investment Data'!$A:$A &lt; $A1016)),0) + IFERROR(sum(FILTER('Fund Investment Data'!$V:$V, 'Fund Investment Data'!$C:$C = $C1016, 'Fund Investment Data'!$A:$A = $A1"&amp;"016, 'Fund Investment Data'!$B:$B &lt;= $B1016)),0)"),416573.55)</f>
        <v>416573.55</v>
      </c>
      <c r="T1016" s="93"/>
      <c r="U1016" s="32"/>
      <c r="V1016" s="32">
        <f>IFERROR(__xludf.DUMMYFUNCTION("$D1016 - IFERROR(FILTER($D:$D,$C:$C = $C1016, $A:$A = $A1016, $B:$B = $B1016 - 1),0)"),0.0)</f>
        <v>0</v>
      </c>
      <c r="W1016" s="93">
        <f>IFERROR(__xludf.DUMMYFUNCTION("$E1016 - IFERROR(FILTER($E:$E,$C:$C = $C1016, $A:$A = $A1016, $B:$B = $B1016 - 1),0)"),-1500.0)</f>
        <v>-1500</v>
      </c>
      <c r="X1016" s="93"/>
      <c r="Y1016" s="93"/>
      <c r="Z1016" s="93">
        <v>0.0</v>
      </c>
      <c r="AA1016" s="93">
        <v>0.0</v>
      </c>
      <c r="AB1016" s="93">
        <v>0.0</v>
      </c>
      <c r="AC1016" s="93"/>
      <c r="AD1016" s="93">
        <v>0.0</v>
      </c>
      <c r="AE1016" s="32">
        <f t="shared" si="2"/>
        <v>-11500</v>
      </c>
      <c r="AF1016" s="93">
        <v>0.0</v>
      </c>
    </row>
    <row r="1017">
      <c r="A1017" s="86">
        <v>2018.0</v>
      </c>
      <c r="B1017" s="87">
        <v>6.0</v>
      </c>
      <c r="C1017" s="88" t="s">
        <v>48</v>
      </c>
      <c r="D1017" s="32"/>
      <c r="E1017" s="93">
        <v>-22000.0</v>
      </c>
      <c r="F1017" s="32"/>
      <c r="G1017" s="93">
        <v>-3770.53</v>
      </c>
      <c r="H1017" s="93">
        <v>15527.81</v>
      </c>
      <c r="I1017" s="93">
        <v>3391.96</v>
      </c>
      <c r="J1017" s="93">
        <v>-17064.75</v>
      </c>
      <c r="K1017" s="32"/>
      <c r="L1017" s="32"/>
      <c r="M1017" s="32"/>
      <c r="N1017" s="32"/>
      <c r="O1017" s="93">
        <v>1224727.0</v>
      </c>
      <c r="P1017" s="91">
        <f>IFERROR(__xludf.DUMMYFUNCTION("IFERROR(sum(FILTER($D:$N,$C:$C = $C1017,$A:$A &lt; $A1017,$B:$B = 12)),0) + sum($D1017:$N1017)"),1224726.1599999997)</f>
        <v>1224726.16</v>
      </c>
      <c r="Q1017" s="92">
        <f t="shared" si="1"/>
        <v>0.8400000003</v>
      </c>
      <c r="R1017" s="91">
        <f t="array" ref="R1017">IFERROR(INDEX('Fund YTD Target Values'!$1:$1000, MATCH($C1017,'Fund YTD Target Values'!$A:$A,0), MATCH($A1017,'Fund YTD Target Values'!$1:$1,0)),0)</f>
        <v>1896274.236</v>
      </c>
      <c r="S1017" s="91">
        <f>IFERROR(__xludf.DUMMYFUNCTION("IFERROR(sum(FILTER('Fund Investment Data'!$V:$V, 'Fund Investment Data'!$C:$C = $C1017, 'Fund Investment Data'!$A:$A &lt; $A1017)),0) + IFERROR(sum(FILTER('Fund Investment Data'!$V:$V, 'Fund Investment Data'!$C:$C = $C1017, 'Fund Investment Data'!$A:$A = $A1"&amp;"017, 'Fund Investment Data'!$B:$B &lt;= $B1017)),0)"),1183929.39)</f>
        <v>1183929.39</v>
      </c>
      <c r="T1017" s="93">
        <v>1140040.0</v>
      </c>
      <c r="U1017" s="32">
        <f t="shared" ref="U1017:U1025" si="4">S1017-T1017</f>
        <v>43889.39</v>
      </c>
      <c r="V1017" s="32">
        <f>IFERROR(__xludf.DUMMYFUNCTION("$D1017 - IFERROR(FILTER($D:$D,$C:$C = $C1017, $A:$A = $A1017, $B:$B = $B1017 - 1),0)"),0.0)</f>
        <v>0</v>
      </c>
      <c r="W1017" s="93">
        <f>IFERROR(__xludf.DUMMYFUNCTION("$E1017 - IFERROR(FILTER($E:$E,$C:$C = $C1017, $A:$A = $A1017, $B:$B = $B1017 - 1),0)"),-12000.0)</f>
        <v>-12000</v>
      </c>
      <c r="X1017" s="93"/>
      <c r="Y1017" s="93"/>
      <c r="Z1017" s="93">
        <v>0.0</v>
      </c>
      <c r="AA1017" s="93">
        <v>0.0</v>
      </c>
      <c r="AB1017" s="93">
        <v>0.0</v>
      </c>
      <c r="AC1017" s="93"/>
      <c r="AD1017" s="93">
        <v>0.0</v>
      </c>
      <c r="AE1017" s="32">
        <f t="shared" si="2"/>
        <v>-22000</v>
      </c>
      <c r="AF1017" s="93">
        <v>0.0</v>
      </c>
    </row>
    <row r="1018">
      <c r="A1018" s="86">
        <v>2018.0</v>
      </c>
      <c r="B1018" s="87">
        <v>6.0</v>
      </c>
      <c r="C1018" s="88" t="s">
        <v>49</v>
      </c>
      <c r="D1018" s="32"/>
      <c r="E1018" s="93">
        <v>-15000.0</v>
      </c>
      <c r="F1018" s="32"/>
      <c r="G1018" s="93">
        <v>-1653.63</v>
      </c>
      <c r="H1018" s="93">
        <v>6810.95</v>
      </c>
      <c r="I1018" s="93">
        <v>3317.69</v>
      </c>
      <c r="J1018" s="93">
        <v>-9234.6</v>
      </c>
      <c r="K1018" s="32"/>
      <c r="L1018" s="32"/>
      <c r="M1018" s="32"/>
      <c r="N1018" s="32"/>
      <c r="O1018" s="93">
        <v>531953.0</v>
      </c>
      <c r="P1018" s="91">
        <f>IFERROR(__xludf.DUMMYFUNCTION("IFERROR(sum(FILTER($D:$N,$C:$C = $C1018,$A:$A &lt; $A1018,$B:$B = 12)),0) + sum($D1018:$N1018)"),531953.5499999999)</f>
        <v>531953.55</v>
      </c>
      <c r="Q1018" s="92">
        <f t="shared" si="1"/>
        <v>-0.5499999999</v>
      </c>
      <c r="R1018" s="91">
        <f t="array" ref="R1018">IFERROR(INDEX('Fund YTD Target Values'!$1:$1000, MATCH($C1018,'Fund YTD Target Values'!$A:$A,0), MATCH($A1018,'Fund YTD Target Values'!$1:$1,0)),0)</f>
        <v>701383.2727</v>
      </c>
      <c r="S1018" s="91">
        <f>IFERROR(__xludf.DUMMYFUNCTION("IFERROR(sum(FILTER('Fund Investment Data'!$V:$V, 'Fund Investment Data'!$C:$C = $C1018, 'Fund Investment Data'!$A:$A &lt; $A1018)),0) + IFERROR(sum(FILTER('Fund Investment Data'!$V:$V, 'Fund Investment Data'!$C:$C = $C1018, 'Fund Investment Data'!$A:$A = $A1"&amp;"018, 'Fund Investment Data'!$B:$B &lt;= $B1018)),0)"),500000.0)</f>
        <v>500000</v>
      </c>
      <c r="T1018" s="93">
        <v>500000.0</v>
      </c>
      <c r="U1018" s="32">
        <f t="shared" si="4"/>
        <v>0</v>
      </c>
      <c r="V1018" s="32">
        <f>IFERROR(__xludf.DUMMYFUNCTION("$D1018 - IFERROR(FILTER($D:$D,$C:$C = $C1018, $A:$A = $A1018, $B:$B = $B1018 - 1),0)"),0.0)</f>
        <v>0</v>
      </c>
      <c r="W1018" s="93">
        <f>IFERROR(__xludf.DUMMYFUNCTION("$E1018 - IFERROR(FILTER($E:$E,$C:$C = $C1018, $A:$A = $A1018, $B:$B = $B1018 - 1),0)"),-10000.0)</f>
        <v>-10000</v>
      </c>
      <c r="X1018" s="93"/>
      <c r="Y1018" s="93"/>
      <c r="Z1018" s="93">
        <v>0.0</v>
      </c>
      <c r="AA1018" s="93">
        <v>0.0</v>
      </c>
      <c r="AB1018" s="93">
        <v>0.0</v>
      </c>
      <c r="AC1018" s="93"/>
      <c r="AD1018" s="93">
        <v>0.0</v>
      </c>
      <c r="AE1018" s="32">
        <f t="shared" si="2"/>
        <v>-15000</v>
      </c>
      <c r="AF1018" s="93">
        <v>0.0</v>
      </c>
    </row>
    <row r="1019">
      <c r="A1019" s="86">
        <v>2018.0</v>
      </c>
      <c r="B1019" s="87">
        <v>6.0</v>
      </c>
      <c r="C1019" s="88" t="s">
        <v>41</v>
      </c>
      <c r="D1019" s="32"/>
      <c r="E1019" s="93">
        <v>-16300.0</v>
      </c>
      <c r="F1019" s="32"/>
      <c r="G1019" s="93">
        <v>-1974.84</v>
      </c>
      <c r="H1019" s="93">
        <v>8124.36</v>
      </c>
      <c r="I1019" s="93">
        <v>3412.6</v>
      </c>
      <c r="J1019" s="93">
        <v>-10492.15</v>
      </c>
      <c r="K1019" s="32"/>
      <c r="L1019" s="32"/>
      <c r="M1019" s="32"/>
      <c r="N1019" s="32"/>
      <c r="O1019" s="93">
        <v>635888.0</v>
      </c>
      <c r="P1019" s="91">
        <f>IFERROR(__xludf.DUMMYFUNCTION("IFERROR(sum(FILTER($D:$N,$C:$C = $C1019,$A:$A &lt; $A1019,$B:$B = 12)),0) + sum($D1019:$N1019)"),635889.3200000001)</f>
        <v>635889.32</v>
      </c>
      <c r="Q1019" s="92">
        <f t="shared" si="1"/>
        <v>-1.32</v>
      </c>
      <c r="R1019" s="91">
        <f t="array" ref="R1019">IFERROR(INDEX('Fund YTD Target Values'!$1:$1000, MATCH($C1019,'Fund YTD Target Values'!$A:$A,0), MATCH($A1019,'Fund YTD Target Values'!$1:$1,0)),0)</f>
        <v>587968.3276</v>
      </c>
      <c r="S1019" s="91">
        <f>IFERROR(__xludf.DUMMYFUNCTION("IFERROR(sum(FILTER('Fund Investment Data'!$V:$V, 'Fund Investment Data'!$C:$C = $C1019, 'Fund Investment Data'!$A:$A &lt; $A1019)),0) + IFERROR(sum(FILTER('Fund Investment Data'!$V:$V, 'Fund Investment Data'!$C:$C = $C1019, 'Fund Investment Data'!$A:$A = $A1"&amp;"019, 'Fund Investment Data'!$B:$B &lt;= $B1019)),0)"),433755.86)</f>
        <v>433755.86</v>
      </c>
      <c r="T1019" s="93">
        <v>434291.0</v>
      </c>
      <c r="U1019" s="32">
        <f t="shared" si="4"/>
        <v>-535.14</v>
      </c>
      <c r="V1019" s="32">
        <f>IFERROR(__xludf.DUMMYFUNCTION("$D1019 - IFERROR(FILTER($D:$D,$C:$C = $C1019, $A:$A = $A1019, $B:$B = $B1019 - 1),0)"),0.0)</f>
        <v>0</v>
      </c>
      <c r="W1019" s="93">
        <f>IFERROR(__xludf.DUMMYFUNCTION("$E1019 - IFERROR(FILTER($E:$E,$C:$C = $C1019, $A:$A = $A1019, $B:$B = $B1019 - 1),0)"),-16300.0)</f>
        <v>-16300</v>
      </c>
      <c r="X1019" s="93"/>
      <c r="Y1019" s="93"/>
      <c r="Z1019" s="93">
        <v>0.0</v>
      </c>
      <c r="AA1019" s="93">
        <v>0.0</v>
      </c>
      <c r="AB1019" s="93">
        <v>0.0</v>
      </c>
      <c r="AC1019" s="93"/>
      <c r="AD1019" s="93">
        <v>0.0</v>
      </c>
      <c r="AE1019" s="32">
        <f t="shared" si="2"/>
        <v>-16300</v>
      </c>
      <c r="AF1019" s="93">
        <v>0.0</v>
      </c>
    </row>
    <row r="1020">
      <c r="A1020" s="86">
        <v>2018.0</v>
      </c>
      <c r="B1020" s="87">
        <v>6.0</v>
      </c>
      <c r="C1020" s="88" t="s">
        <v>25</v>
      </c>
      <c r="D1020" s="32"/>
      <c r="E1020" s="32"/>
      <c r="F1020" s="32"/>
      <c r="G1020" s="93">
        <v>-305.6</v>
      </c>
      <c r="H1020" s="93">
        <v>1257.2</v>
      </c>
      <c r="I1020" s="32"/>
      <c r="J1020" s="93">
        <v>-1118.78</v>
      </c>
      <c r="K1020" s="32"/>
      <c r="L1020" s="32"/>
      <c r="M1020" s="32"/>
      <c r="N1020" s="32"/>
      <c r="O1020" s="93">
        <v>100899.0</v>
      </c>
      <c r="P1020" s="91">
        <f>IFERROR(__xludf.DUMMYFUNCTION("IFERROR(sum(FILTER($D:$N,$C:$C = $C1020,$A:$A &lt; $A1020,$B:$B = 12)),0) + sum($D1020:$N1020)"),100899.15000000001)</f>
        <v>100899.15</v>
      </c>
      <c r="Q1020" s="92">
        <f t="shared" si="1"/>
        <v>-0.15</v>
      </c>
      <c r="R1020" s="91">
        <f t="array" ref="R1020">IFERROR(INDEX('Fund YTD Target Values'!$1:$1000, MATCH($C1020,'Fund YTD Target Values'!$A:$A,0), MATCH($A1020,'Fund YTD Target Values'!$1:$1,0)),0)</f>
        <v>109175.2469</v>
      </c>
      <c r="S1020" s="91">
        <f>IFERROR(__xludf.DUMMYFUNCTION("IFERROR(sum(FILTER('Fund Investment Data'!$V:$V, 'Fund Investment Data'!$C:$C = $C1020, 'Fund Investment Data'!$A:$A &lt; $A1020)),0) + IFERROR(sum(FILTER('Fund Investment Data'!$V:$V, 'Fund Investment Data'!$C:$C = $C1020, 'Fund Investment Data'!$A:$A = $A1"&amp;"020, 'Fund Investment Data'!$B:$B &lt;= $B1020)),0)"),81000.0)</f>
        <v>81000</v>
      </c>
      <c r="T1020" s="93">
        <v>81000.0</v>
      </c>
      <c r="U1020" s="32">
        <f t="shared" si="4"/>
        <v>0</v>
      </c>
      <c r="V1020" s="32">
        <f>IFERROR(__xludf.DUMMYFUNCTION("$D1020 - IFERROR(FILTER($D:$D,$C:$C = $C1020, $A:$A = $A1020, $B:$B = $B1020 - 1),0)"),0.0)</f>
        <v>0</v>
      </c>
      <c r="W1020" s="93">
        <f>IFERROR(__xludf.DUMMYFUNCTION("$E1020 - IFERROR(FILTER($E:$E,$C:$C = $C1020, $A:$A = $A1020, $B:$B = $B1020 - 1),0)"),0.0)</f>
        <v>0</v>
      </c>
      <c r="X1020" s="93"/>
      <c r="Y1020" s="93"/>
      <c r="Z1020" s="93">
        <v>0.0</v>
      </c>
      <c r="AA1020" s="93">
        <v>0.0</v>
      </c>
      <c r="AB1020" s="93">
        <v>0.0</v>
      </c>
      <c r="AC1020" s="93"/>
      <c r="AD1020" s="93">
        <v>0.0</v>
      </c>
      <c r="AE1020" s="32">
        <f t="shared" si="2"/>
        <v>0</v>
      </c>
      <c r="AF1020" s="93">
        <v>0.0</v>
      </c>
    </row>
    <row r="1021">
      <c r="A1021" s="86">
        <v>2018.0</v>
      </c>
      <c r="B1021" s="87">
        <v>6.0</v>
      </c>
      <c r="C1021" s="88" t="s">
        <v>42</v>
      </c>
      <c r="D1021" s="32"/>
      <c r="E1021" s="32"/>
      <c r="F1021" s="32"/>
      <c r="G1021" s="93">
        <v>-905.38</v>
      </c>
      <c r="H1021" s="93">
        <v>3705.46</v>
      </c>
      <c r="I1021" s="32"/>
      <c r="J1021" s="93">
        <v>-3277.29</v>
      </c>
      <c r="K1021" s="32"/>
      <c r="L1021" s="32"/>
      <c r="M1021" s="32"/>
      <c r="N1021" s="32"/>
      <c r="O1021" s="93">
        <v>298971.0</v>
      </c>
      <c r="P1021" s="91">
        <f>IFERROR(__xludf.DUMMYFUNCTION("IFERROR(sum(FILTER($D:$N,$C:$C = $C1021,$A:$A &lt; $A1021,$B:$B = 12)),0) + sum($D1021:$N1021)"),298970.5500000001)</f>
        <v>298970.55</v>
      </c>
      <c r="Q1021" s="92">
        <f t="shared" si="1"/>
        <v>0.4499999999</v>
      </c>
      <c r="R1021" s="91">
        <f t="array" ref="R1021">IFERROR(INDEX('Fund YTD Target Values'!$1:$1000, MATCH($C1021,'Fund YTD Target Values'!$A:$A,0), MATCH($A1021,'Fund YTD Target Values'!$1:$1,0)),0)</f>
        <v>240185.7184</v>
      </c>
      <c r="S1021" s="91">
        <f>IFERROR(__xludf.DUMMYFUNCTION("IFERROR(sum(FILTER('Fund Investment Data'!$V:$V, 'Fund Investment Data'!$C:$C = $C1021, 'Fund Investment Data'!$A:$A &lt; $A1021)),0) + IFERROR(sum(FILTER('Fund Investment Data'!$V:$V, 'Fund Investment Data'!$C:$C = $C1021, 'Fund Investment Data'!$A:$A = $A1"&amp;"021, 'Fund Investment Data'!$B:$B &lt;= $B1021)),0)"),194469.0)</f>
        <v>194469</v>
      </c>
      <c r="T1021" s="93">
        <v>194469.0</v>
      </c>
      <c r="U1021" s="32">
        <f t="shared" si="4"/>
        <v>0</v>
      </c>
      <c r="V1021" s="32">
        <f>IFERROR(__xludf.DUMMYFUNCTION("$D1021 - IFERROR(FILTER($D:$D,$C:$C = $C1021, $A:$A = $A1021, $B:$B = $B1021 - 1),0)"),0.0)</f>
        <v>0</v>
      </c>
      <c r="W1021" s="93">
        <f>IFERROR(__xludf.DUMMYFUNCTION("$E1021 - IFERROR(FILTER($E:$E,$C:$C = $C1021, $A:$A = $A1021, $B:$B = $B1021 - 1),0)"),0.0)</f>
        <v>0</v>
      </c>
      <c r="X1021" s="93"/>
      <c r="Y1021" s="93"/>
      <c r="Z1021" s="93">
        <v>0.0</v>
      </c>
      <c r="AA1021" s="93">
        <v>0.0</v>
      </c>
      <c r="AB1021" s="93">
        <v>0.0</v>
      </c>
      <c r="AC1021" s="93"/>
      <c r="AD1021" s="93">
        <v>0.0</v>
      </c>
      <c r="AE1021" s="32">
        <f t="shared" si="2"/>
        <v>0</v>
      </c>
      <c r="AF1021" s="93">
        <v>0.0</v>
      </c>
    </row>
    <row r="1022">
      <c r="A1022" s="86">
        <v>2018.0</v>
      </c>
      <c r="B1022" s="87">
        <v>6.0</v>
      </c>
      <c r="C1022" s="88" t="s">
        <v>43</v>
      </c>
      <c r="D1022" s="32"/>
      <c r="E1022" s="93">
        <v>-1200.0</v>
      </c>
      <c r="F1022" s="32"/>
      <c r="G1022" s="93">
        <v>-379.5</v>
      </c>
      <c r="H1022" s="93">
        <v>1561.28</v>
      </c>
      <c r="I1022" s="32"/>
      <c r="J1022" s="93">
        <v>-1389.4</v>
      </c>
      <c r="K1022" s="32"/>
      <c r="L1022" s="32"/>
      <c r="M1022" s="32"/>
      <c r="N1022" s="32"/>
      <c r="O1022" s="93">
        <v>124106.0</v>
      </c>
      <c r="P1022" s="91">
        <f>IFERROR(__xludf.DUMMYFUNCTION("IFERROR(sum(FILTER($D:$N,$C:$C = $C1022,$A:$A &lt; $A1022,$B:$B = 12)),0) + sum($D1022:$N1022)"),124104.93000000002)</f>
        <v>124104.93</v>
      </c>
      <c r="Q1022" s="92">
        <f t="shared" si="1"/>
        <v>1.07</v>
      </c>
      <c r="R1022" s="91">
        <f t="array" ref="R1022">IFERROR(INDEX('Fund YTD Target Values'!$1:$1000, MATCH($C1022,'Fund YTD Target Values'!$A:$A,0), MATCH($A1022,'Fund YTD Target Values'!$1:$1,0)),0)</f>
        <v>130697.0954</v>
      </c>
      <c r="S1022" s="91">
        <f>IFERROR(__xludf.DUMMYFUNCTION("IFERROR(sum(FILTER('Fund Investment Data'!$V:$V, 'Fund Investment Data'!$C:$C = $C1022, 'Fund Investment Data'!$A:$A &lt; $A1022)),0) + IFERROR(sum(FILTER('Fund Investment Data'!$V:$V, 'Fund Investment Data'!$C:$C = $C1022, 'Fund Investment Data'!$A:$A = $A1"&amp;"022, 'Fund Investment Data'!$B:$B &lt;= $B1022)),0)"),100000.0)</f>
        <v>100000</v>
      </c>
      <c r="T1022" s="93">
        <v>100000.0</v>
      </c>
      <c r="U1022" s="32">
        <f t="shared" si="4"/>
        <v>0</v>
      </c>
      <c r="V1022" s="32">
        <f>IFERROR(__xludf.DUMMYFUNCTION("$D1022 - IFERROR(FILTER($D:$D,$C:$C = $C1022, $A:$A = $A1022, $B:$B = $B1022 - 1),0)"),0.0)</f>
        <v>0</v>
      </c>
      <c r="W1022" s="93">
        <f>IFERROR(__xludf.DUMMYFUNCTION("$E1022 - IFERROR(FILTER($E:$E,$C:$C = $C1022, $A:$A = $A1022, $B:$B = $B1022 - 1),0)"),-1200.0)</f>
        <v>-1200</v>
      </c>
      <c r="X1022" s="93"/>
      <c r="Y1022" s="93"/>
      <c r="Z1022" s="93">
        <v>0.0</v>
      </c>
      <c r="AA1022" s="93">
        <v>0.0</v>
      </c>
      <c r="AB1022" s="93">
        <v>0.0</v>
      </c>
      <c r="AC1022" s="93"/>
      <c r="AD1022" s="93">
        <v>0.0</v>
      </c>
      <c r="AE1022" s="32">
        <f t="shared" si="2"/>
        <v>-1200</v>
      </c>
      <c r="AF1022" s="93">
        <v>0.0</v>
      </c>
    </row>
    <row r="1023">
      <c r="A1023" s="86">
        <v>2018.0</v>
      </c>
      <c r="B1023" s="87">
        <v>6.0</v>
      </c>
      <c r="C1023" s="88" t="s">
        <v>52</v>
      </c>
      <c r="D1023" s="93">
        <v>75000.0</v>
      </c>
      <c r="E1023" s="93">
        <v>-22100.0</v>
      </c>
      <c r="F1023" s="32"/>
      <c r="G1023" s="93">
        <v>-3841.45</v>
      </c>
      <c r="H1023" s="93">
        <v>14829.29</v>
      </c>
      <c r="I1023" s="93">
        <v>1855.91</v>
      </c>
      <c r="J1023" s="93">
        <v>-15436.19</v>
      </c>
      <c r="K1023" s="32"/>
      <c r="L1023" s="32"/>
      <c r="M1023" s="32"/>
      <c r="N1023" s="32"/>
      <c r="O1023" s="93">
        <v>1214764.0</v>
      </c>
      <c r="P1023" s="91">
        <f>IFERROR(__xludf.DUMMYFUNCTION("IFERROR(sum(FILTER($D:$N,$C:$C = $C1023,$A:$A &lt; $A1023,$B:$B = 12)),0) + sum($D1023:$N1023)"),1214763.69)</f>
        <v>1214763.69</v>
      </c>
      <c r="Q1023" s="92">
        <f t="shared" si="1"/>
        <v>0.3100000001</v>
      </c>
      <c r="R1023" s="91">
        <f t="array" ref="R1023">IFERROR(INDEX('Fund YTD Target Values'!$1:$1000, MATCH($C1023,'Fund YTD Target Values'!$A:$A,0), MATCH($A1023,'Fund YTD Target Values'!$1:$1,0)),0)</f>
        <v>1148979.378</v>
      </c>
      <c r="S1023" s="91">
        <f>IFERROR(__xludf.DUMMYFUNCTION("IFERROR(sum(FILTER('Fund Investment Data'!$V:$V, 'Fund Investment Data'!$C:$C = $C1023, 'Fund Investment Data'!$A:$A &lt; $A1023)),0) + IFERROR(sum(FILTER('Fund Investment Data'!$V:$V, 'Fund Investment Data'!$C:$C = $C1023, 'Fund Investment Data'!$A:$A = $A1"&amp;"023, 'Fund Investment Data'!$B:$B &lt;= $B1023)),0)"),1080136.0)</f>
        <v>1080136</v>
      </c>
      <c r="T1023" s="93">
        <v>1079091.0</v>
      </c>
      <c r="U1023" s="32">
        <f t="shared" si="4"/>
        <v>1045</v>
      </c>
      <c r="V1023" s="32">
        <f>IFERROR(__xludf.DUMMYFUNCTION("$D1023 - IFERROR(FILTER($D:$D,$C:$C = $C1023, $A:$A = $A1023, $B:$B = $B1023 - 1),0)"),0.0)</f>
        <v>0</v>
      </c>
      <c r="W1023" s="93">
        <f>IFERROR(__xludf.DUMMYFUNCTION("$E1023 - IFERROR(FILTER($E:$E,$C:$C = $C1023, $A:$A = $A1023, $B:$B = $B1023 - 1),0)"),-16100.0)</f>
        <v>-16100</v>
      </c>
      <c r="X1023" s="93"/>
      <c r="Y1023" s="93"/>
      <c r="Z1023" s="93">
        <v>0.0</v>
      </c>
      <c r="AA1023" s="93">
        <v>0.0</v>
      </c>
      <c r="AB1023" s="93">
        <v>0.0</v>
      </c>
      <c r="AC1023" s="93"/>
      <c r="AD1023" s="93">
        <v>0.0</v>
      </c>
      <c r="AE1023" s="32">
        <f t="shared" si="2"/>
        <v>-22100</v>
      </c>
      <c r="AF1023" s="93">
        <v>0.0</v>
      </c>
    </row>
    <row r="1024">
      <c r="A1024" s="86">
        <v>2018.0</v>
      </c>
      <c r="B1024" s="87">
        <v>6.0</v>
      </c>
      <c r="C1024" s="88" t="s">
        <v>33</v>
      </c>
      <c r="D1024" s="32"/>
      <c r="E1024" s="93">
        <v>-8000.0</v>
      </c>
      <c r="F1024" s="32"/>
      <c r="G1024" s="93">
        <v>-1079.7</v>
      </c>
      <c r="H1024" s="93">
        <v>4441.78</v>
      </c>
      <c r="I1024" s="93">
        <v>1553.89</v>
      </c>
      <c r="J1024" s="93">
        <v>-5438.21</v>
      </c>
      <c r="K1024" s="32"/>
      <c r="L1024" s="32"/>
      <c r="M1024" s="32"/>
      <c r="N1024" s="32"/>
      <c r="O1024" s="93">
        <v>348555.0</v>
      </c>
      <c r="P1024" s="91">
        <f>IFERROR(__xludf.DUMMYFUNCTION("IFERROR(sum(FILTER($D:$N,$C:$C = $C1024,$A:$A &lt; $A1024,$B:$B = 12)),0) + sum($D1024:$N1024)"),348555.20999999985)</f>
        <v>348555.21</v>
      </c>
      <c r="Q1024" s="92">
        <f t="shared" si="1"/>
        <v>-0.2099999998</v>
      </c>
      <c r="R1024" s="91">
        <f t="array" ref="R1024">IFERROR(INDEX('Fund YTD Target Values'!$1:$1000, MATCH($C1024,'Fund YTD Target Values'!$A:$A,0), MATCH($A1024,'Fund YTD Target Values'!$1:$1,0)),0)</f>
        <v>512928.5668</v>
      </c>
      <c r="S1024" s="91">
        <f>IFERROR(__xludf.DUMMYFUNCTION("IFERROR(sum(FILTER('Fund Investment Data'!$V:$V, 'Fund Investment Data'!$C:$C = $C1024, 'Fund Investment Data'!$A:$A &lt; $A1024)),0) + IFERROR(sum(FILTER('Fund Investment Data'!$V:$V, 'Fund Investment Data'!$C:$C = $C1024, 'Fund Investment Data'!$A:$A = $A1"&amp;"024, 'Fund Investment Data'!$B:$B &lt;= $B1024)),0)"),325871.6399999999)</f>
        <v>325871.64</v>
      </c>
      <c r="T1024" s="93">
        <v>326032.0</v>
      </c>
      <c r="U1024" s="32">
        <f t="shared" si="4"/>
        <v>-160.36</v>
      </c>
      <c r="V1024" s="32">
        <f>IFERROR(__xludf.DUMMYFUNCTION("$D1024 - IFERROR(FILTER($D:$D,$C:$C = $C1024, $A:$A = $A1024, $B:$B = $B1024 - 1),0)"),0.0)</f>
        <v>0</v>
      </c>
      <c r="W1024" s="93">
        <f>IFERROR(__xludf.DUMMYFUNCTION("$E1024 - IFERROR(FILTER($E:$E,$C:$C = $C1024, $A:$A = $A1024, $B:$B = $B1024 - 1),0)"),-8000.0)</f>
        <v>-8000</v>
      </c>
      <c r="X1024" s="93"/>
      <c r="Y1024" s="93"/>
      <c r="Z1024" s="93">
        <v>0.0</v>
      </c>
      <c r="AA1024" s="93">
        <v>0.0</v>
      </c>
      <c r="AB1024" s="93">
        <v>0.0</v>
      </c>
      <c r="AC1024" s="93"/>
      <c r="AD1024" s="93">
        <v>0.0</v>
      </c>
      <c r="AE1024" s="32">
        <f t="shared" si="2"/>
        <v>-8000</v>
      </c>
      <c r="AF1024" s="93">
        <v>0.0</v>
      </c>
    </row>
    <row r="1025">
      <c r="A1025" s="86">
        <v>2018.0</v>
      </c>
      <c r="B1025" s="87">
        <v>6.0</v>
      </c>
      <c r="C1025" s="88" t="s">
        <v>53</v>
      </c>
      <c r="D1025" s="32"/>
      <c r="E1025" s="93">
        <v>-47000.0</v>
      </c>
      <c r="F1025" s="32"/>
      <c r="G1025" s="93">
        <v>-6869.87</v>
      </c>
      <c r="H1025" s="93">
        <v>28294.43</v>
      </c>
      <c r="I1025" s="93">
        <v>3707.69</v>
      </c>
      <c r="J1025" s="93">
        <v>-28518.52</v>
      </c>
      <c r="K1025" s="32"/>
      <c r="L1025" s="32"/>
      <c r="M1025" s="32"/>
      <c r="N1025" s="32"/>
      <c r="O1025" s="93">
        <v>2224928.0</v>
      </c>
      <c r="P1025" s="91">
        <f>IFERROR(__xludf.DUMMYFUNCTION("IFERROR(sum(FILTER($D:$N,$C:$C = $C1025,$A:$A &lt; $A1025,$B:$B = 12)),0) + sum($D1025:$N1025)"),2224928.4099999997)</f>
        <v>2224928.41</v>
      </c>
      <c r="Q1025" s="92">
        <f t="shared" si="1"/>
        <v>-0.4099999997</v>
      </c>
      <c r="R1025" s="91">
        <f t="array" ref="R1025">IFERROR(INDEX('Fund YTD Target Values'!$1:$1000, MATCH($C1025,'Fund YTD Target Values'!$A:$A,0), MATCH($A1025,'Fund YTD Target Values'!$1:$1,0)),0)</f>
        <v>2224754.768</v>
      </c>
      <c r="S1025" s="91">
        <f>IFERROR(__xludf.DUMMYFUNCTION("IFERROR(sum(FILTER('Fund Investment Data'!$V:$V, 'Fund Investment Data'!$C:$C = $C1025, 'Fund Investment Data'!$A:$A &lt; $A1025)),0) + IFERROR(sum(FILTER('Fund Investment Data'!$V:$V, 'Fund Investment Data'!$C:$C = $C1025, 'Fund Investment Data'!$A:$A = $A1"&amp;"025, 'Fund Investment Data'!$B:$B &lt;= $B1025)),0)"),2005500.0)</f>
        <v>2005500</v>
      </c>
      <c r="T1025" s="93">
        <v>2005500.0</v>
      </c>
      <c r="U1025" s="32">
        <f t="shared" si="4"/>
        <v>0</v>
      </c>
      <c r="V1025" s="32">
        <f>IFERROR(__xludf.DUMMYFUNCTION("$D1025 - IFERROR(FILTER($D:$D,$C:$C = $C1025, $A:$A = $A1025, $B:$B = $B1025 - 1),0)"),0.0)</f>
        <v>0</v>
      </c>
      <c r="W1025" s="93">
        <f>IFERROR(__xludf.DUMMYFUNCTION("$E1025 - IFERROR(FILTER($E:$E,$C:$C = $C1025, $A:$A = $A1025, $B:$B = $B1025 - 1),0)"),-27000.0)</f>
        <v>-27000</v>
      </c>
      <c r="X1025" s="93"/>
      <c r="Y1025" s="93"/>
      <c r="Z1025" s="93">
        <v>0.0</v>
      </c>
      <c r="AA1025" s="93">
        <v>0.0</v>
      </c>
      <c r="AB1025" s="93">
        <v>0.0</v>
      </c>
      <c r="AC1025" s="93"/>
      <c r="AD1025" s="93">
        <v>0.0</v>
      </c>
      <c r="AE1025" s="32">
        <f t="shared" si="2"/>
        <v>-47000</v>
      </c>
      <c r="AF1025" s="93">
        <v>0.0</v>
      </c>
    </row>
    <row r="1026">
      <c r="A1026" s="86">
        <v>2018.0</v>
      </c>
      <c r="B1026" s="87">
        <v>6.0</v>
      </c>
      <c r="C1026" s="88" t="s">
        <v>34</v>
      </c>
      <c r="D1026" s="32"/>
      <c r="E1026" s="93">
        <v>-1500.0</v>
      </c>
      <c r="F1026" s="32"/>
      <c r="G1026" s="93">
        <v>-436.17</v>
      </c>
      <c r="H1026" s="93">
        <v>1776.17</v>
      </c>
      <c r="I1026" s="32"/>
      <c r="J1026" s="93">
        <v>-1596.58</v>
      </c>
      <c r="K1026" s="32"/>
      <c r="L1026" s="32"/>
      <c r="M1026" s="32"/>
      <c r="N1026" s="32"/>
      <c r="O1026" s="93">
        <v>142532.0</v>
      </c>
      <c r="P1026" s="91">
        <f>IFERROR(__xludf.DUMMYFUNCTION("IFERROR(sum(FILTER($D:$N,$C:$C = $C1026,$A:$A &lt; $A1026,$B:$B = 12)),0) + sum($D1026:$N1026)"),142531.58000000002)</f>
        <v>142531.58</v>
      </c>
      <c r="Q1026" s="92">
        <f t="shared" si="1"/>
        <v>0.42</v>
      </c>
      <c r="R1026" s="91">
        <f t="array" ref="R1026">IFERROR(INDEX('Fund YTD Target Values'!$1:$1000, MATCH($C1026,'Fund YTD Target Values'!$A:$A,0), MATCH($A1026,'Fund YTD Target Values'!$1:$1,0)),0)</f>
        <v>135327.6594</v>
      </c>
      <c r="S1026" s="91">
        <f>IFERROR(__xludf.DUMMYFUNCTION("IFERROR(sum(FILTER('Fund Investment Data'!$V:$V, 'Fund Investment Data'!$C:$C = $C1026, 'Fund Investment Data'!$A:$A &lt; $A1026)),0) + IFERROR(sum(FILTER('Fund Investment Data'!$V:$V, 'Fund Investment Data'!$C:$C = $C1026, 'Fund Investment Data'!$A:$A = $A1"&amp;"026, 'Fund Investment Data'!$B:$B &lt;= $B1026)),0)"),120000.0)</f>
        <v>120000</v>
      </c>
      <c r="T1026" s="32"/>
      <c r="U1026" s="32"/>
      <c r="V1026" s="32">
        <f>IFERROR(__xludf.DUMMYFUNCTION("$D1026 - IFERROR(FILTER($D:$D,$C:$C = $C1026, $A:$A = $A1026, $B:$B = $B1026 - 1),0)"),0.0)</f>
        <v>0</v>
      </c>
      <c r="W1026" s="93">
        <f>IFERROR(__xludf.DUMMYFUNCTION("$E1026 - IFERROR(FILTER($E:$E,$C:$C = $C1026, $A:$A = $A1026, $B:$B = $B1026 - 1),0)"),-1500.0)</f>
        <v>-1500</v>
      </c>
      <c r="X1026" s="93"/>
      <c r="Y1026" s="93"/>
      <c r="Z1026" s="93">
        <v>0.0</v>
      </c>
      <c r="AA1026" s="93">
        <v>0.0</v>
      </c>
      <c r="AB1026" s="93">
        <v>0.0</v>
      </c>
      <c r="AC1026" s="93"/>
      <c r="AD1026" s="93">
        <v>0.0</v>
      </c>
      <c r="AE1026" s="32">
        <f t="shared" si="2"/>
        <v>-1500</v>
      </c>
      <c r="AF1026" s="93">
        <v>0.0</v>
      </c>
    </row>
    <row r="1027">
      <c r="A1027" s="86">
        <v>2018.0</v>
      </c>
      <c r="B1027" s="87">
        <v>6.0</v>
      </c>
      <c r="C1027" s="88" t="s">
        <v>54</v>
      </c>
      <c r="D1027" s="93">
        <v>35.0</v>
      </c>
      <c r="E1027" s="93">
        <v>-5000.0</v>
      </c>
      <c r="F1027" s="32"/>
      <c r="G1027" s="93">
        <v>-521.72</v>
      </c>
      <c r="H1027" s="93">
        <v>2097.3</v>
      </c>
      <c r="I1027" s="93">
        <v>416.36</v>
      </c>
      <c r="J1027" s="93">
        <v>-2285.17</v>
      </c>
      <c r="K1027" s="32"/>
      <c r="L1027" s="32"/>
      <c r="M1027" s="32"/>
      <c r="N1027" s="32"/>
      <c r="O1027" s="93">
        <v>167634.0</v>
      </c>
      <c r="P1027" s="91">
        <f>IFERROR(__xludf.DUMMYFUNCTION("IFERROR(sum(FILTER($D:$N,$C:$C = $C1027,$A:$A &lt; $A1027,$B:$B = 12)),0) + sum($D1027:$N1027)"),167634.73999999993)</f>
        <v>167634.74</v>
      </c>
      <c r="Q1027" s="92">
        <f t="shared" si="1"/>
        <v>-0.7399999999</v>
      </c>
      <c r="R1027" s="91">
        <f t="array" ref="R1027">IFERROR(INDEX('Fund YTD Target Values'!$1:$1000, MATCH($C1027,'Fund YTD Target Values'!$A:$A,0), MATCH($A1027,'Fund YTD Target Values'!$1:$1,0)),0)</f>
        <v>155177.2706</v>
      </c>
      <c r="S1027" s="91">
        <f>IFERROR(__xludf.DUMMYFUNCTION("IFERROR(sum(FILTER('Fund Investment Data'!$V:$V, 'Fund Investment Data'!$C:$C = $C1027, 'Fund Investment Data'!$A:$A &lt; $A1027)),0) + IFERROR(sum(FILTER('Fund Investment Data'!$V:$V, 'Fund Investment Data'!$C:$C = $C1027, 'Fund Investment Data'!$A:$A = $A1"&amp;"027, 'Fund Investment Data'!$B:$B &lt;= $B1027)),0)"),112467.10999999999)</f>
        <v>112467.11</v>
      </c>
      <c r="T1027" s="32"/>
      <c r="U1027" s="32">
        <f>S1027-T1027</f>
        <v>112467.11</v>
      </c>
      <c r="V1027" s="32">
        <f>IFERROR(__xludf.DUMMYFUNCTION("$D1027 - IFERROR(FILTER($D:$D,$C:$C = $C1027, $A:$A = $A1027, $B:$B = $B1027 - 1),0)"),0.0)</f>
        <v>0</v>
      </c>
      <c r="W1027" s="93">
        <f>IFERROR(__xludf.DUMMYFUNCTION("$E1027 - IFERROR(FILTER($E:$E,$C:$C = $C1027, $A:$A = $A1027, $B:$B = $B1027 - 1),0)"),-3500.0)</f>
        <v>-3500</v>
      </c>
      <c r="X1027" s="93"/>
      <c r="Y1027" s="93"/>
      <c r="Z1027" s="93">
        <v>0.0</v>
      </c>
      <c r="AA1027" s="93">
        <v>0.0</v>
      </c>
      <c r="AB1027" s="93">
        <v>0.0</v>
      </c>
      <c r="AC1027" s="93"/>
      <c r="AD1027" s="93">
        <v>0.0</v>
      </c>
      <c r="AE1027" s="32">
        <f t="shared" si="2"/>
        <v>-5000</v>
      </c>
      <c r="AF1027" s="93">
        <v>0.0</v>
      </c>
    </row>
    <row r="1028">
      <c r="A1028" s="86">
        <v>2018.0</v>
      </c>
      <c r="B1028" s="87">
        <v>6.0</v>
      </c>
      <c r="C1028" s="88" t="s">
        <v>55</v>
      </c>
      <c r="D1028" s="32"/>
      <c r="E1028" s="32"/>
      <c r="F1028" s="32"/>
      <c r="G1028" s="93">
        <v>-925.89</v>
      </c>
      <c r="H1028" s="93">
        <v>2496.15</v>
      </c>
      <c r="I1028" s="32"/>
      <c r="J1028" s="93">
        <v>-4792.29</v>
      </c>
      <c r="K1028" s="32"/>
      <c r="L1028" s="32"/>
      <c r="M1028" s="32"/>
      <c r="N1028" s="32"/>
      <c r="O1028" s="93">
        <v>225843.0</v>
      </c>
      <c r="P1028" s="91">
        <f>IFERROR(__xludf.DUMMYFUNCTION("IFERROR(sum(FILTER($D:$N,$C:$C = $C1028,$A:$A &lt; $A1028,$B:$B = 12)),0) + sum($D1028:$N1028)"),225842.72999999998)</f>
        <v>225842.73</v>
      </c>
      <c r="Q1028" s="92">
        <f t="shared" si="1"/>
        <v>0.27</v>
      </c>
      <c r="R1028" s="91">
        <f t="array" ref="R1028">IFERROR(INDEX('Fund YTD Target Values'!$1:$1000, MATCH($C1028,'Fund YTD Target Values'!$A:$A,0), MATCH($A1028,'Fund YTD Target Values'!$1:$1,0)),0)</f>
        <v>289110.9496</v>
      </c>
      <c r="S1028" s="91">
        <f>IFERROR(__xludf.DUMMYFUNCTION("IFERROR(sum(FILTER('Fund Investment Data'!$V:$V, 'Fund Investment Data'!$C:$C = $C1028, 'Fund Investment Data'!$A:$A &lt; $A1028)),0) + IFERROR(sum(FILTER('Fund Investment Data'!$V:$V, 'Fund Investment Data'!$C:$C = $C1028, 'Fund Investment Data'!$A:$A = $A1"&amp;"028, 'Fund Investment Data'!$B:$B &lt;= $B1028)),0)"),210000.0)</f>
        <v>210000</v>
      </c>
      <c r="T1028" s="32"/>
      <c r="U1028" s="32"/>
      <c r="V1028" s="32">
        <f>IFERROR(__xludf.DUMMYFUNCTION("$D1028 - IFERROR(FILTER($D:$D,$C:$C = $C1028, $A:$A = $A1028, $B:$B = $B1028 - 1),0)"),0.0)</f>
        <v>0</v>
      </c>
      <c r="W1028" s="93">
        <f>IFERROR(__xludf.DUMMYFUNCTION("$E1028 - IFERROR(FILTER($E:$E,$C:$C = $C1028, $A:$A = $A1028, $B:$B = $B1028 - 1),0)"),0.0)</f>
        <v>0</v>
      </c>
      <c r="X1028" s="93"/>
      <c r="Y1028" s="93"/>
      <c r="Z1028" s="93">
        <v>0.0</v>
      </c>
      <c r="AA1028" s="93">
        <v>0.0</v>
      </c>
      <c r="AB1028" s="93">
        <v>0.0</v>
      </c>
      <c r="AC1028" s="93"/>
      <c r="AD1028" s="93">
        <v>0.0</v>
      </c>
      <c r="AE1028" s="32">
        <f t="shared" si="2"/>
        <v>0</v>
      </c>
      <c r="AF1028" s="93">
        <v>0.0</v>
      </c>
    </row>
    <row r="1029">
      <c r="A1029" s="86">
        <v>2018.0</v>
      </c>
      <c r="B1029" s="87">
        <v>6.0</v>
      </c>
      <c r="C1029" s="88" t="s">
        <v>44</v>
      </c>
      <c r="D1029" s="32"/>
      <c r="E1029" s="93">
        <v>-6000.0</v>
      </c>
      <c r="F1029" s="32"/>
      <c r="G1029" s="93">
        <v>-865.71</v>
      </c>
      <c r="H1029" s="93">
        <v>3564.68</v>
      </c>
      <c r="I1029" s="93">
        <v>1103.38</v>
      </c>
      <c r="J1029" s="93">
        <v>-4227.77</v>
      </c>
      <c r="K1029" s="32"/>
      <c r="L1029" s="32"/>
      <c r="M1029" s="32"/>
      <c r="N1029" s="32"/>
      <c r="O1029" s="93">
        <v>280210.0</v>
      </c>
      <c r="P1029" s="91">
        <f>IFERROR(__xludf.DUMMYFUNCTION("IFERROR(sum(FILTER($D:$N,$C:$C = $C1029,$A:$A &lt; $A1029,$B:$B = 12)),0) + sum($D1029:$N1029)"),280211.0500000001)</f>
        <v>280211.05</v>
      </c>
      <c r="Q1029" s="92">
        <f t="shared" si="1"/>
        <v>-1.05</v>
      </c>
      <c r="R1029" s="91">
        <f t="array" ref="R1029">IFERROR(INDEX('Fund YTD Target Values'!$1:$1000, MATCH($C1029,'Fund YTD Target Values'!$A:$A,0), MATCH($A1029,'Fund YTD Target Values'!$1:$1,0)),0)</f>
        <v>321586.5616</v>
      </c>
      <c r="S1029" s="91">
        <f>IFERROR(__xludf.DUMMYFUNCTION("IFERROR(sum(FILTER('Fund Investment Data'!$V:$V, 'Fund Investment Data'!$C:$C = $C1029, 'Fund Investment Data'!$A:$A &lt; $A1029)),0) + IFERROR(sum(FILTER('Fund Investment Data'!$V:$V, 'Fund Investment Data'!$C:$C = $C1029, 'Fund Investment Data'!$A:$A = $A1"&amp;"029, 'Fund Investment Data'!$B:$B &lt;= $B1029)),0)"),250000.0)</f>
        <v>250000</v>
      </c>
      <c r="T1029" s="93">
        <v>250000.0</v>
      </c>
      <c r="U1029" s="32">
        <f t="shared" ref="U1029:U1045" si="5">S1029-T1029</f>
        <v>0</v>
      </c>
      <c r="V1029" s="32">
        <f>IFERROR(__xludf.DUMMYFUNCTION("$D1029 - IFERROR(FILTER($D:$D,$C:$C = $C1029, $A:$A = $A1029, $B:$B = $B1029 - 1),0)"),0.0)</f>
        <v>0</v>
      </c>
      <c r="W1029" s="93">
        <f>IFERROR(__xludf.DUMMYFUNCTION("$E1029 - IFERROR(FILTER($E:$E,$C:$C = $C1029, $A:$A = $A1029, $B:$B = $B1029 - 1),0)"),-4000.0)</f>
        <v>-4000</v>
      </c>
      <c r="X1029" s="93"/>
      <c r="Y1029" s="93"/>
      <c r="Z1029" s="93">
        <v>0.0</v>
      </c>
      <c r="AA1029" s="93">
        <v>0.0</v>
      </c>
      <c r="AB1029" s="93">
        <v>0.0</v>
      </c>
      <c r="AC1029" s="93"/>
      <c r="AD1029" s="93">
        <v>0.0</v>
      </c>
      <c r="AE1029" s="32">
        <f t="shared" si="2"/>
        <v>-6000</v>
      </c>
      <c r="AF1029" s="93">
        <v>0.0</v>
      </c>
    </row>
    <row r="1030">
      <c r="A1030" s="86">
        <v>2018.0</v>
      </c>
      <c r="B1030" s="87">
        <v>6.0</v>
      </c>
      <c r="C1030" s="88" t="s">
        <v>45</v>
      </c>
      <c r="D1030" s="32"/>
      <c r="E1030" s="93">
        <v>-3000.0</v>
      </c>
      <c r="F1030" s="32"/>
      <c r="G1030" s="93">
        <v>-448.68</v>
      </c>
      <c r="H1030" s="93">
        <v>1835.84</v>
      </c>
      <c r="I1030" s="32"/>
      <c r="J1030" s="93">
        <v>-1623.11</v>
      </c>
      <c r="K1030" s="32"/>
      <c r="L1030" s="32"/>
      <c r="M1030" s="32"/>
      <c r="N1030" s="32"/>
      <c r="O1030" s="93">
        <v>145166.0</v>
      </c>
      <c r="P1030" s="91">
        <f>IFERROR(__xludf.DUMMYFUNCTION("IFERROR(sum(FILTER($D:$N,$C:$C = $C1030,$A:$A &lt; $A1030,$B:$B = 12)),0) + sum($D1030:$N1030)"),145166.33999999997)</f>
        <v>145166.34</v>
      </c>
      <c r="Q1030" s="92">
        <f t="shared" si="1"/>
        <v>-0.34</v>
      </c>
      <c r="R1030" s="91">
        <f t="array" ref="R1030">IFERROR(INDEX('Fund YTD Target Values'!$1:$1000, MATCH($C1030,'Fund YTD Target Values'!$A:$A,0), MATCH($A1030,'Fund YTD Target Values'!$1:$1,0)),0)</f>
        <v>121242.134</v>
      </c>
      <c r="S1030" s="91">
        <f>IFERROR(__xludf.DUMMYFUNCTION("IFERROR(sum(FILTER('Fund Investment Data'!$V:$V, 'Fund Investment Data'!$C:$C = $C1030, 'Fund Investment Data'!$A:$A &lt; $A1030)),0) + IFERROR(sum(FILTER('Fund Investment Data'!$V:$V, 'Fund Investment Data'!$C:$C = $C1030, 'Fund Investment Data'!$A:$A = $A1"&amp;"030, 'Fund Investment Data'!$B:$B &lt;= $B1030)),0)"),100000.0)</f>
        <v>100000</v>
      </c>
      <c r="T1030" s="93">
        <v>100000.0</v>
      </c>
      <c r="U1030" s="32">
        <f t="shared" si="5"/>
        <v>0</v>
      </c>
      <c r="V1030" s="32">
        <f>IFERROR(__xludf.DUMMYFUNCTION("$D1030 - IFERROR(FILTER($D:$D,$C:$C = $C1030, $A:$A = $A1030, $B:$B = $B1030 - 1),0)"),0.0)</f>
        <v>0</v>
      </c>
      <c r="W1030" s="93">
        <f>IFERROR(__xludf.DUMMYFUNCTION("$E1030 - IFERROR(FILTER($E:$E,$C:$C = $C1030, $A:$A = $A1030, $B:$B = $B1030 - 1),0)"),-3000.0)</f>
        <v>-3000</v>
      </c>
      <c r="X1030" s="93"/>
      <c r="Y1030" s="93"/>
      <c r="Z1030" s="93">
        <v>0.0</v>
      </c>
      <c r="AA1030" s="93">
        <v>0.0</v>
      </c>
      <c r="AB1030" s="93">
        <v>0.0</v>
      </c>
      <c r="AC1030" s="93"/>
      <c r="AD1030" s="93">
        <v>0.0</v>
      </c>
      <c r="AE1030" s="32">
        <f t="shared" si="2"/>
        <v>-3000</v>
      </c>
      <c r="AF1030" s="93">
        <v>0.0</v>
      </c>
    </row>
    <row r="1031">
      <c r="A1031" s="86">
        <v>2018.0</v>
      </c>
      <c r="B1031" s="87">
        <v>6.0</v>
      </c>
      <c r="C1031" s="88" t="s">
        <v>35</v>
      </c>
      <c r="D1031" s="32"/>
      <c r="E1031" s="93">
        <v>-29100.0</v>
      </c>
      <c r="F1031" s="32"/>
      <c r="G1031" s="93">
        <v>-4426.99</v>
      </c>
      <c r="H1031" s="93">
        <v>18232.0</v>
      </c>
      <c r="I1031" s="93">
        <v>5100.81</v>
      </c>
      <c r="J1031" s="93">
        <v>-21106.0</v>
      </c>
      <c r="K1031" s="32"/>
      <c r="L1031" s="32"/>
      <c r="M1031" s="32"/>
      <c r="N1031" s="32"/>
      <c r="O1031" s="93">
        <v>1434842.0</v>
      </c>
      <c r="P1031" s="91">
        <f>IFERROR(__xludf.DUMMYFUNCTION("IFERROR(sum(FILTER($D:$N,$C:$C = $C1031,$A:$A &lt; $A1031,$B:$B = 12)),0) + sum($D1031:$N1031)"),1434841.3800000004)</f>
        <v>1434841.38</v>
      </c>
      <c r="Q1031" s="92">
        <f t="shared" si="1"/>
        <v>0.6199999996</v>
      </c>
      <c r="R1031" s="91">
        <f t="array" ref="R1031">IFERROR(INDEX('Fund YTD Target Values'!$1:$1000, MATCH($C1031,'Fund YTD Target Values'!$A:$A,0), MATCH($A1031,'Fund YTD Target Values'!$1:$1,0)),0)</f>
        <v>1579247.369</v>
      </c>
      <c r="S1031" s="91">
        <f>IFERROR(__xludf.DUMMYFUNCTION("IFERROR(sum(FILTER('Fund Investment Data'!$V:$V, 'Fund Investment Data'!$C:$C = $C1031, 'Fund Investment Data'!$A:$A &lt; $A1031)),0) + IFERROR(sum(FILTER('Fund Investment Data'!$V:$V, 'Fund Investment Data'!$C:$C = $C1031, 'Fund Investment Data'!$A:$A = $A1"&amp;"031, 'Fund Investment Data'!$B:$B &lt;= $B1031)),0)"),1086625.0)</f>
        <v>1086625</v>
      </c>
      <c r="T1031" s="93">
        <v>1071625.0</v>
      </c>
      <c r="U1031" s="32">
        <f t="shared" si="5"/>
        <v>15000</v>
      </c>
      <c r="V1031" s="32">
        <f>IFERROR(__xludf.DUMMYFUNCTION("$D1031 - IFERROR(FILTER($D:$D,$C:$C = $C1031, $A:$A = $A1031, $B:$B = $B1031 - 1),0)"),0.0)</f>
        <v>0</v>
      </c>
      <c r="W1031" s="93">
        <f>IFERROR(__xludf.DUMMYFUNCTION("$E1031 - IFERROR(FILTER($E:$E,$C:$C = $C1031, $A:$A = $A1031, $B:$B = $B1031 - 1),0)"),-16100.0)</f>
        <v>-16100</v>
      </c>
      <c r="X1031" s="93"/>
      <c r="Y1031" s="93"/>
      <c r="Z1031" s="93">
        <v>0.0</v>
      </c>
      <c r="AA1031" s="93">
        <v>0.0</v>
      </c>
      <c r="AB1031" s="93">
        <v>0.0</v>
      </c>
      <c r="AC1031" s="93"/>
      <c r="AD1031" s="93">
        <v>0.0</v>
      </c>
      <c r="AE1031" s="32">
        <f t="shared" si="2"/>
        <v>-29100</v>
      </c>
      <c r="AF1031" s="93">
        <v>0.0</v>
      </c>
    </row>
    <row r="1032">
      <c r="A1032" s="86">
        <v>2018.0</v>
      </c>
      <c r="B1032" s="87">
        <v>6.0</v>
      </c>
      <c r="C1032" s="88" t="s">
        <v>56</v>
      </c>
      <c r="D1032" s="32"/>
      <c r="E1032" s="93">
        <v>-26300.0</v>
      </c>
      <c r="F1032" s="32"/>
      <c r="G1032" s="93">
        <v>-3424.73</v>
      </c>
      <c r="H1032" s="93">
        <v>13931.16</v>
      </c>
      <c r="I1032" s="93">
        <v>1776.67</v>
      </c>
      <c r="J1032" s="93">
        <v>-14085.6</v>
      </c>
      <c r="K1032" s="32"/>
      <c r="L1032" s="32"/>
      <c r="M1032" s="32"/>
      <c r="N1032" s="32"/>
      <c r="O1032" s="93">
        <v>1104875.0</v>
      </c>
      <c r="P1032" s="91">
        <f>IFERROR(__xludf.DUMMYFUNCTION("IFERROR(sum(FILTER($D:$N,$C:$C = $C1032,$A:$A &lt; $A1032,$B:$B = 12)),0) + sum($D1032:$N1032)"),1104875.3299999998)</f>
        <v>1104875.33</v>
      </c>
      <c r="Q1032" s="92">
        <f t="shared" si="1"/>
        <v>-0.3299999998</v>
      </c>
      <c r="R1032" s="91">
        <f t="array" ref="R1032">IFERROR(INDEX('Fund YTD Target Values'!$1:$1000, MATCH($C1032,'Fund YTD Target Values'!$A:$A,0), MATCH($A1032,'Fund YTD Target Values'!$1:$1,0)),0)</f>
        <v>1060725.595</v>
      </c>
      <c r="S1032" s="91">
        <f>IFERROR(__xludf.DUMMYFUNCTION("IFERROR(sum(FILTER('Fund Investment Data'!$V:$V, 'Fund Investment Data'!$C:$C = $C1032, 'Fund Investment Data'!$A:$A &lt; $A1032)),0) + IFERROR(sum(FILTER('Fund Investment Data'!$V:$V, 'Fund Investment Data'!$C:$C = $C1032, 'Fund Investment Data'!$A:$A = $A1"&amp;"032, 'Fund Investment Data'!$B:$B &lt;= $B1032)),0)"),1000000.0)</f>
        <v>1000000</v>
      </c>
      <c r="T1032" s="93">
        <v>1000000.0</v>
      </c>
      <c r="U1032" s="32">
        <f t="shared" si="5"/>
        <v>0</v>
      </c>
      <c r="V1032" s="32">
        <f>IFERROR(__xludf.DUMMYFUNCTION("$D1032 - IFERROR(FILTER($D:$D,$C:$C = $C1032, $A:$A = $A1032, $B:$B = $B1032 - 1),0)"),0.0)</f>
        <v>0</v>
      </c>
      <c r="W1032" s="93">
        <f>IFERROR(__xludf.DUMMYFUNCTION("$E1032 - IFERROR(FILTER($E:$E,$C:$C = $C1032, $A:$A = $A1032, $B:$B = $B1032 - 1),0)"),-26300.0)</f>
        <v>-26300</v>
      </c>
      <c r="X1032" s="93"/>
      <c r="Y1032" s="93"/>
      <c r="Z1032" s="93">
        <v>0.0</v>
      </c>
      <c r="AA1032" s="93">
        <v>0.0</v>
      </c>
      <c r="AB1032" s="93">
        <v>0.0</v>
      </c>
      <c r="AC1032" s="93"/>
      <c r="AD1032" s="93">
        <v>0.0</v>
      </c>
      <c r="AE1032" s="32">
        <f t="shared" si="2"/>
        <v>-26300</v>
      </c>
      <c r="AF1032" s="93">
        <v>0.0</v>
      </c>
    </row>
    <row r="1033">
      <c r="A1033" s="86">
        <v>2018.0</v>
      </c>
      <c r="B1033" s="87">
        <v>6.0</v>
      </c>
      <c r="C1033" s="88" t="s">
        <v>57</v>
      </c>
      <c r="D1033" s="32"/>
      <c r="E1033" s="32"/>
      <c r="F1033" s="32"/>
      <c r="G1033" s="93">
        <v>-6153.75</v>
      </c>
      <c r="H1033" s="93">
        <v>25309.38</v>
      </c>
      <c r="I1033" s="32"/>
      <c r="J1033" s="93">
        <v>-22515.81</v>
      </c>
      <c r="K1033" s="32"/>
      <c r="L1033" s="32"/>
      <c r="M1033" s="32"/>
      <c r="N1033" s="32"/>
      <c r="O1033" s="93">
        <v>2031819.0</v>
      </c>
      <c r="P1033" s="91">
        <f>IFERROR(__xludf.DUMMYFUNCTION("IFERROR(sum(FILTER($D:$N,$C:$C = $C1033,$A:$A &lt; $A1033,$B:$B = 12)),0) + sum($D1033:$N1033)"),2031818.6500000001)</f>
        <v>2031818.65</v>
      </c>
      <c r="Q1033" s="92">
        <f t="shared" si="1"/>
        <v>0.3499999999</v>
      </c>
      <c r="R1033" s="91">
        <f t="array" ref="R1033">IFERROR(INDEX('Fund YTD Target Values'!$1:$1000, MATCH($C1033,'Fund YTD Target Values'!$A:$A,0), MATCH($A1033,'Fund YTD Target Values'!$1:$1,0)),0)</f>
        <v>2048853.692</v>
      </c>
      <c r="S1033" s="91">
        <f>IFERROR(__xludf.DUMMYFUNCTION("IFERROR(sum(FILTER('Fund Investment Data'!$V:$V, 'Fund Investment Data'!$C:$C = $C1033, 'Fund Investment Data'!$A:$A &lt; $A1033)),0) + IFERROR(sum(FILTER('Fund Investment Data'!$V:$V, 'Fund Investment Data'!$C:$C = $C1033, 'Fund Investment Data'!$A:$A = $A1"&amp;"033, 'Fund Investment Data'!$B:$B &lt;= $B1033)),0)"),2000000.0)</f>
        <v>2000000</v>
      </c>
      <c r="T1033" s="93">
        <v>2000000.0</v>
      </c>
      <c r="U1033" s="32">
        <f t="shared" si="5"/>
        <v>0</v>
      </c>
      <c r="V1033" s="32">
        <f>IFERROR(__xludf.DUMMYFUNCTION("$D1033 - IFERROR(FILTER($D:$D,$C:$C = $C1033, $A:$A = $A1033, $B:$B = $B1033 - 1),0)"),0.0)</f>
        <v>0</v>
      </c>
      <c r="W1033" s="93">
        <f>IFERROR(__xludf.DUMMYFUNCTION("$E1033 - IFERROR(FILTER($E:$E,$C:$C = $C1033, $A:$A = $A1033, $B:$B = $B1033 - 1),0)"),0.0)</f>
        <v>0</v>
      </c>
      <c r="X1033" s="93"/>
      <c r="Y1033" s="93"/>
      <c r="Z1033" s="93">
        <v>0.0</v>
      </c>
      <c r="AA1033" s="93">
        <v>0.0</v>
      </c>
      <c r="AB1033" s="93">
        <v>0.0</v>
      </c>
      <c r="AC1033" s="93"/>
      <c r="AD1033" s="93">
        <v>0.0</v>
      </c>
      <c r="AE1033" s="32">
        <f t="shared" si="2"/>
        <v>0</v>
      </c>
      <c r="AF1033" s="93">
        <v>0.0</v>
      </c>
    </row>
    <row r="1034">
      <c r="A1034" s="86">
        <v>2018.0</v>
      </c>
      <c r="B1034" s="87">
        <v>6.0</v>
      </c>
      <c r="C1034" s="88" t="s">
        <v>58</v>
      </c>
      <c r="D1034" s="32"/>
      <c r="E1034" s="32"/>
      <c r="F1034" s="32"/>
      <c r="G1034" s="93">
        <v>-6153.75</v>
      </c>
      <c r="H1034" s="93">
        <v>25309.38</v>
      </c>
      <c r="I1034" s="32"/>
      <c r="J1034" s="93">
        <v>-22515.81</v>
      </c>
      <c r="K1034" s="32"/>
      <c r="L1034" s="32"/>
      <c r="M1034" s="32"/>
      <c r="N1034" s="32"/>
      <c r="O1034" s="93">
        <v>2031819.0</v>
      </c>
      <c r="P1034" s="91">
        <f>IFERROR(__xludf.DUMMYFUNCTION("IFERROR(sum(FILTER($D:$N,$C:$C = $C1034,$A:$A &lt; $A1034,$B:$B = 12)),0) + sum($D1034:$N1034)"),2031818.6500000001)</f>
        <v>2031818.65</v>
      </c>
      <c r="Q1034" s="92">
        <f t="shared" si="1"/>
        <v>0.3499999999</v>
      </c>
      <c r="R1034" s="91">
        <f t="array" ref="R1034">IFERROR(INDEX('Fund YTD Target Values'!$1:$1000, MATCH($C1034,'Fund YTD Target Values'!$A:$A,0), MATCH($A1034,'Fund YTD Target Values'!$1:$1,0)),0)</f>
        <v>2048853.692</v>
      </c>
      <c r="S1034" s="91">
        <f>IFERROR(__xludf.DUMMYFUNCTION("IFERROR(sum(FILTER('Fund Investment Data'!$V:$V, 'Fund Investment Data'!$C:$C = $C1034, 'Fund Investment Data'!$A:$A &lt; $A1034)),0) + IFERROR(sum(FILTER('Fund Investment Data'!$V:$V, 'Fund Investment Data'!$C:$C = $C1034, 'Fund Investment Data'!$A:$A = $A1"&amp;"034, 'Fund Investment Data'!$B:$B &lt;= $B1034)),0)"),2000000.0)</f>
        <v>2000000</v>
      </c>
      <c r="T1034" s="93">
        <v>2000000.0</v>
      </c>
      <c r="U1034" s="32">
        <f t="shared" si="5"/>
        <v>0</v>
      </c>
      <c r="V1034" s="32">
        <f>IFERROR(__xludf.DUMMYFUNCTION("$D1034 - IFERROR(FILTER($D:$D,$C:$C = $C1034, $A:$A = $A1034, $B:$B = $B1034 - 1),0)"),0.0)</f>
        <v>0</v>
      </c>
      <c r="W1034" s="93">
        <f>IFERROR(__xludf.DUMMYFUNCTION("$E1034 - IFERROR(FILTER($E:$E,$C:$C = $C1034, $A:$A = $A1034, $B:$B = $B1034 - 1),0)"),0.0)</f>
        <v>0</v>
      </c>
      <c r="X1034" s="93"/>
      <c r="Y1034" s="93"/>
      <c r="Z1034" s="93">
        <v>0.0</v>
      </c>
      <c r="AA1034" s="93">
        <v>0.0</v>
      </c>
      <c r="AB1034" s="93">
        <v>0.0</v>
      </c>
      <c r="AC1034" s="93"/>
      <c r="AD1034" s="93">
        <v>0.0</v>
      </c>
      <c r="AE1034" s="32">
        <f t="shared" si="2"/>
        <v>0</v>
      </c>
      <c r="AF1034" s="93">
        <v>0.0</v>
      </c>
    </row>
    <row r="1035">
      <c r="A1035" s="86">
        <v>2018.0</v>
      </c>
      <c r="B1035" s="87">
        <v>7.0</v>
      </c>
      <c r="C1035" s="88" t="s">
        <v>26</v>
      </c>
      <c r="D1035" s="93">
        <v>18189.0</v>
      </c>
      <c r="E1035" s="93">
        <v>-9300.0</v>
      </c>
      <c r="F1035" s="32"/>
      <c r="G1035" s="93">
        <v>-1206.25</v>
      </c>
      <c r="H1035" s="93">
        <v>4973.42</v>
      </c>
      <c r="I1035" s="32"/>
      <c r="J1035" s="93">
        <v>1690.87</v>
      </c>
      <c r="K1035" s="32"/>
      <c r="L1035" s="32"/>
      <c r="M1035" s="32"/>
      <c r="N1035" s="32"/>
      <c r="O1035" s="93">
        <v>346279.0</v>
      </c>
      <c r="P1035" s="91">
        <f>IFERROR(__xludf.DUMMYFUNCTION("IFERROR(sum(FILTER($D:$N,$C:$C = $C1035,$A:$A &lt; $A1035,$B:$B = 12)),0) + sum($D1035:$N1035)"),346277.99999999994)</f>
        <v>346278</v>
      </c>
      <c r="Q1035" s="92">
        <f t="shared" si="1"/>
        <v>1</v>
      </c>
      <c r="R1035" s="91">
        <f t="array" ref="R1035">IFERROR(INDEX('Fund YTD Target Values'!$1:$1000, MATCH($C1035,'Fund YTD Target Values'!$A:$A,0), MATCH($A1035,'Fund YTD Target Values'!$1:$1,0)),0)</f>
        <v>378110.9215</v>
      </c>
      <c r="S1035" s="91">
        <f>IFERROR(__xludf.DUMMYFUNCTION("IFERROR(sum(FILTER('Fund Investment Data'!$V:$V, 'Fund Investment Data'!$C:$C = $C1035, 'Fund Investment Data'!$A:$A &lt; $A1035)),0) + IFERROR(sum(FILTER('Fund Investment Data'!$V:$V, 'Fund Investment Data'!$C:$C = $C1035, 'Fund Investment Data'!$A:$A = $A1"&amp;"035, 'Fund Investment Data'!$B:$B &lt;= $B1035)),0)"),310249.0)</f>
        <v>310249</v>
      </c>
      <c r="T1035" s="93">
        <v>310250.0</v>
      </c>
      <c r="U1035" s="32">
        <f t="shared" si="5"/>
        <v>-1</v>
      </c>
      <c r="V1035" s="32">
        <f>IFERROR(__xludf.DUMMYFUNCTION("$D1035 - IFERROR(FILTER($D:$D,$C:$C = $C1035, $A:$A = $A1035, $B:$B = $B1035 - 1),0)"),0.0)</f>
        <v>0</v>
      </c>
      <c r="W1035" s="93">
        <f>IFERROR(__xludf.DUMMYFUNCTION("$E1035 - IFERROR(FILTER($E:$E,$C:$C = $C1035, $A:$A = $A1035, $B:$B = $B1035 - 1),0)"),-1300.0)</f>
        <v>-1300</v>
      </c>
      <c r="X1035" s="93"/>
      <c r="Y1035" s="93"/>
      <c r="Z1035" s="93">
        <v>0.0</v>
      </c>
      <c r="AA1035" s="93">
        <v>0.0</v>
      </c>
      <c r="AB1035" s="93">
        <v>0.0</v>
      </c>
      <c r="AC1035" s="93"/>
      <c r="AD1035" s="93">
        <v>0.0</v>
      </c>
      <c r="AE1035" s="32">
        <f t="shared" si="2"/>
        <v>-9300</v>
      </c>
      <c r="AF1035" s="93">
        <v>0.0</v>
      </c>
    </row>
    <row r="1036">
      <c r="A1036" s="86">
        <v>2018.0</v>
      </c>
      <c r="B1036" s="87">
        <v>7.0</v>
      </c>
      <c r="C1036" s="88" t="s">
        <v>27</v>
      </c>
      <c r="D1036" s="32"/>
      <c r="E1036" s="93">
        <v>-5500.0</v>
      </c>
      <c r="F1036" s="32"/>
      <c r="G1036" s="93">
        <v>-1084.02</v>
      </c>
      <c r="H1036" s="93">
        <v>4526.0</v>
      </c>
      <c r="I1036" s="93">
        <v>859.75</v>
      </c>
      <c r="J1036" s="93">
        <v>770.23</v>
      </c>
      <c r="K1036" s="32"/>
      <c r="L1036" s="32"/>
      <c r="M1036" s="32"/>
      <c r="N1036" s="32"/>
      <c r="O1036" s="93">
        <v>308057.0</v>
      </c>
      <c r="P1036" s="91">
        <f>IFERROR(__xludf.DUMMYFUNCTION("IFERROR(sum(FILTER($D:$N,$C:$C = $C1036,$A:$A &lt; $A1036,$B:$B = 12)),0) + sum($D1036:$N1036)"),308057.3600000001)</f>
        <v>308057.36</v>
      </c>
      <c r="Q1036" s="92">
        <f t="shared" si="1"/>
        <v>-0.3600000001</v>
      </c>
      <c r="R1036" s="91">
        <f t="array" ref="R1036">IFERROR(INDEX('Fund YTD Target Values'!$1:$1000, MATCH($C1036,'Fund YTD Target Values'!$A:$A,0), MATCH($A1036,'Fund YTD Target Values'!$1:$1,0)),0)</f>
        <v>393297.582</v>
      </c>
      <c r="S1036" s="91">
        <f>IFERROR(__xludf.DUMMYFUNCTION("IFERROR(sum(FILTER('Fund Investment Data'!$V:$V, 'Fund Investment Data'!$C:$C = $C1036, 'Fund Investment Data'!$A:$A &lt; $A1036)),0) + IFERROR(sum(FILTER('Fund Investment Data'!$V:$V, 'Fund Investment Data'!$C:$C = $C1036, 'Fund Investment Data'!$A:$A = $A1"&amp;"036, 'Fund Investment Data'!$B:$B &lt;= $B1036)),0)"),276213.69999999995)</f>
        <v>276213.7</v>
      </c>
      <c r="T1036" s="93">
        <v>272248.0</v>
      </c>
      <c r="U1036" s="32">
        <f t="shared" si="5"/>
        <v>3965.7</v>
      </c>
      <c r="V1036" s="32">
        <f>IFERROR(__xludf.DUMMYFUNCTION("$D1036 - IFERROR(FILTER($D:$D,$C:$C = $C1036, $A:$A = $A1036, $B:$B = $B1036 - 1),0)"),0.0)</f>
        <v>0</v>
      </c>
      <c r="W1036" s="93">
        <f>IFERROR(__xludf.DUMMYFUNCTION("$E1036 - IFERROR(FILTER($E:$E,$C:$C = $C1036, $A:$A = $A1036, $B:$B = $B1036 - 1),0)"),0.0)</f>
        <v>0</v>
      </c>
      <c r="X1036" s="93"/>
      <c r="Y1036" s="93"/>
      <c r="Z1036" s="93">
        <v>0.0</v>
      </c>
      <c r="AA1036" s="93">
        <v>0.0</v>
      </c>
      <c r="AB1036" s="93">
        <v>0.0</v>
      </c>
      <c r="AC1036" s="93"/>
      <c r="AD1036" s="93">
        <v>0.0</v>
      </c>
      <c r="AE1036" s="32">
        <f t="shared" si="2"/>
        <v>-5500</v>
      </c>
      <c r="AF1036" s="93">
        <v>0.0</v>
      </c>
    </row>
    <row r="1037">
      <c r="A1037" s="86">
        <v>2018.0</v>
      </c>
      <c r="B1037" s="87">
        <v>7.0</v>
      </c>
      <c r="C1037" s="88" t="s">
        <v>28</v>
      </c>
      <c r="D1037" s="32"/>
      <c r="E1037" s="93">
        <v>-72000.0</v>
      </c>
      <c r="F1037" s="32"/>
      <c r="G1037" s="93">
        <v>-11608.3</v>
      </c>
      <c r="H1037" s="93">
        <v>48462.61</v>
      </c>
      <c r="I1037" s="93">
        <v>8483.71</v>
      </c>
      <c r="J1037" s="93">
        <v>8963.49</v>
      </c>
      <c r="K1037" s="32"/>
      <c r="L1037" s="32"/>
      <c r="M1037" s="32"/>
      <c r="N1037" s="32"/>
      <c r="O1037" s="93">
        <v>3291529.0</v>
      </c>
      <c r="P1037" s="91">
        <f>IFERROR(__xludf.DUMMYFUNCTION("IFERROR(sum(FILTER($D:$N,$C:$C = $C1037,$A:$A &lt; $A1037,$B:$B = 12)),0) + sum($D1037:$N1037)"),3291527.5799999996)</f>
        <v>3291527.58</v>
      </c>
      <c r="Q1037" s="92">
        <f t="shared" si="1"/>
        <v>1.42</v>
      </c>
      <c r="R1037" s="91">
        <f t="array" ref="R1037">IFERROR(INDEX('Fund YTD Target Values'!$1:$1000, MATCH($C1037,'Fund YTD Target Values'!$A:$A,0), MATCH($A1037,'Fund YTD Target Values'!$1:$1,0)),0)</f>
        <v>3840487.513</v>
      </c>
      <c r="S1037" s="91">
        <f>IFERROR(__xludf.DUMMYFUNCTION("IFERROR(sum(FILTER('Fund Investment Data'!$V:$V, 'Fund Investment Data'!$C:$C = $C1037, 'Fund Investment Data'!$A:$A &lt; $A1037)),0) + IFERROR(sum(FILTER('Fund Investment Data'!$V:$V, 'Fund Investment Data'!$C:$C = $C1037, 'Fund Investment Data'!$A:$A = $A1"&amp;"037, 'Fund Investment Data'!$B:$B &lt;= $B1037)),0)"),2960091.25)</f>
        <v>2960091.25</v>
      </c>
      <c r="T1037" s="93">
        <v>3009816.0</v>
      </c>
      <c r="U1037" s="32">
        <f t="shared" si="5"/>
        <v>-49724.75</v>
      </c>
      <c r="V1037" s="32">
        <f>IFERROR(__xludf.DUMMYFUNCTION("$D1037 - IFERROR(FILTER($D:$D,$C:$C = $C1037, $A:$A = $A1037, $B:$B = $B1037 - 1),0)"),0.0)</f>
        <v>0</v>
      </c>
      <c r="W1037" s="93">
        <f>IFERROR(__xludf.DUMMYFUNCTION("$E1037 - IFERROR(FILTER($E:$E,$C:$C = $C1037, $A:$A = $A1037, $B:$B = $B1037 - 1),0)"),-7500.0)</f>
        <v>-7500</v>
      </c>
      <c r="X1037" s="93"/>
      <c r="Y1037" s="93"/>
      <c r="Z1037" s="93">
        <v>0.0</v>
      </c>
      <c r="AA1037" s="93">
        <v>0.0</v>
      </c>
      <c r="AB1037" s="93">
        <v>0.0</v>
      </c>
      <c r="AC1037" s="93"/>
      <c r="AD1037" s="93">
        <v>0.0</v>
      </c>
      <c r="AE1037" s="32">
        <f t="shared" si="2"/>
        <v>-72000</v>
      </c>
      <c r="AF1037" s="93">
        <v>0.0</v>
      </c>
    </row>
    <row r="1038">
      <c r="A1038" s="86">
        <v>2018.0</v>
      </c>
      <c r="B1038" s="87">
        <v>7.0</v>
      </c>
      <c r="C1038" s="88" t="s">
        <v>46</v>
      </c>
      <c r="D1038" s="32"/>
      <c r="E1038" s="93">
        <v>-14600.0</v>
      </c>
      <c r="F1038" s="32"/>
      <c r="G1038" s="93">
        <v>-1379.44</v>
      </c>
      <c r="H1038" s="93">
        <v>5758.36</v>
      </c>
      <c r="I1038" s="93">
        <v>3417.03</v>
      </c>
      <c r="J1038" s="93">
        <v>-1346.24</v>
      </c>
      <c r="K1038" s="32"/>
      <c r="L1038" s="32"/>
      <c r="M1038" s="32"/>
      <c r="N1038" s="32"/>
      <c r="O1038" s="93">
        <v>385357.0</v>
      </c>
      <c r="P1038" s="91">
        <f>IFERROR(__xludf.DUMMYFUNCTION("IFERROR(sum(FILTER($D:$N,$C:$C = $C1038,$A:$A &lt; $A1038,$B:$B = 12)),0) + sum($D1038:$N1038)"),385357.37000000005)</f>
        <v>385357.37</v>
      </c>
      <c r="Q1038" s="92">
        <f t="shared" si="1"/>
        <v>-0.3700000001</v>
      </c>
      <c r="R1038" s="91">
        <f t="array" ref="R1038">IFERROR(INDEX('Fund YTD Target Values'!$1:$1000, MATCH($C1038,'Fund YTD Target Values'!$A:$A,0), MATCH($A1038,'Fund YTD Target Values'!$1:$1,0)),0)</f>
        <v>456546.9656</v>
      </c>
      <c r="S1038" s="91">
        <f>IFERROR(__xludf.DUMMYFUNCTION("IFERROR(sum(FILTER('Fund Investment Data'!$V:$V, 'Fund Investment Data'!$C:$C = $C1038, 'Fund Investment Data'!$A:$A &lt; $A1038)),0) + IFERROR(sum(FILTER('Fund Investment Data'!$V:$V, 'Fund Investment Data'!$C:$C = $C1038, 'Fund Investment Data'!$A:$A = $A1"&amp;"038, 'Fund Investment Data'!$B:$B &lt;= $B1038)),0)"),366400.0)</f>
        <v>366400</v>
      </c>
      <c r="T1038" s="93">
        <v>366400.0</v>
      </c>
      <c r="U1038" s="32">
        <f t="shared" si="5"/>
        <v>0</v>
      </c>
      <c r="V1038" s="32">
        <f>IFERROR(__xludf.DUMMYFUNCTION("$D1038 - IFERROR(FILTER($D:$D,$C:$C = $C1038, $A:$A = $A1038, $B:$B = $B1038 - 1),0)"),0.0)</f>
        <v>0</v>
      </c>
      <c r="W1038" s="93">
        <f>IFERROR(__xludf.DUMMYFUNCTION("$E1038 - IFERROR(FILTER($E:$E,$C:$C = $C1038, $A:$A = $A1038, $B:$B = $B1038 - 1),0)"),-800.0)</f>
        <v>-800</v>
      </c>
      <c r="X1038" s="93"/>
      <c r="Y1038" s="93"/>
      <c r="Z1038" s="93">
        <v>0.0</v>
      </c>
      <c r="AA1038" s="93">
        <v>0.0</v>
      </c>
      <c r="AB1038" s="93">
        <v>0.0</v>
      </c>
      <c r="AC1038" s="93"/>
      <c r="AD1038" s="93">
        <v>0.0</v>
      </c>
      <c r="AE1038" s="32">
        <f t="shared" si="2"/>
        <v>-14600</v>
      </c>
      <c r="AF1038" s="93">
        <v>0.0</v>
      </c>
    </row>
    <row r="1039">
      <c r="A1039" s="86">
        <v>2018.0</v>
      </c>
      <c r="B1039" s="87">
        <v>7.0</v>
      </c>
      <c r="C1039" s="88" t="s">
        <v>36</v>
      </c>
      <c r="D1039" s="32"/>
      <c r="E1039" s="93">
        <v>-10000.0</v>
      </c>
      <c r="F1039" s="32"/>
      <c r="G1039" s="93">
        <v>-1581.5</v>
      </c>
      <c r="H1039" s="93">
        <v>6607.11</v>
      </c>
      <c r="I1039" s="93">
        <v>1586.45</v>
      </c>
      <c r="J1039" s="93">
        <v>794.06</v>
      </c>
      <c r="K1039" s="32"/>
      <c r="L1039" s="32"/>
      <c r="M1039" s="32"/>
      <c r="N1039" s="32"/>
      <c r="O1039" s="93">
        <v>448161.0</v>
      </c>
      <c r="P1039" s="91">
        <f>IFERROR(__xludf.DUMMYFUNCTION("IFERROR(sum(FILTER($D:$N,$C:$C = $C1039,$A:$A &lt; $A1039,$B:$B = 12)),0) + sum($D1039:$N1039)"),448160.58)</f>
        <v>448160.58</v>
      </c>
      <c r="Q1039" s="92">
        <f t="shared" si="1"/>
        <v>0.42</v>
      </c>
      <c r="R1039" s="91">
        <f t="array" ref="R1039">IFERROR(INDEX('Fund YTD Target Values'!$1:$1000, MATCH($C1039,'Fund YTD Target Values'!$A:$A,0), MATCH($A1039,'Fund YTD Target Values'!$1:$1,0)),0)</f>
        <v>635486.6433</v>
      </c>
      <c r="S1039" s="91">
        <f>IFERROR(__xludf.DUMMYFUNCTION("IFERROR(sum(FILTER('Fund Investment Data'!$V:$V, 'Fund Investment Data'!$C:$C = $C1039, 'Fund Investment Data'!$A:$A &lt; $A1039)),0) + IFERROR(sum(FILTER('Fund Investment Data'!$V:$V, 'Fund Investment Data'!$C:$C = $C1039, 'Fund Investment Data'!$A:$A = $A1"&amp;"039, 'Fund Investment Data'!$B:$B &lt;= $B1039)),0)"),429067.24)</f>
        <v>429067.24</v>
      </c>
      <c r="T1039" s="93">
        <v>413959.0</v>
      </c>
      <c r="U1039" s="32">
        <f t="shared" si="5"/>
        <v>15108.24</v>
      </c>
      <c r="V1039" s="32">
        <f>IFERROR(__xludf.DUMMYFUNCTION("$D1039 - IFERROR(FILTER($D:$D,$C:$C = $C1039, $A:$A = $A1039, $B:$B = $B1039 - 1),0)"),0.0)</f>
        <v>0</v>
      </c>
      <c r="W1039" s="93">
        <f>IFERROR(__xludf.DUMMYFUNCTION("$E1039 - IFERROR(FILTER($E:$E,$C:$C = $C1039, $A:$A = $A1039, $B:$B = $B1039 - 1),0)"),-1000.0)</f>
        <v>-1000</v>
      </c>
      <c r="X1039" s="93"/>
      <c r="Y1039" s="93"/>
      <c r="Z1039" s="93">
        <v>0.0</v>
      </c>
      <c r="AA1039" s="93">
        <v>0.0</v>
      </c>
      <c r="AB1039" s="93">
        <v>0.0</v>
      </c>
      <c r="AC1039" s="93"/>
      <c r="AD1039" s="93">
        <v>0.0</v>
      </c>
      <c r="AE1039" s="32">
        <f t="shared" si="2"/>
        <v>-10000</v>
      </c>
      <c r="AF1039" s="93">
        <v>0.0</v>
      </c>
    </row>
    <row r="1040">
      <c r="A1040" s="86">
        <v>2018.0</v>
      </c>
      <c r="B1040" s="87">
        <v>7.0</v>
      </c>
      <c r="C1040" s="88" t="s">
        <v>37</v>
      </c>
      <c r="D1040" s="32"/>
      <c r="E1040" s="93">
        <v>-18800.0</v>
      </c>
      <c r="F1040" s="32"/>
      <c r="G1040" s="93">
        <v>-2888.56</v>
      </c>
      <c r="H1040" s="93">
        <v>12067.44</v>
      </c>
      <c r="I1040" s="93">
        <v>2394.84</v>
      </c>
      <c r="J1040" s="93">
        <v>1952.6</v>
      </c>
      <c r="K1040" s="32"/>
      <c r="L1040" s="32"/>
      <c r="M1040" s="32"/>
      <c r="N1040" s="32"/>
      <c r="O1040" s="93">
        <v>818056.0</v>
      </c>
      <c r="P1040" s="91">
        <f>IFERROR(__xludf.DUMMYFUNCTION("IFERROR(sum(FILTER($D:$N,$C:$C = $C1040,$A:$A &lt; $A1040,$B:$B = 12)),0) + sum($D1040:$N1040)"),818055.5599999998)</f>
        <v>818055.56</v>
      </c>
      <c r="Q1040" s="92">
        <f t="shared" si="1"/>
        <v>0.4400000002</v>
      </c>
      <c r="R1040" s="91">
        <f t="array" ref="R1040">IFERROR(INDEX('Fund YTD Target Values'!$1:$1000, MATCH($C1040,'Fund YTD Target Values'!$A:$A,0), MATCH($A1040,'Fund YTD Target Values'!$1:$1,0)),0)</f>
        <v>845621.3635</v>
      </c>
      <c r="S1040" s="91">
        <f>IFERROR(__xludf.DUMMYFUNCTION("IFERROR(sum(FILTER('Fund Investment Data'!$V:$V, 'Fund Investment Data'!$C:$C = $C1040, 'Fund Investment Data'!$A:$A &lt; $A1040)),0) + IFERROR(sum(FILTER('Fund Investment Data'!$V:$V, 'Fund Investment Data'!$C:$C = $C1040, 'Fund Investment Data'!$A:$A = $A1"&amp;"040, 'Fund Investment Data'!$B:$B &lt;= $B1040)),0)"),758137.86)</f>
        <v>758137.86</v>
      </c>
      <c r="T1040" s="93">
        <v>742866.0</v>
      </c>
      <c r="U1040" s="32">
        <f t="shared" si="5"/>
        <v>15271.86</v>
      </c>
      <c r="V1040" s="32">
        <f>IFERROR(__xludf.DUMMYFUNCTION("$D1040 - IFERROR(FILTER($D:$D,$C:$C = $C1040, $A:$A = $A1040, $B:$B = $B1040 - 1),0)"),0.0)</f>
        <v>0</v>
      </c>
      <c r="W1040" s="93">
        <f>IFERROR(__xludf.DUMMYFUNCTION("$E1040 - IFERROR(FILTER($E:$E,$C:$C = $C1040, $A:$A = $A1040, $B:$B = $B1040 - 1),0)"),-1800.0)</f>
        <v>-1800</v>
      </c>
      <c r="X1040" s="93"/>
      <c r="Y1040" s="93"/>
      <c r="Z1040" s="93">
        <v>0.0</v>
      </c>
      <c r="AA1040" s="93">
        <v>0.0</v>
      </c>
      <c r="AB1040" s="93">
        <v>0.0</v>
      </c>
      <c r="AC1040" s="93"/>
      <c r="AD1040" s="93">
        <v>0.0</v>
      </c>
      <c r="AE1040" s="32">
        <f t="shared" si="2"/>
        <v>-18800</v>
      </c>
      <c r="AF1040" s="93">
        <v>0.0</v>
      </c>
    </row>
    <row r="1041">
      <c r="A1041" s="86">
        <v>2018.0</v>
      </c>
      <c r="B1041" s="87">
        <v>7.0</v>
      </c>
      <c r="C1041" s="88" t="s">
        <v>29</v>
      </c>
      <c r="D1041" s="32"/>
      <c r="E1041" s="32"/>
      <c r="F1041" s="32"/>
      <c r="G1041" s="93">
        <v>-204.89</v>
      </c>
      <c r="H1041" s="93">
        <v>854.49</v>
      </c>
      <c r="I1041" s="32"/>
      <c r="J1041" s="93">
        <v>307.65</v>
      </c>
      <c r="K1041" s="32"/>
      <c r="L1041" s="32"/>
      <c r="M1041" s="32"/>
      <c r="N1041" s="32"/>
      <c r="O1041" s="93">
        <v>59119.0</v>
      </c>
      <c r="P1041" s="91">
        <f>IFERROR(__xludf.DUMMYFUNCTION("IFERROR(sum(FILTER($D:$N,$C:$C = $C1041,$A:$A &lt; $A1041,$B:$B = 12)),0) + sum($D1041:$N1041)"),59118.559999999925)</f>
        <v>59118.56</v>
      </c>
      <c r="Q1041" s="92">
        <f t="shared" si="1"/>
        <v>0.4400000001</v>
      </c>
      <c r="R1041" s="91">
        <f t="array" ref="R1041">IFERROR(INDEX('Fund YTD Target Values'!$1:$1000, MATCH($C1041,'Fund YTD Target Values'!$A:$A,0), MATCH($A1041,'Fund YTD Target Values'!$1:$1,0)),0)</f>
        <v>77055.94062</v>
      </c>
      <c r="S1041" s="91">
        <f>IFERROR(__xludf.DUMMYFUNCTION("IFERROR(sum(FILTER('Fund Investment Data'!$V:$V, 'Fund Investment Data'!$C:$C = $C1041, 'Fund Investment Data'!$A:$A &lt; $A1041)),0) + IFERROR(sum(FILTER('Fund Investment Data'!$V:$V, 'Fund Investment Data'!$C:$C = $C1041, 'Fund Investment Data'!$A:$A = $A1"&amp;"041, 'Fund Investment Data'!$B:$B &lt;= $B1041)),0)"),50000.0)</f>
        <v>50000</v>
      </c>
      <c r="T1041" s="93">
        <v>50000.0</v>
      </c>
      <c r="U1041" s="32">
        <f t="shared" si="5"/>
        <v>0</v>
      </c>
      <c r="V1041" s="32">
        <f>IFERROR(__xludf.DUMMYFUNCTION("$D1041 - IFERROR(FILTER($D:$D,$C:$C = $C1041, $A:$A = $A1041, $B:$B = $B1041 - 1),0)"),0.0)</f>
        <v>0</v>
      </c>
      <c r="W1041" s="93">
        <f>IFERROR(__xludf.DUMMYFUNCTION("$E1041 - IFERROR(FILTER($E:$E,$C:$C = $C1041, $A:$A = $A1041, $B:$B = $B1041 - 1),0)"),0.0)</f>
        <v>0</v>
      </c>
      <c r="X1041" s="93"/>
      <c r="Y1041" s="93"/>
      <c r="Z1041" s="93">
        <v>0.0</v>
      </c>
      <c r="AA1041" s="93">
        <v>0.0</v>
      </c>
      <c r="AB1041" s="93">
        <v>0.0</v>
      </c>
      <c r="AC1041" s="93"/>
      <c r="AD1041" s="93">
        <v>0.0</v>
      </c>
      <c r="AE1041" s="32">
        <f t="shared" si="2"/>
        <v>0</v>
      </c>
      <c r="AF1041" s="93">
        <v>0.0</v>
      </c>
    </row>
    <row r="1042">
      <c r="A1042" s="86">
        <v>2018.0</v>
      </c>
      <c r="B1042" s="87">
        <v>7.0</v>
      </c>
      <c r="C1042" s="88" t="s">
        <v>38</v>
      </c>
      <c r="D1042" s="32"/>
      <c r="E1042" s="93">
        <v>-20000.0</v>
      </c>
      <c r="F1042" s="32"/>
      <c r="G1042" s="93">
        <v>-2847.11</v>
      </c>
      <c r="H1042" s="93">
        <v>11852.78</v>
      </c>
      <c r="I1042" s="32"/>
      <c r="J1042" s="93">
        <v>4249.17</v>
      </c>
      <c r="K1042" s="32"/>
      <c r="L1042" s="32"/>
      <c r="M1042" s="32"/>
      <c r="N1042" s="32"/>
      <c r="O1042" s="93">
        <v>808664.0</v>
      </c>
      <c r="P1042" s="91">
        <f>IFERROR(__xludf.DUMMYFUNCTION("IFERROR(sum(FILTER($D:$N,$C:$C = $C1042,$A:$A &lt; $A1042,$B:$B = 12)),0) + sum($D1042:$N1042)"),808662.9799999999)</f>
        <v>808662.98</v>
      </c>
      <c r="Q1042" s="92">
        <f t="shared" si="1"/>
        <v>1.02</v>
      </c>
      <c r="R1042" s="91">
        <f t="array" ref="R1042">IFERROR(INDEX('Fund YTD Target Values'!$1:$1000, MATCH($C1042,'Fund YTD Target Values'!$A:$A,0), MATCH($A1042,'Fund YTD Target Values'!$1:$1,0)),0)</f>
        <v>702514.9803</v>
      </c>
      <c r="S1042" s="91">
        <f>IFERROR(__xludf.DUMMYFUNCTION("IFERROR(sum(FILTER('Fund Investment Data'!$V:$V, 'Fund Investment Data'!$C:$C = $C1042, 'Fund Investment Data'!$A:$A &lt; $A1042)),0) + IFERROR(sum(FILTER('Fund Investment Data'!$V:$V, 'Fund Investment Data'!$C:$C = $C1042, 'Fund Investment Data'!$A:$A = $A1"&amp;"042, 'Fund Investment Data'!$B:$B &lt;= $B1042)),0)"),556601.64)</f>
        <v>556601.64</v>
      </c>
      <c r="T1042" s="93">
        <v>558656.0</v>
      </c>
      <c r="U1042" s="32">
        <f t="shared" si="5"/>
        <v>-2054.36</v>
      </c>
      <c r="V1042" s="32">
        <f>IFERROR(__xludf.DUMMYFUNCTION("$D1042 - IFERROR(FILTER($D:$D,$C:$C = $C1042, $A:$A = $A1042, $B:$B = $B1042 - 1),0)"),0.0)</f>
        <v>0</v>
      </c>
      <c r="W1042" s="93">
        <f>IFERROR(__xludf.DUMMYFUNCTION("$E1042 - IFERROR(FILTER($E:$E,$C:$C = $C1042, $A:$A = $A1042, $B:$B = $B1042 - 1),0)"),0.0)</f>
        <v>0</v>
      </c>
      <c r="X1042" s="93"/>
      <c r="Y1042" s="93"/>
      <c r="Z1042" s="93">
        <v>0.0</v>
      </c>
      <c r="AA1042" s="93">
        <v>0.0</v>
      </c>
      <c r="AB1042" s="93">
        <v>0.0</v>
      </c>
      <c r="AC1042" s="93"/>
      <c r="AD1042" s="93">
        <v>0.0</v>
      </c>
      <c r="AE1042" s="32">
        <f t="shared" si="2"/>
        <v>-20000</v>
      </c>
      <c r="AF1042" s="93">
        <v>0.0</v>
      </c>
    </row>
    <row r="1043">
      <c r="A1043" s="86">
        <v>2018.0</v>
      </c>
      <c r="B1043" s="87">
        <v>7.0</v>
      </c>
      <c r="C1043" s="88" t="s">
        <v>30</v>
      </c>
      <c r="D1043" s="32"/>
      <c r="E1043" s="32"/>
      <c r="F1043" s="32"/>
      <c r="G1043" s="93">
        <v>-61.16</v>
      </c>
      <c r="H1043" s="93">
        <v>250.77</v>
      </c>
      <c r="I1043" s="32"/>
      <c r="J1043" s="93">
        <v>91.41</v>
      </c>
      <c r="K1043" s="32"/>
      <c r="L1043" s="32"/>
      <c r="M1043" s="32"/>
      <c r="N1043" s="32"/>
      <c r="O1043" s="93">
        <v>17650.0</v>
      </c>
      <c r="P1043" s="91">
        <f>IFERROR(__xludf.DUMMYFUNCTION("IFERROR(sum(FILTER($D:$N,$C:$C = $C1043,$A:$A &lt; $A1043,$B:$B = 12)),0) + sum($D1043:$N1043)"),17648.429999999986)</f>
        <v>17648.43</v>
      </c>
      <c r="Q1043" s="92">
        <f t="shared" si="1"/>
        <v>1.57</v>
      </c>
      <c r="R1043" s="91">
        <f t="array" ref="R1043">IFERROR(INDEX('Fund YTD Target Values'!$1:$1000, MATCH($C1043,'Fund YTD Target Values'!$A:$A,0), MATCH($A1043,'Fund YTD Target Values'!$1:$1,0)),0)</f>
        <v>18484.57102</v>
      </c>
      <c r="S1043" s="91">
        <f>IFERROR(__xludf.DUMMYFUNCTION("IFERROR(sum(FILTER('Fund Investment Data'!$V:$V, 'Fund Investment Data'!$C:$C = $C1043, 'Fund Investment Data'!$A:$A &lt; $A1043)),0) + IFERROR(sum(FILTER('Fund Investment Data'!$V:$V, 'Fund Investment Data'!$C:$C = $C1043, 'Fund Investment Data'!$A:$A = $A1"&amp;"043, 'Fund Investment Data'!$B:$B &lt;= $B1043)),0)"),11540.75)</f>
        <v>11540.75</v>
      </c>
      <c r="T1043" s="93">
        <v>10000.0</v>
      </c>
      <c r="U1043" s="32">
        <f t="shared" si="5"/>
        <v>1540.75</v>
      </c>
      <c r="V1043" s="32">
        <f>IFERROR(__xludf.DUMMYFUNCTION("$D1043 - IFERROR(FILTER($D:$D,$C:$C = $C1043, $A:$A = $A1043, $B:$B = $B1043 - 1),0)"),0.0)</f>
        <v>0</v>
      </c>
      <c r="W1043" s="93">
        <f>IFERROR(__xludf.DUMMYFUNCTION("$E1043 - IFERROR(FILTER($E:$E,$C:$C = $C1043, $A:$A = $A1043, $B:$B = $B1043 - 1),0)"),0.0)</f>
        <v>0</v>
      </c>
      <c r="X1043" s="93"/>
      <c r="Y1043" s="93"/>
      <c r="Z1043" s="93">
        <v>0.0</v>
      </c>
      <c r="AA1043" s="93">
        <v>0.0</v>
      </c>
      <c r="AB1043" s="93">
        <v>0.0</v>
      </c>
      <c r="AC1043" s="93"/>
      <c r="AD1043" s="93">
        <v>0.0</v>
      </c>
      <c r="AE1043" s="32">
        <f t="shared" si="2"/>
        <v>0</v>
      </c>
      <c r="AF1043" s="93">
        <v>0.0</v>
      </c>
    </row>
    <row r="1044">
      <c r="A1044" s="86">
        <v>2018.0</v>
      </c>
      <c r="B1044" s="87">
        <v>7.0</v>
      </c>
      <c r="C1044" s="88" t="s">
        <v>47</v>
      </c>
      <c r="D1044" s="32"/>
      <c r="E1044" s="93">
        <v>-27400.0</v>
      </c>
      <c r="F1044" s="32"/>
      <c r="G1044" s="93">
        <v>-5315.59</v>
      </c>
      <c r="H1044" s="93">
        <v>22208.6</v>
      </c>
      <c r="I1044" s="93">
        <v>3197.33</v>
      </c>
      <c r="J1044" s="93">
        <v>4807.42</v>
      </c>
      <c r="K1044" s="32"/>
      <c r="L1044" s="32"/>
      <c r="M1044" s="32"/>
      <c r="N1044" s="32"/>
      <c r="O1044" s="93">
        <v>1511748.0</v>
      </c>
      <c r="P1044" s="91">
        <f>IFERROR(__xludf.DUMMYFUNCTION("IFERROR(sum(FILTER($D:$N,$C:$C = $C1044,$A:$A &lt; $A1044,$B:$B = 12)),0) + sum($D1044:$N1044)"),1511747.3999999997)</f>
        <v>1511747.4</v>
      </c>
      <c r="Q1044" s="92">
        <f t="shared" si="1"/>
        <v>0.6000000003</v>
      </c>
      <c r="R1044" s="91">
        <f t="array" ref="R1044">IFERROR(INDEX('Fund YTD Target Values'!$1:$1000, MATCH($C1044,'Fund YTD Target Values'!$A:$A,0), MATCH($A1044,'Fund YTD Target Values'!$1:$1,0)),0)</f>
        <v>1998729.212</v>
      </c>
      <c r="S1044" s="91">
        <f>IFERROR(__xludf.DUMMYFUNCTION("IFERROR(sum(FILTER('Fund Investment Data'!$V:$V, 'Fund Investment Data'!$C:$C = $C1044, 'Fund Investment Data'!$A:$A &lt; $A1044)),0) + IFERROR(sum(FILTER('Fund Investment Data'!$V:$V, 'Fund Investment Data'!$C:$C = $C1044, 'Fund Investment Data'!$A:$A = $A1"&amp;"044, 'Fund Investment Data'!$B:$B &lt;= $B1044)),0)"),1456367.46)</f>
        <v>1456367.46</v>
      </c>
      <c r="T1044" s="93">
        <v>1348955.0</v>
      </c>
      <c r="U1044" s="32">
        <f t="shared" si="5"/>
        <v>107412.46</v>
      </c>
      <c r="V1044" s="32">
        <f>IFERROR(__xludf.DUMMYFUNCTION("$D1044 - IFERROR(FILTER($D:$D,$C:$C = $C1044, $A:$A = $A1044, $B:$B = $B1044 - 1),0)"),0.0)</f>
        <v>0</v>
      </c>
      <c r="W1044" s="93">
        <f>IFERROR(__xludf.DUMMYFUNCTION("$E1044 - IFERROR(FILTER($E:$E,$C:$C = $C1044, $A:$A = $A1044, $B:$B = $B1044 - 1),0)"),-3400.0)</f>
        <v>-3400</v>
      </c>
      <c r="X1044" s="93"/>
      <c r="Y1044" s="93"/>
      <c r="Z1044" s="93">
        <v>0.0</v>
      </c>
      <c r="AA1044" s="93">
        <v>0.0</v>
      </c>
      <c r="AB1044" s="93">
        <v>0.0</v>
      </c>
      <c r="AC1044" s="93"/>
      <c r="AD1044" s="93">
        <v>0.0</v>
      </c>
      <c r="AE1044" s="32">
        <f t="shared" si="2"/>
        <v>-27400</v>
      </c>
      <c r="AF1044" s="93">
        <v>0.0</v>
      </c>
    </row>
    <row r="1045">
      <c r="A1045" s="86">
        <v>2018.0</v>
      </c>
      <c r="B1045" s="87">
        <v>7.0</v>
      </c>
      <c r="C1045" s="88" t="s">
        <v>31</v>
      </c>
      <c r="D1045" s="32"/>
      <c r="E1045" s="93">
        <v>-1800.0</v>
      </c>
      <c r="F1045" s="32"/>
      <c r="G1045" s="93">
        <v>-665.86</v>
      </c>
      <c r="H1045" s="93">
        <v>2780.05</v>
      </c>
      <c r="I1045" s="32"/>
      <c r="J1045" s="93">
        <v>1001.93</v>
      </c>
      <c r="K1045" s="32"/>
      <c r="L1045" s="32"/>
      <c r="M1045" s="32"/>
      <c r="N1045" s="32"/>
      <c r="O1045" s="93">
        <v>190575.0</v>
      </c>
      <c r="P1045" s="91">
        <f>IFERROR(__xludf.DUMMYFUNCTION("IFERROR(sum(FILTER($D:$N,$C:$C = $C1045,$A:$A &lt; $A1045,$B:$B = 12)),0) + sum($D1045:$N1045)"),190575.47000000003)</f>
        <v>190575.47</v>
      </c>
      <c r="Q1045" s="92">
        <f t="shared" si="1"/>
        <v>-0.47</v>
      </c>
      <c r="R1045" s="91">
        <f t="array" ref="R1045">IFERROR(INDEX('Fund YTD Target Values'!$1:$1000, MATCH($C1045,'Fund YTD Target Values'!$A:$A,0), MATCH($A1045,'Fund YTD Target Values'!$1:$1,0)),0)</f>
        <v>210555.1651</v>
      </c>
      <c r="S1045" s="91">
        <f>IFERROR(__xludf.DUMMYFUNCTION("IFERROR(sum(FILTER('Fund Investment Data'!$V:$V, 'Fund Investment Data'!$C:$C = $C1045, 'Fund Investment Data'!$A:$A &lt; $A1045)),0) + IFERROR(sum(FILTER('Fund Investment Data'!$V:$V, 'Fund Investment Data'!$C:$C = $C1045, 'Fund Investment Data'!$A:$A = $A1"&amp;"045, 'Fund Investment Data'!$B:$B &lt;= $B1045)),0)"),158100.0)</f>
        <v>158100</v>
      </c>
      <c r="T1045" s="93">
        <v>156850.0</v>
      </c>
      <c r="U1045" s="32">
        <f t="shared" si="5"/>
        <v>1250</v>
      </c>
      <c r="V1045" s="32">
        <f>IFERROR(__xludf.DUMMYFUNCTION("$D1045 - IFERROR(FILTER($D:$D,$C:$C = $C1045, $A:$A = $A1045, $B:$B = $B1045 - 1),0)"),0.0)</f>
        <v>0</v>
      </c>
      <c r="W1045" s="93">
        <f>IFERROR(__xludf.DUMMYFUNCTION("$E1045 - IFERROR(FILTER($E:$E,$C:$C = $C1045, $A:$A = $A1045, $B:$B = $B1045 - 1),0)"),0.0)</f>
        <v>0</v>
      </c>
      <c r="X1045" s="93"/>
      <c r="Y1045" s="93"/>
      <c r="Z1045" s="93">
        <v>0.0</v>
      </c>
      <c r="AA1045" s="93">
        <v>0.0</v>
      </c>
      <c r="AB1045" s="93">
        <v>0.0</v>
      </c>
      <c r="AC1045" s="93"/>
      <c r="AD1045" s="93">
        <v>0.0</v>
      </c>
      <c r="AE1045" s="32">
        <f t="shared" si="2"/>
        <v>-1800</v>
      </c>
      <c r="AF1045" s="93">
        <v>0.0</v>
      </c>
    </row>
    <row r="1046">
      <c r="A1046" s="86">
        <v>2018.0</v>
      </c>
      <c r="B1046" s="87">
        <v>7.0</v>
      </c>
      <c r="C1046" s="88" t="s">
        <v>39</v>
      </c>
      <c r="D1046" s="93">
        <v>15000.0</v>
      </c>
      <c r="E1046" s="93">
        <v>-4200.0</v>
      </c>
      <c r="F1046" s="32"/>
      <c r="G1046" s="93">
        <v>-628.16</v>
      </c>
      <c r="H1046" s="93">
        <v>2500.78</v>
      </c>
      <c r="I1046" s="93">
        <v>392.08</v>
      </c>
      <c r="J1046" s="93">
        <v>-295.09</v>
      </c>
      <c r="K1046" s="32"/>
      <c r="L1046" s="32"/>
      <c r="M1046" s="32"/>
      <c r="N1046" s="32"/>
      <c r="O1046" s="93">
        <v>192493.0</v>
      </c>
      <c r="P1046" s="91">
        <f>IFERROR(__xludf.DUMMYFUNCTION("IFERROR(sum(FILTER($D:$N,$C:$C = $C1046,$A:$A &lt; $A1046,$B:$B = 12)),0) + sum($D1046:$N1046)"),192492.87000000005)</f>
        <v>192492.87</v>
      </c>
      <c r="Q1046" s="92">
        <f t="shared" si="1"/>
        <v>0.1299999999</v>
      </c>
      <c r="R1046" s="91">
        <f t="array" ref="R1046">IFERROR(INDEX('Fund YTD Target Values'!$1:$1000, MATCH($C1046,'Fund YTD Target Values'!$A:$A,0), MATCH($A1046,'Fund YTD Target Values'!$1:$1,0)),0)</f>
        <v>184883.5181</v>
      </c>
      <c r="S1046" s="91">
        <f>IFERROR(__xludf.DUMMYFUNCTION("IFERROR(sum(FILTER('Fund Investment Data'!$V:$V, 'Fund Investment Data'!$C:$C = $C1046, 'Fund Investment Data'!$A:$A &lt; $A1046)),0) + IFERROR(sum(FILTER('Fund Investment Data'!$V:$V, 'Fund Investment Data'!$C:$C = $C1046, 'Fund Investment Data'!$A:$A = $A1"&amp;"046, 'Fund Investment Data'!$B:$B &lt;= $B1046)),0)"),170000.0)</f>
        <v>170000</v>
      </c>
      <c r="T1046" s="32"/>
      <c r="U1046" s="32"/>
      <c r="V1046" s="32">
        <f>IFERROR(__xludf.DUMMYFUNCTION("$D1046 - IFERROR(FILTER($D:$D,$C:$C = $C1046, $A:$A = $A1046, $B:$B = $B1046 - 1),0)"),15000.0)</f>
        <v>15000</v>
      </c>
      <c r="W1046" s="93">
        <f>IFERROR(__xludf.DUMMYFUNCTION("$E1046 - IFERROR(FILTER($E:$E,$C:$C = $C1046, $A:$A = $A1046, $B:$B = $B1046 - 1),0)"),0.0)</f>
        <v>0</v>
      </c>
      <c r="X1046" s="93"/>
      <c r="Y1046" s="93"/>
      <c r="Z1046" s="93">
        <v>0.0</v>
      </c>
      <c r="AA1046" s="93">
        <v>0.0</v>
      </c>
      <c r="AB1046" s="93">
        <v>0.0</v>
      </c>
      <c r="AC1046" s="93"/>
      <c r="AD1046" s="93">
        <v>0.0</v>
      </c>
      <c r="AE1046" s="32">
        <f t="shared" si="2"/>
        <v>-4200</v>
      </c>
      <c r="AF1046" s="93">
        <v>0.0</v>
      </c>
    </row>
    <row r="1047">
      <c r="A1047" s="86">
        <v>2018.0</v>
      </c>
      <c r="B1047" s="87">
        <v>7.0</v>
      </c>
      <c r="C1047" s="88" t="s">
        <v>50</v>
      </c>
      <c r="D1047" s="32"/>
      <c r="E1047" s="93">
        <v>-2000.0</v>
      </c>
      <c r="F1047" s="32"/>
      <c r="G1047" s="93">
        <v>-756.61</v>
      </c>
      <c r="H1047" s="93">
        <v>3096.41</v>
      </c>
      <c r="I1047" s="32"/>
      <c r="J1047" s="93">
        <v>1133.35</v>
      </c>
      <c r="K1047" s="32"/>
      <c r="L1047" s="32"/>
      <c r="M1047" s="32"/>
      <c r="N1047" s="32"/>
      <c r="O1047" s="93">
        <v>216938.0</v>
      </c>
      <c r="P1047" s="91">
        <f>IFERROR(__xludf.DUMMYFUNCTION("IFERROR(sum(FILTER($D:$N,$C:$C = $C1047,$A:$A &lt; $A1047,$B:$B = 12)),0) + sum($D1047:$N1047)"),216937.25999999998)</f>
        <v>216937.26</v>
      </c>
      <c r="Q1047" s="92">
        <f t="shared" si="1"/>
        <v>0.74</v>
      </c>
      <c r="R1047" s="91">
        <f t="array" ref="R1047">IFERROR(INDEX('Fund YTD Target Values'!$1:$1000, MATCH($C1047,'Fund YTD Target Values'!$A:$A,0), MATCH($A1047,'Fund YTD Target Values'!$1:$1,0)),0)</f>
        <v>217663.6749</v>
      </c>
      <c r="S1047" s="91">
        <f>IFERROR(__xludf.DUMMYFUNCTION("IFERROR(sum(FILTER('Fund Investment Data'!$V:$V, 'Fund Investment Data'!$C:$C = $C1047, 'Fund Investment Data'!$A:$A &lt; $A1047)),0) + IFERROR(sum(FILTER('Fund Investment Data'!$V:$V, 'Fund Investment Data'!$C:$C = $C1047, 'Fund Investment Data'!$A:$A = $A1"&amp;"047, 'Fund Investment Data'!$B:$B &lt;= $B1047)),0)"),185189.56)</f>
        <v>185189.56</v>
      </c>
      <c r="T1047" s="93">
        <v>190241.0</v>
      </c>
      <c r="U1047" s="32">
        <f t="shared" ref="U1047:U1049" si="6">S1047-T1047</f>
        <v>-5051.44</v>
      </c>
      <c r="V1047" s="32">
        <f>IFERROR(__xludf.DUMMYFUNCTION("$D1047 - IFERROR(FILTER($D:$D,$C:$C = $C1047, $A:$A = $A1047, $B:$B = $B1047 - 1),0)"),0.0)</f>
        <v>0</v>
      </c>
      <c r="W1047" s="93">
        <f>IFERROR(__xludf.DUMMYFUNCTION("$E1047 - IFERROR(FILTER($E:$E,$C:$C = $C1047, $A:$A = $A1047, $B:$B = $B1047 - 1),0)"),0.0)</f>
        <v>0</v>
      </c>
      <c r="X1047" s="93"/>
      <c r="Y1047" s="93"/>
      <c r="Z1047" s="93">
        <v>0.0</v>
      </c>
      <c r="AA1047" s="93">
        <v>0.0</v>
      </c>
      <c r="AB1047" s="93">
        <v>0.0</v>
      </c>
      <c r="AC1047" s="93"/>
      <c r="AD1047" s="93">
        <v>0.0</v>
      </c>
      <c r="AE1047" s="32">
        <f t="shared" si="2"/>
        <v>-2000</v>
      </c>
      <c r="AF1047" s="93">
        <v>0.0</v>
      </c>
    </row>
    <row r="1048">
      <c r="A1048" s="86">
        <v>2018.0</v>
      </c>
      <c r="B1048" s="87">
        <v>7.0</v>
      </c>
      <c r="C1048" s="88" t="s">
        <v>32</v>
      </c>
      <c r="D1048" s="32"/>
      <c r="E1048" s="32"/>
      <c r="F1048" s="32"/>
      <c r="G1048" s="93">
        <v>-188.18</v>
      </c>
      <c r="H1048" s="93">
        <v>774.41</v>
      </c>
      <c r="I1048" s="32"/>
      <c r="J1048" s="93">
        <v>280.29</v>
      </c>
      <c r="K1048" s="32"/>
      <c r="L1048" s="32"/>
      <c r="M1048" s="32"/>
      <c r="N1048" s="32"/>
      <c r="O1048" s="93">
        <v>54298.0</v>
      </c>
      <c r="P1048" s="91">
        <f>IFERROR(__xludf.DUMMYFUNCTION("IFERROR(sum(FILTER($D:$N,$C:$C = $C1048,$A:$A &lt; $A1048,$B:$B = 12)),0) + sum($D1048:$N1048)"),54297.340000000026)</f>
        <v>54297.34</v>
      </c>
      <c r="Q1048" s="92">
        <f t="shared" si="1"/>
        <v>0.66</v>
      </c>
      <c r="R1048" s="91">
        <f t="array" ref="R1048">IFERROR(INDEX('Fund YTD Target Values'!$1:$1000, MATCH($C1048,'Fund YTD Target Values'!$A:$A,0), MATCH($A1048,'Fund YTD Target Values'!$1:$1,0)),0)</f>
        <v>79179.11465</v>
      </c>
      <c r="S1048" s="91">
        <f>IFERROR(__xludf.DUMMYFUNCTION("IFERROR(sum(FILTER('Fund Investment Data'!$V:$V, 'Fund Investment Data'!$C:$C = $C1048, 'Fund Investment Data'!$A:$A &lt; $A1048)),0) + IFERROR(sum(FILTER('Fund Investment Data'!$V:$V, 'Fund Investment Data'!$C:$C = $C1048, 'Fund Investment Data'!$A:$A = $A1"&amp;"048, 'Fund Investment Data'!$B:$B &lt;= $B1048)),0)"),49449.04)</f>
        <v>49449.04</v>
      </c>
      <c r="T1048" s="93">
        <v>39268.0</v>
      </c>
      <c r="U1048" s="32">
        <f t="shared" si="6"/>
        <v>10181.04</v>
      </c>
      <c r="V1048" s="32">
        <f>IFERROR(__xludf.DUMMYFUNCTION("$D1048 - IFERROR(FILTER($D:$D,$C:$C = $C1048, $A:$A = $A1048, $B:$B = $B1048 - 1),0)"),0.0)</f>
        <v>0</v>
      </c>
      <c r="W1048" s="93">
        <f>IFERROR(__xludf.DUMMYFUNCTION("$E1048 - IFERROR(FILTER($E:$E,$C:$C = $C1048, $A:$A = $A1048, $B:$B = $B1048 - 1),0)"),0.0)</f>
        <v>0</v>
      </c>
      <c r="X1048" s="93"/>
      <c r="Y1048" s="93"/>
      <c r="Z1048" s="93">
        <v>0.0</v>
      </c>
      <c r="AA1048" s="93">
        <v>0.0</v>
      </c>
      <c r="AB1048" s="93">
        <v>0.0</v>
      </c>
      <c r="AC1048" s="93"/>
      <c r="AD1048" s="93">
        <v>0.0</v>
      </c>
      <c r="AE1048" s="32">
        <f t="shared" si="2"/>
        <v>0</v>
      </c>
      <c r="AF1048" s="93">
        <v>0.0</v>
      </c>
    </row>
    <row r="1049">
      <c r="A1049" s="86">
        <v>2018.0</v>
      </c>
      <c r="B1049" s="87">
        <v>7.0</v>
      </c>
      <c r="C1049" s="88" t="s">
        <v>40</v>
      </c>
      <c r="D1049" s="32"/>
      <c r="E1049" s="93">
        <v>-4200.0</v>
      </c>
      <c r="F1049" s="32"/>
      <c r="G1049" s="93">
        <v>-543.31</v>
      </c>
      <c r="H1049" s="93">
        <v>2268.2</v>
      </c>
      <c r="I1049" s="93">
        <v>745.49</v>
      </c>
      <c r="J1049" s="93">
        <v>70.72</v>
      </c>
      <c r="K1049" s="32"/>
      <c r="L1049" s="32"/>
      <c r="M1049" s="32"/>
      <c r="N1049" s="32"/>
      <c r="O1049" s="93">
        <v>153154.0</v>
      </c>
      <c r="P1049" s="91">
        <f>IFERROR(__xludf.DUMMYFUNCTION("IFERROR(sum(FILTER($D:$N,$C:$C = $C1049,$A:$A &lt; $A1049,$B:$B = 12)),0) + sum($D1049:$N1049)"),153153.80999999994)</f>
        <v>153153.81</v>
      </c>
      <c r="Q1049" s="92">
        <f t="shared" si="1"/>
        <v>0.1900000001</v>
      </c>
      <c r="R1049" s="91">
        <f t="array" ref="R1049">IFERROR(INDEX('Fund YTD Target Values'!$1:$1000, MATCH($C1049,'Fund YTD Target Values'!$A:$A,0), MATCH($A1049,'Fund YTD Target Values'!$1:$1,0)),0)</f>
        <v>161362.9699</v>
      </c>
      <c r="S1049" s="91">
        <f>IFERROR(__xludf.DUMMYFUNCTION("IFERROR(sum(FILTER('Fund Investment Data'!$V:$V, 'Fund Investment Data'!$C:$C = $C1049, 'Fund Investment Data'!$A:$A &lt; $A1049)),0) + IFERROR(sum(FILTER('Fund Investment Data'!$V:$V, 'Fund Investment Data'!$C:$C = $C1049, 'Fund Investment Data'!$A:$A = $A1"&amp;"049, 'Fund Investment Data'!$B:$B &lt;= $B1049)),0)"),129703.74)</f>
        <v>129703.74</v>
      </c>
      <c r="T1049" s="93">
        <v>129723.0</v>
      </c>
      <c r="U1049" s="32">
        <f t="shared" si="6"/>
        <v>-19.26</v>
      </c>
      <c r="V1049" s="32">
        <f>IFERROR(__xludf.DUMMYFUNCTION("$D1049 - IFERROR(FILTER($D:$D,$C:$C = $C1049, $A:$A = $A1049, $B:$B = $B1049 - 1),0)"),0.0)</f>
        <v>0</v>
      </c>
      <c r="W1049" s="93">
        <f>IFERROR(__xludf.DUMMYFUNCTION("$E1049 - IFERROR(FILTER($E:$E,$C:$C = $C1049, $A:$A = $A1049, $B:$B = $B1049 - 1),0)"),0.0)</f>
        <v>0</v>
      </c>
      <c r="X1049" s="93"/>
      <c r="Y1049" s="93"/>
      <c r="Z1049" s="93">
        <v>0.0</v>
      </c>
      <c r="AA1049" s="93">
        <v>0.0</v>
      </c>
      <c r="AB1049" s="93">
        <v>0.0</v>
      </c>
      <c r="AC1049" s="93"/>
      <c r="AD1049" s="93">
        <v>0.0</v>
      </c>
      <c r="AE1049" s="32">
        <f t="shared" si="2"/>
        <v>-4200</v>
      </c>
      <c r="AF1049" s="93">
        <v>0.0</v>
      </c>
    </row>
    <row r="1050">
      <c r="A1050" s="86">
        <v>2018.0</v>
      </c>
      <c r="B1050" s="87">
        <v>7.0</v>
      </c>
      <c r="C1050" s="88" t="s">
        <v>51</v>
      </c>
      <c r="D1050" s="93">
        <v>150.0</v>
      </c>
      <c r="E1050" s="93">
        <v>-12600.0</v>
      </c>
      <c r="F1050" s="93"/>
      <c r="G1050" s="93">
        <v>-1699.25</v>
      </c>
      <c r="H1050" s="93">
        <v>7069.66</v>
      </c>
      <c r="I1050" s="32"/>
      <c r="J1050" s="93">
        <v>2533.73</v>
      </c>
      <c r="K1050" s="32"/>
      <c r="L1050" s="32"/>
      <c r="M1050" s="32"/>
      <c r="N1050" s="32"/>
      <c r="O1050" s="93">
        <v>480806.0</v>
      </c>
      <c r="P1050" s="91">
        <f>IFERROR(__xludf.DUMMYFUNCTION("IFERROR(sum(FILTER($D:$N,$C:$C = $C1050,$A:$A &lt; $A1050,$B:$B = 12)),0) + sum($D1050:$N1050)"),480806.07000000007)</f>
        <v>480806.07</v>
      </c>
      <c r="Q1050" s="92">
        <f t="shared" si="1"/>
        <v>-0.07000000007</v>
      </c>
      <c r="R1050" s="91">
        <f t="array" ref="R1050">IFERROR(INDEX('Fund YTD Target Values'!$1:$1000, MATCH($C1050,'Fund YTD Target Values'!$A:$A,0), MATCH($A1050,'Fund YTD Target Values'!$1:$1,0)),0)</f>
        <v>451180.3592</v>
      </c>
      <c r="S1050" s="91">
        <f>IFERROR(__xludf.DUMMYFUNCTION("IFERROR(sum(FILTER('Fund Investment Data'!$V:$V, 'Fund Investment Data'!$C:$C = $C1050, 'Fund Investment Data'!$A:$A &lt; $A1050)),0) + IFERROR(sum(FILTER('Fund Investment Data'!$V:$V, 'Fund Investment Data'!$C:$C = $C1050, 'Fund Investment Data'!$A:$A = $A1"&amp;"050, 'Fund Investment Data'!$B:$B &lt;= $B1050)),0)"),416573.55)</f>
        <v>416573.55</v>
      </c>
      <c r="T1050" s="93"/>
      <c r="U1050" s="32"/>
      <c r="V1050" s="32">
        <f>IFERROR(__xludf.DUMMYFUNCTION("$D1050 - IFERROR(FILTER($D:$D,$C:$C = $C1050, $A:$A = $A1050, $B:$B = $B1050 - 1),0)"),0.0)</f>
        <v>0</v>
      </c>
      <c r="W1050" s="93">
        <f>IFERROR(__xludf.DUMMYFUNCTION("$E1050 - IFERROR(FILTER($E:$E,$C:$C = $C1050, $A:$A = $A1050, $B:$B = $B1050 - 1),0)"),-1100.0)</f>
        <v>-1100</v>
      </c>
      <c r="X1050" s="93"/>
      <c r="Y1050" s="93"/>
      <c r="Z1050" s="93">
        <v>0.0</v>
      </c>
      <c r="AA1050" s="93">
        <v>0.0</v>
      </c>
      <c r="AB1050" s="93">
        <v>0.0</v>
      </c>
      <c r="AC1050" s="93"/>
      <c r="AD1050" s="93">
        <v>0.0</v>
      </c>
      <c r="AE1050" s="32">
        <f t="shared" si="2"/>
        <v>-12600</v>
      </c>
      <c r="AF1050" s="93">
        <v>0.0</v>
      </c>
    </row>
    <row r="1051">
      <c r="A1051" s="86">
        <v>2018.0</v>
      </c>
      <c r="B1051" s="87">
        <v>7.0</v>
      </c>
      <c r="C1051" s="88" t="s">
        <v>48</v>
      </c>
      <c r="D1051" s="32"/>
      <c r="E1051" s="93">
        <v>-24800.0</v>
      </c>
      <c r="F1051" s="32"/>
      <c r="G1051" s="93">
        <v>-4382.9</v>
      </c>
      <c r="H1051" s="93">
        <v>18309.65</v>
      </c>
      <c r="I1051" s="93">
        <v>3391.96</v>
      </c>
      <c r="J1051" s="93">
        <v>3205.97</v>
      </c>
      <c r="K1051" s="32"/>
      <c r="L1051" s="32"/>
      <c r="M1051" s="32"/>
      <c r="N1051" s="32"/>
      <c r="O1051" s="93">
        <v>1244368.0</v>
      </c>
      <c r="P1051" s="91">
        <f>IFERROR(__xludf.DUMMYFUNCTION("IFERROR(sum(FILTER($D:$N,$C:$C = $C1051,$A:$A &lt; $A1051,$B:$B = 12)),0) + sum($D1051:$N1051)"),1244366.3499999996)</f>
        <v>1244366.35</v>
      </c>
      <c r="Q1051" s="92">
        <f t="shared" si="1"/>
        <v>1.65</v>
      </c>
      <c r="R1051" s="91">
        <f t="array" ref="R1051">IFERROR(INDEX('Fund YTD Target Values'!$1:$1000, MATCH($C1051,'Fund YTD Target Values'!$A:$A,0), MATCH($A1051,'Fund YTD Target Values'!$1:$1,0)),0)</f>
        <v>1896274.236</v>
      </c>
      <c r="S1051" s="91">
        <f>IFERROR(__xludf.DUMMYFUNCTION("IFERROR(sum(FILTER('Fund Investment Data'!$V:$V, 'Fund Investment Data'!$C:$C = $C1051, 'Fund Investment Data'!$A:$A &lt; $A1051)),0) + IFERROR(sum(FILTER('Fund Investment Data'!$V:$V, 'Fund Investment Data'!$C:$C = $C1051, 'Fund Investment Data'!$A:$A = $A1"&amp;"051, 'Fund Investment Data'!$B:$B &lt;= $B1051)),0)"),1183929.39)</f>
        <v>1183929.39</v>
      </c>
      <c r="T1051" s="93">
        <v>1140040.0</v>
      </c>
      <c r="U1051" s="32">
        <f t="shared" ref="U1051:U1059" si="7">S1051-T1051</f>
        <v>43889.39</v>
      </c>
      <c r="V1051" s="32">
        <f>IFERROR(__xludf.DUMMYFUNCTION("$D1051 - IFERROR(FILTER($D:$D,$C:$C = $C1051, $A:$A = $A1051, $B:$B = $B1051 - 1),0)"),0.0)</f>
        <v>0</v>
      </c>
      <c r="W1051" s="93">
        <f>IFERROR(__xludf.DUMMYFUNCTION("$E1051 - IFERROR(FILTER($E:$E,$C:$C = $C1051, $A:$A = $A1051, $B:$B = $B1051 - 1),0)"),-2800.0)</f>
        <v>-2800</v>
      </c>
      <c r="X1051" s="93"/>
      <c r="Y1051" s="93"/>
      <c r="Z1051" s="93">
        <v>0.0</v>
      </c>
      <c r="AA1051" s="93">
        <v>0.0</v>
      </c>
      <c r="AB1051" s="93">
        <v>0.0</v>
      </c>
      <c r="AC1051" s="93"/>
      <c r="AD1051" s="93">
        <v>0.0</v>
      </c>
      <c r="AE1051" s="32">
        <f t="shared" si="2"/>
        <v>-24800</v>
      </c>
      <c r="AF1051" s="93">
        <v>0.0</v>
      </c>
    </row>
    <row r="1052">
      <c r="A1052" s="86">
        <v>2018.0</v>
      </c>
      <c r="B1052" s="87">
        <v>7.0</v>
      </c>
      <c r="C1052" s="88" t="s">
        <v>49</v>
      </c>
      <c r="D1052" s="32"/>
      <c r="E1052" s="93">
        <v>-16200.0</v>
      </c>
      <c r="F1052" s="32"/>
      <c r="G1052" s="93">
        <v>-1919.6</v>
      </c>
      <c r="H1052" s="93">
        <v>8109.23</v>
      </c>
      <c r="I1052" s="93">
        <v>3317.69</v>
      </c>
      <c r="J1052" s="93">
        <v>-430.19</v>
      </c>
      <c r="K1052" s="32"/>
      <c r="L1052" s="32"/>
      <c r="M1052" s="32"/>
      <c r="N1052" s="32"/>
      <c r="O1052" s="93">
        <v>540590.0</v>
      </c>
      <c r="P1052" s="91">
        <f>IFERROR(__xludf.DUMMYFUNCTION("IFERROR(sum(FILTER($D:$N,$C:$C = $C1052,$A:$A &lt; $A1052,$B:$B = 12)),0) + sum($D1052:$N1052)"),540590.2699999999)</f>
        <v>540590.27</v>
      </c>
      <c r="Q1052" s="92">
        <f t="shared" si="1"/>
        <v>-0.2699999999</v>
      </c>
      <c r="R1052" s="91">
        <f t="array" ref="R1052">IFERROR(INDEX('Fund YTD Target Values'!$1:$1000, MATCH($C1052,'Fund YTD Target Values'!$A:$A,0), MATCH($A1052,'Fund YTD Target Values'!$1:$1,0)),0)</f>
        <v>701383.2727</v>
      </c>
      <c r="S1052" s="91">
        <f>IFERROR(__xludf.DUMMYFUNCTION("IFERROR(sum(FILTER('Fund Investment Data'!$V:$V, 'Fund Investment Data'!$C:$C = $C1052, 'Fund Investment Data'!$A:$A &lt; $A1052)),0) + IFERROR(sum(FILTER('Fund Investment Data'!$V:$V, 'Fund Investment Data'!$C:$C = $C1052, 'Fund Investment Data'!$A:$A = $A1"&amp;"052, 'Fund Investment Data'!$B:$B &lt;= $B1052)),0)"),500000.0)</f>
        <v>500000</v>
      </c>
      <c r="T1052" s="93">
        <v>500000.0</v>
      </c>
      <c r="U1052" s="32">
        <f t="shared" si="7"/>
        <v>0</v>
      </c>
      <c r="V1052" s="32">
        <f>IFERROR(__xludf.DUMMYFUNCTION("$D1052 - IFERROR(FILTER($D:$D,$C:$C = $C1052, $A:$A = $A1052, $B:$B = $B1052 - 1),0)"),0.0)</f>
        <v>0</v>
      </c>
      <c r="W1052" s="93">
        <f>IFERROR(__xludf.DUMMYFUNCTION("$E1052 - IFERROR(FILTER($E:$E,$C:$C = $C1052, $A:$A = $A1052, $B:$B = $B1052 - 1),0)"),-1200.0)</f>
        <v>-1200</v>
      </c>
      <c r="X1052" s="93"/>
      <c r="Y1052" s="93"/>
      <c r="Z1052" s="93">
        <v>0.0</v>
      </c>
      <c r="AA1052" s="93">
        <v>0.0</v>
      </c>
      <c r="AB1052" s="93">
        <v>0.0</v>
      </c>
      <c r="AC1052" s="93"/>
      <c r="AD1052" s="93">
        <v>0.0</v>
      </c>
      <c r="AE1052" s="32">
        <f t="shared" si="2"/>
        <v>-16200</v>
      </c>
      <c r="AF1052" s="93">
        <v>0.0</v>
      </c>
    </row>
    <row r="1053">
      <c r="A1053" s="86">
        <v>2018.0</v>
      </c>
      <c r="B1053" s="87">
        <v>7.0</v>
      </c>
      <c r="C1053" s="88" t="s">
        <v>41</v>
      </c>
      <c r="D1053" s="32"/>
      <c r="E1053" s="93">
        <v>-16300.0</v>
      </c>
      <c r="F1053" s="32"/>
      <c r="G1053" s="93">
        <v>-2292.79</v>
      </c>
      <c r="H1053" s="93">
        <v>9571.8</v>
      </c>
      <c r="I1053" s="93">
        <v>3412.6</v>
      </c>
      <c r="J1053" s="93">
        <v>32.57</v>
      </c>
      <c r="K1053" s="32"/>
      <c r="L1053" s="32"/>
      <c r="M1053" s="32"/>
      <c r="N1053" s="32"/>
      <c r="O1053" s="93">
        <v>647543.0</v>
      </c>
      <c r="P1053" s="91">
        <f>IFERROR(__xludf.DUMMYFUNCTION("IFERROR(sum(FILTER($D:$N,$C:$C = $C1053,$A:$A &lt; $A1053,$B:$B = 12)),0) + sum($D1053:$N1053)"),647543.5300000001)</f>
        <v>647543.53</v>
      </c>
      <c r="Q1053" s="92">
        <f t="shared" si="1"/>
        <v>-0.5300000001</v>
      </c>
      <c r="R1053" s="91">
        <f t="array" ref="R1053">IFERROR(INDEX('Fund YTD Target Values'!$1:$1000, MATCH($C1053,'Fund YTD Target Values'!$A:$A,0), MATCH($A1053,'Fund YTD Target Values'!$1:$1,0)),0)</f>
        <v>587968.3276</v>
      </c>
      <c r="S1053" s="91">
        <f>IFERROR(__xludf.DUMMYFUNCTION("IFERROR(sum(FILTER('Fund Investment Data'!$V:$V, 'Fund Investment Data'!$C:$C = $C1053, 'Fund Investment Data'!$A:$A &lt; $A1053)),0) + IFERROR(sum(FILTER('Fund Investment Data'!$V:$V, 'Fund Investment Data'!$C:$C = $C1053, 'Fund Investment Data'!$A:$A = $A1"&amp;"053, 'Fund Investment Data'!$B:$B &lt;= $B1053)),0)"),433755.86)</f>
        <v>433755.86</v>
      </c>
      <c r="T1053" s="93">
        <v>434291.0</v>
      </c>
      <c r="U1053" s="32">
        <f t="shared" si="7"/>
        <v>-535.14</v>
      </c>
      <c r="V1053" s="32">
        <f>IFERROR(__xludf.DUMMYFUNCTION("$D1053 - IFERROR(FILTER($D:$D,$C:$C = $C1053, $A:$A = $A1053, $B:$B = $B1053 - 1),0)"),0.0)</f>
        <v>0</v>
      </c>
      <c r="W1053" s="93">
        <f>IFERROR(__xludf.DUMMYFUNCTION("$E1053 - IFERROR(FILTER($E:$E,$C:$C = $C1053, $A:$A = $A1053, $B:$B = $B1053 - 1),0)"),0.0)</f>
        <v>0</v>
      </c>
      <c r="X1053" s="93"/>
      <c r="Y1053" s="93"/>
      <c r="Z1053" s="93">
        <v>0.0</v>
      </c>
      <c r="AA1053" s="93">
        <v>0.0</v>
      </c>
      <c r="AB1053" s="93">
        <v>0.0</v>
      </c>
      <c r="AC1053" s="93"/>
      <c r="AD1053" s="93">
        <v>0.0</v>
      </c>
      <c r="AE1053" s="32">
        <f t="shared" si="2"/>
        <v>-16300</v>
      </c>
      <c r="AF1053" s="93">
        <v>0.0</v>
      </c>
    </row>
    <row r="1054">
      <c r="A1054" s="86">
        <v>2018.0</v>
      </c>
      <c r="B1054" s="87">
        <v>7.0</v>
      </c>
      <c r="C1054" s="88" t="s">
        <v>25</v>
      </c>
      <c r="D1054" s="32"/>
      <c r="E1054" s="93">
        <v>-1200.0</v>
      </c>
      <c r="F1054" s="32"/>
      <c r="G1054" s="93">
        <v>-356.05</v>
      </c>
      <c r="H1054" s="93">
        <v>1485.4</v>
      </c>
      <c r="I1054" s="32"/>
      <c r="J1054" s="93">
        <v>535.04</v>
      </c>
      <c r="K1054" s="32"/>
      <c r="L1054" s="32"/>
      <c r="M1054" s="32"/>
      <c r="N1054" s="32"/>
      <c r="O1054" s="93">
        <v>101531.0</v>
      </c>
      <c r="P1054" s="91">
        <f>IFERROR(__xludf.DUMMYFUNCTION("IFERROR(sum(FILTER($D:$N,$C:$C = $C1054,$A:$A &lt; $A1054,$B:$B = 12)),0) + sum($D1054:$N1054)"),101530.72)</f>
        <v>101530.72</v>
      </c>
      <c r="Q1054" s="92">
        <f t="shared" si="1"/>
        <v>0.28</v>
      </c>
      <c r="R1054" s="91">
        <f t="array" ref="R1054">IFERROR(INDEX('Fund YTD Target Values'!$1:$1000, MATCH($C1054,'Fund YTD Target Values'!$A:$A,0), MATCH($A1054,'Fund YTD Target Values'!$1:$1,0)),0)</f>
        <v>109175.2469</v>
      </c>
      <c r="S1054" s="91">
        <f>IFERROR(__xludf.DUMMYFUNCTION("IFERROR(sum(FILTER('Fund Investment Data'!$V:$V, 'Fund Investment Data'!$C:$C = $C1054, 'Fund Investment Data'!$A:$A &lt; $A1054)),0) + IFERROR(sum(FILTER('Fund Investment Data'!$V:$V, 'Fund Investment Data'!$C:$C = $C1054, 'Fund Investment Data'!$A:$A = $A1"&amp;"054, 'Fund Investment Data'!$B:$B &lt;= $B1054)),0)"),81000.0)</f>
        <v>81000</v>
      </c>
      <c r="T1054" s="93">
        <v>81000.0</v>
      </c>
      <c r="U1054" s="32">
        <f t="shared" si="7"/>
        <v>0</v>
      </c>
      <c r="V1054" s="32">
        <f>IFERROR(__xludf.DUMMYFUNCTION("$D1054 - IFERROR(FILTER($D:$D,$C:$C = $C1054, $A:$A = $A1054, $B:$B = $B1054 - 1),0)"),0.0)</f>
        <v>0</v>
      </c>
      <c r="W1054" s="93">
        <f>IFERROR(__xludf.DUMMYFUNCTION("$E1054 - IFERROR(FILTER($E:$E,$C:$C = $C1054, $A:$A = $A1054, $B:$B = $B1054 - 1),0)"),-1200.0)</f>
        <v>-1200</v>
      </c>
      <c r="X1054" s="93"/>
      <c r="Y1054" s="93"/>
      <c r="Z1054" s="93">
        <v>0.0</v>
      </c>
      <c r="AA1054" s="93">
        <v>0.0</v>
      </c>
      <c r="AB1054" s="93">
        <v>0.0</v>
      </c>
      <c r="AC1054" s="93"/>
      <c r="AD1054" s="93">
        <v>0.0</v>
      </c>
      <c r="AE1054" s="32">
        <f t="shared" si="2"/>
        <v>-1200</v>
      </c>
      <c r="AF1054" s="93">
        <v>0.0</v>
      </c>
    </row>
    <row r="1055">
      <c r="A1055" s="86">
        <v>2018.0</v>
      </c>
      <c r="B1055" s="87">
        <v>7.0</v>
      </c>
      <c r="C1055" s="88" t="s">
        <v>42</v>
      </c>
      <c r="D1055" s="32"/>
      <c r="E1055" s="32"/>
      <c r="F1055" s="32"/>
      <c r="G1055" s="93">
        <v>-1054.86</v>
      </c>
      <c r="H1055" s="93">
        <v>4378.75</v>
      </c>
      <c r="I1055" s="32"/>
      <c r="J1055" s="93">
        <v>1567.31</v>
      </c>
      <c r="K1055" s="32"/>
      <c r="L1055" s="32"/>
      <c r="M1055" s="32"/>
      <c r="N1055" s="32"/>
      <c r="O1055" s="93">
        <v>304339.0</v>
      </c>
      <c r="P1055" s="91">
        <f>IFERROR(__xludf.DUMMYFUNCTION("IFERROR(sum(FILTER($D:$N,$C:$C = $C1055,$A:$A &lt; $A1055,$B:$B = 12)),0) + sum($D1055:$N1055)"),304338.96000000014)</f>
        <v>304338.96</v>
      </c>
      <c r="Q1055" s="92">
        <f t="shared" si="1"/>
        <v>0.03999999986</v>
      </c>
      <c r="R1055" s="91">
        <f t="array" ref="R1055">IFERROR(INDEX('Fund YTD Target Values'!$1:$1000, MATCH($C1055,'Fund YTD Target Values'!$A:$A,0), MATCH($A1055,'Fund YTD Target Values'!$1:$1,0)),0)</f>
        <v>240185.7184</v>
      </c>
      <c r="S1055" s="91">
        <f>IFERROR(__xludf.DUMMYFUNCTION("IFERROR(sum(FILTER('Fund Investment Data'!$V:$V, 'Fund Investment Data'!$C:$C = $C1055, 'Fund Investment Data'!$A:$A &lt; $A1055)),0) + IFERROR(sum(FILTER('Fund Investment Data'!$V:$V, 'Fund Investment Data'!$C:$C = $C1055, 'Fund Investment Data'!$A:$A = $A1"&amp;"055, 'Fund Investment Data'!$B:$B &lt;= $B1055)),0)"),194469.0)</f>
        <v>194469</v>
      </c>
      <c r="T1055" s="93">
        <v>194469.0</v>
      </c>
      <c r="U1055" s="32">
        <f t="shared" si="7"/>
        <v>0</v>
      </c>
      <c r="V1055" s="32">
        <f>IFERROR(__xludf.DUMMYFUNCTION("$D1055 - IFERROR(FILTER($D:$D,$C:$C = $C1055, $A:$A = $A1055, $B:$B = $B1055 - 1),0)"),0.0)</f>
        <v>0</v>
      </c>
      <c r="W1055" s="93">
        <f>IFERROR(__xludf.DUMMYFUNCTION("$E1055 - IFERROR(FILTER($E:$E,$C:$C = $C1055, $A:$A = $A1055, $B:$B = $B1055 - 1),0)"),0.0)</f>
        <v>0</v>
      </c>
      <c r="X1055" s="93"/>
      <c r="Y1055" s="93"/>
      <c r="Z1055" s="93">
        <v>0.0</v>
      </c>
      <c r="AA1055" s="93">
        <v>0.0</v>
      </c>
      <c r="AB1055" s="93">
        <v>0.0</v>
      </c>
      <c r="AC1055" s="93"/>
      <c r="AD1055" s="93">
        <v>0.0</v>
      </c>
      <c r="AE1055" s="32">
        <f t="shared" si="2"/>
        <v>0</v>
      </c>
      <c r="AF1055" s="93">
        <v>0.0</v>
      </c>
    </row>
    <row r="1056">
      <c r="A1056" s="86">
        <v>2018.0</v>
      </c>
      <c r="B1056" s="87">
        <v>7.0</v>
      </c>
      <c r="C1056" s="88" t="s">
        <v>43</v>
      </c>
      <c r="D1056" s="32"/>
      <c r="E1056" s="93">
        <v>-1200.0</v>
      </c>
      <c r="F1056" s="32"/>
      <c r="G1056" s="93">
        <v>-441.55</v>
      </c>
      <c r="H1056" s="93">
        <v>1843.66</v>
      </c>
      <c r="I1056" s="32"/>
      <c r="J1056" s="93">
        <v>664.47</v>
      </c>
      <c r="K1056" s="32"/>
      <c r="L1056" s="32"/>
      <c r="M1056" s="32"/>
      <c r="N1056" s="32"/>
      <c r="O1056" s="93">
        <v>126380.0</v>
      </c>
      <c r="P1056" s="91">
        <f>IFERROR(__xludf.DUMMYFUNCTION("IFERROR(sum(FILTER($D:$N,$C:$C = $C1056,$A:$A &lt; $A1056,$B:$B = 12)),0) + sum($D1056:$N1056)"),126379.13000000002)</f>
        <v>126379.13</v>
      </c>
      <c r="Q1056" s="92">
        <f t="shared" si="1"/>
        <v>0.87</v>
      </c>
      <c r="R1056" s="91">
        <f t="array" ref="R1056">IFERROR(INDEX('Fund YTD Target Values'!$1:$1000, MATCH($C1056,'Fund YTD Target Values'!$A:$A,0), MATCH($A1056,'Fund YTD Target Values'!$1:$1,0)),0)</f>
        <v>130697.0954</v>
      </c>
      <c r="S1056" s="91">
        <f>IFERROR(__xludf.DUMMYFUNCTION("IFERROR(sum(FILTER('Fund Investment Data'!$V:$V, 'Fund Investment Data'!$C:$C = $C1056, 'Fund Investment Data'!$A:$A &lt; $A1056)),0) + IFERROR(sum(FILTER('Fund Investment Data'!$V:$V, 'Fund Investment Data'!$C:$C = $C1056, 'Fund Investment Data'!$A:$A = $A1"&amp;"056, 'Fund Investment Data'!$B:$B &lt;= $B1056)),0)"),100000.0)</f>
        <v>100000</v>
      </c>
      <c r="T1056" s="93">
        <v>100000.0</v>
      </c>
      <c r="U1056" s="32">
        <f t="shared" si="7"/>
        <v>0</v>
      </c>
      <c r="V1056" s="32">
        <f>IFERROR(__xludf.DUMMYFUNCTION("$D1056 - IFERROR(FILTER($D:$D,$C:$C = $C1056, $A:$A = $A1056, $B:$B = $B1056 - 1),0)"),0.0)</f>
        <v>0</v>
      </c>
      <c r="W1056" s="93">
        <f>IFERROR(__xludf.DUMMYFUNCTION("$E1056 - IFERROR(FILTER($E:$E,$C:$C = $C1056, $A:$A = $A1056, $B:$B = $B1056 - 1),0)"),0.0)</f>
        <v>0</v>
      </c>
      <c r="X1056" s="93"/>
      <c r="Y1056" s="93"/>
      <c r="Z1056" s="93">
        <v>0.0</v>
      </c>
      <c r="AA1056" s="93">
        <v>0.0</v>
      </c>
      <c r="AB1056" s="93">
        <v>0.0</v>
      </c>
      <c r="AC1056" s="93"/>
      <c r="AD1056" s="93">
        <v>0.0</v>
      </c>
      <c r="AE1056" s="32">
        <f t="shared" si="2"/>
        <v>-1200</v>
      </c>
      <c r="AF1056" s="93">
        <v>0.0</v>
      </c>
    </row>
    <row r="1057">
      <c r="A1057" s="86">
        <v>2018.0</v>
      </c>
      <c r="B1057" s="87">
        <v>7.0</v>
      </c>
      <c r="C1057" s="88" t="s">
        <v>52</v>
      </c>
      <c r="D1057" s="93">
        <v>75000.0</v>
      </c>
      <c r="E1057" s="93">
        <v>-24800.0</v>
      </c>
      <c r="F1057" s="32"/>
      <c r="G1057" s="93">
        <v>-4478.0</v>
      </c>
      <c r="H1057" s="93">
        <v>17588.29</v>
      </c>
      <c r="I1057" s="93">
        <v>1855.91</v>
      </c>
      <c r="J1057" s="93">
        <v>4670.06</v>
      </c>
      <c r="K1057" s="32"/>
      <c r="L1057" s="32"/>
      <c r="M1057" s="32"/>
      <c r="N1057" s="32"/>
      <c r="O1057" s="93">
        <v>1234293.0</v>
      </c>
      <c r="P1057" s="91">
        <f>IFERROR(__xludf.DUMMYFUNCTION("IFERROR(sum(FILTER($D:$N,$C:$C = $C1057,$A:$A &lt; $A1057,$B:$B = 12)),0) + sum($D1057:$N1057)"),1234292.39)</f>
        <v>1234292.39</v>
      </c>
      <c r="Q1057" s="92">
        <f t="shared" si="1"/>
        <v>0.6100000001</v>
      </c>
      <c r="R1057" s="91">
        <f t="array" ref="R1057">IFERROR(INDEX('Fund YTD Target Values'!$1:$1000, MATCH($C1057,'Fund YTD Target Values'!$A:$A,0), MATCH($A1057,'Fund YTD Target Values'!$1:$1,0)),0)</f>
        <v>1148979.378</v>
      </c>
      <c r="S1057" s="91">
        <f>IFERROR(__xludf.DUMMYFUNCTION("IFERROR(sum(FILTER('Fund Investment Data'!$V:$V, 'Fund Investment Data'!$C:$C = $C1057, 'Fund Investment Data'!$A:$A &lt; $A1057)),0) + IFERROR(sum(FILTER('Fund Investment Data'!$V:$V, 'Fund Investment Data'!$C:$C = $C1057, 'Fund Investment Data'!$A:$A = $A1"&amp;"057, 'Fund Investment Data'!$B:$B &lt;= $B1057)),0)"),1080136.0)</f>
        <v>1080136</v>
      </c>
      <c r="T1057" s="93">
        <v>1079091.0</v>
      </c>
      <c r="U1057" s="32">
        <f t="shared" si="7"/>
        <v>1045</v>
      </c>
      <c r="V1057" s="32">
        <f>IFERROR(__xludf.DUMMYFUNCTION("$D1057 - IFERROR(FILTER($D:$D,$C:$C = $C1057, $A:$A = $A1057, $B:$B = $B1057 - 1),0)"),0.0)</f>
        <v>0</v>
      </c>
      <c r="W1057" s="93">
        <f>IFERROR(__xludf.DUMMYFUNCTION("$E1057 - IFERROR(FILTER($E:$E,$C:$C = $C1057, $A:$A = $A1057, $B:$B = $B1057 - 1),0)"),-2700.0)</f>
        <v>-2700</v>
      </c>
      <c r="X1057" s="93"/>
      <c r="Y1057" s="93"/>
      <c r="Z1057" s="93">
        <v>0.0</v>
      </c>
      <c r="AA1057" s="93">
        <v>0.0</v>
      </c>
      <c r="AB1057" s="93">
        <v>0.0</v>
      </c>
      <c r="AC1057" s="93"/>
      <c r="AD1057" s="93">
        <v>0.0</v>
      </c>
      <c r="AE1057" s="32">
        <f t="shared" si="2"/>
        <v>-24800</v>
      </c>
      <c r="AF1057" s="93">
        <v>0.0</v>
      </c>
    </row>
    <row r="1058">
      <c r="A1058" s="86">
        <v>2018.0</v>
      </c>
      <c r="B1058" s="87">
        <v>7.0</v>
      </c>
      <c r="C1058" s="88" t="s">
        <v>33</v>
      </c>
      <c r="D1058" s="32"/>
      <c r="E1058" s="93">
        <v>-8000.0</v>
      </c>
      <c r="F1058" s="32"/>
      <c r="G1058" s="93">
        <v>-1253.98</v>
      </c>
      <c r="H1058" s="93">
        <v>5235.27</v>
      </c>
      <c r="I1058" s="93">
        <v>1553.89</v>
      </c>
      <c r="J1058" s="93">
        <v>330.81</v>
      </c>
      <c r="K1058" s="32"/>
      <c r="L1058" s="32"/>
      <c r="M1058" s="32"/>
      <c r="N1058" s="32"/>
      <c r="O1058" s="93">
        <v>354943.0</v>
      </c>
      <c r="P1058" s="91">
        <f>IFERROR(__xludf.DUMMYFUNCTION("IFERROR(sum(FILTER($D:$N,$C:$C = $C1058,$A:$A &lt; $A1058,$B:$B = 12)),0) + sum($D1058:$N1058)"),354943.4399999998)</f>
        <v>354943.44</v>
      </c>
      <c r="Q1058" s="92">
        <f t="shared" si="1"/>
        <v>-0.4399999998</v>
      </c>
      <c r="R1058" s="91">
        <f t="array" ref="R1058">IFERROR(INDEX('Fund YTD Target Values'!$1:$1000, MATCH($C1058,'Fund YTD Target Values'!$A:$A,0), MATCH($A1058,'Fund YTD Target Values'!$1:$1,0)),0)</f>
        <v>512928.5668</v>
      </c>
      <c r="S1058" s="91">
        <f>IFERROR(__xludf.DUMMYFUNCTION("IFERROR(sum(FILTER('Fund Investment Data'!$V:$V, 'Fund Investment Data'!$C:$C = $C1058, 'Fund Investment Data'!$A:$A &lt; $A1058)),0) + IFERROR(sum(FILTER('Fund Investment Data'!$V:$V, 'Fund Investment Data'!$C:$C = $C1058, 'Fund Investment Data'!$A:$A = $A1"&amp;"058, 'Fund Investment Data'!$B:$B &lt;= $B1058)),0)"),325871.6399999999)</f>
        <v>325871.64</v>
      </c>
      <c r="T1058" s="93">
        <v>326032.0</v>
      </c>
      <c r="U1058" s="32">
        <f t="shared" si="7"/>
        <v>-160.36</v>
      </c>
      <c r="V1058" s="32">
        <f>IFERROR(__xludf.DUMMYFUNCTION("$D1058 - IFERROR(FILTER($D:$D,$C:$C = $C1058, $A:$A = $A1058, $B:$B = $B1058 - 1),0)"),0.0)</f>
        <v>0</v>
      </c>
      <c r="W1058" s="93">
        <f>IFERROR(__xludf.DUMMYFUNCTION("$E1058 - IFERROR(FILTER($E:$E,$C:$C = $C1058, $A:$A = $A1058, $B:$B = $B1058 - 1),0)"),0.0)</f>
        <v>0</v>
      </c>
      <c r="X1058" s="93"/>
      <c r="Y1058" s="93"/>
      <c r="Z1058" s="93">
        <v>0.0</v>
      </c>
      <c r="AA1058" s="93">
        <v>0.0</v>
      </c>
      <c r="AB1058" s="93">
        <v>0.0</v>
      </c>
      <c r="AC1058" s="93"/>
      <c r="AD1058" s="93">
        <v>0.0</v>
      </c>
      <c r="AE1058" s="32">
        <f t="shared" si="2"/>
        <v>-8000</v>
      </c>
      <c r="AF1058" s="93">
        <v>0.0</v>
      </c>
    </row>
    <row r="1059">
      <c r="A1059" s="86">
        <v>2018.0</v>
      </c>
      <c r="B1059" s="87">
        <v>7.0</v>
      </c>
      <c r="C1059" s="88" t="s">
        <v>53</v>
      </c>
      <c r="D1059" s="32"/>
      <c r="E1059" s="93">
        <v>-52100.0</v>
      </c>
      <c r="F1059" s="32"/>
      <c r="G1059" s="93">
        <v>-7982.34</v>
      </c>
      <c r="H1059" s="93">
        <v>33347.45</v>
      </c>
      <c r="I1059" s="93">
        <v>3707.69</v>
      </c>
      <c r="J1059" s="93">
        <v>8306.67</v>
      </c>
      <c r="K1059" s="32"/>
      <c r="L1059" s="32"/>
      <c r="M1059" s="32"/>
      <c r="N1059" s="32"/>
      <c r="O1059" s="93">
        <v>2260594.0</v>
      </c>
      <c r="P1059" s="91">
        <f>IFERROR(__xludf.DUMMYFUNCTION("IFERROR(sum(FILTER($D:$N,$C:$C = $C1059,$A:$A &lt; $A1059,$B:$B = 12)),0) + sum($D1059:$N1059)"),2260594.15)</f>
        <v>2260594.15</v>
      </c>
      <c r="Q1059" s="92">
        <f t="shared" si="1"/>
        <v>-0.1499999999</v>
      </c>
      <c r="R1059" s="91">
        <f t="array" ref="R1059">IFERROR(INDEX('Fund YTD Target Values'!$1:$1000, MATCH($C1059,'Fund YTD Target Values'!$A:$A,0), MATCH($A1059,'Fund YTD Target Values'!$1:$1,0)),0)</f>
        <v>2224754.768</v>
      </c>
      <c r="S1059" s="91">
        <f>IFERROR(__xludf.DUMMYFUNCTION("IFERROR(sum(FILTER('Fund Investment Data'!$V:$V, 'Fund Investment Data'!$C:$C = $C1059, 'Fund Investment Data'!$A:$A &lt; $A1059)),0) + IFERROR(sum(FILTER('Fund Investment Data'!$V:$V, 'Fund Investment Data'!$C:$C = $C1059, 'Fund Investment Data'!$A:$A = $A1"&amp;"059, 'Fund Investment Data'!$B:$B &lt;= $B1059)),0)"),2005500.0)</f>
        <v>2005500</v>
      </c>
      <c r="T1059" s="93">
        <v>2005500.0</v>
      </c>
      <c r="U1059" s="32">
        <f t="shared" si="7"/>
        <v>0</v>
      </c>
      <c r="V1059" s="32">
        <f>IFERROR(__xludf.DUMMYFUNCTION("$D1059 - IFERROR(FILTER($D:$D,$C:$C = $C1059, $A:$A = $A1059, $B:$B = $B1059 - 1),0)"),0.0)</f>
        <v>0</v>
      </c>
      <c r="W1059" s="93">
        <f>IFERROR(__xludf.DUMMYFUNCTION("$E1059 - IFERROR(FILTER($E:$E,$C:$C = $C1059, $A:$A = $A1059, $B:$B = $B1059 - 1),0)"),-5100.0)</f>
        <v>-5100</v>
      </c>
      <c r="X1059" s="93"/>
      <c r="Y1059" s="93"/>
      <c r="Z1059" s="93">
        <v>0.0</v>
      </c>
      <c r="AA1059" s="93">
        <v>0.0</v>
      </c>
      <c r="AB1059" s="93">
        <v>0.0</v>
      </c>
      <c r="AC1059" s="93"/>
      <c r="AD1059" s="93">
        <v>0.0</v>
      </c>
      <c r="AE1059" s="32">
        <f t="shared" si="2"/>
        <v>-52100</v>
      </c>
      <c r="AF1059" s="93">
        <v>0.0</v>
      </c>
    </row>
    <row r="1060">
      <c r="A1060" s="86">
        <v>2018.0</v>
      </c>
      <c r="B1060" s="87">
        <v>7.0</v>
      </c>
      <c r="C1060" s="88" t="s">
        <v>34</v>
      </c>
      <c r="D1060" s="32"/>
      <c r="E1060" s="93">
        <v>-1500.0</v>
      </c>
      <c r="F1060" s="32"/>
      <c r="G1060" s="93">
        <v>-507.44</v>
      </c>
      <c r="H1060" s="93">
        <v>2100.46</v>
      </c>
      <c r="I1060" s="32"/>
      <c r="J1060" s="93">
        <v>761.0</v>
      </c>
      <c r="K1060" s="32"/>
      <c r="L1060" s="32"/>
      <c r="M1060" s="32"/>
      <c r="N1060" s="32"/>
      <c r="O1060" s="93">
        <v>145142.0</v>
      </c>
      <c r="P1060" s="91">
        <f>IFERROR(__xludf.DUMMYFUNCTION("IFERROR(sum(FILTER($D:$N,$C:$C = $C1060,$A:$A &lt; $A1060,$B:$B = 12)),0) + sum($D1060:$N1060)"),145142.18)</f>
        <v>145142.18</v>
      </c>
      <c r="Q1060" s="92">
        <f t="shared" si="1"/>
        <v>-0.18</v>
      </c>
      <c r="R1060" s="91">
        <f t="array" ref="R1060">IFERROR(INDEX('Fund YTD Target Values'!$1:$1000, MATCH($C1060,'Fund YTD Target Values'!$A:$A,0), MATCH($A1060,'Fund YTD Target Values'!$1:$1,0)),0)</f>
        <v>135327.6594</v>
      </c>
      <c r="S1060" s="91">
        <f>IFERROR(__xludf.DUMMYFUNCTION("IFERROR(sum(FILTER('Fund Investment Data'!$V:$V, 'Fund Investment Data'!$C:$C = $C1060, 'Fund Investment Data'!$A:$A &lt; $A1060)),0) + IFERROR(sum(FILTER('Fund Investment Data'!$V:$V, 'Fund Investment Data'!$C:$C = $C1060, 'Fund Investment Data'!$A:$A = $A1"&amp;"060, 'Fund Investment Data'!$B:$B &lt;= $B1060)),0)"),120000.0)</f>
        <v>120000</v>
      </c>
      <c r="T1060" s="32"/>
      <c r="U1060" s="32"/>
      <c r="V1060" s="32">
        <f>IFERROR(__xludf.DUMMYFUNCTION("$D1060 - IFERROR(FILTER($D:$D,$C:$C = $C1060, $A:$A = $A1060, $B:$B = $B1060 - 1),0)"),0.0)</f>
        <v>0</v>
      </c>
      <c r="W1060" s="93">
        <f>IFERROR(__xludf.DUMMYFUNCTION("$E1060 - IFERROR(FILTER($E:$E,$C:$C = $C1060, $A:$A = $A1060, $B:$B = $B1060 - 1),0)"),0.0)</f>
        <v>0</v>
      </c>
      <c r="X1060" s="93"/>
      <c r="Y1060" s="93"/>
      <c r="Z1060" s="93">
        <v>0.0</v>
      </c>
      <c r="AA1060" s="93">
        <v>0.0</v>
      </c>
      <c r="AB1060" s="93">
        <v>0.0</v>
      </c>
      <c r="AC1060" s="93"/>
      <c r="AD1060" s="93">
        <v>0.0</v>
      </c>
      <c r="AE1060" s="32">
        <f t="shared" si="2"/>
        <v>-1500</v>
      </c>
      <c r="AF1060" s="93">
        <v>0.0</v>
      </c>
    </row>
    <row r="1061">
      <c r="A1061" s="86">
        <v>2018.0</v>
      </c>
      <c r="B1061" s="87">
        <v>7.0</v>
      </c>
      <c r="C1061" s="88" t="s">
        <v>54</v>
      </c>
      <c r="D1061" s="93">
        <v>35.0</v>
      </c>
      <c r="E1061" s="93">
        <v>-5000.0</v>
      </c>
      <c r="F1061" s="32"/>
      <c r="G1061" s="93">
        <v>-605.53</v>
      </c>
      <c r="H1061" s="93">
        <v>2478.19</v>
      </c>
      <c r="I1061" s="93">
        <v>416.36</v>
      </c>
      <c r="J1061" s="93">
        <v>489.36</v>
      </c>
      <c r="K1061" s="32"/>
      <c r="L1061" s="32"/>
      <c r="M1061" s="32"/>
      <c r="N1061" s="32"/>
      <c r="O1061" s="93">
        <v>170705.0</v>
      </c>
      <c r="P1061" s="91">
        <f>IFERROR(__xludf.DUMMYFUNCTION("IFERROR(sum(FILTER($D:$N,$C:$C = $C1061,$A:$A &lt; $A1061,$B:$B = 12)),0) + sum($D1061:$N1061)"),170706.34999999995)</f>
        <v>170706.35</v>
      </c>
      <c r="Q1061" s="92">
        <f t="shared" si="1"/>
        <v>-1.35</v>
      </c>
      <c r="R1061" s="91">
        <f t="array" ref="R1061">IFERROR(INDEX('Fund YTD Target Values'!$1:$1000, MATCH($C1061,'Fund YTD Target Values'!$A:$A,0), MATCH($A1061,'Fund YTD Target Values'!$1:$1,0)),0)</f>
        <v>155177.2706</v>
      </c>
      <c r="S1061" s="91">
        <f>IFERROR(__xludf.DUMMYFUNCTION("IFERROR(sum(FILTER('Fund Investment Data'!$V:$V, 'Fund Investment Data'!$C:$C = $C1061, 'Fund Investment Data'!$A:$A &lt; $A1061)),0) + IFERROR(sum(FILTER('Fund Investment Data'!$V:$V, 'Fund Investment Data'!$C:$C = $C1061, 'Fund Investment Data'!$A:$A = $A1"&amp;"061, 'Fund Investment Data'!$B:$B &lt;= $B1061)),0)"),112467.10999999999)</f>
        <v>112467.11</v>
      </c>
      <c r="T1061" s="32"/>
      <c r="U1061" s="32">
        <f>S1061-T1061</f>
        <v>112467.11</v>
      </c>
      <c r="V1061" s="32">
        <f>IFERROR(__xludf.DUMMYFUNCTION("$D1061 - IFERROR(FILTER($D:$D,$C:$C = $C1061, $A:$A = $A1061, $B:$B = $B1061 - 1),0)"),0.0)</f>
        <v>0</v>
      </c>
      <c r="W1061" s="93">
        <f>IFERROR(__xludf.DUMMYFUNCTION("$E1061 - IFERROR(FILTER($E:$E,$C:$C = $C1061, $A:$A = $A1061, $B:$B = $B1061 - 1),0)"),0.0)</f>
        <v>0</v>
      </c>
      <c r="X1061" s="93"/>
      <c r="Y1061" s="93"/>
      <c r="Z1061" s="93">
        <v>0.0</v>
      </c>
      <c r="AA1061" s="93">
        <v>0.0</v>
      </c>
      <c r="AB1061" s="93">
        <v>0.0</v>
      </c>
      <c r="AC1061" s="93"/>
      <c r="AD1061" s="93">
        <v>0.0</v>
      </c>
      <c r="AE1061" s="32">
        <f t="shared" si="2"/>
        <v>-5000</v>
      </c>
      <c r="AF1061" s="93">
        <v>0.0</v>
      </c>
    </row>
    <row r="1062">
      <c r="A1062" s="86">
        <v>2018.0</v>
      </c>
      <c r="B1062" s="87">
        <v>7.0</v>
      </c>
      <c r="C1062" s="88" t="s">
        <v>55</v>
      </c>
      <c r="D1062" s="32"/>
      <c r="E1062" s="93">
        <v>-1200.0</v>
      </c>
      <c r="F1062" s="32"/>
      <c r="G1062" s="93">
        <v>-1078.33</v>
      </c>
      <c r="H1062" s="93">
        <v>3008.21</v>
      </c>
      <c r="I1062" s="32"/>
      <c r="J1062" s="93">
        <v>-1066.82</v>
      </c>
      <c r="K1062" s="32"/>
      <c r="L1062" s="32"/>
      <c r="M1062" s="32"/>
      <c r="N1062" s="32"/>
      <c r="O1062" s="93">
        <v>228728.0</v>
      </c>
      <c r="P1062" s="91">
        <f>IFERROR(__xludf.DUMMYFUNCTION("IFERROR(sum(FILTER($D:$N,$C:$C = $C1062,$A:$A &lt; $A1062,$B:$B = 12)),0) + sum($D1062:$N1062)"),228727.81999999998)</f>
        <v>228727.82</v>
      </c>
      <c r="Q1062" s="92">
        <f t="shared" si="1"/>
        <v>0.18</v>
      </c>
      <c r="R1062" s="91">
        <f t="array" ref="R1062">IFERROR(INDEX('Fund YTD Target Values'!$1:$1000, MATCH($C1062,'Fund YTD Target Values'!$A:$A,0), MATCH($A1062,'Fund YTD Target Values'!$1:$1,0)),0)</f>
        <v>289110.9496</v>
      </c>
      <c r="S1062" s="91">
        <f>IFERROR(__xludf.DUMMYFUNCTION("IFERROR(sum(FILTER('Fund Investment Data'!$V:$V, 'Fund Investment Data'!$C:$C = $C1062, 'Fund Investment Data'!$A:$A &lt; $A1062)),0) + IFERROR(sum(FILTER('Fund Investment Data'!$V:$V, 'Fund Investment Data'!$C:$C = $C1062, 'Fund Investment Data'!$A:$A = $A1"&amp;"062, 'Fund Investment Data'!$B:$B &lt;= $B1062)),0)"),210000.0)</f>
        <v>210000</v>
      </c>
      <c r="T1062" s="32"/>
      <c r="U1062" s="32"/>
      <c r="V1062" s="32">
        <f>IFERROR(__xludf.DUMMYFUNCTION("$D1062 - IFERROR(FILTER($D:$D,$C:$C = $C1062, $A:$A = $A1062, $B:$B = $B1062 - 1),0)"),0.0)</f>
        <v>0</v>
      </c>
      <c r="W1062" s="93">
        <f>IFERROR(__xludf.DUMMYFUNCTION("$E1062 - IFERROR(FILTER($E:$E,$C:$C = $C1062, $A:$A = $A1062, $B:$B = $B1062 - 1),0)"),-1200.0)</f>
        <v>-1200</v>
      </c>
      <c r="X1062" s="93"/>
      <c r="Y1062" s="93"/>
      <c r="Z1062" s="93">
        <v>0.0</v>
      </c>
      <c r="AA1062" s="93">
        <v>0.0</v>
      </c>
      <c r="AB1062" s="93">
        <v>0.0</v>
      </c>
      <c r="AC1062" s="93"/>
      <c r="AD1062" s="93">
        <v>0.0</v>
      </c>
      <c r="AE1062" s="32">
        <f t="shared" si="2"/>
        <v>-1200</v>
      </c>
      <c r="AF1062" s="93">
        <v>0.0</v>
      </c>
    </row>
    <row r="1063">
      <c r="A1063" s="86">
        <v>2018.0</v>
      </c>
      <c r="B1063" s="87">
        <v>7.0</v>
      </c>
      <c r="C1063" s="88" t="s">
        <v>44</v>
      </c>
      <c r="D1063" s="32"/>
      <c r="E1063" s="93">
        <v>-6600.0</v>
      </c>
      <c r="F1063" s="32"/>
      <c r="G1063" s="93">
        <v>-1005.82</v>
      </c>
      <c r="H1063" s="93">
        <v>4201.6</v>
      </c>
      <c r="I1063" s="93">
        <v>1103.38</v>
      </c>
      <c r="J1063" s="93">
        <v>410.05</v>
      </c>
      <c r="K1063" s="32"/>
      <c r="L1063" s="32"/>
      <c r="M1063" s="32"/>
      <c r="N1063" s="32"/>
      <c r="O1063" s="93">
        <v>284745.0</v>
      </c>
      <c r="P1063" s="91">
        <f>IFERROR(__xludf.DUMMYFUNCTION("IFERROR(sum(FILTER($D:$N,$C:$C = $C1063,$A:$A &lt; $A1063,$B:$B = 12)),0) + sum($D1063:$N1063)"),284745.6800000001)</f>
        <v>284745.68</v>
      </c>
      <c r="Q1063" s="92">
        <f t="shared" si="1"/>
        <v>-0.6800000001</v>
      </c>
      <c r="R1063" s="91">
        <f t="array" ref="R1063">IFERROR(INDEX('Fund YTD Target Values'!$1:$1000, MATCH($C1063,'Fund YTD Target Values'!$A:$A,0), MATCH($A1063,'Fund YTD Target Values'!$1:$1,0)),0)</f>
        <v>321586.5616</v>
      </c>
      <c r="S1063" s="91">
        <f>IFERROR(__xludf.DUMMYFUNCTION("IFERROR(sum(FILTER('Fund Investment Data'!$V:$V, 'Fund Investment Data'!$C:$C = $C1063, 'Fund Investment Data'!$A:$A &lt; $A1063)),0) + IFERROR(sum(FILTER('Fund Investment Data'!$V:$V, 'Fund Investment Data'!$C:$C = $C1063, 'Fund Investment Data'!$A:$A = $A1"&amp;"063, 'Fund Investment Data'!$B:$B &lt;= $B1063)),0)"),250000.0)</f>
        <v>250000</v>
      </c>
      <c r="T1063" s="93">
        <v>250000.0</v>
      </c>
      <c r="U1063" s="32">
        <f t="shared" ref="U1063:U1079" si="8">S1063-T1063</f>
        <v>0</v>
      </c>
      <c r="V1063" s="32">
        <f>IFERROR(__xludf.DUMMYFUNCTION("$D1063 - IFERROR(FILTER($D:$D,$C:$C = $C1063, $A:$A = $A1063, $B:$B = $B1063 - 1),0)"),0.0)</f>
        <v>0</v>
      </c>
      <c r="W1063" s="93">
        <f>IFERROR(__xludf.DUMMYFUNCTION("$E1063 - IFERROR(FILTER($E:$E,$C:$C = $C1063, $A:$A = $A1063, $B:$B = $B1063 - 1),0)"),-600.0)</f>
        <v>-600</v>
      </c>
      <c r="X1063" s="93"/>
      <c r="Y1063" s="93"/>
      <c r="Z1063" s="93">
        <v>0.0</v>
      </c>
      <c r="AA1063" s="93">
        <v>0.0</v>
      </c>
      <c r="AB1063" s="93">
        <v>0.0</v>
      </c>
      <c r="AC1063" s="93"/>
      <c r="AD1063" s="93">
        <v>0.0</v>
      </c>
      <c r="AE1063" s="32">
        <f t="shared" si="2"/>
        <v>-6600</v>
      </c>
      <c r="AF1063" s="93">
        <v>0.0</v>
      </c>
    </row>
    <row r="1064">
      <c r="A1064" s="86">
        <v>2018.0</v>
      </c>
      <c r="B1064" s="87">
        <v>7.0</v>
      </c>
      <c r="C1064" s="88" t="s">
        <v>45</v>
      </c>
      <c r="D1064" s="32"/>
      <c r="E1064" s="93">
        <v>-3000.0</v>
      </c>
      <c r="F1064" s="32"/>
      <c r="G1064" s="93">
        <v>-521.26</v>
      </c>
      <c r="H1064" s="93">
        <v>2166.84</v>
      </c>
      <c r="I1064" s="32"/>
      <c r="J1064" s="93">
        <v>776.23</v>
      </c>
      <c r="K1064" s="32"/>
      <c r="L1064" s="32"/>
      <c r="M1064" s="32"/>
      <c r="N1064" s="32"/>
      <c r="O1064" s="93">
        <v>147824.0</v>
      </c>
      <c r="P1064" s="91">
        <f>IFERROR(__xludf.DUMMYFUNCTION("IFERROR(sum(FILTER($D:$N,$C:$C = $C1064,$A:$A &lt; $A1064,$B:$B = 12)),0) + sum($D1064:$N1064)"),147824.09999999998)</f>
        <v>147824.1</v>
      </c>
      <c r="Q1064" s="92">
        <f t="shared" si="1"/>
        <v>-0.09999999998</v>
      </c>
      <c r="R1064" s="91">
        <f t="array" ref="R1064">IFERROR(INDEX('Fund YTD Target Values'!$1:$1000, MATCH($C1064,'Fund YTD Target Values'!$A:$A,0), MATCH($A1064,'Fund YTD Target Values'!$1:$1,0)),0)</f>
        <v>121242.134</v>
      </c>
      <c r="S1064" s="91">
        <f>IFERROR(__xludf.DUMMYFUNCTION("IFERROR(sum(FILTER('Fund Investment Data'!$V:$V, 'Fund Investment Data'!$C:$C = $C1064, 'Fund Investment Data'!$A:$A &lt; $A1064)),0) + IFERROR(sum(FILTER('Fund Investment Data'!$V:$V, 'Fund Investment Data'!$C:$C = $C1064, 'Fund Investment Data'!$A:$A = $A1"&amp;"064, 'Fund Investment Data'!$B:$B &lt;= $B1064)),0)"),100000.0)</f>
        <v>100000</v>
      </c>
      <c r="T1064" s="93">
        <v>100000.0</v>
      </c>
      <c r="U1064" s="32">
        <f t="shared" si="8"/>
        <v>0</v>
      </c>
      <c r="V1064" s="32">
        <f>IFERROR(__xludf.DUMMYFUNCTION("$D1064 - IFERROR(FILTER($D:$D,$C:$C = $C1064, $A:$A = $A1064, $B:$B = $B1064 - 1),0)"),0.0)</f>
        <v>0</v>
      </c>
      <c r="W1064" s="93">
        <f>IFERROR(__xludf.DUMMYFUNCTION("$E1064 - IFERROR(FILTER($E:$E,$C:$C = $C1064, $A:$A = $A1064, $B:$B = $B1064 - 1),0)"),0.0)</f>
        <v>0</v>
      </c>
      <c r="X1064" s="93"/>
      <c r="Y1064" s="93"/>
      <c r="Z1064" s="93">
        <v>0.0</v>
      </c>
      <c r="AA1064" s="93">
        <v>0.0</v>
      </c>
      <c r="AB1064" s="93">
        <v>0.0</v>
      </c>
      <c r="AC1064" s="93"/>
      <c r="AD1064" s="93">
        <v>0.0</v>
      </c>
      <c r="AE1064" s="32">
        <f t="shared" si="2"/>
        <v>-3000</v>
      </c>
      <c r="AF1064" s="93">
        <v>0.0</v>
      </c>
    </row>
    <row r="1065">
      <c r="A1065" s="86">
        <v>2018.0</v>
      </c>
      <c r="B1065" s="87">
        <v>7.0</v>
      </c>
      <c r="C1065" s="88" t="s">
        <v>35</v>
      </c>
      <c r="D1065" s="32"/>
      <c r="E1065" s="93">
        <v>-32400.0</v>
      </c>
      <c r="F1065" s="32"/>
      <c r="G1065" s="93">
        <v>-5144.11</v>
      </c>
      <c r="H1065" s="93">
        <v>21490.57</v>
      </c>
      <c r="I1065" s="93">
        <v>5100.81</v>
      </c>
      <c r="J1065" s="93">
        <v>2642.34</v>
      </c>
      <c r="K1065" s="32"/>
      <c r="L1065" s="32"/>
      <c r="M1065" s="32"/>
      <c r="N1065" s="32"/>
      <c r="O1065" s="93">
        <v>1457832.0</v>
      </c>
      <c r="P1065" s="91">
        <f>IFERROR(__xludf.DUMMYFUNCTION("IFERROR(sum(FILTER($D:$N,$C:$C = $C1065,$A:$A &lt; $A1065,$B:$B = 12)),0) + sum($D1065:$N1065)"),1457831.1700000004)</f>
        <v>1457831.17</v>
      </c>
      <c r="Q1065" s="92">
        <f t="shared" si="1"/>
        <v>0.8299999996</v>
      </c>
      <c r="R1065" s="91">
        <f t="array" ref="R1065">IFERROR(INDEX('Fund YTD Target Values'!$1:$1000, MATCH($C1065,'Fund YTD Target Values'!$A:$A,0), MATCH($A1065,'Fund YTD Target Values'!$1:$1,0)),0)</f>
        <v>1579247.369</v>
      </c>
      <c r="S1065" s="91">
        <f>IFERROR(__xludf.DUMMYFUNCTION("IFERROR(sum(FILTER('Fund Investment Data'!$V:$V, 'Fund Investment Data'!$C:$C = $C1065, 'Fund Investment Data'!$A:$A &lt; $A1065)),0) + IFERROR(sum(FILTER('Fund Investment Data'!$V:$V, 'Fund Investment Data'!$C:$C = $C1065, 'Fund Investment Data'!$A:$A = $A1"&amp;"065, 'Fund Investment Data'!$B:$B &lt;= $B1065)),0)"),1086625.0)</f>
        <v>1086625</v>
      </c>
      <c r="T1065" s="93">
        <v>1071625.0</v>
      </c>
      <c r="U1065" s="32">
        <f t="shared" si="8"/>
        <v>15000</v>
      </c>
      <c r="V1065" s="32">
        <f>IFERROR(__xludf.DUMMYFUNCTION("$D1065 - IFERROR(FILTER($D:$D,$C:$C = $C1065, $A:$A = $A1065, $B:$B = $B1065 - 1),0)"),0.0)</f>
        <v>0</v>
      </c>
      <c r="W1065" s="93">
        <f>IFERROR(__xludf.DUMMYFUNCTION("$E1065 - IFERROR(FILTER($E:$E,$C:$C = $C1065, $A:$A = $A1065, $B:$B = $B1065 - 1),0)"),-3300.0)</f>
        <v>-3300</v>
      </c>
      <c r="X1065" s="93"/>
      <c r="Y1065" s="93"/>
      <c r="Z1065" s="93">
        <v>0.0</v>
      </c>
      <c r="AA1065" s="93">
        <v>0.0</v>
      </c>
      <c r="AB1065" s="93">
        <v>0.0</v>
      </c>
      <c r="AC1065" s="93"/>
      <c r="AD1065" s="93">
        <v>0.0</v>
      </c>
      <c r="AE1065" s="32">
        <f t="shared" si="2"/>
        <v>-32400</v>
      </c>
      <c r="AF1065" s="93">
        <v>0.0</v>
      </c>
    </row>
    <row r="1066">
      <c r="A1066" s="86">
        <v>2018.0</v>
      </c>
      <c r="B1066" s="87">
        <v>7.0</v>
      </c>
      <c r="C1066" s="88" t="s">
        <v>56</v>
      </c>
      <c r="D1066" s="32"/>
      <c r="E1066" s="93">
        <v>-28800.0</v>
      </c>
      <c r="F1066" s="32"/>
      <c r="G1066" s="93">
        <v>-3977.17</v>
      </c>
      <c r="H1066" s="93">
        <v>16443.75</v>
      </c>
      <c r="I1066" s="93">
        <v>1776.67</v>
      </c>
      <c r="J1066" s="93">
        <v>4201.37</v>
      </c>
      <c r="K1066" s="32"/>
      <c r="L1066" s="32"/>
      <c r="M1066" s="32"/>
      <c r="N1066" s="32"/>
      <c r="O1066" s="93">
        <v>1122622.0</v>
      </c>
      <c r="P1066" s="91">
        <f>IFERROR(__xludf.DUMMYFUNCTION("IFERROR(sum(FILTER($D:$N,$C:$C = $C1066,$A:$A &lt; $A1066,$B:$B = 12)),0) + sum($D1066:$N1066)"),1122622.45)</f>
        <v>1122622.45</v>
      </c>
      <c r="Q1066" s="92">
        <f t="shared" si="1"/>
        <v>-0.45</v>
      </c>
      <c r="R1066" s="91">
        <f t="array" ref="R1066">IFERROR(INDEX('Fund YTD Target Values'!$1:$1000, MATCH($C1066,'Fund YTD Target Values'!$A:$A,0), MATCH($A1066,'Fund YTD Target Values'!$1:$1,0)),0)</f>
        <v>1060725.595</v>
      </c>
      <c r="S1066" s="91">
        <f>IFERROR(__xludf.DUMMYFUNCTION("IFERROR(sum(FILTER('Fund Investment Data'!$V:$V, 'Fund Investment Data'!$C:$C = $C1066, 'Fund Investment Data'!$A:$A &lt; $A1066)),0) + IFERROR(sum(FILTER('Fund Investment Data'!$V:$V, 'Fund Investment Data'!$C:$C = $C1066, 'Fund Investment Data'!$A:$A = $A1"&amp;"066, 'Fund Investment Data'!$B:$B &lt;= $B1066)),0)"),1000000.0)</f>
        <v>1000000</v>
      </c>
      <c r="T1066" s="93">
        <v>1000000.0</v>
      </c>
      <c r="U1066" s="32">
        <f t="shared" si="8"/>
        <v>0</v>
      </c>
      <c r="V1066" s="32">
        <f>IFERROR(__xludf.DUMMYFUNCTION("$D1066 - IFERROR(FILTER($D:$D,$C:$C = $C1066, $A:$A = $A1066, $B:$B = $B1066 - 1),0)"),0.0)</f>
        <v>0</v>
      </c>
      <c r="W1066" s="93">
        <f>IFERROR(__xludf.DUMMYFUNCTION("$E1066 - IFERROR(FILTER($E:$E,$C:$C = $C1066, $A:$A = $A1066, $B:$B = $B1066 - 1),0)"),-2500.0)</f>
        <v>-2500</v>
      </c>
      <c r="X1066" s="93"/>
      <c r="Y1066" s="93"/>
      <c r="Z1066" s="93">
        <v>0.0</v>
      </c>
      <c r="AA1066" s="93">
        <v>0.0</v>
      </c>
      <c r="AB1066" s="93">
        <v>0.0</v>
      </c>
      <c r="AC1066" s="93"/>
      <c r="AD1066" s="93">
        <v>0.0</v>
      </c>
      <c r="AE1066" s="32">
        <f t="shared" si="2"/>
        <v>-28800</v>
      </c>
      <c r="AF1066" s="93">
        <v>0.0</v>
      </c>
    </row>
    <row r="1067">
      <c r="A1067" s="86">
        <v>2018.0</v>
      </c>
      <c r="B1067" s="87">
        <v>7.0</v>
      </c>
      <c r="C1067" s="88" t="s">
        <v>57</v>
      </c>
      <c r="D1067" s="32"/>
      <c r="E1067" s="32"/>
      <c r="F1067" s="32"/>
      <c r="G1067" s="93">
        <v>-7169.66</v>
      </c>
      <c r="H1067" s="93">
        <v>29903.77</v>
      </c>
      <c r="I1067" s="32"/>
      <c r="J1067" s="93">
        <v>10767.85</v>
      </c>
      <c r="K1067" s="32"/>
      <c r="L1067" s="32"/>
      <c r="M1067" s="32"/>
      <c r="N1067" s="32"/>
      <c r="O1067" s="93">
        <v>2068681.0</v>
      </c>
      <c r="P1067" s="91">
        <f>IFERROR(__xludf.DUMMYFUNCTION("IFERROR(sum(FILTER($D:$N,$C:$C = $C1067,$A:$A &lt; $A1067,$B:$B = 12)),0) + sum($D1067:$N1067)"),2068680.79)</f>
        <v>2068680.79</v>
      </c>
      <c r="Q1067" s="92">
        <f t="shared" si="1"/>
        <v>0.21</v>
      </c>
      <c r="R1067" s="91">
        <f t="array" ref="R1067">IFERROR(INDEX('Fund YTD Target Values'!$1:$1000, MATCH($C1067,'Fund YTD Target Values'!$A:$A,0), MATCH($A1067,'Fund YTD Target Values'!$1:$1,0)),0)</f>
        <v>2048853.692</v>
      </c>
      <c r="S1067" s="91">
        <f>IFERROR(__xludf.DUMMYFUNCTION("IFERROR(sum(FILTER('Fund Investment Data'!$V:$V, 'Fund Investment Data'!$C:$C = $C1067, 'Fund Investment Data'!$A:$A &lt; $A1067)),0) + IFERROR(sum(FILTER('Fund Investment Data'!$V:$V, 'Fund Investment Data'!$C:$C = $C1067, 'Fund Investment Data'!$A:$A = $A1"&amp;"067, 'Fund Investment Data'!$B:$B &lt;= $B1067)),0)"),2000000.0)</f>
        <v>2000000</v>
      </c>
      <c r="T1067" s="93">
        <v>2000000.0</v>
      </c>
      <c r="U1067" s="32">
        <f t="shared" si="8"/>
        <v>0</v>
      </c>
      <c r="V1067" s="32">
        <f>IFERROR(__xludf.DUMMYFUNCTION("$D1067 - IFERROR(FILTER($D:$D,$C:$C = $C1067, $A:$A = $A1067, $B:$B = $B1067 - 1),0)"),0.0)</f>
        <v>0</v>
      </c>
      <c r="W1067" s="93">
        <f>IFERROR(__xludf.DUMMYFUNCTION("$E1067 - IFERROR(FILTER($E:$E,$C:$C = $C1067, $A:$A = $A1067, $B:$B = $B1067 - 1),0)"),0.0)</f>
        <v>0</v>
      </c>
      <c r="X1067" s="93"/>
      <c r="Y1067" s="93"/>
      <c r="Z1067" s="93">
        <v>0.0</v>
      </c>
      <c r="AA1067" s="93">
        <v>0.0</v>
      </c>
      <c r="AB1067" s="93">
        <v>0.0</v>
      </c>
      <c r="AC1067" s="93"/>
      <c r="AD1067" s="93">
        <v>0.0</v>
      </c>
      <c r="AE1067" s="32">
        <f t="shared" si="2"/>
        <v>0</v>
      </c>
      <c r="AF1067" s="93">
        <v>0.0</v>
      </c>
    </row>
    <row r="1068">
      <c r="A1068" s="86">
        <v>2018.0</v>
      </c>
      <c r="B1068" s="87">
        <v>7.0</v>
      </c>
      <c r="C1068" s="88" t="s">
        <v>58</v>
      </c>
      <c r="D1068" s="32"/>
      <c r="E1068" s="32"/>
      <c r="F1068" s="32"/>
      <c r="G1068" s="93">
        <v>-7169.66</v>
      </c>
      <c r="H1068" s="93">
        <v>29903.77</v>
      </c>
      <c r="I1068" s="32"/>
      <c r="J1068" s="93">
        <v>10767.85</v>
      </c>
      <c r="K1068" s="32"/>
      <c r="L1068" s="32"/>
      <c r="M1068" s="32"/>
      <c r="N1068" s="32"/>
      <c r="O1068" s="93">
        <v>2068681.0</v>
      </c>
      <c r="P1068" s="91">
        <f>IFERROR(__xludf.DUMMYFUNCTION("IFERROR(sum(FILTER($D:$N,$C:$C = $C1068,$A:$A &lt; $A1068,$B:$B = 12)),0) + sum($D1068:$N1068)"),2068680.79)</f>
        <v>2068680.79</v>
      </c>
      <c r="Q1068" s="92">
        <f t="shared" si="1"/>
        <v>0.21</v>
      </c>
      <c r="R1068" s="91">
        <f t="array" ref="R1068">IFERROR(INDEX('Fund YTD Target Values'!$1:$1000, MATCH($C1068,'Fund YTD Target Values'!$A:$A,0), MATCH($A1068,'Fund YTD Target Values'!$1:$1,0)),0)</f>
        <v>2048853.692</v>
      </c>
      <c r="S1068" s="91">
        <f>IFERROR(__xludf.DUMMYFUNCTION("IFERROR(sum(FILTER('Fund Investment Data'!$V:$V, 'Fund Investment Data'!$C:$C = $C1068, 'Fund Investment Data'!$A:$A &lt; $A1068)),0) + IFERROR(sum(FILTER('Fund Investment Data'!$V:$V, 'Fund Investment Data'!$C:$C = $C1068, 'Fund Investment Data'!$A:$A = $A1"&amp;"068, 'Fund Investment Data'!$B:$B &lt;= $B1068)),0)"),2000000.0)</f>
        <v>2000000</v>
      </c>
      <c r="T1068" s="93">
        <v>2000000.0</v>
      </c>
      <c r="U1068" s="32">
        <f t="shared" si="8"/>
        <v>0</v>
      </c>
      <c r="V1068" s="32">
        <f>IFERROR(__xludf.DUMMYFUNCTION("$D1068 - IFERROR(FILTER($D:$D,$C:$C = $C1068, $A:$A = $A1068, $B:$B = $B1068 - 1),0)"),0.0)</f>
        <v>0</v>
      </c>
      <c r="W1068" s="93">
        <f>IFERROR(__xludf.DUMMYFUNCTION("$E1068 - IFERROR(FILTER($E:$E,$C:$C = $C1068, $A:$A = $A1068, $B:$B = $B1068 - 1),0)"),0.0)</f>
        <v>0</v>
      </c>
      <c r="X1068" s="93"/>
      <c r="Y1068" s="93"/>
      <c r="Z1068" s="93">
        <v>0.0</v>
      </c>
      <c r="AA1068" s="93">
        <v>0.0</v>
      </c>
      <c r="AB1068" s="93">
        <v>0.0</v>
      </c>
      <c r="AC1068" s="93"/>
      <c r="AD1068" s="93">
        <v>0.0</v>
      </c>
      <c r="AE1068" s="32">
        <f t="shared" si="2"/>
        <v>0</v>
      </c>
      <c r="AF1068" s="93">
        <v>0.0</v>
      </c>
    </row>
    <row r="1069">
      <c r="A1069" s="86">
        <v>2018.0</v>
      </c>
      <c r="B1069" s="87">
        <v>8.0</v>
      </c>
      <c r="C1069" s="88" t="s">
        <v>26</v>
      </c>
      <c r="D1069" s="93">
        <v>18189.0</v>
      </c>
      <c r="E1069" s="93">
        <v>-12300.0</v>
      </c>
      <c r="F1069" s="32"/>
      <c r="G1069" s="93">
        <v>-1379.39</v>
      </c>
      <c r="H1069" s="93">
        <v>5259.63</v>
      </c>
      <c r="I1069" s="93">
        <v>292.33</v>
      </c>
      <c r="J1069" s="93">
        <v>2475.52</v>
      </c>
      <c r="K1069" s="32"/>
      <c r="L1069" s="32"/>
      <c r="M1069" s="32"/>
      <c r="N1069" s="32"/>
      <c r="O1069" s="93">
        <v>344470.0</v>
      </c>
      <c r="P1069" s="91">
        <f>IFERROR(__xludf.DUMMYFUNCTION("IFERROR(sum(FILTER($D:$N,$C:$C = $C1069,$A:$A &lt; $A1069,$B:$B = 12)),0) + sum($D1069:$N1069)"),344468.05)</f>
        <v>344468.05</v>
      </c>
      <c r="Q1069" s="92">
        <f t="shared" si="1"/>
        <v>1.95</v>
      </c>
      <c r="R1069" s="91">
        <f t="array" ref="R1069">IFERROR(INDEX('Fund YTD Target Values'!$1:$1000, MATCH($C1069,'Fund YTD Target Values'!$A:$A,0), MATCH($A1069,'Fund YTD Target Values'!$1:$1,0)),0)</f>
        <v>378110.9215</v>
      </c>
      <c r="S1069" s="91">
        <f>IFERROR(__xludf.DUMMYFUNCTION("IFERROR(sum(FILTER('Fund Investment Data'!$V:$V, 'Fund Investment Data'!$C:$C = $C1069, 'Fund Investment Data'!$A:$A &lt; $A1069)),0) + IFERROR(sum(FILTER('Fund Investment Data'!$V:$V, 'Fund Investment Data'!$C:$C = $C1069, 'Fund Investment Data'!$A:$A = $A1"&amp;"069, 'Fund Investment Data'!$B:$B &lt;= $B1069)),0)"),310249.0)</f>
        <v>310249</v>
      </c>
      <c r="T1069" s="93">
        <v>310250.0</v>
      </c>
      <c r="U1069" s="32">
        <f t="shared" si="8"/>
        <v>-1</v>
      </c>
      <c r="V1069" s="32">
        <f>IFERROR(__xludf.DUMMYFUNCTION("$D1069 - IFERROR(FILTER($D:$D,$C:$C = $C1069, $A:$A = $A1069, $B:$B = $B1069 - 1),0)"),0.0)</f>
        <v>0</v>
      </c>
      <c r="W1069" s="93">
        <f>IFERROR(__xludf.DUMMYFUNCTION("$E1069 - IFERROR(FILTER($E:$E,$C:$C = $C1069, $A:$A = $A1069, $B:$B = $B1069 - 1),0)"),-3000.0)</f>
        <v>-3000</v>
      </c>
      <c r="X1069" s="93"/>
      <c r="Y1069" s="93"/>
      <c r="Z1069" s="93">
        <v>0.0</v>
      </c>
      <c r="AA1069" s="93">
        <v>0.0</v>
      </c>
      <c r="AB1069" s="93">
        <v>0.0</v>
      </c>
      <c r="AC1069" s="93"/>
      <c r="AD1069" s="93">
        <v>0.0</v>
      </c>
      <c r="AE1069" s="32">
        <f t="shared" si="2"/>
        <v>-12300</v>
      </c>
      <c r="AF1069" s="93">
        <v>0.0</v>
      </c>
    </row>
    <row r="1070">
      <c r="A1070" s="86">
        <v>2018.0</v>
      </c>
      <c r="B1070" s="87">
        <v>8.0</v>
      </c>
      <c r="C1070" s="88" t="s">
        <v>27</v>
      </c>
      <c r="D1070" s="32"/>
      <c r="E1070" s="93">
        <v>-10500.0</v>
      </c>
      <c r="F1070" s="32"/>
      <c r="G1070" s="93">
        <v>-1238.05</v>
      </c>
      <c r="H1070" s="93">
        <v>4779.67</v>
      </c>
      <c r="I1070" s="93">
        <v>2252.85</v>
      </c>
      <c r="J1070" s="93">
        <v>302.92</v>
      </c>
      <c r="K1070" s="32"/>
      <c r="L1070" s="32"/>
      <c r="M1070" s="32"/>
      <c r="N1070" s="32"/>
      <c r="O1070" s="93">
        <v>304082.0</v>
      </c>
      <c r="P1070" s="91">
        <f>IFERROR(__xludf.DUMMYFUNCTION("IFERROR(sum(FILTER($D:$N,$C:$C = $C1070,$A:$A &lt; $A1070,$B:$B = 12)),0) + sum($D1070:$N1070)"),304082.7900000001)</f>
        <v>304082.79</v>
      </c>
      <c r="Q1070" s="92">
        <f t="shared" si="1"/>
        <v>-0.7900000001</v>
      </c>
      <c r="R1070" s="91">
        <f t="array" ref="R1070">IFERROR(INDEX('Fund YTD Target Values'!$1:$1000, MATCH($C1070,'Fund YTD Target Values'!$A:$A,0), MATCH($A1070,'Fund YTD Target Values'!$1:$1,0)),0)</f>
        <v>393297.582</v>
      </c>
      <c r="S1070" s="91">
        <f>IFERROR(__xludf.DUMMYFUNCTION("IFERROR(sum(FILTER('Fund Investment Data'!$V:$V, 'Fund Investment Data'!$C:$C = $C1070, 'Fund Investment Data'!$A:$A &lt; $A1070)),0) + IFERROR(sum(FILTER('Fund Investment Data'!$V:$V, 'Fund Investment Data'!$C:$C = $C1070, 'Fund Investment Data'!$A:$A = $A1"&amp;"070, 'Fund Investment Data'!$B:$B &lt;= $B1070)),0)"),276213.69999999995)</f>
        <v>276213.7</v>
      </c>
      <c r="T1070" s="93">
        <v>272248.0</v>
      </c>
      <c r="U1070" s="32">
        <f t="shared" si="8"/>
        <v>3965.7</v>
      </c>
      <c r="V1070" s="32">
        <f>IFERROR(__xludf.DUMMYFUNCTION("$D1070 - IFERROR(FILTER($D:$D,$C:$C = $C1070, $A:$A = $A1070, $B:$B = $B1070 - 1),0)"),0.0)</f>
        <v>0</v>
      </c>
      <c r="W1070" s="93">
        <f>IFERROR(__xludf.DUMMYFUNCTION("$E1070 - IFERROR(FILTER($E:$E,$C:$C = $C1070, $A:$A = $A1070, $B:$B = $B1070 - 1),0)"),-5000.0)</f>
        <v>-5000</v>
      </c>
      <c r="X1070" s="93"/>
      <c r="Y1070" s="93"/>
      <c r="Z1070" s="93">
        <v>0.0</v>
      </c>
      <c r="AA1070" s="93">
        <v>0.0</v>
      </c>
      <c r="AB1070" s="93">
        <v>0.0</v>
      </c>
      <c r="AC1070" s="93"/>
      <c r="AD1070" s="93">
        <v>0.0</v>
      </c>
      <c r="AE1070" s="32">
        <f t="shared" si="2"/>
        <v>-10500</v>
      </c>
      <c r="AF1070" s="93">
        <v>0.0</v>
      </c>
    </row>
    <row r="1071">
      <c r="A1071" s="86">
        <v>2018.0</v>
      </c>
      <c r="B1071" s="87">
        <v>8.0</v>
      </c>
      <c r="C1071" s="88" t="s">
        <v>28</v>
      </c>
      <c r="D1071" s="32"/>
      <c r="E1071" s="93">
        <v>-102000.0</v>
      </c>
      <c r="F1071" s="32"/>
      <c r="G1071" s="93">
        <v>-13254.06</v>
      </c>
      <c r="H1071" s="93">
        <v>51176.92</v>
      </c>
      <c r="I1071" s="93">
        <v>18060.24</v>
      </c>
      <c r="J1071" s="93">
        <v>9592.88</v>
      </c>
      <c r="K1071" s="32"/>
      <c r="L1071" s="32"/>
      <c r="M1071" s="32"/>
      <c r="N1071" s="32"/>
      <c r="O1071" s="93">
        <v>3272803.0</v>
      </c>
      <c r="P1071" s="91">
        <f>IFERROR(__xludf.DUMMYFUNCTION("IFERROR(sum(FILTER($D:$N,$C:$C = $C1071,$A:$A &lt; $A1071,$B:$B = 12)),0) + sum($D1071:$N1071)"),3272802.05)</f>
        <v>3272802.05</v>
      </c>
      <c r="Q1071" s="92">
        <f t="shared" si="1"/>
        <v>0.9500000002</v>
      </c>
      <c r="R1071" s="91">
        <f t="array" ref="R1071">IFERROR(INDEX('Fund YTD Target Values'!$1:$1000, MATCH($C1071,'Fund YTD Target Values'!$A:$A,0), MATCH($A1071,'Fund YTD Target Values'!$1:$1,0)),0)</f>
        <v>3840487.513</v>
      </c>
      <c r="S1071" s="91">
        <f>IFERROR(__xludf.DUMMYFUNCTION("IFERROR(sum(FILTER('Fund Investment Data'!$V:$V, 'Fund Investment Data'!$C:$C = $C1071, 'Fund Investment Data'!$A:$A &lt; $A1071)),0) + IFERROR(sum(FILTER('Fund Investment Data'!$V:$V, 'Fund Investment Data'!$C:$C = $C1071, 'Fund Investment Data'!$A:$A = $A1"&amp;"071, 'Fund Investment Data'!$B:$B &lt;= $B1071)),0)"),2960091.25)</f>
        <v>2960091.25</v>
      </c>
      <c r="T1071" s="93">
        <v>3009816.0</v>
      </c>
      <c r="U1071" s="32">
        <f t="shared" si="8"/>
        <v>-49724.75</v>
      </c>
      <c r="V1071" s="32">
        <f>IFERROR(__xludf.DUMMYFUNCTION("$D1071 - IFERROR(FILTER($D:$D,$C:$C = $C1071, $A:$A = $A1071, $B:$B = $B1071 - 1),0)"),0.0)</f>
        <v>0</v>
      </c>
      <c r="W1071" s="93">
        <f>IFERROR(__xludf.DUMMYFUNCTION("$E1071 - IFERROR(FILTER($E:$E,$C:$C = $C1071, $A:$A = $A1071, $B:$B = $B1071 - 1),0)"),-30000.0)</f>
        <v>-30000</v>
      </c>
      <c r="X1071" s="93"/>
      <c r="Y1071" s="93"/>
      <c r="Z1071" s="93">
        <v>0.0</v>
      </c>
      <c r="AA1071" s="93">
        <v>0.0</v>
      </c>
      <c r="AB1071" s="93">
        <v>0.0</v>
      </c>
      <c r="AC1071" s="93"/>
      <c r="AD1071" s="93">
        <v>0.0</v>
      </c>
      <c r="AE1071" s="32">
        <f t="shared" si="2"/>
        <v>-102000</v>
      </c>
      <c r="AF1071" s="93">
        <v>0.0</v>
      </c>
    </row>
    <row r="1072">
      <c r="A1072" s="86">
        <v>2018.0</v>
      </c>
      <c r="B1072" s="87">
        <v>8.0</v>
      </c>
      <c r="C1072" s="88" t="s">
        <v>46</v>
      </c>
      <c r="D1072" s="32"/>
      <c r="E1072" s="93">
        <v>-19600.0</v>
      </c>
      <c r="F1072" s="32"/>
      <c r="G1072" s="93">
        <v>-1572.12</v>
      </c>
      <c r="H1072" s="93">
        <v>6076.1</v>
      </c>
      <c r="I1072" s="93">
        <v>5006.39</v>
      </c>
      <c r="J1072" s="93">
        <v>-1766.55</v>
      </c>
      <c r="K1072" s="32"/>
      <c r="L1072" s="32"/>
      <c r="M1072" s="32"/>
      <c r="N1072" s="32"/>
      <c r="O1072" s="93">
        <v>381651.0</v>
      </c>
      <c r="P1072" s="91">
        <f>IFERROR(__xludf.DUMMYFUNCTION("IFERROR(sum(FILTER($D:$N,$C:$C = $C1072,$A:$A &lt; $A1072,$B:$B = 12)),0) + sum($D1072:$N1072)"),381651.48000000004)</f>
        <v>381651.48</v>
      </c>
      <c r="Q1072" s="92">
        <f t="shared" si="1"/>
        <v>-0.48</v>
      </c>
      <c r="R1072" s="91">
        <f t="array" ref="R1072">IFERROR(INDEX('Fund YTD Target Values'!$1:$1000, MATCH($C1072,'Fund YTD Target Values'!$A:$A,0), MATCH($A1072,'Fund YTD Target Values'!$1:$1,0)),0)</f>
        <v>456546.9656</v>
      </c>
      <c r="S1072" s="91">
        <f>IFERROR(__xludf.DUMMYFUNCTION("IFERROR(sum(FILTER('Fund Investment Data'!$V:$V, 'Fund Investment Data'!$C:$C = $C1072, 'Fund Investment Data'!$A:$A &lt; $A1072)),0) + IFERROR(sum(FILTER('Fund Investment Data'!$V:$V, 'Fund Investment Data'!$C:$C = $C1072, 'Fund Investment Data'!$A:$A = $A1"&amp;"072, 'Fund Investment Data'!$B:$B &lt;= $B1072)),0)"),366400.0)</f>
        <v>366400</v>
      </c>
      <c r="T1072" s="93">
        <v>366400.0</v>
      </c>
      <c r="U1072" s="32">
        <f t="shared" si="8"/>
        <v>0</v>
      </c>
      <c r="V1072" s="32">
        <f>IFERROR(__xludf.DUMMYFUNCTION("$D1072 - IFERROR(FILTER($D:$D,$C:$C = $C1072, $A:$A = $A1072, $B:$B = $B1072 - 1),0)"),0.0)</f>
        <v>0</v>
      </c>
      <c r="W1072" s="93">
        <f>IFERROR(__xludf.DUMMYFUNCTION("$E1072 - IFERROR(FILTER($E:$E,$C:$C = $C1072, $A:$A = $A1072, $B:$B = $B1072 - 1),0)"),-5000.0)</f>
        <v>-5000</v>
      </c>
      <c r="X1072" s="93"/>
      <c r="Y1072" s="93"/>
      <c r="Z1072" s="93">
        <v>0.0</v>
      </c>
      <c r="AA1072" s="93">
        <v>0.0</v>
      </c>
      <c r="AB1072" s="93">
        <v>0.0</v>
      </c>
      <c r="AC1072" s="93"/>
      <c r="AD1072" s="93">
        <v>0.0</v>
      </c>
      <c r="AE1072" s="32">
        <f t="shared" si="2"/>
        <v>-19600</v>
      </c>
      <c r="AF1072" s="93">
        <v>0.0</v>
      </c>
    </row>
    <row r="1073">
      <c r="A1073" s="86">
        <v>2018.0</v>
      </c>
      <c r="B1073" s="87">
        <v>8.0</v>
      </c>
      <c r="C1073" s="88" t="s">
        <v>36</v>
      </c>
      <c r="D1073" s="32"/>
      <c r="E1073" s="93">
        <v>-15000.0</v>
      </c>
      <c r="F1073" s="32"/>
      <c r="G1073" s="93">
        <v>-1805.58</v>
      </c>
      <c r="H1073" s="93">
        <v>6976.67</v>
      </c>
      <c r="I1073" s="93">
        <v>3187.92</v>
      </c>
      <c r="J1073" s="93">
        <v>565.88</v>
      </c>
      <c r="K1073" s="32"/>
      <c r="L1073" s="32"/>
      <c r="M1073" s="32"/>
      <c r="N1073" s="32"/>
      <c r="O1073" s="93">
        <v>444680.0</v>
      </c>
      <c r="P1073" s="91">
        <f>IFERROR(__xludf.DUMMYFUNCTION("IFERROR(sum(FILTER($D:$N,$C:$C = $C1073,$A:$A &lt; $A1073,$B:$B = 12)),0) + sum($D1073:$N1073)"),444679.35000000003)</f>
        <v>444679.35</v>
      </c>
      <c r="Q1073" s="92">
        <f t="shared" si="1"/>
        <v>0.65</v>
      </c>
      <c r="R1073" s="91">
        <f t="array" ref="R1073">IFERROR(INDEX('Fund YTD Target Values'!$1:$1000, MATCH($C1073,'Fund YTD Target Values'!$A:$A,0), MATCH($A1073,'Fund YTD Target Values'!$1:$1,0)),0)</f>
        <v>635486.6433</v>
      </c>
      <c r="S1073" s="91">
        <f>IFERROR(__xludf.DUMMYFUNCTION("IFERROR(sum(FILTER('Fund Investment Data'!$V:$V, 'Fund Investment Data'!$C:$C = $C1073, 'Fund Investment Data'!$A:$A &lt; $A1073)),0) + IFERROR(sum(FILTER('Fund Investment Data'!$V:$V, 'Fund Investment Data'!$C:$C = $C1073, 'Fund Investment Data'!$A:$A = $A1"&amp;"073, 'Fund Investment Data'!$B:$B &lt;= $B1073)),0)"),429067.24)</f>
        <v>429067.24</v>
      </c>
      <c r="T1073" s="93">
        <v>413959.0</v>
      </c>
      <c r="U1073" s="32">
        <f t="shared" si="8"/>
        <v>15108.24</v>
      </c>
      <c r="V1073" s="32">
        <f>IFERROR(__xludf.DUMMYFUNCTION("$D1073 - IFERROR(FILTER($D:$D,$C:$C = $C1073, $A:$A = $A1073, $B:$B = $B1073 - 1),0)"),0.0)</f>
        <v>0</v>
      </c>
      <c r="W1073" s="93">
        <f>IFERROR(__xludf.DUMMYFUNCTION("$E1073 - IFERROR(FILTER($E:$E,$C:$C = $C1073, $A:$A = $A1073, $B:$B = $B1073 - 1),0)"),-5000.0)</f>
        <v>-5000</v>
      </c>
      <c r="X1073" s="93"/>
      <c r="Y1073" s="93"/>
      <c r="Z1073" s="93">
        <v>0.0</v>
      </c>
      <c r="AA1073" s="93">
        <v>0.0</v>
      </c>
      <c r="AB1073" s="93">
        <v>0.0</v>
      </c>
      <c r="AC1073" s="93"/>
      <c r="AD1073" s="93">
        <v>0.0</v>
      </c>
      <c r="AE1073" s="32">
        <f t="shared" si="2"/>
        <v>-15000</v>
      </c>
      <c r="AF1073" s="93">
        <v>0.0</v>
      </c>
    </row>
    <row r="1074">
      <c r="A1074" s="86">
        <v>2018.0</v>
      </c>
      <c r="B1074" s="87">
        <v>8.0</v>
      </c>
      <c r="C1074" s="88" t="s">
        <v>37</v>
      </c>
      <c r="D1074" s="32"/>
      <c r="E1074" s="93">
        <v>-28800.0</v>
      </c>
      <c r="F1074" s="32"/>
      <c r="G1074" s="93">
        <v>-3297.59</v>
      </c>
      <c r="H1074" s="93">
        <v>12742.0</v>
      </c>
      <c r="I1074" s="93">
        <v>4850.15</v>
      </c>
      <c r="J1074" s="93">
        <v>1988.55</v>
      </c>
      <c r="K1074" s="32"/>
      <c r="L1074" s="32"/>
      <c r="M1074" s="32"/>
      <c r="N1074" s="32"/>
      <c r="O1074" s="93">
        <v>810812.0</v>
      </c>
      <c r="P1074" s="91">
        <f>IFERROR(__xludf.DUMMYFUNCTION("IFERROR(sum(FILTER($D:$N,$C:$C = $C1074,$A:$A &lt; $A1074,$B:$B = 12)),0) + sum($D1074:$N1074)"),810812.3499999999)</f>
        <v>810812.35</v>
      </c>
      <c r="Q1074" s="92">
        <f t="shared" si="1"/>
        <v>-0.3499999999</v>
      </c>
      <c r="R1074" s="91">
        <f t="array" ref="R1074">IFERROR(INDEX('Fund YTD Target Values'!$1:$1000, MATCH($C1074,'Fund YTD Target Values'!$A:$A,0), MATCH($A1074,'Fund YTD Target Values'!$1:$1,0)),0)</f>
        <v>845621.3635</v>
      </c>
      <c r="S1074" s="91">
        <f>IFERROR(__xludf.DUMMYFUNCTION("IFERROR(sum(FILTER('Fund Investment Data'!$V:$V, 'Fund Investment Data'!$C:$C = $C1074, 'Fund Investment Data'!$A:$A &lt; $A1074)),0) + IFERROR(sum(FILTER('Fund Investment Data'!$V:$V, 'Fund Investment Data'!$C:$C = $C1074, 'Fund Investment Data'!$A:$A = $A1"&amp;"074, 'Fund Investment Data'!$B:$B &lt;= $B1074)),0)"),758137.86)</f>
        <v>758137.86</v>
      </c>
      <c r="T1074" s="93">
        <v>742866.0</v>
      </c>
      <c r="U1074" s="32">
        <f t="shared" si="8"/>
        <v>15271.86</v>
      </c>
      <c r="V1074" s="32">
        <f>IFERROR(__xludf.DUMMYFUNCTION("$D1074 - IFERROR(FILTER($D:$D,$C:$C = $C1074, $A:$A = $A1074, $B:$B = $B1074 - 1),0)"),0.0)</f>
        <v>0</v>
      </c>
      <c r="W1074" s="93">
        <f>IFERROR(__xludf.DUMMYFUNCTION("$E1074 - IFERROR(FILTER($E:$E,$C:$C = $C1074, $A:$A = $A1074, $B:$B = $B1074 - 1),0)"),-10000.0)</f>
        <v>-10000</v>
      </c>
      <c r="X1074" s="93"/>
      <c r="Y1074" s="93"/>
      <c r="Z1074" s="93">
        <v>0.0</v>
      </c>
      <c r="AA1074" s="93">
        <v>0.0</v>
      </c>
      <c r="AB1074" s="93">
        <v>0.0</v>
      </c>
      <c r="AC1074" s="93"/>
      <c r="AD1074" s="93">
        <v>0.0</v>
      </c>
      <c r="AE1074" s="32">
        <f t="shared" si="2"/>
        <v>-28800</v>
      </c>
      <c r="AF1074" s="93">
        <v>0.0</v>
      </c>
    </row>
    <row r="1075">
      <c r="A1075" s="86">
        <v>2018.0</v>
      </c>
      <c r="B1075" s="87">
        <v>8.0</v>
      </c>
      <c r="C1075" s="88" t="s">
        <v>29</v>
      </c>
      <c r="D1075" s="32"/>
      <c r="E1075" s="32"/>
      <c r="F1075" s="32"/>
      <c r="G1075" s="93">
        <v>-234.45</v>
      </c>
      <c r="H1075" s="93">
        <v>903.6</v>
      </c>
      <c r="I1075" s="32"/>
      <c r="J1075" s="93">
        <v>497.92</v>
      </c>
      <c r="K1075" s="32"/>
      <c r="L1075" s="32"/>
      <c r="M1075" s="32"/>
      <c r="N1075" s="32"/>
      <c r="O1075" s="93">
        <v>59328.0</v>
      </c>
      <c r="P1075" s="91">
        <f>IFERROR(__xludf.DUMMYFUNCTION("IFERROR(sum(FILTER($D:$N,$C:$C = $C1075,$A:$A &lt; $A1075,$B:$B = 12)),0) + sum($D1075:$N1075)"),59328.379999999925)</f>
        <v>59328.38</v>
      </c>
      <c r="Q1075" s="92">
        <f t="shared" si="1"/>
        <v>-0.3799999999</v>
      </c>
      <c r="R1075" s="91">
        <f t="array" ref="R1075">IFERROR(INDEX('Fund YTD Target Values'!$1:$1000, MATCH($C1075,'Fund YTD Target Values'!$A:$A,0), MATCH($A1075,'Fund YTD Target Values'!$1:$1,0)),0)</f>
        <v>77055.94062</v>
      </c>
      <c r="S1075" s="91">
        <f>IFERROR(__xludf.DUMMYFUNCTION("IFERROR(sum(FILTER('Fund Investment Data'!$V:$V, 'Fund Investment Data'!$C:$C = $C1075, 'Fund Investment Data'!$A:$A &lt; $A1075)),0) + IFERROR(sum(FILTER('Fund Investment Data'!$V:$V, 'Fund Investment Data'!$C:$C = $C1075, 'Fund Investment Data'!$A:$A = $A1"&amp;"075, 'Fund Investment Data'!$B:$B &lt;= $B1075)),0)"),50000.0)</f>
        <v>50000</v>
      </c>
      <c r="T1075" s="93">
        <v>50000.0</v>
      </c>
      <c r="U1075" s="32">
        <f t="shared" si="8"/>
        <v>0</v>
      </c>
      <c r="V1075" s="32">
        <f>IFERROR(__xludf.DUMMYFUNCTION("$D1075 - IFERROR(FILTER($D:$D,$C:$C = $C1075, $A:$A = $A1075, $B:$B = $B1075 - 1),0)"),0.0)</f>
        <v>0</v>
      </c>
      <c r="W1075" s="93">
        <f>IFERROR(__xludf.DUMMYFUNCTION("$E1075 - IFERROR(FILTER($E:$E,$C:$C = $C1075, $A:$A = $A1075, $B:$B = $B1075 - 1),0)"),0.0)</f>
        <v>0</v>
      </c>
      <c r="X1075" s="93"/>
      <c r="Y1075" s="93"/>
      <c r="Z1075" s="93">
        <v>0.0</v>
      </c>
      <c r="AA1075" s="93">
        <v>0.0</v>
      </c>
      <c r="AB1075" s="93">
        <v>0.0</v>
      </c>
      <c r="AC1075" s="93"/>
      <c r="AD1075" s="93">
        <v>0.0</v>
      </c>
      <c r="AE1075" s="32">
        <f t="shared" si="2"/>
        <v>0</v>
      </c>
      <c r="AF1075" s="93">
        <v>0.0</v>
      </c>
    </row>
    <row r="1076">
      <c r="A1076" s="86">
        <v>2018.0</v>
      </c>
      <c r="B1076" s="87">
        <v>8.0</v>
      </c>
      <c r="C1076" s="88" t="s">
        <v>38</v>
      </c>
      <c r="D1076" s="32"/>
      <c r="E1076" s="93">
        <v>-20000.0</v>
      </c>
      <c r="F1076" s="32"/>
      <c r="G1076" s="93">
        <v>-3251.44</v>
      </c>
      <c r="H1076" s="93">
        <v>12519.06</v>
      </c>
      <c r="I1076" s="32"/>
      <c r="J1076" s="93">
        <v>6877.08</v>
      </c>
      <c r="K1076" s="32"/>
      <c r="L1076" s="32"/>
      <c r="M1076" s="32"/>
      <c r="N1076" s="32"/>
      <c r="O1076" s="93">
        <v>811554.0</v>
      </c>
      <c r="P1076" s="91">
        <f>IFERROR(__xludf.DUMMYFUNCTION("IFERROR(sum(FILTER($D:$N,$C:$C = $C1076,$A:$A &lt; $A1076,$B:$B = 12)),0) + sum($D1076:$N1076)"),811552.8399999999)</f>
        <v>811552.84</v>
      </c>
      <c r="Q1076" s="92">
        <f t="shared" si="1"/>
        <v>1.16</v>
      </c>
      <c r="R1076" s="91">
        <f t="array" ref="R1076">IFERROR(INDEX('Fund YTD Target Values'!$1:$1000, MATCH($C1076,'Fund YTD Target Values'!$A:$A,0), MATCH($A1076,'Fund YTD Target Values'!$1:$1,0)),0)</f>
        <v>702514.9803</v>
      </c>
      <c r="S1076" s="91">
        <f>IFERROR(__xludf.DUMMYFUNCTION("IFERROR(sum(FILTER('Fund Investment Data'!$V:$V, 'Fund Investment Data'!$C:$C = $C1076, 'Fund Investment Data'!$A:$A &lt; $A1076)),0) + IFERROR(sum(FILTER('Fund Investment Data'!$V:$V, 'Fund Investment Data'!$C:$C = $C1076, 'Fund Investment Data'!$A:$A = $A1"&amp;"076, 'Fund Investment Data'!$B:$B &lt;= $B1076)),0)"),556601.64)</f>
        <v>556601.64</v>
      </c>
      <c r="T1076" s="93">
        <v>558656.0</v>
      </c>
      <c r="U1076" s="32">
        <f t="shared" si="8"/>
        <v>-2054.36</v>
      </c>
      <c r="V1076" s="32">
        <f>IFERROR(__xludf.DUMMYFUNCTION("$D1076 - IFERROR(FILTER($D:$D,$C:$C = $C1076, $A:$A = $A1076, $B:$B = $B1076 - 1),0)"),0.0)</f>
        <v>0</v>
      </c>
      <c r="W1076" s="93">
        <f>IFERROR(__xludf.DUMMYFUNCTION("$E1076 - IFERROR(FILTER($E:$E,$C:$C = $C1076, $A:$A = $A1076, $B:$B = $B1076 - 1),0)"),0.0)</f>
        <v>0</v>
      </c>
      <c r="X1076" s="93"/>
      <c r="Y1076" s="93"/>
      <c r="Z1076" s="93">
        <v>0.0</v>
      </c>
      <c r="AA1076" s="93">
        <v>0.0</v>
      </c>
      <c r="AB1076" s="93">
        <v>0.0</v>
      </c>
      <c r="AC1076" s="93"/>
      <c r="AD1076" s="93">
        <v>0.0</v>
      </c>
      <c r="AE1076" s="32">
        <f t="shared" si="2"/>
        <v>-20000</v>
      </c>
      <c r="AF1076" s="93">
        <v>0.0</v>
      </c>
    </row>
    <row r="1077">
      <c r="A1077" s="86">
        <v>2018.0</v>
      </c>
      <c r="B1077" s="87">
        <v>8.0</v>
      </c>
      <c r="C1077" s="88" t="s">
        <v>30</v>
      </c>
      <c r="D1077" s="32"/>
      <c r="E1077" s="32"/>
      <c r="F1077" s="32"/>
      <c r="G1077" s="93">
        <v>-69.99</v>
      </c>
      <c r="H1077" s="93">
        <v>265.43</v>
      </c>
      <c r="I1077" s="32"/>
      <c r="J1077" s="93">
        <v>148.21</v>
      </c>
      <c r="K1077" s="32"/>
      <c r="L1077" s="32"/>
      <c r="M1077" s="32"/>
      <c r="N1077" s="32"/>
      <c r="O1077" s="93">
        <v>17713.0</v>
      </c>
      <c r="P1077" s="91">
        <f>IFERROR(__xludf.DUMMYFUNCTION("IFERROR(sum(FILTER($D:$N,$C:$C = $C1077,$A:$A &lt; $A1077,$B:$B = 12)),0) + sum($D1077:$N1077)"),17711.059999999987)</f>
        <v>17711.06</v>
      </c>
      <c r="Q1077" s="92">
        <f t="shared" si="1"/>
        <v>1.94</v>
      </c>
      <c r="R1077" s="91">
        <f t="array" ref="R1077">IFERROR(INDEX('Fund YTD Target Values'!$1:$1000, MATCH($C1077,'Fund YTD Target Values'!$A:$A,0), MATCH($A1077,'Fund YTD Target Values'!$1:$1,0)),0)</f>
        <v>18484.57102</v>
      </c>
      <c r="S1077" s="91">
        <f>IFERROR(__xludf.DUMMYFUNCTION("IFERROR(sum(FILTER('Fund Investment Data'!$V:$V, 'Fund Investment Data'!$C:$C = $C1077, 'Fund Investment Data'!$A:$A &lt; $A1077)),0) + IFERROR(sum(FILTER('Fund Investment Data'!$V:$V, 'Fund Investment Data'!$C:$C = $C1077, 'Fund Investment Data'!$A:$A = $A1"&amp;"077, 'Fund Investment Data'!$B:$B &lt;= $B1077)),0)"),11540.75)</f>
        <v>11540.75</v>
      </c>
      <c r="T1077" s="93">
        <v>10000.0</v>
      </c>
      <c r="U1077" s="32">
        <f t="shared" si="8"/>
        <v>1540.75</v>
      </c>
      <c r="V1077" s="32">
        <f>IFERROR(__xludf.DUMMYFUNCTION("$D1077 - IFERROR(FILTER($D:$D,$C:$C = $C1077, $A:$A = $A1077, $B:$B = $B1077 - 1),0)"),0.0)</f>
        <v>0</v>
      </c>
      <c r="W1077" s="93">
        <f>IFERROR(__xludf.DUMMYFUNCTION("$E1077 - IFERROR(FILTER($E:$E,$C:$C = $C1077, $A:$A = $A1077, $B:$B = $B1077 - 1),0)"),0.0)</f>
        <v>0</v>
      </c>
      <c r="X1077" s="93"/>
      <c r="Y1077" s="93"/>
      <c r="Z1077" s="93">
        <v>0.0</v>
      </c>
      <c r="AA1077" s="93">
        <v>0.0</v>
      </c>
      <c r="AB1077" s="93">
        <v>0.0</v>
      </c>
      <c r="AC1077" s="93"/>
      <c r="AD1077" s="93">
        <v>0.0</v>
      </c>
      <c r="AE1077" s="32">
        <f t="shared" si="2"/>
        <v>0</v>
      </c>
      <c r="AF1077" s="93">
        <v>0.0</v>
      </c>
    </row>
    <row r="1078">
      <c r="A1078" s="86">
        <v>2018.0</v>
      </c>
      <c r="B1078" s="87">
        <v>8.0</v>
      </c>
      <c r="C1078" s="88" t="s">
        <v>47</v>
      </c>
      <c r="D1078" s="32"/>
      <c r="E1078" s="93">
        <v>-57400.0</v>
      </c>
      <c r="F1078" s="32"/>
      <c r="G1078" s="93">
        <v>-6071.46</v>
      </c>
      <c r="H1078" s="93">
        <v>23455.22</v>
      </c>
      <c r="I1078" s="93">
        <v>12984.3</v>
      </c>
      <c r="J1078" s="93">
        <v>-586.28</v>
      </c>
      <c r="K1078" s="32"/>
      <c r="L1078" s="32"/>
      <c r="M1078" s="32"/>
      <c r="N1078" s="32"/>
      <c r="O1078" s="93">
        <v>1486632.0</v>
      </c>
      <c r="P1078" s="91">
        <f>IFERROR(__xludf.DUMMYFUNCTION("IFERROR(sum(FILTER($D:$N,$C:$C = $C1078,$A:$A &lt; $A1078,$B:$B = 12)),0) + sum($D1078:$N1078)"),1486631.4199999997)</f>
        <v>1486631.42</v>
      </c>
      <c r="Q1078" s="92">
        <f t="shared" si="1"/>
        <v>0.5800000003</v>
      </c>
      <c r="R1078" s="91">
        <f t="array" ref="R1078">IFERROR(INDEX('Fund YTD Target Values'!$1:$1000, MATCH($C1078,'Fund YTD Target Values'!$A:$A,0), MATCH($A1078,'Fund YTD Target Values'!$1:$1,0)),0)</f>
        <v>1998729.212</v>
      </c>
      <c r="S1078" s="91">
        <f>IFERROR(__xludf.DUMMYFUNCTION("IFERROR(sum(FILTER('Fund Investment Data'!$V:$V, 'Fund Investment Data'!$C:$C = $C1078, 'Fund Investment Data'!$A:$A &lt; $A1078)),0) + IFERROR(sum(FILTER('Fund Investment Data'!$V:$V, 'Fund Investment Data'!$C:$C = $C1078, 'Fund Investment Data'!$A:$A = $A1"&amp;"078, 'Fund Investment Data'!$B:$B &lt;= $B1078)),0)"),1456367.46)</f>
        <v>1456367.46</v>
      </c>
      <c r="T1078" s="93">
        <v>1348955.0</v>
      </c>
      <c r="U1078" s="32">
        <f t="shared" si="8"/>
        <v>107412.46</v>
      </c>
      <c r="V1078" s="32">
        <f>IFERROR(__xludf.DUMMYFUNCTION("$D1078 - IFERROR(FILTER($D:$D,$C:$C = $C1078, $A:$A = $A1078, $B:$B = $B1078 - 1),0)"),0.0)</f>
        <v>0</v>
      </c>
      <c r="W1078" s="93">
        <f>IFERROR(__xludf.DUMMYFUNCTION("$E1078 - IFERROR(FILTER($E:$E,$C:$C = $C1078, $A:$A = $A1078, $B:$B = $B1078 - 1),0)"),-30000.0)</f>
        <v>-30000</v>
      </c>
      <c r="X1078" s="93"/>
      <c r="Y1078" s="93"/>
      <c r="Z1078" s="93">
        <v>0.0</v>
      </c>
      <c r="AA1078" s="93">
        <v>0.0</v>
      </c>
      <c r="AB1078" s="93">
        <v>0.0</v>
      </c>
      <c r="AC1078" s="93"/>
      <c r="AD1078" s="93">
        <v>0.0</v>
      </c>
      <c r="AE1078" s="32">
        <f t="shared" si="2"/>
        <v>-57400</v>
      </c>
      <c r="AF1078" s="93">
        <v>0.0</v>
      </c>
    </row>
    <row r="1079">
      <c r="A1079" s="86">
        <v>2018.0</v>
      </c>
      <c r="B1079" s="87">
        <v>8.0</v>
      </c>
      <c r="C1079" s="88" t="s">
        <v>31</v>
      </c>
      <c r="D1079" s="32"/>
      <c r="E1079" s="93">
        <v>-9800.0</v>
      </c>
      <c r="F1079" s="32"/>
      <c r="G1079" s="93">
        <v>-761.15</v>
      </c>
      <c r="H1079" s="93">
        <v>2937.0</v>
      </c>
      <c r="I1079" s="93">
        <v>2485.83</v>
      </c>
      <c r="J1079" s="93">
        <v>-999.88</v>
      </c>
      <c r="K1079" s="32"/>
      <c r="L1079" s="32"/>
      <c r="M1079" s="32"/>
      <c r="N1079" s="32"/>
      <c r="O1079" s="93">
        <v>183121.0</v>
      </c>
      <c r="P1079" s="91">
        <f>IFERROR(__xludf.DUMMYFUNCTION("IFERROR(sum(FILTER($D:$N,$C:$C = $C1079,$A:$A &lt; $A1079,$B:$B = 12)),0) + sum($D1079:$N1079)"),183121.15000000002)</f>
        <v>183121.15</v>
      </c>
      <c r="Q1079" s="92">
        <f t="shared" si="1"/>
        <v>-0.15</v>
      </c>
      <c r="R1079" s="91">
        <f t="array" ref="R1079">IFERROR(INDEX('Fund YTD Target Values'!$1:$1000, MATCH($C1079,'Fund YTD Target Values'!$A:$A,0), MATCH($A1079,'Fund YTD Target Values'!$1:$1,0)),0)</f>
        <v>210555.1651</v>
      </c>
      <c r="S1079" s="91">
        <f>IFERROR(__xludf.DUMMYFUNCTION("IFERROR(sum(FILTER('Fund Investment Data'!$V:$V, 'Fund Investment Data'!$C:$C = $C1079, 'Fund Investment Data'!$A:$A &lt; $A1079)),0) + IFERROR(sum(FILTER('Fund Investment Data'!$V:$V, 'Fund Investment Data'!$C:$C = $C1079, 'Fund Investment Data'!$A:$A = $A1"&amp;"079, 'Fund Investment Data'!$B:$B &lt;= $B1079)),0)"),158100.0)</f>
        <v>158100</v>
      </c>
      <c r="T1079" s="93">
        <v>156850.0</v>
      </c>
      <c r="U1079" s="32">
        <f t="shared" si="8"/>
        <v>1250</v>
      </c>
      <c r="V1079" s="32">
        <f>IFERROR(__xludf.DUMMYFUNCTION("$D1079 - IFERROR(FILTER($D:$D,$C:$C = $C1079, $A:$A = $A1079, $B:$B = $B1079 - 1),0)"),0.0)</f>
        <v>0</v>
      </c>
      <c r="W1079" s="93">
        <f>IFERROR(__xludf.DUMMYFUNCTION("$E1079 - IFERROR(FILTER($E:$E,$C:$C = $C1079, $A:$A = $A1079, $B:$B = $B1079 - 1),0)"),-8000.0)</f>
        <v>-8000</v>
      </c>
      <c r="X1079" s="93"/>
      <c r="Y1079" s="93"/>
      <c r="Z1079" s="93">
        <v>0.0</v>
      </c>
      <c r="AA1079" s="93">
        <v>0.0</v>
      </c>
      <c r="AB1079" s="93">
        <v>0.0</v>
      </c>
      <c r="AC1079" s="93"/>
      <c r="AD1079" s="93">
        <v>0.0</v>
      </c>
      <c r="AE1079" s="32">
        <f t="shared" si="2"/>
        <v>-9800</v>
      </c>
      <c r="AF1079" s="93">
        <v>0.0</v>
      </c>
    </row>
    <row r="1080">
      <c r="A1080" s="86">
        <v>2018.0</v>
      </c>
      <c r="B1080" s="87">
        <v>8.0</v>
      </c>
      <c r="C1080" s="88" t="s">
        <v>39</v>
      </c>
      <c r="D1080" s="93">
        <v>15000.0</v>
      </c>
      <c r="E1080" s="93">
        <v>-7200.0</v>
      </c>
      <c r="F1080" s="32"/>
      <c r="G1080" s="93">
        <v>-716.91</v>
      </c>
      <c r="H1080" s="93">
        <v>2646.94</v>
      </c>
      <c r="I1080" s="93">
        <v>697.18</v>
      </c>
      <c r="J1080" s="93">
        <v>-68.93</v>
      </c>
      <c r="K1080" s="32"/>
      <c r="L1080" s="32"/>
      <c r="M1080" s="32"/>
      <c r="N1080" s="32"/>
      <c r="O1080" s="93">
        <v>190082.0</v>
      </c>
      <c r="P1080" s="91">
        <f>IFERROR(__xludf.DUMMYFUNCTION("IFERROR(sum(FILTER($D:$N,$C:$C = $C1080,$A:$A &lt; $A1080,$B:$B = 12)),0) + sum($D1080:$N1080)"),190081.54000000004)</f>
        <v>190081.54</v>
      </c>
      <c r="Q1080" s="92">
        <f t="shared" si="1"/>
        <v>0.46</v>
      </c>
      <c r="R1080" s="91">
        <f t="array" ref="R1080">IFERROR(INDEX('Fund YTD Target Values'!$1:$1000, MATCH($C1080,'Fund YTD Target Values'!$A:$A,0), MATCH($A1080,'Fund YTD Target Values'!$1:$1,0)),0)</f>
        <v>184883.5181</v>
      </c>
      <c r="S1080" s="91">
        <f>IFERROR(__xludf.DUMMYFUNCTION("IFERROR(sum(FILTER('Fund Investment Data'!$V:$V, 'Fund Investment Data'!$C:$C = $C1080, 'Fund Investment Data'!$A:$A &lt; $A1080)),0) + IFERROR(sum(FILTER('Fund Investment Data'!$V:$V, 'Fund Investment Data'!$C:$C = $C1080, 'Fund Investment Data'!$A:$A = $A1"&amp;"080, 'Fund Investment Data'!$B:$B &lt;= $B1080)),0)"),170000.0)</f>
        <v>170000</v>
      </c>
      <c r="T1080" s="32"/>
      <c r="U1080" s="32"/>
      <c r="V1080" s="32">
        <f>IFERROR(__xludf.DUMMYFUNCTION("$D1080 - IFERROR(FILTER($D:$D,$C:$C = $C1080, $A:$A = $A1080, $B:$B = $B1080 - 1),0)"),0.0)</f>
        <v>0</v>
      </c>
      <c r="W1080" s="93">
        <f>IFERROR(__xludf.DUMMYFUNCTION("$E1080 - IFERROR(FILTER($E:$E,$C:$C = $C1080, $A:$A = $A1080, $B:$B = $B1080 - 1),0)"),-3000.0)</f>
        <v>-3000</v>
      </c>
      <c r="X1080" s="93"/>
      <c r="Y1080" s="93"/>
      <c r="Z1080" s="93">
        <v>0.0</v>
      </c>
      <c r="AA1080" s="93">
        <v>0.0</v>
      </c>
      <c r="AB1080" s="93">
        <v>0.0</v>
      </c>
      <c r="AC1080" s="93"/>
      <c r="AD1080" s="93">
        <v>0.0</v>
      </c>
      <c r="AE1080" s="32">
        <f t="shared" si="2"/>
        <v>-7200</v>
      </c>
      <c r="AF1080" s="93">
        <v>0.0</v>
      </c>
    </row>
    <row r="1081">
      <c r="A1081" s="86">
        <v>2018.0</v>
      </c>
      <c r="B1081" s="87">
        <v>8.0</v>
      </c>
      <c r="C1081" s="88" t="s">
        <v>50</v>
      </c>
      <c r="D1081" s="32"/>
      <c r="E1081" s="93">
        <v>-7000.0</v>
      </c>
      <c r="F1081" s="32"/>
      <c r="G1081" s="93">
        <v>-865.08</v>
      </c>
      <c r="H1081" s="93">
        <v>3275.16</v>
      </c>
      <c r="I1081" s="93">
        <v>481.08</v>
      </c>
      <c r="J1081" s="93">
        <v>1279.97</v>
      </c>
      <c r="K1081" s="32"/>
      <c r="L1081" s="32"/>
      <c r="M1081" s="32"/>
      <c r="N1081" s="32"/>
      <c r="O1081" s="93">
        <v>212636.0</v>
      </c>
      <c r="P1081" s="91">
        <f>IFERROR(__xludf.DUMMYFUNCTION("IFERROR(sum(FILTER($D:$N,$C:$C = $C1081,$A:$A &lt; $A1081,$B:$B = 12)),0) + sum($D1081:$N1081)"),212635.24)</f>
        <v>212635.24</v>
      </c>
      <c r="Q1081" s="92">
        <f t="shared" si="1"/>
        <v>0.76</v>
      </c>
      <c r="R1081" s="91">
        <f t="array" ref="R1081">IFERROR(INDEX('Fund YTD Target Values'!$1:$1000, MATCH($C1081,'Fund YTD Target Values'!$A:$A,0), MATCH($A1081,'Fund YTD Target Values'!$1:$1,0)),0)</f>
        <v>217663.6749</v>
      </c>
      <c r="S1081" s="91">
        <f>IFERROR(__xludf.DUMMYFUNCTION("IFERROR(sum(FILTER('Fund Investment Data'!$V:$V, 'Fund Investment Data'!$C:$C = $C1081, 'Fund Investment Data'!$A:$A &lt; $A1081)),0) + IFERROR(sum(FILTER('Fund Investment Data'!$V:$V, 'Fund Investment Data'!$C:$C = $C1081, 'Fund Investment Data'!$A:$A = $A1"&amp;"081, 'Fund Investment Data'!$B:$B &lt;= $B1081)),0)"),185189.56)</f>
        <v>185189.56</v>
      </c>
      <c r="T1081" s="93">
        <v>190241.0</v>
      </c>
      <c r="U1081" s="32">
        <f t="shared" ref="U1081:U1083" si="9">S1081-T1081</f>
        <v>-5051.44</v>
      </c>
      <c r="V1081" s="32">
        <f>IFERROR(__xludf.DUMMYFUNCTION("$D1081 - IFERROR(FILTER($D:$D,$C:$C = $C1081, $A:$A = $A1081, $B:$B = $B1081 - 1),0)"),0.0)</f>
        <v>0</v>
      </c>
      <c r="W1081" s="93">
        <f>IFERROR(__xludf.DUMMYFUNCTION("$E1081 - IFERROR(FILTER($E:$E,$C:$C = $C1081, $A:$A = $A1081, $B:$B = $B1081 - 1),0)"),-5000.0)</f>
        <v>-5000</v>
      </c>
      <c r="X1081" s="93"/>
      <c r="Y1081" s="93"/>
      <c r="Z1081" s="93">
        <v>0.0</v>
      </c>
      <c r="AA1081" s="93">
        <v>0.0</v>
      </c>
      <c r="AB1081" s="93">
        <v>0.0</v>
      </c>
      <c r="AC1081" s="93"/>
      <c r="AD1081" s="93">
        <v>0.0</v>
      </c>
      <c r="AE1081" s="32">
        <f t="shared" si="2"/>
        <v>-7000</v>
      </c>
      <c r="AF1081" s="93">
        <v>0.0</v>
      </c>
    </row>
    <row r="1082">
      <c r="A1082" s="86">
        <v>2018.0</v>
      </c>
      <c r="B1082" s="87">
        <v>8.0</v>
      </c>
      <c r="C1082" s="88" t="s">
        <v>32</v>
      </c>
      <c r="D1082" s="32"/>
      <c r="E1082" s="93">
        <v>-2000.0</v>
      </c>
      <c r="F1082" s="32"/>
      <c r="G1082" s="93">
        <v>-215.33</v>
      </c>
      <c r="H1082" s="93">
        <v>819.71</v>
      </c>
      <c r="I1082" s="32"/>
      <c r="J1082" s="93">
        <v>435.5</v>
      </c>
      <c r="K1082" s="32"/>
      <c r="L1082" s="32"/>
      <c r="M1082" s="32"/>
      <c r="N1082" s="32"/>
      <c r="O1082" s="93">
        <v>52471.0</v>
      </c>
      <c r="P1082" s="91">
        <f>IFERROR(__xludf.DUMMYFUNCTION("IFERROR(sum(FILTER($D:$N,$C:$C = $C1082,$A:$A &lt; $A1082,$B:$B = 12)),0) + sum($D1082:$N1082)"),52470.700000000026)</f>
        <v>52470.7</v>
      </c>
      <c r="Q1082" s="92">
        <f t="shared" si="1"/>
        <v>0.3</v>
      </c>
      <c r="R1082" s="91">
        <f t="array" ref="R1082">IFERROR(INDEX('Fund YTD Target Values'!$1:$1000, MATCH($C1082,'Fund YTD Target Values'!$A:$A,0), MATCH($A1082,'Fund YTD Target Values'!$1:$1,0)),0)</f>
        <v>79179.11465</v>
      </c>
      <c r="S1082" s="91">
        <f>IFERROR(__xludf.DUMMYFUNCTION("IFERROR(sum(FILTER('Fund Investment Data'!$V:$V, 'Fund Investment Data'!$C:$C = $C1082, 'Fund Investment Data'!$A:$A &lt; $A1082)),0) + IFERROR(sum(FILTER('Fund Investment Data'!$V:$V, 'Fund Investment Data'!$C:$C = $C1082, 'Fund Investment Data'!$A:$A = $A1"&amp;"082, 'Fund Investment Data'!$B:$B &lt;= $B1082)),0)"),49449.04)</f>
        <v>49449.04</v>
      </c>
      <c r="T1082" s="93">
        <v>39268.0</v>
      </c>
      <c r="U1082" s="32">
        <f t="shared" si="9"/>
        <v>10181.04</v>
      </c>
      <c r="V1082" s="32">
        <f>IFERROR(__xludf.DUMMYFUNCTION("$D1082 - IFERROR(FILTER($D:$D,$C:$C = $C1082, $A:$A = $A1082, $B:$B = $B1082 - 1),0)"),0.0)</f>
        <v>0</v>
      </c>
      <c r="W1082" s="93">
        <f>IFERROR(__xludf.DUMMYFUNCTION("$E1082 - IFERROR(FILTER($E:$E,$C:$C = $C1082, $A:$A = $A1082, $B:$B = $B1082 - 1),0)"),-2000.0)</f>
        <v>-2000</v>
      </c>
      <c r="X1082" s="93"/>
      <c r="Y1082" s="93"/>
      <c r="Z1082" s="93">
        <v>0.0</v>
      </c>
      <c r="AA1082" s="93">
        <v>0.0</v>
      </c>
      <c r="AB1082" s="93">
        <v>0.0</v>
      </c>
      <c r="AC1082" s="93"/>
      <c r="AD1082" s="93">
        <v>0.0</v>
      </c>
      <c r="AE1082" s="32">
        <f t="shared" si="2"/>
        <v>-2000</v>
      </c>
      <c r="AF1082" s="93">
        <v>0.0</v>
      </c>
    </row>
    <row r="1083">
      <c r="A1083" s="86">
        <v>2018.0</v>
      </c>
      <c r="B1083" s="87">
        <v>8.0</v>
      </c>
      <c r="C1083" s="88" t="s">
        <v>40</v>
      </c>
      <c r="D1083" s="32"/>
      <c r="E1083" s="93">
        <v>-4200.0</v>
      </c>
      <c r="F1083" s="32"/>
      <c r="G1083" s="93">
        <v>-619.89</v>
      </c>
      <c r="H1083" s="93">
        <v>2394.31</v>
      </c>
      <c r="I1083" s="93">
        <v>745.49</v>
      </c>
      <c r="J1083" s="93">
        <v>568.78</v>
      </c>
      <c r="K1083" s="32"/>
      <c r="L1083" s="32"/>
      <c r="M1083" s="32"/>
      <c r="N1083" s="32"/>
      <c r="O1083" s="93">
        <v>153701.0</v>
      </c>
      <c r="P1083" s="91">
        <f>IFERROR(__xludf.DUMMYFUNCTION("IFERROR(sum(FILTER($D:$N,$C:$C = $C1083,$A:$A &lt; $A1083,$B:$B = 12)),0) + sum($D1083:$N1083)"),153701.39999999994)</f>
        <v>153701.4</v>
      </c>
      <c r="Q1083" s="92">
        <f t="shared" si="1"/>
        <v>-0.3999999999</v>
      </c>
      <c r="R1083" s="91">
        <f t="array" ref="R1083">IFERROR(INDEX('Fund YTD Target Values'!$1:$1000, MATCH($C1083,'Fund YTD Target Values'!$A:$A,0), MATCH($A1083,'Fund YTD Target Values'!$1:$1,0)),0)</f>
        <v>161362.9699</v>
      </c>
      <c r="S1083" s="91">
        <f>IFERROR(__xludf.DUMMYFUNCTION("IFERROR(sum(FILTER('Fund Investment Data'!$V:$V, 'Fund Investment Data'!$C:$C = $C1083, 'Fund Investment Data'!$A:$A &lt; $A1083)),0) + IFERROR(sum(FILTER('Fund Investment Data'!$V:$V, 'Fund Investment Data'!$C:$C = $C1083, 'Fund Investment Data'!$A:$A = $A1"&amp;"083, 'Fund Investment Data'!$B:$B &lt;= $B1083)),0)"),129703.74)</f>
        <v>129703.74</v>
      </c>
      <c r="T1083" s="93">
        <v>129723.0</v>
      </c>
      <c r="U1083" s="32">
        <f t="shared" si="9"/>
        <v>-19.26</v>
      </c>
      <c r="V1083" s="32">
        <f>IFERROR(__xludf.DUMMYFUNCTION("$D1083 - IFERROR(FILTER($D:$D,$C:$C = $C1083, $A:$A = $A1083, $B:$B = $B1083 - 1),0)"),0.0)</f>
        <v>0</v>
      </c>
      <c r="W1083" s="93">
        <f>IFERROR(__xludf.DUMMYFUNCTION("$E1083 - IFERROR(FILTER($E:$E,$C:$C = $C1083, $A:$A = $A1083, $B:$B = $B1083 - 1),0)"),0.0)</f>
        <v>0</v>
      </c>
      <c r="X1083" s="93"/>
      <c r="Y1083" s="93"/>
      <c r="Z1083" s="93">
        <v>0.0</v>
      </c>
      <c r="AA1083" s="93">
        <v>0.0</v>
      </c>
      <c r="AB1083" s="93">
        <v>0.0</v>
      </c>
      <c r="AC1083" s="93"/>
      <c r="AD1083" s="93">
        <v>0.0</v>
      </c>
      <c r="AE1083" s="32">
        <f t="shared" si="2"/>
        <v>-4200</v>
      </c>
      <c r="AF1083" s="93">
        <v>0.0</v>
      </c>
    </row>
    <row r="1084">
      <c r="A1084" s="86">
        <v>2018.0</v>
      </c>
      <c r="B1084" s="87">
        <v>8.0</v>
      </c>
      <c r="C1084" s="88" t="s">
        <v>51</v>
      </c>
      <c r="D1084" s="93">
        <v>150.0</v>
      </c>
      <c r="E1084" s="93">
        <v>-12600.0</v>
      </c>
      <c r="F1084" s="93"/>
      <c r="G1084" s="93">
        <v>-1939.65</v>
      </c>
      <c r="H1084" s="93">
        <v>7466.18</v>
      </c>
      <c r="I1084" s="32"/>
      <c r="J1084" s="93">
        <v>4100.73</v>
      </c>
      <c r="K1084" s="32"/>
      <c r="L1084" s="32"/>
      <c r="M1084" s="32"/>
      <c r="N1084" s="32"/>
      <c r="O1084" s="93">
        <v>482529.0</v>
      </c>
      <c r="P1084" s="91">
        <f>IFERROR(__xludf.DUMMYFUNCTION("IFERROR(sum(FILTER($D:$N,$C:$C = $C1084,$A:$A &lt; $A1084,$B:$B = 12)),0) + sum($D1084:$N1084)"),482529.19000000006)</f>
        <v>482529.19</v>
      </c>
      <c r="Q1084" s="92">
        <f t="shared" si="1"/>
        <v>-0.1900000001</v>
      </c>
      <c r="R1084" s="91">
        <f t="array" ref="R1084">IFERROR(INDEX('Fund YTD Target Values'!$1:$1000, MATCH($C1084,'Fund YTD Target Values'!$A:$A,0), MATCH($A1084,'Fund YTD Target Values'!$1:$1,0)),0)</f>
        <v>451180.3592</v>
      </c>
      <c r="S1084" s="91">
        <f>IFERROR(__xludf.DUMMYFUNCTION("IFERROR(sum(FILTER('Fund Investment Data'!$V:$V, 'Fund Investment Data'!$C:$C = $C1084, 'Fund Investment Data'!$A:$A &lt; $A1084)),0) + IFERROR(sum(FILTER('Fund Investment Data'!$V:$V, 'Fund Investment Data'!$C:$C = $C1084, 'Fund Investment Data'!$A:$A = $A1"&amp;"084, 'Fund Investment Data'!$B:$B &lt;= $B1084)),0)"),416573.55)</f>
        <v>416573.55</v>
      </c>
      <c r="T1084" s="93"/>
      <c r="U1084" s="32"/>
      <c r="V1084" s="32">
        <f>IFERROR(__xludf.DUMMYFUNCTION("$D1084 - IFERROR(FILTER($D:$D,$C:$C = $C1084, $A:$A = $A1084, $B:$B = $B1084 - 1),0)"),0.0)</f>
        <v>0</v>
      </c>
      <c r="W1084" s="93">
        <f>IFERROR(__xludf.DUMMYFUNCTION("$E1084 - IFERROR(FILTER($E:$E,$C:$C = $C1084, $A:$A = $A1084, $B:$B = $B1084 - 1),0)"),0.0)</f>
        <v>0</v>
      </c>
      <c r="X1084" s="93"/>
      <c r="Y1084" s="93"/>
      <c r="Z1084" s="93">
        <v>0.0</v>
      </c>
      <c r="AA1084" s="93">
        <v>0.0</v>
      </c>
      <c r="AB1084" s="93">
        <v>0.0</v>
      </c>
      <c r="AC1084" s="93"/>
      <c r="AD1084" s="93">
        <v>0.0</v>
      </c>
      <c r="AE1084" s="32">
        <f t="shared" si="2"/>
        <v>-12600</v>
      </c>
      <c r="AF1084" s="93">
        <v>0.0</v>
      </c>
    </row>
    <row r="1085">
      <c r="A1085" s="86">
        <v>2018.0</v>
      </c>
      <c r="B1085" s="87">
        <v>8.0</v>
      </c>
      <c r="C1085" s="88" t="s">
        <v>48</v>
      </c>
      <c r="D1085" s="32"/>
      <c r="E1085" s="93">
        <v>-54800.0</v>
      </c>
      <c r="F1085" s="32"/>
      <c r="G1085" s="93">
        <v>-5005.08</v>
      </c>
      <c r="H1085" s="93">
        <v>19335.79</v>
      </c>
      <c r="I1085" s="93">
        <v>13215.33</v>
      </c>
      <c r="J1085" s="93">
        <v>-3097.58</v>
      </c>
      <c r="K1085" s="32"/>
      <c r="L1085" s="32"/>
      <c r="M1085" s="32"/>
      <c r="N1085" s="32"/>
      <c r="O1085" s="93">
        <v>1218291.0</v>
      </c>
      <c r="P1085" s="91">
        <f>IFERROR(__xludf.DUMMYFUNCTION("IFERROR(sum(FILTER($D:$N,$C:$C = $C1085,$A:$A &lt; $A1085,$B:$B = 12)),0) + sum($D1085:$N1085)"),1218290.1299999997)</f>
        <v>1218290.13</v>
      </c>
      <c r="Q1085" s="92">
        <f t="shared" si="1"/>
        <v>0.8700000003</v>
      </c>
      <c r="R1085" s="91">
        <f t="array" ref="R1085">IFERROR(INDEX('Fund YTD Target Values'!$1:$1000, MATCH($C1085,'Fund YTD Target Values'!$A:$A,0), MATCH($A1085,'Fund YTD Target Values'!$1:$1,0)),0)</f>
        <v>1896274.236</v>
      </c>
      <c r="S1085" s="91">
        <f>IFERROR(__xludf.DUMMYFUNCTION("IFERROR(sum(FILTER('Fund Investment Data'!$V:$V, 'Fund Investment Data'!$C:$C = $C1085, 'Fund Investment Data'!$A:$A &lt; $A1085)),0) + IFERROR(sum(FILTER('Fund Investment Data'!$V:$V, 'Fund Investment Data'!$C:$C = $C1085, 'Fund Investment Data'!$A:$A = $A1"&amp;"085, 'Fund Investment Data'!$B:$B &lt;= $B1085)),0)"),1183929.39)</f>
        <v>1183929.39</v>
      </c>
      <c r="T1085" s="93">
        <v>1140040.0</v>
      </c>
      <c r="U1085" s="32">
        <f t="shared" ref="U1085:U1093" si="10">S1085-T1085</f>
        <v>43889.39</v>
      </c>
      <c r="V1085" s="32">
        <f>IFERROR(__xludf.DUMMYFUNCTION("$D1085 - IFERROR(FILTER($D:$D,$C:$C = $C1085, $A:$A = $A1085, $B:$B = $B1085 - 1),0)"),0.0)</f>
        <v>0</v>
      </c>
      <c r="W1085" s="93">
        <f>IFERROR(__xludf.DUMMYFUNCTION("$E1085 - IFERROR(FILTER($E:$E,$C:$C = $C1085, $A:$A = $A1085, $B:$B = $B1085 - 1),0)"),-30000.0)</f>
        <v>-30000</v>
      </c>
      <c r="X1085" s="93"/>
      <c r="Y1085" s="93"/>
      <c r="Z1085" s="93">
        <v>0.0</v>
      </c>
      <c r="AA1085" s="93">
        <v>0.0</v>
      </c>
      <c r="AB1085" s="93">
        <v>0.0</v>
      </c>
      <c r="AC1085" s="93"/>
      <c r="AD1085" s="93">
        <v>0.0</v>
      </c>
      <c r="AE1085" s="32">
        <f t="shared" si="2"/>
        <v>-54800</v>
      </c>
      <c r="AF1085" s="93">
        <v>0.0</v>
      </c>
    </row>
    <row r="1086">
      <c r="A1086" s="86">
        <v>2018.0</v>
      </c>
      <c r="B1086" s="87">
        <v>8.0</v>
      </c>
      <c r="C1086" s="88" t="s">
        <v>49</v>
      </c>
      <c r="D1086" s="32"/>
      <c r="E1086" s="93">
        <v>-26200.0</v>
      </c>
      <c r="F1086" s="32"/>
      <c r="G1086" s="93">
        <v>-2189.85</v>
      </c>
      <c r="H1086" s="93">
        <v>8464.91</v>
      </c>
      <c r="I1086" s="93">
        <v>6568.61</v>
      </c>
      <c r="J1086" s="93">
        <v>-2096.88</v>
      </c>
      <c r="K1086" s="32"/>
      <c r="L1086" s="32"/>
      <c r="M1086" s="32"/>
      <c r="N1086" s="32"/>
      <c r="O1086" s="93">
        <v>532260.0</v>
      </c>
      <c r="P1086" s="91">
        <f>IFERROR(__xludf.DUMMYFUNCTION("IFERROR(sum(FILTER($D:$N,$C:$C = $C1086,$A:$A &lt; $A1086,$B:$B = 12)),0) + sum($D1086:$N1086)"),532259.9299999999)</f>
        <v>532259.93</v>
      </c>
      <c r="Q1086" s="92">
        <f t="shared" si="1"/>
        <v>0.07000000007</v>
      </c>
      <c r="R1086" s="91">
        <f t="array" ref="R1086">IFERROR(INDEX('Fund YTD Target Values'!$1:$1000, MATCH($C1086,'Fund YTD Target Values'!$A:$A,0), MATCH($A1086,'Fund YTD Target Values'!$1:$1,0)),0)</f>
        <v>701383.2727</v>
      </c>
      <c r="S1086" s="91">
        <f>IFERROR(__xludf.DUMMYFUNCTION("IFERROR(sum(FILTER('Fund Investment Data'!$V:$V, 'Fund Investment Data'!$C:$C = $C1086, 'Fund Investment Data'!$A:$A &lt; $A1086)),0) + IFERROR(sum(FILTER('Fund Investment Data'!$V:$V, 'Fund Investment Data'!$C:$C = $C1086, 'Fund Investment Data'!$A:$A = $A1"&amp;"086, 'Fund Investment Data'!$B:$B &lt;= $B1086)),0)"),500000.0)</f>
        <v>500000</v>
      </c>
      <c r="T1086" s="93">
        <v>500000.0</v>
      </c>
      <c r="U1086" s="32">
        <f t="shared" si="10"/>
        <v>0</v>
      </c>
      <c r="V1086" s="32">
        <f>IFERROR(__xludf.DUMMYFUNCTION("$D1086 - IFERROR(FILTER($D:$D,$C:$C = $C1086, $A:$A = $A1086, $B:$B = $B1086 - 1),0)"),0.0)</f>
        <v>0</v>
      </c>
      <c r="W1086" s="93">
        <f>IFERROR(__xludf.DUMMYFUNCTION("$E1086 - IFERROR(FILTER($E:$E,$C:$C = $C1086, $A:$A = $A1086, $B:$B = $B1086 - 1),0)"),-10000.0)</f>
        <v>-10000</v>
      </c>
      <c r="X1086" s="93"/>
      <c r="Y1086" s="93"/>
      <c r="Z1086" s="93">
        <v>0.0</v>
      </c>
      <c r="AA1086" s="93">
        <v>0.0</v>
      </c>
      <c r="AB1086" s="93">
        <v>0.0</v>
      </c>
      <c r="AC1086" s="93"/>
      <c r="AD1086" s="93">
        <v>0.0</v>
      </c>
      <c r="AE1086" s="32">
        <f t="shared" si="2"/>
        <v>-26200</v>
      </c>
      <c r="AF1086" s="93">
        <v>0.0</v>
      </c>
    </row>
    <row r="1087">
      <c r="A1087" s="86">
        <v>2018.0</v>
      </c>
      <c r="B1087" s="87">
        <v>8.0</v>
      </c>
      <c r="C1087" s="88" t="s">
        <v>41</v>
      </c>
      <c r="D1087" s="32"/>
      <c r="E1087" s="93">
        <v>-16300.0</v>
      </c>
      <c r="F1087" s="32"/>
      <c r="G1087" s="93">
        <v>-2616.56</v>
      </c>
      <c r="H1087" s="93">
        <v>10105.02</v>
      </c>
      <c r="I1087" s="93">
        <v>3412.6</v>
      </c>
      <c r="J1087" s="93">
        <v>2138.37</v>
      </c>
      <c r="K1087" s="32"/>
      <c r="L1087" s="32"/>
      <c r="M1087" s="32"/>
      <c r="N1087" s="32"/>
      <c r="O1087" s="93">
        <v>649858.0</v>
      </c>
      <c r="P1087" s="91">
        <f>IFERROR(__xludf.DUMMYFUNCTION("IFERROR(sum(FILTER($D:$N,$C:$C = $C1087,$A:$A &lt; $A1087,$B:$B = 12)),0) + sum($D1087:$N1087)"),649858.7800000001)</f>
        <v>649858.78</v>
      </c>
      <c r="Q1087" s="92">
        <f t="shared" si="1"/>
        <v>-0.7800000001</v>
      </c>
      <c r="R1087" s="91">
        <f t="array" ref="R1087">IFERROR(INDEX('Fund YTD Target Values'!$1:$1000, MATCH($C1087,'Fund YTD Target Values'!$A:$A,0), MATCH($A1087,'Fund YTD Target Values'!$1:$1,0)),0)</f>
        <v>587968.3276</v>
      </c>
      <c r="S1087" s="91">
        <f>IFERROR(__xludf.DUMMYFUNCTION("IFERROR(sum(FILTER('Fund Investment Data'!$V:$V, 'Fund Investment Data'!$C:$C = $C1087, 'Fund Investment Data'!$A:$A &lt; $A1087)),0) + IFERROR(sum(FILTER('Fund Investment Data'!$V:$V, 'Fund Investment Data'!$C:$C = $C1087, 'Fund Investment Data'!$A:$A = $A1"&amp;"087, 'Fund Investment Data'!$B:$B &lt;= $B1087)),0)"),433755.86)</f>
        <v>433755.86</v>
      </c>
      <c r="T1087" s="93">
        <v>434291.0</v>
      </c>
      <c r="U1087" s="32">
        <f t="shared" si="10"/>
        <v>-535.14</v>
      </c>
      <c r="V1087" s="32">
        <f>IFERROR(__xludf.DUMMYFUNCTION("$D1087 - IFERROR(FILTER($D:$D,$C:$C = $C1087, $A:$A = $A1087, $B:$B = $B1087 - 1),0)"),0.0)</f>
        <v>0</v>
      </c>
      <c r="W1087" s="93">
        <f>IFERROR(__xludf.DUMMYFUNCTION("$E1087 - IFERROR(FILTER($E:$E,$C:$C = $C1087, $A:$A = $A1087, $B:$B = $B1087 - 1),0)"),0.0)</f>
        <v>0</v>
      </c>
      <c r="X1087" s="93"/>
      <c r="Y1087" s="93"/>
      <c r="Z1087" s="93">
        <v>0.0</v>
      </c>
      <c r="AA1087" s="93">
        <v>0.0</v>
      </c>
      <c r="AB1087" s="93">
        <v>0.0</v>
      </c>
      <c r="AC1087" s="93"/>
      <c r="AD1087" s="93">
        <v>0.0</v>
      </c>
      <c r="AE1087" s="32">
        <f t="shared" si="2"/>
        <v>-16300</v>
      </c>
      <c r="AF1087" s="93">
        <v>0.0</v>
      </c>
    </row>
    <row r="1088">
      <c r="A1088" s="86">
        <v>2018.0</v>
      </c>
      <c r="B1088" s="87">
        <v>8.0</v>
      </c>
      <c r="C1088" s="88" t="s">
        <v>25</v>
      </c>
      <c r="D1088" s="32"/>
      <c r="E1088" s="93">
        <v>-20000.0</v>
      </c>
      <c r="F1088" s="32"/>
      <c r="G1088" s="93">
        <v>-406.82</v>
      </c>
      <c r="H1088" s="93">
        <v>1570.33</v>
      </c>
      <c r="I1088" s="93">
        <v>5612.55</v>
      </c>
      <c r="J1088" s="93">
        <v>-5087.37</v>
      </c>
      <c r="K1088" s="32"/>
      <c r="L1088" s="32"/>
      <c r="M1088" s="32"/>
      <c r="N1088" s="32"/>
      <c r="O1088" s="93">
        <v>82755.0</v>
      </c>
      <c r="P1088" s="91">
        <f>IFERROR(__xludf.DUMMYFUNCTION("IFERROR(sum(FILTER($D:$N,$C:$C = $C1088,$A:$A &lt; $A1088,$B:$B = 12)),0) + sum($D1088:$N1088)"),82755.02)</f>
        <v>82755.02</v>
      </c>
      <c r="Q1088" s="92">
        <f t="shared" si="1"/>
        <v>-0.02</v>
      </c>
      <c r="R1088" s="91">
        <f t="array" ref="R1088">IFERROR(INDEX('Fund YTD Target Values'!$1:$1000, MATCH($C1088,'Fund YTD Target Values'!$A:$A,0), MATCH($A1088,'Fund YTD Target Values'!$1:$1,0)),0)</f>
        <v>109175.2469</v>
      </c>
      <c r="S1088" s="91">
        <f>IFERROR(__xludf.DUMMYFUNCTION("IFERROR(sum(FILTER('Fund Investment Data'!$V:$V, 'Fund Investment Data'!$C:$C = $C1088, 'Fund Investment Data'!$A:$A &lt; $A1088)),0) + IFERROR(sum(FILTER('Fund Investment Data'!$V:$V, 'Fund Investment Data'!$C:$C = $C1088, 'Fund Investment Data'!$A:$A = $A1"&amp;"088, 'Fund Investment Data'!$B:$B &lt;= $B1088)),0)"),81000.0)</f>
        <v>81000</v>
      </c>
      <c r="T1088" s="93">
        <v>81000.0</v>
      </c>
      <c r="U1088" s="32">
        <f t="shared" si="10"/>
        <v>0</v>
      </c>
      <c r="V1088" s="32">
        <f>IFERROR(__xludf.DUMMYFUNCTION("$D1088 - IFERROR(FILTER($D:$D,$C:$C = $C1088, $A:$A = $A1088, $B:$B = $B1088 - 1),0)"),0.0)</f>
        <v>0</v>
      </c>
      <c r="W1088" s="93">
        <f>IFERROR(__xludf.DUMMYFUNCTION("$E1088 - IFERROR(FILTER($E:$E,$C:$C = $C1088, $A:$A = $A1088, $B:$B = $B1088 - 1),0)"),-18800.0)</f>
        <v>-18800</v>
      </c>
      <c r="X1088" s="93"/>
      <c r="Y1088" s="93"/>
      <c r="Z1088" s="93">
        <v>0.0</v>
      </c>
      <c r="AA1088" s="93">
        <v>0.0</v>
      </c>
      <c r="AB1088" s="93">
        <v>0.0</v>
      </c>
      <c r="AC1088" s="93"/>
      <c r="AD1088" s="93">
        <v>0.0</v>
      </c>
      <c r="AE1088" s="32">
        <f t="shared" si="2"/>
        <v>-20000</v>
      </c>
      <c r="AF1088" s="93">
        <v>0.0</v>
      </c>
    </row>
    <row r="1089">
      <c r="A1089" s="86">
        <v>2018.0</v>
      </c>
      <c r="B1089" s="87">
        <v>8.0</v>
      </c>
      <c r="C1089" s="88" t="s">
        <v>42</v>
      </c>
      <c r="D1089" s="32"/>
      <c r="E1089" s="32"/>
      <c r="F1089" s="32"/>
      <c r="G1089" s="93">
        <v>-1207.03</v>
      </c>
      <c r="H1089" s="93">
        <v>4633.76</v>
      </c>
      <c r="I1089" s="32"/>
      <c r="J1089" s="93">
        <v>2536.62</v>
      </c>
      <c r="K1089" s="32"/>
      <c r="L1089" s="32"/>
      <c r="M1089" s="32"/>
      <c r="N1089" s="32"/>
      <c r="O1089" s="93">
        <v>305412.0</v>
      </c>
      <c r="P1089" s="91">
        <f>IFERROR(__xludf.DUMMYFUNCTION("IFERROR(sum(FILTER($D:$N,$C:$C = $C1089,$A:$A &lt; $A1089,$B:$B = 12)),0) + sum($D1089:$N1089)"),305411.1100000001)</f>
        <v>305411.11</v>
      </c>
      <c r="Q1089" s="92">
        <f t="shared" si="1"/>
        <v>0.8899999999</v>
      </c>
      <c r="R1089" s="91">
        <f t="array" ref="R1089">IFERROR(INDEX('Fund YTD Target Values'!$1:$1000, MATCH($C1089,'Fund YTD Target Values'!$A:$A,0), MATCH($A1089,'Fund YTD Target Values'!$1:$1,0)),0)</f>
        <v>240185.7184</v>
      </c>
      <c r="S1089" s="91">
        <f>IFERROR(__xludf.DUMMYFUNCTION("IFERROR(sum(FILTER('Fund Investment Data'!$V:$V, 'Fund Investment Data'!$C:$C = $C1089, 'Fund Investment Data'!$A:$A &lt; $A1089)),0) + IFERROR(sum(FILTER('Fund Investment Data'!$V:$V, 'Fund Investment Data'!$C:$C = $C1089, 'Fund Investment Data'!$A:$A = $A1"&amp;"089, 'Fund Investment Data'!$B:$B &lt;= $B1089)),0)"),194469.0)</f>
        <v>194469</v>
      </c>
      <c r="T1089" s="93">
        <v>194469.0</v>
      </c>
      <c r="U1089" s="32">
        <f t="shared" si="10"/>
        <v>0</v>
      </c>
      <c r="V1089" s="32">
        <f>IFERROR(__xludf.DUMMYFUNCTION("$D1089 - IFERROR(FILTER($D:$D,$C:$C = $C1089, $A:$A = $A1089, $B:$B = $B1089 - 1),0)"),0.0)</f>
        <v>0</v>
      </c>
      <c r="W1089" s="93">
        <f>IFERROR(__xludf.DUMMYFUNCTION("$E1089 - IFERROR(FILTER($E:$E,$C:$C = $C1089, $A:$A = $A1089, $B:$B = $B1089 - 1),0)"),0.0)</f>
        <v>0</v>
      </c>
      <c r="X1089" s="93"/>
      <c r="Y1089" s="93"/>
      <c r="Z1089" s="93">
        <v>0.0</v>
      </c>
      <c r="AA1089" s="93">
        <v>0.0</v>
      </c>
      <c r="AB1089" s="93">
        <v>0.0</v>
      </c>
      <c r="AC1089" s="93"/>
      <c r="AD1089" s="93">
        <v>0.0</v>
      </c>
      <c r="AE1089" s="32">
        <f t="shared" si="2"/>
        <v>0</v>
      </c>
      <c r="AF1089" s="93">
        <v>0.0</v>
      </c>
    </row>
    <row r="1090">
      <c r="A1090" s="86">
        <v>2018.0</v>
      </c>
      <c r="B1090" s="87">
        <v>8.0</v>
      </c>
      <c r="C1090" s="88" t="s">
        <v>43</v>
      </c>
      <c r="D1090" s="32"/>
      <c r="E1090" s="93">
        <v>-4200.0</v>
      </c>
      <c r="F1090" s="32"/>
      <c r="G1090" s="93">
        <v>-504.74</v>
      </c>
      <c r="H1090" s="93">
        <v>1947.74</v>
      </c>
      <c r="I1090" s="93">
        <v>882.76</v>
      </c>
      <c r="J1090" s="93">
        <v>144.48</v>
      </c>
      <c r="K1090" s="32"/>
      <c r="L1090" s="32"/>
      <c r="M1090" s="32"/>
      <c r="N1090" s="32"/>
      <c r="O1090" s="93">
        <v>123784.0</v>
      </c>
      <c r="P1090" s="91">
        <f>IFERROR(__xludf.DUMMYFUNCTION("IFERROR(sum(FILTER($D:$N,$C:$C = $C1090,$A:$A &lt; $A1090,$B:$B = 12)),0) + sum($D1090:$N1090)"),123782.79000000002)</f>
        <v>123782.79</v>
      </c>
      <c r="Q1090" s="92">
        <f t="shared" si="1"/>
        <v>1.21</v>
      </c>
      <c r="R1090" s="91">
        <f t="array" ref="R1090">IFERROR(INDEX('Fund YTD Target Values'!$1:$1000, MATCH($C1090,'Fund YTD Target Values'!$A:$A,0), MATCH($A1090,'Fund YTD Target Values'!$1:$1,0)),0)</f>
        <v>130697.0954</v>
      </c>
      <c r="S1090" s="91">
        <f>IFERROR(__xludf.DUMMYFUNCTION("IFERROR(sum(FILTER('Fund Investment Data'!$V:$V, 'Fund Investment Data'!$C:$C = $C1090, 'Fund Investment Data'!$A:$A &lt; $A1090)),0) + IFERROR(sum(FILTER('Fund Investment Data'!$V:$V, 'Fund Investment Data'!$C:$C = $C1090, 'Fund Investment Data'!$A:$A = $A1"&amp;"090, 'Fund Investment Data'!$B:$B &lt;= $B1090)),0)"),100000.0)</f>
        <v>100000</v>
      </c>
      <c r="T1090" s="93">
        <v>100000.0</v>
      </c>
      <c r="U1090" s="32">
        <f t="shared" si="10"/>
        <v>0</v>
      </c>
      <c r="V1090" s="32">
        <f>IFERROR(__xludf.DUMMYFUNCTION("$D1090 - IFERROR(FILTER($D:$D,$C:$C = $C1090, $A:$A = $A1090, $B:$B = $B1090 - 1),0)"),0.0)</f>
        <v>0</v>
      </c>
      <c r="W1090" s="93">
        <f>IFERROR(__xludf.DUMMYFUNCTION("$E1090 - IFERROR(FILTER($E:$E,$C:$C = $C1090, $A:$A = $A1090, $B:$B = $B1090 - 1),0)"),-3000.0)</f>
        <v>-3000</v>
      </c>
      <c r="X1090" s="93"/>
      <c r="Y1090" s="93"/>
      <c r="Z1090" s="93">
        <v>0.0</v>
      </c>
      <c r="AA1090" s="93">
        <v>0.0</v>
      </c>
      <c r="AB1090" s="93">
        <v>0.0</v>
      </c>
      <c r="AC1090" s="93"/>
      <c r="AD1090" s="93">
        <v>0.0</v>
      </c>
      <c r="AE1090" s="32">
        <f t="shared" si="2"/>
        <v>-4200</v>
      </c>
      <c r="AF1090" s="93">
        <v>0.0</v>
      </c>
    </row>
    <row r="1091">
      <c r="A1091" s="86">
        <v>2018.0</v>
      </c>
      <c r="B1091" s="87">
        <v>8.0</v>
      </c>
      <c r="C1091" s="88" t="s">
        <v>52</v>
      </c>
      <c r="D1091" s="93">
        <v>75000.0</v>
      </c>
      <c r="E1091" s="93">
        <v>-34800.0</v>
      </c>
      <c r="F1091" s="32"/>
      <c r="G1091" s="93">
        <v>-5124.32</v>
      </c>
      <c r="H1091" s="93">
        <v>18606.05</v>
      </c>
      <c r="I1091" s="93">
        <v>2919.15</v>
      </c>
      <c r="J1091" s="93">
        <v>7457.51</v>
      </c>
      <c r="K1091" s="32"/>
      <c r="L1091" s="32"/>
      <c r="M1091" s="32"/>
      <c r="N1091" s="32"/>
      <c r="O1091" s="93">
        <v>1228515.0</v>
      </c>
      <c r="P1091" s="91">
        <f>IFERROR(__xludf.DUMMYFUNCTION("IFERROR(sum(FILTER($D:$N,$C:$C = $C1091,$A:$A &lt; $A1091,$B:$B = 12)),0) + sum($D1091:$N1091)"),1228514.5199999998)</f>
        <v>1228514.52</v>
      </c>
      <c r="Q1091" s="92">
        <f t="shared" si="1"/>
        <v>0.4800000002</v>
      </c>
      <c r="R1091" s="91">
        <f t="array" ref="R1091">IFERROR(INDEX('Fund YTD Target Values'!$1:$1000, MATCH($C1091,'Fund YTD Target Values'!$A:$A,0), MATCH($A1091,'Fund YTD Target Values'!$1:$1,0)),0)</f>
        <v>1148979.378</v>
      </c>
      <c r="S1091" s="91">
        <f>IFERROR(__xludf.DUMMYFUNCTION("IFERROR(sum(FILTER('Fund Investment Data'!$V:$V, 'Fund Investment Data'!$C:$C = $C1091, 'Fund Investment Data'!$A:$A &lt; $A1091)),0) + IFERROR(sum(FILTER('Fund Investment Data'!$V:$V, 'Fund Investment Data'!$C:$C = $C1091, 'Fund Investment Data'!$A:$A = $A1"&amp;"091, 'Fund Investment Data'!$B:$B &lt;= $B1091)),0)"),1080136.0)</f>
        <v>1080136</v>
      </c>
      <c r="T1091" s="93">
        <v>1079091.0</v>
      </c>
      <c r="U1091" s="32">
        <f t="shared" si="10"/>
        <v>1045</v>
      </c>
      <c r="V1091" s="32">
        <f>IFERROR(__xludf.DUMMYFUNCTION("$D1091 - IFERROR(FILTER($D:$D,$C:$C = $C1091, $A:$A = $A1091, $B:$B = $B1091 - 1),0)"),0.0)</f>
        <v>0</v>
      </c>
      <c r="W1091" s="93">
        <f>IFERROR(__xludf.DUMMYFUNCTION("$E1091 - IFERROR(FILTER($E:$E,$C:$C = $C1091, $A:$A = $A1091, $B:$B = $B1091 - 1),0)"),-10000.0)</f>
        <v>-10000</v>
      </c>
      <c r="X1091" s="93"/>
      <c r="Y1091" s="93"/>
      <c r="Z1091" s="93">
        <v>0.0</v>
      </c>
      <c r="AA1091" s="93">
        <v>0.0</v>
      </c>
      <c r="AB1091" s="93">
        <v>0.0</v>
      </c>
      <c r="AC1091" s="93"/>
      <c r="AD1091" s="93">
        <v>0.0</v>
      </c>
      <c r="AE1091" s="32">
        <f t="shared" si="2"/>
        <v>-34800</v>
      </c>
      <c r="AF1091" s="93">
        <v>0.0</v>
      </c>
    </row>
    <row r="1092">
      <c r="A1092" s="86">
        <v>2018.0</v>
      </c>
      <c r="B1092" s="87">
        <v>8.0</v>
      </c>
      <c r="C1092" s="88" t="s">
        <v>33</v>
      </c>
      <c r="D1092" s="32"/>
      <c r="E1092" s="93">
        <v>-16000.0</v>
      </c>
      <c r="F1092" s="32"/>
      <c r="G1092" s="93">
        <v>-1431.45</v>
      </c>
      <c r="H1092" s="93">
        <v>5527.54</v>
      </c>
      <c r="I1092" s="93">
        <v>3904.5</v>
      </c>
      <c r="J1092" s="93">
        <v>-993.78</v>
      </c>
      <c r="K1092" s="32"/>
      <c r="L1092" s="32"/>
      <c r="M1092" s="32"/>
      <c r="N1092" s="32"/>
      <c r="O1092" s="93">
        <v>348084.0</v>
      </c>
      <c r="P1092" s="91">
        <f>IFERROR(__xludf.DUMMYFUNCTION("IFERROR(sum(FILTER($D:$N,$C:$C = $C1092,$A:$A &lt; $A1092,$B:$B = 12)),0) + sum($D1092:$N1092)"),348084.25999999983)</f>
        <v>348084.26</v>
      </c>
      <c r="Q1092" s="92">
        <f t="shared" si="1"/>
        <v>-0.2599999998</v>
      </c>
      <c r="R1092" s="91">
        <f t="array" ref="R1092">IFERROR(INDEX('Fund YTD Target Values'!$1:$1000, MATCH($C1092,'Fund YTD Target Values'!$A:$A,0), MATCH($A1092,'Fund YTD Target Values'!$1:$1,0)),0)</f>
        <v>512928.5668</v>
      </c>
      <c r="S1092" s="91">
        <f>IFERROR(__xludf.DUMMYFUNCTION("IFERROR(sum(FILTER('Fund Investment Data'!$V:$V, 'Fund Investment Data'!$C:$C = $C1092, 'Fund Investment Data'!$A:$A &lt; $A1092)),0) + IFERROR(sum(FILTER('Fund Investment Data'!$V:$V, 'Fund Investment Data'!$C:$C = $C1092, 'Fund Investment Data'!$A:$A = $A1"&amp;"092, 'Fund Investment Data'!$B:$B &lt;= $B1092)),0)"),325871.6399999999)</f>
        <v>325871.64</v>
      </c>
      <c r="T1092" s="93">
        <v>326032.0</v>
      </c>
      <c r="U1092" s="32">
        <f t="shared" si="10"/>
        <v>-160.36</v>
      </c>
      <c r="V1092" s="32">
        <f>IFERROR(__xludf.DUMMYFUNCTION("$D1092 - IFERROR(FILTER($D:$D,$C:$C = $C1092, $A:$A = $A1092, $B:$B = $B1092 - 1),0)"),0.0)</f>
        <v>0</v>
      </c>
      <c r="W1092" s="93">
        <f>IFERROR(__xludf.DUMMYFUNCTION("$E1092 - IFERROR(FILTER($E:$E,$C:$C = $C1092, $A:$A = $A1092, $B:$B = $B1092 - 1),0)"),-8000.0)</f>
        <v>-8000</v>
      </c>
      <c r="X1092" s="93"/>
      <c r="Y1092" s="93"/>
      <c r="Z1092" s="93">
        <v>0.0</v>
      </c>
      <c r="AA1092" s="93">
        <v>0.0</v>
      </c>
      <c r="AB1092" s="93">
        <v>0.0</v>
      </c>
      <c r="AC1092" s="93"/>
      <c r="AD1092" s="93">
        <v>0.0</v>
      </c>
      <c r="AE1092" s="32">
        <f t="shared" si="2"/>
        <v>-16000</v>
      </c>
      <c r="AF1092" s="93">
        <v>0.0</v>
      </c>
    </row>
    <row r="1093">
      <c r="A1093" s="86">
        <v>2018.0</v>
      </c>
      <c r="B1093" s="87">
        <v>8.0</v>
      </c>
      <c r="C1093" s="88" t="s">
        <v>53</v>
      </c>
      <c r="D1093" s="32"/>
      <c r="E1093" s="93">
        <v>-87100.0</v>
      </c>
      <c r="F1093" s="32"/>
      <c r="G1093" s="93">
        <v>-9112.64</v>
      </c>
      <c r="H1093" s="93">
        <v>35211.59</v>
      </c>
      <c r="I1093" s="93">
        <v>8371.56</v>
      </c>
      <c r="J1093" s="93">
        <v>10391.33</v>
      </c>
      <c r="K1093" s="32"/>
      <c r="L1093" s="32"/>
      <c r="M1093" s="32"/>
      <c r="N1093" s="32"/>
      <c r="O1093" s="93">
        <v>2233077.0</v>
      </c>
      <c r="P1093" s="91">
        <f>IFERROR(__xludf.DUMMYFUNCTION("IFERROR(sum(FILTER($D:$N,$C:$C = $C1093,$A:$A &lt; $A1093,$B:$B = 12)),0) + sum($D1093:$N1093)"),2233076.5199999996)</f>
        <v>2233076.52</v>
      </c>
      <c r="Q1093" s="92">
        <f t="shared" si="1"/>
        <v>0.4800000004</v>
      </c>
      <c r="R1093" s="91">
        <f t="array" ref="R1093">IFERROR(INDEX('Fund YTD Target Values'!$1:$1000, MATCH($C1093,'Fund YTD Target Values'!$A:$A,0), MATCH($A1093,'Fund YTD Target Values'!$1:$1,0)),0)</f>
        <v>2224754.768</v>
      </c>
      <c r="S1093" s="91">
        <f>IFERROR(__xludf.DUMMYFUNCTION("IFERROR(sum(FILTER('Fund Investment Data'!$V:$V, 'Fund Investment Data'!$C:$C = $C1093, 'Fund Investment Data'!$A:$A &lt; $A1093)),0) + IFERROR(sum(FILTER('Fund Investment Data'!$V:$V, 'Fund Investment Data'!$C:$C = $C1093, 'Fund Investment Data'!$A:$A = $A1"&amp;"093, 'Fund Investment Data'!$B:$B &lt;= $B1093)),0)"),2005500.0)</f>
        <v>2005500</v>
      </c>
      <c r="T1093" s="93">
        <v>2005500.0</v>
      </c>
      <c r="U1093" s="32">
        <f t="shared" si="10"/>
        <v>0</v>
      </c>
      <c r="V1093" s="32">
        <f>IFERROR(__xludf.DUMMYFUNCTION("$D1093 - IFERROR(FILTER($D:$D,$C:$C = $C1093, $A:$A = $A1093, $B:$B = $B1093 - 1),0)"),0.0)</f>
        <v>0</v>
      </c>
      <c r="W1093" s="93">
        <f>IFERROR(__xludf.DUMMYFUNCTION("$E1093 - IFERROR(FILTER($E:$E,$C:$C = $C1093, $A:$A = $A1093, $B:$B = $B1093 - 1),0)"),-35000.0)</f>
        <v>-35000</v>
      </c>
      <c r="X1093" s="93"/>
      <c r="Y1093" s="93"/>
      <c r="Z1093" s="93">
        <v>0.0</v>
      </c>
      <c r="AA1093" s="93">
        <v>0.0</v>
      </c>
      <c r="AB1093" s="93">
        <v>0.0</v>
      </c>
      <c r="AC1093" s="93"/>
      <c r="AD1093" s="93">
        <v>0.0</v>
      </c>
      <c r="AE1093" s="32">
        <f t="shared" si="2"/>
        <v>-87100</v>
      </c>
      <c r="AF1093" s="93">
        <v>0.0</v>
      </c>
    </row>
    <row r="1094">
      <c r="A1094" s="86">
        <v>2018.0</v>
      </c>
      <c r="B1094" s="87">
        <v>8.0</v>
      </c>
      <c r="C1094" s="88" t="s">
        <v>34</v>
      </c>
      <c r="D1094" s="32"/>
      <c r="E1094" s="93">
        <v>-6000.0</v>
      </c>
      <c r="F1094" s="32"/>
      <c r="G1094" s="93">
        <v>-580.01</v>
      </c>
      <c r="H1094" s="93">
        <v>2220.04</v>
      </c>
      <c r="I1094" s="93">
        <v>461.61</v>
      </c>
      <c r="J1094" s="93">
        <v>697.96</v>
      </c>
      <c r="K1094" s="32"/>
      <c r="L1094" s="32"/>
      <c r="M1094" s="32"/>
      <c r="N1094" s="32"/>
      <c r="O1094" s="93">
        <v>141088.0</v>
      </c>
      <c r="P1094" s="91">
        <f>IFERROR(__xludf.DUMMYFUNCTION("IFERROR(sum(FILTER($D:$N,$C:$C = $C1094,$A:$A &lt; $A1094,$B:$B = 12)),0) + sum($D1094:$N1094)"),141087.76)</f>
        <v>141087.76</v>
      </c>
      <c r="Q1094" s="92">
        <f t="shared" si="1"/>
        <v>0.24</v>
      </c>
      <c r="R1094" s="91">
        <f t="array" ref="R1094">IFERROR(INDEX('Fund YTD Target Values'!$1:$1000, MATCH($C1094,'Fund YTD Target Values'!$A:$A,0), MATCH($A1094,'Fund YTD Target Values'!$1:$1,0)),0)</f>
        <v>135327.6594</v>
      </c>
      <c r="S1094" s="91">
        <f>IFERROR(__xludf.DUMMYFUNCTION("IFERROR(sum(FILTER('Fund Investment Data'!$V:$V, 'Fund Investment Data'!$C:$C = $C1094, 'Fund Investment Data'!$A:$A &lt; $A1094)),0) + IFERROR(sum(FILTER('Fund Investment Data'!$V:$V, 'Fund Investment Data'!$C:$C = $C1094, 'Fund Investment Data'!$A:$A = $A1"&amp;"094, 'Fund Investment Data'!$B:$B &lt;= $B1094)),0)"),120000.0)</f>
        <v>120000</v>
      </c>
      <c r="T1094" s="32"/>
      <c r="U1094" s="32"/>
      <c r="V1094" s="32">
        <f>IFERROR(__xludf.DUMMYFUNCTION("$D1094 - IFERROR(FILTER($D:$D,$C:$C = $C1094, $A:$A = $A1094, $B:$B = $B1094 - 1),0)"),0.0)</f>
        <v>0</v>
      </c>
      <c r="W1094" s="93">
        <f>IFERROR(__xludf.DUMMYFUNCTION("$E1094 - IFERROR(FILTER($E:$E,$C:$C = $C1094, $A:$A = $A1094, $B:$B = $B1094 - 1),0)"),-4500.0)</f>
        <v>-4500</v>
      </c>
      <c r="X1094" s="93"/>
      <c r="Y1094" s="93"/>
      <c r="Z1094" s="93">
        <v>0.0</v>
      </c>
      <c r="AA1094" s="93">
        <v>0.0</v>
      </c>
      <c r="AB1094" s="93">
        <v>0.0</v>
      </c>
      <c r="AC1094" s="93"/>
      <c r="AD1094" s="93">
        <v>0.0</v>
      </c>
      <c r="AE1094" s="32">
        <f t="shared" si="2"/>
        <v>-6000</v>
      </c>
      <c r="AF1094" s="93">
        <v>0.0</v>
      </c>
    </row>
    <row r="1095">
      <c r="A1095" s="86">
        <v>2018.0</v>
      </c>
      <c r="B1095" s="87">
        <v>8.0</v>
      </c>
      <c r="C1095" s="88" t="s">
        <v>54</v>
      </c>
      <c r="D1095" s="93">
        <v>35.0</v>
      </c>
      <c r="E1095" s="93">
        <v>-5000.0</v>
      </c>
      <c r="F1095" s="32"/>
      <c r="G1095" s="93">
        <v>-690.88</v>
      </c>
      <c r="H1095" s="93">
        <v>2618.76</v>
      </c>
      <c r="I1095" s="93">
        <v>416.36</v>
      </c>
      <c r="J1095" s="93">
        <v>1044.49</v>
      </c>
      <c r="K1095" s="32"/>
      <c r="L1095" s="32"/>
      <c r="M1095" s="32"/>
      <c r="N1095" s="32"/>
      <c r="O1095" s="93">
        <v>171316.0</v>
      </c>
      <c r="P1095" s="91">
        <f>IFERROR(__xludf.DUMMYFUNCTION("IFERROR(sum(FILTER($D:$N,$C:$C = $C1095,$A:$A &lt; $A1095,$B:$B = 12)),0) + sum($D1095:$N1095)"),171316.69999999995)</f>
        <v>171316.7</v>
      </c>
      <c r="Q1095" s="92">
        <f t="shared" si="1"/>
        <v>-0.7</v>
      </c>
      <c r="R1095" s="91">
        <f t="array" ref="R1095">IFERROR(INDEX('Fund YTD Target Values'!$1:$1000, MATCH($C1095,'Fund YTD Target Values'!$A:$A,0), MATCH($A1095,'Fund YTD Target Values'!$1:$1,0)),0)</f>
        <v>155177.2706</v>
      </c>
      <c r="S1095" s="91">
        <f>IFERROR(__xludf.DUMMYFUNCTION("IFERROR(sum(FILTER('Fund Investment Data'!$V:$V, 'Fund Investment Data'!$C:$C = $C1095, 'Fund Investment Data'!$A:$A &lt; $A1095)),0) + IFERROR(sum(FILTER('Fund Investment Data'!$V:$V, 'Fund Investment Data'!$C:$C = $C1095, 'Fund Investment Data'!$A:$A = $A1"&amp;"095, 'Fund Investment Data'!$B:$B &lt;= $B1095)),0)"),112467.10999999999)</f>
        <v>112467.11</v>
      </c>
      <c r="T1095" s="32"/>
      <c r="U1095" s="32">
        <f>S1095-T1095</f>
        <v>112467.11</v>
      </c>
      <c r="V1095" s="32">
        <f>IFERROR(__xludf.DUMMYFUNCTION("$D1095 - IFERROR(FILTER($D:$D,$C:$C = $C1095, $A:$A = $A1095, $B:$B = $B1095 - 1),0)"),0.0)</f>
        <v>0</v>
      </c>
      <c r="W1095" s="93">
        <f>IFERROR(__xludf.DUMMYFUNCTION("$E1095 - IFERROR(FILTER($E:$E,$C:$C = $C1095, $A:$A = $A1095, $B:$B = $B1095 - 1),0)"),0.0)</f>
        <v>0</v>
      </c>
      <c r="X1095" s="93"/>
      <c r="Y1095" s="93"/>
      <c r="Z1095" s="93">
        <v>0.0</v>
      </c>
      <c r="AA1095" s="93">
        <v>0.0</v>
      </c>
      <c r="AB1095" s="93">
        <v>0.0</v>
      </c>
      <c r="AC1095" s="93"/>
      <c r="AD1095" s="93">
        <v>0.0</v>
      </c>
      <c r="AE1095" s="32">
        <f t="shared" si="2"/>
        <v>-5000</v>
      </c>
      <c r="AF1095" s="93">
        <v>0.0</v>
      </c>
    </row>
    <row r="1096">
      <c r="A1096" s="86">
        <v>2018.0</v>
      </c>
      <c r="B1096" s="87">
        <v>8.0</v>
      </c>
      <c r="C1096" s="88" t="s">
        <v>55</v>
      </c>
      <c r="D1096" s="32"/>
      <c r="E1096" s="93">
        <v>-1200.0</v>
      </c>
      <c r="F1096" s="32"/>
      <c r="G1096" s="93">
        <v>-1232.72</v>
      </c>
      <c r="H1096" s="93">
        <v>3197.72</v>
      </c>
      <c r="I1096" s="32"/>
      <c r="J1096" s="93">
        <v>-321.43</v>
      </c>
      <c r="K1096" s="32"/>
      <c r="L1096" s="32"/>
      <c r="M1096" s="32"/>
      <c r="N1096" s="32"/>
      <c r="O1096" s="93">
        <v>229508.0</v>
      </c>
      <c r="P1096" s="91">
        <f>IFERROR(__xludf.DUMMYFUNCTION("IFERROR(sum(FILTER($D:$N,$C:$C = $C1096,$A:$A &lt; $A1096,$B:$B = 12)),0) + sum($D1096:$N1096)"),229508.33)</f>
        <v>229508.33</v>
      </c>
      <c r="Q1096" s="92">
        <f t="shared" si="1"/>
        <v>-0.33</v>
      </c>
      <c r="R1096" s="91">
        <f t="array" ref="R1096">IFERROR(INDEX('Fund YTD Target Values'!$1:$1000, MATCH($C1096,'Fund YTD Target Values'!$A:$A,0), MATCH($A1096,'Fund YTD Target Values'!$1:$1,0)),0)</f>
        <v>289110.9496</v>
      </c>
      <c r="S1096" s="91">
        <f>IFERROR(__xludf.DUMMYFUNCTION("IFERROR(sum(FILTER('Fund Investment Data'!$V:$V, 'Fund Investment Data'!$C:$C = $C1096, 'Fund Investment Data'!$A:$A &lt; $A1096)),0) + IFERROR(sum(FILTER('Fund Investment Data'!$V:$V, 'Fund Investment Data'!$C:$C = $C1096, 'Fund Investment Data'!$A:$A = $A1"&amp;"096, 'Fund Investment Data'!$B:$B &lt;= $B1096)),0)"),210000.0)</f>
        <v>210000</v>
      </c>
      <c r="T1096" s="32"/>
      <c r="U1096" s="32"/>
      <c r="V1096" s="32">
        <f>IFERROR(__xludf.DUMMYFUNCTION("$D1096 - IFERROR(FILTER($D:$D,$C:$C = $C1096, $A:$A = $A1096, $B:$B = $B1096 - 1),0)"),0.0)</f>
        <v>0</v>
      </c>
      <c r="W1096" s="93">
        <f>IFERROR(__xludf.DUMMYFUNCTION("$E1096 - IFERROR(FILTER($E:$E,$C:$C = $C1096, $A:$A = $A1096, $B:$B = $B1096 - 1),0)"),0.0)</f>
        <v>0</v>
      </c>
      <c r="X1096" s="93"/>
      <c r="Y1096" s="93"/>
      <c r="Z1096" s="93">
        <v>0.0</v>
      </c>
      <c r="AA1096" s="93">
        <v>0.0</v>
      </c>
      <c r="AB1096" s="93">
        <v>0.0</v>
      </c>
      <c r="AC1096" s="93"/>
      <c r="AD1096" s="93">
        <v>0.0</v>
      </c>
      <c r="AE1096" s="32">
        <f t="shared" si="2"/>
        <v>-1200</v>
      </c>
      <c r="AF1096" s="93">
        <v>0.0</v>
      </c>
    </row>
    <row r="1097">
      <c r="A1097" s="86">
        <v>2018.0</v>
      </c>
      <c r="B1097" s="87">
        <v>8.0</v>
      </c>
      <c r="C1097" s="88" t="s">
        <v>44</v>
      </c>
      <c r="D1097" s="32"/>
      <c r="E1097" s="93">
        <v>-11600.0</v>
      </c>
      <c r="F1097" s="32"/>
      <c r="G1097" s="93">
        <v>-1148.19</v>
      </c>
      <c r="H1097" s="93">
        <v>4436.39</v>
      </c>
      <c r="I1097" s="93">
        <v>2716.3</v>
      </c>
      <c r="J1097" s="93">
        <v>-362.94</v>
      </c>
      <c r="K1097" s="32"/>
      <c r="L1097" s="32"/>
      <c r="M1097" s="32"/>
      <c r="N1097" s="32"/>
      <c r="O1097" s="93">
        <v>280677.0</v>
      </c>
      <c r="P1097" s="91">
        <f>IFERROR(__xludf.DUMMYFUNCTION("IFERROR(sum(FILTER($D:$N,$C:$C = $C1097,$A:$A &lt; $A1097,$B:$B = 12)),0) + sum($D1097:$N1097)"),280678.0300000001)</f>
        <v>280678.03</v>
      </c>
      <c r="Q1097" s="92">
        <f t="shared" si="1"/>
        <v>-1.03</v>
      </c>
      <c r="R1097" s="91">
        <f t="array" ref="R1097">IFERROR(INDEX('Fund YTD Target Values'!$1:$1000, MATCH($C1097,'Fund YTD Target Values'!$A:$A,0), MATCH($A1097,'Fund YTD Target Values'!$1:$1,0)),0)</f>
        <v>321586.5616</v>
      </c>
      <c r="S1097" s="91">
        <f>IFERROR(__xludf.DUMMYFUNCTION("IFERROR(sum(FILTER('Fund Investment Data'!$V:$V, 'Fund Investment Data'!$C:$C = $C1097, 'Fund Investment Data'!$A:$A &lt; $A1097)),0) + IFERROR(sum(FILTER('Fund Investment Data'!$V:$V, 'Fund Investment Data'!$C:$C = $C1097, 'Fund Investment Data'!$A:$A = $A1"&amp;"097, 'Fund Investment Data'!$B:$B &lt;= $B1097)),0)"),250000.0)</f>
        <v>250000</v>
      </c>
      <c r="T1097" s="93">
        <v>250000.0</v>
      </c>
      <c r="U1097" s="32">
        <f t="shared" ref="U1097:U1117" si="11">S1097-T1097</f>
        <v>0</v>
      </c>
      <c r="V1097" s="32">
        <f>IFERROR(__xludf.DUMMYFUNCTION("$D1097 - IFERROR(FILTER($D:$D,$C:$C = $C1097, $A:$A = $A1097, $B:$B = $B1097 - 1),0)"),0.0)</f>
        <v>0</v>
      </c>
      <c r="W1097" s="93">
        <f>IFERROR(__xludf.DUMMYFUNCTION("$E1097 - IFERROR(FILTER($E:$E,$C:$C = $C1097, $A:$A = $A1097, $B:$B = $B1097 - 1),0)"),-5000.0)</f>
        <v>-5000</v>
      </c>
      <c r="X1097" s="93"/>
      <c r="Y1097" s="93"/>
      <c r="Z1097" s="93">
        <v>0.0</v>
      </c>
      <c r="AA1097" s="93">
        <v>0.0</v>
      </c>
      <c r="AB1097" s="93">
        <v>0.0</v>
      </c>
      <c r="AC1097" s="93"/>
      <c r="AD1097" s="93">
        <v>0.0</v>
      </c>
      <c r="AE1097" s="32">
        <f t="shared" si="2"/>
        <v>-11600</v>
      </c>
      <c r="AF1097" s="93">
        <v>0.0</v>
      </c>
    </row>
    <row r="1098">
      <c r="A1098" s="86">
        <v>2018.0</v>
      </c>
      <c r="B1098" s="87">
        <v>8.0</v>
      </c>
      <c r="C1098" s="88" t="s">
        <v>45</v>
      </c>
      <c r="D1098" s="32"/>
      <c r="E1098" s="93">
        <v>-3000.0</v>
      </c>
      <c r="F1098" s="32"/>
      <c r="G1098" s="93">
        <v>-595.17</v>
      </c>
      <c r="H1098" s="93">
        <v>2288.71</v>
      </c>
      <c r="I1098" s="32"/>
      <c r="J1098" s="93">
        <v>1256.29</v>
      </c>
      <c r="K1098" s="32"/>
      <c r="L1098" s="32"/>
      <c r="M1098" s="32"/>
      <c r="N1098" s="32"/>
      <c r="O1098" s="93">
        <v>148352.0</v>
      </c>
      <c r="P1098" s="91">
        <f>IFERROR(__xludf.DUMMYFUNCTION("IFERROR(sum(FILTER($D:$N,$C:$C = $C1098,$A:$A &lt; $A1098,$B:$B = 12)),0) + sum($D1098:$N1098)"),148352.11999999997)</f>
        <v>148352.12</v>
      </c>
      <c r="Q1098" s="92">
        <f t="shared" si="1"/>
        <v>-0.12</v>
      </c>
      <c r="R1098" s="91">
        <f t="array" ref="R1098">IFERROR(INDEX('Fund YTD Target Values'!$1:$1000, MATCH($C1098,'Fund YTD Target Values'!$A:$A,0), MATCH($A1098,'Fund YTD Target Values'!$1:$1,0)),0)</f>
        <v>121242.134</v>
      </c>
      <c r="S1098" s="91">
        <f>IFERROR(__xludf.DUMMYFUNCTION("IFERROR(sum(FILTER('Fund Investment Data'!$V:$V, 'Fund Investment Data'!$C:$C = $C1098, 'Fund Investment Data'!$A:$A &lt; $A1098)),0) + IFERROR(sum(FILTER('Fund Investment Data'!$V:$V, 'Fund Investment Data'!$C:$C = $C1098, 'Fund Investment Data'!$A:$A = $A1"&amp;"098, 'Fund Investment Data'!$B:$B &lt;= $B1098)),0)"),100000.0)</f>
        <v>100000</v>
      </c>
      <c r="T1098" s="93">
        <v>100000.0</v>
      </c>
      <c r="U1098" s="32">
        <f t="shared" si="11"/>
        <v>0</v>
      </c>
      <c r="V1098" s="32">
        <f>IFERROR(__xludf.DUMMYFUNCTION("$D1098 - IFERROR(FILTER($D:$D,$C:$C = $C1098, $A:$A = $A1098, $B:$B = $B1098 - 1),0)"),0.0)</f>
        <v>0</v>
      </c>
      <c r="W1098" s="93">
        <f>IFERROR(__xludf.DUMMYFUNCTION("$E1098 - IFERROR(FILTER($E:$E,$C:$C = $C1098, $A:$A = $A1098, $B:$B = $B1098 - 1),0)"),0.0)</f>
        <v>0</v>
      </c>
      <c r="X1098" s="93"/>
      <c r="Y1098" s="93"/>
      <c r="Z1098" s="93">
        <v>0.0</v>
      </c>
      <c r="AA1098" s="93">
        <v>0.0</v>
      </c>
      <c r="AB1098" s="93">
        <v>0.0</v>
      </c>
      <c r="AC1098" s="93"/>
      <c r="AD1098" s="93">
        <v>0.0</v>
      </c>
      <c r="AE1098" s="32">
        <f t="shared" si="2"/>
        <v>-3000</v>
      </c>
      <c r="AF1098" s="93">
        <v>0.0</v>
      </c>
    </row>
    <row r="1099">
      <c r="A1099" s="86">
        <v>2018.0</v>
      </c>
      <c r="B1099" s="87">
        <v>8.0</v>
      </c>
      <c r="C1099" s="88" t="s">
        <v>35</v>
      </c>
      <c r="D1099" s="32"/>
      <c r="E1099" s="93">
        <v>-42400.0</v>
      </c>
      <c r="F1099" s="32"/>
      <c r="G1099" s="93">
        <v>-5873.03</v>
      </c>
      <c r="H1099" s="93">
        <v>22692.74</v>
      </c>
      <c r="I1099" s="93">
        <v>8239.42</v>
      </c>
      <c r="J1099" s="93">
        <v>4084.07</v>
      </c>
      <c r="K1099" s="32"/>
      <c r="L1099" s="32"/>
      <c r="M1099" s="32"/>
      <c r="N1099" s="32"/>
      <c r="O1099" s="93">
        <v>1452886.0</v>
      </c>
      <c r="P1099" s="91">
        <f>IFERROR(__xludf.DUMMYFUNCTION("IFERROR(sum(FILTER($D:$N,$C:$C = $C1099,$A:$A &lt; $A1099,$B:$B = 12)),0) + sum($D1099:$N1099)"),1452884.7600000002)</f>
        <v>1452884.76</v>
      </c>
      <c r="Q1099" s="92">
        <f t="shared" si="1"/>
        <v>1.24</v>
      </c>
      <c r="R1099" s="91">
        <f t="array" ref="R1099">IFERROR(INDEX('Fund YTD Target Values'!$1:$1000, MATCH($C1099,'Fund YTD Target Values'!$A:$A,0), MATCH($A1099,'Fund YTD Target Values'!$1:$1,0)),0)</f>
        <v>1579247.369</v>
      </c>
      <c r="S1099" s="91">
        <f>IFERROR(__xludf.DUMMYFUNCTION("IFERROR(sum(FILTER('Fund Investment Data'!$V:$V, 'Fund Investment Data'!$C:$C = $C1099, 'Fund Investment Data'!$A:$A &lt; $A1099)),0) + IFERROR(sum(FILTER('Fund Investment Data'!$V:$V, 'Fund Investment Data'!$C:$C = $C1099, 'Fund Investment Data'!$A:$A = $A1"&amp;"099, 'Fund Investment Data'!$B:$B &lt;= $B1099)),0)"),1086625.0)</f>
        <v>1086625</v>
      </c>
      <c r="T1099" s="93">
        <v>1071625.0</v>
      </c>
      <c r="U1099" s="32">
        <f t="shared" si="11"/>
        <v>15000</v>
      </c>
      <c r="V1099" s="32">
        <f>IFERROR(__xludf.DUMMYFUNCTION("$D1099 - IFERROR(FILTER($D:$D,$C:$C = $C1099, $A:$A = $A1099, $B:$B = $B1099 - 1),0)"),0.0)</f>
        <v>0</v>
      </c>
      <c r="W1099" s="93">
        <f>IFERROR(__xludf.DUMMYFUNCTION("$E1099 - IFERROR(FILTER($E:$E,$C:$C = $C1099, $A:$A = $A1099, $B:$B = $B1099 - 1),0)"),-10000.0)</f>
        <v>-10000</v>
      </c>
      <c r="X1099" s="93"/>
      <c r="Y1099" s="93"/>
      <c r="Z1099" s="93">
        <v>0.0</v>
      </c>
      <c r="AA1099" s="93">
        <v>0.0</v>
      </c>
      <c r="AB1099" s="93">
        <v>0.0</v>
      </c>
      <c r="AC1099" s="93"/>
      <c r="AD1099" s="93">
        <v>0.0</v>
      </c>
      <c r="AE1099" s="32">
        <f t="shared" si="2"/>
        <v>-42400</v>
      </c>
      <c r="AF1099" s="93">
        <v>0.0</v>
      </c>
    </row>
    <row r="1100">
      <c r="A1100" s="86">
        <v>2018.0</v>
      </c>
      <c r="B1100" s="87">
        <v>8.0</v>
      </c>
      <c r="C1100" s="88" t="s">
        <v>56</v>
      </c>
      <c r="D1100" s="32"/>
      <c r="E1100" s="93">
        <v>-38800.0</v>
      </c>
      <c r="F1100" s="32"/>
      <c r="G1100" s="93">
        <v>-4538.48</v>
      </c>
      <c r="H1100" s="93">
        <v>17369.48</v>
      </c>
      <c r="I1100" s="93">
        <v>2507.0</v>
      </c>
      <c r="J1100" s="93">
        <v>6957.09</v>
      </c>
      <c r="K1100" s="32"/>
      <c r="L1100" s="32"/>
      <c r="M1100" s="32"/>
      <c r="N1100" s="32"/>
      <c r="O1100" s="93">
        <v>1116473.0</v>
      </c>
      <c r="P1100" s="91">
        <f>IFERROR(__xludf.DUMMYFUNCTION("IFERROR(sum(FILTER($D:$N,$C:$C = $C1100,$A:$A &lt; $A1100,$B:$B = 12)),0) + sum($D1100:$N1100)"),1116472.92)</f>
        <v>1116472.92</v>
      </c>
      <c r="Q1100" s="92">
        <f t="shared" si="1"/>
        <v>0.08000000007</v>
      </c>
      <c r="R1100" s="91">
        <f t="array" ref="R1100">IFERROR(INDEX('Fund YTD Target Values'!$1:$1000, MATCH($C1100,'Fund YTD Target Values'!$A:$A,0), MATCH($A1100,'Fund YTD Target Values'!$1:$1,0)),0)</f>
        <v>1060725.595</v>
      </c>
      <c r="S1100" s="91">
        <f>IFERROR(__xludf.DUMMYFUNCTION("IFERROR(sum(FILTER('Fund Investment Data'!$V:$V, 'Fund Investment Data'!$C:$C = $C1100, 'Fund Investment Data'!$A:$A &lt; $A1100)),0) + IFERROR(sum(FILTER('Fund Investment Data'!$V:$V, 'Fund Investment Data'!$C:$C = $C1100, 'Fund Investment Data'!$A:$A = $A1"&amp;"100, 'Fund Investment Data'!$B:$B &lt;= $B1100)),0)"),1000000.0)</f>
        <v>1000000</v>
      </c>
      <c r="T1100" s="93">
        <v>1000000.0</v>
      </c>
      <c r="U1100" s="32">
        <f t="shared" si="11"/>
        <v>0</v>
      </c>
      <c r="V1100" s="32">
        <f>IFERROR(__xludf.DUMMYFUNCTION("$D1100 - IFERROR(FILTER($D:$D,$C:$C = $C1100, $A:$A = $A1100, $B:$B = $B1100 - 1),0)"),0.0)</f>
        <v>0</v>
      </c>
      <c r="W1100" s="93">
        <f>IFERROR(__xludf.DUMMYFUNCTION("$E1100 - IFERROR(FILTER($E:$E,$C:$C = $C1100, $A:$A = $A1100, $B:$B = $B1100 - 1),0)"),-10000.0)</f>
        <v>-10000</v>
      </c>
      <c r="X1100" s="93"/>
      <c r="Y1100" s="93"/>
      <c r="Z1100" s="93">
        <v>0.0</v>
      </c>
      <c r="AA1100" s="93">
        <v>0.0</v>
      </c>
      <c r="AB1100" s="93">
        <v>0.0</v>
      </c>
      <c r="AC1100" s="93"/>
      <c r="AD1100" s="93">
        <v>0.0</v>
      </c>
      <c r="AE1100" s="32">
        <f t="shared" si="2"/>
        <v>-38800</v>
      </c>
      <c r="AF1100" s="93">
        <v>0.0</v>
      </c>
    </row>
    <row r="1101">
      <c r="A1101" s="86">
        <v>2018.0</v>
      </c>
      <c r="B1101" s="87">
        <v>8.0</v>
      </c>
      <c r="C1101" s="88" t="s">
        <v>57</v>
      </c>
      <c r="D1101" s="32"/>
      <c r="E1101" s="32"/>
      <c r="F1101" s="32"/>
      <c r="G1101" s="93">
        <v>-8204.0</v>
      </c>
      <c r="H1101" s="93">
        <v>31621.84</v>
      </c>
      <c r="I1101" s="32"/>
      <c r="J1101" s="93">
        <v>17427.26</v>
      </c>
      <c r="K1101" s="32"/>
      <c r="L1101" s="32"/>
      <c r="M1101" s="32"/>
      <c r="N1101" s="32"/>
      <c r="O1101" s="93">
        <v>2076024.0</v>
      </c>
      <c r="P1101" s="91">
        <f>IFERROR(__xludf.DUMMYFUNCTION("IFERROR(sum(FILTER($D:$N,$C:$C = $C1101,$A:$A &lt; $A1101,$B:$B = 12)),0) + sum($D1101:$N1101)"),2076023.9300000002)</f>
        <v>2076023.93</v>
      </c>
      <c r="Q1101" s="92">
        <f t="shared" si="1"/>
        <v>0.06999999983</v>
      </c>
      <c r="R1101" s="91">
        <f t="array" ref="R1101">IFERROR(INDEX('Fund YTD Target Values'!$1:$1000, MATCH($C1101,'Fund YTD Target Values'!$A:$A,0), MATCH($A1101,'Fund YTD Target Values'!$1:$1,0)),0)</f>
        <v>2048853.692</v>
      </c>
      <c r="S1101" s="91">
        <f>IFERROR(__xludf.DUMMYFUNCTION("IFERROR(sum(FILTER('Fund Investment Data'!$V:$V, 'Fund Investment Data'!$C:$C = $C1101, 'Fund Investment Data'!$A:$A &lt; $A1101)),0) + IFERROR(sum(FILTER('Fund Investment Data'!$V:$V, 'Fund Investment Data'!$C:$C = $C1101, 'Fund Investment Data'!$A:$A = $A1"&amp;"101, 'Fund Investment Data'!$B:$B &lt;= $B1101)),0)"),2000000.0)</f>
        <v>2000000</v>
      </c>
      <c r="T1101" s="93">
        <v>2000000.0</v>
      </c>
      <c r="U1101" s="32">
        <f t="shared" si="11"/>
        <v>0</v>
      </c>
      <c r="V1101" s="32">
        <f>IFERROR(__xludf.DUMMYFUNCTION("$D1101 - IFERROR(FILTER($D:$D,$C:$C = $C1101, $A:$A = $A1101, $B:$B = $B1101 - 1),0)"),0.0)</f>
        <v>0</v>
      </c>
      <c r="W1101" s="93">
        <f>IFERROR(__xludf.DUMMYFUNCTION("$E1101 - IFERROR(FILTER($E:$E,$C:$C = $C1101, $A:$A = $A1101, $B:$B = $B1101 - 1),0)"),0.0)</f>
        <v>0</v>
      </c>
      <c r="X1101" s="93"/>
      <c r="Y1101" s="93"/>
      <c r="Z1101" s="93">
        <v>0.0</v>
      </c>
      <c r="AA1101" s="93">
        <v>0.0</v>
      </c>
      <c r="AB1101" s="93">
        <v>0.0</v>
      </c>
      <c r="AC1101" s="93"/>
      <c r="AD1101" s="93">
        <v>0.0</v>
      </c>
      <c r="AE1101" s="32">
        <f t="shared" si="2"/>
        <v>0</v>
      </c>
      <c r="AF1101" s="93">
        <v>0.0</v>
      </c>
    </row>
    <row r="1102">
      <c r="A1102" s="86">
        <v>2018.0</v>
      </c>
      <c r="B1102" s="87">
        <v>8.0</v>
      </c>
      <c r="C1102" s="88" t="s">
        <v>58</v>
      </c>
      <c r="D1102" s="32"/>
      <c r="E1102" s="32"/>
      <c r="F1102" s="32"/>
      <c r="G1102" s="93">
        <v>-8204.0</v>
      </c>
      <c r="H1102" s="93">
        <v>31621.84</v>
      </c>
      <c r="I1102" s="32"/>
      <c r="J1102" s="93">
        <v>17427.26</v>
      </c>
      <c r="K1102" s="32"/>
      <c r="L1102" s="32"/>
      <c r="M1102" s="32"/>
      <c r="N1102" s="32"/>
      <c r="O1102" s="93">
        <v>2076024.0</v>
      </c>
      <c r="P1102" s="91">
        <f>IFERROR(__xludf.DUMMYFUNCTION("IFERROR(sum(FILTER($D:$N,$C:$C = $C1102,$A:$A &lt; $A1102,$B:$B = 12)),0) + sum($D1102:$N1102)"),2076023.9300000002)</f>
        <v>2076023.93</v>
      </c>
      <c r="Q1102" s="92">
        <f t="shared" si="1"/>
        <v>0.06999999983</v>
      </c>
      <c r="R1102" s="91">
        <f t="array" ref="R1102">IFERROR(INDEX('Fund YTD Target Values'!$1:$1000, MATCH($C1102,'Fund YTD Target Values'!$A:$A,0), MATCH($A1102,'Fund YTD Target Values'!$1:$1,0)),0)</f>
        <v>2048853.692</v>
      </c>
      <c r="S1102" s="91">
        <f>IFERROR(__xludf.DUMMYFUNCTION("IFERROR(sum(FILTER('Fund Investment Data'!$V:$V, 'Fund Investment Data'!$C:$C = $C1102, 'Fund Investment Data'!$A:$A &lt; $A1102)),0) + IFERROR(sum(FILTER('Fund Investment Data'!$V:$V, 'Fund Investment Data'!$C:$C = $C1102, 'Fund Investment Data'!$A:$A = $A1"&amp;"102, 'Fund Investment Data'!$B:$B &lt;= $B1102)),0)"),2000000.0)</f>
        <v>2000000</v>
      </c>
      <c r="T1102" s="93">
        <v>2000000.0</v>
      </c>
      <c r="U1102" s="32">
        <f t="shared" si="11"/>
        <v>0</v>
      </c>
      <c r="V1102" s="32">
        <f>IFERROR(__xludf.DUMMYFUNCTION("$D1102 - IFERROR(FILTER($D:$D,$C:$C = $C1102, $A:$A = $A1102, $B:$B = $B1102 - 1),0)"),0.0)</f>
        <v>0</v>
      </c>
      <c r="W1102" s="93">
        <f>IFERROR(__xludf.DUMMYFUNCTION("$E1102 - IFERROR(FILTER($E:$E,$C:$C = $C1102, $A:$A = $A1102, $B:$B = $B1102 - 1),0)"),0.0)</f>
        <v>0</v>
      </c>
      <c r="X1102" s="93"/>
      <c r="Y1102" s="93"/>
      <c r="Z1102" s="93">
        <v>0.0</v>
      </c>
      <c r="AA1102" s="93">
        <v>0.0</v>
      </c>
      <c r="AB1102" s="93">
        <v>0.0</v>
      </c>
      <c r="AC1102" s="93"/>
      <c r="AD1102" s="93">
        <v>0.0</v>
      </c>
      <c r="AE1102" s="32">
        <f t="shared" si="2"/>
        <v>0</v>
      </c>
      <c r="AF1102" s="93">
        <v>0.0</v>
      </c>
    </row>
    <row r="1103">
      <c r="A1103" s="86">
        <v>2018.0</v>
      </c>
      <c r="B1103" s="87">
        <v>9.0</v>
      </c>
      <c r="C1103" s="88" t="s">
        <v>26</v>
      </c>
      <c r="D1103" s="93">
        <v>18189.0</v>
      </c>
      <c r="E1103" s="93">
        <v>-15000.0</v>
      </c>
      <c r="F1103" s="32"/>
      <c r="G1103" s="93">
        <v>-1551.64</v>
      </c>
      <c r="H1103" s="93">
        <v>5553.85</v>
      </c>
      <c r="I1103" s="93">
        <v>587.37</v>
      </c>
      <c r="J1103" s="93">
        <v>923.82</v>
      </c>
      <c r="K1103" s="32"/>
      <c r="L1103" s="32"/>
      <c r="M1103" s="32"/>
      <c r="N1103" s="32"/>
      <c r="O1103" s="93">
        <v>340635.0</v>
      </c>
      <c r="P1103" s="91">
        <f>IFERROR(__xludf.DUMMYFUNCTION("IFERROR(sum(FILTER($D:$N,$C:$C = $C1103,$A:$A &lt; $A1103,$B:$B = 12)),0) + sum($D1103:$N1103)"),340633.36)</f>
        <v>340633.36</v>
      </c>
      <c r="Q1103" s="92">
        <f t="shared" si="1"/>
        <v>1.64</v>
      </c>
      <c r="R1103" s="91">
        <f t="array" ref="R1103">IFERROR(INDEX('Fund YTD Target Values'!$1:$1000, MATCH($C1103,'Fund YTD Target Values'!$A:$A,0), MATCH($A1103,'Fund YTD Target Values'!$1:$1,0)),0)</f>
        <v>378110.9215</v>
      </c>
      <c r="S1103" s="91">
        <f>IFERROR(__xludf.DUMMYFUNCTION("IFERROR(sum(FILTER('Fund Investment Data'!$V:$V, 'Fund Investment Data'!$C:$C = $C1103, 'Fund Investment Data'!$A:$A &lt; $A1103)),0) + IFERROR(sum(FILTER('Fund Investment Data'!$V:$V, 'Fund Investment Data'!$C:$C = $C1103, 'Fund Investment Data'!$A:$A = $A1"&amp;"103, 'Fund Investment Data'!$B:$B &lt;= $B1103)),0)"),310249.0)</f>
        <v>310249</v>
      </c>
      <c r="T1103" s="93">
        <v>310250.0</v>
      </c>
      <c r="U1103" s="32">
        <f t="shared" si="11"/>
        <v>-1</v>
      </c>
      <c r="V1103" s="32">
        <f>IFERROR(__xludf.DUMMYFUNCTION("$D1103 - IFERROR(FILTER($D:$D,$C:$C = $C1103, $A:$A = $A1103, $B:$B = $B1103 - 1),0)"),0.0)</f>
        <v>0</v>
      </c>
      <c r="W1103" s="93">
        <f>IFERROR(__xludf.DUMMYFUNCTION("$E1103 - IFERROR(FILTER($E:$E,$C:$C = $C1103, $A:$A = $A1103, $B:$B = $B1103 - 1),0)"),-2700.0)</f>
        <v>-2700</v>
      </c>
      <c r="X1103" s="93"/>
      <c r="Y1103" s="93"/>
      <c r="Z1103" s="93">
        <v>0.0</v>
      </c>
      <c r="AA1103" s="93">
        <v>0.0</v>
      </c>
      <c r="AB1103" s="93">
        <v>0.0</v>
      </c>
      <c r="AC1103" s="93"/>
      <c r="AD1103" s="93">
        <v>0.0</v>
      </c>
      <c r="AE1103" s="32">
        <f t="shared" si="2"/>
        <v>-15000</v>
      </c>
      <c r="AF1103" s="93">
        <v>0.0</v>
      </c>
    </row>
    <row r="1104">
      <c r="A1104" s="86">
        <v>2018.0</v>
      </c>
      <c r="B1104" s="87">
        <v>9.0</v>
      </c>
      <c r="C1104" s="88" t="s">
        <v>27</v>
      </c>
      <c r="D1104" s="32"/>
      <c r="E1104" s="93">
        <v>-15000.0</v>
      </c>
      <c r="F1104" s="32"/>
      <c r="G1104" s="93">
        <v>-1390.11</v>
      </c>
      <c r="H1104" s="93">
        <v>5040.27</v>
      </c>
      <c r="I1104" s="93">
        <v>3753.69</v>
      </c>
      <c r="J1104" s="93">
        <v>-2310.81</v>
      </c>
      <c r="K1104" s="32"/>
      <c r="L1104" s="32"/>
      <c r="M1104" s="32"/>
      <c r="N1104" s="32"/>
      <c r="O1104" s="93">
        <v>298578.0</v>
      </c>
      <c r="P1104" s="91">
        <f>IFERROR(__xludf.DUMMYFUNCTION("IFERROR(sum(FILTER($D:$N,$C:$C = $C1104,$A:$A &lt; $A1104,$B:$B = 12)),0) + sum($D1104:$N1104)"),298578.44000000006)</f>
        <v>298578.44</v>
      </c>
      <c r="Q1104" s="92">
        <f t="shared" si="1"/>
        <v>-0.4400000001</v>
      </c>
      <c r="R1104" s="91">
        <f t="array" ref="R1104">IFERROR(INDEX('Fund YTD Target Values'!$1:$1000, MATCH($C1104,'Fund YTD Target Values'!$A:$A,0), MATCH($A1104,'Fund YTD Target Values'!$1:$1,0)),0)</f>
        <v>393297.582</v>
      </c>
      <c r="S1104" s="91">
        <f>IFERROR(__xludf.DUMMYFUNCTION("IFERROR(sum(FILTER('Fund Investment Data'!$V:$V, 'Fund Investment Data'!$C:$C = $C1104, 'Fund Investment Data'!$A:$A &lt; $A1104)),0) + IFERROR(sum(FILTER('Fund Investment Data'!$V:$V, 'Fund Investment Data'!$C:$C = $C1104, 'Fund Investment Data'!$A:$A = $A1"&amp;"104, 'Fund Investment Data'!$B:$B &lt;= $B1104)),0)"),276213.69999999995)</f>
        <v>276213.7</v>
      </c>
      <c r="T1104" s="93">
        <v>272248.0</v>
      </c>
      <c r="U1104" s="32">
        <f t="shared" si="11"/>
        <v>3965.7</v>
      </c>
      <c r="V1104" s="32">
        <f>IFERROR(__xludf.DUMMYFUNCTION("$D1104 - IFERROR(FILTER($D:$D,$C:$C = $C1104, $A:$A = $A1104, $B:$B = $B1104 - 1),0)"),0.0)</f>
        <v>0</v>
      </c>
      <c r="W1104" s="93">
        <f>IFERROR(__xludf.DUMMYFUNCTION("$E1104 - IFERROR(FILTER($E:$E,$C:$C = $C1104, $A:$A = $A1104, $B:$B = $B1104 - 1),0)"),-4500.0)</f>
        <v>-4500</v>
      </c>
      <c r="X1104" s="93"/>
      <c r="Y1104" s="93"/>
      <c r="Z1104" s="93">
        <v>0.0</v>
      </c>
      <c r="AA1104" s="93">
        <v>0.0</v>
      </c>
      <c r="AB1104" s="93">
        <v>0.0</v>
      </c>
      <c r="AC1104" s="93"/>
      <c r="AD1104" s="93">
        <v>0.0</v>
      </c>
      <c r="AE1104" s="32">
        <f t="shared" si="2"/>
        <v>-15000</v>
      </c>
      <c r="AF1104" s="93">
        <v>0.0</v>
      </c>
    </row>
    <row r="1105">
      <c r="A1105" s="86">
        <v>2018.0</v>
      </c>
      <c r="B1105" s="87">
        <v>9.0</v>
      </c>
      <c r="C1105" s="88" t="s">
        <v>28</v>
      </c>
      <c r="D1105" s="32"/>
      <c r="E1105" s="93">
        <v>-165000.0</v>
      </c>
      <c r="F1105" s="32"/>
      <c r="G1105" s="93">
        <v>-14890.64</v>
      </c>
      <c r="H1105" s="93">
        <v>53972.27</v>
      </c>
      <c r="I1105" s="93">
        <v>39189.66</v>
      </c>
      <c r="J1105" s="93">
        <v>-23539.01</v>
      </c>
      <c r="K1105" s="32"/>
      <c r="L1105" s="32"/>
      <c r="M1105" s="32"/>
      <c r="N1105" s="32"/>
      <c r="O1105" s="93">
        <v>3198959.0</v>
      </c>
      <c r="P1105" s="91">
        <f>IFERROR(__xludf.DUMMYFUNCTION("IFERROR(sum(FILTER($D:$N,$C:$C = $C1105,$A:$A &lt; $A1105,$B:$B = 12)),0) + sum($D1105:$N1105)"),3198958.3499999996)</f>
        <v>3198958.35</v>
      </c>
      <c r="Q1105" s="92">
        <f t="shared" si="1"/>
        <v>0.6500000004</v>
      </c>
      <c r="R1105" s="91">
        <f t="array" ref="R1105">IFERROR(INDEX('Fund YTD Target Values'!$1:$1000, MATCH($C1105,'Fund YTD Target Values'!$A:$A,0), MATCH($A1105,'Fund YTD Target Values'!$1:$1,0)),0)</f>
        <v>3840487.513</v>
      </c>
      <c r="S1105" s="91">
        <f>IFERROR(__xludf.DUMMYFUNCTION("IFERROR(sum(FILTER('Fund Investment Data'!$V:$V, 'Fund Investment Data'!$C:$C = $C1105, 'Fund Investment Data'!$A:$A &lt; $A1105)),0) + IFERROR(sum(FILTER('Fund Investment Data'!$V:$V, 'Fund Investment Data'!$C:$C = $C1105, 'Fund Investment Data'!$A:$A = $A1"&amp;"105, 'Fund Investment Data'!$B:$B &lt;= $B1105)),0)"),2960091.25)</f>
        <v>2960091.25</v>
      </c>
      <c r="T1105" s="93">
        <v>3009816.0</v>
      </c>
      <c r="U1105" s="32">
        <f t="shared" si="11"/>
        <v>-49724.75</v>
      </c>
      <c r="V1105" s="32">
        <f>IFERROR(__xludf.DUMMYFUNCTION("$D1105 - IFERROR(FILTER($D:$D,$C:$C = $C1105, $A:$A = $A1105, $B:$B = $B1105 - 1),0)"),0.0)</f>
        <v>0</v>
      </c>
      <c r="W1105" s="93">
        <f>IFERROR(__xludf.DUMMYFUNCTION("$E1105 - IFERROR(FILTER($E:$E,$C:$C = $C1105, $A:$A = $A1105, $B:$B = $B1105 - 1),0)"),-63000.0)</f>
        <v>-63000</v>
      </c>
      <c r="X1105" s="93"/>
      <c r="Y1105" s="93"/>
      <c r="Z1105" s="93">
        <v>0.0</v>
      </c>
      <c r="AA1105" s="93">
        <v>0.0</v>
      </c>
      <c r="AB1105" s="93">
        <v>0.0</v>
      </c>
      <c r="AC1105" s="93"/>
      <c r="AD1105" s="93">
        <v>0.0</v>
      </c>
      <c r="AE1105" s="32">
        <f t="shared" si="2"/>
        <v>-165000</v>
      </c>
      <c r="AF1105" s="93">
        <v>0.0</v>
      </c>
    </row>
    <row r="1106">
      <c r="A1106" s="86">
        <v>2018.0</v>
      </c>
      <c r="B1106" s="87">
        <v>9.0</v>
      </c>
      <c r="C1106" s="88" t="s">
        <v>46</v>
      </c>
      <c r="D1106" s="32"/>
      <c r="E1106" s="93">
        <v>-27000.0</v>
      </c>
      <c r="F1106" s="32"/>
      <c r="G1106" s="93">
        <v>-1762.97</v>
      </c>
      <c r="H1106" s="93">
        <v>6402.36</v>
      </c>
      <c r="I1106" s="93">
        <v>7488.53</v>
      </c>
      <c r="J1106" s="93">
        <v>-5648.43</v>
      </c>
      <c r="K1106" s="32"/>
      <c r="L1106" s="32"/>
      <c r="M1106" s="32"/>
      <c r="N1106" s="32"/>
      <c r="O1106" s="93">
        <v>372987.0</v>
      </c>
      <c r="P1106" s="91">
        <f>IFERROR(__xludf.DUMMYFUNCTION("IFERROR(sum(FILTER($D:$N,$C:$C = $C1106,$A:$A &lt; $A1106,$B:$B = 12)),0) + sum($D1106:$N1106)"),372987.15)</f>
        <v>372987.15</v>
      </c>
      <c r="Q1106" s="92">
        <f t="shared" si="1"/>
        <v>-0.15</v>
      </c>
      <c r="R1106" s="91">
        <f t="array" ref="R1106">IFERROR(INDEX('Fund YTD Target Values'!$1:$1000, MATCH($C1106,'Fund YTD Target Values'!$A:$A,0), MATCH($A1106,'Fund YTD Target Values'!$1:$1,0)),0)</f>
        <v>456546.9656</v>
      </c>
      <c r="S1106" s="91">
        <f>IFERROR(__xludf.DUMMYFUNCTION("IFERROR(sum(FILTER('Fund Investment Data'!$V:$V, 'Fund Investment Data'!$C:$C = $C1106, 'Fund Investment Data'!$A:$A &lt; $A1106)),0) + IFERROR(sum(FILTER('Fund Investment Data'!$V:$V, 'Fund Investment Data'!$C:$C = $C1106, 'Fund Investment Data'!$A:$A = $A1"&amp;"106, 'Fund Investment Data'!$B:$B &lt;= $B1106)),0)"),366400.0)</f>
        <v>366400</v>
      </c>
      <c r="T1106" s="93">
        <v>366400.0</v>
      </c>
      <c r="U1106" s="32">
        <f t="shared" si="11"/>
        <v>0</v>
      </c>
      <c r="V1106" s="32">
        <f>IFERROR(__xludf.DUMMYFUNCTION("$D1106 - IFERROR(FILTER($D:$D,$C:$C = $C1106, $A:$A = $A1106, $B:$B = $B1106 - 1),0)"),0.0)</f>
        <v>0</v>
      </c>
      <c r="W1106" s="93">
        <f>IFERROR(__xludf.DUMMYFUNCTION("$E1106 - IFERROR(FILTER($E:$E,$C:$C = $C1106, $A:$A = $A1106, $B:$B = $B1106 - 1),0)"),-7400.0)</f>
        <v>-7400</v>
      </c>
      <c r="X1106" s="93"/>
      <c r="Y1106" s="93"/>
      <c r="Z1106" s="93">
        <v>0.0</v>
      </c>
      <c r="AA1106" s="93">
        <v>0.0</v>
      </c>
      <c r="AB1106" s="93">
        <v>0.0</v>
      </c>
      <c r="AC1106" s="93"/>
      <c r="AD1106" s="93">
        <v>0.0</v>
      </c>
      <c r="AE1106" s="32">
        <f t="shared" si="2"/>
        <v>-27000</v>
      </c>
      <c r="AF1106" s="93">
        <v>0.0</v>
      </c>
    </row>
    <row r="1107">
      <c r="A1107" s="86">
        <v>2018.0</v>
      </c>
      <c r="B1107" s="87">
        <v>9.0</v>
      </c>
      <c r="C1107" s="88" t="s">
        <v>36</v>
      </c>
      <c r="D1107" s="32"/>
      <c r="E1107" s="93">
        <v>-24000.0</v>
      </c>
      <c r="F1107" s="32"/>
      <c r="G1107" s="93">
        <v>-2027.95</v>
      </c>
      <c r="H1107" s="93">
        <v>7356.63</v>
      </c>
      <c r="I1107" s="93">
        <v>6209.06</v>
      </c>
      <c r="J1107" s="93">
        <v>-4086.79</v>
      </c>
      <c r="K1107" s="32"/>
      <c r="L1107" s="32"/>
      <c r="M1107" s="32"/>
      <c r="N1107" s="32"/>
      <c r="O1107" s="93">
        <v>434206.0</v>
      </c>
      <c r="P1107" s="91">
        <f>IFERROR(__xludf.DUMMYFUNCTION("IFERROR(sum(FILTER($D:$N,$C:$C = $C1107,$A:$A &lt; $A1107,$B:$B = 12)),0) + sum($D1107:$N1107)"),434205.41000000003)</f>
        <v>434205.41</v>
      </c>
      <c r="Q1107" s="92">
        <f t="shared" si="1"/>
        <v>0.59</v>
      </c>
      <c r="R1107" s="91">
        <f t="array" ref="R1107">IFERROR(INDEX('Fund YTD Target Values'!$1:$1000, MATCH($C1107,'Fund YTD Target Values'!$A:$A,0), MATCH($A1107,'Fund YTD Target Values'!$1:$1,0)),0)</f>
        <v>635486.6433</v>
      </c>
      <c r="S1107" s="91">
        <f>IFERROR(__xludf.DUMMYFUNCTION("IFERROR(sum(FILTER('Fund Investment Data'!$V:$V, 'Fund Investment Data'!$C:$C = $C1107, 'Fund Investment Data'!$A:$A &lt; $A1107)),0) + IFERROR(sum(FILTER('Fund Investment Data'!$V:$V, 'Fund Investment Data'!$C:$C = $C1107, 'Fund Investment Data'!$A:$A = $A1"&amp;"107, 'Fund Investment Data'!$B:$B &lt;= $B1107)),0)"),429067.24)</f>
        <v>429067.24</v>
      </c>
      <c r="T1107" s="93">
        <v>413959.0</v>
      </c>
      <c r="U1107" s="32">
        <f t="shared" si="11"/>
        <v>15108.24</v>
      </c>
      <c r="V1107" s="32">
        <f>IFERROR(__xludf.DUMMYFUNCTION("$D1107 - IFERROR(FILTER($D:$D,$C:$C = $C1107, $A:$A = $A1107, $B:$B = $B1107 - 1),0)"),0.0)</f>
        <v>0</v>
      </c>
      <c r="W1107" s="93">
        <f>IFERROR(__xludf.DUMMYFUNCTION("$E1107 - IFERROR(FILTER($E:$E,$C:$C = $C1107, $A:$A = $A1107, $B:$B = $B1107 - 1),0)"),-9000.0)</f>
        <v>-9000</v>
      </c>
      <c r="X1107" s="93"/>
      <c r="Y1107" s="93"/>
      <c r="Z1107" s="93">
        <v>0.0</v>
      </c>
      <c r="AA1107" s="93">
        <v>0.0</v>
      </c>
      <c r="AB1107" s="93">
        <v>0.0</v>
      </c>
      <c r="AC1107" s="93"/>
      <c r="AD1107" s="93">
        <v>0.0</v>
      </c>
      <c r="AE1107" s="32">
        <f t="shared" si="2"/>
        <v>-24000</v>
      </c>
      <c r="AF1107" s="93">
        <v>0.0</v>
      </c>
    </row>
    <row r="1108">
      <c r="A1108" s="86">
        <v>2018.0</v>
      </c>
      <c r="B1108" s="87">
        <v>9.0</v>
      </c>
      <c r="C1108" s="88" t="s">
        <v>37</v>
      </c>
      <c r="D1108" s="32"/>
      <c r="E1108" s="93">
        <v>-40000.0</v>
      </c>
      <c r="F1108" s="32"/>
      <c r="G1108" s="93">
        <v>-3703.04</v>
      </c>
      <c r="H1108" s="93">
        <v>13434.96</v>
      </c>
      <c r="I1108" s="93">
        <v>7738.91</v>
      </c>
      <c r="J1108" s="93">
        <v>-3866.3</v>
      </c>
      <c r="K1108" s="32"/>
      <c r="L1108" s="32"/>
      <c r="M1108" s="32"/>
      <c r="N1108" s="32"/>
      <c r="O1108" s="93">
        <v>796934.0</v>
      </c>
      <c r="P1108" s="91">
        <f>IFERROR(__xludf.DUMMYFUNCTION("IFERROR(sum(FILTER($D:$N,$C:$C = $C1108,$A:$A &lt; $A1108,$B:$B = 12)),0) + sum($D1108:$N1108)"),796933.7699999999)</f>
        <v>796933.77</v>
      </c>
      <c r="Q1108" s="92">
        <f t="shared" si="1"/>
        <v>0.2300000001</v>
      </c>
      <c r="R1108" s="91">
        <f t="array" ref="R1108">IFERROR(INDEX('Fund YTD Target Values'!$1:$1000, MATCH($C1108,'Fund YTD Target Values'!$A:$A,0), MATCH($A1108,'Fund YTD Target Values'!$1:$1,0)),0)</f>
        <v>845621.3635</v>
      </c>
      <c r="S1108" s="91">
        <f>IFERROR(__xludf.DUMMYFUNCTION("IFERROR(sum(FILTER('Fund Investment Data'!$V:$V, 'Fund Investment Data'!$C:$C = $C1108, 'Fund Investment Data'!$A:$A &lt; $A1108)),0) + IFERROR(sum(FILTER('Fund Investment Data'!$V:$V, 'Fund Investment Data'!$C:$C = $C1108, 'Fund Investment Data'!$A:$A = $A1"&amp;"108, 'Fund Investment Data'!$B:$B &lt;= $B1108)),0)"),758137.86)</f>
        <v>758137.86</v>
      </c>
      <c r="T1108" s="93">
        <v>742866.0</v>
      </c>
      <c r="U1108" s="32">
        <f t="shared" si="11"/>
        <v>15271.86</v>
      </c>
      <c r="V1108" s="32">
        <f>IFERROR(__xludf.DUMMYFUNCTION("$D1108 - IFERROR(FILTER($D:$D,$C:$C = $C1108, $A:$A = $A1108, $B:$B = $B1108 - 1),0)"),0.0)</f>
        <v>0</v>
      </c>
      <c r="W1108" s="93">
        <f>IFERROR(__xludf.DUMMYFUNCTION("$E1108 - IFERROR(FILTER($E:$E,$C:$C = $C1108, $A:$A = $A1108, $B:$B = $B1108 - 1),0)"),-11200.0)</f>
        <v>-11200</v>
      </c>
      <c r="X1108" s="93"/>
      <c r="Y1108" s="93"/>
      <c r="Z1108" s="93">
        <v>0.0</v>
      </c>
      <c r="AA1108" s="93">
        <v>0.0</v>
      </c>
      <c r="AB1108" s="93">
        <v>0.0</v>
      </c>
      <c r="AC1108" s="93"/>
      <c r="AD1108" s="93">
        <v>0.0</v>
      </c>
      <c r="AE1108" s="32">
        <f t="shared" si="2"/>
        <v>-40000</v>
      </c>
      <c r="AF1108" s="93">
        <v>0.0</v>
      </c>
    </row>
    <row r="1109">
      <c r="A1109" s="86">
        <v>2018.0</v>
      </c>
      <c r="B1109" s="87">
        <v>9.0</v>
      </c>
      <c r="C1109" s="88" t="s">
        <v>29</v>
      </c>
      <c r="D1109" s="32"/>
      <c r="E1109" s="93"/>
      <c r="F1109" s="32"/>
      <c r="G1109" s="93">
        <v>-264.11</v>
      </c>
      <c r="H1109" s="93">
        <v>954.7</v>
      </c>
      <c r="I1109" s="93"/>
      <c r="J1109" s="93">
        <v>285.02</v>
      </c>
      <c r="K1109" s="32"/>
      <c r="L1109" s="32"/>
      <c r="M1109" s="32"/>
      <c r="N1109" s="32"/>
      <c r="O1109" s="93">
        <v>59137.0</v>
      </c>
      <c r="P1109" s="91">
        <f>IFERROR(__xludf.DUMMYFUNCTION("IFERROR(sum(FILTER($D:$N,$C:$C = $C1109,$A:$A &lt; $A1109,$B:$B = 12)),0) + sum($D1109:$N1109)"),59136.919999999925)</f>
        <v>59136.92</v>
      </c>
      <c r="Q1109" s="92">
        <f t="shared" si="1"/>
        <v>0.08000000007</v>
      </c>
      <c r="R1109" s="91">
        <f t="array" ref="R1109">IFERROR(INDEX('Fund YTD Target Values'!$1:$1000, MATCH($C1109,'Fund YTD Target Values'!$A:$A,0), MATCH($A1109,'Fund YTD Target Values'!$1:$1,0)),0)</f>
        <v>77055.94062</v>
      </c>
      <c r="S1109" s="91">
        <f>IFERROR(__xludf.DUMMYFUNCTION("IFERROR(sum(FILTER('Fund Investment Data'!$V:$V, 'Fund Investment Data'!$C:$C = $C1109, 'Fund Investment Data'!$A:$A &lt; $A1109)),0) + IFERROR(sum(FILTER('Fund Investment Data'!$V:$V, 'Fund Investment Data'!$C:$C = $C1109, 'Fund Investment Data'!$A:$A = $A1"&amp;"109, 'Fund Investment Data'!$B:$B &lt;= $B1109)),0)"),50000.0)</f>
        <v>50000</v>
      </c>
      <c r="T1109" s="93">
        <v>50000.0</v>
      </c>
      <c r="U1109" s="32">
        <f t="shared" si="11"/>
        <v>0</v>
      </c>
      <c r="V1109" s="32">
        <f>IFERROR(__xludf.DUMMYFUNCTION("$D1109 - IFERROR(FILTER($D:$D,$C:$C = $C1109, $A:$A = $A1109, $B:$B = $B1109 - 1),0)"),0.0)</f>
        <v>0</v>
      </c>
      <c r="W1109" s="93">
        <f>IFERROR(__xludf.DUMMYFUNCTION("$E1109 - IFERROR(FILTER($E:$E,$C:$C = $C1109, $A:$A = $A1109, $B:$B = $B1109 - 1),0)"),0.0)</f>
        <v>0</v>
      </c>
      <c r="X1109" s="93"/>
      <c r="Y1109" s="93"/>
      <c r="Z1109" s="93">
        <v>0.0</v>
      </c>
      <c r="AA1109" s="93">
        <v>0.0</v>
      </c>
      <c r="AB1109" s="93">
        <v>0.0</v>
      </c>
      <c r="AC1109" s="93"/>
      <c r="AD1109" s="93">
        <v>0.0</v>
      </c>
      <c r="AE1109" s="32">
        <f t="shared" si="2"/>
        <v>0</v>
      </c>
      <c r="AF1109" s="93">
        <v>0.0</v>
      </c>
    </row>
    <row r="1110">
      <c r="A1110" s="86">
        <v>2018.0</v>
      </c>
      <c r="B1110" s="87">
        <v>9.0</v>
      </c>
      <c r="C1110" s="88" t="s">
        <v>38</v>
      </c>
      <c r="D1110" s="32"/>
      <c r="E1110" s="93">
        <v>-20000.0</v>
      </c>
      <c r="F1110" s="32"/>
      <c r="G1110" s="93">
        <v>-3657.21</v>
      </c>
      <c r="H1110" s="93">
        <v>13212.71</v>
      </c>
      <c r="I1110" s="93"/>
      <c r="J1110" s="93">
        <v>3936.57</v>
      </c>
      <c r="K1110" s="32"/>
      <c r="L1110" s="32"/>
      <c r="M1110" s="32"/>
      <c r="N1110" s="32"/>
      <c r="O1110" s="93">
        <v>808901.0</v>
      </c>
      <c r="P1110" s="91">
        <f>IFERROR(__xludf.DUMMYFUNCTION("IFERROR(sum(FILTER($D:$N,$C:$C = $C1110,$A:$A &lt; $A1110,$B:$B = 12)),0) + sum($D1110:$N1110)"),808900.2099999998)</f>
        <v>808900.21</v>
      </c>
      <c r="Q1110" s="92">
        <f t="shared" si="1"/>
        <v>0.7900000002</v>
      </c>
      <c r="R1110" s="91">
        <f t="array" ref="R1110">IFERROR(INDEX('Fund YTD Target Values'!$1:$1000, MATCH($C1110,'Fund YTD Target Values'!$A:$A,0), MATCH($A1110,'Fund YTD Target Values'!$1:$1,0)),0)</f>
        <v>702514.9803</v>
      </c>
      <c r="S1110" s="91">
        <f>IFERROR(__xludf.DUMMYFUNCTION("IFERROR(sum(FILTER('Fund Investment Data'!$V:$V, 'Fund Investment Data'!$C:$C = $C1110, 'Fund Investment Data'!$A:$A &lt; $A1110)),0) + IFERROR(sum(FILTER('Fund Investment Data'!$V:$V, 'Fund Investment Data'!$C:$C = $C1110, 'Fund Investment Data'!$A:$A = $A1"&amp;"110, 'Fund Investment Data'!$B:$B &lt;= $B1110)),0)"),556601.64)</f>
        <v>556601.64</v>
      </c>
      <c r="T1110" s="93">
        <v>558656.0</v>
      </c>
      <c r="U1110" s="32">
        <f t="shared" si="11"/>
        <v>-2054.36</v>
      </c>
      <c r="V1110" s="32">
        <f>IFERROR(__xludf.DUMMYFUNCTION("$D1110 - IFERROR(FILTER($D:$D,$C:$C = $C1110, $A:$A = $A1110, $B:$B = $B1110 - 1),0)"),0.0)</f>
        <v>0</v>
      </c>
      <c r="W1110" s="93">
        <f>IFERROR(__xludf.DUMMYFUNCTION("$E1110 - IFERROR(FILTER($E:$E,$C:$C = $C1110, $A:$A = $A1110, $B:$B = $B1110 - 1),0)"),0.0)</f>
        <v>0</v>
      </c>
      <c r="X1110" s="93"/>
      <c r="Y1110" s="93"/>
      <c r="Z1110" s="93">
        <v>0.0</v>
      </c>
      <c r="AA1110" s="93">
        <v>0.0</v>
      </c>
      <c r="AB1110" s="93">
        <v>0.0</v>
      </c>
      <c r="AC1110" s="93"/>
      <c r="AD1110" s="93">
        <v>0.0</v>
      </c>
      <c r="AE1110" s="32">
        <f t="shared" si="2"/>
        <v>-20000</v>
      </c>
      <c r="AF1110" s="93">
        <v>0.0</v>
      </c>
    </row>
    <row r="1111">
      <c r="A1111" s="86">
        <v>2018.0</v>
      </c>
      <c r="B1111" s="87">
        <v>9.0</v>
      </c>
      <c r="C1111" s="88" t="s">
        <v>30</v>
      </c>
      <c r="D1111" s="32"/>
      <c r="E1111" s="32"/>
      <c r="F1111" s="32"/>
      <c r="G1111" s="93">
        <v>-78.85</v>
      </c>
      <c r="H1111" s="93">
        <v>280.7</v>
      </c>
      <c r="I1111" s="32"/>
      <c r="J1111" s="93">
        <v>84.66</v>
      </c>
      <c r="K1111" s="32"/>
      <c r="L1111" s="32"/>
      <c r="M1111" s="32"/>
      <c r="N1111" s="32"/>
      <c r="O1111" s="93">
        <v>17656.0</v>
      </c>
      <c r="P1111" s="91">
        <f>IFERROR(__xludf.DUMMYFUNCTION("IFERROR(sum(FILTER($D:$N,$C:$C = $C1111,$A:$A &lt; $A1111,$B:$B = 12)),0) + sum($D1111:$N1111)"),17653.919999999984)</f>
        <v>17653.92</v>
      </c>
      <c r="Q1111" s="92">
        <f t="shared" si="1"/>
        <v>2.08</v>
      </c>
      <c r="R1111" s="91">
        <f t="array" ref="R1111">IFERROR(INDEX('Fund YTD Target Values'!$1:$1000, MATCH($C1111,'Fund YTD Target Values'!$A:$A,0), MATCH($A1111,'Fund YTD Target Values'!$1:$1,0)),0)</f>
        <v>18484.57102</v>
      </c>
      <c r="S1111" s="91">
        <f>IFERROR(__xludf.DUMMYFUNCTION("IFERROR(sum(FILTER('Fund Investment Data'!$V:$V, 'Fund Investment Data'!$C:$C = $C1111, 'Fund Investment Data'!$A:$A &lt; $A1111)),0) + IFERROR(sum(FILTER('Fund Investment Data'!$V:$V, 'Fund Investment Data'!$C:$C = $C1111, 'Fund Investment Data'!$A:$A = $A1"&amp;"111, 'Fund Investment Data'!$B:$B &lt;= $B1111)),0)"),11540.75)</f>
        <v>11540.75</v>
      </c>
      <c r="T1111" s="93">
        <v>10000.0</v>
      </c>
      <c r="U1111" s="32">
        <f t="shared" si="11"/>
        <v>1540.75</v>
      </c>
      <c r="V1111" s="32">
        <f>IFERROR(__xludf.DUMMYFUNCTION("$D1111 - IFERROR(FILTER($D:$D,$C:$C = $C1111, $A:$A = $A1111, $B:$B = $B1111 - 1),0)"),0.0)</f>
        <v>0</v>
      </c>
      <c r="W1111" s="93">
        <f>IFERROR(__xludf.DUMMYFUNCTION("$E1111 - IFERROR(FILTER($E:$E,$C:$C = $C1111, $A:$A = $A1111, $B:$B = $B1111 - 1),0)"),0.0)</f>
        <v>0</v>
      </c>
      <c r="X1111" s="93"/>
      <c r="Y1111" s="93"/>
      <c r="Z1111" s="93">
        <v>0.0</v>
      </c>
      <c r="AA1111" s="93">
        <v>0.0</v>
      </c>
      <c r="AB1111" s="93">
        <v>0.0</v>
      </c>
      <c r="AC1111" s="93"/>
      <c r="AD1111" s="93">
        <v>0.0</v>
      </c>
      <c r="AE1111" s="32">
        <f t="shared" si="2"/>
        <v>0</v>
      </c>
      <c r="AF1111" s="93">
        <v>0.0</v>
      </c>
    </row>
    <row r="1112">
      <c r="A1112" s="86">
        <v>2018.0</v>
      </c>
      <c r="B1112" s="87">
        <v>9.0</v>
      </c>
      <c r="C1112" s="88" t="s">
        <v>47</v>
      </c>
      <c r="D1112" s="93"/>
      <c r="E1112" s="93">
        <v>-67000.0</v>
      </c>
      <c r="F1112" s="32"/>
      <c r="G1112" s="93">
        <v>-6814.86</v>
      </c>
      <c r="H1112" s="93">
        <v>24727.45</v>
      </c>
      <c r="I1112" s="93">
        <v>16087.47</v>
      </c>
      <c r="J1112" s="93">
        <v>-9109.37</v>
      </c>
      <c r="K1112" s="32"/>
      <c r="L1112" s="32"/>
      <c r="M1112" s="32"/>
      <c r="N1112" s="32"/>
      <c r="O1112" s="93">
        <v>1472141.0</v>
      </c>
      <c r="P1112" s="91">
        <f>IFERROR(__xludf.DUMMYFUNCTION("IFERROR(sum(FILTER($D:$N,$C:$C = $C1112,$A:$A &lt; $A1112,$B:$B = 12)),0) + sum($D1112:$N1112)"),1472140.3299999996)</f>
        <v>1472140.33</v>
      </c>
      <c r="Q1112" s="92">
        <f t="shared" si="1"/>
        <v>0.6700000004</v>
      </c>
      <c r="R1112" s="91">
        <f t="array" ref="R1112">IFERROR(INDEX('Fund YTD Target Values'!$1:$1000, MATCH($C1112,'Fund YTD Target Values'!$A:$A,0), MATCH($A1112,'Fund YTD Target Values'!$1:$1,0)),0)</f>
        <v>1998729.212</v>
      </c>
      <c r="S1112" s="91">
        <f>IFERROR(__xludf.DUMMYFUNCTION("IFERROR(sum(FILTER('Fund Investment Data'!$V:$V, 'Fund Investment Data'!$C:$C = $C1112, 'Fund Investment Data'!$A:$A &lt; $A1112)),0) + IFERROR(sum(FILTER('Fund Investment Data'!$V:$V, 'Fund Investment Data'!$C:$C = $C1112, 'Fund Investment Data'!$A:$A = $A1"&amp;"112, 'Fund Investment Data'!$B:$B &lt;= $B1112)),0)"),1456367.46)</f>
        <v>1456367.46</v>
      </c>
      <c r="T1112" s="93">
        <v>1348955.0</v>
      </c>
      <c r="U1112" s="32">
        <f t="shared" si="11"/>
        <v>107412.46</v>
      </c>
      <c r="V1112" s="32">
        <f>IFERROR(__xludf.DUMMYFUNCTION("$D1112 - IFERROR(FILTER($D:$D,$C:$C = $C1112, $A:$A = $A1112, $B:$B = $B1112 - 1),0)"),0.0)</f>
        <v>0</v>
      </c>
      <c r="W1112" s="93">
        <f>IFERROR(__xludf.DUMMYFUNCTION("$E1112 - IFERROR(FILTER($E:$E,$C:$C = $C1112, $A:$A = $A1112, $B:$B = $B1112 - 1),0)"),-9600.0)</f>
        <v>-9600</v>
      </c>
      <c r="X1112" s="93"/>
      <c r="Y1112" s="93"/>
      <c r="Z1112" s="93">
        <v>0.0</v>
      </c>
      <c r="AA1112" s="93">
        <v>0.0</v>
      </c>
      <c r="AB1112" s="93">
        <v>0.0</v>
      </c>
      <c r="AC1112" s="93"/>
      <c r="AD1112" s="93">
        <v>0.0</v>
      </c>
      <c r="AE1112" s="32">
        <f t="shared" si="2"/>
        <v>-67000</v>
      </c>
      <c r="AF1112" s="93">
        <v>0.0</v>
      </c>
    </row>
    <row r="1113">
      <c r="A1113" s="86">
        <v>2018.0</v>
      </c>
      <c r="B1113" s="87">
        <v>9.0</v>
      </c>
      <c r="C1113" s="88" t="s">
        <v>31</v>
      </c>
      <c r="D1113" s="93"/>
      <c r="E1113" s="93">
        <v>-9800.0</v>
      </c>
      <c r="F1113" s="32"/>
      <c r="G1113" s="93">
        <v>-852.72</v>
      </c>
      <c r="H1113" s="93">
        <v>3094.71</v>
      </c>
      <c r="I1113" s="93">
        <v>2485.83</v>
      </c>
      <c r="J1113" s="93">
        <v>-1665.61</v>
      </c>
      <c r="K1113" s="32"/>
      <c r="L1113" s="32"/>
      <c r="M1113" s="32"/>
      <c r="N1113" s="32"/>
      <c r="O1113" s="93">
        <v>182522.0</v>
      </c>
      <c r="P1113" s="91">
        <f>IFERROR(__xludf.DUMMYFUNCTION("IFERROR(sum(FILTER($D:$N,$C:$C = $C1113,$A:$A &lt; $A1113,$B:$B = 12)),0) + sum($D1113:$N1113)"),182521.56000000003)</f>
        <v>182521.56</v>
      </c>
      <c r="Q1113" s="92">
        <f t="shared" si="1"/>
        <v>0.44</v>
      </c>
      <c r="R1113" s="91">
        <f t="array" ref="R1113">IFERROR(INDEX('Fund YTD Target Values'!$1:$1000, MATCH($C1113,'Fund YTD Target Values'!$A:$A,0), MATCH($A1113,'Fund YTD Target Values'!$1:$1,0)),0)</f>
        <v>210555.1651</v>
      </c>
      <c r="S1113" s="91">
        <f>IFERROR(__xludf.DUMMYFUNCTION("IFERROR(sum(FILTER('Fund Investment Data'!$V:$V, 'Fund Investment Data'!$C:$C = $C1113, 'Fund Investment Data'!$A:$A &lt; $A1113)),0) + IFERROR(sum(FILTER('Fund Investment Data'!$V:$V, 'Fund Investment Data'!$C:$C = $C1113, 'Fund Investment Data'!$A:$A = $A1"&amp;"113, 'Fund Investment Data'!$B:$B &lt;= $B1113)),0)"),158100.0)</f>
        <v>158100</v>
      </c>
      <c r="T1113" s="93">
        <v>156850.0</v>
      </c>
      <c r="U1113" s="32">
        <f t="shared" si="11"/>
        <v>1250</v>
      </c>
      <c r="V1113" s="32">
        <f>IFERROR(__xludf.DUMMYFUNCTION("$D1113 - IFERROR(FILTER($D:$D,$C:$C = $C1113, $A:$A = $A1113, $B:$B = $B1113 - 1),0)"),0.0)</f>
        <v>0</v>
      </c>
      <c r="W1113" s="93">
        <f>IFERROR(__xludf.DUMMYFUNCTION("$E1113 - IFERROR(FILTER($E:$E,$C:$C = $C1113, $A:$A = $A1113, $B:$B = $B1113 - 1),0)"),0.0)</f>
        <v>0</v>
      </c>
      <c r="X1113" s="93"/>
      <c r="Y1113" s="93"/>
      <c r="Z1113" s="93">
        <v>0.0</v>
      </c>
      <c r="AA1113" s="93">
        <v>0.0</v>
      </c>
      <c r="AB1113" s="93">
        <v>0.0</v>
      </c>
      <c r="AC1113" s="93"/>
      <c r="AD1113" s="93">
        <v>0.0</v>
      </c>
      <c r="AE1113" s="32">
        <f t="shared" si="2"/>
        <v>-9800</v>
      </c>
      <c r="AF1113" s="93">
        <v>0.0</v>
      </c>
    </row>
    <row r="1114">
      <c r="A1114" s="86">
        <v>2018.0</v>
      </c>
      <c r="B1114" s="87">
        <v>9.0</v>
      </c>
      <c r="C1114" s="88" t="s">
        <v>39</v>
      </c>
      <c r="D1114" s="93">
        <v>15000.0</v>
      </c>
      <c r="E1114" s="93">
        <v>-8000.0</v>
      </c>
      <c r="F1114" s="32"/>
      <c r="G1114" s="93">
        <v>-811.95</v>
      </c>
      <c r="H1114" s="93">
        <v>2806.81</v>
      </c>
      <c r="I1114" s="93">
        <v>787.64</v>
      </c>
      <c r="J1114" s="93">
        <v>-851.4</v>
      </c>
      <c r="K1114" s="32"/>
      <c r="L1114" s="32"/>
      <c r="M1114" s="32"/>
      <c r="N1114" s="32"/>
      <c r="O1114" s="93">
        <v>188654.0</v>
      </c>
      <c r="P1114" s="91">
        <f>IFERROR(__xludf.DUMMYFUNCTION("IFERROR(sum(FILTER($D:$N,$C:$C = $C1114,$A:$A &lt; $A1114,$B:$B = 12)),0) + sum($D1114:$N1114)"),188654.36000000004)</f>
        <v>188654.36</v>
      </c>
      <c r="Q1114" s="92">
        <f t="shared" si="1"/>
        <v>-0.36</v>
      </c>
      <c r="R1114" s="91">
        <f t="array" ref="R1114">IFERROR(INDEX('Fund YTD Target Values'!$1:$1000, MATCH($C1114,'Fund YTD Target Values'!$A:$A,0), MATCH($A1114,'Fund YTD Target Values'!$1:$1,0)),0)</f>
        <v>184883.5181</v>
      </c>
      <c r="S1114" s="91">
        <f>IFERROR(__xludf.DUMMYFUNCTION("IFERROR(sum(FILTER('Fund Investment Data'!$V:$V, 'Fund Investment Data'!$C:$C = $C1114, 'Fund Investment Data'!$A:$A &lt; $A1114)),0) + IFERROR(sum(FILTER('Fund Investment Data'!$V:$V, 'Fund Investment Data'!$C:$C = $C1114, 'Fund Investment Data'!$A:$A = $A1"&amp;"114, 'Fund Investment Data'!$B:$B &lt;= $B1114)),0)"),170000.0)</f>
        <v>170000</v>
      </c>
      <c r="T1114" s="93">
        <v>170000.0</v>
      </c>
      <c r="U1114" s="32">
        <f t="shared" si="11"/>
        <v>0</v>
      </c>
      <c r="V1114" s="32">
        <f>IFERROR(__xludf.DUMMYFUNCTION("$D1114 - IFERROR(FILTER($D:$D,$C:$C = $C1114, $A:$A = $A1114, $B:$B = $B1114 - 1),0)"),0.0)</f>
        <v>0</v>
      </c>
      <c r="W1114" s="93">
        <f>IFERROR(__xludf.DUMMYFUNCTION("$E1114 - IFERROR(FILTER($E:$E,$C:$C = $C1114, $A:$A = $A1114, $B:$B = $B1114 - 1),0)"),-800.0)</f>
        <v>-800</v>
      </c>
      <c r="X1114" s="93"/>
      <c r="Y1114" s="93"/>
      <c r="Z1114" s="93">
        <v>0.0</v>
      </c>
      <c r="AA1114" s="93">
        <v>0.0</v>
      </c>
      <c r="AB1114" s="93">
        <v>0.0</v>
      </c>
      <c r="AC1114" s="93"/>
      <c r="AD1114" s="93">
        <v>0.0</v>
      </c>
      <c r="AE1114" s="32">
        <f t="shared" si="2"/>
        <v>-8000</v>
      </c>
      <c r="AF1114" s="93">
        <v>0.0</v>
      </c>
    </row>
    <row r="1115">
      <c r="A1115" s="86">
        <v>2018.0</v>
      </c>
      <c r="B1115" s="87">
        <v>9.0</v>
      </c>
      <c r="C1115" s="88" t="s">
        <v>50</v>
      </c>
      <c r="D1115" s="32"/>
      <c r="E1115" s="93">
        <v>-10000.0</v>
      </c>
      <c r="F1115" s="32"/>
      <c r="G1115" s="93">
        <v>-971.41</v>
      </c>
      <c r="H1115" s="93">
        <v>3457.76</v>
      </c>
      <c r="I1115" s="93">
        <v>849.45</v>
      </c>
      <c r="J1115" s="93">
        <v>133.64</v>
      </c>
      <c r="K1115" s="32"/>
      <c r="L1115" s="32"/>
      <c r="M1115" s="32"/>
      <c r="N1115" s="32"/>
      <c r="O1115" s="93">
        <v>208934.0</v>
      </c>
      <c r="P1115" s="91">
        <f>IFERROR(__xludf.DUMMYFUNCTION("IFERROR(sum(FILTER($D:$N,$C:$C = $C1115,$A:$A &lt; $A1115,$B:$B = 12)),0) + sum($D1115:$N1115)"),208933.55)</f>
        <v>208933.55</v>
      </c>
      <c r="Q1115" s="92">
        <f t="shared" si="1"/>
        <v>0.45</v>
      </c>
      <c r="R1115" s="91">
        <f t="array" ref="R1115">IFERROR(INDEX('Fund YTD Target Values'!$1:$1000, MATCH($C1115,'Fund YTD Target Values'!$A:$A,0), MATCH($A1115,'Fund YTD Target Values'!$1:$1,0)),0)</f>
        <v>217663.6749</v>
      </c>
      <c r="S1115" s="91">
        <f>IFERROR(__xludf.DUMMYFUNCTION("IFERROR(sum(FILTER('Fund Investment Data'!$V:$V, 'Fund Investment Data'!$C:$C = $C1115, 'Fund Investment Data'!$A:$A &lt; $A1115)),0) + IFERROR(sum(FILTER('Fund Investment Data'!$V:$V, 'Fund Investment Data'!$C:$C = $C1115, 'Fund Investment Data'!$A:$A = $A1"&amp;"115, 'Fund Investment Data'!$B:$B &lt;= $B1115)),0)"),185189.56)</f>
        <v>185189.56</v>
      </c>
      <c r="T1115" s="93">
        <v>190241.0</v>
      </c>
      <c r="U1115" s="32">
        <f t="shared" si="11"/>
        <v>-5051.44</v>
      </c>
      <c r="V1115" s="32">
        <f>IFERROR(__xludf.DUMMYFUNCTION("$D1115 - IFERROR(FILTER($D:$D,$C:$C = $C1115, $A:$A = $A1115, $B:$B = $B1115 - 1),0)"),0.0)</f>
        <v>0</v>
      </c>
      <c r="W1115" s="93">
        <f>IFERROR(__xludf.DUMMYFUNCTION("$E1115 - IFERROR(FILTER($E:$E,$C:$C = $C1115, $A:$A = $A1115, $B:$B = $B1115 - 1),0)"),-3000.0)</f>
        <v>-3000</v>
      </c>
      <c r="X1115" s="93"/>
      <c r="Y1115" s="93"/>
      <c r="Z1115" s="93">
        <v>0.0</v>
      </c>
      <c r="AA1115" s="93">
        <v>0.0</v>
      </c>
      <c r="AB1115" s="93">
        <v>0.0</v>
      </c>
      <c r="AC1115" s="93"/>
      <c r="AD1115" s="93">
        <v>0.0</v>
      </c>
      <c r="AE1115" s="32">
        <f t="shared" si="2"/>
        <v>-10000</v>
      </c>
      <c r="AF1115" s="93">
        <v>0.0</v>
      </c>
    </row>
    <row r="1116">
      <c r="A1116" s="86">
        <v>2018.0</v>
      </c>
      <c r="B1116" s="87">
        <v>9.0</v>
      </c>
      <c r="C1116" s="88" t="s">
        <v>32</v>
      </c>
      <c r="D1116" s="93"/>
      <c r="E1116" s="93">
        <v>-2000.0</v>
      </c>
      <c r="F1116" s="32"/>
      <c r="G1116" s="93">
        <v>-241.57</v>
      </c>
      <c r="H1116" s="93">
        <v>865.51</v>
      </c>
      <c r="I1116" s="93">
        <v>135.67</v>
      </c>
      <c r="J1116" s="93">
        <v>109.07</v>
      </c>
      <c r="K1116" s="32"/>
      <c r="L1116" s="32"/>
      <c r="M1116" s="32"/>
      <c r="N1116" s="32"/>
      <c r="O1116" s="93">
        <v>52300.0</v>
      </c>
      <c r="P1116" s="91">
        <f>IFERROR(__xludf.DUMMYFUNCTION("IFERROR(sum(FILTER($D:$N,$C:$C = $C1116,$A:$A &lt; $A1116,$B:$B = 12)),0) + sum($D1116:$N1116)"),52299.50000000003)</f>
        <v>52299.5</v>
      </c>
      <c r="Q1116" s="92">
        <f t="shared" si="1"/>
        <v>0.5</v>
      </c>
      <c r="R1116" s="91">
        <f t="array" ref="R1116">IFERROR(INDEX('Fund YTD Target Values'!$1:$1000, MATCH($C1116,'Fund YTD Target Values'!$A:$A,0), MATCH($A1116,'Fund YTD Target Values'!$1:$1,0)),0)</f>
        <v>79179.11465</v>
      </c>
      <c r="S1116" s="91">
        <f>IFERROR(__xludf.DUMMYFUNCTION("IFERROR(sum(FILTER('Fund Investment Data'!$V:$V, 'Fund Investment Data'!$C:$C = $C1116, 'Fund Investment Data'!$A:$A &lt; $A1116)),0) + IFERROR(sum(FILTER('Fund Investment Data'!$V:$V, 'Fund Investment Data'!$C:$C = $C1116, 'Fund Investment Data'!$A:$A = $A1"&amp;"116, 'Fund Investment Data'!$B:$B &lt;= $B1116)),0)"),49449.04)</f>
        <v>49449.04</v>
      </c>
      <c r="T1116" s="93">
        <v>39268.0</v>
      </c>
      <c r="U1116" s="32">
        <f t="shared" si="11"/>
        <v>10181.04</v>
      </c>
      <c r="V1116" s="32">
        <f>IFERROR(__xludf.DUMMYFUNCTION("$D1116 - IFERROR(FILTER($D:$D,$C:$C = $C1116, $A:$A = $A1116, $B:$B = $B1116 - 1),0)"),0.0)</f>
        <v>0</v>
      </c>
      <c r="W1116" s="93">
        <f>IFERROR(__xludf.DUMMYFUNCTION("$E1116 - IFERROR(FILTER($E:$E,$C:$C = $C1116, $A:$A = $A1116, $B:$B = $B1116 - 1),0)"),0.0)</f>
        <v>0</v>
      </c>
      <c r="X1116" s="93"/>
      <c r="Y1116" s="93"/>
      <c r="Z1116" s="93">
        <v>0.0</v>
      </c>
      <c r="AA1116" s="93">
        <v>0.0</v>
      </c>
      <c r="AB1116" s="93">
        <v>0.0</v>
      </c>
      <c r="AC1116" s="93"/>
      <c r="AD1116" s="93">
        <v>0.0</v>
      </c>
      <c r="AE1116" s="32">
        <f t="shared" si="2"/>
        <v>-2000</v>
      </c>
      <c r="AF1116" s="93">
        <v>0.0</v>
      </c>
    </row>
    <row r="1117">
      <c r="A1117" s="86">
        <v>2018.0</v>
      </c>
      <c r="B1117" s="87">
        <v>9.0</v>
      </c>
      <c r="C1117" s="88" t="s">
        <v>40</v>
      </c>
      <c r="D1117" s="32"/>
      <c r="E1117" s="93">
        <v>-7000.0</v>
      </c>
      <c r="F1117" s="32"/>
      <c r="G1117" s="93">
        <v>-696.74</v>
      </c>
      <c r="H1117" s="93">
        <v>2525.61</v>
      </c>
      <c r="I1117" s="93">
        <v>1389.77</v>
      </c>
      <c r="J1117" s="93">
        <v>-636.75</v>
      </c>
      <c r="K1117" s="32"/>
      <c r="L1117" s="32"/>
      <c r="M1117" s="32"/>
      <c r="N1117" s="32"/>
      <c r="O1117" s="93">
        <v>150395.0</v>
      </c>
      <c r="P1117" s="91">
        <f>IFERROR(__xludf.DUMMYFUNCTION("IFERROR(sum(FILTER($D:$N,$C:$C = $C1117,$A:$A &lt; $A1117,$B:$B = 12)),0) + sum($D1117:$N1117)"),150394.59999999995)</f>
        <v>150394.6</v>
      </c>
      <c r="Q1117" s="92">
        <f t="shared" si="1"/>
        <v>0.4000000001</v>
      </c>
      <c r="R1117" s="91">
        <f t="array" ref="R1117">IFERROR(INDEX('Fund YTD Target Values'!$1:$1000, MATCH($C1117,'Fund YTD Target Values'!$A:$A,0), MATCH($A1117,'Fund YTD Target Values'!$1:$1,0)),0)</f>
        <v>161362.9699</v>
      </c>
      <c r="S1117" s="91">
        <f>IFERROR(__xludf.DUMMYFUNCTION("IFERROR(sum(FILTER('Fund Investment Data'!$V:$V, 'Fund Investment Data'!$C:$C = $C1117, 'Fund Investment Data'!$A:$A &lt; $A1117)),0) + IFERROR(sum(FILTER('Fund Investment Data'!$V:$V, 'Fund Investment Data'!$C:$C = $C1117, 'Fund Investment Data'!$A:$A = $A1"&amp;"117, 'Fund Investment Data'!$B:$B &lt;= $B1117)),0)"),129703.74)</f>
        <v>129703.74</v>
      </c>
      <c r="T1117" s="93">
        <v>129723.0</v>
      </c>
      <c r="U1117" s="32">
        <f t="shared" si="11"/>
        <v>-19.26</v>
      </c>
      <c r="V1117" s="32">
        <f>IFERROR(__xludf.DUMMYFUNCTION("$D1117 - IFERROR(FILTER($D:$D,$C:$C = $C1117, $A:$A = $A1117, $B:$B = $B1117 - 1),0)"),0.0)</f>
        <v>0</v>
      </c>
      <c r="W1117" s="93">
        <f>IFERROR(__xludf.DUMMYFUNCTION("$E1117 - IFERROR(FILTER($E:$E,$C:$C = $C1117, $A:$A = $A1117, $B:$B = $B1117 - 1),0)"),-2800.0)</f>
        <v>-2800</v>
      </c>
      <c r="X1117" s="93"/>
      <c r="Y1117" s="93"/>
      <c r="Z1117" s="93">
        <v>0.0</v>
      </c>
      <c r="AA1117" s="93">
        <v>0.0</v>
      </c>
      <c r="AB1117" s="93">
        <v>0.0</v>
      </c>
      <c r="AC1117" s="93"/>
      <c r="AD1117" s="93">
        <v>0.0</v>
      </c>
      <c r="AE1117" s="32">
        <f t="shared" si="2"/>
        <v>-7000</v>
      </c>
      <c r="AF1117" s="93">
        <v>0.0</v>
      </c>
    </row>
    <row r="1118">
      <c r="A1118" s="86">
        <v>2018.0</v>
      </c>
      <c r="B1118" s="87">
        <v>9.0</v>
      </c>
      <c r="C1118" s="88" t="s">
        <v>51</v>
      </c>
      <c r="D1118" s="93">
        <v>2650.0</v>
      </c>
      <c r="E1118" s="93">
        <v>-25000.0</v>
      </c>
      <c r="F1118" s="93"/>
      <c r="G1118" s="93">
        <v>-2180.92</v>
      </c>
      <c r="H1118" s="93">
        <v>7877.66</v>
      </c>
      <c r="I1118" s="93">
        <v>1507.92</v>
      </c>
      <c r="J1118" s="93">
        <v>819.17</v>
      </c>
      <c r="K1118" s="32"/>
      <c r="L1118" s="32"/>
      <c r="M1118" s="32"/>
      <c r="N1118" s="32"/>
      <c r="O1118" s="93">
        <v>471026.0</v>
      </c>
      <c r="P1118" s="91">
        <f>IFERROR(__xludf.DUMMYFUNCTION("IFERROR(sum(FILTER($D:$N,$C:$C = $C1118,$A:$A &lt; $A1118,$B:$B = 12)),0) + sum($D1118:$N1118)"),471025.76000000007)</f>
        <v>471025.76</v>
      </c>
      <c r="Q1118" s="92">
        <f t="shared" si="1"/>
        <v>0.2399999999</v>
      </c>
      <c r="R1118" s="91">
        <f t="array" ref="R1118">IFERROR(INDEX('Fund YTD Target Values'!$1:$1000, MATCH($C1118,'Fund YTD Target Values'!$A:$A,0), MATCH($A1118,'Fund YTD Target Values'!$1:$1,0)),0)</f>
        <v>451180.3592</v>
      </c>
      <c r="S1118" s="91">
        <f>IFERROR(__xludf.DUMMYFUNCTION("IFERROR(sum(FILTER('Fund Investment Data'!$V:$V, 'Fund Investment Data'!$C:$C = $C1118, 'Fund Investment Data'!$A:$A &lt; $A1118)),0) + IFERROR(sum(FILTER('Fund Investment Data'!$V:$V, 'Fund Investment Data'!$C:$C = $C1118, 'Fund Investment Data'!$A:$A = $A1"&amp;"118, 'Fund Investment Data'!$B:$B &lt;= $B1118)),0)"),419073.55)</f>
        <v>419073.55</v>
      </c>
      <c r="T1118" s="32"/>
      <c r="U1118" s="32"/>
      <c r="V1118" s="32">
        <f>IFERROR(__xludf.DUMMYFUNCTION("$D1118 - IFERROR(FILTER($D:$D,$C:$C = $C1118, $A:$A = $A1118, $B:$B = $B1118 - 1),0)"),2500.0)</f>
        <v>2500</v>
      </c>
      <c r="W1118" s="93">
        <f>IFERROR(__xludf.DUMMYFUNCTION("$E1118 - IFERROR(FILTER($E:$E,$C:$C = $C1118, $A:$A = $A1118, $B:$B = $B1118 - 1),0)"),-12400.0)</f>
        <v>-12400</v>
      </c>
      <c r="X1118" s="93"/>
      <c r="Y1118" s="93"/>
      <c r="Z1118" s="93">
        <v>0.0</v>
      </c>
      <c r="AA1118" s="93">
        <v>0.0</v>
      </c>
      <c r="AB1118" s="93">
        <v>0.0</v>
      </c>
      <c r="AC1118" s="93"/>
      <c r="AD1118" s="93">
        <v>0.0</v>
      </c>
      <c r="AE1118" s="32">
        <f t="shared" si="2"/>
        <v>-25000</v>
      </c>
      <c r="AF1118" s="93">
        <v>0.0</v>
      </c>
    </row>
    <row r="1119">
      <c r="A1119" s="86">
        <v>2018.0</v>
      </c>
      <c r="B1119" s="87">
        <v>9.0</v>
      </c>
      <c r="C1119" s="88" t="s">
        <v>48</v>
      </c>
      <c r="D1119" s="32"/>
      <c r="E1119" s="93">
        <v>-60000.0</v>
      </c>
      <c r="F1119" s="32"/>
      <c r="G1119" s="93">
        <v>-5614.3</v>
      </c>
      <c r="H1119" s="93">
        <v>20379.19</v>
      </c>
      <c r="I1119" s="93">
        <v>14847.38</v>
      </c>
      <c r="J1119" s="93">
        <v>-9166.75</v>
      </c>
      <c r="K1119" s="32"/>
      <c r="L1119" s="32"/>
      <c r="M1119" s="32"/>
      <c r="N1119" s="32"/>
      <c r="O1119" s="93">
        <v>1209089.0</v>
      </c>
      <c r="P1119" s="91">
        <f>IFERROR(__xludf.DUMMYFUNCTION("IFERROR(sum(FILTER($D:$N,$C:$C = $C1119,$A:$A &lt; $A1119,$B:$B = 12)),0) + sum($D1119:$N1119)"),1209087.1899999997)</f>
        <v>1209087.19</v>
      </c>
      <c r="Q1119" s="92">
        <f t="shared" si="1"/>
        <v>1.81</v>
      </c>
      <c r="R1119" s="91">
        <f t="array" ref="R1119">IFERROR(INDEX('Fund YTD Target Values'!$1:$1000, MATCH($C1119,'Fund YTD Target Values'!$A:$A,0), MATCH($A1119,'Fund YTD Target Values'!$1:$1,0)),0)</f>
        <v>1896274.236</v>
      </c>
      <c r="S1119" s="91">
        <f>IFERROR(__xludf.DUMMYFUNCTION("IFERROR(sum(FILTER('Fund Investment Data'!$V:$V, 'Fund Investment Data'!$C:$C = $C1119, 'Fund Investment Data'!$A:$A &lt; $A1119)),0) + IFERROR(sum(FILTER('Fund Investment Data'!$V:$V, 'Fund Investment Data'!$C:$C = $C1119, 'Fund Investment Data'!$A:$A = $A1"&amp;"119, 'Fund Investment Data'!$B:$B &lt;= $B1119)),0)"),1183929.39)</f>
        <v>1183929.39</v>
      </c>
      <c r="T1119" s="93">
        <v>1140040.0</v>
      </c>
      <c r="U1119" s="32">
        <f t="shared" ref="U1119:U1124" si="12">S1119-T1119</f>
        <v>43889.39</v>
      </c>
      <c r="V1119" s="32">
        <f>IFERROR(__xludf.DUMMYFUNCTION("$D1119 - IFERROR(FILTER($D:$D,$C:$C = $C1119, $A:$A = $A1119, $B:$B = $B1119 - 1),0)"),0.0)</f>
        <v>0</v>
      </c>
      <c r="W1119" s="93">
        <f>IFERROR(__xludf.DUMMYFUNCTION("$E1119 - IFERROR(FILTER($E:$E,$C:$C = $C1119, $A:$A = $A1119, $B:$B = $B1119 - 1),0)"),-5200.0)</f>
        <v>-5200</v>
      </c>
      <c r="X1119" s="93"/>
      <c r="Y1119" s="93"/>
      <c r="Z1119" s="93">
        <v>0.0</v>
      </c>
      <c r="AA1119" s="93">
        <v>0.0</v>
      </c>
      <c r="AB1119" s="93">
        <v>0.0</v>
      </c>
      <c r="AC1119" s="93"/>
      <c r="AD1119" s="93">
        <v>0.0</v>
      </c>
      <c r="AE1119" s="32">
        <f t="shared" si="2"/>
        <v>-60000</v>
      </c>
      <c r="AF1119" s="93">
        <v>0.0</v>
      </c>
    </row>
    <row r="1120">
      <c r="A1120" s="86">
        <v>2018.0</v>
      </c>
      <c r="B1120" s="87">
        <v>9.0</v>
      </c>
      <c r="C1120" s="88" t="s">
        <v>49</v>
      </c>
      <c r="D1120" s="32"/>
      <c r="E1120" s="93">
        <v>-30000.0</v>
      </c>
      <c r="F1120" s="32"/>
      <c r="G1120" s="93">
        <v>-2456.01</v>
      </c>
      <c r="H1120" s="93">
        <v>8920.34</v>
      </c>
      <c r="I1120" s="93">
        <v>7803.59</v>
      </c>
      <c r="J1120" s="93">
        <v>-5272.97</v>
      </c>
      <c r="K1120" s="32"/>
      <c r="L1120" s="32"/>
      <c r="M1120" s="32"/>
      <c r="N1120" s="32"/>
      <c r="O1120" s="93">
        <v>526708.0</v>
      </c>
      <c r="P1120" s="91">
        <f>IFERROR(__xludf.DUMMYFUNCTION("IFERROR(sum(FILTER($D:$N,$C:$C = $C1120,$A:$A &lt; $A1120,$B:$B = 12)),0) + sum($D1120:$N1120)"),526708.0899999999)</f>
        <v>526708.09</v>
      </c>
      <c r="Q1120" s="92">
        <f t="shared" si="1"/>
        <v>-0.08999999985</v>
      </c>
      <c r="R1120" s="91">
        <f t="array" ref="R1120">IFERROR(INDEX('Fund YTD Target Values'!$1:$1000, MATCH($C1120,'Fund YTD Target Values'!$A:$A,0), MATCH($A1120,'Fund YTD Target Values'!$1:$1,0)),0)</f>
        <v>701383.2727</v>
      </c>
      <c r="S1120" s="91">
        <f>IFERROR(__xludf.DUMMYFUNCTION("IFERROR(sum(FILTER('Fund Investment Data'!$V:$V, 'Fund Investment Data'!$C:$C = $C1120, 'Fund Investment Data'!$A:$A &lt; $A1120)),0) + IFERROR(sum(FILTER('Fund Investment Data'!$V:$V, 'Fund Investment Data'!$C:$C = $C1120, 'Fund Investment Data'!$A:$A = $A1"&amp;"120, 'Fund Investment Data'!$B:$B &lt;= $B1120)),0)"),500000.0)</f>
        <v>500000</v>
      </c>
      <c r="T1120" s="93">
        <v>500000.0</v>
      </c>
      <c r="U1120" s="32">
        <f t="shared" si="12"/>
        <v>0</v>
      </c>
      <c r="V1120" s="32">
        <f>IFERROR(__xludf.DUMMYFUNCTION("$D1120 - IFERROR(FILTER($D:$D,$C:$C = $C1120, $A:$A = $A1120, $B:$B = $B1120 - 1),0)"),0.0)</f>
        <v>0</v>
      </c>
      <c r="W1120" s="93">
        <f>IFERROR(__xludf.DUMMYFUNCTION("$E1120 - IFERROR(FILTER($E:$E,$C:$C = $C1120, $A:$A = $A1120, $B:$B = $B1120 - 1),0)"),-3800.0)</f>
        <v>-3800</v>
      </c>
      <c r="X1120" s="93"/>
      <c r="Y1120" s="93"/>
      <c r="Z1120" s="93">
        <v>0.0</v>
      </c>
      <c r="AA1120" s="93">
        <v>0.0</v>
      </c>
      <c r="AB1120" s="93">
        <v>0.0</v>
      </c>
      <c r="AC1120" s="93"/>
      <c r="AD1120" s="93">
        <v>0.0</v>
      </c>
      <c r="AE1120" s="32">
        <f t="shared" si="2"/>
        <v>-30000</v>
      </c>
      <c r="AF1120" s="93">
        <v>0.0</v>
      </c>
    </row>
    <row r="1121">
      <c r="A1121" s="86">
        <v>2018.0</v>
      </c>
      <c r="B1121" s="87">
        <v>9.0</v>
      </c>
      <c r="C1121" s="88" t="s">
        <v>41</v>
      </c>
      <c r="D1121" s="32"/>
      <c r="E1121" s="93">
        <v>-20000.0</v>
      </c>
      <c r="F1121" s="32"/>
      <c r="G1121" s="93">
        <v>-2941.49</v>
      </c>
      <c r="H1121" s="93">
        <v>10660.16</v>
      </c>
      <c r="I1121" s="93">
        <v>4011.94</v>
      </c>
      <c r="J1121" s="93">
        <v>-820.21</v>
      </c>
      <c r="K1121" s="32"/>
      <c r="L1121" s="32"/>
      <c r="M1121" s="32"/>
      <c r="N1121" s="32"/>
      <c r="O1121" s="93">
        <v>644029.0</v>
      </c>
      <c r="P1121" s="91">
        <f>IFERROR(__xludf.DUMMYFUNCTION("IFERROR(sum(FILTER($D:$N,$C:$C = $C1121,$A:$A &lt; $A1121,$B:$B = 12)),0) + sum($D1121:$N1121)"),644029.7500000001)</f>
        <v>644029.75</v>
      </c>
      <c r="Q1121" s="92">
        <f t="shared" si="1"/>
        <v>-0.7500000001</v>
      </c>
      <c r="R1121" s="91">
        <f t="array" ref="R1121">IFERROR(INDEX('Fund YTD Target Values'!$1:$1000, MATCH($C1121,'Fund YTD Target Values'!$A:$A,0), MATCH($A1121,'Fund YTD Target Values'!$1:$1,0)),0)</f>
        <v>587968.3276</v>
      </c>
      <c r="S1121" s="91">
        <f>IFERROR(__xludf.DUMMYFUNCTION("IFERROR(sum(FILTER('Fund Investment Data'!$V:$V, 'Fund Investment Data'!$C:$C = $C1121, 'Fund Investment Data'!$A:$A &lt; $A1121)),0) + IFERROR(sum(FILTER('Fund Investment Data'!$V:$V, 'Fund Investment Data'!$C:$C = $C1121, 'Fund Investment Data'!$A:$A = $A1"&amp;"121, 'Fund Investment Data'!$B:$B &lt;= $B1121)),0)"),433755.86)</f>
        <v>433755.86</v>
      </c>
      <c r="T1121" s="93">
        <v>434291.0</v>
      </c>
      <c r="U1121" s="32">
        <f t="shared" si="12"/>
        <v>-535.14</v>
      </c>
      <c r="V1121" s="32">
        <f>IFERROR(__xludf.DUMMYFUNCTION("$D1121 - IFERROR(FILTER($D:$D,$C:$C = $C1121, $A:$A = $A1121, $B:$B = $B1121 - 1),0)"),0.0)</f>
        <v>0</v>
      </c>
      <c r="W1121" s="93">
        <f>IFERROR(__xludf.DUMMYFUNCTION("$E1121 - IFERROR(FILTER($E:$E,$C:$C = $C1121, $A:$A = $A1121, $B:$B = $B1121 - 1),0)"),-3700.0)</f>
        <v>-3700</v>
      </c>
      <c r="X1121" s="93"/>
      <c r="Y1121" s="93"/>
      <c r="Z1121" s="93">
        <v>0.0</v>
      </c>
      <c r="AA1121" s="93">
        <v>0.0</v>
      </c>
      <c r="AB1121" s="93">
        <v>0.0</v>
      </c>
      <c r="AC1121" s="93"/>
      <c r="AD1121" s="93">
        <v>0.0</v>
      </c>
      <c r="AE1121" s="32">
        <f t="shared" si="2"/>
        <v>-20000</v>
      </c>
      <c r="AF1121" s="93">
        <v>0.0</v>
      </c>
    </row>
    <row r="1122">
      <c r="A1122" s="86">
        <v>2018.0</v>
      </c>
      <c r="B1122" s="87">
        <v>9.0</v>
      </c>
      <c r="C1122" s="88" t="s">
        <v>25</v>
      </c>
      <c r="D1122" s="32"/>
      <c r="E1122" s="93">
        <v>-20000.0</v>
      </c>
      <c r="F1122" s="32"/>
      <c r="G1122" s="93">
        <v>-448.2</v>
      </c>
      <c r="H1122" s="93">
        <v>1643.71</v>
      </c>
      <c r="I1122" s="93">
        <v>5612.55</v>
      </c>
      <c r="J1122" s="93">
        <v>-5388.23</v>
      </c>
      <c r="K1122" s="32"/>
      <c r="L1122" s="32"/>
      <c r="M1122" s="32"/>
      <c r="N1122" s="32"/>
      <c r="O1122" s="93">
        <v>82486.0</v>
      </c>
      <c r="P1122" s="91">
        <f>IFERROR(__xludf.DUMMYFUNCTION("IFERROR(sum(FILTER($D:$N,$C:$C = $C1122,$A:$A &lt; $A1122,$B:$B = 12)),0) + sum($D1122:$N1122)"),82486.16)</f>
        <v>82486.16</v>
      </c>
      <c r="Q1122" s="92">
        <f t="shared" si="1"/>
        <v>-0.16</v>
      </c>
      <c r="R1122" s="91">
        <f t="array" ref="R1122">IFERROR(INDEX('Fund YTD Target Values'!$1:$1000, MATCH($C1122,'Fund YTD Target Values'!$A:$A,0), MATCH($A1122,'Fund YTD Target Values'!$1:$1,0)),0)</f>
        <v>109175.2469</v>
      </c>
      <c r="S1122" s="91">
        <f>IFERROR(__xludf.DUMMYFUNCTION("IFERROR(sum(FILTER('Fund Investment Data'!$V:$V, 'Fund Investment Data'!$C:$C = $C1122, 'Fund Investment Data'!$A:$A &lt; $A1122)),0) + IFERROR(sum(FILTER('Fund Investment Data'!$V:$V, 'Fund Investment Data'!$C:$C = $C1122, 'Fund Investment Data'!$A:$A = $A1"&amp;"122, 'Fund Investment Data'!$B:$B &lt;= $B1122)),0)"),81000.0)</f>
        <v>81000</v>
      </c>
      <c r="T1122" s="93">
        <v>81000.0</v>
      </c>
      <c r="U1122" s="32">
        <f t="shared" si="12"/>
        <v>0</v>
      </c>
      <c r="V1122" s="32">
        <f>IFERROR(__xludf.DUMMYFUNCTION("$D1122 - IFERROR(FILTER($D:$D,$C:$C = $C1122, $A:$A = $A1122, $B:$B = $B1122 - 1),0)"),0.0)</f>
        <v>0</v>
      </c>
      <c r="W1122" s="93">
        <f>IFERROR(__xludf.DUMMYFUNCTION("$E1122 - IFERROR(FILTER($E:$E,$C:$C = $C1122, $A:$A = $A1122, $B:$B = $B1122 - 1),0)"),0.0)</f>
        <v>0</v>
      </c>
      <c r="X1122" s="93"/>
      <c r="Y1122" s="93"/>
      <c r="Z1122" s="93">
        <v>0.0</v>
      </c>
      <c r="AA1122" s="93">
        <v>0.0</v>
      </c>
      <c r="AB1122" s="93">
        <v>0.0</v>
      </c>
      <c r="AC1122" s="93"/>
      <c r="AD1122" s="93">
        <v>0.0</v>
      </c>
      <c r="AE1122" s="32">
        <f t="shared" si="2"/>
        <v>-20000</v>
      </c>
      <c r="AF1122" s="93">
        <v>0.0</v>
      </c>
    </row>
    <row r="1123">
      <c r="A1123" s="86">
        <v>2018.0</v>
      </c>
      <c r="B1123" s="87">
        <v>9.0</v>
      </c>
      <c r="C1123" s="88" t="s">
        <v>42</v>
      </c>
      <c r="D1123" s="32"/>
      <c r="E1123" s="93">
        <v>-6000.0</v>
      </c>
      <c r="F1123" s="32"/>
      <c r="G1123" s="93">
        <v>-1359.74</v>
      </c>
      <c r="H1123" s="93">
        <v>4898.94</v>
      </c>
      <c r="I1123" s="32"/>
      <c r="J1123" s="93">
        <v>1452.01</v>
      </c>
      <c r="K1123" s="32"/>
      <c r="L1123" s="32"/>
      <c r="M1123" s="32"/>
      <c r="N1123" s="32"/>
      <c r="O1123" s="93">
        <v>298440.0</v>
      </c>
      <c r="P1123" s="91">
        <f>IFERROR(__xludf.DUMMYFUNCTION("IFERROR(sum(FILTER($D:$N,$C:$C = $C1123,$A:$A &lt; $A1123,$B:$B = 12)),0) + sum($D1123:$N1123)"),298438.97000000015)</f>
        <v>298438.97</v>
      </c>
      <c r="Q1123" s="92">
        <f t="shared" si="1"/>
        <v>1.03</v>
      </c>
      <c r="R1123" s="91">
        <f t="array" ref="R1123">IFERROR(INDEX('Fund YTD Target Values'!$1:$1000, MATCH($C1123,'Fund YTD Target Values'!$A:$A,0), MATCH($A1123,'Fund YTD Target Values'!$1:$1,0)),0)</f>
        <v>240185.7184</v>
      </c>
      <c r="S1123" s="91">
        <f>IFERROR(__xludf.DUMMYFUNCTION("IFERROR(sum(FILTER('Fund Investment Data'!$V:$V, 'Fund Investment Data'!$C:$C = $C1123, 'Fund Investment Data'!$A:$A &lt; $A1123)),0) + IFERROR(sum(FILTER('Fund Investment Data'!$V:$V, 'Fund Investment Data'!$C:$C = $C1123, 'Fund Investment Data'!$A:$A = $A1"&amp;"123, 'Fund Investment Data'!$B:$B &lt;= $B1123)),0)"),194469.0)</f>
        <v>194469</v>
      </c>
      <c r="T1123" s="93">
        <v>194469.0</v>
      </c>
      <c r="U1123" s="32">
        <f t="shared" si="12"/>
        <v>0</v>
      </c>
      <c r="V1123" s="32">
        <f>IFERROR(__xludf.DUMMYFUNCTION("$D1123 - IFERROR(FILTER($D:$D,$C:$C = $C1123, $A:$A = $A1123, $B:$B = $B1123 - 1),0)"),0.0)</f>
        <v>0</v>
      </c>
      <c r="W1123" s="93">
        <f>IFERROR(__xludf.DUMMYFUNCTION("$E1123 - IFERROR(FILTER($E:$E,$C:$C = $C1123, $A:$A = $A1123, $B:$B = $B1123 - 1),0)"),-6000.0)</f>
        <v>-6000</v>
      </c>
      <c r="X1123" s="93"/>
      <c r="Y1123" s="93"/>
      <c r="Z1123" s="93">
        <v>0.0</v>
      </c>
      <c r="AA1123" s="93">
        <v>0.0</v>
      </c>
      <c r="AB1123" s="93">
        <v>0.0</v>
      </c>
      <c r="AC1123" s="93"/>
      <c r="AD1123" s="93">
        <v>0.0</v>
      </c>
      <c r="AE1123" s="32">
        <f t="shared" si="2"/>
        <v>-6000</v>
      </c>
      <c r="AF1123" s="93">
        <v>0.0</v>
      </c>
    </row>
    <row r="1124">
      <c r="A1124" s="86">
        <v>2018.0</v>
      </c>
      <c r="B1124" s="87">
        <v>9.0</v>
      </c>
      <c r="C1124" s="88" t="s">
        <v>43</v>
      </c>
      <c r="D1124" s="32"/>
      <c r="E1124" s="93">
        <v>-6000.0</v>
      </c>
      <c r="F1124" s="32"/>
      <c r="G1124" s="93">
        <v>-566.64</v>
      </c>
      <c r="H1124" s="93">
        <v>2053.99</v>
      </c>
      <c r="I1124" s="93">
        <v>1482.8</v>
      </c>
      <c r="J1124" s="93">
        <v>-908.53</v>
      </c>
      <c r="K1124" s="32"/>
      <c r="L1124" s="32"/>
      <c r="M1124" s="32"/>
      <c r="N1124" s="32"/>
      <c r="O1124" s="93">
        <v>121575.0</v>
      </c>
      <c r="P1124" s="91">
        <f>IFERROR(__xludf.DUMMYFUNCTION("IFERROR(sum(FILTER($D:$N,$C:$C = $C1124,$A:$A &lt; $A1124,$B:$B = 12)),0) + sum($D1124:$N1124)"),121574.17000000001)</f>
        <v>121574.17</v>
      </c>
      <c r="Q1124" s="92">
        <f t="shared" si="1"/>
        <v>0.83</v>
      </c>
      <c r="R1124" s="91">
        <f t="array" ref="R1124">IFERROR(INDEX('Fund YTD Target Values'!$1:$1000, MATCH($C1124,'Fund YTD Target Values'!$A:$A,0), MATCH($A1124,'Fund YTD Target Values'!$1:$1,0)),0)</f>
        <v>130697.0954</v>
      </c>
      <c r="S1124" s="91">
        <f>IFERROR(__xludf.DUMMYFUNCTION("IFERROR(sum(FILTER('Fund Investment Data'!$V:$V, 'Fund Investment Data'!$C:$C = $C1124, 'Fund Investment Data'!$A:$A &lt; $A1124)),0) + IFERROR(sum(FILTER('Fund Investment Data'!$V:$V, 'Fund Investment Data'!$C:$C = $C1124, 'Fund Investment Data'!$A:$A = $A1"&amp;"124, 'Fund Investment Data'!$B:$B &lt;= $B1124)),0)"),100000.0)</f>
        <v>100000</v>
      </c>
      <c r="T1124" s="93">
        <v>100000.0</v>
      </c>
      <c r="U1124" s="32">
        <f t="shared" si="12"/>
        <v>0</v>
      </c>
      <c r="V1124" s="32">
        <f>IFERROR(__xludf.DUMMYFUNCTION("$D1124 - IFERROR(FILTER($D:$D,$C:$C = $C1124, $A:$A = $A1124, $B:$B = $B1124 - 1),0)"),0.0)</f>
        <v>0</v>
      </c>
      <c r="W1124" s="93">
        <f>IFERROR(__xludf.DUMMYFUNCTION("$E1124 - IFERROR(FILTER($E:$E,$C:$C = $C1124, $A:$A = $A1124, $B:$B = $B1124 - 1),0)"),-1800.0)</f>
        <v>-1800</v>
      </c>
      <c r="X1124" s="93"/>
      <c r="Y1124" s="93"/>
      <c r="Z1124" s="93">
        <v>0.0</v>
      </c>
      <c r="AA1124" s="93">
        <v>0.0</v>
      </c>
      <c r="AB1124" s="93">
        <v>0.0</v>
      </c>
      <c r="AC1124" s="93"/>
      <c r="AD1124" s="93">
        <v>0.0</v>
      </c>
      <c r="AE1124" s="32">
        <f t="shared" si="2"/>
        <v>-6000</v>
      </c>
      <c r="AF1124" s="93">
        <v>0.0</v>
      </c>
    </row>
    <row r="1125">
      <c r="A1125" s="86">
        <v>2018.0</v>
      </c>
      <c r="B1125" s="87">
        <v>9.0</v>
      </c>
      <c r="C1125" s="88" t="s">
        <v>52</v>
      </c>
      <c r="D1125" s="93">
        <v>75000.0</v>
      </c>
      <c r="E1125" s="93">
        <v>-55000.0</v>
      </c>
      <c r="F1125" s="32"/>
      <c r="G1125" s="93">
        <v>-5767.84</v>
      </c>
      <c r="H1125" s="93">
        <v>19655.22</v>
      </c>
      <c r="I1125" s="93">
        <v>5363.5</v>
      </c>
      <c r="J1125" s="93">
        <v>513.44</v>
      </c>
      <c r="K1125" s="32"/>
      <c r="L1125" s="32"/>
      <c r="M1125" s="32"/>
      <c r="N1125" s="32"/>
      <c r="O1125" s="93">
        <v>1204221.0</v>
      </c>
      <c r="P1125" s="91">
        <f>IFERROR(__xludf.DUMMYFUNCTION("IFERROR(sum(FILTER($D:$N,$C:$C = $C1125,$A:$A &lt; $A1125,$B:$B = 12)),0) + sum($D1125:$N1125)"),1204220.45)</f>
        <v>1204220.45</v>
      </c>
      <c r="Q1125" s="92">
        <f t="shared" si="1"/>
        <v>0.55</v>
      </c>
      <c r="R1125" s="91">
        <f t="array" ref="R1125">IFERROR(INDEX('Fund YTD Target Values'!$1:$1000, MATCH($C1125,'Fund YTD Target Values'!$A:$A,0), MATCH($A1125,'Fund YTD Target Values'!$1:$1,0)),0)</f>
        <v>1148979.378</v>
      </c>
      <c r="S1125" s="91">
        <f>IFERROR(__xludf.DUMMYFUNCTION("IFERROR(sum(FILTER('Fund Investment Data'!$V:$V, 'Fund Investment Data'!$C:$C = $C1125, 'Fund Investment Data'!$A:$A &lt; $A1125)),0) + IFERROR(sum(FILTER('Fund Investment Data'!$V:$V, 'Fund Investment Data'!$C:$C = $C1125, 'Fund Investment Data'!$A:$A = $A1"&amp;"125, 'Fund Investment Data'!$B:$B &lt;= $B1125)),0)"),1080136.0)</f>
        <v>1080136</v>
      </c>
      <c r="T1125" s="93">
        <v>1079091.0</v>
      </c>
      <c r="U1125" s="32">
        <f>S1129-T1129</f>
        <v>3822.11</v>
      </c>
      <c r="V1125" s="32">
        <f>IFERROR(__xludf.DUMMYFUNCTION("$D1125 - IFERROR(FILTER($D:$D,$C:$C = $C1125, $A:$A = $A1125, $B:$B = $B1125 - 1),0)"),0.0)</f>
        <v>0</v>
      </c>
      <c r="W1125" s="93">
        <f>IFERROR(__xludf.DUMMYFUNCTION("$E1125 - IFERROR(FILTER($E:$E,$C:$C = $C1125, $A:$A = $A1125, $B:$B = $B1125 - 1),0)"),-20200.0)</f>
        <v>-20200</v>
      </c>
      <c r="X1125" s="93"/>
      <c r="Y1125" s="93"/>
      <c r="Z1125" s="93">
        <v>0.0</v>
      </c>
      <c r="AA1125" s="93">
        <v>0.0</v>
      </c>
      <c r="AB1125" s="93">
        <v>0.0</v>
      </c>
      <c r="AC1125" s="93"/>
      <c r="AD1125" s="93">
        <v>0.0</v>
      </c>
      <c r="AE1125" s="32">
        <f t="shared" si="2"/>
        <v>-55000</v>
      </c>
      <c r="AF1125" s="93">
        <v>0.0</v>
      </c>
    </row>
    <row r="1126">
      <c r="A1126" s="86">
        <v>2018.0</v>
      </c>
      <c r="B1126" s="87">
        <v>9.0</v>
      </c>
      <c r="C1126" s="88" t="s">
        <v>33</v>
      </c>
      <c r="D1126" s="32"/>
      <c r="E1126" s="93">
        <v>-18000.0</v>
      </c>
      <c r="F1126" s="32"/>
      <c r="G1126" s="93">
        <v>-1605.51</v>
      </c>
      <c r="H1126" s="93">
        <v>5826.2</v>
      </c>
      <c r="I1126" s="93">
        <v>4546.35</v>
      </c>
      <c r="J1126" s="93">
        <v>-2904.25</v>
      </c>
      <c r="K1126" s="32"/>
      <c r="L1126" s="32"/>
      <c r="M1126" s="32"/>
      <c r="N1126" s="32"/>
      <c r="O1126" s="93">
        <v>344940.0</v>
      </c>
      <c r="P1126" s="91">
        <f>IFERROR(__xludf.DUMMYFUNCTION("IFERROR(sum(FILTER($D:$N,$C:$C = $C1126,$A:$A &lt; $A1126,$B:$B = 12)),0) + sum($D1126:$N1126)"),344940.2399999998)</f>
        <v>344940.24</v>
      </c>
      <c r="Q1126" s="92">
        <f t="shared" si="1"/>
        <v>-0.2399999998</v>
      </c>
      <c r="R1126" s="91">
        <f t="array" ref="R1126">IFERROR(INDEX('Fund YTD Target Values'!$1:$1000, MATCH($C1126,'Fund YTD Target Values'!$A:$A,0), MATCH($A1126,'Fund YTD Target Values'!$1:$1,0)),0)</f>
        <v>512928.5668</v>
      </c>
      <c r="S1126" s="91">
        <f>IFERROR(__xludf.DUMMYFUNCTION("IFERROR(sum(FILTER('Fund Investment Data'!$V:$V, 'Fund Investment Data'!$C:$C = $C1126, 'Fund Investment Data'!$A:$A &lt; $A1126)),0) + IFERROR(sum(FILTER('Fund Investment Data'!$V:$V, 'Fund Investment Data'!$C:$C = $C1126, 'Fund Investment Data'!$A:$A = $A1"&amp;"126, 'Fund Investment Data'!$B:$B &lt;= $B1126)),0)"),325871.6399999999)</f>
        <v>325871.64</v>
      </c>
      <c r="T1126" s="93">
        <v>326032.0</v>
      </c>
      <c r="U1126" s="32">
        <f t="shared" ref="U1126:U1127" si="13">S1126-T1126</f>
        <v>-160.36</v>
      </c>
      <c r="V1126" s="32">
        <f>IFERROR(__xludf.DUMMYFUNCTION("$D1126 - IFERROR(FILTER($D:$D,$C:$C = $C1126, $A:$A = $A1126, $B:$B = $B1126 - 1),0)"),0.0)</f>
        <v>0</v>
      </c>
      <c r="W1126" s="93">
        <f>IFERROR(__xludf.DUMMYFUNCTION("$E1126 - IFERROR(FILTER($E:$E,$C:$C = $C1126, $A:$A = $A1126, $B:$B = $B1126 - 1),0)"),-2000.0)</f>
        <v>-2000</v>
      </c>
      <c r="X1126" s="93"/>
      <c r="Y1126" s="93"/>
      <c r="Z1126" s="93">
        <v>0.0</v>
      </c>
      <c r="AA1126" s="93">
        <v>0.0</v>
      </c>
      <c r="AB1126" s="93">
        <v>0.0</v>
      </c>
      <c r="AC1126" s="93"/>
      <c r="AD1126" s="93">
        <v>0.0</v>
      </c>
      <c r="AE1126" s="32">
        <f t="shared" si="2"/>
        <v>-18000</v>
      </c>
      <c r="AF1126" s="93">
        <v>0.0</v>
      </c>
    </row>
    <row r="1127">
      <c r="A1127" s="86">
        <v>2018.0</v>
      </c>
      <c r="B1127" s="87">
        <v>9.0</v>
      </c>
      <c r="C1127" s="88" t="s">
        <v>53</v>
      </c>
      <c r="D1127" s="32"/>
      <c r="E1127" s="93">
        <v>-105000.0</v>
      </c>
      <c r="F1127" s="32"/>
      <c r="G1127" s="93">
        <v>-10229.3</v>
      </c>
      <c r="H1127" s="93">
        <v>37121.11</v>
      </c>
      <c r="I1127" s="93">
        <v>10901.79</v>
      </c>
      <c r="J1127" s="93">
        <v>-286.05</v>
      </c>
      <c r="K1127" s="32"/>
      <c r="L1127" s="32"/>
      <c r="M1127" s="32"/>
      <c r="N1127" s="32"/>
      <c r="O1127" s="93">
        <v>2207822.0</v>
      </c>
      <c r="P1127" s="91">
        <f>IFERROR(__xludf.DUMMYFUNCTION("IFERROR(sum(FILTER($D:$N,$C:$C = $C1127,$A:$A &lt; $A1127,$B:$B = 12)),0) + sum($D1127:$N1127)"),2207822.2299999995)</f>
        <v>2207822.23</v>
      </c>
      <c r="Q1127" s="92">
        <f t="shared" si="1"/>
        <v>-0.2299999995</v>
      </c>
      <c r="R1127" s="91">
        <f t="array" ref="R1127">IFERROR(INDEX('Fund YTD Target Values'!$1:$1000, MATCH($C1127,'Fund YTD Target Values'!$A:$A,0), MATCH($A1127,'Fund YTD Target Values'!$1:$1,0)),0)</f>
        <v>2224754.768</v>
      </c>
      <c r="S1127" s="91">
        <f>IFERROR(__xludf.DUMMYFUNCTION("IFERROR(sum(FILTER('Fund Investment Data'!$V:$V, 'Fund Investment Data'!$C:$C = $C1127, 'Fund Investment Data'!$A:$A &lt; $A1127)),0) + IFERROR(sum(FILTER('Fund Investment Data'!$V:$V, 'Fund Investment Data'!$C:$C = $C1127, 'Fund Investment Data'!$A:$A = $A1"&amp;"127, 'Fund Investment Data'!$B:$B &lt;= $B1127)),0)"),2005500.0)</f>
        <v>2005500</v>
      </c>
      <c r="T1127" s="93">
        <v>2005500.0</v>
      </c>
      <c r="U1127" s="32">
        <f t="shared" si="13"/>
        <v>0</v>
      </c>
      <c r="V1127" s="32">
        <f>IFERROR(__xludf.DUMMYFUNCTION("$D1127 - IFERROR(FILTER($D:$D,$C:$C = $C1127, $A:$A = $A1127, $B:$B = $B1127 - 1),0)"),0.0)</f>
        <v>0</v>
      </c>
      <c r="W1127" s="93">
        <f>IFERROR(__xludf.DUMMYFUNCTION("$E1127 - IFERROR(FILTER($E:$E,$C:$C = $C1127, $A:$A = $A1127, $B:$B = $B1127 - 1),0)"),-17900.0)</f>
        <v>-17900</v>
      </c>
      <c r="X1127" s="93"/>
      <c r="Y1127" s="93"/>
      <c r="Z1127" s="93">
        <v>0.0</v>
      </c>
      <c r="AA1127" s="93">
        <v>0.0</v>
      </c>
      <c r="AB1127" s="93">
        <v>0.0</v>
      </c>
      <c r="AC1127" s="93"/>
      <c r="AD1127" s="93">
        <v>0.0</v>
      </c>
      <c r="AE1127" s="32">
        <f t="shared" si="2"/>
        <v>-105000</v>
      </c>
      <c r="AF1127" s="93">
        <v>0.0</v>
      </c>
    </row>
    <row r="1128">
      <c r="A1128" s="86">
        <v>2018.0</v>
      </c>
      <c r="B1128" s="87">
        <v>9.0</v>
      </c>
      <c r="C1128" s="88" t="s">
        <v>34</v>
      </c>
      <c r="D1128" s="93"/>
      <c r="E1128" s="93">
        <v>-7000.0</v>
      </c>
      <c r="F1128" s="32"/>
      <c r="G1128" s="93">
        <v>-650.56</v>
      </c>
      <c r="H1128" s="93">
        <v>2341.35</v>
      </c>
      <c r="I1128" s="93">
        <v>581.33</v>
      </c>
      <c r="J1128" s="93">
        <v>63.72</v>
      </c>
      <c r="K1128" s="32"/>
      <c r="L1128" s="32"/>
      <c r="M1128" s="32"/>
      <c r="N1128" s="32"/>
      <c r="O1128" s="93">
        <v>139624.0</v>
      </c>
      <c r="P1128" s="91">
        <f>IFERROR(__xludf.DUMMYFUNCTION("IFERROR(sum(FILTER($D:$N,$C:$C = $C1128,$A:$A &lt; $A1128,$B:$B = 12)),0) + sum($D1128:$N1128)"),139624.0)</f>
        <v>139624</v>
      </c>
      <c r="Q1128" s="92">
        <f t="shared" si="1"/>
        <v>0</v>
      </c>
      <c r="R1128" s="91">
        <f t="array" ref="R1128">IFERROR(INDEX('Fund YTD Target Values'!$1:$1000, MATCH($C1128,'Fund YTD Target Values'!$A:$A,0), MATCH($A1128,'Fund YTD Target Values'!$1:$1,0)),0)</f>
        <v>135327.6594</v>
      </c>
      <c r="S1128" s="91">
        <f>IFERROR(__xludf.DUMMYFUNCTION("IFERROR(sum(FILTER('Fund Investment Data'!$V:$V, 'Fund Investment Data'!$C:$C = $C1128, 'Fund Investment Data'!$A:$A &lt; $A1128)),0) + IFERROR(sum(FILTER('Fund Investment Data'!$V:$V, 'Fund Investment Data'!$C:$C = $C1128, 'Fund Investment Data'!$A:$A = $A1"&amp;"128, 'Fund Investment Data'!$B:$B &lt;= $B1128)),0)"),120000.0)</f>
        <v>120000</v>
      </c>
      <c r="T1128" s="32"/>
      <c r="U1128" s="32"/>
      <c r="V1128" s="32">
        <f>IFERROR(__xludf.DUMMYFUNCTION("$D1128 - IFERROR(FILTER($D:$D,$C:$C = $C1128, $A:$A = $A1128, $B:$B = $B1128 - 1),0)"),0.0)</f>
        <v>0</v>
      </c>
      <c r="W1128" s="93">
        <f>IFERROR(__xludf.DUMMYFUNCTION("$E1128 - IFERROR(FILTER($E:$E,$C:$C = $C1128, $A:$A = $A1128, $B:$B = $B1128 - 1),0)"),-1000.0)</f>
        <v>-1000</v>
      </c>
      <c r="X1128" s="93"/>
      <c r="Y1128" s="93"/>
      <c r="Z1128" s="93">
        <v>0.0</v>
      </c>
      <c r="AA1128" s="93">
        <v>0.0</v>
      </c>
      <c r="AB1128" s="93">
        <v>0.0</v>
      </c>
      <c r="AC1128" s="93"/>
      <c r="AD1128" s="93">
        <v>0.0</v>
      </c>
      <c r="AE1128" s="32">
        <f t="shared" si="2"/>
        <v>-7000</v>
      </c>
      <c r="AF1128" s="93">
        <v>0.0</v>
      </c>
    </row>
    <row r="1129">
      <c r="A1129" s="86">
        <v>2018.0</v>
      </c>
      <c r="B1129" s="87">
        <v>9.0</v>
      </c>
      <c r="C1129" s="88" t="s">
        <v>54</v>
      </c>
      <c r="D1129" s="93">
        <v>35.0</v>
      </c>
      <c r="E1129" s="93">
        <v>-5000.0</v>
      </c>
      <c r="F1129" s="32"/>
      <c r="G1129" s="93">
        <v>-776.54</v>
      </c>
      <c r="H1129" s="93">
        <v>2765.1</v>
      </c>
      <c r="I1129" s="93">
        <v>416.36</v>
      </c>
      <c r="J1129" s="93">
        <v>423.32</v>
      </c>
      <c r="K1129" s="32"/>
      <c r="L1129" s="32"/>
      <c r="M1129" s="32"/>
      <c r="N1129" s="32"/>
      <c r="O1129" s="93">
        <v>170755.0</v>
      </c>
      <c r="P1129" s="91">
        <f>IFERROR(__xludf.DUMMYFUNCTION("IFERROR(sum(FILTER($D:$N,$C:$C = $C1129,$A:$A &lt; $A1129,$B:$B = 12)),0) + sum($D1129:$N1129)"),170756.20999999993)</f>
        <v>170756.21</v>
      </c>
      <c r="Q1129" s="92">
        <f t="shared" si="1"/>
        <v>-1.21</v>
      </c>
      <c r="R1129" s="91">
        <f t="array" ref="R1129">IFERROR(INDEX('Fund YTD Target Values'!$1:$1000, MATCH($C1129,'Fund YTD Target Values'!$A:$A,0), MATCH($A1129,'Fund YTD Target Values'!$1:$1,0)),0)</f>
        <v>155177.2706</v>
      </c>
      <c r="S1129" s="91">
        <f>IFERROR(__xludf.DUMMYFUNCTION("IFERROR(sum(FILTER('Fund Investment Data'!$V:$V, 'Fund Investment Data'!$C:$C = $C1129, 'Fund Investment Data'!$A:$A &lt; $A1129)),0) + IFERROR(sum(FILTER('Fund Investment Data'!$V:$V, 'Fund Investment Data'!$C:$C = $C1129, 'Fund Investment Data'!$A:$A = $A1"&amp;"129, 'Fund Investment Data'!$B:$B &lt;= $B1129)),0)"),112467.10999999999)</f>
        <v>112467.11</v>
      </c>
      <c r="T1129" s="93">
        <v>108645.0</v>
      </c>
      <c r="U1129" s="32">
        <f t="shared" ref="U1129:U1147" si="14">S1129-T1129</f>
        <v>3822.11</v>
      </c>
      <c r="V1129" s="32">
        <f>IFERROR(__xludf.DUMMYFUNCTION("$D1129 - IFERROR(FILTER($D:$D,$C:$C = $C1129, $A:$A = $A1129, $B:$B = $B1129 - 1),0)"),0.0)</f>
        <v>0</v>
      </c>
      <c r="W1129" s="93">
        <f>IFERROR(__xludf.DUMMYFUNCTION("$E1129 - IFERROR(FILTER($E:$E,$C:$C = $C1129, $A:$A = $A1129, $B:$B = $B1129 - 1),0)"),0.0)</f>
        <v>0</v>
      </c>
      <c r="X1129" s="93"/>
      <c r="Y1129" s="93"/>
      <c r="Z1129" s="93">
        <v>0.0</v>
      </c>
      <c r="AA1129" s="93">
        <v>0.0</v>
      </c>
      <c r="AB1129" s="93">
        <v>0.0</v>
      </c>
      <c r="AC1129" s="93"/>
      <c r="AD1129" s="93">
        <v>0.0</v>
      </c>
      <c r="AE1129" s="32">
        <f t="shared" si="2"/>
        <v>-5000</v>
      </c>
      <c r="AF1129" s="93">
        <v>0.0</v>
      </c>
    </row>
    <row r="1130">
      <c r="A1130" s="86">
        <v>2018.0</v>
      </c>
      <c r="B1130" s="87">
        <v>9.0</v>
      </c>
      <c r="C1130" s="88" t="s">
        <v>55</v>
      </c>
      <c r="D1130" s="93"/>
      <c r="E1130" s="93">
        <v>-5000.0</v>
      </c>
      <c r="F1130" s="32"/>
      <c r="G1130" s="93">
        <v>-1387.64</v>
      </c>
      <c r="H1130" s="93">
        <v>3393.45</v>
      </c>
      <c r="I1130" s="93">
        <v>323.1</v>
      </c>
      <c r="J1130" s="93">
        <v>-1484.72</v>
      </c>
      <c r="K1130" s="32"/>
      <c r="L1130" s="32"/>
      <c r="M1130" s="32"/>
      <c r="N1130" s="32"/>
      <c r="O1130" s="93">
        <v>224909.0</v>
      </c>
      <c r="P1130" s="91">
        <f>IFERROR(__xludf.DUMMYFUNCTION("IFERROR(sum(FILTER($D:$N,$C:$C = $C1130,$A:$A &lt; $A1130,$B:$B = 12)),0) + sum($D1130:$N1130)"),224908.94999999998)</f>
        <v>224908.95</v>
      </c>
      <c r="Q1130" s="92">
        <f t="shared" si="1"/>
        <v>0.05000000002</v>
      </c>
      <c r="R1130" s="91">
        <f t="array" ref="R1130">IFERROR(INDEX('Fund YTD Target Values'!$1:$1000, MATCH($C1130,'Fund YTD Target Values'!$A:$A,0), MATCH($A1130,'Fund YTD Target Values'!$1:$1,0)),0)</f>
        <v>289110.9496</v>
      </c>
      <c r="S1130" s="91">
        <f>IFERROR(__xludf.DUMMYFUNCTION("IFERROR(sum(FILTER('Fund Investment Data'!$V:$V, 'Fund Investment Data'!$C:$C = $C1130, 'Fund Investment Data'!$A:$A &lt; $A1130)),0) + IFERROR(sum(FILTER('Fund Investment Data'!$V:$V, 'Fund Investment Data'!$C:$C = $C1130, 'Fund Investment Data'!$A:$A = $A1"&amp;"130, 'Fund Investment Data'!$B:$B &lt;= $B1130)),0)"),210000.0)</f>
        <v>210000</v>
      </c>
      <c r="T1130" s="93">
        <v>79841.0</v>
      </c>
      <c r="U1130" s="32">
        <f t="shared" si="14"/>
        <v>130159</v>
      </c>
      <c r="V1130" s="32">
        <f>IFERROR(__xludf.DUMMYFUNCTION("$D1130 - IFERROR(FILTER($D:$D,$C:$C = $C1130, $A:$A = $A1130, $B:$B = $B1130 - 1),0)"),0.0)</f>
        <v>0</v>
      </c>
      <c r="W1130" s="93">
        <f>IFERROR(__xludf.DUMMYFUNCTION("$E1130 - IFERROR(FILTER($E:$E,$C:$C = $C1130, $A:$A = $A1130, $B:$B = $B1130 - 1),0)"),-3800.0)</f>
        <v>-3800</v>
      </c>
      <c r="X1130" s="93"/>
      <c r="Y1130" s="93"/>
      <c r="Z1130" s="93">
        <v>0.0</v>
      </c>
      <c r="AA1130" s="93">
        <v>0.0</v>
      </c>
      <c r="AB1130" s="93">
        <v>0.0</v>
      </c>
      <c r="AC1130" s="93"/>
      <c r="AD1130" s="93">
        <v>0.0</v>
      </c>
      <c r="AE1130" s="32">
        <f t="shared" si="2"/>
        <v>-5000</v>
      </c>
      <c r="AF1130" s="93">
        <v>0.0</v>
      </c>
    </row>
    <row r="1131">
      <c r="A1131" s="86">
        <v>2018.0</v>
      </c>
      <c r="B1131" s="87">
        <v>9.0</v>
      </c>
      <c r="C1131" s="88" t="s">
        <v>44</v>
      </c>
      <c r="D1131" s="32"/>
      <c r="E1131" s="93">
        <v>-15000.0</v>
      </c>
      <c r="F1131" s="32"/>
      <c r="G1131" s="93">
        <v>-1288.54</v>
      </c>
      <c r="H1131" s="93">
        <v>4676.51</v>
      </c>
      <c r="I1131" s="93">
        <v>3844.32</v>
      </c>
      <c r="J1131" s="93">
        <v>-2516.92</v>
      </c>
      <c r="K1131" s="32"/>
      <c r="L1131" s="32"/>
      <c r="M1131" s="32"/>
      <c r="N1131" s="32"/>
      <c r="O1131" s="93">
        <v>276351.0</v>
      </c>
      <c r="P1131" s="91">
        <f>IFERROR(__xludf.DUMMYFUNCTION("IFERROR(sum(FILTER($D:$N,$C:$C = $C1131,$A:$A &lt; $A1131,$B:$B = 12)),0) + sum($D1131:$N1131)"),276351.8400000001)</f>
        <v>276351.84</v>
      </c>
      <c r="Q1131" s="92">
        <f t="shared" si="1"/>
        <v>-0.8400000001</v>
      </c>
      <c r="R1131" s="91">
        <f t="array" ref="R1131">IFERROR(INDEX('Fund YTD Target Values'!$1:$1000, MATCH($C1131,'Fund YTD Target Values'!$A:$A,0), MATCH($A1131,'Fund YTD Target Values'!$1:$1,0)),0)</f>
        <v>321586.5616</v>
      </c>
      <c r="S1131" s="91">
        <f>IFERROR(__xludf.DUMMYFUNCTION("IFERROR(sum(FILTER('Fund Investment Data'!$V:$V, 'Fund Investment Data'!$C:$C = $C1131, 'Fund Investment Data'!$A:$A &lt; $A1131)),0) + IFERROR(sum(FILTER('Fund Investment Data'!$V:$V, 'Fund Investment Data'!$C:$C = $C1131, 'Fund Investment Data'!$A:$A = $A1"&amp;"131, 'Fund Investment Data'!$B:$B &lt;= $B1131)),0)"),250000.0)</f>
        <v>250000</v>
      </c>
      <c r="T1131" s="93">
        <v>250000.0</v>
      </c>
      <c r="U1131" s="32">
        <f t="shared" si="14"/>
        <v>0</v>
      </c>
      <c r="V1131" s="32">
        <f>IFERROR(__xludf.DUMMYFUNCTION("$D1131 - IFERROR(FILTER($D:$D,$C:$C = $C1131, $A:$A = $A1131, $B:$B = $B1131 - 1),0)"),0.0)</f>
        <v>0</v>
      </c>
      <c r="W1131" s="93">
        <f>IFERROR(__xludf.DUMMYFUNCTION("$E1131 - IFERROR(FILTER($E:$E,$C:$C = $C1131, $A:$A = $A1131, $B:$B = $B1131 - 1),0)"),-3400.0)</f>
        <v>-3400</v>
      </c>
      <c r="X1131" s="93"/>
      <c r="Y1131" s="93"/>
      <c r="Z1131" s="93">
        <v>0.0</v>
      </c>
      <c r="AA1131" s="93">
        <v>0.0</v>
      </c>
      <c r="AB1131" s="93">
        <v>0.0</v>
      </c>
      <c r="AC1131" s="93"/>
      <c r="AD1131" s="93">
        <v>0.0</v>
      </c>
      <c r="AE1131" s="32">
        <f t="shared" si="2"/>
        <v>-15000</v>
      </c>
      <c r="AF1131" s="93">
        <v>0.0</v>
      </c>
    </row>
    <row r="1132">
      <c r="A1132" s="86">
        <v>2018.0</v>
      </c>
      <c r="B1132" s="87">
        <v>9.0</v>
      </c>
      <c r="C1132" s="88" t="s">
        <v>45</v>
      </c>
      <c r="D1132" s="32"/>
      <c r="E1132" s="93">
        <v>-5000.0</v>
      </c>
      <c r="F1132" s="32"/>
      <c r="G1132" s="93">
        <v>-669.35</v>
      </c>
      <c r="H1132" s="93">
        <v>2415.58</v>
      </c>
      <c r="I1132" s="93">
        <v>193.65</v>
      </c>
      <c r="J1132" s="93">
        <v>523.19</v>
      </c>
      <c r="K1132" s="32"/>
      <c r="L1132" s="32"/>
      <c r="M1132" s="32"/>
      <c r="N1132" s="32"/>
      <c r="O1132" s="93">
        <v>145865.0</v>
      </c>
      <c r="P1132" s="91">
        <f>IFERROR(__xludf.DUMMYFUNCTION("IFERROR(sum(FILTER($D:$N,$C:$C = $C1132,$A:$A &lt; $A1132,$B:$B = 12)),0) + sum($D1132:$N1132)"),145865.36)</f>
        <v>145865.36</v>
      </c>
      <c r="Q1132" s="92">
        <f t="shared" si="1"/>
        <v>-0.36</v>
      </c>
      <c r="R1132" s="91">
        <f t="array" ref="R1132">IFERROR(INDEX('Fund YTD Target Values'!$1:$1000, MATCH($C1132,'Fund YTD Target Values'!$A:$A,0), MATCH($A1132,'Fund YTD Target Values'!$1:$1,0)),0)</f>
        <v>121242.134</v>
      </c>
      <c r="S1132" s="91">
        <f>IFERROR(__xludf.DUMMYFUNCTION("IFERROR(sum(FILTER('Fund Investment Data'!$V:$V, 'Fund Investment Data'!$C:$C = $C1132, 'Fund Investment Data'!$A:$A &lt; $A1132)),0) + IFERROR(sum(FILTER('Fund Investment Data'!$V:$V, 'Fund Investment Data'!$C:$C = $C1132, 'Fund Investment Data'!$A:$A = $A1"&amp;"132, 'Fund Investment Data'!$B:$B &lt;= $B1132)),0)"),100000.0)</f>
        <v>100000</v>
      </c>
      <c r="T1132" s="93">
        <v>100000.0</v>
      </c>
      <c r="U1132" s="32">
        <f t="shared" si="14"/>
        <v>0</v>
      </c>
      <c r="V1132" s="32">
        <f>IFERROR(__xludf.DUMMYFUNCTION("$D1132 - IFERROR(FILTER($D:$D,$C:$C = $C1132, $A:$A = $A1132, $B:$B = $B1132 - 1),0)"),0.0)</f>
        <v>0</v>
      </c>
      <c r="W1132" s="93">
        <f>IFERROR(__xludf.DUMMYFUNCTION("$E1132 - IFERROR(FILTER($E:$E,$C:$C = $C1132, $A:$A = $A1132, $B:$B = $B1132 - 1),0)"),-2000.0)</f>
        <v>-2000</v>
      </c>
      <c r="X1132" s="93"/>
      <c r="Y1132" s="93"/>
      <c r="Z1132" s="93">
        <v>0.0</v>
      </c>
      <c r="AA1132" s="93">
        <v>0.0</v>
      </c>
      <c r="AB1132" s="93">
        <v>0.0</v>
      </c>
      <c r="AC1132" s="93"/>
      <c r="AD1132" s="93">
        <v>0.0</v>
      </c>
      <c r="AE1132" s="32">
        <f t="shared" si="2"/>
        <v>-5000</v>
      </c>
      <c r="AF1132" s="93">
        <v>0.0</v>
      </c>
    </row>
    <row r="1133">
      <c r="A1133" s="86">
        <v>2018.0</v>
      </c>
      <c r="B1133" s="87">
        <v>9.0</v>
      </c>
      <c r="C1133" s="88" t="s">
        <v>35</v>
      </c>
      <c r="D1133" s="32"/>
      <c r="E1133" s="93">
        <v>-64200.0</v>
      </c>
      <c r="F1133" s="32"/>
      <c r="G1133" s="93">
        <v>-6599.55</v>
      </c>
      <c r="H1133" s="93">
        <v>23933.19</v>
      </c>
      <c r="I1133" s="93">
        <v>15513.35</v>
      </c>
      <c r="J1133" s="93">
        <v>-8507.68</v>
      </c>
      <c r="K1133" s="32"/>
      <c r="L1133" s="32"/>
      <c r="M1133" s="32"/>
      <c r="N1133" s="32"/>
      <c r="O1133" s="93">
        <v>1426282.0</v>
      </c>
      <c r="P1133" s="91">
        <f>IFERROR(__xludf.DUMMYFUNCTION("IFERROR(sum(FILTER($D:$N,$C:$C = $C1133,$A:$A &lt; $A1133,$B:$B = 12)),0) + sum($D1133:$N1133)"),1426280.8700000003)</f>
        <v>1426280.87</v>
      </c>
      <c r="Q1133" s="92">
        <f t="shared" si="1"/>
        <v>1.13</v>
      </c>
      <c r="R1133" s="91">
        <f t="array" ref="R1133">IFERROR(INDEX('Fund YTD Target Values'!$1:$1000, MATCH($C1133,'Fund YTD Target Values'!$A:$A,0), MATCH($A1133,'Fund YTD Target Values'!$1:$1,0)),0)</f>
        <v>1579247.369</v>
      </c>
      <c r="S1133" s="91">
        <f>IFERROR(__xludf.DUMMYFUNCTION("IFERROR(sum(FILTER('Fund Investment Data'!$V:$V, 'Fund Investment Data'!$C:$C = $C1133, 'Fund Investment Data'!$A:$A &lt; $A1133)),0) + IFERROR(sum(FILTER('Fund Investment Data'!$V:$V, 'Fund Investment Data'!$C:$C = $C1133, 'Fund Investment Data'!$A:$A = $A1"&amp;"133, 'Fund Investment Data'!$B:$B &lt;= $B1133)),0)"),1086625.0)</f>
        <v>1086625</v>
      </c>
      <c r="T1133" s="93">
        <v>1071625.0</v>
      </c>
      <c r="U1133" s="32">
        <f t="shared" si="14"/>
        <v>15000</v>
      </c>
      <c r="V1133" s="32">
        <f>IFERROR(__xludf.DUMMYFUNCTION("$D1133 - IFERROR(FILTER($D:$D,$C:$C = $C1133, $A:$A = $A1133, $B:$B = $B1133 - 1),0)"),0.0)</f>
        <v>0</v>
      </c>
      <c r="W1133" s="93">
        <f>IFERROR(__xludf.DUMMYFUNCTION("$E1133 - IFERROR(FILTER($E:$E,$C:$C = $C1133, $A:$A = $A1133, $B:$B = $B1133 - 1),0)"),-21800.0)</f>
        <v>-21800</v>
      </c>
      <c r="X1133" s="93"/>
      <c r="Y1133" s="93"/>
      <c r="Z1133" s="93">
        <v>0.0</v>
      </c>
      <c r="AA1133" s="93">
        <v>0.0</v>
      </c>
      <c r="AB1133" s="93">
        <v>0.0</v>
      </c>
      <c r="AC1133" s="93"/>
      <c r="AD1133" s="93">
        <v>0.0</v>
      </c>
      <c r="AE1133" s="32">
        <f t="shared" si="2"/>
        <v>-64200</v>
      </c>
      <c r="AF1133" s="93">
        <v>0.0</v>
      </c>
    </row>
    <row r="1134">
      <c r="A1134" s="86">
        <v>2018.0</v>
      </c>
      <c r="B1134" s="87">
        <v>9.0</v>
      </c>
      <c r="C1134" s="88" t="s">
        <v>56</v>
      </c>
      <c r="D1134" s="32"/>
      <c r="E1134" s="93">
        <v>-50000.0</v>
      </c>
      <c r="F1134" s="32"/>
      <c r="G1134" s="93">
        <v>-5096.78</v>
      </c>
      <c r="H1134" s="93">
        <v>18323.09</v>
      </c>
      <c r="I1134" s="93">
        <v>3463.53</v>
      </c>
      <c r="J1134" s="93">
        <v>1923.43</v>
      </c>
      <c r="K1134" s="32"/>
      <c r="L1134" s="32"/>
      <c r="M1134" s="32"/>
      <c r="N1134" s="32"/>
      <c r="O1134" s="93">
        <v>1101591.0</v>
      </c>
      <c r="P1134" s="91">
        <f>IFERROR(__xludf.DUMMYFUNCTION("IFERROR(sum(FILTER($D:$N,$C:$C = $C1134,$A:$A &lt; $A1134,$B:$B = 12)),0) + sum($D1134:$N1134)"),1101591.0999999999)</f>
        <v>1101591.1</v>
      </c>
      <c r="Q1134" s="92">
        <f t="shared" si="1"/>
        <v>-0.09999999986</v>
      </c>
      <c r="R1134" s="91">
        <f t="array" ref="R1134">IFERROR(INDEX('Fund YTD Target Values'!$1:$1000, MATCH($C1134,'Fund YTD Target Values'!$A:$A,0), MATCH($A1134,'Fund YTD Target Values'!$1:$1,0)),0)</f>
        <v>1060725.595</v>
      </c>
      <c r="S1134" s="91">
        <f>IFERROR(__xludf.DUMMYFUNCTION("IFERROR(sum(FILTER('Fund Investment Data'!$V:$V, 'Fund Investment Data'!$C:$C = $C1134, 'Fund Investment Data'!$A:$A &lt; $A1134)),0) + IFERROR(sum(FILTER('Fund Investment Data'!$V:$V, 'Fund Investment Data'!$C:$C = $C1134, 'Fund Investment Data'!$A:$A = $A1"&amp;"134, 'Fund Investment Data'!$B:$B &lt;= $B1134)),0)"),1000000.0)</f>
        <v>1000000</v>
      </c>
      <c r="T1134" s="93">
        <v>1000000.0</v>
      </c>
      <c r="U1134" s="32">
        <f t="shared" si="14"/>
        <v>0</v>
      </c>
      <c r="V1134" s="32">
        <f>IFERROR(__xludf.DUMMYFUNCTION("$D1134 - IFERROR(FILTER($D:$D,$C:$C = $C1134, $A:$A = $A1134, $B:$B = $B1134 - 1),0)"),0.0)</f>
        <v>0</v>
      </c>
      <c r="W1134" s="93">
        <f>IFERROR(__xludf.DUMMYFUNCTION("$E1134 - IFERROR(FILTER($E:$E,$C:$C = $C1134, $A:$A = $A1134, $B:$B = $B1134 - 1),0)"),-11200.0)</f>
        <v>-11200</v>
      </c>
      <c r="X1134" s="93"/>
      <c r="Y1134" s="93"/>
      <c r="Z1134" s="93">
        <v>0.0</v>
      </c>
      <c r="AA1134" s="93">
        <v>0.0</v>
      </c>
      <c r="AB1134" s="93">
        <v>0.0</v>
      </c>
      <c r="AC1134" s="93"/>
      <c r="AD1134" s="93">
        <v>0.0</v>
      </c>
      <c r="AE1134" s="32">
        <f t="shared" si="2"/>
        <v>-50000</v>
      </c>
      <c r="AF1134" s="93">
        <v>0.0</v>
      </c>
    </row>
    <row r="1135">
      <c r="A1135" s="86">
        <v>2018.0</v>
      </c>
      <c r="B1135" s="87">
        <v>9.0</v>
      </c>
      <c r="C1135" s="88" t="s">
        <v>57</v>
      </c>
      <c r="D1135" s="93"/>
      <c r="E1135" s="32"/>
      <c r="F1135" s="32"/>
      <c r="G1135" s="93">
        <v>-9242.01</v>
      </c>
      <c r="H1135" s="93">
        <v>33409.52</v>
      </c>
      <c r="I1135" s="32"/>
      <c r="J1135" s="93">
        <v>9975.7</v>
      </c>
      <c r="K1135" s="32"/>
      <c r="L1135" s="32"/>
      <c r="M1135" s="32"/>
      <c r="N1135" s="32"/>
      <c r="O1135" s="93">
        <v>2069322.0</v>
      </c>
      <c r="P1135" s="91">
        <f>IFERROR(__xludf.DUMMYFUNCTION("IFERROR(sum(FILTER($D:$N,$C:$C = $C1135,$A:$A &lt; $A1135,$B:$B = 12)),0) + sum($D1135:$N1135)"),2069322.04)</f>
        <v>2069322.04</v>
      </c>
      <c r="Q1135" s="92">
        <f t="shared" si="1"/>
        <v>-0.04000000004</v>
      </c>
      <c r="R1135" s="91">
        <f t="array" ref="R1135">IFERROR(INDEX('Fund YTD Target Values'!$1:$1000, MATCH($C1135,'Fund YTD Target Values'!$A:$A,0), MATCH($A1135,'Fund YTD Target Values'!$1:$1,0)),0)</f>
        <v>2048853.692</v>
      </c>
      <c r="S1135" s="91">
        <f>IFERROR(__xludf.DUMMYFUNCTION("IFERROR(sum(FILTER('Fund Investment Data'!$V:$V, 'Fund Investment Data'!$C:$C = $C1135, 'Fund Investment Data'!$A:$A &lt; $A1135)),0) + IFERROR(sum(FILTER('Fund Investment Data'!$V:$V, 'Fund Investment Data'!$C:$C = $C1135, 'Fund Investment Data'!$A:$A = $A1"&amp;"135, 'Fund Investment Data'!$B:$B &lt;= $B1135)),0)"),2000000.0)</f>
        <v>2000000</v>
      </c>
      <c r="T1135" s="93">
        <v>2000000.0</v>
      </c>
      <c r="U1135" s="32">
        <f t="shared" si="14"/>
        <v>0</v>
      </c>
      <c r="V1135" s="32">
        <f>IFERROR(__xludf.DUMMYFUNCTION("$D1135 - IFERROR(FILTER($D:$D,$C:$C = $C1135, $A:$A = $A1135, $B:$B = $B1135 - 1),0)"),0.0)</f>
        <v>0</v>
      </c>
      <c r="W1135" s="93">
        <f>IFERROR(__xludf.DUMMYFUNCTION("$E1135 - IFERROR(FILTER($E:$E,$C:$C = $C1135, $A:$A = $A1135, $B:$B = $B1135 - 1),0)"),0.0)</f>
        <v>0</v>
      </c>
      <c r="X1135" s="93"/>
      <c r="Y1135" s="93"/>
      <c r="Z1135" s="93">
        <v>0.0</v>
      </c>
      <c r="AA1135" s="93">
        <v>0.0</v>
      </c>
      <c r="AB1135" s="93">
        <v>0.0</v>
      </c>
      <c r="AC1135" s="93"/>
      <c r="AD1135" s="93">
        <v>0.0</v>
      </c>
      <c r="AE1135" s="32">
        <f t="shared" si="2"/>
        <v>0</v>
      </c>
      <c r="AF1135" s="93">
        <v>0.0</v>
      </c>
    </row>
    <row r="1136">
      <c r="A1136" s="86">
        <v>2018.0</v>
      </c>
      <c r="B1136" s="87">
        <v>9.0</v>
      </c>
      <c r="C1136" s="88" t="s">
        <v>58</v>
      </c>
      <c r="D1136" s="93"/>
      <c r="E1136" s="32"/>
      <c r="F1136" s="32"/>
      <c r="G1136" s="93">
        <v>-9242.01</v>
      </c>
      <c r="H1136" s="93">
        <v>33409.52</v>
      </c>
      <c r="I1136" s="32"/>
      <c r="J1136" s="93">
        <v>9975.7</v>
      </c>
      <c r="K1136" s="32"/>
      <c r="L1136" s="32"/>
      <c r="M1136" s="32"/>
      <c r="N1136" s="32"/>
      <c r="O1136" s="93">
        <v>2069322.0</v>
      </c>
      <c r="P1136" s="91">
        <f>IFERROR(__xludf.DUMMYFUNCTION("IFERROR(sum(FILTER($D:$N,$C:$C = $C1136,$A:$A &lt; $A1136,$B:$B = 12)),0) + sum($D1136:$N1136)"),2069322.04)</f>
        <v>2069322.04</v>
      </c>
      <c r="Q1136" s="92">
        <f t="shared" si="1"/>
        <v>-0.04000000004</v>
      </c>
      <c r="R1136" s="91">
        <f t="array" ref="R1136">IFERROR(INDEX('Fund YTD Target Values'!$1:$1000, MATCH($C1136,'Fund YTD Target Values'!$A:$A,0), MATCH($A1136,'Fund YTD Target Values'!$1:$1,0)),0)</f>
        <v>2048853.692</v>
      </c>
      <c r="S1136" s="91">
        <f>IFERROR(__xludf.DUMMYFUNCTION("IFERROR(sum(FILTER('Fund Investment Data'!$V:$V, 'Fund Investment Data'!$C:$C = $C1136, 'Fund Investment Data'!$A:$A &lt; $A1136)),0) + IFERROR(sum(FILTER('Fund Investment Data'!$V:$V, 'Fund Investment Data'!$C:$C = $C1136, 'Fund Investment Data'!$A:$A = $A1"&amp;"136, 'Fund Investment Data'!$B:$B &lt;= $B1136)),0)"),2000000.0)</f>
        <v>2000000</v>
      </c>
      <c r="T1136" s="93">
        <v>2000000.0</v>
      </c>
      <c r="U1136" s="32">
        <f t="shared" si="14"/>
        <v>0</v>
      </c>
      <c r="V1136" s="32">
        <f>IFERROR(__xludf.DUMMYFUNCTION("$D1136 - IFERROR(FILTER($D:$D,$C:$C = $C1136, $A:$A = $A1136, $B:$B = $B1136 - 1),0)"),0.0)</f>
        <v>0</v>
      </c>
      <c r="W1136" s="93">
        <f>IFERROR(__xludf.DUMMYFUNCTION("$E1136 - IFERROR(FILTER($E:$E,$C:$C = $C1136, $A:$A = $A1136, $B:$B = $B1136 - 1),0)"),0.0)</f>
        <v>0</v>
      </c>
      <c r="X1136" s="93"/>
      <c r="Y1136" s="93"/>
      <c r="Z1136" s="93">
        <v>0.0</v>
      </c>
      <c r="AA1136" s="93">
        <v>0.0</v>
      </c>
      <c r="AB1136" s="93">
        <v>0.0</v>
      </c>
      <c r="AC1136" s="93"/>
      <c r="AD1136" s="93">
        <v>0.0</v>
      </c>
      <c r="AE1136" s="32">
        <f t="shared" si="2"/>
        <v>0</v>
      </c>
      <c r="AF1136" s="93">
        <v>0.0</v>
      </c>
    </row>
    <row r="1137">
      <c r="A1137" s="86">
        <v>2018.0</v>
      </c>
      <c r="B1137" s="87">
        <v>10.0</v>
      </c>
      <c r="C1137" s="96" t="s">
        <v>26</v>
      </c>
      <c r="D1137" s="97">
        <v>18189.0</v>
      </c>
      <c r="E1137" s="97">
        <v>-15000.0</v>
      </c>
      <c r="F1137" s="98"/>
      <c r="G1137" s="99">
        <v>-1551.64</v>
      </c>
      <c r="H1137" s="99">
        <v>6528.75</v>
      </c>
      <c r="I1137" s="97">
        <v>587.37</v>
      </c>
      <c r="J1137" s="97">
        <v>-16469.68</v>
      </c>
      <c r="K1137" s="98"/>
      <c r="L1137" s="98"/>
      <c r="M1137" s="32"/>
      <c r="N1137" s="32"/>
      <c r="O1137" s="97">
        <v>324216.0</v>
      </c>
      <c r="P1137" s="91">
        <f>IFERROR(__xludf.DUMMYFUNCTION("IFERROR(sum(FILTER($D:$N,$C:$C = $C1137,$A:$A &lt; $A1137,$B:$B = 12)),0) + sum($D1137:$N1137)"),324214.75999999995)</f>
        <v>324214.76</v>
      </c>
      <c r="Q1137" s="92">
        <f t="shared" si="1"/>
        <v>1.24</v>
      </c>
      <c r="R1137" s="91">
        <f t="array" ref="R1137">IFERROR(INDEX('Fund YTD Target Values'!$1:$1000, MATCH($C1137,'Fund YTD Target Values'!$A:$A,0), MATCH($A1137,'Fund YTD Target Values'!$1:$1,0)),0)</f>
        <v>378110.9215</v>
      </c>
      <c r="S1137" s="91">
        <f>IFERROR(__xludf.DUMMYFUNCTION("IFERROR(sum(FILTER('Fund Investment Data'!$V:$V, 'Fund Investment Data'!$C:$C = $C1137, 'Fund Investment Data'!$A:$A &lt; $A1137)),0) + IFERROR(sum(FILTER('Fund Investment Data'!$V:$V, 'Fund Investment Data'!$C:$C = $C1137, 'Fund Investment Data'!$A:$A = $A1"&amp;"137, 'Fund Investment Data'!$B:$B &lt;= $B1137)),0)"),310249.0)</f>
        <v>310249</v>
      </c>
      <c r="T1137" s="93">
        <v>310250.0</v>
      </c>
      <c r="U1137" s="32">
        <f t="shared" si="14"/>
        <v>-1</v>
      </c>
      <c r="V1137" s="32">
        <f>IFERROR(__xludf.DUMMYFUNCTION("$D1137 - IFERROR(FILTER($D:$D,$C:$C = $C1137, $A:$A = $A1137, $B:$B = $B1137 - 1),0)"),0.0)</f>
        <v>0</v>
      </c>
      <c r="W1137" s="93">
        <f>IFERROR(__xludf.DUMMYFUNCTION("$E1137 - IFERROR(FILTER($E:$E,$C:$C = $C1137, $A:$A = $A1137, $B:$B = $B1137 - 1),0)"),0.0)</f>
        <v>0</v>
      </c>
      <c r="X1137" s="93"/>
      <c r="Y1137" s="93"/>
      <c r="Z1137" s="93">
        <v>0.0</v>
      </c>
      <c r="AA1137" s="93">
        <v>0.0</v>
      </c>
      <c r="AB1137" s="93">
        <v>0.0</v>
      </c>
      <c r="AC1137" s="93"/>
      <c r="AD1137" s="93">
        <v>0.0</v>
      </c>
      <c r="AE1137" s="32">
        <f t="shared" si="2"/>
        <v>-15000</v>
      </c>
      <c r="AF1137" s="93">
        <v>0.0</v>
      </c>
    </row>
    <row r="1138">
      <c r="A1138" s="86">
        <v>2018.0</v>
      </c>
      <c r="B1138" s="87">
        <v>10.0</v>
      </c>
      <c r="C1138" s="96" t="s">
        <v>27</v>
      </c>
      <c r="D1138" s="98"/>
      <c r="E1138" s="97">
        <v>-15000.0</v>
      </c>
      <c r="F1138" s="98"/>
      <c r="G1138" s="99">
        <v>-1390.11</v>
      </c>
      <c r="H1138" s="99">
        <v>5894.91</v>
      </c>
      <c r="I1138" s="97">
        <v>3753.69</v>
      </c>
      <c r="J1138" s="97">
        <v>-17556.81</v>
      </c>
      <c r="K1138" s="98"/>
      <c r="L1138" s="98"/>
      <c r="M1138" s="32"/>
      <c r="N1138" s="32"/>
      <c r="O1138" s="97">
        <v>284187.0</v>
      </c>
      <c r="P1138" s="91">
        <f>IFERROR(__xludf.DUMMYFUNCTION("IFERROR(sum(FILTER($D:$N,$C:$C = $C1138,$A:$A &lt; $A1138,$B:$B = 12)),0) + sum($D1138:$N1138)"),284187.0800000001)</f>
        <v>284187.08</v>
      </c>
      <c r="Q1138" s="92">
        <f t="shared" si="1"/>
        <v>-0.08000000007</v>
      </c>
      <c r="R1138" s="91">
        <f t="array" ref="R1138">IFERROR(INDEX('Fund YTD Target Values'!$1:$1000, MATCH($C1138,'Fund YTD Target Values'!$A:$A,0), MATCH($A1138,'Fund YTD Target Values'!$1:$1,0)),0)</f>
        <v>393297.582</v>
      </c>
      <c r="S1138" s="91">
        <f>IFERROR(__xludf.DUMMYFUNCTION("IFERROR(sum(FILTER('Fund Investment Data'!$V:$V, 'Fund Investment Data'!$C:$C = $C1138, 'Fund Investment Data'!$A:$A &lt; $A1138)),0) + IFERROR(sum(FILTER('Fund Investment Data'!$V:$V, 'Fund Investment Data'!$C:$C = $C1138, 'Fund Investment Data'!$A:$A = $A1"&amp;"138, 'Fund Investment Data'!$B:$B &lt;= $B1138)),0)"),276213.69999999995)</f>
        <v>276213.7</v>
      </c>
      <c r="T1138" s="93">
        <v>272248.0</v>
      </c>
      <c r="U1138" s="32">
        <f t="shared" si="14"/>
        <v>3965.7</v>
      </c>
      <c r="V1138" s="32">
        <f>IFERROR(__xludf.DUMMYFUNCTION("$D1138 - IFERROR(FILTER($D:$D,$C:$C = $C1138, $A:$A = $A1138, $B:$B = $B1138 - 1),0)"),0.0)</f>
        <v>0</v>
      </c>
      <c r="W1138" s="93">
        <f>IFERROR(__xludf.DUMMYFUNCTION("$E1138 - IFERROR(FILTER($E:$E,$C:$C = $C1138, $A:$A = $A1138, $B:$B = $B1138 - 1),0)"),0.0)</f>
        <v>0</v>
      </c>
      <c r="X1138" s="93"/>
      <c r="Y1138" s="93"/>
      <c r="Z1138" s="93">
        <v>0.0</v>
      </c>
      <c r="AA1138" s="93">
        <v>0.0</v>
      </c>
      <c r="AB1138" s="93">
        <v>0.0</v>
      </c>
      <c r="AC1138" s="93"/>
      <c r="AD1138" s="93">
        <v>0.0</v>
      </c>
      <c r="AE1138" s="32">
        <f t="shared" si="2"/>
        <v>-15000</v>
      </c>
      <c r="AF1138" s="93">
        <v>0.0</v>
      </c>
    </row>
    <row r="1139">
      <c r="A1139" s="86">
        <v>2018.0</v>
      </c>
      <c r="B1139" s="87">
        <v>10.0</v>
      </c>
      <c r="C1139" s="96" t="s">
        <v>28</v>
      </c>
      <c r="D1139" s="98"/>
      <c r="E1139" s="97">
        <v>-165000.0</v>
      </c>
      <c r="F1139" s="98"/>
      <c r="G1139" s="99">
        <v>-14890.64</v>
      </c>
      <c r="H1139" s="99">
        <v>63129.65</v>
      </c>
      <c r="I1139" s="97">
        <v>39189.66</v>
      </c>
      <c r="J1139" s="97">
        <v>-186884.38</v>
      </c>
      <c r="K1139" s="98"/>
      <c r="L1139" s="98"/>
      <c r="M1139" s="32"/>
      <c r="N1139" s="32"/>
      <c r="O1139" s="97">
        <v>3044771.0</v>
      </c>
      <c r="P1139" s="91">
        <f>IFERROR(__xludf.DUMMYFUNCTION("IFERROR(sum(FILTER($D:$N,$C:$C = $C1139,$A:$A &lt; $A1139,$B:$B = 12)),0) + sum($D1139:$N1139)"),3044770.36)</f>
        <v>3044770.36</v>
      </c>
      <c r="Q1139" s="92">
        <f t="shared" si="1"/>
        <v>0.6400000001</v>
      </c>
      <c r="R1139" s="91">
        <f t="array" ref="R1139">IFERROR(INDEX('Fund YTD Target Values'!$1:$1000, MATCH($C1139,'Fund YTD Target Values'!$A:$A,0), MATCH($A1139,'Fund YTD Target Values'!$1:$1,0)),0)</f>
        <v>3840487.513</v>
      </c>
      <c r="S1139" s="91">
        <f>IFERROR(__xludf.DUMMYFUNCTION("IFERROR(sum(FILTER('Fund Investment Data'!$V:$V, 'Fund Investment Data'!$C:$C = $C1139, 'Fund Investment Data'!$A:$A &lt; $A1139)),0) + IFERROR(sum(FILTER('Fund Investment Data'!$V:$V, 'Fund Investment Data'!$C:$C = $C1139, 'Fund Investment Data'!$A:$A = $A1"&amp;"139, 'Fund Investment Data'!$B:$B &lt;= $B1139)),0)"),2960091.25)</f>
        <v>2960091.25</v>
      </c>
      <c r="T1139" s="93">
        <v>3009816.0</v>
      </c>
      <c r="U1139" s="32">
        <f t="shared" si="14"/>
        <v>-49724.75</v>
      </c>
      <c r="V1139" s="32">
        <f>IFERROR(__xludf.DUMMYFUNCTION("$D1139 - IFERROR(FILTER($D:$D,$C:$C = $C1139, $A:$A = $A1139, $B:$B = $B1139 - 1),0)"),0.0)</f>
        <v>0</v>
      </c>
      <c r="W1139" s="93">
        <f>IFERROR(__xludf.DUMMYFUNCTION("$E1139 - IFERROR(FILTER($E:$E,$C:$C = $C1139, $A:$A = $A1139, $B:$B = $B1139 - 1),0)"),0.0)</f>
        <v>0</v>
      </c>
      <c r="X1139" s="93"/>
      <c r="Y1139" s="93"/>
      <c r="Z1139" s="93">
        <v>0.0</v>
      </c>
      <c r="AA1139" s="93">
        <v>0.0</v>
      </c>
      <c r="AB1139" s="93">
        <v>0.0</v>
      </c>
      <c r="AC1139" s="93"/>
      <c r="AD1139" s="93">
        <v>0.0</v>
      </c>
      <c r="AE1139" s="32">
        <f t="shared" si="2"/>
        <v>-165000</v>
      </c>
      <c r="AF1139" s="93">
        <v>0.0</v>
      </c>
    </row>
    <row r="1140">
      <c r="A1140" s="86">
        <v>2018.0</v>
      </c>
      <c r="B1140" s="87">
        <v>10.0</v>
      </c>
      <c r="C1140" s="88" t="s">
        <v>46</v>
      </c>
      <c r="D1140" s="98"/>
      <c r="E1140" s="97">
        <v>-27000.0</v>
      </c>
      <c r="F1140" s="98"/>
      <c r="G1140" s="99">
        <v>-1762.97</v>
      </c>
      <c r="H1140" s="99">
        <v>7470.07</v>
      </c>
      <c r="I1140" s="97">
        <v>7488.53</v>
      </c>
      <c r="J1140" s="97">
        <v>-24693.89</v>
      </c>
      <c r="K1140" s="98"/>
      <c r="L1140" s="98"/>
      <c r="M1140" s="32"/>
      <c r="N1140" s="32"/>
      <c r="O1140" s="97">
        <v>355009.0</v>
      </c>
      <c r="P1140" s="91">
        <f>IFERROR(__xludf.DUMMYFUNCTION("IFERROR(sum(FILTER($D:$N,$C:$C = $C1140,$A:$A &lt; $A1140,$B:$B = 12)),0) + sum($D1140:$N1140)"),355009.4)</f>
        <v>355009.4</v>
      </c>
      <c r="Q1140" s="92">
        <f t="shared" si="1"/>
        <v>-0.4</v>
      </c>
      <c r="R1140" s="91">
        <f t="array" ref="R1140">IFERROR(INDEX('Fund YTD Target Values'!$1:$1000, MATCH($C1140,'Fund YTD Target Values'!$A:$A,0), MATCH($A1140,'Fund YTD Target Values'!$1:$1,0)),0)</f>
        <v>456546.9656</v>
      </c>
      <c r="S1140" s="91">
        <f>IFERROR(__xludf.DUMMYFUNCTION("IFERROR(sum(FILTER('Fund Investment Data'!$V:$V, 'Fund Investment Data'!$C:$C = $C1140, 'Fund Investment Data'!$A:$A &lt; $A1140)),0) + IFERROR(sum(FILTER('Fund Investment Data'!$V:$V, 'Fund Investment Data'!$C:$C = $C1140, 'Fund Investment Data'!$A:$A = $A1"&amp;"140, 'Fund Investment Data'!$B:$B &lt;= $B1140)),0)"),366400.0)</f>
        <v>366400</v>
      </c>
      <c r="T1140" s="93">
        <v>366400.0</v>
      </c>
      <c r="U1140" s="32">
        <f t="shared" si="14"/>
        <v>0</v>
      </c>
      <c r="V1140" s="32">
        <f>IFERROR(__xludf.DUMMYFUNCTION("$D1140 - IFERROR(FILTER($D:$D,$C:$C = $C1140, $A:$A = $A1140, $B:$B = $B1140 - 1),0)"),0.0)</f>
        <v>0</v>
      </c>
      <c r="W1140" s="93">
        <f>IFERROR(__xludf.DUMMYFUNCTION("$E1140 - IFERROR(FILTER($E:$E,$C:$C = $C1140, $A:$A = $A1140, $B:$B = $B1140 - 1),0)"),0.0)</f>
        <v>0</v>
      </c>
      <c r="X1140" s="93"/>
      <c r="Y1140" s="93"/>
      <c r="Z1140" s="93">
        <v>0.0</v>
      </c>
      <c r="AA1140" s="93">
        <v>0.0</v>
      </c>
      <c r="AB1140" s="93">
        <v>0.0</v>
      </c>
      <c r="AC1140" s="93"/>
      <c r="AD1140" s="93">
        <v>0.0</v>
      </c>
      <c r="AE1140" s="32">
        <f t="shared" si="2"/>
        <v>-27000</v>
      </c>
      <c r="AF1140" s="93">
        <v>0.0</v>
      </c>
    </row>
    <row r="1141">
      <c r="A1141" s="86">
        <v>2018.0</v>
      </c>
      <c r="B1141" s="87">
        <v>10.0</v>
      </c>
      <c r="C1141" s="88" t="s">
        <v>36</v>
      </c>
      <c r="D1141" s="98"/>
      <c r="E1141" s="97">
        <v>-24000.0</v>
      </c>
      <c r="F1141" s="98"/>
      <c r="G1141" s="99">
        <v>-2027.95</v>
      </c>
      <c r="H1141" s="99">
        <v>8599.61</v>
      </c>
      <c r="I1141" s="97">
        <v>6209.06</v>
      </c>
      <c r="J1141" s="97">
        <v>-26258.23</v>
      </c>
      <c r="K1141" s="98"/>
      <c r="L1141" s="98"/>
      <c r="M1141" s="32"/>
      <c r="N1141" s="32"/>
      <c r="O1141" s="97">
        <v>413277.0</v>
      </c>
      <c r="P1141" s="91">
        <f>IFERROR(__xludf.DUMMYFUNCTION("IFERROR(sum(FILTER($D:$N,$C:$C = $C1141,$A:$A &lt; $A1141,$B:$B = 12)),0) + sum($D1141:$N1141)"),413276.95)</f>
        <v>413276.95</v>
      </c>
      <c r="Q1141" s="92">
        <f t="shared" si="1"/>
        <v>0.04999999999</v>
      </c>
      <c r="R1141" s="91">
        <f t="array" ref="R1141">IFERROR(INDEX('Fund YTD Target Values'!$1:$1000, MATCH($C1141,'Fund YTD Target Values'!$A:$A,0), MATCH($A1141,'Fund YTD Target Values'!$1:$1,0)),0)</f>
        <v>635486.6433</v>
      </c>
      <c r="S1141" s="91">
        <f>IFERROR(__xludf.DUMMYFUNCTION("IFERROR(sum(FILTER('Fund Investment Data'!$V:$V, 'Fund Investment Data'!$C:$C = $C1141, 'Fund Investment Data'!$A:$A &lt; $A1141)),0) + IFERROR(sum(FILTER('Fund Investment Data'!$V:$V, 'Fund Investment Data'!$C:$C = $C1141, 'Fund Investment Data'!$A:$A = $A1"&amp;"141, 'Fund Investment Data'!$B:$B &lt;= $B1141)),0)"),429067.24)</f>
        <v>429067.24</v>
      </c>
      <c r="T1141" s="93">
        <v>413959.0</v>
      </c>
      <c r="U1141" s="32">
        <f t="shared" si="14"/>
        <v>15108.24</v>
      </c>
      <c r="V1141" s="32">
        <f>IFERROR(__xludf.DUMMYFUNCTION("$D1141 - IFERROR(FILTER($D:$D,$C:$C = $C1141, $A:$A = $A1141, $B:$B = $B1141 - 1),0)"),0.0)</f>
        <v>0</v>
      </c>
      <c r="W1141" s="93">
        <f>IFERROR(__xludf.DUMMYFUNCTION("$E1141 - IFERROR(FILTER($E:$E,$C:$C = $C1141, $A:$A = $A1141, $B:$B = $B1141 - 1),0)"),0.0)</f>
        <v>0</v>
      </c>
      <c r="X1141" s="93"/>
      <c r="Y1141" s="93"/>
      <c r="Z1141" s="93">
        <v>0.0</v>
      </c>
      <c r="AA1141" s="93">
        <v>0.0</v>
      </c>
      <c r="AB1141" s="93">
        <v>0.0</v>
      </c>
      <c r="AC1141" s="93"/>
      <c r="AD1141" s="93">
        <v>0.0</v>
      </c>
      <c r="AE1141" s="32">
        <f t="shared" si="2"/>
        <v>-24000</v>
      </c>
      <c r="AF1141" s="93">
        <v>0.0</v>
      </c>
    </row>
    <row r="1142">
      <c r="A1142" s="86">
        <v>2018.0</v>
      </c>
      <c r="B1142" s="87">
        <v>10.0</v>
      </c>
      <c r="C1142" s="96" t="s">
        <v>37</v>
      </c>
      <c r="D1142" s="98"/>
      <c r="E1142" s="97">
        <v>-40000.0</v>
      </c>
      <c r="F1142" s="98"/>
      <c r="G1142" s="99">
        <v>-3703.04</v>
      </c>
      <c r="H1142" s="99">
        <v>15716.04</v>
      </c>
      <c r="I1142" s="97">
        <v>7738.91</v>
      </c>
      <c r="J1142" s="97">
        <v>-44559.35</v>
      </c>
      <c r="K1142" s="98"/>
      <c r="L1142" s="98"/>
      <c r="M1142" s="32"/>
      <c r="N1142" s="32"/>
      <c r="O1142" s="97">
        <v>758522.0</v>
      </c>
      <c r="P1142" s="91">
        <f>IFERROR(__xludf.DUMMYFUNCTION("IFERROR(sum(FILTER($D:$N,$C:$C = $C1142,$A:$A &lt; $A1142,$B:$B = 12)),0) + sum($D1142:$N1142)"),758521.7999999998)</f>
        <v>758521.8</v>
      </c>
      <c r="Q1142" s="92">
        <f t="shared" si="1"/>
        <v>0.2000000002</v>
      </c>
      <c r="R1142" s="91">
        <f t="array" ref="R1142">IFERROR(INDEX('Fund YTD Target Values'!$1:$1000, MATCH($C1142,'Fund YTD Target Values'!$A:$A,0), MATCH($A1142,'Fund YTD Target Values'!$1:$1,0)),0)</f>
        <v>845621.3635</v>
      </c>
      <c r="S1142" s="91">
        <f>IFERROR(__xludf.DUMMYFUNCTION("IFERROR(sum(FILTER('Fund Investment Data'!$V:$V, 'Fund Investment Data'!$C:$C = $C1142, 'Fund Investment Data'!$A:$A &lt; $A1142)),0) + IFERROR(sum(FILTER('Fund Investment Data'!$V:$V, 'Fund Investment Data'!$C:$C = $C1142, 'Fund Investment Data'!$A:$A = $A1"&amp;"142, 'Fund Investment Data'!$B:$B &lt;= $B1142)),0)"),758137.86)</f>
        <v>758137.86</v>
      </c>
      <c r="T1142" s="93">
        <v>742866.0</v>
      </c>
      <c r="U1142" s="32">
        <f t="shared" si="14"/>
        <v>15271.86</v>
      </c>
      <c r="V1142" s="32">
        <f>IFERROR(__xludf.DUMMYFUNCTION("$D1142 - IFERROR(FILTER($D:$D,$C:$C = $C1142, $A:$A = $A1142, $B:$B = $B1142 - 1),0)"),0.0)</f>
        <v>0</v>
      </c>
      <c r="W1142" s="93">
        <f>IFERROR(__xludf.DUMMYFUNCTION("$E1142 - IFERROR(FILTER($E:$E,$C:$C = $C1142, $A:$A = $A1142, $B:$B = $B1142 - 1),0)"),0.0)</f>
        <v>0</v>
      </c>
      <c r="X1142" s="93"/>
      <c r="Y1142" s="93"/>
      <c r="Z1142" s="93">
        <v>0.0</v>
      </c>
      <c r="AA1142" s="93">
        <v>0.0</v>
      </c>
      <c r="AB1142" s="93">
        <v>0.0</v>
      </c>
      <c r="AC1142" s="93"/>
      <c r="AD1142" s="93">
        <v>0.0</v>
      </c>
      <c r="AE1142" s="32">
        <f t="shared" si="2"/>
        <v>-40000</v>
      </c>
      <c r="AF1142" s="93">
        <v>0.0</v>
      </c>
    </row>
    <row r="1143">
      <c r="A1143" s="86">
        <v>2018.0</v>
      </c>
      <c r="B1143" s="87">
        <v>10.0</v>
      </c>
      <c r="C1143" s="96" t="s">
        <v>29</v>
      </c>
      <c r="D1143" s="98"/>
      <c r="E1143" s="98"/>
      <c r="F1143" s="98"/>
      <c r="G1143" s="99">
        <v>-264.11</v>
      </c>
      <c r="H1143" s="99">
        <v>1122.87</v>
      </c>
      <c r="I1143" s="98"/>
      <c r="J1143" s="97">
        <v>-2694.46</v>
      </c>
      <c r="K1143" s="98"/>
      <c r="L1143" s="98"/>
      <c r="M1143" s="32"/>
      <c r="N1143" s="32"/>
      <c r="O1143" s="97">
        <v>56326.0</v>
      </c>
      <c r="P1143" s="91">
        <f>IFERROR(__xludf.DUMMYFUNCTION("IFERROR(sum(FILTER($D:$N,$C:$C = $C1143,$A:$A &lt; $A1143,$B:$B = 12)),0) + sum($D1143:$N1143)"),56325.60999999993)</f>
        <v>56325.61</v>
      </c>
      <c r="Q1143" s="92">
        <f t="shared" si="1"/>
        <v>0.3900000001</v>
      </c>
      <c r="R1143" s="91">
        <f t="array" ref="R1143">IFERROR(INDEX('Fund YTD Target Values'!$1:$1000, MATCH($C1143,'Fund YTD Target Values'!$A:$A,0), MATCH($A1143,'Fund YTD Target Values'!$1:$1,0)),0)</f>
        <v>77055.94062</v>
      </c>
      <c r="S1143" s="91">
        <f>IFERROR(__xludf.DUMMYFUNCTION("IFERROR(sum(FILTER('Fund Investment Data'!$V:$V, 'Fund Investment Data'!$C:$C = $C1143, 'Fund Investment Data'!$A:$A &lt; $A1143)),0) + IFERROR(sum(FILTER('Fund Investment Data'!$V:$V, 'Fund Investment Data'!$C:$C = $C1143, 'Fund Investment Data'!$A:$A = $A1"&amp;"143, 'Fund Investment Data'!$B:$B &lt;= $B1143)),0)"),50000.0)</f>
        <v>50000</v>
      </c>
      <c r="T1143" s="93">
        <v>50000.0</v>
      </c>
      <c r="U1143" s="32">
        <f t="shared" si="14"/>
        <v>0</v>
      </c>
      <c r="V1143" s="32">
        <f>IFERROR(__xludf.DUMMYFUNCTION("$D1143 - IFERROR(FILTER($D:$D,$C:$C = $C1143, $A:$A = $A1143, $B:$B = $B1143 - 1),0)"),0.0)</f>
        <v>0</v>
      </c>
      <c r="W1143" s="93">
        <f>IFERROR(__xludf.DUMMYFUNCTION("$E1143 - IFERROR(FILTER($E:$E,$C:$C = $C1143, $A:$A = $A1143, $B:$B = $B1143 - 1),0)"),0.0)</f>
        <v>0</v>
      </c>
      <c r="X1143" s="93"/>
      <c r="Y1143" s="93"/>
      <c r="Z1143" s="93">
        <v>0.0</v>
      </c>
      <c r="AA1143" s="93">
        <v>0.0</v>
      </c>
      <c r="AB1143" s="93">
        <v>0.0</v>
      </c>
      <c r="AC1143" s="93"/>
      <c r="AD1143" s="93">
        <v>0.0</v>
      </c>
      <c r="AE1143" s="32">
        <f t="shared" si="2"/>
        <v>0</v>
      </c>
      <c r="AF1143" s="93">
        <v>0.0</v>
      </c>
    </row>
    <row r="1144">
      <c r="A1144" s="86">
        <v>2018.0</v>
      </c>
      <c r="B1144" s="87">
        <v>10.0</v>
      </c>
      <c r="C1144" s="96" t="s">
        <v>38</v>
      </c>
      <c r="D1144" s="98"/>
      <c r="E1144" s="97">
        <v>-20000.0</v>
      </c>
      <c r="F1144" s="98"/>
      <c r="G1144" s="99">
        <v>-3657.21</v>
      </c>
      <c r="H1144" s="99">
        <v>15523.23</v>
      </c>
      <c r="I1144" s="98"/>
      <c r="J1144" s="97">
        <v>-37214.68</v>
      </c>
      <c r="K1144" s="98"/>
      <c r="L1144" s="98"/>
      <c r="M1144" s="32"/>
      <c r="N1144" s="32"/>
      <c r="O1144" s="97">
        <v>770061.0</v>
      </c>
      <c r="P1144" s="91">
        <f>IFERROR(__xludf.DUMMYFUNCTION("IFERROR(sum(FILTER($D:$N,$C:$C = $C1144,$A:$A &lt; $A1144,$B:$B = 12)),0) + sum($D1144:$N1144)"),770059.4799999999)</f>
        <v>770059.48</v>
      </c>
      <c r="Q1144" s="92">
        <f t="shared" si="1"/>
        <v>1.52</v>
      </c>
      <c r="R1144" s="91">
        <f t="array" ref="R1144">IFERROR(INDEX('Fund YTD Target Values'!$1:$1000, MATCH($C1144,'Fund YTD Target Values'!$A:$A,0), MATCH($A1144,'Fund YTD Target Values'!$1:$1,0)),0)</f>
        <v>702514.9803</v>
      </c>
      <c r="S1144" s="91">
        <f>IFERROR(__xludf.DUMMYFUNCTION("IFERROR(sum(FILTER('Fund Investment Data'!$V:$V, 'Fund Investment Data'!$C:$C = $C1144, 'Fund Investment Data'!$A:$A &lt; $A1144)),0) + IFERROR(sum(FILTER('Fund Investment Data'!$V:$V, 'Fund Investment Data'!$C:$C = $C1144, 'Fund Investment Data'!$A:$A = $A1"&amp;"144, 'Fund Investment Data'!$B:$B &lt;= $B1144)),0)"),556601.64)</f>
        <v>556601.64</v>
      </c>
      <c r="T1144" s="93">
        <v>558656.0</v>
      </c>
      <c r="U1144" s="32">
        <f t="shared" si="14"/>
        <v>-2054.36</v>
      </c>
      <c r="V1144" s="32">
        <f>IFERROR(__xludf.DUMMYFUNCTION("$D1144 - IFERROR(FILTER($D:$D,$C:$C = $C1144, $A:$A = $A1144, $B:$B = $B1144 - 1),0)"),0.0)</f>
        <v>0</v>
      </c>
      <c r="W1144" s="93">
        <f>IFERROR(__xludf.DUMMYFUNCTION("$E1144 - IFERROR(FILTER($E:$E,$C:$C = $C1144, $A:$A = $A1144, $B:$B = $B1144 - 1),0)"),0.0)</f>
        <v>0</v>
      </c>
      <c r="X1144" s="93"/>
      <c r="Y1144" s="93"/>
      <c r="Z1144" s="93">
        <v>0.0</v>
      </c>
      <c r="AA1144" s="93">
        <v>0.0</v>
      </c>
      <c r="AB1144" s="93">
        <v>0.0</v>
      </c>
      <c r="AC1144" s="93"/>
      <c r="AD1144" s="93">
        <v>0.0</v>
      </c>
      <c r="AE1144" s="32">
        <f t="shared" si="2"/>
        <v>-20000</v>
      </c>
      <c r="AF1144" s="93">
        <v>0.0</v>
      </c>
    </row>
    <row r="1145">
      <c r="A1145" s="86">
        <v>2018.0</v>
      </c>
      <c r="B1145" s="87">
        <v>10.0</v>
      </c>
      <c r="C1145" s="96" t="s">
        <v>30</v>
      </c>
      <c r="D1145" s="98"/>
      <c r="E1145" s="98"/>
      <c r="F1145" s="98"/>
      <c r="G1145" s="99">
        <v>-78.85</v>
      </c>
      <c r="H1145" s="99">
        <v>330.9</v>
      </c>
      <c r="I1145" s="98"/>
      <c r="J1145" s="97">
        <v>-804.77</v>
      </c>
      <c r="K1145" s="98"/>
      <c r="L1145" s="98"/>
      <c r="M1145" s="32"/>
      <c r="N1145" s="32"/>
      <c r="O1145" s="97">
        <v>16816.0</v>
      </c>
      <c r="P1145" s="91">
        <f>IFERROR(__xludf.DUMMYFUNCTION("IFERROR(sum(FILTER($D:$N,$C:$C = $C1145,$A:$A &lt; $A1145,$B:$B = 12)),0) + sum($D1145:$N1145)"),16814.689999999984)</f>
        <v>16814.69</v>
      </c>
      <c r="Q1145" s="92">
        <f t="shared" si="1"/>
        <v>1.31</v>
      </c>
      <c r="R1145" s="91">
        <f t="array" ref="R1145">IFERROR(INDEX('Fund YTD Target Values'!$1:$1000, MATCH($C1145,'Fund YTD Target Values'!$A:$A,0), MATCH($A1145,'Fund YTD Target Values'!$1:$1,0)),0)</f>
        <v>18484.57102</v>
      </c>
      <c r="S1145" s="91">
        <f>IFERROR(__xludf.DUMMYFUNCTION("IFERROR(sum(FILTER('Fund Investment Data'!$V:$V, 'Fund Investment Data'!$C:$C = $C1145, 'Fund Investment Data'!$A:$A &lt; $A1145)),0) + IFERROR(sum(FILTER('Fund Investment Data'!$V:$V, 'Fund Investment Data'!$C:$C = $C1145, 'Fund Investment Data'!$A:$A = $A1"&amp;"145, 'Fund Investment Data'!$B:$B &lt;= $B1145)),0)"),11540.75)</f>
        <v>11540.75</v>
      </c>
      <c r="T1145" s="93">
        <v>10000.0</v>
      </c>
      <c r="U1145" s="32">
        <f t="shared" si="14"/>
        <v>1540.75</v>
      </c>
      <c r="V1145" s="32">
        <f>IFERROR(__xludf.DUMMYFUNCTION("$D1145 - IFERROR(FILTER($D:$D,$C:$C = $C1145, $A:$A = $A1145, $B:$B = $B1145 - 1),0)"),0.0)</f>
        <v>0</v>
      </c>
      <c r="W1145" s="93">
        <f>IFERROR(__xludf.DUMMYFUNCTION("$E1145 - IFERROR(FILTER($E:$E,$C:$C = $C1145, $A:$A = $A1145, $B:$B = $B1145 - 1),0)"),0.0)</f>
        <v>0</v>
      </c>
      <c r="X1145" s="93"/>
      <c r="Y1145" s="93"/>
      <c r="Z1145" s="93">
        <v>0.0</v>
      </c>
      <c r="AA1145" s="93">
        <v>0.0</v>
      </c>
      <c r="AB1145" s="93">
        <v>0.0</v>
      </c>
      <c r="AC1145" s="93"/>
      <c r="AD1145" s="93">
        <v>0.0</v>
      </c>
      <c r="AE1145" s="32">
        <f t="shared" si="2"/>
        <v>0</v>
      </c>
      <c r="AF1145" s="93">
        <v>0.0</v>
      </c>
    </row>
    <row r="1146">
      <c r="A1146" s="86">
        <v>2018.0</v>
      </c>
      <c r="B1146" s="87">
        <v>10.0</v>
      </c>
      <c r="C1146" s="96" t="s">
        <v>47</v>
      </c>
      <c r="D1146" s="98"/>
      <c r="E1146" s="97">
        <v>-67000.0</v>
      </c>
      <c r="F1146" s="98"/>
      <c r="G1146" s="99">
        <v>-6814.86</v>
      </c>
      <c r="H1146" s="99">
        <v>28940.62</v>
      </c>
      <c r="I1146" s="97">
        <v>16087.47</v>
      </c>
      <c r="J1146" s="97">
        <v>-84279.82</v>
      </c>
      <c r="K1146" s="98"/>
      <c r="L1146" s="98"/>
      <c r="M1146" s="32"/>
      <c r="N1146" s="32"/>
      <c r="O1146" s="97">
        <v>1401183.0</v>
      </c>
      <c r="P1146" s="91">
        <f>IFERROR(__xludf.DUMMYFUNCTION("IFERROR(sum(FILTER($D:$N,$C:$C = $C1146,$A:$A &lt; $A1146,$B:$B = 12)),0) + sum($D1146:$N1146)"),1401183.0499999996)</f>
        <v>1401183.05</v>
      </c>
      <c r="Q1146" s="92">
        <f t="shared" si="1"/>
        <v>-0.04999999958</v>
      </c>
      <c r="R1146" s="91">
        <f t="array" ref="R1146">IFERROR(INDEX('Fund YTD Target Values'!$1:$1000, MATCH($C1146,'Fund YTD Target Values'!$A:$A,0), MATCH($A1146,'Fund YTD Target Values'!$1:$1,0)),0)</f>
        <v>1998729.212</v>
      </c>
      <c r="S1146" s="91">
        <f>IFERROR(__xludf.DUMMYFUNCTION("IFERROR(sum(FILTER('Fund Investment Data'!$V:$V, 'Fund Investment Data'!$C:$C = $C1146, 'Fund Investment Data'!$A:$A &lt; $A1146)),0) + IFERROR(sum(FILTER('Fund Investment Data'!$V:$V, 'Fund Investment Data'!$C:$C = $C1146, 'Fund Investment Data'!$A:$A = $A1"&amp;"146, 'Fund Investment Data'!$B:$B &lt;= $B1146)),0)"),1456367.46)</f>
        <v>1456367.46</v>
      </c>
      <c r="T1146" s="93">
        <v>1348955.0</v>
      </c>
      <c r="U1146" s="32">
        <f t="shared" si="14"/>
        <v>107412.46</v>
      </c>
      <c r="V1146" s="32">
        <f>IFERROR(__xludf.DUMMYFUNCTION("$D1146 - IFERROR(FILTER($D:$D,$C:$C = $C1146, $A:$A = $A1146, $B:$B = $B1146 - 1),0)"),0.0)</f>
        <v>0</v>
      </c>
      <c r="W1146" s="93">
        <f>IFERROR(__xludf.DUMMYFUNCTION("$E1146 - IFERROR(FILTER($E:$E,$C:$C = $C1146, $A:$A = $A1146, $B:$B = $B1146 - 1),0)"),0.0)</f>
        <v>0</v>
      </c>
      <c r="X1146" s="93"/>
      <c r="Y1146" s="93"/>
      <c r="Z1146" s="93">
        <v>0.0</v>
      </c>
      <c r="AA1146" s="93">
        <v>0.0</v>
      </c>
      <c r="AB1146" s="93">
        <v>0.0</v>
      </c>
      <c r="AC1146" s="93"/>
      <c r="AD1146" s="93">
        <v>0.0</v>
      </c>
      <c r="AE1146" s="32">
        <f t="shared" si="2"/>
        <v>-67000</v>
      </c>
      <c r="AF1146" s="93">
        <v>0.0</v>
      </c>
    </row>
    <row r="1147">
      <c r="A1147" s="86">
        <v>2018.0</v>
      </c>
      <c r="B1147" s="87">
        <v>10.0</v>
      </c>
      <c r="C1147" s="96" t="s">
        <v>31</v>
      </c>
      <c r="D1147" s="98"/>
      <c r="E1147" s="97">
        <v>-9800.0</v>
      </c>
      <c r="F1147" s="98"/>
      <c r="G1147" s="99">
        <v>-852.72</v>
      </c>
      <c r="H1147" s="99">
        <v>3616.87</v>
      </c>
      <c r="I1147" s="97">
        <v>2485.83</v>
      </c>
      <c r="J1147" s="97">
        <v>-10982.27</v>
      </c>
      <c r="K1147" s="98"/>
      <c r="L1147" s="98"/>
      <c r="M1147" s="32"/>
      <c r="N1147" s="32"/>
      <c r="O1147" s="97">
        <v>173727.0</v>
      </c>
      <c r="P1147" s="91">
        <f>IFERROR(__xludf.DUMMYFUNCTION("IFERROR(sum(FILTER($D:$N,$C:$C = $C1147,$A:$A &lt; $A1147,$B:$B = 12)),0) + sum($D1147:$N1147)"),173727.06000000003)</f>
        <v>173727.06</v>
      </c>
      <c r="Q1147" s="92">
        <f t="shared" si="1"/>
        <v>-0.06000000003</v>
      </c>
      <c r="R1147" s="91">
        <f t="array" ref="R1147">IFERROR(INDEX('Fund YTD Target Values'!$1:$1000, MATCH($C1147,'Fund YTD Target Values'!$A:$A,0), MATCH($A1147,'Fund YTD Target Values'!$1:$1,0)),0)</f>
        <v>210555.1651</v>
      </c>
      <c r="S1147" s="91">
        <f>IFERROR(__xludf.DUMMYFUNCTION("IFERROR(sum(FILTER('Fund Investment Data'!$V:$V, 'Fund Investment Data'!$C:$C = $C1147, 'Fund Investment Data'!$A:$A &lt; $A1147)),0) + IFERROR(sum(FILTER('Fund Investment Data'!$V:$V, 'Fund Investment Data'!$C:$C = $C1147, 'Fund Investment Data'!$A:$A = $A1"&amp;"147, 'Fund Investment Data'!$B:$B &lt;= $B1147)),0)"),158100.0)</f>
        <v>158100</v>
      </c>
      <c r="T1147" s="93">
        <v>156850.0</v>
      </c>
      <c r="U1147" s="32">
        <f t="shared" si="14"/>
        <v>1250</v>
      </c>
      <c r="V1147" s="32">
        <f>IFERROR(__xludf.DUMMYFUNCTION("$D1147 - IFERROR(FILTER($D:$D,$C:$C = $C1147, $A:$A = $A1147, $B:$B = $B1147 - 1),0)"),0.0)</f>
        <v>0</v>
      </c>
      <c r="W1147" s="93">
        <f>IFERROR(__xludf.DUMMYFUNCTION("$E1147 - IFERROR(FILTER($E:$E,$C:$C = $C1147, $A:$A = $A1147, $B:$B = $B1147 - 1),0)"),0.0)</f>
        <v>0</v>
      </c>
      <c r="X1147" s="93"/>
      <c r="Y1147" s="93"/>
      <c r="Z1147" s="93">
        <v>0.0</v>
      </c>
      <c r="AA1147" s="93">
        <v>0.0</v>
      </c>
      <c r="AB1147" s="93">
        <v>0.0</v>
      </c>
      <c r="AC1147" s="93"/>
      <c r="AD1147" s="93">
        <v>0.0</v>
      </c>
      <c r="AE1147" s="32">
        <f t="shared" si="2"/>
        <v>-9800</v>
      </c>
      <c r="AF1147" s="93">
        <v>0.0</v>
      </c>
    </row>
    <row r="1148">
      <c r="A1148" s="86">
        <v>2018.0</v>
      </c>
      <c r="B1148" s="87">
        <v>10.0</v>
      </c>
      <c r="C1148" s="96" t="s">
        <v>39</v>
      </c>
      <c r="D1148" s="97">
        <v>15000.0</v>
      </c>
      <c r="E1148" s="97">
        <v>-8000.0</v>
      </c>
      <c r="F1148" s="98"/>
      <c r="G1148" s="99">
        <v>-811.95</v>
      </c>
      <c r="H1148" s="99">
        <v>3349.75</v>
      </c>
      <c r="I1148" s="97">
        <v>787.64</v>
      </c>
      <c r="J1148" s="97">
        <v>-10484.47</v>
      </c>
      <c r="K1148" s="98"/>
      <c r="L1148" s="98"/>
      <c r="M1148" s="32"/>
      <c r="N1148" s="32"/>
      <c r="O1148" s="97">
        <v>179564.0</v>
      </c>
      <c r="P1148" s="91">
        <f>IFERROR(__xludf.DUMMYFUNCTION("IFERROR(sum(FILTER($D:$N,$C:$C = $C1148,$A:$A &lt; $A1148,$B:$B = 12)),0) + sum($D1148:$N1148)"),179564.23000000004)</f>
        <v>179564.23</v>
      </c>
      <c r="Q1148" s="92">
        <f t="shared" si="1"/>
        <v>-0.23</v>
      </c>
      <c r="R1148" s="91">
        <f t="array" ref="R1148">IFERROR(INDEX('Fund YTD Target Values'!$1:$1000, MATCH($C1148,'Fund YTD Target Values'!$A:$A,0), MATCH($A1148,'Fund YTD Target Values'!$1:$1,0)),0)</f>
        <v>184883.5181</v>
      </c>
      <c r="S1148" s="91">
        <f>IFERROR(__xludf.DUMMYFUNCTION("IFERROR(sum(FILTER('Fund Investment Data'!$V:$V, 'Fund Investment Data'!$C:$C = $C1148, 'Fund Investment Data'!$A:$A &lt; $A1148)),0) + IFERROR(sum(FILTER('Fund Investment Data'!$V:$V, 'Fund Investment Data'!$C:$C = $C1148, 'Fund Investment Data'!$A:$A = $A1"&amp;"148, 'Fund Investment Data'!$B:$B &lt;= $B1148)),0)"),170000.0)</f>
        <v>170000</v>
      </c>
      <c r="T1148" s="32"/>
      <c r="U1148" s="32"/>
      <c r="V1148" s="32">
        <f>IFERROR(__xludf.DUMMYFUNCTION("$D1148 - IFERROR(FILTER($D:$D,$C:$C = $C1148, $A:$A = $A1148, $B:$B = $B1148 - 1),0)"),0.0)</f>
        <v>0</v>
      </c>
      <c r="W1148" s="93">
        <f>IFERROR(__xludf.DUMMYFUNCTION("$E1148 - IFERROR(FILTER($E:$E,$C:$C = $C1148, $A:$A = $A1148, $B:$B = $B1148 - 1),0)"),0.0)</f>
        <v>0</v>
      </c>
      <c r="X1148" s="93"/>
      <c r="Y1148" s="93"/>
      <c r="Z1148" s="93">
        <v>0.0</v>
      </c>
      <c r="AA1148" s="93">
        <v>0.0</v>
      </c>
      <c r="AB1148" s="93">
        <v>0.0</v>
      </c>
      <c r="AC1148" s="93"/>
      <c r="AD1148" s="93">
        <v>0.0</v>
      </c>
      <c r="AE1148" s="32">
        <f t="shared" si="2"/>
        <v>-8000</v>
      </c>
      <c r="AF1148" s="93">
        <v>0.0</v>
      </c>
    </row>
    <row r="1149">
      <c r="A1149" s="86">
        <v>2018.0</v>
      </c>
      <c r="B1149" s="87">
        <v>10.0</v>
      </c>
      <c r="C1149" s="96" t="s">
        <v>50</v>
      </c>
      <c r="D1149" s="98"/>
      <c r="E1149" s="97">
        <v>-10000.0</v>
      </c>
      <c r="F1149" s="98"/>
      <c r="G1149" s="99">
        <v>-971.41</v>
      </c>
      <c r="H1149" s="99">
        <v>4055.8</v>
      </c>
      <c r="I1149" s="97">
        <v>849.45</v>
      </c>
      <c r="J1149" s="97">
        <v>-10534.96</v>
      </c>
      <c r="K1149" s="98"/>
      <c r="L1149" s="98"/>
      <c r="M1149" s="32"/>
      <c r="N1149" s="32"/>
      <c r="O1149" s="97">
        <v>198864.0</v>
      </c>
      <c r="P1149" s="91">
        <f>IFERROR(__xludf.DUMMYFUNCTION("IFERROR(sum(FILTER($D:$N,$C:$C = $C1149,$A:$A &lt; $A1149,$B:$B = 12)),0) + sum($D1149:$N1149)"),198862.99)</f>
        <v>198862.99</v>
      </c>
      <c r="Q1149" s="92">
        <f t="shared" si="1"/>
        <v>1.01</v>
      </c>
      <c r="R1149" s="91">
        <f t="array" ref="R1149">IFERROR(INDEX('Fund YTD Target Values'!$1:$1000, MATCH($C1149,'Fund YTD Target Values'!$A:$A,0), MATCH($A1149,'Fund YTD Target Values'!$1:$1,0)),0)</f>
        <v>217663.6749</v>
      </c>
      <c r="S1149" s="91">
        <f>IFERROR(__xludf.DUMMYFUNCTION("IFERROR(sum(FILTER('Fund Investment Data'!$V:$V, 'Fund Investment Data'!$C:$C = $C1149, 'Fund Investment Data'!$A:$A &lt; $A1149)),0) + IFERROR(sum(FILTER('Fund Investment Data'!$V:$V, 'Fund Investment Data'!$C:$C = $C1149, 'Fund Investment Data'!$A:$A = $A1"&amp;"149, 'Fund Investment Data'!$B:$B &lt;= $B1149)),0)"),185189.56)</f>
        <v>185189.56</v>
      </c>
      <c r="T1149" s="93">
        <v>190241.0</v>
      </c>
      <c r="U1149" s="32">
        <f t="shared" ref="U1149:U1151" si="15">S1149-T1149</f>
        <v>-5051.44</v>
      </c>
      <c r="V1149" s="32">
        <f>IFERROR(__xludf.DUMMYFUNCTION("$D1149 - IFERROR(FILTER($D:$D,$C:$C = $C1149, $A:$A = $A1149, $B:$B = $B1149 - 1),0)"),0.0)</f>
        <v>0</v>
      </c>
      <c r="W1149" s="93">
        <f>IFERROR(__xludf.DUMMYFUNCTION("$E1149 - IFERROR(FILTER($E:$E,$C:$C = $C1149, $A:$A = $A1149, $B:$B = $B1149 - 1),0)"),0.0)</f>
        <v>0</v>
      </c>
      <c r="X1149" s="93"/>
      <c r="Y1149" s="93"/>
      <c r="Z1149" s="93">
        <v>0.0</v>
      </c>
      <c r="AA1149" s="93">
        <v>0.0</v>
      </c>
      <c r="AB1149" s="93">
        <v>0.0</v>
      </c>
      <c r="AC1149" s="93"/>
      <c r="AD1149" s="93">
        <v>0.0</v>
      </c>
      <c r="AE1149" s="32">
        <f t="shared" si="2"/>
        <v>-10000</v>
      </c>
      <c r="AF1149" s="93">
        <v>0.0</v>
      </c>
    </row>
    <row r="1150">
      <c r="A1150" s="86">
        <v>2018.0</v>
      </c>
      <c r="B1150" s="87">
        <v>10.0</v>
      </c>
      <c r="C1150" s="88" t="s">
        <v>32</v>
      </c>
      <c r="D1150" s="98"/>
      <c r="E1150" s="97">
        <v>-2000.0</v>
      </c>
      <c r="F1150" s="98"/>
      <c r="G1150" s="99">
        <v>-241.57</v>
      </c>
      <c r="H1150" s="99">
        <v>1015.12</v>
      </c>
      <c r="I1150" s="97">
        <v>135.67</v>
      </c>
      <c r="J1150" s="97">
        <v>-2560.52</v>
      </c>
      <c r="K1150" s="98"/>
      <c r="L1150" s="98"/>
      <c r="M1150" s="32"/>
      <c r="N1150" s="32"/>
      <c r="O1150" s="97">
        <v>49780.0</v>
      </c>
      <c r="P1150" s="91">
        <f>IFERROR(__xludf.DUMMYFUNCTION("IFERROR(sum(FILTER($D:$N,$C:$C = $C1150,$A:$A &lt; $A1150,$B:$B = 12)),0) + sum($D1150:$N1150)"),49779.520000000026)</f>
        <v>49779.52</v>
      </c>
      <c r="Q1150" s="92">
        <f t="shared" si="1"/>
        <v>0.48</v>
      </c>
      <c r="R1150" s="91">
        <f t="array" ref="R1150">IFERROR(INDEX('Fund YTD Target Values'!$1:$1000, MATCH($C1150,'Fund YTD Target Values'!$A:$A,0), MATCH($A1150,'Fund YTD Target Values'!$1:$1,0)),0)</f>
        <v>79179.11465</v>
      </c>
      <c r="S1150" s="91">
        <f>IFERROR(__xludf.DUMMYFUNCTION("IFERROR(sum(FILTER('Fund Investment Data'!$V:$V, 'Fund Investment Data'!$C:$C = $C1150, 'Fund Investment Data'!$A:$A &lt; $A1150)),0) + IFERROR(sum(FILTER('Fund Investment Data'!$V:$V, 'Fund Investment Data'!$C:$C = $C1150, 'Fund Investment Data'!$A:$A = $A1"&amp;"150, 'Fund Investment Data'!$B:$B &lt;= $B1150)),0)"),49449.04)</f>
        <v>49449.04</v>
      </c>
      <c r="T1150" s="93">
        <v>39268.0</v>
      </c>
      <c r="U1150" s="32">
        <f t="shared" si="15"/>
        <v>10181.04</v>
      </c>
      <c r="V1150" s="32">
        <f>IFERROR(__xludf.DUMMYFUNCTION("$D1150 - IFERROR(FILTER($D:$D,$C:$C = $C1150, $A:$A = $A1150, $B:$B = $B1150 - 1),0)"),0.0)</f>
        <v>0</v>
      </c>
      <c r="W1150" s="93">
        <f>IFERROR(__xludf.DUMMYFUNCTION("$E1150 - IFERROR(FILTER($E:$E,$C:$C = $C1150, $A:$A = $A1150, $B:$B = $B1150 - 1),0)"),0.0)</f>
        <v>0</v>
      </c>
      <c r="X1150" s="93"/>
      <c r="Y1150" s="93"/>
      <c r="Z1150" s="93">
        <v>0.0</v>
      </c>
      <c r="AA1150" s="93">
        <v>0.0</v>
      </c>
      <c r="AB1150" s="93">
        <v>0.0</v>
      </c>
      <c r="AC1150" s="93"/>
      <c r="AD1150" s="93">
        <v>0.0</v>
      </c>
      <c r="AE1150" s="32">
        <f t="shared" si="2"/>
        <v>-2000</v>
      </c>
      <c r="AF1150" s="93">
        <v>0.0</v>
      </c>
    </row>
    <row r="1151">
      <c r="A1151" s="86">
        <v>2018.0</v>
      </c>
      <c r="B1151" s="87">
        <v>10.0</v>
      </c>
      <c r="C1151" s="88" t="s">
        <v>40</v>
      </c>
      <c r="D1151" s="98"/>
      <c r="E1151" s="97">
        <v>-7000.0</v>
      </c>
      <c r="F1151" s="98"/>
      <c r="G1151" s="99">
        <v>-696.74</v>
      </c>
      <c r="H1151" s="99">
        <v>2956.47</v>
      </c>
      <c r="I1151" s="97">
        <v>1389.77</v>
      </c>
      <c r="J1151" s="97">
        <v>-8316.21</v>
      </c>
      <c r="K1151" s="98"/>
      <c r="L1151" s="98"/>
      <c r="M1151" s="32"/>
      <c r="N1151" s="32"/>
      <c r="O1151" s="97">
        <v>143146.0</v>
      </c>
      <c r="P1151" s="91">
        <f>IFERROR(__xludf.DUMMYFUNCTION("IFERROR(sum(FILTER($D:$N,$C:$C = $C1151,$A:$A &lt; $A1151,$B:$B = 12)),0) + sum($D1151:$N1151)"),143145.99999999994)</f>
        <v>143146</v>
      </c>
      <c r="Q1151" s="92">
        <f t="shared" si="1"/>
        <v>0</v>
      </c>
      <c r="R1151" s="91">
        <f t="array" ref="R1151">IFERROR(INDEX('Fund YTD Target Values'!$1:$1000, MATCH($C1151,'Fund YTD Target Values'!$A:$A,0), MATCH($A1151,'Fund YTD Target Values'!$1:$1,0)),0)</f>
        <v>161362.9699</v>
      </c>
      <c r="S1151" s="91">
        <f>IFERROR(__xludf.DUMMYFUNCTION("IFERROR(sum(FILTER('Fund Investment Data'!$V:$V, 'Fund Investment Data'!$C:$C = $C1151, 'Fund Investment Data'!$A:$A &lt; $A1151)),0) + IFERROR(sum(FILTER('Fund Investment Data'!$V:$V, 'Fund Investment Data'!$C:$C = $C1151, 'Fund Investment Data'!$A:$A = $A1"&amp;"151, 'Fund Investment Data'!$B:$B &lt;= $B1151)),0)"),129703.74)</f>
        <v>129703.74</v>
      </c>
      <c r="T1151" s="93">
        <v>129723.0</v>
      </c>
      <c r="U1151" s="32">
        <f t="shared" si="15"/>
        <v>-19.26</v>
      </c>
      <c r="V1151" s="32">
        <f>IFERROR(__xludf.DUMMYFUNCTION("$D1151 - IFERROR(FILTER($D:$D,$C:$C = $C1151, $A:$A = $A1151, $B:$B = $B1151 - 1),0)"),0.0)</f>
        <v>0</v>
      </c>
      <c r="W1151" s="93">
        <f>IFERROR(__xludf.DUMMYFUNCTION("$E1151 - IFERROR(FILTER($E:$E,$C:$C = $C1151, $A:$A = $A1151, $B:$B = $B1151 - 1),0)"),0.0)</f>
        <v>0</v>
      </c>
      <c r="X1151" s="93"/>
      <c r="Y1151" s="93"/>
      <c r="Z1151" s="93">
        <v>0.0</v>
      </c>
      <c r="AA1151" s="93">
        <v>0.0</v>
      </c>
      <c r="AB1151" s="93">
        <v>0.0</v>
      </c>
      <c r="AC1151" s="93"/>
      <c r="AD1151" s="93">
        <v>0.0</v>
      </c>
      <c r="AE1151" s="32">
        <f t="shared" si="2"/>
        <v>-7000</v>
      </c>
      <c r="AF1151" s="93">
        <v>0.0</v>
      </c>
    </row>
    <row r="1152">
      <c r="A1152" s="86">
        <v>2018.0</v>
      </c>
      <c r="B1152" s="87">
        <v>10.0</v>
      </c>
      <c r="C1152" s="88" t="s">
        <v>51</v>
      </c>
      <c r="D1152" s="97">
        <v>2650.0</v>
      </c>
      <c r="E1152" s="97">
        <v>-25000.0</v>
      </c>
      <c r="F1152" s="100"/>
      <c r="G1152" s="99">
        <v>-2180.92</v>
      </c>
      <c r="H1152" s="99">
        <v>9219.22</v>
      </c>
      <c r="I1152" s="97">
        <v>1507.92</v>
      </c>
      <c r="J1152" s="97">
        <v>-23104.72</v>
      </c>
      <c r="K1152" s="98"/>
      <c r="L1152" s="98"/>
      <c r="M1152" s="32"/>
      <c r="N1152" s="32"/>
      <c r="O1152" s="97">
        <v>448443.0</v>
      </c>
      <c r="P1152" s="91">
        <f>IFERROR(__xludf.DUMMYFUNCTION("IFERROR(sum(FILTER($D:$N,$C:$C = $C1152,$A:$A &lt; $A1152,$B:$B = 12)),0) + sum($D1152:$N1152)"),448443.43000000005)</f>
        <v>448443.43</v>
      </c>
      <c r="Q1152" s="92">
        <f t="shared" si="1"/>
        <v>-0.4300000001</v>
      </c>
      <c r="R1152" s="91">
        <f t="array" ref="R1152">IFERROR(INDEX('Fund YTD Target Values'!$1:$1000, MATCH($C1152,'Fund YTD Target Values'!$A:$A,0), MATCH($A1152,'Fund YTD Target Values'!$1:$1,0)),0)</f>
        <v>451180.3592</v>
      </c>
      <c r="S1152" s="91">
        <f>IFERROR(__xludf.DUMMYFUNCTION("IFERROR(sum(FILTER('Fund Investment Data'!$V:$V, 'Fund Investment Data'!$C:$C = $C1152, 'Fund Investment Data'!$A:$A &lt; $A1152)),0) + IFERROR(sum(FILTER('Fund Investment Data'!$V:$V, 'Fund Investment Data'!$C:$C = $C1152, 'Fund Investment Data'!$A:$A = $A1"&amp;"152, 'Fund Investment Data'!$B:$B &lt;= $B1152)),0)"),419073.55)</f>
        <v>419073.55</v>
      </c>
      <c r="T1152" s="32"/>
      <c r="U1152" s="32"/>
      <c r="V1152" s="32">
        <f>IFERROR(__xludf.DUMMYFUNCTION("$D1152 - IFERROR(FILTER($D:$D,$C:$C = $C1152, $A:$A = $A1152, $B:$B = $B1152 - 1),0)"),0.0)</f>
        <v>0</v>
      </c>
      <c r="W1152" s="93">
        <f>IFERROR(__xludf.DUMMYFUNCTION("$E1152 - IFERROR(FILTER($E:$E,$C:$C = $C1152, $A:$A = $A1152, $B:$B = $B1152 - 1),0)"),0.0)</f>
        <v>0</v>
      </c>
      <c r="X1152" s="93"/>
      <c r="Y1152" s="93"/>
      <c r="Z1152" s="93">
        <v>0.0</v>
      </c>
      <c r="AA1152" s="93">
        <v>0.0</v>
      </c>
      <c r="AB1152" s="93">
        <v>0.0</v>
      </c>
      <c r="AC1152" s="93"/>
      <c r="AD1152" s="93">
        <v>0.0</v>
      </c>
      <c r="AE1152" s="32">
        <f t="shared" si="2"/>
        <v>-25000</v>
      </c>
      <c r="AF1152" s="93">
        <v>0.0</v>
      </c>
    </row>
    <row r="1153">
      <c r="A1153" s="86">
        <v>2018.0</v>
      </c>
      <c r="B1153" s="87">
        <v>10.0</v>
      </c>
      <c r="C1153" s="96" t="s">
        <v>48</v>
      </c>
      <c r="D1153" s="98"/>
      <c r="E1153" s="97">
        <v>-60000.0</v>
      </c>
      <c r="F1153" s="98"/>
      <c r="G1153" s="99">
        <v>-5614.3</v>
      </c>
      <c r="H1153" s="99">
        <v>23839.38</v>
      </c>
      <c r="I1153" s="97">
        <v>14847.38</v>
      </c>
      <c r="J1153" s="97">
        <v>-70905.23</v>
      </c>
      <c r="K1153" s="98"/>
      <c r="L1153" s="98"/>
      <c r="M1153" s="32"/>
      <c r="N1153" s="32"/>
      <c r="O1153" s="97">
        <v>1150810.0</v>
      </c>
      <c r="P1153" s="91">
        <f>IFERROR(__xludf.DUMMYFUNCTION("IFERROR(sum(FILTER($D:$N,$C:$C = $C1153,$A:$A &lt; $A1153,$B:$B = 12)),0) + sum($D1153:$N1153)"),1150808.8999999997)</f>
        <v>1150808.9</v>
      </c>
      <c r="Q1153" s="92">
        <f t="shared" si="1"/>
        <v>1.1</v>
      </c>
      <c r="R1153" s="91">
        <f t="array" ref="R1153">IFERROR(INDEX('Fund YTD Target Values'!$1:$1000, MATCH($C1153,'Fund YTD Target Values'!$A:$A,0), MATCH($A1153,'Fund YTD Target Values'!$1:$1,0)),0)</f>
        <v>1896274.236</v>
      </c>
      <c r="S1153" s="91">
        <f>IFERROR(__xludf.DUMMYFUNCTION("IFERROR(sum(FILTER('Fund Investment Data'!$V:$V, 'Fund Investment Data'!$C:$C = $C1153, 'Fund Investment Data'!$A:$A &lt; $A1153)),0) + IFERROR(sum(FILTER('Fund Investment Data'!$V:$V, 'Fund Investment Data'!$C:$C = $C1153, 'Fund Investment Data'!$A:$A = $A1"&amp;"153, 'Fund Investment Data'!$B:$B &lt;= $B1153)),0)"),1183929.39)</f>
        <v>1183929.39</v>
      </c>
      <c r="T1153" s="93">
        <v>1140040.0</v>
      </c>
      <c r="U1153" s="32">
        <f t="shared" ref="U1153:U1158" si="16">S1153-T1153</f>
        <v>43889.39</v>
      </c>
      <c r="V1153" s="32">
        <f>IFERROR(__xludf.DUMMYFUNCTION("$D1153 - IFERROR(FILTER($D:$D,$C:$C = $C1153, $A:$A = $A1153, $B:$B = $B1153 - 1),0)"),0.0)</f>
        <v>0</v>
      </c>
      <c r="W1153" s="93">
        <f>IFERROR(__xludf.DUMMYFUNCTION("$E1153 - IFERROR(FILTER($E:$E,$C:$C = $C1153, $A:$A = $A1153, $B:$B = $B1153 - 1),0)"),0.0)</f>
        <v>0</v>
      </c>
      <c r="X1153" s="93"/>
      <c r="Y1153" s="93"/>
      <c r="Z1153" s="93">
        <v>0.0</v>
      </c>
      <c r="AA1153" s="93">
        <v>0.0</v>
      </c>
      <c r="AB1153" s="93">
        <v>0.0</v>
      </c>
      <c r="AC1153" s="93"/>
      <c r="AD1153" s="93">
        <v>0.0</v>
      </c>
      <c r="AE1153" s="32">
        <f t="shared" si="2"/>
        <v>-60000</v>
      </c>
      <c r="AF1153" s="93">
        <v>0.0</v>
      </c>
    </row>
    <row r="1154">
      <c r="A1154" s="86">
        <v>2018.0</v>
      </c>
      <c r="B1154" s="87">
        <v>10.0</v>
      </c>
      <c r="C1154" s="96" t="s">
        <v>49</v>
      </c>
      <c r="D1154" s="98"/>
      <c r="E1154" s="97">
        <v>-30000.0</v>
      </c>
      <c r="F1154" s="98"/>
      <c r="G1154" s="99">
        <v>-2456.01</v>
      </c>
      <c r="H1154" s="99">
        <v>10427.76</v>
      </c>
      <c r="I1154" s="97">
        <v>7803.59</v>
      </c>
      <c r="J1154" s="97">
        <v>-32167.73</v>
      </c>
      <c r="K1154" s="98"/>
      <c r="L1154" s="98"/>
      <c r="M1154" s="32"/>
      <c r="N1154" s="32"/>
      <c r="O1154" s="97">
        <v>501320.0</v>
      </c>
      <c r="P1154" s="91">
        <f>IFERROR(__xludf.DUMMYFUNCTION("IFERROR(sum(FILTER($D:$N,$C:$C = $C1154,$A:$A &lt; $A1154,$B:$B = 12)),0) + sum($D1154:$N1154)"),501320.7499999999)</f>
        <v>501320.75</v>
      </c>
      <c r="Q1154" s="92">
        <f t="shared" si="1"/>
        <v>-0.7499999999</v>
      </c>
      <c r="R1154" s="91">
        <f t="array" ref="R1154">IFERROR(INDEX('Fund YTD Target Values'!$1:$1000, MATCH($C1154,'Fund YTD Target Values'!$A:$A,0), MATCH($A1154,'Fund YTD Target Values'!$1:$1,0)),0)</f>
        <v>701383.2727</v>
      </c>
      <c r="S1154" s="91">
        <f>IFERROR(__xludf.DUMMYFUNCTION("IFERROR(sum(FILTER('Fund Investment Data'!$V:$V, 'Fund Investment Data'!$C:$C = $C1154, 'Fund Investment Data'!$A:$A &lt; $A1154)),0) + IFERROR(sum(FILTER('Fund Investment Data'!$V:$V, 'Fund Investment Data'!$C:$C = $C1154, 'Fund Investment Data'!$A:$A = $A1"&amp;"154, 'Fund Investment Data'!$B:$B &lt;= $B1154)),0)"),500000.0)</f>
        <v>500000</v>
      </c>
      <c r="T1154" s="93">
        <v>500000.0</v>
      </c>
      <c r="U1154" s="32">
        <f t="shared" si="16"/>
        <v>0</v>
      </c>
      <c r="V1154" s="32">
        <f>IFERROR(__xludf.DUMMYFUNCTION("$D1154 - IFERROR(FILTER($D:$D,$C:$C = $C1154, $A:$A = $A1154, $B:$B = $B1154 - 1),0)"),0.0)</f>
        <v>0</v>
      </c>
      <c r="W1154" s="93">
        <f>IFERROR(__xludf.DUMMYFUNCTION("$E1154 - IFERROR(FILTER($E:$E,$C:$C = $C1154, $A:$A = $A1154, $B:$B = $B1154 - 1),0)"),0.0)</f>
        <v>0</v>
      </c>
      <c r="X1154" s="93"/>
      <c r="Y1154" s="93"/>
      <c r="Z1154" s="93">
        <v>0.0</v>
      </c>
      <c r="AA1154" s="93">
        <v>0.0</v>
      </c>
      <c r="AB1154" s="93">
        <v>0.0</v>
      </c>
      <c r="AC1154" s="93"/>
      <c r="AD1154" s="93">
        <v>0.0</v>
      </c>
      <c r="AE1154" s="32">
        <f t="shared" si="2"/>
        <v>-30000</v>
      </c>
      <c r="AF1154" s="93">
        <v>0.0</v>
      </c>
    </row>
    <row r="1155">
      <c r="A1155" s="86">
        <v>2018.0</v>
      </c>
      <c r="B1155" s="87">
        <v>10.0</v>
      </c>
      <c r="C1155" s="88" t="s">
        <v>41</v>
      </c>
      <c r="D1155" s="98"/>
      <c r="E1155" s="97">
        <v>-20000.0</v>
      </c>
      <c r="F1155" s="98"/>
      <c r="G1155" s="99">
        <v>-2941.49</v>
      </c>
      <c r="H1155" s="99">
        <v>12504.78</v>
      </c>
      <c r="I1155" s="97">
        <v>4011.94</v>
      </c>
      <c r="J1155" s="97">
        <v>-33705.66</v>
      </c>
      <c r="K1155" s="98"/>
      <c r="L1155" s="98"/>
      <c r="M1155" s="32"/>
      <c r="N1155" s="32"/>
      <c r="O1155" s="97">
        <v>612988.0</v>
      </c>
      <c r="P1155" s="91">
        <f>IFERROR(__xludf.DUMMYFUNCTION("IFERROR(sum(FILTER($D:$N,$C:$C = $C1155,$A:$A &lt; $A1155,$B:$B = 12)),0) + sum($D1155:$N1155)"),612988.92)</f>
        <v>612988.92</v>
      </c>
      <c r="Q1155" s="92">
        <f t="shared" si="1"/>
        <v>-0.92</v>
      </c>
      <c r="R1155" s="91">
        <f t="array" ref="R1155">IFERROR(INDEX('Fund YTD Target Values'!$1:$1000, MATCH($C1155,'Fund YTD Target Values'!$A:$A,0), MATCH($A1155,'Fund YTD Target Values'!$1:$1,0)),0)</f>
        <v>587968.3276</v>
      </c>
      <c r="S1155" s="91">
        <f>IFERROR(__xludf.DUMMYFUNCTION("IFERROR(sum(FILTER('Fund Investment Data'!$V:$V, 'Fund Investment Data'!$C:$C = $C1155, 'Fund Investment Data'!$A:$A &lt; $A1155)),0) + IFERROR(sum(FILTER('Fund Investment Data'!$V:$V, 'Fund Investment Data'!$C:$C = $C1155, 'Fund Investment Data'!$A:$A = $A1"&amp;"155, 'Fund Investment Data'!$B:$B &lt;= $B1155)),0)"),433755.86)</f>
        <v>433755.86</v>
      </c>
      <c r="T1155" s="93">
        <v>434291.0</v>
      </c>
      <c r="U1155" s="32">
        <f t="shared" si="16"/>
        <v>-535.14</v>
      </c>
      <c r="V1155" s="32">
        <f>IFERROR(__xludf.DUMMYFUNCTION("$D1155 - IFERROR(FILTER($D:$D,$C:$C = $C1155, $A:$A = $A1155, $B:$B = $B1155 - 1),0)"),0.0)</f>
        <v>0</v>
      </c>
      <c r="W1155" s="93">
        <f>IFERROR(__xludf.DUMMYFUNCTION("$E1155 - IFERROR(FILTER($E:$E,$C:$C = $C1155, $A:$A = $A1155, $B:$B = $B1155 - 1),0)"),0.0)</f>
        <v>0</v>
      </c>
      <c r="X1155" s="93"/>
      <c r="Y1155" s="93"/>
      <c r="Z1155" s="93">
        <v>0.0</v>
      </c>
      <c r="AA1155" s="93">
        <v>0.0</v>
      </c>
      <c r="AB1155" s="93">
        <v>0.0</v>
      </c>
      <c r="AC1155" s="93"/>
      <c r="AD1155" s="93">
        <v>0.0</v>
      </c>
      <c r="AE1155" s="32">
        <f t="shared" si="2"/>
        <v>-20000</v>
      </c>
      <c r="AF1155" s="93">
        <v>0.0</v>
      </c>
    </row>
    <row r="1156">
      <c r="A1156" s="86">
        <v>2018.0</v>
      </c>
      <c r="B1156" s="87">
        <v>10.0</v>
      </c>
      <c r="C1156" s="88" t="s">
        <v>25</v>
      </c>
      <c r="D1156" s="98"/>
      <c r="E1156" s="97">
        <v>-20000.0</v>
      </c>
      <c r="F1156" s="98"/>
      <c r="G1156" s="99">
        <v>-448.2</v>
      </c>
      <c r="H1156" s="99">
        <v>1879.69</v>
      </c>
      <c r="I1156" s="97">
        <v>5612.55</v>
      </c>
      <c r="J1156" s="97">
        <v>-9598.59</v>
      </c>
      <c r="K1156" s="98"/>
      <c r="L1156" s="98"/>
      <c r="M1156" s="32"/>
      <c r="N1156" s="32"/>
      <c r="O1156" s="97">
        <v>78512.0</v>
      </c>
      <c r="P1156" s="91">
        <f>IFERROR(__xludf.DUMMYFUNCTION("IFERROR(sum(FILTER($D:$N,$C:$C = $C1156,$A:$A &lt; $A1156,$B:$B = 12)),0) + sum($D1156:$N1156)"),78511.78)</f>
        <v>78511.78</v>
      </c>
      <c r="Q1156" s="92">
        <f t="shared" si="1"/>
        <v>0.22</v>
      </c>
      <c r="R1156" s="91">
        <f t="array" ref="R1156">IFERROR(INDEX('Fund YTD Target Values'!$1:$1000, MATCH($C1156,'Fund YTD Target Values'!$A:$A,0), MATCH($A1156,'Fund YTD Target Values'!$1:$1,0)),0)</f>
        <v>109175.2469</v>
      </c>
      <c r="S1156" s="91">
        <f>IFERROR(__xludf.DUMMYFUNCTION("IFERROR(sum(FILTER('Fund Investment Data'!$V:$V, 'Fund Investment Data'!$C:$C = $C1156, 'Fund Investment Data'!$A:$A &lt; $A1156)),0) + IFERROR(sum(FILTER('Fund Investment Data'!$V:$V, 'Fund Investment Data'!$C:$C = $C1156, 'Fund Investment Data'!$A:$A = $A1"&amp;"156, 'Fund Investment Data'!$B:$B &lt;= $B1156)),0)"),81000.0)</f>
        <v>81000</v>
      </c>
      <c r="T1156" s="93">
        <v>81000.0</v>
      </c>
      <c r="U1156" s="32">
        <f t="shared" si="16"/>
        <v>0</v>
      </c>
      <c r="V1156" s="32">
        <f>IFERROR(__xludf.DUMMYFUNCTION("$D1156 - IFERROR(FILTER($D:$D,$C:$C = $C1156, $A:$A = $A1156, $B:$B = $B1156 - 1),0)"),0.0)</f>
        <v>0</v>
      </c>
      <c r="W1156" s="93">
        <f>IFERROR(__xludf.DUMMYFUNCTION("$E1156 - IFERROR(FILTER($E:$E,$C:$C = $C1156, $A:$A = $A1156, $B:$B = $B1156 - 1),0)"),0.0)</f>
        <v>0</v>
      </c>
      <c r="X1156" s="93"/>
      <c r="Y1156" s="93"/>
      <c r="Z1156" s="93">
        <v>0.0</v>
      </c>
      <c r="AA1156" s="93">
        <v>0.0</v>
      </c>
      <c r="AB1156" s="93">
        <v>0.0</v>
      </c>
      <c r="AC1156" s="93"/>
      <c r="AD1156" s="93">
        <v>0.0</v>
      </c>
      <c r="AE1156" s="32">
        <f t="shared" si="2"/>
        <v>-20000</v>
      </c>
      <c r="AF1156" s="93">
        <v>0.0</v>
      </c>
    </row>
    <row r="1157">
      <c r="A1157" s="86">
        <v>2018.0</v>
      </c>
      <c r="B1157" s="87">
        <v>10.0</v>
      </c>
      <c r="C1157" s="96" t="s">
        <v>42</v>
      </c>
      <c r="D1157" s="98"/>
      <c r="E1157" s="97">
        <v>-6000.0</v>
      </c>
      <c r="F1157" s="98"/>
      <c r="G1157" s="99">
        <v>-1359.74</v>
      </c>
      <c r="H1157" s="99">
        <v>5756.75</v>
      </c>
      <c r="I1157" s="98"/>
      <c r="J1157" s="97">
        <v>-13726.69</v>
      </c>
      <c r="K1157" s="98"/>
      <c r="L1157" s="98"/>
      <c r="M1157" s="32"/>
      <c r="N1157" s="32"/>
      <c r="O1157" s="97">
        <v>284119.0</v>
      </c>
      <c r="P1157" s="91">
        <f>IFERROR(__xludf.DUMMYFUNCTION("IFERROR(sum(FILTER($D:$N,$C:$C = $C1157,$A:$A &lt; $A1157,$B:$B = 12)),0) + sum($D1157:$N1157)"),284118.08000000013)</f>
        <v>284118.08</v>
      </c>
      <c r="Q1157" s="92">
        <f t="shared" si="1"/>
        <v>0.9199999999</v>
      </c>
      <c r="R1157" s="91">
        <f t="array" ref="R1157">IFERROR(INDEX('Fund YTD Target Values'!$1:$1000, MATCH($C1157,'Fund YTD Target Values'!$A:$A,0), MATCH($A1157,'Fund YTD Target Values'!$1:$1,0)),0)</f>
        <v>240185.7184</v>
      </c>
      <c r="S1157" s="91">
        <f>IFERROR(__xludf.DUMMYFUNCTION("IFERROR(sum(FILTER('Fund Investment Data'!$V:$V, 'Fund Investment Data'!$C:$C = $C1157, 'Fund Investment Data'!$A:$A &lt; $A1157)),0) + IFERROR(sum(FILTER('Fund Investment Data'!$V:$V, 'Fund Investment Data'!$C:$C = $C1157, 'Fund Investment Data'!$A:$A = $A1"&amp;"157, 'Fund Investment Data'!$B:$B &lt;= $B1157)),0)"),194469.0)</f>
        <v>194469</v>
      </c>
      <c r="T1157" s="93">
        <v>194469.0</v>
      </c>
      <c r="U1157" s="32">
        <f t="shared" si="16"/>
        <v>0</v>
      </c>
      <c r="V1157" s="32">
        <f>IFERROR(__xludf.DUMMYFUNCTION("$D1157 - IFERROR(FILTER($D:$D,$C:$C = $C1157, $A:$A = $A1157, $B:$B = $B1157 - 1),0)"),0.0)</f>
        <v>0</v>
      </c>
      <c r="W1157" s="93">
        <f>IFERROR(__xludf.DUMMYFUNCTION("$E1157 - IFERROR(FILTER($E:$E,$C:$C = $C1157, $A:$A = $A1157, $B:$B = $B1157 - 1),0)"),0.0)</f>
        <v>0</v>
      </c>
      <c r="X1157" s="93"/>
      <c r="Y1157" s="93"/>
      <c r="Z1157" s="93">
        <v>0.0</v>
      </c>
      <c r="AA1157" s="93">
        <v>0.0</v>
      </c>
      <c r="AB1157" s="93">
        <v>0.0</v>
      </c>
      <c r="AC1157" s="93"/>
      <c r="AD1157" s="93">
        <v>0.0</v>
      </c>
      <c r="AE1157" s="32">
        <f t="shared" si="2"/>
        <v>-6000</v>
      </c>
      <c r="AF1157" s="93">
        <v>0.0</v>
      </c>
    </row>
    <row r="1158">
      <c r="A1158" s="86">
        <v>2018.0</v>
      </c>
      <c r="B1158" s="87">
        <v>10.0</v>
      </c>
      <c r="C1158" s="96" t="s">
        <v>43</v>
      </c>
      <c r="D1158" s="98"/>
      <c r="E1158" s="97">
        <v>-6000.0</v>
      </c>
      <c r="F1158" s="98"/>
      <c r="G1158" s="99">
        <v>-566.64</v>
      </c>
      <c r="H1158" s="99">
        <v>2401.98</v>
      </c>
      <c r="I1158" s="97">
        <v>1482.8</v>
      </c>
      <c r="J1158" s="97">
        <v>-7116.39</v>
      </c>
      <c r="K1158" s="98"/>
      <c r="L1158" s="98"/>
      <c r="M1158" s="32"/>
      <c r="N1158" s="32"/>
      <c r="O1158" s="97">
        <v>115715.0</v>
      </c>
      <c r="P1158" s="91">
        <f>IFERROR(__xludf.DUMMYFUNCTION("IFERROR(sum(FILTER($D:$N,$C:$C = $C1158,$A:$A &lt; $A1158,$B:$B = 12)),0) + sum($D1158:$N1158)"),115714.30000000002)</f>
        <v>115714.3</v>
      </c>
      <c r="Q1158" s="92">
        <f t="shared" si="1"/>
        <v>0.7</v>
      </c>
      <c r="R1158" s="91">
        <f t="array" ref="R1158">IFERROR(INDEX('Fund YTD Target Values'!$1:$1000, MATCH($C1158,'Fund YTD Target Values'!$A:$A,0), MATCH($A1158,'Fund YTD Target Values'!$1:$1,0)),0)</f>
        <v>130697.0954</v>
      </c>
      <c r="S1158" s="91">
        <f>IFERROR(__xludf.DUMMYFUNCTION("IFERROR(sum(FILTER('Fund Investment Data'!$V:$V, 'Fund Investment Data'!$C:$C = $C1158, 'Fund Investment Data'!$A:$A &lt; $A1158)),0) + IFERROR(sum(FILTER('Fund Investment Data'!$V:$V, 'Fund Investment Data'!$C:$C = $C1158, 'Fund Investment Data'!$A:$A = $A1"&amp;"158, 'Fund Investment Data'!$B:$B &lt;= $B1158)),0)"),100000.0)</f>
        <v>100000</v>
      </c>
      <c r="T1158" s="93">
        <v>100000.0</v>
      </c>
      <c r="U1158" s="32">
        <f t="shared" si="16"/>
        <v>0</v>
      </c>
      <c r="V1158" s="32">
        <f>IFERROR(__xludf.DUMMYFUNCTION("$D1158 - IFERROR(FILTER($D:$D,$C:$C = $C1158, $A:$A = $A1158, $B:$B = $B1158 - 1),0)"),0.0)</f>
        <v>0</v>
      </c>
      <c r="W1158" s="93">
        <f>IFERROR(__xludf.DUMMYFUNCTION("$E1158 - IFERROR(FILTER($E:$E,$C:$C = $C1158, $A:$A = $A1158, $B:$B = $B1158 - 1),0)"),0.0)</f>
        <v>0</v>
      </c>
      <c r="X1158" s="93"/>
      <c r="Y1158" s="93"/>
      <c r="Z1158" s="93">
        <v>0.0</v>
      </c>
      <c r="AA1158" s="93">
        <v>0.0</v>
      </c>
      <c r="AB1158" s="93">
        <v>0.0</v>
      </c>
      <c r="AC1158" s="93"/>
      <c r="AD1158" s="93">
        <v>0.0</v>
      </c>
      <c r="AE1158" s="32">
        <f t="shared" si="2"/>
        <v>-6000</v>
      </c>
      <c r="AF1158" s="93">
        <v>0.0</v>
      </c>
    </row>
    <row r="1159">
      <c r="A1159" s="86">
        <v>2018.0</v>
      </c>
      <c r="B1159" s="87">
        <v>10.0</v>
      </c>
      <c r="C1159" s="88" t="s">
        <v>52</v>
      </c>
      <c r="D1159" s="97">
        <v>75000.0</v>
      </c>
      <c r="E1159" s="97">
        <v>-55000.0</v>
      </c>
      <c r="F1159" s="98"/>
      <c r="G1159" s="99">
        <v>-5767.84</v>
      </c>
      <c r="H1159" s="99">
        <v>23102.33</v>
      </c>
      <c r="I1159" s="97">
        <v>5363.5</v>
      </c>
      <c r="J1159" s="97">
        <v>-60978.01</v>
      </c>
      <c r="K1159" s="98"/>
      <c r="L1159" s="98"/>
      <c r="M1159" s="32"/>
      <c r="N1159" s="32"/>
      <c r="O1159" s="97">
        <v>1146176.0</v>
      </c>
      <c r="P1159" s="91">
        <f>IFERROR(__xludf.DUMMYFUNCTION("IFERROR(sum(FILTER($D:$N,$C:$C = $C1159,$A:$A &lt; $A1159,$B:$B = 12)),0) + sum($D1159:$N1159)"),1146176.1099999999)</f>
        <v>1146176.11</v>
      </c>
      <c r="Q1159" s="92">
        <f t="shared" si="1"/>
        <v>-0.1099999999</v>
      </c>
      <c r="R1159" s="91">
        <f t="array" ref="R1159">IFERROR(INDEX('Fund YTD Target Values'!$1:$1000, MATCH($C1159,'Fund YTD Target Values'!$A:$A,0), MATCH($A1159,'Fund YTD Target Values'!$1:$1,0)),0)</f>
        <v>1148979.378</v>
      </c>
      <c r="S1159" s="91">
        <f>IFERROR(__xludf.DUMMYFUNCTION("IFERROR(sum(FILTER('Fund Investment Data'!$V:$V, 'Fund Investment Data'!$C:$C = $C1159, 'Fund Investment Data'!$A:$A &lt; $A1159)),0) + IFERROR(sum(FILTER('Fund Investment Data'!$V:$V, 'Fund Investment Data'!$C:$C = $C1159, 'Fund Investment Data'!$A:$A = $A1"&amp;"159, 'Fund Investment Data'!$B:$B &lt;= $B1159)),0)"),1080136.0)</f>
        <v>1080136</v>
      </c>
      <c r="T1159" s="32"/>
      <c r="U1159" s="32"/>
      <c r="V1159" s="32">
        <f>IFERROR(__xludf.DUMMYFUNCTION("$D1159 - IFERROR(FILTER($D:$D,$C:$C = $C1159, $A:$A = $A1159, $B:$B = $B1159 - 1),0)"),0.0)</f>
        <v>0</v>
      </c>
      <c r="W1159" s="93">
        <f>IFERROR(__xludf.DUMMYFUNCTION("$E1159 - IFERROR(FILTER($E:$E,$C:$C = $C1159, $A:$A = $A1159, $B:$B = $B1159 - 1),0)"),0.0)</f>
        <v>0</v>
      </c>
      <c r="X1159" s="93"/>
      <c r="Y1159" s="93"/>
      <c r="Z1159" s="93">
        <v>0.0</v>
      </c>
      <c r="AA1159" s="93">
        <v>0.0</v>
      </c>
      <c r="AB1159" s="93">
        <v>0.0</v>
      </c>
      <c r="AC1159" s="93"/>
      <c r="AD1159" s="93">
        <v>0.0</v>
      </c>
      <c r="AE1159" s="32">
        <f t="shared" si="2"/>
        <v>-55000</v>
      </c>
      <c r="AF1159" s="93">
        <v>0.0</v>
      </c>
    </row>
    <row r="1160">
      <c r="A1160" s="86">
        <v>2018.0</v>
      </c>
      <c r="B1160" s="87">
        <v>10.0</v>
      </c>
      <c r="C1160" s="96" t="s">
        <v>33</v>
      </c>
      <c r="D1160" s="98"/>
      <c r="E1160" s="97">
        <v>-18000.0</v>
      </c>
      <c r="F1160" s="98"/>
      <c r="G1160" s="99">
        <v>-1605.51</v>
      </c>
      <c r="H1160" s="99">
        <v>6813.38</v>
      </c>
      <c r="I1160" s="97">
        <v>4546.35</v>
      </c>
      <c r="J1160" s="97">
        <v>-20517.58</v>
      </c>
      <c r="K1160" s="98"/>
      <c r="L1160" s="98"/>
      <c r="M1160" s="32"/>
      <c r="N1160" s="32"/>
      <c r="O1160" s="97">
        <v>328314.0</v>
      </c>
      <c r="P1160" s="91">
        <f>IFERROR(__xludf.DUMMYFUNCTION("IFERROR(sum(FILTER($D:$N,$C:$C = $C1160,$A:$A &lt; $A1160,$B:$B = 12)),0) + sum($D1160:$N1160)"),328314.08999999985)</f>
        <v>328314.09</v>
      </c>
      <c r="Q1160" s="92">
        <f t="shared" si="1"/>
        <v>-0.08999999985</v>
      </c>
      <c r="R1160" s="91">
        <f t="array" ref="R1160">IFERROR(INDEX('Fund YTD Target Values'!$1:$1000, MATCH($C1160,'Fund YTD Target Values'!$A:$A,0), MATCH($A1160,'Fund YTD Target Values'!$1:$1,0)),0)</f>
        <v>512928.5668</v>
      </c>
      <c r="S1160" s="91">
        <f>IFERROR(__xludf.DUMMYFUNCTION("IFERROR(sum(FILTER('Fund Investment Data'!$V:$V, 'Fund Investment Data'!$C:$C = $C1160, 'Fund Investment Data'!$A:$A &lt; $A1160)),0) + IFERROR(sum(FILTER('Fund Investment Data'!$V:$V, 'Fund Investment Data'!$C:$C = $C1160, 'Fund Investment Data'!$A:$A = $A1"&amp;"160, 'Fund Investment Data'!$B:$B &lt;= $B1160)),0)"),325871.6399999999)</f>
        <v>325871.64</v>
      </c>
      <c r="T1160" s="93">
        <v>326032.0</v>
      </c>
      <c r="U1160" s="32">
        <f t="shared" ref="U1160:U1161" si="17">S1160-T1160</f>
        <v>-160.36</v>
      </c>
      <c r="V1160" s="32">
        <f>IFERROR(__xludf.DUMMYFUNCTION("$D1160 - IFERROR(FILTER($D:$D,$C:$C = $C1160, $A:$A = $A1160, $B:$B = $B1160 - 1),0)"),0.0)</f>
        <v>0</v>
      </c>
      <c r="W1160" s="93">
        <f>IFERROR(__xludf.DUMMYFUNCTION("$E1160 - IFERROR(FILTER($E:$E,$C:$C = $C1160, $A:$A = $A1160, $B:$B = $B1160 - 1),0)"),0.0)</f>
        <v>0</v>
      </c>
      <c r="X1160" s="93"/>
      <c r="Y1160" s="93"/>
      <c r="Z1160" s="93">
        <v>0.0</v>
      </c>
      <c r="AA1160" s="93">
        <v>0.0</v>
      </c>
      <c r="AB1160" s="93">
        <v>0.0</v>
      </c>
      <c r="AC1160" s="93"/>
      <c r="AD1160" s="93">
        <v>0.0</v>
      </c>
      <c r="AE1160" s="32">
        <f t="shared" si="2"/>
        <v>-18000</v>
      </c>
      <c r="AF1160" s="93">
        <v>0.0</v>
      </c>
    </row>
    <row r="1161">
      <c r="A1161" s="86">
        <v>2018.0</v>
      </c>
      <c r="B1161" s="87">
        <v>10.0</v>
      </c>
      <c r="C1161" s="96" t="s">
        <v>53</v>
      </c>
      <c r="D1161" s="98"/>
      <c r="E1161" s="97">
        <v>-105000.0</v>
      </c>
      <c r="F1161" s="98"/>
      <c r="G1161" s="99">
        <v>-10229.3</v>
      </c>
      <c r="H1161" s="99">
        <v>43439.94</v>
      </c>
      <c r="I1161" s="97">
        <v>10901.79</v>
      </c>
      <c r="J1161" s="97">
        <v>-113021.89</v>
      </c>
      <c r="K1161" s="98"/>
      <c r="L1161" s="98"/>
      <c r="M1161" s="32"/>
      <c r="N1161" s="32"/>
      <c r="O1161" s="97">
        <v>2101405.0</v>
      </c>
      <c r="P1161" s="91">
        <f>IFERROR(__xludf.DUMMYFUNCTION("IFERROR(sum(FILTER($D:$N,$C:$C = $C1161,$A:$A &lt; $A1161,$B:$B = 12)),0) + sum($D1161:$N1161)"),2101405.2199999997)</f>
        <v>2101405.22</v>
      </c>
      <c r="Q1161" s="92">
        <f t="shared" si="1"/>
        <v>-0.2199999997</v>
      </c>
      <c r="R1161" s="91">
        <f t="array" ref="R1161">IFERROR(INDEX('Fund YTD Target Values'!$1:$1000, MATCH($C1161,'Fund YTD Target Values'!$A:$A,0), MATCH($A1161,'Fund YTD Target Values'!$1:$1,0)),0)</f>
        <v>2224754.768</v>
      </c>
      <c r="S1161" s="91">
        <f>IFERROR(__xludf.DUMMYFUNCTION("IFERROR(sum(FILTER('Fund Investment Data'!$V:$V, 'Fund Investment Data'!$C:$C = $C1161, 'Fund Investment Data'!$A:$A &lt; $A1161)),0) + IFERROR(sum(FILTER('Fund Investment Data'!$V:$V, 'Fund Investment Data'!$C:$C = $C1161, 'Fund Investment Data'!$A:$A = $A1"&amp;"161, 'Fund Investment Data'!$B:$B &lt;= $B1161)),0)"),2005500.0)</f>
        <v>2005500</v>
      </c>
      <c r="T1161" s="93">
        <v>2005500.0</v>
      </c>
      <c r="U1161" s="32">
        <f t="shared" si="17"/>
        <v>0</v>
      </c>
      <c r="V1161" s="32">
        <f>IFERROR(__xludf.DUMMYFUNCTION("$D1161 - IFERROR(FILTER($D:$D,$C:$C = $C1161, $A:$A = $A1161, $B:$B = $B1161 - 1),0)"),0.0)</f>
        <v>0</v>
      </c>
      <c r="W1161" s="93">
        <f>IFERROR(__xludf.DUMMYFUNCTION("$E1161 - IFERROR(FILTER($E:$E,$C:$C = $C1161, $A:$A = $A1161, $B:$B = $B1161 - 1),0)"),0.0)</f>
        <v>0</v>
      </c>
      <c r="X1161" s="93"/>
      <c r="Y1161" s="93"/>
      <c r="Z1161" s="93">
        <v>0.0</v>
      </c>
      <c r="AA1161" s="93">
        <v>0.0</v>
      </c>
      <c r="AB1161" s="93">
        <v>0.0</v>
      </c>
      <c r="AC1161" s="93"/>
      <c r="AD1161" s="93">
        <v>0.0</v>
      </c>
      <c r="AE1161" s="32">
        <f t="shared" si="2"/>
        <v>-105000</v>
      </c>
      <c r="AF1161" s="93">
        <v>0.0</v>
      </c>
    </row>
    <row r="1162">
      <c r="A1162" s="86">
        <v>2018.0</v>
      </c>
      <c r="B1162" s="87">
        <v>10.0</v>
      </c>
      <c r="C1162" s="96" t="s">
        <v>34</v>
      </c>
      <c r="D1162" s="100">
        <v>5000.0</v>
      </c>
      <c r="E1162" s="97">
        <v>-7000.0</v>
      </c>
      <c r="F1162" s="98"/>
      <c r="G1162" s="99">
        <v>-650.56</v>
      </c>
      <c r="H1162" s="99">
        <v>2740.95</v>
      </c>
      <c r="I1162" s="97">
        <v>581.33</v>
      </c>
      <c r="J1162" s="97">
        <v>-7065.76</v>
      </c>
      <c r="K1162" s="98"/>
      <c r="L1162" s="98"/>
      <c r="M1162" s="32"/>
      <c r="N1162" s="32"/>
      <c r="O1162" s="97">
        <v>137894.0</v>
      </c>
      <c r="P1162" s="91">
        <f>IFERROR(__xludf.DUMMYFUNCTION("IFERROR(sum(FILTER($D:$N,$C:$C = $C1162,$A:$A &lt; $A1162,$B:$B = 12)),0) + sum($D1162:$N1162)"),137894.12)</f>
        <v>137894.12</v>
      </c>
      <c r="Q1162" s="92">
        <f t="shared" si="1"/>
        <v>-0.12</v>
      </c>
      <c r="R1162" s="91">
        <f t="array" ref="R1162">IFERROR(INDEX('Fund YTD Target Values'!$1:$1000, MATCH($C1162,'Fund YTD Target Values'!$A:$A,0), MATCH($A1162,'Fund YTD Target Values'!$1:$1,0)),0)</f>
        <v>135327.6594</v>
      </c>
      <c r="S1162" s="91">
        <f>IFERROR(__xludf.DUMMYFUNCTION("IFERROR(sum(FILTER('Fund Investment Data'!$V:$V, 'Fund Investment Data'!$C:$C = $C1162, 'Fund Investment Data'!$A:$A &lt; $A1162)),0) + IFERROR(sum(FILTER('Fund Investment Data'!$V:$V, 'Fund Investment Data'!$C:$C = $C1162, 'Fund Investment Data'!$A:$A = $A1"&amp;"162, 'Fund Investment Data'!$B:$B &lt;= $B1162)),0)"),125000.0)</f>
        <v>125000</v>
      </c>
      <c r="T1162" s="32"/>
      <c r="U1162" s="32"/>
      <c r="V1162" s="32">
        <f>IFERROR(__xludf.DUMMYFUNCTION("$D1162 - IFERROR(FILTER($D:$D,$C:$C = $C1162, $A:$A = $A1162, $B:$B = $B1162 - 1),0)"),5000.0)</f>
        <v>5000</v>
      </c>
      <c r="W1162" s="93">
        <f>IFERROR(__xludf.DUMMYFUNCTION("$E1162 - IFERROR(FILTER($E:$E,$C:$C = $C1162, $A:$A = $A1162, $B:$B = $B1162 - 1),0)"),0.0)</f>
        <v>0</v>
      </c>
      <c r="X1162" s="93"/>
      <c r="Y1162" s="93"/>
      <c r="Z1162" s="93">
        <v>0.0</v>
      </c>
      <c r="AA1162" s="93">
        <v>0.0</v>
      </c>
      <c r="AB1162" s="93">
        <v>0.0</v>
      </c>
      <c r="AC1162" s="93"/>
      <c r="AD1162" s="93">
        <v>0.0</v>
      </c>
      <c r="AE1162" s="32">
        <f t="shared" si="2"/>
        <v>-7000</v>
      </c>
      <c r="AF1162" s="93">
        <v>0.0</v>
      </c>
    </row>
    <row r="1163">
      <c r="A1163" s="86">
        <v>2018.0</v>
      </c>
      <c r="B1163" s="87">
        <v>10.0</v>
      </c>
      <c r="C1163" s="88" t="s">
        <v>54</v>
      </c>
      <c r="D1163" s="97">
        <v>35.0</v>
      </c>
      <c r="E1163" s="97">
        <v>-5000.0</v>
      </c>
      <c r="F1163" s="98"/>
      <c r="G1163" s="99">
        <v>-776.54</v>
      </c>
      <c r="H1163" s="99">
        <v>3253.01</v>
      </c>
      <c r="I1163" s="97">
        <v>416.36</v>
      </c>
      <c r="J1163" s="97">
        <v>-8269.59</v>
      </c>
      <c r="K1163" s="98"/>
      <c r="L1163" s="98"/>
      <c r="M1163" s="32"/>
      <c r="N1163" s="32"/>
      <c r="O1163" s="97">
        <v>162550.0</v>
      </c>
      <c r="P1163" s="91">
        <f>IFERROR(__xludf.DUMMYFUNCTION("IFERROR(sum(FILTER($D:$N,$C:$C = $C1163,$A:$A &lt; $A1163,$B:$B = 12)),0) + sum($D1163:$N1163)"),162551.20999999993)</f>
        <v>162551.21</v>
      </c>
      <c r="Q1163" s="92">
        <f t="shared" si="1"/>
        <v>-1.21</v>
      </c>
      <c r="R1163" s="91">
        <f t="array" ref="R1163">IFERROR(INDEX('Fund YTD Target Values'!$1:$1000, MATCH($C1163,'Fund YTD Target Values'!$A:$A,0), MATCH($A1163,'Fund YTD Target Values'!$1:$1,0)),0)</f>
        <v>155177.2706</v>
      </c>
      <c r="S1163" s="91">
        <f>IFERROR(__xludf.DUMMYFUNCTION("IFERROR(sum(FILTER('Fund Investment Data'!$V:$V, 'Fund Investment Data'!$C:$C = $C1163, 'Fund Investment Data'!$A:$A &lt; $A1163)),0) + IFERROR(sum(FILTER('Fund Investment Data'!$V:$V, 'Fund Investment Data'!$C:$C = $C1163, 'Fund Investment Data'!$A:$A = $A1"&amp;"163, 'Fund Investment Data'!$B:$B &lt;= $B1163)),0)"),112467.10999999999)</f>
        <v>112467.11</v>
      </c>
      <c r="T1163" s="32"/>
      <c r="U1163" s="32">
        <f>S1163-T1163</f>
        <v>112467.11</v>
      </c>
      <c r="V1163" s="32">
        <f>IFERROR(__xludf.DUMMYFUNCTION("$D1163 - IFERROR(FILTER($D:$D,$C:$C = $C1163, $A:$A = $A1163, $B:$B = $B1163 - 1),0)"),0.0)</f>
        <v>0</v>
      </c>
      <c r="W1163" s="93">
        <f>IFERROR(__xludf.DUMMYFUNCTION("$E1163 - IFERROR(FILTER($E:$E,$C:$C = $C1163, $A:$A = $A1163, $B:$B = $B1163 - 1),0)"),0.0)</f>
        <v>0</v>
      </c>
      <c r="X1163" s="93"/>
      <c r="Y1163" s="93"/>
      <c r="Z1163" s="93">
        <v>0.0</v>
      </c>
      <c r="AA1163" s="93">
        <v>0.0</v>
      </c>
      <c r="AB1163" s="93">
        <v>0.0</v>
      </c>
      <c r="AC1163" s="93"/>
      <c r="AD1163" s="93">
        <v>0.0</v>
      </c>
      <c r="AE1163" s="32">
        <f t="shared" si="2"/>
        <v>-5000</v>
      </c>
      <c r="AF1163" s="93">
        <v>0.0</v>
      </c>
    </row>
    <row r="1164">
      <c r="A1164" s="86">
        <v>2018.0</v>
      </c>
      <c r="B1164" s="87">
        <v>10.0</v>
      </c>
      <c r="C1164" s="96" t="s">
        <v>55</v>
      </c>
      <c r="D1164" s="98"/>
      <c r="E1164" s="97">
        <v>-5000.0</v>
      </c>
      <c r="F1164" s="98"/>
      <c r="G1164" s="99">
        <v>-1387.64</v>
      </c>
      <c r="H1164" s="99">
        <v>4037.43</v>
      </c>
      <c r="I1164" s="97">
        <v>323.1</v>
      </c>
      <c r="J1164" s="97">
        <v>-12971.08</v>
      </c>
      <c r="K1164" s="98"/>
      <c r="L1164" s="98"/>
      <c r="M1164" s="32"/>
      <c r="N1164" s="32"/>
      <c r="O1164" s="97">
        <v>214067.0</v>
      </c>
      <c r="P1164" s="91">
        <f>IFERROR(__xludf.DUMMYFUNCTION("IFERROR(sum(FILTER($D:$N,$C:$C = $C1164,$A:$A &lt; $A1164,$B:$B = 12)),0) + sum($D1164:$N1164)"),214066.56999999998)</f>
        <v>214066.57</v>
      </c>
      <c r="Q1164" s="92">
        <f t="shared" si="1"/>
        <v>0.43</v>
      </c>
      <c r="R1164" s="91">
        <f t="array" ref="R1164">IFERROR(INDEX('Fund YTD Target Values'!$1:$1000, MATCH($C1164,'Fund YTD Target Values'!$A:$A,0), MATCH($A1164,'Fund YTD Target Values'!$1:$1,0)),0)</f>
        <v>289110.9496</v>
      </c>
      <c r="S1164" s="91">
        <f>IFERROR(__xludf.DUMMYFUNCTION("IFERROR(sum(FILTER('Fund Investment Data'!$V:$V, 'Fund Investment Data'!$C:$C = $C1164, 'Fund Investment Data'!$A:$A &lt; $A1164)),0) + IFERROR(sum(FILTER('Fund Investment Data'!$V:$V, 'Fund Investment Data'!$C:$C = $C1164, 'Fund Investment Data'!$A:$A = $A1"&amp;"164, 'Fund Investment Data'!$B:$B &lt;= $B1164)),0)"),210000.0)</f>
        <v>210000</v>
      </c>
      <c r="T1164" s="32"/>
      <c r="U1164" s="32"/>
      <c r="V1164" s="32">
        <f>IFERROR(__xludf.DUMMYFUNCTION("$D1164 - IFERROR(FILTER($D:$D,$C:$C = $C1164, $A:$A = $A1164, $B:$B = $B1164 - 1),0)"),0.0)</f>
        <v>0</v>
      </c>
      <c r="W1164" s="93">
        <f>IFERROR(__xludf.DUMMYFUNCTION("$E1164 - IFERROR(FILTER($E:$E,$C:$C = $C1164, $A:$A = $A1164, $B:$B = $B1164 - 1),0)"),0.0)</f>
        <v>0</v>
      </c>
      <c r="X1164" s="93"/>
      <c r="Y1164" s="93"/>
      <c r="Z1164" s="93">
        <v>0.0</v>
      </c>
      <c r="AA1164" s="93">
        <v>0.0</v>
      </c>
      <c r="AB1164" s="93">
        <v>0.0</v>
      </c>
      <c r="AC1164" s="93"/>
      <c r="AD1164" s="93">
        <v>0.0</v>
      </c>
      <c r="AE1164" s="32">
        <f t="shared" si="2"/>
        <v>-5000</v>
      </c>
      <c r="AF1164" s="93">
        <v>0.0</v>
      </c>
    </row>
    <row r="1165">
      <c r="A1165" s="86">
        <v>2018.0</v>
      </c>
      <c r="B1165" s="87">
        <v>10.0</v>
      </c>
      <c r="C1165" s="96" t="s">
        <v>44</v>
      </c>
      <c r="D1165" s="98"/>
      <c r="E1165" s="97">
        <v>-15000.0</v>
      </c>
      <c r="F1165" s="98"/>
      <c r="G1165" s="99">
        <v>-1288.54</v>
      </c>
      <c r="H1165" s="99">
        <v>5467.48</v>
      </c>
      <c r="I1165" s="97">
        <v>3844.32</v>
      </c>
      <c r="J1165" s="97">
        <v>-16626.96</v>
      </c>
      <c r="K1165" s="98"/>
      <c r="L1165" s="98"/>
      <c r="M1165" s="32"/>
      <c r="N1165" s="32"/>
      <c r="O1165" s="97">
        <v>263032.0</v>
      </c>
      <c r="P1165" s="91">
        <f>IFERROR(__xludf.DUMMYFUNCTION("IFERROR(sum(FILTER($D:$N,$C:$C = $C1165,$A:$A &lt; $A1165,$B:$B = 12)),0) + sum($D1165:$N1165)"),263032.7700000001)</f>
        <v>263032.77</v>
      </c>
      <c r="Q1165" s="92">
        <f t="shared" si="1"/>
        <v>-0.7700000001</v>
      </c>
      <c r="R1165" s="91">
        <f t="array" ref="R1165">IFERROR(INDEX('Fund YTD Target Values'!$1:$1000, MATCH($C1165,'Fund YTD Target Values'!$A:$A,0), MATCH($A1165,'Fund YTD Target Values'!$1:$1,0)),0)</f>
        <v>321586.5616</v>
      </c>
      <c r="S1165" s="91">
        <f>IFERROR(__xludf.DUMMYFUNCTION("IFERROR(sum(FILTER('Fund Investment Data'!$V:$V, 'Fund Investment Data'!$C:$C = $C1165, 'Fund Investment Data'!$A:$A &lt; $A1165)),0) + IFERROR(sum(FILTER('Fund Investment Data'!$V:$V, 'Fund Investment Data'!$C:$C = $C1165, 'Fund Investment Data'!$A:$A = $A1"&amp;"165, 'Fund Investment Data'!$B:$B &lt;= $B1165)),0)"),250000.0)</f>
        <v>250000</v>
      </c>
      <c r="T1165" s="93">
        <v>250000.0</v>
      </c>
      <c r="U1165" s="32">
        <f t="shared" ref="U1165:U1181" si="18">S1165-T1165</f>
        <v>0</v>
      </c>
      <c r="V1165" s="32">
        <f>IFERROR(__xludf.DUMMYFUNCTION("$D1165 - IFERROR(FILTER($D:$D,$C:$C = $C1165, $A:$A = $A1165, $B:$B = $B1165 - 1),0)"),0.0)</f>
        <v>0</v>
      </c>
      <c r="W1165" s="93">
        <f>IFERROR(__xludf.DUMMYFUNCTION("$E1165 - IFERROR(FILTER($E:$E,$C:$C = $C1165, $A:$A = $A1165, $B:$B = $B1165 - 1),0)"),0.0)</f>
        <v>0</v>
      </c>
      <c r="X1165" s="93"/>
      <c r="Y1165" s="93"/>
      <c r="Z1165" s="93">
        <v>0.0</v>
      </c>
      <c r="AA1165" s="93">
        <v>0.0</v>
      </c>
      <c r="AB1165" s="93">
        <v>0.0</v>
      </c>
      <c r="AC1165" s="93"/>
      <c r="AD1165" s="93">
        <v>0.0</v>
      </c>
      <c r="AE1165" s="32">
        <f t="shared" si="2"/>
        <v>-15000</v>
      </c>
      <c r="AF1165" s="93">
        <v>0.0</v>
      </c>
    </row>
    <row r="1166">
      <c r="A1166" s="86">
        <v>2018.0</v>
      </c>
      <c r="B1166" s="87">
        <v>10.0</v>
      </c>
      <c r="C1166" s="96" t="s">
        <v>45</v>
      </c>
      <c r="D1166" s="98"/>
      <c r="E1166" s="97">
        <v>-5000.0</v>
      </c>
      <c r="F1166" s="98"/>
      <c r="G1166" s="99">
        <v>-669.35</v>
      </c>
      <c r="H1166" s="99">
        <v>2833.61</v>
      </c>
      <c r="I1166" s="97">
        <v>193.65</v>
      </c>
      <c r="J1166" s="97">
        <v>-6924.99</v>
      </c>
      <c r="K1166" s="98"/>
      <c r="L1166" s="98"/>
      <c r="M1166" s="32"/>
      <c r="N1166" s="32"/>
      <c r="O1166" s="97">
        <v>138835.0</v>
      </c>
      <c r="P1166" s="91">
        <f>IFERROR(__xludf.DUMMYFUNCTION("IFERROR(sum(FILTER($D:$N,$C:$C = $C1166,$A:$A &lt; $A1166,$B:$B = 12)),0) + sum($D1166:$N1166)"),138835.21)</f>
        <v>138835.21</v>
      </c>
      <c r="Q1166" s="92">
        <f t="shared" si="1"/>
        <v>-0.21</v>
      </c>
      <c r="R1166" s="91">
        <f t="array" ref="R1166">IFERROR(INDEX('Fund YTD Target Values'!$1:$1000, MATCH($C1166,'Fund YTD Target Values'!$A:$A,0), MATCH($A1166,'Fund YTD Target Values'!$1:$1,0)),0)</f>
        <v>121242.134</v>
      </c>
      <c r="S1166" s="91">
        <f>IFERROR(__xludf.DUMMYFUNCTION("IFERROR(sum(FILTER('Fund Investment Data'!$V:$V, 'Fund Investment Data'!$C:$C = $C1166, 'Fund Investment Data'!$A:$A &lt; $A1166)),0) + IFERROR(sum(FILTER('Fund Investment Data'!$V:$V, 'Fund Investment Data'!$C:$C = $C1166, 'Fund Investment Data'!$A:$A = $A1"&amp;"166, 'Fund Investment Data'!$B:$B &lt;= $B1166)),0)"),100000.0)</f>
        <v>100000</v>
      </c>
      <c r="T1166" s="93">
        <v>100000.0</v>
      </c>
      <c r="U1166" s="32">
        <f t="shared" si="18"/>
        <v>0</v>
      </c>
      <c r="V1166" s="32">
        <f>IFERROR(__xludf.DUMMYFUNCTION("$D1166 - IFERROR(FILTER($D:$D,$C:$C = $C1166, $A:$A = $A1166, $B:$B = $B1166 - 1),0)"),0.0)</f>
        <v>0</v>
      </c>
      <c r="W1166" s="93">
        <f>IFERROR(__xludf.DUMMYFUNCTION("$E1166 - IFERROR(FILTER($E:$E,$C:$C = $C1166, $A:$A = $A1166, $B:$B = $B1166 - 1),0)"),0.0)</f>
        <v>0</v>
      </c>
      <c r="X1166" s="93"/>
      <c r="Y1166" s="93"/>
      <c r="Z1166" s="93">
        <v>0.0</v>
      </c>
      <c r="AA1166" s="93">
        <v>0.0</v>
      </c>
      <c r="AB1166" s="93">
        <v>0.0</v>
      </c>
      <c r="AC1166" s="93"/>
      <c r="AD1166" s="93">
        <v>0.0</v>
      </c>
      <c r="AE1166" s="32">
        <f t="shared" si="2"/>
        <v>-5000</v>
      </c>
      <c r="AF1166" s="93">
        <v>0.0</v>
      </c>
    </row>
    <row r="1167">
      <c r="A1167" s="86">
        <v>2018.0</v>
      </c>
      <c r="B1167" s="87">
        <v>10.0</v>
      </c>
      <c r="C1167" s="96" t="s">
        <v>35</v>
      </c>
      <c r="D1167" s="98"/>
      <c r="E1167" s="97">
        <v>-64200.0</v>
      </c>
      <c r="F1167" s="98"/>
      <c r="G1167" s="99">
        <v>-6599.55</v>
      </c>
      <c r="H1167" s="99">
        <v>28015.75</v>
      </c>
      <c r="I1167" s="97">
        <v>15513.35</v>
      </c>
      <c r="J1167" s="97">
        <v>-81336.51</v>
      </c>
      <c r="K1167" s="98"/>
      <c r="L1167" s="98"/>
      <c r="M1167" s="32"/>
      <c r="N1167" s="32"/>
      <c r="O1167" s="97">
        <v>1357535.0</v>
      </c>
      <c r="P1167" s="91">
        <f>IFERROR(__xludf.DUMMYFUNCTION("IFERROR(sum(FILTER($D:$N,$C:$C = $C1167,$A:$A &lt; $A1167,$B:$B = 12)),0) + sum($D1167:$N1167)"),1357534.6000000003)</f>
        <v>1357534.6</v>
      </c>
      <c r="Q1167" s="92">
        <f t="shared" si="1"/>
        <v>0.3999999997</v>
      </c>
      <c r="R1167" s="91">
        <f t="array" ref="R1167">IFERROR(INDEX('Fund YTD Target Values'!$1:$1000, MATCH($C1167,'Fund YTD Target Values'!$A:$A,0), MATCH($A1167,'Fund YTD Target Values'!$1:$1,0)),0)</f>
        <v>1579247.369</v>
      </c>
      <c r="S1167" s="91">
        <f>IFERROR(__xludf.DUMMYFUNCTION("IFERROR(sum(FILTER('Fund Investment Data'!$V:$V, 'Fund Investment Data'!$C:$C = $C1167, 'Fund Investment Data'!$A:$A &lt; $A1167)),0) + IFERROR(sum(FILTER('Fund Investment Data'!$V:$V, 'Fund Investment Data'!$C:$C = $C1167, 'Fund Investment Data'!$A:$A = $A1"&amp;"167, 'Fund Investment Data'!$B:$B &lt;= $B1167)),0)"),1086625.0)</f>
        <v>1086625</v>
      </c>
      <c r="T1167" s="93">
        <v>1071625.0</v>
      </c>
      <c r="U1167" s="32">
        <f t="shared" si="18"/>
        <v>15000</v>
      </c>
      <c r="V1167" s="32">
        <f>IFERROR(__xludf.DUMMYFUNCTION("$D1167 - IFERROR(FILTER($D:$D,$C:$C = $C1167, $A:$A = $A1167, $B:$B = $B1167 - 1),0)"),0.0)</f>
        <v>0</v>
      </c>
      <c r="W1167" s="93">
        <f>IFERROR(__xludf.DUMMYFUNCTION("$E1167 - IFERROR(FILTER($E:$E,$C:$C = $C1167, $A:$A = $A1167, $B:$B = $B1167 - 1),0)"),0.0)</f>
        <v>0</v>
      </c>
      <c r="X1167" s="93"/>
      <c r="Y1167" s="93"/>
      <c r="Z1167" s="93">
        <v>0.0</v>
      </c>
      <c r="AA1167" s="93">
        <v>0.0</v>
      </c>
      <c r="AB1167" s="93">
        <v>0.0</v>
      </c>
      <c r="AC1167" s="93"/>
      <c r="AD1167" s="93">
        <v>0.0</v>
      </c>
      <c r="AE1167" s="32">
        <f t="shared" si="2"/>
        <v>-64200</v>
      </c>
      <c r="AF1167" s="93">
        <v>0.0</v>
      </c>
    </row>
    <row r="1168">
      <c r="A1168" s="86">
        <v>2018.0</v>
      </c>
      <c r="B1168" s="87">
        <v>10.0</v>
      </c>
      <c r="C1168" s="96" t="s">
        <v>56</v>
      </c>
      <c r="D1168" s="98"/>
      <c r="E1168" s="97">
        <v>-50000.0</v>
      </c>
      <c r="F1168" s="98"/>
      <c r="G1168" s="99">
        <v>-5096.78</v>
      </c>
      <c r="H1168" s="99">
        <v>21475.98</v>
      </c>
      <c r="I1168" s="97">
        <v>3463.53</v>
      </c>
      <c r="J1168" s="97">
        <v>-54326.03</v>
      </c>
      <c r="K1168" s="98"/>
      <c r="L1168" s="98"/>
      <c r="M1168" s="32"/>
      <c r="N1168" s="32"/>
      <c r="O1168" s="97">
        <v>1048495.0</v>
      </c>
      <c r="P1168" s="91">
        <f>IFERROR(__xludf.DUMMYFUNCTION("IFERROR(sum(FILTER($D:$N,$C:$C = $C1168,$A:$A &lt; $A1168,$B:$B = 12)),0) + sum($D1168:$N1168)"),1048494.5299999998)</f>
        <v>1048494.53</v>
      </c>
      <c r="Q1168" s="92">
        <f t="shared" si="1"/>
        <v>0.4700000002</v>
      </c>
      <c r="R1168" s="91">
        <f t="array" ref="R1168">IFERROR(INDEX('Fund YTD Target Values'!$1:$1000, MATCH($C1168,'Fund YTD Target Values'!$A:$A,0), MATCH($A1168,'Fund YTD Target Values'!$1:$1,0)),0)</f>
        <v>1060725.595</v>
      </c>
      <c r="S1168" s="91">
        <f>IFERROR(__xludf.DUMMYFUNCTION("IFERROR(sum(FILTER('Fund Investment Data'!$V:$V, 'Fund Investment Data'!$C:$C = $C1168, 'Fund Investment Data'!$A:$A &lt; $A1168)),0) + IFERROR(sum(FILTER('Fund Investment Data'!$V:$V, 'Fund Investment Data'!$C:$C = $C1168, 'Fund Investment Data'!$A:$A = $A1"&amp;"168, 'Fund Investment Data'!$B:$B &lt;= $B1168)),0)"),1000000.0)</f>
        <v>1000000</v>
      </c>
      <c r="T1168" s="93">
        <v>1000000.0</v>
      </c>
      <c r="U1168" s="32">
        <f t="shared" si="18"/>
        <v>0</v>
      </c>
      <c r="V1168" s="32">
        <f>IFERROR(__xludf.DUMMYFUNCTION("$D1168 - IFERROR(FILTER($D:$D,$C:$C = $C1168, $A:$A = $A1168, $B:$B = $B1168 - 1),0)"),0.0)</f>
        <v>0</v>
      </c>
      <c r="W1168" s="93">
        <f>IFERROR(__xludf.DUMMYFUNCTION("$E1168 - IFERROR(FILTER($E:$E,$C:$C = $C1168, $A:$A = $A1168, $B:$B = $B1168 - 1),0)"),0.0)</f>
        <v>0</v>
      </c>
      <c r="X1168" s="93"/>
      <c r="Y1168" s="93"/>
      <c r="Z1168" s="93">
        <v>0.0</v>
      </c>
      <c r="AA1168" s="93">
        <v>0.0</v>
      </c>
      <c r="AB1168" s="93">
        <v>0.0</v>
      </c>
      <c r="AC1168" s="93"/>
      <c r="AD1168" s="93">
        <v>0.0</v>
      </c>
      <c r="AE1168" s="32">
        <f t="shared" si="2"/>
        <v>-50000</v>
      </c>
      <c r="AF1168" s="93">
        <v>0.0</v>
      </c>
    </row>
    <row r="1169">
      <c r="A1169" s="86">
        <v>2018.0</v>
      </c>
      <c r="B1169" s="87">
        <v>10.0</v>
      </c>
      <c r="C1169" s="88" t="s">
        <v>57</v>
      </c>
      <c r="D1169" s="98"/>
      <c r="E1169" s="98"/>
      <c r="F1169" s="98"/>
      <c r="G1169" s="99">
        <v>-9242.01</v>
      </c>
      <c r="H1169" s="99">
        <v>39294.63</v>
      </c>
      <c r="I1169" s="98"/>
      <c r="J1169" s="97">
        <v>-94305.93</v>
      </c>
      <c r="K1169" s="98"/>
      <c r="L1169" s="98"/>
      <c r="M1169" s="32"/>
      <c r="N1169" s="32"/>
      <c r="O1169" s="97">
        <v>1970926.0</v>
      </c>
      <c r="P1169" s="91">
        <f>IFERROR(__xludf.DUMMYFUNCTION("IFERROR(sum(FILTER($D:$N,$C:$C = $C1169,$A:$A &lt; $A1169,$B:$B = 12)),0) + sum($D1169:$N1169)"),1970925.52)</f>
        <v>1970925.52</v>
      </c>
      <c r="Q1169" s="92">
        <f t="shared" si="1"/>
        <v>0.48</v>
      </c>
      <c r="R1169" s="91">
        <f t="array" ref="R1169">IFERROR(INDEX('Fund YTD Target Values'!$1:$1000, MATCH($C1169,'Fund YTD Target Values'!$A:$A,0), MATCH($A1169,'Fund YTD Target Values'!$1:$1,0)),0)</f>
        <v>2048853.692</v>
      </c>
      <c r="S1169" s="91">
        <f>IFERROR(__xludf.DUMMYFUNCTION("IFERROR(sum(FILTER('Fund Investment Data'!$V:$V, 'Fund Investment Data'!$C:$C = $C1169, 'Fund Investment Data'!$A:$A &lt; $A1169)),0) + IFERROR(sum(FILTER('Fund Investment Data'!$V:$V, 'Fund Investment Data'!$C:$C = $C1169, 'Fund Investment Data'!$A:$A = $A1"&amp;"169, 'Fund Investment Data'!$B:$B &lt;= $B1169)),0)"),2000000.0)</f>
        <v>2000000</v>
      </c>
      <c r="T1169" s="93">
        <v>2000000.0</v>
      </c>
      <c r="U1169" s="32">
        <f t="shared" si="18"/>
        <v>0</v>
      </c>
      <c r="V1169" s="32">
        <f>IFERROR(__xludf.DUMMYFUNCTION("$D1169 - IFERROR(FILTER($D:$D,$C:$C = $C1169, $A:$A = $A1169, $B:$B = $B1169 - 1),0)"),0.0)</f>
        <v>0</v>
      </c>
      <c r="W1169" s="93">
        <f>IFERROR(__xludf.DUMMYFUNCTION("$E1169 - IFERROR(FILTER($E:$E,$C:$C = $C1169, $A:$A = $A1169, $B:$B = $B1169 - 1),0)"),0.0)</f>
        <v>0</v>
      </c>
      <c r="X1169" s="93"/>
      <c r="Y1169" s="93"/>
      <c r="Z1169" s="93">
        <v>0.0</v>
      </c>
      <c r="AA1169" s="93">
        <v>0.0</v>
      </c>
      <c r="AB1169" s="93">
        <v>0.0</v>
      </c>
      <c r="AC1169" s="93"/>
      <c r="AD1169" s="93">
        <v>0.0</v>
      </c>
      <c r="AE1169" s="32">
        <f t="shared" si="2"/>
        <v>0</v>
      </c>
      <c r="AF1169" s="93">
        <v>0.0</v>
      </c>
    </row>
    <row r="1170">
      <c r="A1170" s="86">
        <v>2018.0</v>
      </c>
      <c r="B1170" s="87">
        <v>10.0</v>
      </c>
      <c r="C1170" s="88" t="s">
        <v>58</v>
      </c>
      <c r="D1170" s="98"/>
      <c r="E1170" s="98"/>
      <c r="F1170" s="98"/>
      <c r="G1170" s="99">
        <v>-9242.01</v>
      </c>
      <c r="H1170" s="99">
        <v>39294.63</v>
      </c>
      <c r="I1170" s="98"/>
      <c r="J1170" s="97">
        <v>-94305.93</v>
      </c>
      <c r="K1170" s="98"/>
      <c r="L1170" s="98"/>
      <c r="M1170" s="32"/>
      <c r="N1170" s="32"/>
      <c r="O1170" s="97">
        <v>1970926.0</v>
      </c>
      <c r="P1170" s="91">
        <f>IFERROR(__xludf.DUMMYFUNCTION("IFERROR(sum(FILTER($D:$N,$C:$C = $C1170,$A:$A &lt; $A1170,$B:$B = 12)),0) + sum($D1170:$N1170)"),1970925.52)</f>
        <v>1970925.52</v>
      </c>
      <c r="Q1170" s="92">
        <f t="shared" si="1"/>
        <v>0.48</v>
      </c>
      <c r="R1170" s="91">
        <f t="array" ref="R1170">IFERROR(INDEX('Fund YTD Target Values'!$1:$1000, MATCH($C1170,'Fund YTD Target Values'!$A:$A,0), MATCH($A1170,'Fund YTD Target Values'!$1:$1,0)),0)</f>
        <v>2048853.692</v>
      </c>
      <c r="S1170" s="91">
        <f>IFERROR(__xludf.DUMMYFUNCTION("IFERROR(sum(FILTER('Fund Investment Data'!$V:$V, 'Fund Investment Data'!$C:$C = $C1170, 'Fund Investment Data'!$A:$A &lt; $A1170)),0) + IFERROR(sum(FILTER('Fund Investment Data'!$V:$V, 'Fund Investment Data'!$C:$C = $C1170, 'Fund Investment Data'!$A:$A = $A1"&amp;"170, 'Fund Investment Data'!$B:$B &lt;= $B1170)),0)"),2000000.0)</f>
        <v>2000000</v>
      </c>
      <c r="T1170" s="93">
        <v>2000000.0</v>
      </c>
      <c r="U1170" s="32">
        <f t="shared" si="18"/>
        <v>0</v>
      </c>
      <c r="V1170" s="32">
        <f>IFERROR(__xludf.DUMMYFUNCTION("$D1170 - IFERROR(FILTER($D:$D,$C:$C = $C1170, $A:$A = $A1170, $B:$B = $B1170 - 1),0)"),0.0)</f>
        <v>0</v>
      </c>
      <c r="W1170" s="93">
        <f>IFERROR(__xludf.DUMMYFUNCTION("$E1170 - IFERROR(FILTER($E:$E,$C:$C = $C1170, $A:$A = $A1170, $B:$B = $B1170 - 1),0)"),0.0)</f>
        <v>0</v>
      </c>
      <c r="X1170" s="93"/>
      <c r="Y1170" s="93"/>
      <c r="Z1170" s="93">
        <v>0.0</v>
      </c>
      <c r="AA1170" s="93">
        <v>0.0</v>
      </c>
      <c r="AB1170" s="93">
        <v>0.0</v>
      </c>
      <c r="AC1170" s="93"/>
      <c r="AD1170" s="93">
        <v>0.0</v>
      </c>
      <c r="AE1170" s="32">
        <f t="shared" si="2"/>
        <v>0</v>
      </c>
      <c r="AF1170" s="93">
        <v>0.0</v>
      </c>
    </row>
    <row r="1171">
      <c r="A1171" s="86">
        <v>2018.0</v>
      </c>
      <c r="B1171" s="87">
        <v>11.0</v>
      </c>
      <c r="C1171" s="88" t="s">
        <v>26</v>
      </c>
      <c r="D1171" s="93">
        <v>18189.0</v>
      </c>
      <c r="E1171" s="93">
        <v>-15210.0</v>
      </c>
      <c r="F1171" s="32"/>
      <c r="G1171" s="93">
        <v>-1862.9</v>
      </c>
      <c r="H1171" s="93">
        <v>6819.3</v>
      </c>
      <c r="I1171" s="93">
        <v>587.37</v>
      </c>
      <c r="J1171" s="93">
        <v>-13648.02</v>
      </c>
      <c r="K1171" s="32"/>
      <c r="L1171" s="32"/>
      <c r="M1171" s="32"/>
      <c r="N1171" s="32"/>
      <c r="O1171" s="93">
        <v>326807.0</v>
      </c>
      <c r="P1171" s="91">
        <f>IFERROR(__xludf.DUMMYFUNCTION("IFERROR(sum(FILTER($D:$N,$C:$C = $C1171,$A:$A &lt; $A1171,$B:$B = 12)),0) + sum($D1171:$N1171)"),326805.70999999996)</f>
        <v>326805.71</v>
      </c>
      <c r="Q1171" s="92">
        <f t="shared" si="1"/>
        <v>1.29</v>
      </c>
      <c r="R1171" s="91">
        <f t="array" ref="R1171">IFERROR(INDEX('Fund YTD Target Values'!$1:$1000, MATCH($C1171,'Fund YTD Target Values'!$A:$A,0), MATCH($A1171,'Fund YTD Target Values'!$1:$1,0)),0)</f>
        <v>378110.9215</v>
      </c>
      <c r="S1171" s="91">
        <f>IFERROR(__xludf.DUMMYFUNCTION("IFERROR(sum(FILTER('Fund Investment Data'!$V:$V, 'Fund Investment Data'!$C:$C = $C1171, 'Fund Investment Data'!$A:$A &lt; $A1171)),0) + IFERROR(sum(FILTER('Fund Investment Data'!$V:$V, 'Fund Investment Data'!$C:$C = $C1171, 'Fund Investment Data'!$A:$A = $A1"&amp;"171, 'Fund Investment Data'!$B:$B &lt;= $B1171)),0)"),310249.0)</f>
        <v>310249</v>
      </c>
      <c r="T1171" s="93">
        <v>310250.0</v>
      </c>
      <c r="U1171" s="32">
        <f t="shared" si="18"/>
        <v>-1</v>
      </c>
      <c r="V1171" s="32">
        <f>IFERROR(__xludf.DUMMYFUNCTION("$D1171 - IFERROR(FILTER($D:$D,$C:$C = $C1171, $A:$A = $A1171, $B:$B = $B1171 - 1),0)"),0.0)</f>
        <v>0</v>
      </c>
      <c r="W1171" s="93">
        <f>IFERROR(__xludf.DUMMYFUNCTION("$E1171 - IFERROR(FILTER($E:$E,$C:$C = $C1171, $A:$A = $A1171, $B:$B = $B1171 - 1),0)"),-210.0)</f>
        <v>-210</v>
      </c>
      <c r="X1171" s="93"/>
      <c r="Y1171" s="93"/>
      <c r="Z1171" s="93">
        <v>0.0</v>
      </c>
      <c r="AA1171" s="93">
        <v>0.0</v>
      </c>
      <c r="AB1171" s="93">
        <v>0.0</v>
      </c>
      <c r="AC1171" s="93"/>
      <c r="AD1171" s="93">
        <v>0.0</v>
      </c>
      <c r="AE1171" s="32">
        <f t="shared" si="2"/>
        <v>-15210</v>
      </c>
      <c r="AF1171" s="93">
        <v>0.0</v>
      </c>
    </row>
    <row r="1172">
      <c r="A1172" s="86">
        <v>2018.0</v>
      </c>
      <c r="B1172" s="87">
        <v>11.0</v>
      </c>
      <c r="C1172" s="88" t="s">
        <v>27</v>
      </c>
      <c r="D1172" s="32"/>
      <c r="E1172" s="93">
        <v>-15000.0</v>
      </c>
      <c r="F1172" s="32"/>
      <c r="G1172" s="93">
        <v>-1662.94</v>
      </c>
      <c r="H1172" s="93">
        <v>6149.59</v>
      </c>
      <c r="I1172" s="93">
        <v>3753.69</v>
      </c>
      <c r="J1172" s="93">
        <v>-15083.54</v>
      </c>
      <c r="K1172" s="32"/>
      <c r="L1172" s="32"/>
      <c r="M1172" s="32"/>
      <c r="N1172" s="32"/>
      <c r="O1172" s="93">
        <v>286642.0</v>
      </c>
      <c r="P1172" s="91">
        <f>IFERROR(__xludf.DUMMYFUNCTION("IFERROR(sum(FILTER($D:$N,$C:$C = $C1172,$A:$A &lt; $A1172,$B:$B = 12)),0) + sum($D1172:$N1172)"),286642.20000000007)</f>
        <v>286642.2</v>
      </c>
      <c r="Q1172" s="92">
        <f t="shared" si="1"/>
        <v>-0.2000000001</v>
      </c>
      <c r="R1172" s="91">
        <f t="array" ref="R1172">IFERROR(INDEX('Fund YTD Target Values'!$1:$1000, MATCH($C1172,'Fund YTD Target Values'!$A:$A,0), MATCH($A1172,'Fund YTD Target Values'!$1:$1,0)),0)</f>
        <v>393297.582</v>
      </c>
      <c r="S1172" s="91">
        <f>IFERROR(__xludf.DUMMYFUNCTION("IFERROR(sum(FILTER('Fund Investment Data'!$V:$V, 'Fund Investment Data'!$C:$C = $C1172, 'Fund Investment Data'!$A:$A &lt; $A1172)),0) + IFERROR(sum(FILTER('Fund Investment Data'!$V:$V, 'Fund Investment Data'!$C:$C = $C1172, 'Fund Investment Data'!$A:$A = $A1"&amp;"172, 'Fund Investment Data'!$B:$B &lt;= $B1172)),0)"),276213.69999999995)</f>
        <v>276213.7</v>
      </c>
      <c r="T1172" s="93">
        <v>272248.0</v>
      </c>
      <c r="U1172" s="32">
        <f t="shared" si="18"/>
        <v>3965.7</v>
      </c>
      <c r="V1172" s="32">
        <f>IFERROR(__xludf.DUMMYFUNCTION("$D1172 - IFERROR(FILTER($D:$D,$C:$C = $C1172, $A:$A = $A1172, $B:$B = $B1172 - 1),0)"),0.0)</f>
        <v>0</v>
      </c>
      <c r="W1172" s="93">
        <f>IFERROR(__xludf.DUMMYFUNCTION("$E1172 - IFERROR(FILTER($E:$E,$C:$C = $C1172, $A:$A = $A1172, $B:$B = $B1172 - 1),0)"),0.0)</f>
        <v>0</v>
      </c>
      <c r="X1172" s="93"/>
      <c r="Y1172" s="93"/>
      <c r="Z1172" s="93">
        <v>0.0</v>
      </c>
      <c r="AA1172" s="93">
        <v>0.0</v>
      </c>
      <c r="AB1172" s="93">
        <v>0.0</v>
      </c>
      <c r="AC1172" s="93"/>
      <c r="AD1172" s="93">
        <v>0.0</v>
      </c>
      <c r="AE1172" s="32">
        <f t="shared" si="2"/>
        <v>-15000</v>
      </c>
      <c r="AF1172" s="93">
        <v>0.0</v>
      </c>
    </row>
    <row r="1173">
      <c r="A1173" s="86">
        <v>2018.0</v>
      </c>
      <c r="B1173" s="87">
        <v>11.0</v>
      </c>
      <c r="C1173" s="88" t="s">
        <v>28</v>
      </c>
      <c r="D1173" s="32"/>
      <c r="E1173" s="93">
        <v>-165000.0</v>
      </c>
      <c r="F1173" s="32"/>
      <c r="G1173" s="93">
        <v>-17813.75</v>
      </c>
      <c r="H1173" s="93">
        <v>65858.3</v>
      </c>
      <c r="I1173" s="93">
        <v>39189.66</v>
      </c>
      <c r="J1173" s="93">
        <v>-160385.69</v>
      </c>
      <c r="K1173" s="32"/>
      <c r="L1173" s="32"/>
      <c r="M1173" s="32"/>
      <c r="N1173" s="32"/>
      <c r="O1173" s="93">
        <v>3071076.0</v>
      </c>
      <c r="P1173" s="91">
        <f>IFERROR(__xludf.DUMMYFUNCTION("IFERROR(sum(FILTER($D:$N,$C:$C = $C1173,$A:$A &lt; $A1173,$B:$B = 12)),0) + sum($D1173:$N1173)"),3071074.59)</f>
        <v>3071074.59</v>
      </c>
      <c r="Q1173" s="92">
        <f t="shared" si="1"/>
        <v>1.41</v>
      </c>
      <c r="R1173" s="91">
        <f t="array" ref="R1173">IFERROR(INDEX('Fund YTD Target Values'!$1:$1000, MATCH($C1173,'Fund YTD Target Values'!$A:$A,0), MATCH($A1173,'Fund YTD Target Values'!$1:$1,0)),0)</f>
        <v>3840487.513</v>
      </c>
      <c r="S1173" s="91">
        <f>IFERROR(__xludf.DUMMYFUNCTION("IFERROR(sum(FILTER('Fund Investment Data'!$V:$V, 'Fund Investment Data'!$C:$C = $C1173, 'Fund Investment Data'!$A:$A &lt; $A1173)),0) + IFERROR(sum(FILTER('Fund Investment Data'!$V:$V, 'Fund Investment Data'!$C:$C = $C1173, 'Fund Investment Data'!$A:$A = $A1"&amp;"173, 'Fund Investment Data'!$B:$B &lt;= $B1173)),0)"),2960091.25)</f>
        <v>2960091.25</v>
      </c>
      <c r="T1173" s="93">
        <v>3009816.0</v>
      </c>
      <c r="U1173" s="32">
        <f t="shared" si="18"/>
        <v>-49724.75</v>
      </c>
      <c r="V1173" s="32">
        <f>IFERROR(__xludf.DUMMYFUNCTION("$D1173 - IFERROR(FILTER($D:$D,$C:$C = $C1173, $A:$A = $A1173, $B:$B = $B1173 - 1),0)"),0.0)</f>
        <v>0</v>
      </c>
      <c r="W1173" s="93">
        <f>IFERROR(__xludf.DUMMYFUNCTION("$E1173 - IFERROR(FILTER($E:$E,$C:$C = $C1173, $A:$A = $A1173, $B:$B = $B1173 - 1),0)"),0.0)</f>
        <v>0</v>
      </c>
      <c r="X1173" s="93"/>
      <c r="Y1173" s="93"/>
      <c r="Z1173" s="93">
        <v>0.0</v>
      </c>
      <c r="AA1173" s="93">
        <v>0.0</v>
      </c>
      <c r="AB1173" s="93">
        <v>0.0</v>
      </c>
      <c r="AC1173" s="93"/>
      <c r="AD1173" s="93">
        <v>0.0</v>
      </c>
      <c r="AE1173" s="32">
        <f t="shared" si="2"/>
        <v>-165000</v>
      </c>
      <c r="AF1173" s="93">
        <v>0.0</v>
      </c>
    </row>
    <row r="1174">
      <c r="A1174" s="86">
        <v>2018.0</v>
      </c>
      <c r="B1174" s="87">
        <v>11.0</v>
      </c>
      <c r="C1174" s="88" t="s">
        <v>46</v>
      </c>
      <c r="D1174" s="32"/>
      <c r="E1174" s="93">
        <v>-30750.0</v>
      </c>
      <c r="F1174" s="32"/>
      <c r="G1174" s="93">
        <v>-2103.78</v>
      </c>
      <c r="H1174" s="93">
        <v>7788.22</v>
      </c>
      <c r="I1174" s="93">
        <v>8384.92</v>
      </c>
      <c r="J1174" s="93">
        <v>-22507.98</v>
      </c>
      <c r="K1174" s="32"/>
      <c r="L1174" s="32"/>
      <c r="M1174" s="32"/>
      <c r="N1174" s="32"/>
      <c r="O1174" s="93">
        <v>354319.0</v>
      </c>
      <c r="P1174" s="91">
        <f>IFERROR(__xludf.DUMMYFUNCTION("IFERROR(sum(FILTER($D:$N,$C:$C = $C1174,$A:$A &lt; $A1174,$B:$B = 12)),0) + sum($D1174:$N1174)"),354319.04000000004)</f>
        <v>354319.04</v>
      </c>
      <c r="Q1174" s="92">
        <f t="shared" si="1"/>
        <v>-0.04000000004</v>
      </c>
      <c r="R1174" s="91">
        <f t="array" ref="R1174">IFERROR(INDEX('Fund YTD Target Values'!$1:$1000, MATCH($C1174,'Fund YTD Target Values'!$A:$A,0), MATCH($A1174,'Fund YTD Target Values'!$1:$1,0)),0)</f>
        <v>456546.9656</v>
      </c>
      <c r="S1174" s="91">
        <f>IFERROR(__xludf.DUMMYFUNCTION("IFERROR(sum(FILTER('Fund Investment Data'!$V:$V, 'Fund Investment Data'!$C:$C = $C1174, 'Fund Investment Data'!$A:$A &lt; $A1174)),0) + IFERROR(sum(FILTER('Fund Investment Data'!$V:$V, 'Fund Investment Data'!$C:$C = $C1174, 'Fund Investment Data'!$A:$A = $A1"&amp;"174, 'Fund Investment Data'!$B:$B &lt;= $B1174)),0)"),366400.0)</f>
        <v>366400</v>
      </c>
      <c r="T1174" s="93">
        <v>366400.0</v>
      </c>
      <c r="U1174" s="32">
        <f t="shared" si="18"/>
        <v>0</v>
      </c>
      <c r="V1174" s="32">
        <f>IFERROR(__xludf.DUMMYFUNCTION("$D1174 - IFERROR(FILTER($D:$D,$C:$C = $C1174, $A:$A = $A1174, $B:$B = $B1174 - 1),0)"),0.0)</f>
        <v>0</v>
      </c>
      <c r="W1174" s="93">
        <f>IFERROR(__xludf.DUMMYFUNCTION("$E1174 - IFERROR(FILTER($E:$E,$C:$C = $C1174, $A:$A = $A1174, $B:$B = $B1174 - 1),0)"),-3750.0)</f>
        <v>-3750</v>
      </c>
      <c r="X1174" s="93"/>
      <c r="Y1174" s="93"/>
      <c r="Z1174" s="93">
        <v>0.0</v>
      </c>
      <c r="AA1174" s="93">
        <v>0.0</v>
      </c>
      <c r="AB1174" s="93">
        <v>0.0</v>
      </c>
      <c r="AC1174" s="93"/>
      <c r="AD1174" s="93">
        <v>0.0</v>
      </c>
      <c r="AE1174" s="32">
        <f t="shared" si="2"/>
        <v>-30750</v>
      </c>
      <c r="AF1174" s="93">
        <v>0.0</v>
      </c>
    </row>
    <row r="1175">
      <c r="A1175" s="86">
        <v>2018.0</v>
      </c>
      <c r="B1175" s="87">
        <v>11.0</v>
      </c>
      <c r="C1175" s="88" t="s">
        <v>36</v>
      </c>
      <c r="D1175" s="32"/>
      <c r="E1175" s="93">
        <v>-24000.0</v>
      </c>
      <c r="F1175" s="32"/>
      <c r="G1175" s="93">
        <v>-2424.7</v>
      </c>
      <c r="H1175" s="93">
        <v>8969.97</v>
      </c>
      <c r="I1175" s="93">
        <v>6209.06</v>
      </c>
      <c r="J1175" s="93">
        <v>-22661.47</v>
      </c>
      <c r="K1175" s="32"/>
      <c r="L1175" s="32"/>
      <c r="M1175" s="32"/>
      <c r="N1175" s="32"/>
      <c r="O1175" s="93">
        <v>416848.0</v>
      </c>
      <c r="P1175" s="91">
        <f>IFERROR(__xludf.DUMMYFUNCTION("IFERROR(sum(FILTER($D:$N,$C:$C = $C1175,$A:$A &lt; $A1175,$B:$B = 12)),0) + sum($D1175:$N1175)"),416847.32)</f>
        <v>416847.32</v>
      </c>
      <c r="Q1175" s="92">
        <f t="shared" si="1"/>
        <v>0.68</v>
      </c>
      <c r="R1175" s="91">
        <f t="array" ref="R1175">IFERROR(INDEX('Fund YTD Target Values'!$1:$1000, MATCH($C1175,'Fund YTD Target Values'!$A:$A,0), MATCH($A1175,'Fund YTD Target Values'!$1:$1,0)),0)</f>
        <v>635486.6433</v>
      </c>
      <c r="S1175" s="91">
        <f>IFERROR(__xludf.DUMMYFUNCTION("IFERROR(sum(FILTER('Fund Investment Data'!$V:$V, 'Fund Investment Data'!$C:$C = $C1175, 'Fund Investment Data'!$A:$A &lt; $A1175)),0) + IFERROR(sum(FILTER('Fund Investment Data'!$V:$V, 'Fund Investment Data'!$C:$C = $C1175, 'Fund Investment Data'!$A:$A = $A1"&amp;"175, 'Fund Investment Data'!$B:$B &lt;= $B1175)),0)"),429067.24)</f>
        <v>429067.24</v>
      </c>
      <c r="T1175" s="93">
        <v>413959.0</v>
      </c>
      <c r="U1175" s="32">
        <f t="shared" si="18"/>
        <v>15108.24</v>
      </c>
      <c r="V1175" s="32">
        <f>IFERROR(__xludf.DUMMYFUNCTION("$D1175 - IFERROR(FILTER($D:$D,$C:$C = $C1175, $A:$A = $A1175, $B:$B = $B1175 - 1),0)"),0.0)</f>
        <v>0</v>
      </c>
      <c r="W1175" s="93">
        <f>IFERROR(__xludf.DUMMYFUNCTION("$E1175 - IFERROR(FILTER($E:$E,$C:$C = $C1175, $A:$A = $A1175, $B:$B = $B1175 - 1),0)"),0.0)</f>
        <v>0</v>
      </c>
      <c r="X1175" s="93"/>
      <c r="Y1175" s="93"/>
      <c r="Z1175" s="93">
        <v>0.0</v>
      </c>
      <c r="AA1175" s="93">
        <v>0.0</v>
      </c>
      <c r="AB1175" s="93">
        <v>0.0</v>
      </c>
      <c r="AC1175" s="93"/>
      <c r="AD1175" s="93">
        <v>0.0</v>
      </c>
      <c r="AE1175" s="32">
        <f t="shared" si="2"/>
        <v>-24000</v>
      </c>
      <c r="AF1175" s="93">
        <v>0.0</v>
      </c>
    </row>
    <row r="1176">
      <c r="A1176" s="86">
        <v>2018.0</v>
      </c>
      <c r="B1176" s="87">
        <v>11.0</v>
      </c>
      <c r="C1176" s="88" t="s">
        <v>37</v>
      </c>
      <c r="D1176" s="32"/>
      <c r="E1176" s="93">
        <v>-40000.0</v>
      </c>
      <c r="F1176" s="32"/>
      <c r="G1176" s="93">
        <v>-4431.25</v>
      </c>
      <c r="H1176" s="93">
        <v>16395.81</v>
      </c>
      <c r="I1176" s="93">
        <v>7738.91</v>
      </c>
      <c r="J1176" s="93">
        <v>-37957.93</v>
      </c>
      <c r="K1176" s="32"/>
      <c r="L1176" s="32"/>
      <c r="M1176" s="32"/>
      <c r="N1176" s="32"/>
      <c r="O1176" s="93">
        <v>765075.0</v>
      </c>
      <c r="P1176" s="91">
        <f>IFERROR(__xludf.DUMMYFUNCTION("IFERROR(sum(FILTER($D:$N,$C:$C = $C1176,$A:$A &lt; $A1176,$B:$B = 12)),0) + sum($D1176:$N1176)"),765074.7799999999)</f>
        <v>765074.78</v>
      </c>
      <c r="Q1176" s="92">
        <f t="shared" si="1"/>
        <v>0.2200000001</v>
      </c>
      <c r="R1176" s="91">
        <f t="array" ref="R1176">IFERROR(INDEX('Fund YTD Target Values'!$1:$1000, MATCH($C1176,'Fund YTD Target Values'!$A:$A,0), MATCH($A1176,'Fund YTD Target Values'!$1:$1,0)),0)</f>
        <v>845621.3635</v>
      </c>
      <c r="S1176" s="91">
        <f>IFERROR(__xludf.DUMMYFUNCTION("IFERROR(sum(FILTER('Fund Investment Data'!$V:$V, 'Fund Investment Data'!$C:$C = $C1176, 'Fund Investment Data'!$A:$A &lt; $A1176)),0) + IFERROR(sum(FILTER('Fund Investment Data'!$V:$V, 'Fund Investment Data'!$C:$C = $C1176, 'Fund Investment Data'!$A:$A = $A1"&amp;"176, 'Fund Investment Data'!$B:$B &lt;= $B1176)),0)"),758137.86)</f>
        <v>758137.86</v>
      </c>
      <c r="T1176" s="93">
        <v>742866.0</v>
      </c>
      <c r="U1176" s="32">
        <f t="shared" si="18"/>
        <v>15271.86</v>
      </c>
      <c r="V1176" s="32">
        <f>IFERROR(__xludf.DUMMYFUNCTION("$D1176 - IFERROR(FILTER($D:$D,$C:$C = $C1176, $A:$A = $A1176, $B:$B = $B1176 - 1),0)"),0.0)</f>
        <v>0</v>
      </c>
      <c r="W1176" s="93">
        <f>IFERROR(__xludf.DUMMYFUNCTION("$E1176 - IFERROR(FILTER($E:$E,$C:$C = $C1176, $A:$A = $A1176, $B:$B = $B1176 - 1),0)"),0.0)</f>
        <v>0</v>
      </c>
      <c r="X1176" s="93"/>
      <c r="Y1176" s="93"/>
      <c r="Z1176" s="93">
        <v>0.0</v>
      </c>
      <c r="AA1176" s="93">
        <v>0.0</v>
      </c>
      <c r="AB1176" s="93">
        <v>0.0</v>
      </c>
      <c r="AC1176" s="93"/>
      <c r="AD1176" s="93">
        <v>0.0</v>
      </c>
      <c r="AE1176" s="32">
        <f t="shared" si="2"/>
        <v>-40000</v>
      </c>
      <c r="AF1176" s="93">
        <v>0.0</v>
      </c>
    </row>
    <row r="1177">
      <c r="A1177" s="86">
        <v>2018.0</v>
      </c>
      <c r="B1177" s="87">
        <v>11.0</v>
      </c>
      <c r="C1177" s="88" t="s">
        <v>29</v>
      </c>
      <c r="D1177" s="32"/>
      <c r="E1177" s="32"/>
      <c r="F1177" s="32"/>
      <c r="G1177" s="93">
        <v>-318.17</v>
      </c>
      <c r="H1177" s="93">
        <v>1174.0</v>
      </c>
      <c r="I1177" s="32"/>
      <c r="J1177" s="93">
        <v>-2211.12</v>
      </c>
      <c r="K1177" s="32"/>
      <c r="L1177" s="32"/>
      <c r="M1177" s="32"/>
      <c r="N1177" s="32"/>
      <c r="O1177" s="93">
        <v>56806.0</v>
      </c>
      <c r="P1177" s="91">
        <f>IFERROR(__xludf.DUMMYFUNCTION("IFERROR(sum(FILTER($D:$N,$C:$C = $C1177,$A:$A &lt; $A1177,$B:$B = 12)),0) + sum($D1177:$N1177)"),56806.019999999924)</f>
        <v>56806.02</v>
      </c>
      <c r="Q1177" s="92">
        <f t="shared" si="1"/>
        <v>-0.01999999992</v>
      </c>
      <c r="R1177" s="91">
        <f t="array" ref="R1177">IFERROR(INDEX('Fund YTD Target Values'!$1:$1000, MATCH($C1177,'Fund YTD Target Values'!$A:$A,0), MATCH($A1177,'Fund YTD Target Values'!$1:$1,0)),0)</f>
        <v>77055.94062</v>
      </c>
      <c r="S1177" s="91">
        <f>IFERROR(__xludf.DUMMYFUNCTION("IFERROR(sum(FILTER('Fund Investment Data'!$V:$V, 'Fund Investment Data'!$C:$C = $C1177, 'Fund Investment Data'!$A:$A &lt; $A1177)),0) + IFERROR(sum(FILTER('Fund Investment Data'!$V:$V, 'Fund Investment Data'!$C:$C = $C1177, 'Fund Investment Data'!$A:$A = $A1"&amp;"177, 'Fund Investment Data'!$B:$B &lt;= $B1177)),0)"),50000.0)</f>
        <v>50000</v>
      </c>
      <c r="T1177" s="93">
        <v>50000.0</v>
      </c>
      <c r="U1177" s="32">
        <f t="shared" si="18"/>
        <v>0</v>
      </c>
      <c r="V1177" s="32">
        <f>IFERROR(__xludf.DUMMYFUNCTION("$D1177 - IFERROR(FILTER($D:$D,$C:$C = $C1177, $A:$A = $A1177, $B:$B = $B1177 - 1),0)"),0.0)</f>
        <v>0</v>
      </c>
      <c r="W1177" s="93">
        <f>IFERROR(__xludf.DUMMYFUNCTION("$E1177 - IFERROR(FILTER($E:$E,$C:$C = $C1177, $A:$A = $A1177, $B:$B = $B1177 - 1),0)"),0.0)</f>
        <v>0</v>
      </c>
      <c r="X1177" s="93"/>
      <c r="Y1177" s="93"/>
      <c r="Z1177" s="93">
        <v>0.0</v>
      </c>
      <c r="AA1177" s="93">
        <v>0.0</v>
      </c>
      <c r="AB1177" s="93">
        <v>0.0</v>
      </c>
      <c r="AC1177" s="93"/>
      <c r="AD1177" s="93">
        <v>0.0</v>
      </c>
      <c r="AE1177" s="32">
        <f t="shared" si="2"/>
        <v>0</v>
      </c>
      <c r="AF1177" s="93">
        <v>0.0</v>
      </c>
    </row>
    <row r="1178">
      <c r="A1178" s="86">
        <v>2018.0</v>
      </c>
      <c r="B1178" s="87">
        <v>11.0</v>
      </c>
      <c r="C1178" s="88" t="s">
        <v>38</v>
      </c>
      <c r="D1178" s="32"/>
      <c r="E1178" s="93">
        <v>-32760.5</v>
      </c>
      <c r="F1178" s="32"/>
      <c r="G1178" s="93">
        <v>-4396.4</v>
      </c>
      <c r="H1178" s="93">
        <v>16215.82</v>
      </c>
      <c r="I1178" s="93">
        <v>818.56</v>
      </c>
      <c r="J1178" s="93">
        <v>-31377.59</v>
      </c>
      <c r="K1178" s="32"/>
      <c r="L1178" s="32"/>
      <c r="M1178" s="32"/>
      <c r="N1178" s="32"/>
      <c r="O1178" s="93">
        <v>763909.0</v>
      </c>
      <c r="P1178" s="91">
        <f>IFERROR(__xludf.DUMMYFUNCTION("IFERROR(sum(FILTER($D:$N,$C:$C = $C1178,$A:$A &lt; $A1178,$B:$B = 12)),0) + sum($D1178:$N1178)"),763908.0299999999)</f>
        <v>763908.03</v>
      </c>
      <c r="Q1178" s="92">
        <f t="shared" si="1"/>
        <v>0.9700000001</v>
      </c>
      <c r="R1178" s="91">
        <f t="array" ref="R1178">IFERROR(INDEX('Fund YTD Target Values'!$1:$1000, MATCH($C1178,'Fund YTD Target Values'!$A:$A,0), MATCH($A1178,'Fund YTD Target Values'!$1:$1,0)),0)</f>
        <v>702514.9803</v>
      </c>
      <c r="S1178" s="91">
        <f>IFERROR(__xludf.DUMMYFUNCTION("IFERROR(sum(FILTER('Fund Investment Data'!$V:$V, 'Fund Investment Data'!$C:$C = $C1178, 'Fund Investment Data'!$A:$A &lt; $A1178)),0) + IFERROR(sum(FILTER('Fund Investment Data'!$V:$V, 'Fund Investment Data'!$C:$C = $C1178, 'Fund Investment Data'!$A:$A = $A1"&amp;"178, 'Fund Investment Data'!$B:$B &lt;= $B1178)),0)"),556601.64)</f>
        <v>556601.64</v>
      </c>
      <c r="T1178" s="93">
        <v>558656.0</v>
      </c>
      <c r="U1178" s="32">
        <f t="shared" si="18"/>
        <v>-2054.36</v>
      </c>
      <c r="V1178" s="32">
        <f>IFERROR(__xludf.DUMMYFUNCTION("$D1178 - IFERROR(FILTER($D:$D,$C:$C = $C1178, $A:$A = $A1178, $B:$B = $B1178 - 1),0)"),0.0)</f>
        <v>0</v>
      </c>
      <c r="W1178" s="93">
        <f>IFERROR(__xludf.DUMMYFUNCTION("$E1178 - IFERROR(FILTER($E:$E,$C:$C = $C1178, $A:$A = $A1178, $B:$B = $B1178 - 1),0)"),-12760.5)</f>
        <v>-12760.5</v>
      </c>
      <c r="X1178" s="93"/>
      <c r="Y1178" s="93"/>
      <c r="Z1178" s="93">
        <v>0.0</v>
      </c>
      <c r="AA1178" s="93">
        <v>0.0</v>
      </c>
      <c r="AB1178" s="93">
        <v>0.0</v>
      </c>
      <c r="AC1178" s="93"/>
      <c r="AD1178" s="93">
        <v>0.0</v>
      </c>
      <c r="AE1178" s="32">
        <f t="shared" si="2"/>
        <v>-32760.5</v>
      </c>
      <c r="AF1178" s="93">
        <v>0.0</v>
      </c>
    </row>
    <row r="1179">
      <c r="A1179" s="86">
        <v>2018.0</v>
      </c>
      <c r="B1179" s="87">
        <v>11.0</v>
      </c>
      <c r="C1179" s="88" t="s">
        <v>30</v>
      </c>
      <c r="D1179" s="32"/>
      <c r="E1179" s="32"/>
      <c r="F1179" s="32"/>
      <c r="G1179" s="93">
        <v>-95.0</v>
      </c>
      <c r="H1179" s="93">
        <v>346.17</v>
      </c>
      <c r="I1179" s="32"/>
      <c r="J1179" s="93">
        <v>-660.48</v>
      </c>
      <c r="K1179" s="32"/>
      <c r="L1179" s="32"/>
      <c r="M1179" s="32"/>
      <c r="N1179" s="32"/>
      <c r="O1179" s="93">
        <v>16960.0</v>
      </c>
      <c r="P1179" s="91">
        <f>IFERROR(__xludf.DUMMYFUNCTION("IFERROR(sum(FILTER($D:$N,$C:$C = $C1179,$A:$A &lt; $A1179,$B:$B = 12)),0) + sum($D1179:$N1179)"),16958.099999999984)</f>
        <v>16958.1</v>
      </c>
      <c r="Q1179" s="92">
        <f t="shared" si="1"/>
        <v>1.9</v>
      </c>
      <c r="R1179" s="91">
        <f t="array" ref="R1179">IFERROR(INDEX('Fund YTD Target Values'!$1:$1000, MATCH($C1179,'Fund YTD Target Values'!$A:$A,0), MATCH($A1179,'Fund YTD Target Values'!$1:$1,0)),0)</f>
        <v>18484.57102</v>
      </c>
      <c r="S1179" s="91">
        <f>IFERROR(__xludf.DUMMYFUNCTION("IFERROR(sum(FILTER('Fund Investment Data'!$V:$V, 'Fund Investment Data'!$C:$C = $C1179, 'Fund Investment Data'!$A:$A &lt; $A1179)),0) + IFERROR(sum(FILTER('Fund Investment Data'!$V:$V, 'Fund Investment Data'!$C:$C = $C1179, 'Fund Investment Data'!$A:$A = $A1"&amp;"179, 'Fund Investment Data'!$B:$B &lt;= $B1179)),0)"),11540.75)</f>
        <v>11540.75</v>
      </c>
      <c r="T1179" s="93">
        <v>10000.0</v>
      </c>
      <c r="U1179" s="32">
        <f t="shared" si="18"/>
        <v>1540.75</v>
      </c>
      <c r="V1179" s="32">
        <f>IFERROR(__xludf.DUMMYFUNCTION("$D1179 - IFERROR(FILTER($D:$D,$C:$C = $C1179, $A:$A = $A1179, $B:$B = $B1179 - 1),0)"),0.0)</f>
        <v>0</v>
      </c>
      <c r="W1179" s="93">
        <f>IFERROR(__xludf.DUMMYFUNCTION("$E1179 - IFERROR(FILTER($E:$E,$C:$C = $C1179, $A:$A = $A1179, $B:$B = $B1179 - 1),0)"),0.0)</f>
        <v>0</v>
      </c>
      <c r="X1179" s="93"/>
      <c r="Y1179" s="93"/>
      <c r="Z1179" s="93">
        <v>0.0</v>
      </c>
      <c r="AA1179" s="93">
        <v>0.0</v>
      </c>
      <c r="AB1179" s="93">
        <v>0.0</v>
      </c>
      <c r="AC1179" s="93"/>
      <c r="AD1179" s="93">
        <v>0.0</v>
      </c>
      <c r="AE1179" s="32">
        <f t="shared" si="2"/>
        <v>0</v>
      </c>
      <c r="AF1179" s="93">
        <v>0.0</v>
      </c>
    </row>
    <row r="1180">
      <c r="A1180" s="86">
        <v>2018.0</v>
      </c>
      <c r="B1180" s="87">
        <v>11.0</v>
      </c>
      <c r="C1180" s="88" t="s">
        <v>47</v>
      </c>
      <c r="D1180" s="32"/>
      <c r="E1180" s="93">
        <v>-71335.0</v>
      </c>
      <c r="F1180" s="32"/>
      <c r="G1180" s="93">
        <v>-8160.05</v>
      </c>
      <c r="H1180" s="93">
        <v>30196.25</v>
      </c>
      <c r="I1180" s="93">
        <v>16367.8</v>
      </c>
      <c r="J1180" s="93">
        <v>-72369.11</v>
      </c>
      <c r="K1180" s="32"/>
      <c r="L1180" s="32"/>
      <c r="M1180" s="32"/>
      <c r="N1180" s="32"/>
      <c r="O1180" s="93">
        <v>1408950.0</v>
      </c>
      <c r="P1180" s="91">
        <f>IFERROR(__xludf.DUMMYFUNCTION("IFERROR(sum(FILTER($D:$N,$C:$C = $C1180,$A:$A &lt; $A1180,$B:$B = 12)),0) + sum($D1180:$N1180)"),1408949.5299999996)</f>
        <v>1408949.53</v>
      </c>
      <c r="Q1180" s="92">
        <f t="shared" si="1"/>
        <v>0.4700000004</v>
      </c>
      <c r="R1180" s="91">
        <f t="array" ref="R1180">IFERROR(INDEX('Fund YTD Target Values'!$1:$1000, MATCH($C1180,'Fund YTD Target Values'!$A:$A,0), MATCH($A1180,'Fund YTD Target Values'!$1:$1,0)),0)</f>
        <v>1998729.212</v>
      </c>
      <c r="S1180" s="91">
        <f>IFERROR(__xludf.DUMMYFUNCTION("IFERROR(sum(FILTER('Fund Investment Data'!$V:$V, 'Fund Investment Data'!$C:$C = $C1180, 'Fund Investment Data'!$A:$A &lt; $A1180)),0) + IFERROR(sum(FILTER('Fund Investment Data'!$V:$V, 'Fund Investment Data'!$C:$C = $C1180, 'Fund Investment Data'!$A:$A = $A1"&amp;"180, 'Fund Investment Data'!$B:$B &lt;= $B1180)),0)"),1456367.46)</f>
        <v>1456367.46</v>
      </c>
      <c r="T1180" s="93">
        <v>1348955.0</v>
      </c>
      <c r="U1180" s="32">
        <f t="shared" si="18"/>
        <v>107412.46</v>
      </c>
      <c r="V1180" s="32">
        <f>IFERROR(__xludf.DUMMYFUNCTION("$D1180 - IFERROR(FILTER($D:$D,$C:$C = $C1180, $A:$A = $A1180, $B:$B = $B1180 - 1),0)"),0.0)</f>
        <v>0</v>
      </c>
      <c r="W1180" s="93">
        <f>IFERROR(__xludf.DUMMYFUNCTION("$E1180 - IFERROR(FILTER($E:$E,$C:$C = $C1180, $A:$A = $A1180, $B:$B = $B1180 - 1),0)"),-4335.0)</f>
        <v>-4335</v>
      </c>
      <c r="X1180" s="93"/>
      <c r="Y1180" s="93"/>
      <c r="Z1180" s="93">
        <v>0.0</v>
      </c>
      <c r="AA1180" s="93">
        <v>0.0</v>
      </c>
      <c r="AB1180" s="93">
        <v>0.0</v>
      </c>
      <c r="AC1180" s="93"/>
      <c r="AD1180" s="93">
        <v>0.0</v>
      </c>
      <c r="AE1180" s="32">
        <f t="shared" si="2"/>
        <v>-71335</v>
      </c>
      <c r="AF1180" s="93">
        <v>0.0</v>
      </c>
    </row>
    <row r="1181">
      <c r="A1181" s="86">
        <v>2018.0</v>
      </c>
      <c r="B1181" s="87">
        <v>11.0</v>
      </c>
      <c r="C1181" s="88" t="s">
        <v>31</v>
      </c>
      <c r="D1181" s="32"/>
      <c r="E1181" s="93">
        <v>-9800.0</v>
      </c>
      <c r="F1181" s="32"/>
      <c r="G1181" s="93">
        <v>-1019.5</v>
      </c>
      <c r="H1181" s="93">
        <v>3772.61</v>
      </c>
      <c r="I1181" s="93">
        <v>2485.83</v>
      </c>
      <c r="J1181" s="93">
        <v>-9470.88</v>
      </c>
      <c r="K1181" s="32"/>
      <c r="L1181" s="32"/>
      <c r="M1181" s="32"/>
      <c r="N1181" s="32"/>
      <c r="O1181" s="93">
        <v>175227.0</v>
      </c>
      <c r="P1181" s="91">
        <f>IFERROR(__xludf.DUMMYFUNCTION("IFERROR(sum(FILTER($D:$N,$C:$C = $C1181,$A:$A &lt; $A1181,$B:$B = 12)),0) + sum($D1181:$N1181)"),175227.41000000003)</f>
        <v>175227.41</v>
      </c>
      <c r="Q1181" s="92">
        <f t="shared" si="1"/>
        <v>-0.41</v>
      </c>
      <c r="R1181" s="91">
        <f t="array" ref="R1181">IFERROR(INDEX('Fund YTD Target Values'!$1:$1000, MATCH($C1181,'Fund YTD Target Values'!$A:$A,0), MATCH($A1181,'Fund YTD Target Values'!$1:$1,0)),0)</f>
        <v>210555.1651</v>
      </c>
      <c r="S1181" s="91">
        <f>IFERROR(__xludf.DUMMYFUNCTION("IFERROR(sum(FILTER('Fund Investment Data'!$V:$V, 'Fund Investment Data'!$C:$C = $C1181, 'Fund Investment Data'!$A:$A &lt; $A1181)),0) + IFERROR(sum(FILTER('Fund Investment Data'!$V:$V, 'Fund Investment Data'!$C:$C = $C1181, 'Fund Investment Data'!$A:$A = $A1"&amp;"181, 'Fund Investment Data'!$B:$B &lt;= $B1181)),0)"),158100.0)</f>
        <v>158100</v>
      </c>
      <c r="T1181" s="93">
        <v>156850.0</v>
      </c>
      <c r="U1181" s="32">
        <f t="shared" si="18"/>
        <v>1250</v>
      </c>
      <c r="V1181" s="32">
        <f>IFERROR(__xludf.DUMMYFUNCTION("$D1181 - IFERROR(FILTER($D:$D,$C:$C = $C1181, $A:$A = $A1181, $B:$B = $B1181 - 1),0)"),0.0)</f>
        <v>0</v>
      </c>
      <c r="W1181" s="93">
        <f>IFERROR(__xludf.DUMMYFUNCTION("$E1181 - IFERROR(FILTER($E:$E,$C:$C = $C1181, $A:$A = $A1181, $B:$B = $B1181 - 1),0)"),0.0)</f>
        <v>0</v>
      </c>
      <c r="X1181" s="93"/>
      <c r="Y1181" s="93"/>
      <c r="Z1181" s="93">
        <v>0.0</v>
      </c>
      <c r="AA1181" s="93">
        <v>0.0</v>
      </c>
      <c r="AB1181" s="93">
        <v>0.0</v>
      </c>
      <c r="AC1181" s="93"/>
      <c r="AD1181" s="93">
        <v>0.0</v>
      </c>
      <c r="AE1181" s="32">
        <f t="shared" si="2"/>
        <v>-9800</v>
      </c>
      <c r="AF1181" s="93">
        <v>0.0</v>
      </c>
    </row>
    <row r="1182">
      <c r="A1182" s="86">
        <v>2018.0</v>
      </c>
      <c r="B1182" s="87">
        <v>11.0</v>
      </c>
      <c r="C1182" s="88" t="s">
        <v>39</v>
      </c>
      <c r="D1182" s="93">
        <v>15000.0</v>
      </c>
      <c r="E1182" s="93">
        <v>-8338.0</v>
      </c>
      <c r="F1182" s="32"/>
      <c r="G1182" s="93">
        <v>-984.35</v>
      </c>
      <c r="H1182" s="93">
        <v>3510.67</v>
      </c>
      <c r="I1182" s="93">
        <v>787.64</v>
      </c>
      <c r="J1182" s="93">
        <v>-8921.75</v>
      </c>
      <c r="K1182" s="32"/>
      <c r="L1182" s="32"/>
      <c r="M1182" s="32"/>
      <c r="N1182" s="32"/>
      <c r="O1182" s="93">
        <v>180777.0</v>
      </c>
      <c r="P1182" s="91">
        <f>IFERROR(__xludf.DUMMYFUNCTION("IFERROR(sum(FILTER($D:$N,$C:$C = $C1182,$A:$A &lt; $A1182,$B:$B = 12)),0) + sum($D1182:$N1182)"),180777.47000000003)</f>
        <v>180777.47</v>
      </c>
      <c r="Q1182" s="92">
        <f t="shared" si="1"/>
        <v>-0.47</v>
      </c>
      <c r="R1182" s="91">
        <f t="array" ref="R1182">IFERROR(INDEX('Fund YTD Target Values'!$1:$1000, MATCH($C1182,'Fund YTD Target Values'!$A:$A,0), MATCH($A1182,'Fund YTD Target Values'!$1:$1,0)),0)</f>
        <v>184883.5181</v>
      </c>
      <c r="S1182" s="91">
        <f>IFERROR(__xludf.DUMMYFUNCTION("IFERROR(sum(FILTER('Fund Investment Data'!$V:$V, 'Fund Investment Data'!$C:$C = $C1182, 'Fund Investment Data'!$A:$A &lt; $A1182)),0) + IFERROR(sum(FILTER('Fund Investment Data'!$V:$V, 'Fund Investment Data'!$C:$C = $C1182, 'Fund Investment Data'!$A:$A = $A1"&amp;"182, 'Fund Investment Data'!$B:$B &lt;= $B1182)),0)"),170000.0)</f>
        <v>170000</v>
      </c>
      <c r="T1182" s="32"/>
      <c r="U1182" s="32"/>
      <c r="V1182" s="32">
        <f>IFERROR(__xludf.DUMMYFUNCTION("$D1182 - IFERROR(FILTER($D:$D,$C:$C = $C1182, $A:$A = $A1182, $B:$B = $B1182 - 1),0)"),0.0)</f>
        <v>0</v>
      </c>
      <c r="W1182" s="93">
        <f>IFERROR(__xludf.DUMMYFUNCTION("$E1182 - IFERROR(FILTER($E:$E,$C:$C = $C1182, $A:$A = $A1182, $B:$B = $B1182 - 1),0)"),-338.0)</f>
        <v>-338</v>
      </c>
      <c r="X1182" s="93"/>
      <c r="Y1182" s="93"/>
      <c r="Z1182" s="93">
        <v>0.0</v>
      </c>
      <c r="AA1182" s="93">
        <v>0.0</v>
      </c>
      <c r="AB1182" s="93">
        <v>0.0</v>
      </c>
      <c r="AC1182" s="93"/>
      <c r="AD1182" s="93">
        <v>0.0</v>
      </c>
      <c r="AE1182" s="32">
        <f t="shared" si="2"/>
        <v>-8338</v>
      </c>
      <c r="AF1182" s="93">
        <v>0.0</v>
      </c>
    </row>
    <row r="1183">
      <c r="A1183" s="86">
        <v>2018.0</v>
      </c>
      <c r="B1183" s="87">
        <v>11.0</v>
      </c>
      <c r="C1183" s="88" t="s">
        <v>50</v>
      </c>
      <c r="D1183" s="32"/>
      <c r="E1183" s="93">
        <v>-10000.0</v>
      </c>
      <c r="F1183" s="32"/>
      <c r="G1183" s="93">
        <v>-1162.32</v>
      </c>
      <c r="H1183" s="93">
        <v>4233.99</v>
      </c>
      <c r="I1183" s="93">
        <v>849.45</v>
      </c>
      <c r="J1183" s="93">
        <v>-8804.25</v>
      </c>
      <c r="K1183" s="32"/>
      <c r="L1183" s="32"/>
      <c r="M1183" s="32"/>
      <c r="N1183" s="32"/>
      <c r="O1183" s="93">
        <v>200582.0</v>
      </c>
      <c r="P1183" s="91">
        <f>IFERROR(__xludf.DUMMYFUNCTION("IFERROR(sum(FILTER($D:$N,$C:$C = $C1183,$A:$A &lt; $A1183,$B:$B = 12)),0) + sum($D1183:$N1183)"),200580.97999999998)</f>
        <v>200580.98</v>
      </c>
      <c r="Q1183" s="92">
        <f t="shared" si="1"/>
        <v>1.02</v>
      </c>
      <c r="R1183" s="91">
        <f t="array" ref="R1183">IFERROR(INDEX('Fund YTD Target Values'!$1:$1000, MATCH($C1183,'Fund YTD Target Values'!$A:$A,0), MATCH($A1183,'Fund YTD Target Values'!$1:$1,0)),0)</f>
        <v>217663.6749</v>
      </c>
      <c r="S1183" s="91">
        <f>IFERROR(__xludf.DUMMYFUNCTION("IFERROR(sum(FILTER('Fund Investment Data'!$V:$V, 'Fund Investment Data'!$C:$C = $C1183, 'Fund Investment Data'!$A:$A &lt; $A1183)),0) + IFERROR(sum(FILTER('Fund Investment Data'!$V:$V, 'Fund Investment Data'!$C:$C = $C1183, 'Fund Investment Data'!$A:$A = $A1"&amp;"183, 'Fund Investment Data'!$B:$B &lt;= $B1183)),0)"),185189.56)</f>
        <v>185189.56</v>
      </c>
      <c r="T1183" s="93">
        <v>190241.0</v>
      </c>
      <c r="U1183" s="32">
        <f t="shared" ref="U1183:U1185" si="19">S1183-T1183</f>
        <v>-5051.44</v>
      </c>
      <c r="V1183" s="32">
        <f>IFERROR(__xludf.DUMMYFUNCTION("$D1183 - IFERROR(FILTER($D:$D,$C:$C = $C1183, $A:$A = $A1183, $B:$B = $B1183 - 1),0)"),0.0)</f>
        <v>0</v>
      </c>
      <c r="W1183" s="93">
        <f>IFERROR(__xludf.DUMMYFUNCTION("$E1183 - IFERROR(FILTER($E:$E,$C:$C = $C1183, $A:$A = $A1183, $B:$B = $B1183 - 1),0)"),0.0)</f>
        <v>0</v>
      </c>
      <c r="X1183" s="93"/>
      <c r="Y1183" s="93"/>
      <c r="Z1183" s="93">
        <v>0.0</v>
      </c>
      <c r="AA1183" s="93">
        <v>0.0</v>
      </c>
      <c r="AB1183" s="93">
        <v>0.0</v>
      </c>
      <c r="AC1183" s="93"/>
      <c r="AD1183" s="93">
        <v>0.0</v>
      </c>
      <c r="AE1183" s="32">
        <f t="shared" si="2"/>
        <v>-10000</v>
      </c>
      <c r="AF1183" s="93">
        <v>0.0</v>
      </c>
    </row>
    <row r="1184">
      <c r="A1184" s="86">
        <v>2018.0</v>
      </c>
      <c r="B1184" s="87">
        <v>11.0</v>
      </c>
      <c r="C1184" s="88" t="s">
        <v>32</v>
      </c>
      <c r="D1184" s="32"/>
      <c r="E1184" s="93">
        <v>-2000.0</v>
      </c>
      <c r="F1184" s="32"/>
      <c r="G1184" s="93">
        <v>-289.36</v>
      </c>
      <c r="H1184" s="93">
        <v>1059.75</v>
      </c>
      <c r="I1184" s="93">
        <v>135.67</v>
      </c>
      <c r="J1184" s="93">
        <v>-2127.44</v>
      </c>
      <c r="K1184" s="32"/>
      <c r="L1184" s="32"/>
      <c r="M1184" s="32"/>
      <c r="N1184" s="32"/>
      <c r="O1184" s="93">
        <v>50210.0</v>
      </c>
      <c r="P1184" s="91">
        <f>IFERROR(__xludf.DUMMYFUNCTION("IFERROR(sum(FILTER($D:$N,$C:$C = $C1184,$A:$A &lt; $A1184,$B:$B = 12)),0) + sum($D1184:$N1184)"),50209.44000000003)</f>
        <v>50209.44</v>
      </c>
      <c r="Q1184" s="92">
        <f t="shared" si="1"/>
        <v>0.56</v>
      </c>
      <c r="R1184" s="91">
        <f t="array" ref="R1184">IFERROR(INDEX('Fund YTD Target Values'!$1:$1000, MATCH($C1184,'Fund YTD Target Values'!$A:$A,0), MATCH($A1184,'Fund YTD Target Values'!$1:$1,0)),0)</f>
        <v>79179.11465</v>
      </c>
      <c r="S1184" s="91">
        <f>IFERROR(__xludf.DUMMYFUNCTION("IFERROR(sum(FILTER('Fund Investment Data'!$V:$V, 'Fund Investment Data'!$C:$C = $C1184, 'Fund Investment Data'!$A:$A &lt; $A1184)),0) + IFERROR(sum(FILTER('Fund Investment Data'!$V:$V, 'Fund Investment Data'!$C:$C = $C1184, 'Fund Investment Data'!$A:$A = $A1"&amp;"184, 'Fund Investment Data'!$B:$B &lt;= $B1184)),0)"),49449.04)</f>
        <v>49449.04</v>
      </c>
      <c r="T1184" s="93">
        <v>39268.0</v>
      </c>
      <c r="U1184" s="32">
        <f t="shared" si="19"/>
        <v>10181.04</v>
      </c>
      <c r="V1184" s="32">
        <f>IFERROR(__xludf.DUMMYFUNCTION("$D1184 - IFERROR(FILTER($D:$D,$C:$C = $C1184, $A:$A = $A1184, $B:$B = $B1184 - 1),0)"),0.0)</f>
        <v>0</v>
      </c>
      <c r="W1184" s="93">
        <f>IFERROR(__xludf.DUMMYFUNCTION("$E1184 - IFERROR(FILTER($E:$E,$C:$C = $C1184, $A:$A = $A1184, $B:$B = $B1184 - 1),0)"),0.0)</f>
        <v>0</v>
      </c>
      <c r="X1184" s="93"/>
      <c r="Y1184" s="93"/>
      <c r="Z1184" s="93">
        <v>0.0</v>
      </c>
      <c r="AA1184" s="93">
        <v>0.0</v>
      </c>
      <c r="AB1184" s="93">
        <v>0.0</v>
      </c>
      <c r="AC1184" s="93"/>
      <c r="AD1184" s="93">
        <v>0.0</v>
      </c>
      <c r="AE1184" s="32">
        <f t="shared" si="2"/>
        <v>-2000</v>
      </c>
      <c r="AF1184" s="93">
        <v>0.0</v>
      </c>
    </row>
    <row r="1185">
      <c r="A1185" s="86">
        <v>2018.0</v>
      </c>
      <c r="B1185" s="87">
        <v>11.0</v>
      </c>
      <c r="C1185" s="88" t="s">
        <v>40</v>
      </c>
      <c r="D1185" s="32"/>
      <c r="E1185" s="93">
        <v>-7000.0</v>
      </c>
      <c r="F1185" s="32"/>
      <c r="G1185" s="93">
        <v>-834.17</v>
      </c>
      <c r="H1185" s="93">
        <v>3084.76</v>
      </c>
      <c r="I1185" s="93">
        <v>1389.77</v>
      </c>
      <c r="J1185" s="93">
        <v>-7070.41</v>
      </c>
      <c r="K1185" s="32"/>
      <c r="L1185" s="32"/>
      <c r="M1185" s="32"/>
      <c r="N1185" s="32"/>
      <c r="O1185" s="93">
        <v>144383.0</v>
      </c>
      <c r="P1185" s="91">
        <f>IFERROR(__xludf.DUMMYFUNCTION("IFERROR(sum(FILTER($D:$N,$C:$C = $C1185,$A:$A &lt; $A1185,$B:$B = 12)),0) + sum($D1185:$N1185)"),144382.65999999995)</f>
        <v>144382.66</v>
      </c>
      <c r="Q1185" s="92">
        <f t="shared" si="1"/>
        <v>0.3400000001</v>
      </c>
      <c r="R1185" s="91">
        <f t="array" ref="R1185">IFERROR(INDEX('Fund YTD Target Values'!$1:$1000, MATCH($C1185,'Fund YTD Target Values'!$A:$A,0), MATCH($A1185,'Fund YTD Target Values'!$1:$1,0)),0)</f>
        <v>161362.9699</v>
      </c>
      <c r="S1185" s="91">
        <f>IFERROR(__xludf.DUMMYFUNCTION("IFERROR(sum(FILTER('Fund Investment Data'!$V:$V, 'Fund Investment Data'!$C:$C = $C1185, 'Fund Investment Data'!$A:$A &lt; $A1185)),0) + IFERROR(sum(FILTER('Fund Investment Data'!$V:$V, 'Fund Investment Data'!$C:$C = $C1185, 'Fund Investment Data'!$A:$A = $A1"&amp;"185, 'Fund Investment Data'!$B:$B &lt;= $B1185)),0)"),129703.74)</f>
        <v>129703.74</v>
      </c>
      <c r="T1185" s="93">
        <v>129723.0</v>
      </c>
      <c r="U1185" s="32">
        <f t="shared" si="19"/>
        <v>-19.26</v>
      </c>
      <c r="V1185" s="32">
        <f>IFERROR(__xludf.DUMMYFUNCTION("$D1185 - IFERROR(FILTER($D:$D,$C:$C = $C1185, $A:$A = $A1185, $B:$B = $B1185 - 1),0)"),0.0)</f>
        <v>0</v>
      </c>
      <c r="W1185" s="93">
        <f>IFERROR(__xludf.DUMMYFUNCTION("$E1185 - IFERROR(FILTER($E:$E,$C:$C = $C1185, $A:$A = $A1185, $B:$B = $B1185 - 1),0)"),0.0)</f>
        <v>0</v>
      </c>
      <c r="X1185" s="93"/>
      <c r="Y1185" s="93"/>
      <c r="Z1185" s="93">
        <v>0.0</v>
      </c>
      <c r="AA1185" s="93">
        <v>0.0</v>
      </c>
      <c r="AB1185" s="93">
        <v>0.0</v>
      </c>
      <c r="AC1185" s="93"/>
      <c r="AD1185" s="93">
        <v>0.0</v>
      </c>
      <c r="AE1185" s="32">
        <f t="shared" si="2"/>
        <v>-7000</v>
      </c>
      <c r="AF1185" s="93">
        <v>0.0</v>
      </c>
    </row>
    <row r="1186">
      <c r="A1186" s="86">
        <v>2018.0</v>
      </c>
      <c r="B1186" s="87">
        <v>11.0</v>
      </c>
      <c r="C1186" s="88" t="s">
        <v>51</v>
      </c>
      <c r="D1186" s="93">
        <v>2650.0</v>
      </c>
      <c r="E1186" s="93">
        <v>-25143.0</v>
      </c>
      <c r="F1186" s="32"/>
      <c r="G1186" s="93">
        <v>-2611.36</v>
      </c>
      <c r="H1186" s="93">
        <v>9623.17</v>
      </c>
      <c r="I1186" s="93">
        <v>1507.92</v>
      </c>
      <c r="J1186" s="93">
        <v>-19223.67</v>
      </c>
      <c r="K1186" s="32"/>
      <c r="L1186" s="32"/>
      <c r="M1186" s="32"/>
      <c r="N1186" s="32"/>
      <c r="O1186" s="93">
        <v>452155.0</v>
      </c>
      <c r="P1186" s="91">
        <f>IFERROR(__xludf.DUMMYFUNCTION("IFERROR(sum(FILTER($D:$N,$C:$C = $C1186,$A:$A &lt; $A1186,$B:$B = 12)),0) + sum($D1186:$N1186)"),452154.99000000005)</f>
        <v>452154.99</v>
      </c>
      <c r="Q1186" s="92">
        <f t="shared" si="1"/>
        <v>0.009999999951</v>
      </c>
      <c r="R1186" s="91">
        <f t="array" ref="R1186">IFERROR(INDEX('Fund YTD Target Values'!$1:$1000, MATCH($C1186,'Fund YTD Target Values'!$A:$A,0), MATCH($A1186,'Fund YTD Target Values'!$1:$1,0)),0)</f>
        <v>451180.3592</v>
      </c>
      <c r="S1186" s="91">
        <f>IFERROR(__xludf.DUMMYFUNCTION("IFERROR(sum(FILTER('Fund Investment Data'!$V:$V, 'Fund Investment Data'!$C:$C = $C1186, 'Fund Investment Data'!$A:$A &lt; $A1186)),0) + IFERROR(sum(FILTER('Fund Investment Data'!$V:$V, 'Fund Investment Data'!$C:$C = $C1186, 'Fund Investment Data'!$A:$A = $A1"&amp;"186, 'Fund Investment Data'!$B:$B &lt;= $B1186)),0)"),419073.55)</f>
        <v>419073.55</v>
      </c>
      <c r="T1186" s="32"/>
      <c r="U1186" s="32"/>
      <c r="V1186" s="32">
        <f>IFERROR(__xludf.DUMMYFUNCTION("$D1186 - IFERROR(FILTER($D:$D,$C:$C = $C1186, $A:$A = $A1186, $B:$B = $B1186 - 1),0)"),0.0)</f>
        <v>0</v>
      </c>
      <c r="W1186" s="93">
        <f>IFERROR(__xludf.DUMMYFUNCTION("$E1186 - IFERROR(FILTER($E:$E,$C:$C = $C1186, $A:$A = $A1186, $B:$B = $B1186 - 1),0)"),-143.0)</f>
        <v>-143</v>
      </c>
      <c r="X1186" s="93"/>
      <c r="Y1186" s="93"/>
      <c r="Z1186" s="93">
        <v>0.0</v>
      </c>
      <c r="AA1186" s="93">
        <v>0.0</v>
      </c>
      <c r="AB1186" s="93">
        <v>0.0</v>
      </c>
      <c r="AC1186" s="93"/>
      <c r="AD1186" s="93">
        <v>0.0</v>
      </c>
      <c r="AE1186" s="32">
        <f t="shared" si="2"/>
        <v>-25143</v>
      </c>
      <c r="AF1186" s="93">
        <v>0.0</v>
      </c>
    </row>
    <row r="1187">
      <c r="A1187" s="86">
        <v>2018.0</v>
      </c>
      <c r="B1187" s="87">
        <v>11.0</v>
      </c>
      <c r="C1187" s="88" t="s">
        <v>48</v>
      </c>
      <c r="D1187" s="32"/>
      <c r="E1187" s="93">
        <v>-63750.0</v>
      </c>
      <c r="F1187" s="32"/>
      <c r="G1187" s="93">
        <v>-6719.12</v>
      </c>
      <c r="H1187" s="93">
        <v>24870.56</v>
      </c>
      <c r="I1187" s="93">
        <v>15034.67</v>
      </c>
      <c r="J1187" s="93">
        <v>-61080.68</v>
      </c>
      <c r="K1187" s="32"/>
      <c r="L1187" s="32"/>
      <c r="M1187" s="32"/>
      <c r="N1187" s="32"/>
      <c r="O1187" s="93">
        <v>1156998.0</v>
      </c>
      <c r="P1187" s="91">
        <f>IFERROR(__xludf.DUMMYFUNCTION("IFERROR(sum(FILTER($D:$N,$C:$C = $C1187,$A:$A &lt; $A1187,$B:$B = 12)),0) + sum($D1187:$N1187)"),1156997.0999999996)</f>
        <v>1156997.1</v>
      </c>
      <c r="Q1187" s="92">
        <f t="shared" si="1"/>
        <v>0.9000000004</v>
      </c>
      <c r="R1187" s="91">
        <f t="array" ref="R1187">IFERROR(INDEX('Fund YTD Target Values'!$1:$1000, MATCH($C1187,'Fund YTD Target Values'!$A:$A,0), MATCH($A1187,'Fund YTD Target Values'!$1:$1,0)),0)</f>
        <v>1896274.236</v>
      </c>
      <c r="S1187" s="91">
        <f>IFERROR(__xludf.DUMMYFUNCTION("IFERROR(sum(FILTER('Fund Investment Data'!$V:$V, 'Fund Investment Data'!$C:$C = $C1187, 'Fund Investment Data'!$A:$A &lt; $A1187)),0) + IFERROR(sum(FILTER('Fund Investment Data'!$V:$V, 'Fund Investment Data'!$C:$C = $C1187, 'Fund Investment Data'!$A:$A = $A1"&amp;"187, 'Fund Investment Data'!$B:$B &lt;= $B1187)),0)"),1183929.39)</f>
        <v>1183929.39</v>
      </c>
      <c r="T1187" s="93">
        <v>1140040.0</v>
      </c>
      <c r="U1187" s="32">
        <f t="shared" ref="U1187:U1192" si="20">S1187-T1187</f>
        <v>43889.39</v>
      </c>
      <c r="V1187" s="32">
        <f>IFERROR(__xludf.DUMMYFUNCTION("$D1187 - IFERROR(FILTER($D:$D,$C:$C = $C1187, $A:$A = $A1187, $B:$B = $B1187 - 1),0)"),0.0)</f>
        <v>0</v>
      </c>
      <c r="W1187" s="93">
        <f>IFERROR(__xludf.DUMMYFUNCTION("$E1187 - IFERROR(FILTER($E:$E,$C:$C = $C1187, $A:$A = $A1187, $B:$B = $B1187 - 1),0)"),-3750.0)</f>
        <v>-3750</v>
      </c>
      <c r="X1187" s="93"/>
      <c r="Y1187" s="93"/>
      <c r="Z1187" s="93">
        <v>0.0</v>
      </c>
      <c r="AA1187" s="93">
        <v>0.0</v>
      </c>
      <c r="AB1187" s="93">
        <v>0.0</v>
      </c>
      <c r="AC1187" s="93"/>
      <c r="AD1187" s="93">
        <v>0.0</v>
      </c>
      <c r="AE1187" s="32">
        <f t="shared" si="2"/>
        <v>-63750</v>
      </c>
      <c r="AF1187" s="93">
        <v>0.0</v>
      </c>
    </row>
    <row r="1188">
      <c r="A1188" s="86">
        <v>2018.0</v>
      </c>
      <c r="B1188" s="87">
        <v>11.0</v>
      </c>
      <c r="C1188" s="88" t="s">
        <v>49</v>
      </c>
      <c r="D1188" s="32"/>
      <c r="E1188" s="93">
        <v>-33750.0</v>
      </c>
      <c r="F1188" s="32"/>
      <c r="G1188" s="93">
        <v>-2937.3</v>
      </c>
      <c r="H1188" s="93">
        <v>10877.03</v>
      </c>
      <c r="I1188" s="93">
        <v>8588.94</v>
      </c>
      <c r="J1188" s="93">
        <v>-28596.52</v>
      </c>
      <c r="K1188" s="32"/>
      <c r="L1188" s="32"/>
      <c r="M1188" s="32"/>
      <c r="N1188" s="32"/>
      <c r="O1188" s="93">
        <v>501895.0</v>
      </c>
      <c r="P1188" s="91">
        <f>IFERROR(__xludf.DUMMYFUNCTION("IFERROR(sum(FILTER($D:$N,$C:$C = $C1188,$A:$A &lt; $A1188,$B:$B = 12)),0) + sum($D1188:$N1188)"),501895.2899999999)</f>
        <v>501895.29</v>
      </c>
      <c r="Q1188" s="92">
        <f t="shared" si="1"/>
        <v>-0.2899999999</v>
      </c>
      <c r="R1188" s="91">
        <f t="array" ref="R1188">IFERROR(INDEX('Fund YTD Target Values'!$1:$1000, MATCH($C1188,'Fund YTD Target Values'!$A:$A,0), MATCH($A1188,'Fund YTD Target Values'!$1:$1,0)),0)</f>
        <v>701383.2727</v>
      </c>
      <c r="S1188" s="91">
        <f>IFERROR(__xludf.DUMMYFUNCTION("IFERROR(sum(FILTER('Fund Investment Data'!$V:$V, 'Fund Investment Data'!$C:$C = $C1188, 'Fund Investment Data'!$A:$A &lt; $A1188)),0) + IFERROR(sum(FILTER('Fund Investment Data'!$V:$V, 'Fund Investment Data'!$C:$C = $C1188, 'Fund Investment Data'!$A:$A = $A1"&amp;"188, 'Fund Investment Data'!$B:$B &lt;= $B1188)),0)"),500000.0)</f>
        <v>500000</v>
      </c>
      <c r="T1188" s="93">
        <v>500000.0</v>
      </c>
      <c r="U1188" s="32">
        <f t="shared" si="20"/>
        <v>0</v>
      </c>
      <c r="V1188" s="32">
        <f>IFERROR(__xludf.DUMMYFUNCTION("$D1188 - IFERROR(FILTER($D:$D,$C:$C = $C1188, $A:$A = $A1188, $B:$B = $B1188 - 1),0)"),0.0)</f>
        <v>0</v>
      </c>
      <c r="W1188" s="93">
        <f>IFERROR(__xludf.DUMMYFUNCTION("$E1188 - IFERROR(FILTER($E:$E,$C:$C = $C1188, $A:$A = $A1188, $B:$B = $B1188 - 1),0)"),-3750.0)</f>
        <v>-3750</v>
      </c>
      <c r="X1188" s="93"/>
      <c r="Y1188" s="93"/>
      <c r="Z1188" s="93">
        <v>0.0</v>
      </c>
      <c r="AA1188" s="93">
        <v>0.0</v>
      </c>
      <c r="AB1188" s="93">
        <v>0.0</v>
      </c>
      <c r="AC1188" s="93"/>
      <c r="AD1188" s="93">
        <v>0.0</v>
      </c>
      <c r="AE1188" s="32">
        <f t="shared" si="2"/>
        <v>-33750</v>
      </c>
      <c r="AF1188" s="93">
        <v>0.0</v>
      </c>
    </row>
    <row r="1189">
      <c r="A1189" s="86">
        <v>2018.0</v>
      </c>
      <c r="B1189" s="87">
        <v>11.0</v>
      </c>
      <c r="C1189" s="88" t="s">
        <v>41</v>
      </c>
      <c r="D1189" s="32"/>
      <c r="E1189" s="93">
        <v>-21115.0</v>
      </c>
      <c r="F1189" s="32"/>
      <c r="G1189" s="93">
        <v>-3529.98</v>
      </c>
      <c r="H1189" s="93">
        <v>13054.12</v>
      </c>
      <c r="I1189" s="93">
        <v>4011.94</v>
      </c>
      <c r="J1189" s="93">
        <v>-28370.82</v>
      </c>
      <c r="K1189" s="32"/>
      <c r="L1189" s="32"/>
      <c r="M1189" s="32"/>
      <c r="N1189" s="32"/>
      <c r="O1189" s="93">
        <v>617169.0</v>
      </c>
      <c r="P1189" s="91">
        <f>IFERROR(__xludf.DUMMYFUNCTION("IFERROR(sum(FILTER($D:$N,$C:$C = $C1189,$A:$A &lt; $A1189,$B:$B = 12)),0) + sum($D1189:$N1189)"),617169.6100000001)</f>
        <v>617169.61</v>
      </c>
      <c r="Q1189" s="92">
        <f t="shared" si="1"/>
        <v>-0.6100000001</v>
      </c>
      <c r="R1189" s="91">
        <f t="array" ref="R1189">IFERROR(INDEX('Fund YTD Target Values'!$1:$1000, MATCH($C1189,'Fund YTD Target Values'!$A:$A,0), MATCH($A1189,'Fund YTD Target Values'!$1:$1,0)),0)</f>
        <v>587968.3276</v>
      </c>
      <c r="S1189" s="91">
        <f>IFERROR(__xludf.DUMMYFUNCTION("IFERROR(sum(FILTER('Fund Investment Data'!$V:$V, 'Fund Investment Data'!$C:$C = $C1189, 'Fund Investment Data'!$A:$A &lt; $A1189)),0) + IFERROR(sum(FILTER('Fund Investment Data'!$V:$V, 'Fund Investment Data'!$C:$C = $C1189, 'Fund Investment Data'!$A:$A = $A1"&amp;"189, 'Fund Investment Data'!$B:$B &lt;= $B1189)),0)"),433755.86)</f>
        <v>433755.86</v>
      </c>
      <c r="T1189" s="93">
        <v>434291.0</v>
      </c>
      <c r="U1189" s="32">
        <f t="shared" si="20"/>
        <v>-535.14</v>
      </c>
      <c r="V1189" s="32">
        <f>IFERROR(__xludf.DUMMYFUNCTION("$D1189 - IFERROR(FILTER($D:$D,$C:$C = $C1189, $A:$A = $A1189, $B:$B = $B1189 - 1),0)"),0.0)</f>
        <v>0</v>
      </c>
      <c r="W1189" s="93">
        <f>IFERROR(__xludf.DUMMYFUNCTION("$E1189 - IFERROR(FILTER($E:$E,$C:$C = $C1189, $A:$A = $A1189, $B:$B = $B1189 - 1),0)"),-1115.0)</f>
        <v>-1115</v>
      </c>
      <c r="X1189" s="93"/>
      <c r="Y1189" s="93"/>
      <c r="Z1189" s="93">
        <v>0.0</v>
      </c>
      <c r="AA1189" s="93">
        <v>0.0</v>
      </c>
      <c r="AB1189" s="93">
        <v>0.0</v>
      </c>
      <c r="AC1189" s="93"/>
      <c r="AD1189" s="93">
        <v>0.0</v>
      </c>
      <c r="AE1189" s="32">
        <f t="shared" si="2"/>
        <v>-21115</v>
      </c>
      <c r="AF1189" s="93">
        <v>0.0</v>
      </c>
    </row>
    <row r="1190">
      <c r="A1190" s="86">
        <v>2018.0</v>
      </c>
      <c r="B1190" s="87">
        <v>11.0</v>
      </c>
      <c r="C1190" s="88" t="s">
        <v>25</v>
      </c>
      <c r="D1190" s="32"/>
      <c r="E1190" s="93">
        <v>-20000.0</v>
      </c>
      <c r="F1190" s="32"/>
      <c r="G1190" s="93">
        <v>-523.57</v>
      </c>
      <c r="H1190" s="93">
        <v>1950.07</v>
      </c>
      <c r="I1190" s="93">
        <v>5612.55</v>
      </c>
      <c r="J1190" s="93">
        <v>-8915.57</v>
      </c>
      <c r="K1190" s="32"/>
      <c r="L1190" s="32"/>
      <c r="M1190" s="32"/>
      <c r="N1190" s="32"/>
      <c r="O1190" s="93">
        <v>79190.0</v>
      </c>
      <c r="P1190" s="91">
        <f>IFERROR(__xludf.DUMMYFUNCTION("IFERROR(sum(FILTER($D:$N,$C:$C = $C1190,$A:$A &lt; $A1190,$B:$B = 12)),0) + sum($D1190:$N1190)"),79189.81)</f>
        <v>79189.81</v>
      </c>
      <c r="Q1190" s="92">
        <f t="shared" si="1"/>
        <v>0.19</v>
      </c>
      <c r="R1190" s="91">
        <f t="array" ref="R1190">IFERROR(INDEX('Fund YTD Target Values'!$1:$1000, MATCH($C1190,'Fund YTD Target Values'!$A:$A,0), MATCH($A1190,'Fund YTD Target Values'!$1:$1,0)),0)</f>
        <v>109175.2469</v>
      </c>
      <c r="S1190" s="91">
        <f>IFERROR(__xludf.DUMMYFUNCTION("IFERROR(sum(FILTER('Fund Investment Data'!$V:$V, 'Fund Investment Data'!$C:$C = $C1190, 'Fund Investment Data'!$A:$A &lt; $A1190)),0) + IFERROR(sum(FILTER('Fund Investment Data'!$V:$V, 'Fund Investment Data'!$C:$C = $C1190, 'Fund Investment Data'!$A:$A = $A1"&amp;"190, 'Fund Investment Data'!$B:$B &lt;= $B1190)),0)"),81000.0)</f>
        <v>81000</v>
      </c>
      <c r="T1190" s="93">
        <v>81000.0</v>
      </c>
      <c r="U1190" s="32">
        <f t="shared" si="20"/>
        <v>0</v>
      </c>
      <c r="V1190" s="32">
        <f>IFERROR(__xludf.DUMMYFUNCTION("$D1190 - IFERROR(FILTER($D:$D,$C:$C = $C1190, $A:$A = $A1190, $B:$B = $B1190 - 1),0)"),0.0)</f>
        <v>0</v>
      </c>
      <c r="W1190" s="93">
        <f>IFERROR(__xludf.DUMMYFUNCTION("$E1190 - IFERROR(FILTER($E:$E,$C:$C = $C1190, $A:$A = $A1190, $B:$B = $B1190 - 1),0)"),0.0)</f>
        <v>0</v>
      </c>
      <c r="X1190" s="93"/>
      <c r="Y1190" s="93"/>
      <c r="Z1190" s="93">
        <v>0.0</v>
      </c>
      <c r="AA1190" s="93">
        <v>0.0</v>
      </c>
      <c r="AB1190" s="93">
        <v>0.0</v>
      </c>
      <c r="AC1190" s="93"/>
      <c r="AD1190" s="93">
        <v>0.0</v>
      </c>
      <c r="AE1190" s="32">
        <f t="shared" si="2"/>
        <v>-20000</v>
      </c>
      <c r="AF1190" s="93">
        <v>0.0</v>
      </c>
    </row>
    <row r="1191">
      <c r="A1191" s="86">
        <v>2018.0</v>
      </c>
      <c r="B1191" s="87">
        <v>11.0</v>
      </c>
      <c r="C1191" s="88" t="s">
        <v>42</v>
      </c>
      <c r="D1191" s="32"/>
      <c r="E1191" s="93">
        <v>-6000.0</v>
      </c>
      <c r="F1191" s="32"/>
      <c r="G1191" s="93">
        <v>-1632.47</v>
      </c>
      <c r="H1191" s="93">
        <v>6012.35</v>
      </c>
      <c r="I1191" s="32"/>
      <c r="J1191" s="93">
        <v>-11264.33</v>
      </c>
      <c r="K1191" s="32"/>
      <c r="L1191" s="32"/>
      <c r="M1191" s="32"/>
      <c r="N1191" s="32"/>
      <c r="O1191" s="93">
        <v>286564.0</v>
      </c>
      <c r="P1191" s="91">
        <f>IFERROR(__xludf.DUMMYFUNCTION("IFERROR(sum(FILTER($D:$N,$C:$C = $C1191,$A:$A &lt; $A1191,$B:$B = 12)),0) + sum($D1191:$N1191)"),286563.3100000001)</f>
        <v>286563.31</v>
      </c>
      <c r="Q1191" s="92">
        <f t="shared" si="1"/>
        <v>0.6899999999</v>
      </c>
      <c r="R1191" s="91">
        <f t="array" ref="R1191">IFERROR(INDEX('Fund YTD Target Values'!$1:$1000, MATCH($C1191,'Fund YTD Target Values'!$A:$A,0), MATCH($A1191,'Fund YTD Target Values'!$1:$1,0)),0)</f>
        <v>240185.7184</v>
      </c>
      <c r="S1191" s="91">
        <f>IFERROR(__xludf.DUMMYFUNCTION("IFERROR(sum(FILTER('Fund Investment Data'!$V:$V, 'Fund Investment Data'!$C:$C = $C1191, 'Fund Investment Data'!$A:$A &lt; $A1191)),0) + IFERROR(sum(FILTER('Fund Investment Data'!$V:$V, 'Fund Investment Data'!$C:$C = $C1191, 'Fund Investment Data'!$A:$A = $A1"&amp;"191, 'Fund Investment Data'!$B:$B &lt;= $B1191)),0)"),194469.0)</f>
        <v>194469</v>
      </c>
      <c r="T1191" s="93">
        <v>194469.0</v>
      </c>
      <c r="U1191" s="32">
        <f t="shared" si="20"/>
        <v>0</v>
      </c>
      <c r="V1191" s="32">
        <f>IFERROR(__xludf.DUMMYFUNCTION("$D1191 - IFERROR(FILTER($D:$D,$C:$C = $C1191, $A:$A = $A1191, $B:$B = $B1191 - 1),0)"),0.0)</f>
        <v>0</v>
      </c>
      <c r="W1191" s="93">
        <f>IFERROR(__xludf.DUMMYFUNCTION("$E1191 - IFERROR(FILTER($E:$E,$C:$C = $C1191, $A:$A = $A1191, $B:$B = $B1191 - 1),0)"),0.0)</f>
        <v>0</v>
      </c>
      <c r="X1191" s="93"/>
      <c r="Y1191" s="93"/>
      <c r="Z1191" s="93">
        <v>0.0</v>
      </c>
      <c r="AA1191" s="93">
        <v>0.0</v>
      </c>
      <c r="AB1191" s="93">
        <v>0.0</v>
      </c>
      <c r="AC1191" s="93"/>
      <c r="AD1191" s="93">
        <v>0.0</v>
      </c>
      <c r="AE1191" s="32">
        <f t="shared" si="2"/>
        <v>-6000</v>
      </c>
      <c r="AF1191" s="93">
        <v>0.0</v>
      </c>
    </row>
    <row r="1192">
      <c r="A1192" s="86">
        <v>2018.0</v>
      </c>
      <c r="B1192" s="87">
        <v>11.0</v>
      </c>
      <c r="C1192" s="88" t="s">
        <v>43</v>
      </c>
      <c r="D1192" s="32"/>
      <c r="E1192" s="93">
        <v>-6000.0</v>
      </c>
      <c r="F1192" s="32"/>
      <c r="G1192" s="93">
        <v>-677.73</v>
      </c>
      <c r="H1192" s="93">
        <v>2505.68</v>
      </c>
      <c r="I1192" s="93">
        <v>1482.8</v>
      </c>
      <c r="J1192" s="93">
        <v>-6109.32</v>
      </c>
      <c r="K1192" s="32"/>
      <c r="L1192" s="32"/>
      <c r="M1192" s="32"/>
      <c r="N1192" s="32"/>
      <c r="O1192" s="93">
        <v>116715.0</v>
      </c>
      <c r="P1192" s="91">
        <f>IFERROR(__xludf.DUMMYFUNCTION("IFERROR(sum(FILTER($D:$N,$C:$C = $C1192,$A:$A &lt; $A1192,$B:$B = 12)),0) + sum($D1192:$N1192)"),116713.98000000001)</f>
        <v>116713.98</v>
      </c>
      <c r="Q1192" s="92">
        <f t="shared" si="1"/>
        <v>1.02</v>
      </c>
      <c r="R1192" s="91">
        <f t="array" ref="R1192">IFERROR(INDEX('Fund YTD Target Values'!$1:$1000, MATCH($C1192,'Fund YTD Target Values'!$A:$A,0), MATCH($A1192,'Fund YTD Target Values'!$1:$1,0)),0)</f>
        <v>130697.0954</v>
      </c>
      <c r="S1192" s="91">
        <f>IFERROR(__xludf.DUMMYFUNCTION("IFERROR(sum(FILTER('Fund Investment Data'!$V:$V, 'Fund Investment Data'!$C:$C = $C1192, 'Fund Investment Data'!$A:$A &lt; $A1192)),0) + IFERROR(sum(FILTER('Fund Investment Data'!$V:$V, 'Fund Investment Data'!$C:$C = $C1192, 'Fund Investment Data'!$A:$A = $A1"&amp;"192, 'Fund Investment Data'!$B:$B &lt;= $B1192)),0)"),100000.0)</f>
        <v>100000</v>
      </c>
      <c r="T1192" s="93">
        <v>100000.0</v>
      </c>
      <c r="U1192" s="32">
        <f t="shared" si="20"/>
        <v>0</v>
      </c>
      <c r="V1192" s="32">
        <f>IFERROR(__xludf.DUMMYFUNCTION("$D1192 - IFERROR(FILTER($D:$D,$C:$C = $C1192, $A:$A = $A1192, $B:$B = $B1192 - 1),0)"),0.0)</f>
        <v>0</v>
      </c>
      <c r="W1192" s="93">
        <f>IFERROR(__xludf.DUMMYFUNCTION("$E1192 - IFERROR(FILTER($E:$E,$C:$C = $C1192, $A:$A = $A1192, $B:$B = $B1192 - 1),0)"),0.0)</f>
        <v>0</v>
      </c>
      <c r="X1192" s="93"/>
      <c r="Y1192" s="93"/>
      <c r="Z1192" s="93">
        <v>0.0</v>
      </c>
      <c r="AA1192" s="93">
        <v>0.0</v>
      </c>
      <c r="AB1192" s="93">
        <v>0.0</v>
      </c>
      <c r="AC1192" s="93"/>
      <c r="AD1192" s="93">
        <v>0.0</v>
      </c>
      <c r="AE1192" s="32">
        <f t="shared" si="2"/>
        <v>-6000</v>
      </c>
      <c r="AF1192" s="93">
        <v>0.0</v>
      </c>
    </row>
    <row r="1193">
      <c r="A1193" s="86">
        <v>2018.0</v>
      </c>
      <c r="B1193" s="87">
        <v>11.0</v>
      </c>
      <c r="C1193" s="88" t="s">
        <v>52</v>
      </c>
      <c r="D1193" s="93">
        <v>75000.0</v>
      </c>
      <c r="E1193" s="93">
        <v>-55979.0</v>
      </c>
      <c r="F1193" s="32"/>
      <c r="G1193" s="93">
        <v>-6868.24</v>
      </c>
      <c r="H1193" s="93">
        <v>24129.48</v>
      </c>
      <c r="I1193" s="93">
        <v>5363.5</v>
      </c>
      <c r="J1193" s="93">
        <v>-51002.57</v>
      </c>
      <c r="K1193" s="32"/>
      <c r="L1193" s="32"/>
      <c r="M1193" s="32"/>
      <c r="N1193" s="32"/>
      <c r="O1193" s="93">
        <v>1155100.0</v>
      </c>
      <c r="P1193" s="91">
        <f>IFERROR(__xludf.DUMMYFUNCTION("IFERROR(sum(FILTER($D:$N,$C:$C = $C1193,$A:$A &lt; $A1193,$B:$B = 12)),0) + sum($D1193:$N1193)"),1155099.2999999998)</f>
        <v>1155099.3</v>
      </c>
      <c r="Q1193" s="92">
        <f t="shared" si="1"/>
        <v>0.7000000002</v>
      </c>
      <c r="R1193" s="91">
        <f t="array" ref="R1193">IFERROR(INDEX('Fund YTD Target Values'!$1:$1000, MATCH($C1193,'Fund YTD Target Values'!$A:$A,0), MATCH($A1193,'Fund YTD Target Values'!$1:$1,0)),0)</f>
        <v>1148979.378</v>
      </c>
      <c r="S1193" s="91">
        <f>IFERROR(__xludf.DUMMYFUNCTION("IFERROR(sum(FILTER('Fund Investment Data'!$V:$V, 'Fund Investment Data'!$C:$C = $C1193, 'Fund Investment Data'!$A:$A &lt; $A1193)),0) + IFERROR(sum(FILTER('Fund Investment Data'!$V:$V, 'Fund Investment Data'!$C:$C = $C1193, 'Fund Investment Data'!$A:$A = $A1"&amp;"193, 'Fund Investment Data'!$B:$B &lt;= $B1193)),0)"),1080136.0)</f>
        <v>1080136</v>
      </c>
      <c r="T1193" s="32"/>
      <c r="U1193" s="32"/>
      <c r="V1193" s="32">
        <f>IFERROR(__xludf.DUMMYFUNCTION("$D1193 - IFERROR(FILTER($D:$D,$C:$C = $C1193, $A:$A = $A1193, $B:$B = $B1193 - 1),0)"),0.0)</f>
        <v>0</v>
      </c>
      <c r="W1193" s="93">
        <f>IFERROR(__xludf.DUMMYFUNCTION("$E1193 - IFERROR(FILTER($E:$E,$C:$C = $C1193, $A:$A = $A1193, $B:$B = $B1193 - 1),0)"),-979.0)</f>
        <v>-979</v>
      </c>
      <c r="X1193" s="93"/>
      <c r="Y1193" s="93"/>
      <c r="Z1193" s="93">
        <v>0.0</v>
      </c>
      <c r="AA1193" s="93">
        <v>0.0</v>
      </c>
      <c r="AB1193" s="93">
        <v>0.0</v>
      </c>
      <c r="AC1193" s="93"/>
      <c r="AD1193" s="93">
        <v>0.0</v>
      </c>
      <c r="AE1193" s="32">
        <f t="shared" si="2"/>
        <v>-55979</v>
      </c>
      <c r="AF1193" s="93">
        <v>0.0</v>
      </c>
    </row>
    <row r="1194">
      <c r="A1194" s="86">
        <v>2018.0</v>
      </c>
      <c r="B1194" s="87">
        <v>11.0</v>
      </c>
      <c r="C1194" s="88" t="s">
        <v>33</v>
      </c>
      <c r="D1194" s="32"/>
      <c r="E1194" s="93">
        <v>-18000.0</v>
      </c>
      <c r="F1194" s="32"/>
      <c r="G1194" s="93">
        <v>-1920.7</v>
      </c>
      <c r="H1194" s="93">
        <v>7107.61</v>
      </c>
      <c r="I1194" s="93">
        <v>4546.35</v>
      </c>
      <c r="J1194" s="93">
        <v>-17660.26</v>
      </c>
      <c r="K1194" s="32"/>
      <c r="L1194" s="32"/>
      <c r="M1194" s="32"/>
      <c r="N1194" s="32"/>
      <c r="O1194" s="93">
        <v>331150.0</v>
      </c>
      <c r="P1194" s="91">
        <f>IFERROR(__xludf.DUMMYFUNCTION("IFERROR(sum(FILTER($D:$N,$C:$C = $C1194,$A:$A &lt; $A1194,$B:$B = 12)),0) + sum($D1194:$N1194)"),331150.44999999984)</f>
        <v>331150.45</v>
      </c>
      <c r="Q1194" s="92">
        <f t="shared" si="1"/>
        <v>-0.4499999998</v>
      </c>
      <c r="R1194" s="91">
        <f t="array" ref="R1194">IFERROR(INDEX('Fund YTD Target Values'!$1:$1000, MATCH($C1194,'Fund YTD Target Values'!$A:$A,0), MATCH($A1194,'Fund YTD Target Values'!$1:$1,0)),0)</f>
        <v>512928.5668</v>
      </c>
      <c r="S1194" s="91">
        <f>IFERROR(__xludf.DUMMYFUNCTION("IFERROR(sum(FILTER('Fund Investment Data'!$V:$V, 'Fund Investment Data'!$C:$C = $C1194, 'Fund Investment Data'!$A:$A &lt; $A1194)),0) + IFERROR(sum(FILTER('Fund Investment Data'!$V:$V, 'Fund Investment Data'!$C:$C = $C1194, 'Fund Investment Data'!$A:$A = $A1"&amp;"194, 'Fund Investment Data'!$B:$B &lt;= $B1194)),0)"),325871.6399999999)</f>
        <v>325871.64</v>
      </c>
      <c r="T1194" s="93">
        <v>326032.0</v>
      </c>
      <c r="U1194" s="32">
        <f t="shared" ref="U1194:U1195" si="21">S1194-T1194</f>
        <v>-160.36</v>
      </c>
      <c r="V1194" s="32">
        <f>IFERROR(__xludf.DUMMYFUNCTION("$D1194 - IFERROR(FILTER($D:$D,$C:$C = $C1194, $A:$A = $A1194, $B:$B = $B1194 - 1),0)"),0.0)</f>
        <v>0</v>
      </c>
      <c r="W1194" s="93">
        <f>IFERROR(__xludf.DUMMYFUNCTION("$E1194 - IFERROR(FILTER($E:$E,$C:$C = $C1194, $A:$A = $A1194, $B:$B = $B1194 - 1),0)"),0.0)</f>
        <v>0</v>
      </c>
      <c r="X1194" s="93"/>
      <c r="Y1194" s="93"/>
      <c r="Z1194" s="93">
        <v>0.0</v>
      </c>
      <c r="AA1194" s="93">
        <v>0.0</v>
      </c>
      <c r="AB1194" s="93">
        <v>0.0</v>
      </c>
      <c r="AC1194" s="93"/>
      <c r="AD1194" s="93">
        <v>0.0</v>
      </c>
      <c r="AE1194" s="32">
        <f t="shared" si="2"/>
        <v>-18000</v>
      </c>
      <c r="AF1194" s="93">
        <v>0.0</v>
      </c>
    </row>
    <row r="1195">
      <c r="A1195" s="86">
        <v>2018.0</v>
      </c>
      <c r="B1195" s="87">
        <v>11.0</v>
      </c>
      <c r="C1195" s="88" t="s">
        <v>53</v>
      </c>
      <c r="D1195" s="32"/>
      <c r="E1195" s="93">
        <v>-105000.0</v>
      </c>
      <c r="F1195" s="32"/>
      <c r="G1195" s="93">
        <v>-12246.73</v>
      </c>
      <c r="H1195" s="93">
        <v>45323.17</v>
      </c>
      <c r="I1195" s="93">
        <v>10901.79</v>
      </c>
      <c r="J1195" s="93">
        <v>-94733.34</v>
      </c>
      <c r="K1195" s="32"/>
      <c r="L1195" s="32"/>
      <c r="M1195" s="32"/>
      <c r="N1195" s="32"/>
      <c r="O1195" s="93">
        <v>2119560.0</v>
      </c>
      <c r="P1195" s="91">
        <f>IFERROR(__xludf.DUMMYFUNCTION("IFERROR(sum(FILTER($D:$N,$C:$C = $C1195,$A:$A &lt; $A1195,$B:$B = 12)),0) + sum($D1195:$N1195)"),2119559.57)</f>
        <v>2119559.57</v>
      </c>
      <c r="Q1195" s="92">
        <f t="shared" si="1"/>
        <v>0.4300000002</v>
      </c>
      <c r="R1195" s="91">
        <f t="array" ref="R1195">IFERROR(INDEX('Fund YTD Target Values'!$1:$1000, MATCH($C1195,'Fund YTD Target Values'!$A:$A,0), MATCH($A1195,'Fund YTD Target Values'!$1:$1,0)),0)</f>
        <v>2224754.768</v>
      </c>
      <c r="S1195" s="91">
        <f>IFERROR(__xludf.DUMMYFUNCTION("IFERROR(sum(FILTER('Fund Investment Data'!$V:$V, 'Fund Investment Data'!$C:$C = $C1195, 'Fund Investment Data'!$A:$A &lt; $A1195)),0) + IFERROR(sum(FILTER('Fund Investment Data'!$V:$V, 'Fund Investment Data'!$C:$C = $C1195, 'Fund Investment Data'!$A:$A = $A1"&amp;"195, 'Fund Investment Data'!$B:$B &lt;= $B1195)),0)"),2005500.0)</f>
        <v>2005500</v>
      </c>
      <c r="T1195" s="93">
        <v>2005500.0</v>
      </c>
      <c r="U1195" s="32">
        <f t="shared" si="21"/>
        <v>0</v>
      </c>
      <c r="V1195" s="32">
        <f>IFERROR(__xludf.DUMMYFUNCTION("$D1195 - IFERROR(FILTER($D:$D,$C:$C = $C1195, $A:$A = $A1195, $B:$B = $B1195 - 1),0)"),0.0)</f>
        <v>0</v>
      </c>
      <c r="W1195" s="93">
        <f>IFERROR(__xludf.DUMMYFUNCTION("$E1195 - IFERROR(FILTER($E:$E,$C:$C = $C1195, $A:$A = $A1195, $B:$B = $B1195 - 1),0)"),0.0)</f>
        <v>0</v>
      </c>
      <c r="X1195" s="93"/>
      <c r="Y1195" s="93"/>
      <c r="Z1195" s="93">
        <v>0.0</v>
      </c>
      <c r="AA1195" s="93">
        <v>0.0</v>
      </c>
      <c r="AB1195" s="93">
        <v>0.0</v>
      </c>
      <c r="AC1195" s="93"/>
      <c r="AD1195" s="93">
        <v>0.0</v>
      </c>
      <c r="AE1195" s="32">
        <f t="shared" si="2"/>
        <v>-105000</v>
      </c>
      <c r="AF1195" s="93">
        <v>0.0</v>
      </c>
    </row>
    <row r="1196">
      <c r="A1196" s="86">
        <v>2018.0</v>
      </c>
      <c r="B1196" s="87">
        <v>11.0</v>
      </c>
      <c r="C1196" s="88" t="s">
        <v>34</v>
      </c>
      <c r="D1196" s="93">
        <v>5000.0</v>
      </c>
      <c r="E1196" s="93">
        <v>-7000.0</v>
      </c>
      <c r="F1196" s="32"/>
      <c r="G1196" s="93">
        <v>-780.49</v>
      </c>
      <c r="H1196" s="93">
        <v>2862.7</v>
      </c>
      <c r="I1196" s="93">
        <v>581.33</v>
      </c>
      <c r="J1196" s="93">
        <v>-5865.54</v>
      </c>
      <c r="K1196" s="32"/>
      <c r="L1196" s="32"/>
      <c r="M1196" s="32"/>
      <c r="N1196" s="32"/>
      <c r="O1196" s="93">
        <v>139086.0</v>
      </c>
      <c r="P1196" s="91">
        <f>IFERROR(__xludf.DUMMYFUNCTION("IFERROR(sum(FILTER($D:$N,$C:$C = $C1196,$A:$A &lt; $A1196,$B:$B = 12)),0) + sum($D1196:$N1196)"),139086.16)</f>
        <v>139086.16</v>
      </c>
      <c r="Q1196" s="92">
        <f t="shared" si="1"/>
        <v>-0.16</v>
      </c>
      <c r="R1196" s="91">
        <f t="array" ref="R1196">IFERROR(INDEX('Fund YTD Target Values'!$1:$1000, MATCH($C1196,'Fund YTD Target Values'!$A:$A,0), MATCH($A1196,'Fund YTD Target Values'!$1:$1,0)),0)</f>
        <v>135327.6594</v>
      </c>
      <c r="S1196" s="91">
        <f>IFERROR(__xludf.DUMMYFUNCTION("IFERROR(sum(FILTER('Fund Investment Data'!$V:$V, 'Fund Investment Data'!$C:$C = $C1196, 'Fund Investment Data'!$A:$A &lt; $A1196)),0) + IFERROR(sum(FILTER('Fund Investment Data'!$V:$V, 'Fund Investment Data'!$C:$C = $C1196, 'Fund Investment Data'!$A:$A = $A1"&amp;"196, 'Fund Investment Data'!$B:$B &lt;= $B1196)),0)"),125000.0)</f>
        <v>125000</v>
      </c>
      <c r="T1196" s="32"/>
      <c r="U1196" s="32"/>
      <c r="V1196" s="32">
        <f>IFERROR(__xludf.DUMMYFUNCTION("$D1196 - IFERROR(FILTER($D:$D,$C:$C = $C1196, $A:$A = $A1196, $B:$B = $B1196 - 1),0)"),0.0)</f>
        <v>0</v>
      </c>
      <c r="W1196" s="93">
        <f>IFERROR(__xludf.DUMMYFUNCTION("$E1196 - IFERROR(FILTER($E:$E,$C:$C = $C1196, $A:$A = $A1196, $B:$B = $B1196 - 1),0)"),0.0)</f>
        <v>0</v>
      </c>
      <c r="X1196" s="93"/>
      <c r="Y1196" s="93"/>
      <c r="Z1196" s="93">
        <v>0.0</v>
      </c>
      <c r="AA1196" s="93">
        <v>0.0</v>
      </c>
      <c r="AB1196" s="93">
        <v>0.0</v>
      </c>
      <c r="AC1196" s="93"/>
      <c r="AD1196" s="93">
        <v>0.0</v>
      </c>
      <c r="AE1196" s="32">
        <f t="shared" si="2"/>
        <v>-7000</v>
      </c>
      <c r="AF1196" s="93">
        <v>0.0</v>
      </c>
    </row>
    <row r="1197">
      <c r="A1197" s="86">
        <v>2018.0</v>
      </c>
      <c r="B1197" s="87">
        <v>11.0</v>
      </c>
      <c r="C1197" s="88" t="s">
        <v>54</v>
      </c>
      <c r="D1197" s="93">
        <v>35.0</v>
      </c>
      <c r="E1197" s="93">
        <v>-5000.0</v>
      </c>
      <c r="F1197" s="32"/>
      <c r="G1197" s="93">
        <v>-932.58</v>
      </c>
      <c r="H1197" s="93">
        <v>3399.11</v>
      </c>
      <c r="I1197" s="93">
        <v>416.36</v>
      </c>
      <c r="J1197" s="93">
        <v>-6859.38</v>
      </c>
      <c r="K1197" s="32"/>
      <c r="L1197" s="32"/>
      <c r="M1197" s="32"/>
      <c r="N1197" s="32"/>
      <c r="O1197" s="93">
        <v>163951.0</v>
      </c>
      <c r="P1197" s="91">
        <f>IFERROR(__xludf.DUMMYFUNCTION("IFERROR(sum(FILTER($D:$N,$C:$C = $C1197,$A:$A &lt; $A1197,$B:$B = 12)),0) + sum($D1197:$N1197)"),163951.47999999995)</f>
        <v>163951.48</v>
      </c>
      <c r="Q1197" s="92">
        <f t="shared" si="1"/>
        <v>-0.48</v>
      </c>
      <c r="R1197" s="91">
        <f t="array" ref="R1197">IFERROR(INDEX('Fund YTD Target Values'!$1:$1000, MATCH($C1197,'Fund YTD Target Values'!$A:$A,0), MATCH($A1197,'Fund YTD Target Values'!$1:$1,0)),0)</f>
        <v>155177.2706</v>
      </c>
      <c r="S1197" s="91">
        <f>IFERROR(__xludf.DUMMYFUNCTION("IFERROR(sum(FILTER('Fund Investment Data'!$V:$V, 'Fund Investment Data'!$C:$C = $C1197, 'Fund Investment Data'!$A:$A &lt; $A1197)),0) + IFERROR(sum(FILTER('Fund Investment Data'!$V:$V, 'Fund Investment Data'!$C:$C = $C1197, 'Fund Investment Data'!$A:$A = $A1"&amp;"197, 'Fund Investment Data'!$B:$B &lt;= $B1197)),0)"),112467.10999999999)</f>
        <v>112467.11</v>
      </c>
      <c r="T1197" s="32"/>
      <c r="U1197" s="32">
        <f>S1197-T1197</f>
        <v>112467.11</v>
      </c>
      <c r="V1197" s="32">
        <f>IFERROR(__xludf.DUMMYFUNCTION("$D1197 - IFERROR(FILTER($D:$D,$C:$C = $C1197, $A:$A = $A1197, $B:$B = $B1197 - 1),0)"),0.0)</f>
        <v>0</v>
      </c>
      <c r="W1197" s="93">
        <f>IFERROR(__xludf.DUMMYFUNCTION("$E1197 - IFERROR(FILTER($E:$E,$C:$C = $C1197, $A:$A = $A1197, $B:$B = $B1197 - 1),0)"),0.0)</f>
        <v>0</v>
      </c>
      <c r="X1197" s="93"/>
      <c r="Y1197" s="93"/>
      <c r="Z1197" s="93">
        <v>0.0</v>
      </c>
      <c r="AA1197" s="93">
        <v>0.0</v>
      </c>
      <c r="AB1197" s="93">
        <v>0.0</v>
      </c>
      <c r="AC1197" s="93"/>
      <c r="AD1197" s="93">
        <v>0.0</v>
      </c>
      <c r="AE1197" s="32">
        <f t="shared" si="2"/>
        <v>-5000</v>
      </c>
      <c r="AF1197" s="93">
        <v>0.0</v>
      </c>
    </row>
    <row r="1198">
      <c r="A1198" s="86">
        <v>2018.0</v>
      </c>
      <c r="B1198" s="87">
        <v>11.0</v>
      </c>
      <c r="C1198" s="88" t="s">
        <v>55</v>
      </c>
      <c r="D1198" s="93">
        <v>70000.0</v>
      </c>
      <c r="E1198" s="93">
        <v>-6575.0</v>
      </c>
      <c r="F1198" s="32"/>
      <c r="G1198" s="93">
        <v>-1593.19</v>
      </c>
      <c r="H1198" s="93">
        <v>4228.82</v>
      </c>
      <c r="I1198" s="93">
        <v>368.86</v>
      </c>
      <c r="J1198" s="93">
        <v>-11162.31</v>
      </c>
      <c r="K1198" s="32"/>
      <c r="L1198" s="32"/>
      <c r="M1198" s="32"/>
      <c r="N1198" s="32"/>
      <c r="O1198" s="93">
        <v>284332.0</v>
      </c>
      <c r="P1198" s="91">
        <f>IFERROR(__xludf.DUMMYFUNCTION("IFERROR(sum(FILTER($D:$N,$C:$C = $C1198,$A:$A &lt; $A1198,$B:$B = 12)),0) + sum($D1198:$N1198)"),284331.94)</f>
        <v>284331.94</v>
      </c>
      <c r="Q1198" s="92">
        <f t="shared" si="1"/>
        <v>0.06</v>
      </c>
      <c r="R1198" s="91">
        <f t="array" ref="R1198">IFERROR(INDEX('Fund YTD Target Values'!$1:$1000, MATCH($C1198,'Fund YTD Target Values'!$A:$A,0), MATCH($A1198,'Fund YTD Target Values'!$1:$1,0)),0)</f>
        <v>289110.9496</v>
      </c>
      <c r="S1198" s="91">
        <f>IFERROR(__xludf.DUMMYFUNCTION("IFERROR(sum(FILTER('Fund Investment Data'!$V:$V, 'Fund Investment Data'!$C:$C = $C1198, 'Fund Investment Data'!$A:$A &lt; $A1198)),0) + IFERROR(sum(FILTER('Fund Investment Data'!$V:$V, 'Fund Investment Data'!$C:$C = $C1198, 'Fund Investment Data'!$A:$A = $A1"&amp;"198, 'Fund Investment Data'!$B:$B &lt;= $B1198)),0)"),280000.0)</f>
        <v>280000</v>
      </c>
      <c r="T1198" s="32"/>
      <c r="U1198" s="32"/>
      <c r="V1198" s="32">
        <f>IFERROR(__xludf.DUMMYFUNCTION("$D1198 - IFERROR(FILTER($D:$D,$C:$C = $C1198, $A:$A = $A1198, $B:$B = $B1198 - 1),0)"),70000.0)</f>
        <v>70000</v>
      </c>
      <c r="W1198" s="93">
        <f>IFERROR(__xludf.DUMMYFUNCTION("$E1198 - IFERROR(FILTER($E:$E,$C:$C = $C1198, $A:$A = $A1198, $B:$B = $B1198 - 1),0)"),-1575.0)</f>
        <v>-1575</v>
      </c>
      <c r="X1198" s="93"/>
      <c r="Y1198" s="93"/>
      <c r="Z1198" s="93">
        <v>0.0</v>
      </c>
      <c r="AA1198" s="93">
        <v>0.0</v>
      </c>
      <c r="AB1198" s="93">
        <v>0.0</v>
      </c>
      <c r="AC1198" s="93"/>
      <c r="AD1198" s="93">
        <v>0.0</v>
      </c>
      <c r="AE1198" s="32">
        <f t="shared" si="2"/>
        <v>-6575</v>
      </c>
      <c r="AF1198" s="93">
        <v>0.0</v>
      </c>
    </row>
    <row r="1199">
      <c r="A1199" s="86">
        <v>2018.0</v>
      </c>
      <c r="B1199" s="87">
        <v>11.0</v>
      </c>
      <c r="C1199" s="88" t="s">
        <v>44</v>
      </c>
      <c r="D1199" s="32"/>
      <c r="E1199" s="93">
        <v>-15000.0</v>
      </c>
      <c r="F1199" s="32"/>
      <c r="G1199" s="93">
        <v>-1541.06</v>
      </c>
      <c r="H1199" s="93">
        <v>5703.2</v>
      </c>
      <c r="I1199" s="93">
        <v>3844.32</v>
      </c>
      <c r="J1199" s="93">
        <v>-14338.8</v>
      </c>
      <c r="K1199" s="32"/>
      <c r="L1199" s="32"/>
      <c r="M1199" s="32"/>
      <c r="N1199" s="32"/>
      <c r="O1199" s="93">
        <v>265303.0</v>
      </c>
      <c r="P1199" s="91">
        <f>IFERROR(__xludf.DUMMYFUNCTION("IFERROR(sum(FILTER($D:$N,$C:$C = $C1199,$A:$A &lt; $A1199,$B:$B = 12)),0) + sum($D1199:$N1199)"),265304.13000000006)</f>
        <v>265304.13</v>
      </c>
      <c r="Q1199" s="92">
        <f t="shared" si="1"/>
        <v>-1.13</v>
      </c>
      <c r="R1199" s="91">
        <f t="array" ref="R1199">IFERROR(INDEX('Fund YTD Target Values'!$1:$1000, MATCH($C1199,'Fund YTD Target Values'!$A:$A,0), MATCH($A1199,'Fund YTD Target Values'!$1:$1,0)),0)</f>
        <v>321586.5616</v>
      </c>
      <c r="S1199" s="91">
        <f>IFERROR(__xludf.DUMMYFUNCTION("IFERROR(sum(FILTER('Fund Investment Data'!$V:$V, 'Fund Investment Data'!$C:$C = $C1199, 'Fund Investment Data'!$A:$A &lt; $A1199)),0) + IFERROR(sum(FILTER('Fund Investment Data'!$V:$V, 'Fund Investment Data'!$C:$C = $C1199, 'Fund Investment Data'!$A:$A = $A1"&amp;"199, 'Fund Investment Data'!$B:$B &lt;= $B1199)),0)"),250000.0)</f>
        <v>250000</v>
      </c>
      <c r="T1199" s="93">
        <v>250000.0</v>
      </c>
      <c r="U1199" s="32">
        <f t="shared" ref="U1199:U1239" si="22">S1199-T1199</f>
        <v>0</v>
      </c>
      <c r="V1199" s="32">
        <f>IFERROR(__xludf.DUMMYFUNCTION("$D1199 - IFERROR(FILTER($D:$D,$C:$C = $C1199, $A:$A = $A1199, $B:$B = $B1199 - 1),0)"),0.0)</f>
        <v>0</v>
      </c>
      <c r="W1199" s="93">
        <f>IFERROR(__xludf.DUMMYFUNCTION("$E1199 - IFERROR(FILTER($E:$E,$C:$C = $C1199, $A:$A = $A1199, $B:$B = $B1199 - 1),0)"),0.0)</f>
        <v>0</v>
      </c>
      <c r="X1199" s="93"/>
      <c r="Y1199" s="93"/>
      <c r="Z1199" s="93">
        <v>0.0</v>
      </c>
      <c r="AA1199" s="93">
        <v>0.0</v>
      </c>
      <c r="AB1199" s="93">
        <v>0.0</v>
      </c>
      <c r="AC1199" s="93"/>
      <c r="AD1199" s="93">
        <v>0.0</v>
      </c>
      <c r="AE1199" s="32">
        <f t="shared" si="2"/>
        <v>-15000</v>
      </c>
      <c r="AF1199" s="93">
        <v>0.0</v>
      </c>
    </row>
    <row r="1200">
      <c r="A1200" s="86">
        <v>2018.0</v>
      </c>
      <c r="B1200" s="87">
        <v>11.0</v>
      </c>
      <c r="C1200" s="88" t="s">
        <v>45</v>
      </c>
      <c r="D1200" s="32"/>
      <c r="E1200" s="93">
        <v>-5000.0</v>
      </c>
      <c r="F1200" s="32"/>
      <c r="G1200" s="93">
        <v>-802.63</v>
      </c>
      <c r="H1200" s="93">
        <v>2958.03</v>
      </c>
      <c r="I1200" s="93">
        <v>193.65</v>
      </c>
      <c r="J1200" s="93">
        <v>-5716.71</v>
      </c>
      <c r="K1200" s="32"/>
      <c r="L1200" s="32"/>
      <c r="M1200" s="32"/>
      <c r="N1200" s="32"/>
      <c r="O1200" s="93">
        <v>140034.0</v>
      </c>
      <c r="P1200" s="91">
        <f>IFERROR(__xludf.DUMMYFUNCTION("IFERROR(sum(FILTER($D:$N,$C:$C = $C1200,$A:$A &lt; $A1200,$B:$B = 12)),0) + sum($D1200:$N1200)"),140034.62999999998)</f>
        <v>140034.63</v>
      </c>
      <c r="Q1200" s="92">
        <f t="shared" si="1"/>
        <v>-0.63</v>
      </c>
      <c r="R1200" s="91">
        <f t="array" ref="R1200">IFERROR(INDEX('Fund YTD Target Values'!$1:$1000, MATCH($C1200,'Fund YTD Target Values'!$A:$A,0), MATCH($A1200,'Fund YTD Target Values'!$1:$1,0)),0)</f>
        <v>121242.134</v>
      </c>
      <c r="S1200" s="91">
        <f>IFERROR(__xludf.DUMMYFUNCTION("IFERROR(sum(FILTER('Fund Investment Data'!$V:$V, 'Fund Investment Data'!$C:$C = $C1200, 'Fund Investment Data'!$A:$A &lt; $A1200)),0) + IFERROR(sum(FILTER('Fund Investment Data'!$V:$V, 'Fund Investment Data'!$C:$C = $C1200, 'Fund Investment Data'!$A:$A = $A1"&amp;"200, 'Fund Investment Data'!$B:$B &lt;= $B1200)),0)"),100000.0)</f>
        <v>100000</v>
      </c>
      <c r="T1200" s="93">
        <v>100000.0</v>
      </c>
      <c r="U1200" s="32">
        <f t="shared" si="22"/>
        <v>0</v>
      </c>
      <c r="V1200" s="32">
        <f>IFERROR(__xludf.DUMMYFUNCTION("$D1200 - IFERROR(FILTER($D:$D,$C:$C = $C1200, $A:$A = $A1200, $B:$B = $B1200 - 1),0)"),0.0)</f>
        <v>0</v>
      </c>
      <c r="W1200" s="93">
        <f>IFERROR(__xludf.DUMMYFUNCTION("$E1200 - IFERROR(FILTER($E:$E,$C:$C = $C1200, $A:$A = $A1200, $B:$B = $B1200 - 1),0)"),0.0)</f>
        <v>0</v>
      </c>
      <c r="X1200" s="93"/>
      <c r="Y1200" s="93"/>
      <c r="Z1200" s="93">
        <v>0.0</v>
      </c>
      <c r="AA1200" s="93">
        <v>0.0</v>
      </c>
      <c r="AB1200" s="93">
        <v>0.0</v>
      </c>
      <c r="AC1200" s="93"/>
      <c r="AD1200" s="93">
        <v>0.0</v>
      </c>
      <c r="AE1200" s="32">
        <f t="shared" si="2"/>
        <v>-5000</v>
      </c>
      <c r="AF1200" s="93">
        <v>0.0</v>
      </c>
    </row>
    <row r="1201">
      <c r="A1201" s="86">
        <v>2018.0</v>
      </c>
      <c r="B1201" s="87">
        <v>11.0</v>
      </c>
      <c r="C1201" s="88" t="s">
        <v>35</v>
      </c>
      <c r="D1201" s="32"/>
      <c r="E1201" s="93">
        <v>-64200.0</v>
      </c>
      <c r="F1201" s="32"/>
      <c r="G1201" s="93">
        <v>-7902.84</v>
      </c>
      <c r="H1201" s="93">
        <v>29232.35</v>
      </c>
      <c r="I1201" s="93">
        <v>15513.35</v>
      </c>
      <c r="J1201" s="93">
        <v>-69521.87</v>
      </c>
      <c r="K1201" s="32"/>
      <c r="L1201" s="32"/>
      <c r="M1201" s="32"/>
      <c r="N1201" s="32"/>
      <c r="O1201" s="93">
        <v>1369263.0</v>
      </c>
      <c r="P1201" s="91">
        <f>IFERROR(__xludf.DUMMYFUNCTION("IFERROR(sum(FILTER($D:$N,$C:$C = $C1201,$A:$A &lt; $A1201,$B:$B = 12)),0) + sum($D1201:$N1201)"),1369262.5500000003)</f>
        <v>1369262.55</v>
      </c>
      <c r="Q1201" s="92">
        <f t="shared" si="1"/>
        <v>0.4499999997</v>
      </c>
      <c r="R1201" s="91">
        <f t="array" ref="R1201">IFERROR(INDEX('Fund YTD Target Values'!$1:$1000, MATCH($C1201,'Fund YTD Target Values'!$A:$A,0), MATCH($A1201,'Fund YTD Target Values'!$1:$1,0)),0)</f>
        <v>1579247.369</v>
      </c>
      <c r="S1201" s="91">
        <f>IFERROR(__xludf.DUMMYFUNCTION("IFERROR(sum(FILTER('Fund Investment Data'!$V:$V, 'Fund Investment Data'!$C:$C = $C1201, 'Fund Investment Data'!$A:$A &lt; $A1201)),0) + IFERROR(sum(FILTER('Fund Investment Data'!$V:$V, 'Fund Investment Data'!$C:$C = $C1201, 'Fund Investment Data'!$A:$A = $A1"&amp;"201, 'Fund Investment Data'!$B:$B &lt;= $B1201)),0)"),1086625.0)</f>
        <v>1086625</v>
      </c>
      <c r="T1201" s="93">
        <v>1071625.0</v>
      </c>
      <c r="U1201" s="32">
        <f t="shared" si="22"/>
        <v>15000</v>
      </c>
      <c r="V1201" s="32">
        <f>IFERROR(__xludf.DUMMYFUNCTION("$D1201 - IFERROR(FILTER($D:$D,$C:$C = $C1201, $A:$A = $A1201, $B:$B = $B1201 - 1),0)"),0.0)</f>
        <v>0</v>
      </c>
      <c r="W1201" s="93">
        <f>IFERROR(__xludf.DUMMYFUNCTION("$E1201 - IFERROR(FILTER($E:$E,$C:$C = $C1201, $A:$A = $A1201, $B:$B = $B1201 - 1),0)"),0.0)</f>
        <v>0</v>
      </c>
      <c r="X1201" s="93"/>
      <c r="Y1201" s="93"/>
      <c r="Z1201" s="93">
        <v>0.0</v>
      </c>
      <c r="AA1201" s="93">
        <v>0.0</v>
      </c>
      <c r="AB1201" s="93">
        <v>0.0</v>
      </c>
      <c r="AC1201" s="93"/>
      <c r="AD1201" s="93">
        <v>0.0</v>
      </c>
      <c r="AE1201" s="32">
        <f t="shared" si="2"/>
        <v>-64200</v>
      </c>
      <c r="AF1201" s="93">
        <v>0.0</v>
      </c>
    </row>
    <row r="1202">
      <c r="A1202" s="86">
        <v>2018.0</v>
      </c>
      <c r="B1202" s="87">
        <v>11.0</v>
      </c>
      <c r="C1202" s="88" t="s">
        <v>56</v>
      </c>
      <c r="D1202" s="32"/>
      <c r="E1202" s="93">
        <v>-50000.0</v>
      </c>
      <c r="F1202" s="32"/>
      <c r="G1202" s="93">
        <v>-6103.39</v>
      </c>
      <c r="H1202" s="93">
        <v>22415.61</v>
      </c>
      <c r="I1202" s="93">
        <v>3463.53</v>
      </c>
      <c r="J1202" s="93">
        <v>-45200.97</v>
      </c>
      <c r="K1202" s="32"/>
      <c r="L1202" s="32"/>
      <c r="M1202" s="32"/>
      <c r="N1202" s="32"/>
      <c r="O1202" s="93">
        <v>1057553.0</v>
      </c>
      <c r="P1202" s="91">
        <f>IFERROR(__xludf.DUMMYFUNCTION("IFERROR(sum(FILTER($D:$N,$C:$C = $C1202,$A:$A &lt; $A1202,$B:$B = 12)),0) + sum($D1202:$N1202)"),1057552.6099999999)</f>
        <v>1057552.61</v>
      </c>
      <c r="Q1202" s="92">
        <f t="shared" si="1"/>
        <v>0.3900000001</v>
      </c>
      <c r="R1202" s="91">
        <f t="array" ref="R1202">IFERROR(INDEX('Fund YTD Target Values'!$1:$1000, MATCH($C1202,'Fund YTD Target Values'!$A:$A,0), MATCH($A1202,'Fund YTD Target Values'!$1:$1,0)),0)</f>
        <v>1060725.595</v>
      </c>
      <c r="S1202" s="91">
        <f>IFERROR(__xludf.DUMMYFUNCTION("IFERROR(sum(FILTER('Fund Investment Data'!$V:$V, 'Fund Investment Data'!$C:$C = $C1202, 'Fund Investment Data'!$A:$A &lt; $A1202)),0) + IFERROR(sum(FILTER('Fund Investment Data'!$V:$V, 'Fund Investment Data'!$C:$C = $C1202, 'Fund Investment Data'!$A:$A = $A1"&amp;"202, 'Fund Investment Data'!$B:$B &lt;= $B1202)),0)"),1000000.0)</f>
        <v>1000000</v>
      </c>
      <c r="T1202" s="93">
        <v>1000000.0</v>
      </c>
      <c r="U1202" s="32">
        <f t="shared" si="22"/>
        <v>0</v>
      </c>
      <c r="V1202" s="32">
        <f>IFERROR(__xludf.DUMMYFUNCTION("$D1202 - IFERROR(FILTER($D:$D,$C:$C = $C1202, $A:$A = $A1202, $B:$B = $B1202 - 1),0)"),0.0)</f>
        <v>0</v>
      </c>
      <c r="W1202" s="93">
        <f>IFERROR(__xludf.DUMMYFUNCTION("$E1202 - IFERROR(FILTER($E:$E,$C:$C = $C1202, $A:$A = $A1202, $B:$B = $B1202 - 1),0)"),0.0)</f>
        <v>0</v>
      </c>
      <c r="X1202" s="93"/>
      <c r="Y1202" s="93"/>
      <c r="Z1202" s="93">
        <v>0.0</v>
      </c>
      <c r="AA1202" s="93">
        <v>0.0</v>
      </c>
      <c r="AB1202" s="93">
        <v>0.0</v>
      </c>
      <c r="AC1202" s="93"/>
      <c r="AD1202" s="93">
        <v>0.0</v>
      </c>
      <c r="AE1202" s="32">
        <f t="shared" si="2"/>
        <v>-50000</v>
      </c>
      <c r="AF1202" s="93">
        <v>0.0</v>
      </c>
    </row>
    <row r="1203">
      <c r="A1203" s="86">
        <v>2018.0</v>
      </c>
      <c r="B1203" s="87">
        <v>11.0</v>
      </c>
      <c r="C1203" s="88" t="s">
        <v>57</v>
      </c>
      <c r="D1203" s="32"/>
      <c r="E1203" s="93">
        <v>-45000.0</v>
      </c>
      <c r="F1203" s="32"/>
      <c r="G1203" s="93">
        <v>-11133.43</v>
      </c>
      <c r="H1203" s="93">
        <v>41078.29</v>
      </c>
      <c r="I1203" s="32"/>
      <c r="J1203" s="93">
        <v>-77106.86</v>
      </c>
      <c r="K1203" s="32"/>
      <c r="L1203" s="93">
        <v>-387.94</v>
      </c>
      <c r="M1203" s="32"/>
      <c r="N1203" s="32"/>
      <c r="O1203" s="93">
        <v>1942629.0</v>
      </c>
      <c r="P1203" s="91">
        <f>IFERROR(__xludf.DUMMYFUNCTION("IFERROR(sum(FILTER($D:$N,$C:$C = $C1203,$A:$A &lt; $A1203,$B:$B = 12)),0) + sum($D1203:$N1203)"),1942628.8900000001)</f>
        <v>1942628.89</v>
      </c>
      <c r="Q1203" s="92">
        <f t="shared" si="1"/>
        <v>0.1099999999</v>
      </c>
      <c r="R1203" s="91">
        <f t="array" ref="R1203">IFERROR(INDEX('Fund YTD Target Values'!$1:$1000, MATCH($C1203,'Fund YTD Target Values'!$A:$A,0), MATCH($A1203,'Fund YTD Target Values'!$1:$1,0)),0)</f>
        <v>2048853.692</v>
      </c>
      <c r="S1203" s="91">
        <f>IFERROR(__xludf.DUMMYFUNCTION("IFERROR(sum(FILTER('Fund Investment Data'!$V:$V, 'Fund Investment Data'!$C:$C = $C1203, 'Fund Investment Data'!$A:$A &lt; $A1203)),0) + IFERROR(sum(FILTER('Fund Investment Data'!$V:$V, 'Fund Investment Data'!$C:$C = $C1203, 'Fund Investment Data'!$A:$A = $A1"&amp;"203, 'Fund Investment Data'!$B:$B &lt;= $B1203)),0)"),2000000.0)</f>
        <v>2000000</v>
      </c>
      <c r="T1203" s="93">
        <v>2000000.0</v>
      </c>
      <c r="U1203" s="32">
        <f t="shared" si="22"/>
        <v>0</v>
      </c>
      <c r="V1203" s="32">
        <f>IFERROR(__xludf.DUMMYFUNCTION("$D1203 - IFERROR(FILTER($D:$D,$C:$C = $C1203, $A:$A = $A1203, $B:$B = $B1203 - 1),0)"),0.0)</f>
        <v>0</v>
      </c>
      <c r="W1203" s="93">
        <f>IFERROR(__xludf.DUMMYFUNCTION("$E1203 - IFERROR(FILTER($E:$E,$C:$C = $C1203, $A:$A = $A1203, $B:$B = $B1203 - 1),0)"),-45000.0)</f>
        <v>-45000</v>
      </c>
      <c r="X1203" s="93"/>
      <c r="Y1203" s="93"/>
      <c r="Z1203" s="93">
        <v>0.0</v>
      </c>
      <c r="AA1203" s="93">
        <v>0.0</v>
      </c>
      <c r="AB1203" s="93">
        <v>0.0</v>
      </c>
      <c r="AC1203" s="93"/>
      <c r="AD1203" s="93">
        <v>0.0</v>
      </c>
      <c r="AE1203" s="32">
        <f t="shared" si="2"/>
        <v>-45000</v>
      </c>
      <c r="AF1203" s="93">
        <v>0.0</v>
      </c>
    </row>
    <row r="1204">
      <c r="A1204" s="86">
        <v>2018.0</v>
      </c>
      <c r="B1204" s="87">
        <v>11.0</v>
      </c>
      <c r="C1204" s="88" t="s">
        <v>58</v>
      </c>
      <c r="D1204" s="32"/>
      <c r="E1204" s="93">
        <v>-45000.0</v>
      </c>
      <c r="F1204" s="32"/>
      <c r="G1204" s="93">
        <v>-11133.43</v>
      </c>
      <c r="H1204" s="93">
        <v>41078.29</v>
      </c>
      <c r="I1204" s="32"/>
      <c r="J1204" s="93">
        <v>-77106.88</v>
      </c>
      <c r="K1204" s="32"/>
      <c r="L1204" s="93">
        <v>-387.94</v>
      </c>
      <c r="M1204" s="32"/>
      <c r="N1204" s="32"/>
      <c r="O1204" s="93">
        <v>1942629.0</v>
      </c>
      <c r="P1204" s="91">
        <f>IFERROR(__xludf.DUMMYFUNCTION("IFERROR(sum(FILTER($D:$N,$C:$C = $C1204,$A:$A &lt; $A1204,$B:$B = 12)),0) + sum($D1204:$N1204)"),1942628.87)</f>
        <v>1942628.87</v>
      </c>
      <c r="Q1204" s="92">
        <f t="shared" si="1"/>
        <v>0.1299999999</v>
      </c>
      <c r="R1204" s="91">
        <f t="array" ref="R1204">IFERROR(INDEX('Fund YTD Target Values'!$1:$1000, MATCH($C1204,'Fund YTD Target Values'!$A:$A,0), MATCH($A1204,'Fund YTD Target Values'!$1:$1,0)),0)</f>
        <v>2048853.692</v>
      </c>
      <c r="S1204" s="91">
        <f>IFERROR(__xludf.DUMMYFUNCTION("IFERROR(sum(FILTER('Fund Investment Data'!$V:$V, 'Fund Investment Data'!$C:$C = $C1204, 'Fund Investment Data'!$A:$A &lt; $A1204)),0) + IFERROR(sum(FILTER('Fund Investment Data'!$V:$V, 'Fund Investment Data'!$C:$C = $C1204, 'Fund Investment Data'!$A:$A = $A1"&amp;"204, 'Fund Investment Data'!$B:$B &lt;= $B1204)),0)"),2000000.0)</f>
        <v>2000000</v>
      </c>
      <c r="T1204" s="93">
        <v>2000000.0</v>
      </c>
      <c r="U1204" s="32">
        <f t="shared" si="22"/>
        <v>0</v>
      </c>
      <c r="V1204" s="32">
        <f>IFERROR(__xludf.DUMMYFUNCTION("$D1204 - IFERROR(FILTER($D:$D,$C:$C = $C1204, $A:$A = $A1204, $B:$B = $B1204 - 1),0)"),0.0)</f>
        <v>0</v>
      </c>
      <c r="W1204" s="93">
        <f>IFERROR(__xludf.DUMMYFUNCTION("$E1204 - IFERROR(FILTER($E:$E,$C:$C = $C1204, $A:$A = $A1204, $B:$B = $B1204 - 1),0)"),-45000.0)</f>
        <v>-45000</v>
      </c>
      <c r="X1204" s="93"/>
      <c r="Y1204" s="93"/>
      <c r="Z1204" s="93">
        <v>0.0</v>
      </c>
      <c r="AA1204" s="93">
        <v>0.0</v>
      </c>
      <c r="AB1204" s="93">
        <v>0.0</v>
      </c>
      <c r="AC1204" s="93"/>
      <c r="AD1204" s="93">
        <v>0.0</v>
      </c>
      <c r="AE1204" s="32">
        <f t="shared" si="2"/>
        <v>-45000</v>
      </c>
      <c r="AF1204" s="93">
        <v>0.0</v>
      </c>
    </row>
    <row r="1205">
      <c r="A1205" s="86">
        <v>2018.0</v>
      </c>
      <c r="B1205" s="87">
        <v>12.0</v>
      </c>
      <c r="C1205" s="88" t="s">
        <v>26</v>
      </c>
      <c r="D1205" s="93">
        <v>18189.0</v>
      </c>
      <c r="E1205" s="93">
        <v>-15210.0</v>
      </c>
      <c r="F1205" s="32"/>
      <c r="G1205" s="93">
        <v>-2016.2</v>
      </c>
      <c r="H1205" s="93">
        <v>7254.44</v>
      </c>
      <c r="I1205" s="93">
        <v>587.37</v>
      </c>
      <c r="J1205" s="93">
        <v>-31908.17</v>
      </c>
      <c r="K1205" s="32"/>
      <c r="L1205" s="32"/>
      <c r="M1205" s="32"/>
      <c r="N1205" s="32"/>
      <c r="O1205" s="93">
        <v>308829.0</v>
      </c>
      <c r="P1205" s="91">
        <f>IFERROR(__xludf.DUMMYFUNCTION("IFERROR(sum(FILTER($D:$N,$C:$C = $C1205,$A:$A &lt; $A1205,$B:$B = 12)),0) + sum($D1205:$N1205)"),308827.39999999997)</f>
        <v>308827.4</v>
      </c>
      <c r="Q1205" s="92">
        <f t="shared" si="1"/>
        <v>1.6</v>
      </c>
      <c r="R1205" s="91">
        <f t="array" ref="R1205">IFERROR(INDEX('Fund YTD Target Values'!$1:$1000, MATCH($C1205,'Fund YTD Target Values'!$A:$A,0), MATCH($A1205,'Fund YTD Target Values'!$1:$1,0)),0)</f>
        <v>378110.9215</v>
      </c>
      <c r="S1205" s="91">
        <f>IFERROR(__xludf.DUMMYFUNCTION("IFERROR(sum(FILTER('Fund Investment Data'!$V:$V, 'Fund Investment Data'!$C:$C = $C1205, 'Fund Investment Data'!$A:$A &lt; $A1205)),0) + IFERROR(sum(FILTER('Fund Investment Data'!$V:$V, 'Fund Investment Data'!$C:$C = $C1205, 'Fund Investment Data'!$A:$A = $A1"&amp;"205, 'Fund Investment Data'!$B:$B &lt;= $B1205)),0)"),310249.0)</f>
        <v>310249</v>
      </c>
      <c r="T1205" s="93">
        <v>310250.0</v>
      </c>
      <c r="U1205" s="32">
        <f t="shared" si="22"/>
        <v>-1</v>
      </c>
      <c r="V1205" s="32">
        <f>IFERROR(__xludf.DUMMYFUNCTION("$D1205 - IFERROR(FILTER($D:$D,$C:$C = $C1205, $A:$A = $A1205, $B:$B = $B1205 - 1),0)"),0.0)</f>
        <v>0</v>
      </c>
      <c r="W1205" s="93">
        <f>IFERROR(__xludf.DUMMYFUNCTION("$E1205 - IFERROR(FILTER($E:$E,$C:$C = $C1205, $A:$A = $A1205, $B:$B = $B1205 - 1),0)"),0.0)</f>
        <v>0</v>
      </c>
      <c r="X1205" s="91"/>
      <c r="Y1205" s="91"/>
      <c r="Z1205" s="91">
        <v>14925.643199999999</v>
      </c>
      <c r="AA1205" s="93">
        <v>210.25125</v>
      </c>
      <c r="AB1205" s="93">
        <v>939.96</v>
      </c>
      <c r="AC1205" s="32">
        <f>IFERROR(__xludf.DUMMYFUNCTION("IFERROR(FILTER($AF:$AF,$C:$C = $C1205,$A:$A = $A1205 - 1,$B:$B = 12),0)"),0.0)</f>
        <v>0</v>
      </c>
      <c r="AD1205" s="32">
        <f t="shared" ref="AD1205:AD2782" si="23">sum($Z1205:$AC1205)</f>
        <v>16075.85445</v>
      </c>
      <c r="AE1205" s="32">
        <f t="shared" si="2"/>
        <v>865.85445</v>
      </c>
      <c r="AF1205" s="93">
        <v>0.0</v>
      </c>
    </row>
    <row r="1206">
      <c r="A1206" s="86">
        <v>2018.0</v>
      </c>
      <c r="B1206" s="87">
        <v>12.0</v>
      </c>
      <c r="C1206" s="88" t="s">
        <v>27</v>
      </c>
      <c r="D1206" s="32"/>
      <c r="E1206" s="93">
        <v>-15000.0</v>
      </c>
      <c r="F1206" s="32"/>
      <c r="G1206" s="93">
        <v>-1797.4</v>
      </c>
      <c r="H1206" s="93">
        <v>6531.31</v>
      </c>
      <c r="I1206" s="93">
        <v>3753.69</v>
      </c>
      <c r="J1206" s="93">
        <v>-31089.19</v>
      </c>
      <c r="K1206" s="32"/>
      <c r="L1206" s="32"/>
      <c r="M1206" s="32"/>
      <c r="N1206" s="32"/>
      <c r="O1206" s="93">
        <v>270883.0</v>
      </c>
      <c r="P1206" s="91">
        <f>IFERROR(__xludf.DUMMYFUNCTION("IFERROR(sum(FILTER($D:$N,$C:$C = $C1206,$A:$A &lt; $A1206,$B:$B = 12)),0) + sum($D1206:$N1206)"),270883.81000000006)</f>
        <v>270883.81</v>
      </c>
      <c r="Q1206" s="92">
        <f t="shared" si="1"/>
        <v>-0.8100000001</v>
      </c>
      <c r="R1206" s="91">
        <f t="array" ref="R1206">IFERROR(INDEX('Fund YTD Target Values'!$1:$1000, MATCH($C1206,'Fund YTD Target Values'!$A:$A,0), MATCH($A1206,'Fund YTD Target Values'!$1:$1,0)),0)</f>
        <v>393297.582</v>
      </c>
      <c r="S1206" s="91">
        <f>IFERROR(__xludf.DUMMYFUNCTION("IFERROR(sum(FILTER('Fund Investment Data'!$V:$V, 'Fund Investment Data'!$C:$C = $C1206, 'Fund Investment Data'!$A:$A &lt; $A1206)),0) + IFERROR(sum(FILTER('Fund Investment Data'!$V:$V, 'Fund Investment Data'!$C:$C = $C1206, 'Fund Investment Data'!$A:$A = $A1"&amp;"206, 'Fund Investment Data'!$B:$B &lt;= $B1206)),0)"),276213.69999999995)</f>
        <v>276213.7</v>
      </c>
      <c r="T1206" s="93">
        <v>272248.0</v>
      </c>
      <c r="U1206" s="32">
        <f t="shared" si="22"/>
        <v>3965.7</v>
      </c>
      <c r="V1206" s="32">
        <f>IFERROR(__xludf.DUMMYFUNCTION("$D1206 - IFERROR(FILTER($D:$D,$C:$C = $C1206, $A:$A = $A1206, $B:$B = $B1206 - 1),0)"),0.0)</f>
        <v>0</v>
      </c>
      <c r="W1206" s="93">
        <f>IFERROR(__xludf.DUMMYFUNCTION("$E1206 - IFERROR(FILTER($E:$E,$C:$C = $C1206, $A:$A = $A1206, $B:$B = $B1206 - 1),0)"),0.0)</f>
        <v>0</v>
      </c>
      <c r="X1206" s="91"/>
      <c r="Y1206" s="91"/>
      <c r="Z1206" s="91">
        <v>13881.843000000003</v>
      </c>
      <c r="AA1206" s="93">
        <v>0.0</v>
      </c>
      <c r="AB1206" s="93">
        <v>0.0</v>
      </c>
      <c r="AC1206" s="32">
        <f>IFERROR(__xludf.DUMMYFUNCTION("IFERROR(FILTER($AF:$AF,$C:$C = $C1206,$A:$A = $A1206 - 1,$B:$B = 12),0)"),0.0)</f>
        <v>0</v>
      </c>
      <c r="AD1206" s="32">
        <f t="shared" si="23"/>
        <v>13881.843</v>
      </c>
      <c r="AE1206" s="32">
        <f t="shared" si="2"/>
        <v>-1118.157</v>
      </c>
      <c r="AF1206" s="93">
        <v>0.0</v>
      </c>
    </row>
    <row r="1207">
      <c r="A1207" s="86">
        <v>2018.0</v>
      </c>
      <c r="B1207" s="87">
        <v>12.0</v>
      </c>
      <c r="C1207" s="88" t="s">
        <v>28</v>
      </c>
      <c r="D1207" s="32"/>
      <c r="E1207" s="93">
        <v>-165000.0</v>
      </c>
      <c r="F1207" s="32"/>
      <c r="G1207" s="93">
        <v>-19254.41</v>
      </c>
      <c r="H1207" s="93">
        <v>69948.08</v>
      </c>
      <c r="I1207" s="93">
        <v>39189.66</v>
      </c>
      <c r="J1207" s="93">
        <v>-331869.96</v>
      </c>
      <c r="K1207" s="32"/>
      <c r="L1207" s="32"/>
      <c r="M1207" s="32"/>
      <c r="N1207" s="32"/>
      <c r="O1207" s="93">
        <v>2902240.0</v>
      </c>
      <c r="P1207" s="91">
        <f>IFERROR(__xludf.DUMMYFUNCTION("IFERROR(sum(FILTER($D:$N,$C:$C = $C1207,$A:$A &lt; $A1207,$B:$B = 12)),0) + sum($D1207:$N1207)"),2902239.44)</f>
        <v>2902239.44</v>
      </c>
      <c r="Q1207" s="92">
        <f t="shared" si="1"/>
        <v>0.5600000001</v>
      </c>
      <c r="R1207" s="91">
        <f t="array" ref="R1207">IFERROR(INDEX('Fund YTD Target Values'!$1:$1000, MATCH($C1207,'Fund YTD Target Values'!$A:$A,0), MATCH($A1207,'Fund YTD Target Values'!$1:$1,0)),0)</f>
        <v>3840487.513</v>
      </c>
      <c r="S1207" s="91">
        <f>IFERROR(__xludf.DUMMYFUNCTION("IFERROR(sum(FILTER('Fund Investment Data'!$V:$V, 'Fund Investment Data'!$C:$C = $C1207, 'Fund Investment Data'!$A:$A &lt; $A1207)),0) + IFERROR(sum(FILTER('Fund Investment Data'!$V:$V, 'Fund Investment Data'!$C:$C = $C1207, 'Fund Investment Data'!$A:$A = $A1"&amp;"207, 'Fund Investment Data'!$B:$B &lt;= $B1207)),0)"),2960091.25)</f>
        <v>2960091.25</v>
      </c>
      <c r="T1207" s="93">
        <v>3009816.0</v>
      </c>
      <c r="U1207" s="32">
        <f t="shared" si="22"/>
        <v>-49724.75</v>
      </c>
      <c r="V1207" s="32">
        <f>IFERROR(__xludf.DUMMYFUNCTION("$D1207 - IFERROR(FILTER($D:$D,$C:$C = $C1207, $A:$A = $A1207, $B:$B = $B1207 - 1),0)"),0.0)</f>
        <v>0</v>
      </c>
      <c r="W1207" s="93">
        <f>IFERROR(__xludf.DUMMYFUNCTION("$E1207 - IFERROR(FILTER($E:$E,$C:$C = $C1207, $A:$A = $A1207, $B:$B = $B1207 - 1),0)"),0.0)</f>
        <v>0</v>
      </c>
      <c r="X1207" s="91"/>
      <c r="Y1207" s="91"/>
      <c r="Z1207" s="91">
        <v>148915.17315</v>
      </c>
      <c r="AA1207" s="93">
        <v>0.0</v>
      </c>
      <c r="AB1207" s="93">
        <v>0.0</v>
      </c>
      <c r="AC1207" s="32">
        <f>IFERROR(__xludf.DUMMYFUNCTION("IFERROR(FILTER($AF:$AF,$C:$C = $C1207,$A:$A = $A1207 - 1,$B:$B = 12),0)"),0.0)</f>
        <v>0</v>
      </c>
      <c r="AD1207" s="32">
        <f t="shared" si="23"/>
        <v>148915.1732</v>
      </c>
      <c r="AE1207" s="32">
        <f t="shared" si="2"/>
        <v>-16084.82685</v>
      </c>
      <c r="AF1207" s="93">
        <v>0.0</v>
      </c>
    </row>
    <row r="1208">
      <c r="A1208" s="86">
        <v>2018.0</v>
      </c>
      <c r="B1208" s="87">
        <v>12.0</v>
      </c>
      <c r="C1208" s="88" t="s">
        <v>46</v>
      </c>
      <c r="D1208" s="32"/>
      <c r="E1208" s="93">
        <v>-30750.0</v>
      </c>
      <c r="F1208" s="32"/>
      <c r="G1208" s="93">
        <v>-2269.99</v>
      </c>
      <c r="H1208" s="93">
        <v>8259.62</v>
      </c>
      <c r="I1208" s="93">
        <v>8384.92</v>
      </c>
      <c r="J1208" s="93">
        <v>-42340.83</v>
      </c>
      <c r="K1208" s="32"/>
      <c r="L1208" s="32"/>
      <c r="M1208" s="32"/>
      <c r="N1208" s="32"/>
      <c r="O1208" s="93">
        <v>334791.0</v>
      </c>
      <c r="P1208" s="91">
        <f>IFERROR(__xludf.DUMMYFUNCTION("IFERROR(sum(FILTER($D:$N,$C:$C = $C1208,$A:$A &lt; $A1208,$B:$B = 12)),0) + sum($D1208:$N1208)"),334791.38)</f>
        <v>334791.38</v>
      </c>
      <c r="Q1208" s="92">
        <f t="shared" si="1"/>
        <v>-0.38</v>
      </c>
      <c r="R1208" s="91">
        <f t="array" ref="R1208">IFERROR(INDEX('Fund YTD Target Values'!$1:$1000, MATCH($C1208,'Fund YTD Target Values'!$A:$A,0), MATCH($A1208,'Fund YTD Target Values'!$1:$1,0)),0)</f>
        <v>456546.9656</v>
      </c>
      <c r="S1208" s="91">
        <f>IFERROR(__xludf.DUMMYFUNCTION("IFERROR(sum(FILTER('Fund Investment Data'!$V:$V, 'Fund Investment Data'!$C:$C = $C1208, 'Fund Investment Data'!$A:$A &lt; $A1208)),0) + IFERROR(sum(FILTER('Fund Investment Data'!$V:$V, 'Fund Investment Data'!$C:$C = $C1208, 'Fund Investment Data'!$A:$A = $A1"&amp;"208, 'Fund Investment Data'!$B:$B &lt;= $B1208)),0)"),366400.0)</f>
        <v>366400</v>
      </c>
      <c r="T1208" s="93">
        <v>366400.0</v>
      </c>
      <c r="U1208" s="32">
        <f t="shared" si="22"/>
        <v>0</v>
      </c>
      <c r="V1208" s="32">
        <f>IFERROR(__xludf.DUMMYFUNCTION("$D1208 - IFERROR(FILTER($D:$D,$C:$C = $C1208, $A:$A = $A1208, $B:$B = $B1208 - 1),0)"),0.0)</f>
        <v>0</v>
      </c>
      <c r="W1208" s="93">
        <f>IFERROR(__xludf.DUMMYFUNCTION("$E1208 - IFERROR(FILTER($E:$E,$C:$C = $C1208, $A:$A = $A1208, $B:$B = $B1208 - 1),0)"),0.0)</f>
        <v>0</v>
      </c>
      <c r="X1208" s="91"/>
      <c r="Y1208" s="91"/>
      <c r="Z1208" s="91">
        <v>17707.8447</v>
      </c>
      <c r="AA1208" s="93">
        <v>0.0</v>
      </c>
      <c r="AB1208" s="93">
        <v>0.0</v>
      </c>
      <c r="AC1208" s="32">
        <f>IFERROR(__xludf.DUMMYFUNCTION("IFERROR(FILTER($AF:$AF,$C:$C = $C1208,$A:$A = $A1208 - 1,$B:$B = 12),0)"),0.0)</f>
        <v>0</v>
      </c>
      <c r="AD1208" s="32">
        <f t="shared" si="23"/>
        <v>17707.8447</v>
      </c>
      <c r="AE1208" s="32">
        <f t="shared" si="2"/>
        <v>-13042.1553</v>
      </c>
      <c r="AF1208" s="93">
        <v>0.0</v>
      </c>
    </row>
    <row r="1209">
      <c r="A1209" s="86">
        <v>2018.0</v>
      </c>
      <c r="B1209" s="87">
        <v>12.0</v>
      </c>
      <c r="C1209" s="88" t="s">
        <v>36</v>
      </c>
      <c r="D1209" s="32"/>
      <c r="E1209" s="93">
        <v>-24000.0</v>
      </c>
      <c r="F1209" s="32"/>
      <c r="G1209" s="93">
        <v>-2620.25</v>
      </c>
      <c r="H1209" s="93">
        <v>9525.1</v>
      </c>
      <c r="I1209" s="93">
        <v>6209.06</v>
      </c>
      <c r="J1209" s="93">
        <v>-45937.63</v>
      </c>
      <c r="K1209" s="32"/>
      <c r="L1209" s="32"/>
      <c r="M1209" s="32"/>
      <c r="N1209" s="32"/>
      <c r="O1209" s="93">
        <v>393931.0</v>
      </c>
      <c r="P1209" s="91">
        <f>IFERROR(__xludf.DUMMYFUNCTION("IFERROR(sum(FILTER($D:$N,$C:$C = $C1209,$A:$A &lt; $A1209,$B:$B = 12)),0) + sum($D1209:$N1209)"),393930.74)</f>
        <v>393930.74</v>
      </c>
      <c r="Q1209" s="92">
        <f t="shared" si="1"/>
        <v>0.26</v>
      </c>
      <c r="R1209" s="91">
        <f t="array" ref="R1209">IFERROR(INDEX('Fund YTD Target Values'!$1:$1000, MATCH($C1209,'Fund YTD Target Values'!$A:$A,0), MATCH($A1209,'Fund YTD Target Values'!$1:$1,0)),0)</f>
        <v>635486.6433</v>
      </c>
      <c r="S1209" s="91">
        <f>IFERROR(__xludf.DUMMYFUNCTION("IFERROR(sum(FILTER('Fund Investment Data'!$V:$V, 'Fund Investment Data'!$C:$C = $C1209, 'Fund Investment Data'!$A:$A &lt; $A1209)),0) + IFERROR(sum(FILTER('Fund Investment Data'!$V:$V, 'Fund Investment Data'!$C:$C = $C1209, 'Fund Investment Data'!$A:$A = $A1"&amp;"209, 'Fund Investment Data'!$B:$B &lt;= $B1209)),0)"),429067.24)</f>
        <v>429067.24</v>
      </c>
      <c r="T1209" s="93">
        <v>413959.0</v>
      </c>
      <c r="U1209" s="32">
        <f t="shared" si="22"/>
        <v>15108.24</v>
      </c>
      <c r="V1209" s="32">
        <f>IFERROR(__xludf.DUMMYFUNCTION("$D1209 - IFERROR(FILTER($D:$D,$C:$C = $C1209, $A:$A = $A1209, $B:$B = $B1209 - 1),0)"),0.0)</f>
        <v>0</v>
      </c>
      <c r="W1209" s="93">
        <f>IFERROR(__xludf.DUMMYFUNCTION("$E1209 - IFERROR(FILTER($E:$E,$C:$C = $C1209, $A:$A = $A1209, $B:$B = $B1209 - 1),0)"),0.0)</f>
        <v>0</v>
      </c>
      <c r="X1209" s="91"/>
      <c r="Y1209" s="91"/>
      <c r="Z1209" s="91">
        <v>20283.9507</v>
      </c>
      <c r="AA1209" s="93">
        <v>0.0</v>
      </c>
      <c r="AB1209" s="93">
        <v>0.0</v>
      </c>
      <c r="AC1209" s="32">
        <f>IFERROR(__xludf.DUMMYFUNCTION("IFERROR(FILTER($AF:$AF,$C:$C = $C1209,$A:$A = $A1209 - 1,$B:$B = 12),0)"),0.0)</f>
        <v>0</v>
      </c>
      <c r="AD1209" s="32">
        <f t="shared" si="23"/>
        <v>20283.9507</v>
      </c>
      <c r="AE1209" s="32">
        <f t="shared" si="2"/>
        <v>-3716.0493</v>
      </c>
      <c r="AF1209" s="93">
        <v>0.0</v>
      </c>
    </row>
    <row r="1210">
      <c r="A1210" s="86">
        <v>2018.0</v>
      </c>
      <c r="B1210" s="87">
        <v>12.0</v>
      </c>
      <c r="C1210" s="88" t="s">
        <v>37</v>
      </c>
      <c r="D1210" s="32"/>
      <c r="E1210" s="93">
        <v>-40000.0</v>
      </c>
      <c r="F1210" s="32"/>
      <c r="G1210" s="93">
        <v>-4790.15</v>
      </c>
      <c r="H1210" s="93">
        <v>17414.67</v>
      </c>
      <c r="I1210" s="93">
        <v>7738.91</v>
      </c>
      <c r="J1210" s="93">
        <v>-80678.56</v>
      </c>
      <c r="K1210" s="32"/>
      <c r="L1210" s="32"/>
      <c r="M1210" s="32"/>
      <c r="N1210" s="32"/>
      <c r="O1210" s="93">
        <v>723014.0</v>
      </c>
      <c r="P1210" s="91">
        <f>IFERROR(__xludf.DUMMYFUNCTION("IFERROR(sum(FILTER($D:$N,$C:$C = $C1210,$A:$A &lt; $A1210,$B:$B = 12)),0) + sum($D1210:$N1210)"),723014.1099999999)</f>
        <v>723014.11</v>
      </c>
      <c r="Q1210" s="92">
        <f t="shared" si="1"/>
        <v>-0.1099999999</v>
      </c>
      <c r="R1210" s="91">
        <f t="array" ref="R1210">IFERROR(INDEX('Fund YTD Target Values'!$1:$1000, MATCH($C1210,'Fund YTD Target Values'!$A:$A,0), MATCH($A1210,'Fund YTD Target Values'!$1:$1,0)),0)</f>
        <v>845621.3635</v>
      </c>
      <c r="S1210" s="91">
        <f>IFERROR(__xludf.DUMMYFUNCTION("IFERROR(sum(FILTER('Fund Investment Data'!$V:$V, 'Fund Investment Data'!$C:$C = $C1210, 'Fund Investment Data'!$A:$A &lt; $A1210)),0) + IFERROR(sum(FILTER('Fund Investment Data'!$V:$V, 'Fund Investment Data'!$C:$C = $C1210, 'Fund Investment Data'!$A:$A = $A1"&amp;"210, 'Fund Investment Data'!$B:$B &lt;= $B1210)),0)"),758137.86)</f>
        <v>758137.86</v>
      </c>
      <c r="T1210" s="93">
        <v>742866.0</v>
      </c>
      <c r="U1210" s="32">
        <f t="shared" si="22"/>
        <v>15271.86</v>
      </c>
      <c r="V1210" s="32">
        <f>IFERROR(__xludf.DUMMYFUNCTION("$D1210 - IFERROR(FILTER($D:$D,$C:$C = $C1210, $A:$A = $A1210, $B:$B = $B1210 - 1),0)"),0.0)</f>
        <v>0</v>
      </c>
      <c r="W1210" s="93">
        <f>IFERROR(__xludf.DUMMYFUNCTION("$E1210 - IFERROR(FILTER($E:$E,$C:$C = $C1210, $A:$A = $A1210, $B:$B = $B1210 - 1),0)"),0.0)</f>
        <v>0</v>
      </c>
      <c r="X1210" s="91"/>
      <c r="Y1210" s="91"/>
      <c r="Z1210" s="91">
        <v>37049.8158</v>
      </c>
      <c r="AA1210" s="93">
        <v>0.0</v>
      </c>
      <c r="AB1210" s="93">
        <v>0.0</v>
      </c>
      <c r="AC1210" s="32">
        <f>IFERROR(__xludf.DUMMYFUNCTION("IFERROR(FILTER($AF:$AF,$C:$C = $C1210,$A:$A = $A1210 - 1,$B:$B = 12),0)"),0.0)</f>
        <v>0</v>
      </c>
      <c r="AD1210" s="32">
        <f t="shared" si="23"/>
        <v>37049.8158</v>
      </c>
      <c r="AE1210" s="32">
        <f t="shared" si="2"/>
        <v>-2950.1842</v>
      </c>
      <c r="AF1210" s="93">
        <v>0.0</v>
      </c>
    </row>
    <row r="1211">
      <c r="A1211" s="86">
        <v>2018.0</v>
      </c>
      <c r="B1211" s="87">
        <v>12.0</v>
      </c>
      <c r="C1211" s="88" t="s">
        <v>29</v>
      </c>
      <c r="D1211" s="32"/>
      <c r="E1211" s="32"/>
      <c r="F1211" s="32"/>
      <c r="G1211" s="93">
        <v>-344.82</v>
      </c>
      <c r="H1211" s="93">
        <v>1249.95</v>
      </c>
      <c r="I1211" s="32"/>
      <c r="J1211" s="93">
        <v>-5339.05</v>
      </c>
      <c r="K1211" s="32"/>
      <c r="L1211" s="32"/>
      <c r="M1211" s="32"/>
      <c r="N1211" s="32"/>
      <c r="O1211" s="93">
        <v>53727.0</v>
      </c>
      <c r="P1211" s="91">
        <f>IFERROR(__xludf.DUMMYFUNCTION("IFERROR(sum(FILTER($D:$N,$C:$C = $C1211,$A:$A &lt; $A1211,$B:$B = 12)),0) + sum($D1211:$N1211)"),53727.38999999993)</f>
        <v>53727.39</v>
      </c>
      <c r="Q1211" s="92">
        <f t="shared" si="1"/>
        <v>-0.3899999999</v>
      </c>
      <c r="R1211" s="91">
        <f t="array" ref="R1211">IFERROR(INDEX('Fund YTD Target Values'!$1:$1000, MATCH($C1211,'Fund YTD Target Values'!$A:$A,0), MATCH($A1211,'Fund YTD Target Values'!$1:$1,0)),0)</f>
        <v>77055.94062</v>
      </c>
      <c r="S1211" s="91">
        <f>IFERROR(__xludf.DUMMYFUNCTION("IFERROR(sum(FILTER('Fund Investment Data'!$V:$V, 'Fund Investment Data'!$C:$C = $C1211, 'Fund Investment Data'!$A:$A &lt; $A1211)),0) + IFERROR(sum(FILTER('Fund Investment Data'!$V:$V, 'Fund Investment Data'!$C:$C = $C1211, 'Fund Investment Data'!$A:$A = $A1"&amp;"211, 'Fund Investment Data'!$B:$B &lt;= $B1211)),0)"),50000.0)</f>
        <v>50000</v>
      </c>
      <c r="T1211" s="93">
        <v>50000.0</v>
      </c>
      <c r="U1211" s="32">
        <f t="shared" si="22"/>
        <v>0</v>
      </c>
      <c r="V1211" s="32">
        <f>IFERROR(__xludf.DUMMYFUNCTION("$D1211 - IFERROR(FILTER($D:$D,$C:$C = $C1211, $A:$A = $A1211, $B:$B = $B1211 - 1),0)"),0.0)</f>
        <v>0</v>
      </c>
      <c r="W1211" s="93">
        <f>IFERROR(__xludf.DUMMYFUNCTION("$E1211 - IFERROR(FILTER($E:$E,$C:$C = $C1211, $A:$A = $A1211, $B:$B = $B1211 - 1),0)"),0.0)</f>
        <v>0</v>
      </c>
      <c r="X1211" s="91"/>
      <c r="Y1211" s="91"/>
      <c r="Z1211" s="91">
        <v>2617.2589499999967</v>
      </c>
      <c r="AA1211" s="93">
        <v>0.0</v>
      </c>
      <c r="AB1211" s="93">
        <v>0.0</v>
      </c>
      <c r="AC1211" s="32">
        <f>IFERROR(__xludf.DUMMYFUNCTION("IFERROR(FILTER($AF:$AF,$C:$C = $C1211,$A:$A = $A1211 - 1,$B:$B = 12),0)"),0.0)</f>
        <v>0</v>
      </c>
      <c r="AD1211" s="32">
        <f t="shared" si="23"/>
        <v>2617.25895</v>
      </c>
      <c r="AE1211" s="32">
        <f t="shared" si="2"/>
        <v>2617.25895</v>
      </c>
      <c r="AF1211" s="93">
        <v>0.0</v>
      </c>
    </row>
    <row r="1212">
      <c r="A1212" s="86">
        <v>2018.0</v>
      </c>
      <c r="B1212" s="87">
        <v>12.0</v>
      </c>
      <c r="C1212" s="88" t="s">
        <v>38</v>
      </c>
      <c r="D1212" s="32"/>
      <c r="E1212" s="93">
        <v>-32760.5</v>
      </c>
      <c r="F1212" s="32"/>
      <c r="G1212" s="93">
        <v>-4754.76</v>
      </c>
      <c r="H1212" s="93">
        <v>17236.05</v>
      </c>
      <c r="I1212" s="93">
        <v>818.56</v>
      </c>
      <c r="J1212" s="93">
        <v>-74137.33</v>
      </c>
      <c r="K1212" s="32"/>
      <c r="L1212" s="32"/>
      <c r="M1212" s="32"/>
      <c r="N1212" s="32"/>
      <c r="O1212" s="93">
        <v>721811.0</v>
      </c>
      <c r="P1212" s="91">
        <f>IFERROR(__xludf.DUMMYFUNCTION("IFERROR(sum(FILTER($D:$N,$C:$C = $C1212,$A:$A &lt; $A1212,$B:$B = 12)),0) + sum($D1212:$N1212)"),721810.1599999999)</f>
        <v>721810.16</v>
      </c>
      <c r="Q1212" s="92">
        <f t="shared" si="1"/>
        <v>0.8400000001</v>
      </c>
      <c r="R1212" s="91">
        <f t="array" ref="R1212">IFERROR(INDEX('Fund YTD Target Values'!$1:$1000, MATCH($C1212,'Fund YTD Target Values'!$A:$A,0), MATCH($A1212,'Fund YTD Target Values'!$1:$1,0)),0)</f>
        <v>702514.9803</v>
      </c>
      <c r="S1212" s="91">
        <f>IFERROR(__xludf.DUMMYFUNCTION("IFERROR(sum(FILTER('Fund Investment Data'!$V:$V, 'Fund Investment Data'!$C:$C = $C1212, 'Fund Investment Data'!$A:$A &lt; $A1212)),0) + IFERROR(sum(FILTER('Fund Investment Data'!$V:$V, 'Fund Investment Data'!$C:$C = $C1212, 'Fund Investment Data'!$A:$A = $A1"&amp;"212, 'Fund Investment Data'!$B:$B &lt;= $B1212)),0)"),556601.64)</f>
        <v>556601.64</v>
      </c>
      <c r="T1212" s="93">
        <v>558656.0</v>
      </c>
      <c r="U1212" s="32">
        <f t="shared" si="22"/>
        <v>-2054.36</v>
      </c>
      <c r="V1212" s="32">
        <f>IFERROR(__xludf.DUMMYFUNCTION("$D1212 - IFERROR(FILTER($D:$D,$C:$C = $C1212, $A:$A = $A1212, $B:$B = $B1212 - 1),0)"),0.0)</f>
        <v>0</v>
      </c>
      <c r="W1212" s="93">
        <f>IFERROR(__xludf.DUMMYFUNCTION("$E1212 - IFERROR(FILTER($E:$E,$C:$C = $C1212, $A:$A = $A1212, $B:$B = $B1212 - 1),0)"),0.0)</f>
        <v>0</v>
      </c>
      <c r="X1212" s="91"/>
      <c r="Y1212" s="91"/>
      <c r="Z1212" s="91">
        <v>30859.3768753038</v>
      </c>
      <c r="AA1212" s="93">
        <v>0.0</v>
      </c>
      <c r="AB1212" s="93">
        <v>0.0</v>
      </c>
      <c r="AC1212" s="32">
        <f>IFERROR(__xludf.DUMMYFUNCTION("IFERROR(FILTER($AF:$AF,$C:$C = $C1212,$A:$A = $A1212 - 1,$B:$B = 12),0)"),0.0)</f>
        <v>0</v>
      </c>
      <c r="AD1212" s="32">
        <f t="shared" si="23"/>
        <v>30859.37688</v>
      </c>
      <c r="AE1212" s="32">
        <f t="shared" si="2"/>
        <v>-1901.123125</v>
      </c>
      <c r="AF1212" s="93">
        <v>0.0</v>
      </c>
    </row>
    <row r="1213">
      <c r="A1213" s="86">
        <v>2018.0</v>
      </c>
      <c r="B1213" s="87">
        <v>12.0</v>
      </c>
      <c r="C1213" s="88" t="s">
        <v>30</v>
      </c>
      <c r="D1213" s="32"/>
      <c r="E1213" s="32"/>
      <c r="F1213" s="32"/>
      <c r="G1213" s="93">
        <v>-102.95</v>
      </c>
      <c r="H1213" s="93">
        <v>368.84</v>
      </c>
      <c r="I1213" s="32"/>
      <c r="J1213" s="93">
        <v>-1594.22</v>
      </c>
      <c r="K1213" s="32"/>
      <c r="L1213" s="32"/>
      <c r="M1213" s="32"/>
      <c r="N1213" s="32"/>
      <c r="O1213" s="93">
        <v>16041.0</v>
      </c>
      <c r="P1213" s="91">
        <f>IFERROR(__xludf.DUMMYFUNCTION("IFERROR(sum(FILTER($D:$N,$C:$C = $C1213,$A:$A &lt; $A1213,$B:$B = 12)),0) + sum($D1213:$N1213)"),16039.079999999985)</f>
        <v>16039.08</v>
      </c>
      <c r="Q1213" s="92">
        <f t="shared" si="1"/>
        <v>1.92</v>
      </c>
      <c r="R1213" s="91">
        <f t="array" ref="R1213">IFERROR(INDEX('Fund YTD Target Values'!$1:$1000, MATCH($C1213,'Fund YTD Target Values'!$A:$A,0), MATCH($A1213,'Fund YTD Target Values'!$1:$1,0)),0)</f>
        <v>18484.57102</v>
      </c>
      <c r="S1213" s="91">
        <f>IFERROR(__xludf.DUMMYFUNCTION("IFERROR(sum(FILTER('Fund Investment Data'!$V:$V, 'Fund Investment Data'!$C:$C = $C1213, 'Fund Investment Data'!$A:$A &lt; $A1213)),0) + IFERROR(sum(FILTER('Fund Investment Data'!$V:$V, 'Fund Investment Data'!$C:$C = $C1213, 'Fund Investment Data'!$A:$A = $A1"&amp;"213, 'Fund Investment Data'!$B:$B &lt;= $B1213)),0)"),11540.75)</f>
        <v>11540.75</v>
      </c>
      <c r="T1213" s="93">
        <v>10000.0</v>
      </c>
      <c r="U1213" s="32">
        <f t="shared" si="22"/>
        <v>1540.75</v>
      </c>
      <c r="V1213" s="32">
        <f>IFERROR(__xludf.DUMMYFUNCTION("$D1213 - IFERROR(FILTER($D:$D,$C:$C = $C1213, $A:$A = $A1213, $B:$B = $B1213 - 1),0)"),0.0)</f>
        <v>0</v>
      </c>
      <c r="W1213" s="93">
        <f>IFERROR(__xludf.DUMMYFUNCTION("$E1213 - IFERROR(FILTER($E:$E,$C:$C = $C1213, $A:$A = $A1213, $B:$B = $B1213 - 1),0)"),0.0)</f>
        <v>0</v>
      </c>
      <c r="X1213" s="91"/>
      <c r="Y1213" s="91"/>
      <c r="Z1213" s="91">
        <v>781.5334499999993</v>
      </c>
      <c r="AA1213" s="93">
        <v>0.0</v>
      </c>
      <c r="AB1213" s="93">
        <v>0.0</v>
      </c>
      <c r="AC1213" s="32">
        <f>IFERROR(__xludf.DUMMYFUNCTION("IFERROR(FILTER($AF:$AF,$C:$C = $C1213,$A:$A = $A1213 - 1,$B:$B = 12),0)"),0.0)</f>
        <v>0</v>
      </c>
      <c r="AD1213" s="32">
        <f t="shared" si="23"/>
        <v>781.53345</v>
      </c>
      <c r="AE1213" s="32">
        <f t="shared" si="2"/>
        <v>781.53345</v>
      </c>
      <c r="AF1213" s="93">
        <v>0.0</v>
      </c>
    </row>
    <row r="1214">
      <c r="A1214" s="86">
        <v>2018.0</v>
      </c>
      <c r="B1214" s="87">
        <v>12.0</v>
      </c>
      <c r="C1214" s="88" t="s">
        <v>47</v>
      </c>
      <c r="D1214" s="32"/>
      <c r="E1214" s="93">
        <v>-71335.0</v>
      </c>
      <c r="F1214" s="32"/>
      <c r="G1214" s="93">
        <v>-8821.0</v>
      </c>
      <c r="H1214" s="93">
        <v>32070.8</v>
      </c>
      <c r="I1214" s="93">
        <v>16367.8</v>
      </c>
      <c r="J1214" s="93">
        <v>-151234.28</v>
      </c>
      <c r="K1214" s="32"/>
      <c r="L1214" s="32"/>
      <c r="M1214" s="32"/>
      <c r="N1214" s="32"/>
      <c r="O1214" s="93">
        <v>1331298.0</v>
      </c>
      <c r="P1214" s="91">
        <f>IFERROR(__xludf.DUMMYFUNCTION("IFERROR(sum(FILTER($D:$N,$C:$C = $C1214,$A:$A &lt; $A1214,$B:$B = 12)),0) + sum($D1214:$N1214)"),1331297.9599999997)</f>
        <v>1331297.96</v>
      </c>
      <c r="Q1214" s="92">
        <f t="shared" si="1"/>
        <v>0.04000000027</v>
      </c>
      <c r="R1214" s="91">
        <f t="array" ref="R1214">IFERROR(INDEX('Fund YTD Target Values'!$1:$1000, MATCH($C1214,'Fund YTD Target Values'!$A:$A,0), MATCH($A1214,'Fund YTD Target Values'!$1:$1,0)),0)</f>
        <v>1998729.212</v>
      </c>
      <c r="S1214" s="91">
        <f>IFERROR(__xludf.DUMMYFUNCTION("IFERROR(sum(FILTER('Fund Investment Data'!$V:$V, 'Fund Investment Data'!$C:$C = $C1214, 'Fund Investment Data'!$A:$A &lt; $A1214)),0) + IFERROR(sum(FILTER('Fund Investment Data'!$V:$V, 'Fund Investment Data'!$C:$C = $C1214, 'Fund Investment Data'!$A:$A = $A1"&amp;"214, 'Fund Investment Data'!$B:$B &lt;= $B1214)),0)"),1456367.46)</f>
        <v>1456367.46</v>
      </c>
      <c r="T1214" s="93">
        <v>1348955.0</v>
      </c>
      <c r="U1214" s="32">
        <f t="shared" si="22"/>
        <v>107412.46</v>
      </c>
      <c r="V1214" s="32">
        <f>IFERROR(__xludf.DUMMYFUNCTION("$D1214 - IFERROR(FILTER($D:$D,$C:$C = $C1214, $A:$A = $A1214, $B:$B = $B1214 - 1),0)"),0.0)</f>
        <v>0</v>
      </c>
      <c r="W1214" s="93">
        <f>IFERROR(__xludf.DUMMYFUNCTION("$E1214 - IFERROR(FILTER($E:$E,$C:$C = $C1214, $A:$A = $A1214, $B:$B = $B1214 - 1),0)"),0.0)</f>
        <v>0</v>
      </c>
      <c r="X1214" s="91"/>
      <c r="Y1214" s="91"/>
      <c r="Z1214" s="91">
        <v>67691.23379999996</v>
      </c>
      <c r="AA1214" s="93">
        <v>450.0</v>
      </c>
      <c r="AB1214" s="93">
        <v>0.0</v>
      </c>
      <c r="AC1214" s="32">
        <f>IFERROR(__xludf.DUMMYFUNCTION("IFERROR(FILTER($AF:$AF,$C:$C = $C1214,$A:$A = $A1214 - 1,$B:$B = 12),0)"),0.0)</f>
        <v>0</v>
      </c>
      <c r="AD1214" s="32">
        <f t="shared" si="23"/>
        <v>68141.2338</v>
      </c>
      <c r="AE1214" s="32">
        <f t="shared" si="2"/>
        <v>-3193.7662</v>
      </c>
      <c r="AF1214" s="93">
        <v>0.0</v>
      </c>
    </row>
    <row r="1215">
      <c r="A1215" s="86">
        <v>2018.0</v>
      </c>
      <c r="B1215" s="87">
        <v>12.0</v>
      </c>
      <c r="C1215" s="88" t="s">
        <v>31</v>
      </c>
      <c r="D1215" s="32"/>
      <c r="E1215" s="93">
        <v>-9800.0</v>
      </c>
      <c r="F1215" s="32"/>
      <c r="G1215" s="93">
        <v>-1101.7</v>
      </c>
      <c r="H1215" s="93">
        <v>4005.99</v>
      </c>
      <c r="I1215" s="93">
        <v>2485.83</v>
      </c>
      <c r="J1215" s="93">
        <v>-19251.75</v>
      </c>
      <c r="K1215" s="32"/>
      <c r="L1215" s="32"/>
      <c r="M1215" s="32"/>
      <c r="N1215" s="32"/>
      <c r="O1215" s="93">
        <v>165598.0</v>
      </c>
      <c r="P1215" s="91">
        <f>IFERROR(__xludf.DUMMYFUNCTION("IFERROR(sum(FILTER($D:$N,$C:$C = $C1215,$A:$A &lt; $A1215,$B:$B = 12)),0) + sum($D1215:$N1215)"),165597.72000000003)</f>
        <v>165597.72</v>
      </c>
      <c r="Q1215" s="92">
        <f t="shared" si="1"/>
        <v>0.28</v>
      </c>
      <c r="R1215" s="91">
        <f t="array" ref="R1215">IFERROR(INDEX('Fund YTD Target Values'!$1:$1000, MATCH($C1215,'Fund YTD Target Values'!$A:$A,0), MATCH($A1215,'Fund YTD Target Values'!$1:$1,0)),0)</f>
        <v>210555.1651</v>
      </c>
      <c r="S1215" s="91">
        <f>IFERROR(__xludf.DUMMYFUNCTION("IFERROR(sum(FILTER('Fund Investment Data'!$V:$V, 'Fund Investment Data'!$C:$C = $C1215, 'Fund Investment Data'!$A:$A &lt; $A1215)),0) + IFERROR(sum(FILTER('Fund Investment Data'!$V:$V, 'Fund Investment Data'!$C:$C = $C1215, 'Fund Investment Data'!$A:$A = $A1"&amp;"215, 'Fund Investment Data'!$B:$B &lt;= $B1215)),0)"),158100.0)</f>
        <v>158100</v>
      </c>
      <c r="T1215" s="93">
        <v>156850.0</v>
      </c>
      <c r="U1215" s="32">
        <f t="shared" si="22"/>
        <v>1250</v>
      </c>
      <c r="V1215" s="32">
        <f>IFERROR(__xludf.DUMMYFUNCTION("$D1215 - IFERROR(FILTER($D:$D,$C:$C = $C1215, $A:$A = $A1215, $B:$B = $B1215 - 1),0)"),0.0)</f>
        <v>0</v>
      </c>
      <c r="W1215" s="93">
        <f>IFERROR(__xludf.DUMMYFUNCTION("$E1215 - IFERROR(FILTER($E:$E,$C:$C = $C1215, $A:$A = $A1215, $B:$B = $B1215 - 1),0)"),0.0)</f>
        <v>0</v>
      </c>
      <c r="X1215" s="91"/>
      <c r="Y1215" s="91"/>
      <c r="Z1215" s="91">
        <v>8516.670750000001</v>
      </c>
      <c r="AA1215" s="93">
        <v>0.0</v>
      </c>
      <c r="AB1215" s="93">
        <v>135.0</v>
      </c>
      <c r="AC1215" s="32">
        <f>IFERROR(__xludf.DUMMYFUNCTION("IFERROR(FILTER($AF:$AF,$C:$C = $C1215,$A:$A = $A1215 - 1,$B:$B = 12),0)"),0.0)</f>
        <v>0</v>
      </c>
      <c r="AD1215" s="32">
        <f t="shared" si="23"/>
        <v>8651.67075</v>
      </c>
      <c r="AE1215" s="32">
        <f t="shared" si="2"/>
        <v>-1148.32925</v>
      </c>
      <c r="AF1215" s="93">
        <v>0.0</v>
      </c>
    </row>
    <row r="1216">
      <c r="A1216" s="86">
        <v>2018.0</v>
      </c>
      <c r="B1216" s="87">
        <v>12.0</v>
      </c>
      <c r="C1216" s="88" t="s">
        <v>39</v>
      </c>
      <c r="D1216" s="93">
        <v>15000.0</v>
      </c>
      <c r="E1216" s="93">
        <v>-8338.0</v>
      </c>
      <c r="F1216" s="32"/>
      <c r="G1216" s="93">
        <v>-1069.15</v>
      </c>
      <c r="H1216" s="93">
        <v>3751.3</v>
      </c>
      <c r="I1216" s="93">
        <v>787.64</v>
      </c>
      <c r="J1216" s="93">
        <v>-19034.79</v>
      </c>
      <c r="K1216" s="32"/>
      <c r="L1216" s="32"/>
      <c r="M1216" s="32"/>
      <c r="N1216" s="32"/>
      <c r="O1216" s="93">
        <v>170820.0</v>
      </c>
      <c r="P1216" s="91">
        <f>IFERROR(__xludf.DUMMYFUNCTION("IFERROR(sum(FILTER($D:$N,$C:$C = $C1216,$A:$A &lt; $A1216,$B:$B = 12)),0) + sum($D1216:$N1216)"),170820.26000000004)</f>
        <v>170820.26</v>
      </c>
      <c r="Q1216" s="92">
        <f t="shared" si="1"/>
        <v>-0.26</v>
      </c>
      <c r="R1216" s="91">
        <f t="array" ref="R1216">IFERROR(INDEX('Fund YTD Target Values'!$1:$1000, MATCH($C1216,'Fund YTD Target Values'!$A:$A,0), MATCH($A1216,'Fund YTD Target Values'!$1:$1,0)),0)</f>
        <v>184883.5181</v>
      </c>
      <c r="S1216" s="91">
        <f>IFERROR(__xludf.DUMMYFUNCTION("IFERROR(sum(FILTER('Fund Investment Data'!$V:$V, 'Fund Investment Data'!$C:$C = $C1216, 'Fund Investment Data'!$A:$A &lt; $A1216)),0) + IFERROR(sum(FILTER('Fund Investment Data'!$V:$V, 'Fund Investment Data'!$C:$C = $C1216, 'Fund Investment Data'!$A:$A = $A1"&amp;"216, 'Fund Investment Data'!$B:$B &lt;= $B1216)),0)"),170000.0)</f>
        <v>170000</v>
      </c>
      <c r="T1216" s="93">
        <v>170000.0</v>
      </c>
      <c r="U1216" s="32">
        <f t="shared" si="22"/>
        <v>0</v>
      </c>
      <c r="V1216" s="32">
        <f>IFERROR(__xludf.DUMMYFUNCTION("$D1216 - IFERROR(FILTER($D:$D,$C:$C = $C1216, $A:$A = $A1216, $B:$B = $B1216 - 1),0)"),0.0)</f>
        <v>0</v>
      </c>
      <c r="W1216" s="93">
        <f>IFERROR(__xludf.DUMMYFUNCTION("$E1216 - IFERROR(FILTER($E:$E,$C:$C = $C1216, $A:$A = $A1216, $B:$B = $B1216 - 1),0)"),0.0)</f>
        <v>0</v>
      </c>
      <c r="X1216" s="91"/>
      <c r="Y1216" s="91"/>
      <c r="Z1216" s="91">
        <v>6787.473624336669</v>
      </c>
      <c r="AA1216" s="93">
        <v>338.0625</v>
      </c>
      <c r="AB1216" s="93">
        <v>675.0</v>
      </c>
      <c r="AC1216" s="32">
        <f>IFERROR(__xludf.DUMMYFUNCTION("IFERROR(FILTER($AF:$AF,$C:$C = $C1216,$A:$A = $A1216 - 1,$B:$B = 12),0)"),0.0)</f>
        <v>0</v>
      </c>
      <c r="AD1216" s="32">
        <f t="shared" si="23"/>
        <v>7800.536124</v>
      </c>
      <c r="AE1216" s="32">
        <f t="shared" si="2"/>
        <v>-537.4638757</v>
      </c>
      <c r="AF1216" s="93">
        <v>0.0</v>
      </c>
    </row>
    <row r="1217">
      <c r="A1217" s="86">
        <v>2018.0</v>
      </c>
      <c r="B1217" s="87">
        <v>12.0</v>
      </c>
      <c r="C1217" s="88" t="s">
        <v>50</v>
      </c>
      <c r="D1217" s="32"/>
      <c r="E1217" s="93">
        <v>-10000.0</v>
      </c>
      <c r="F1217" s="32"/>
      <c r="G1217" s="93">
        <v>-1256.41</v>
      </c>
      <c r="H1217" s="93">
        <v>4501.1</v>
      </c>
      <c r="I1217" s="93">
        <v>849.45</v>
      </c>
      <c r="J1217" s="93">
        <v>-20004.42</v>
      </c>
      <c r="K1217" s="32"/>
      <c r="L1217" s="32"/>
      <c r="M1217" s="32"/>
      <c r="N1217" s="32"/>
      <c r="O1217" s="93">
        <v>189554.0</v>
      </c>
      <c r="P1217" s="91">
        <f>IFERROR(__xludf.DUMMYFUNCTION("IFERROR(sum(FILTER($D:$N,$C:$C = $C1217,$A:$A &lt; $A1217,$B:$B = 12)),0) + sum($D1217:$N1217)"),189553.83)</f>
        <v>189553.83</v>
      </c>
      <c r="Q1217" s="92">
        <f t="shared" si="1"/>
        <v>0.17</v>
      </c>
      <c r="R1217" s="91">
        <f t="array" ref="R1217">IFERROR(INDEX('Fund YTD Target Values'!$1:$1000, MATCH($C1217,'Fund YTD Target Values'!$A:$A,0), MATCH($A1217,'Fund YTD Target Values'!$1:$1,0)),0)</f>
        <v>217663.6749</v>
      </c>
      <c r="S1217" s="91">
        <f>IFERROR(__xludf.DUMMYFUNCTION("IFERROR(sum(FILTER('Fund Investment Data'!$V:$V, 'Fund Investment Data'!$C:$C = $C1217, 'Fund Investment Data'!$A:$A &lt; $A1217)),0) + IFERROR(sum(FILTER('Fund Investment Data'!$V:$V, 'Fund Investment Data'!$C:$C = $C1217, 'Fund Investment Data'!$A:$A = $A1"&amp;"217, 'Fund Investment Data'!$B:$B &lt;= $B1217)),0)"),185189.56)</f>
        <v>185189.56</v>
      </c>
      <c r="T1217" s="93">
        <v>190241.0</v>
      </c>
      <c r="U1217" s="32">
        <f t="shared" si="22"/>
        <v>-5051.44</v>
      </c>
      <c r="V1217" s="32">
        <f>IFERROR(__xludf.DUMMYFUNCTION("$D1217 - IFERROR(FILTER($D:$D,$C:$C = $C1217, $A:$A = $A1217, $B:$B = $B1217 - 1),0)"),0.0)</f>
        <v>0</v>
      </c>
      <c r="W1217" s="93">
        <f>IFERROR(__xludf.DUMMYFUNCTION("$E1217 - IFERROR(FILTER($E:$E,$C:$C = $C1217, $A:$A = $A1217, $B:$B = $B1217 - 1),0)"),0.0)</f>
        <v>0</v>
      </c>
      <c r="X1217" s="91"/>
      <c r="Y1217" s="91"/>
      <c r="Z1217" s="91">
        <v>9561.312658903416</v>
      </c>
      <c r="AA1217" s="93">
        <v>0.0</v>
      </c>
      <c r="AB1217" s="93">
        <v>900.0</v>
      </c>
      <c r="AC1217" s="32">
        <f>IFERROR(__xludf.DUMMYFUNCTION("IFERROR(FILTER($AF:$AF,$C:$C = $C1217,$A:$A = $A1217 - 1,$B:$B = 12),0)"),0.0)</f>
        <v>0</v>
      </c>
      <c r="AD1217" s="32">
        <f t="shared" si="23"/>
        <v>10461.31266</v>
      </c>
      <c r="AE1217" s="32">
        <f t="shared" si="2"/>
        <v>461.3126589</v>
      </c>
      <c r="AF1217" s="93">
        <v>0.0</v>
      </c>
    </row>
    <row r="1218">
      <c r="A1218" s="86">
        <v>2018.0</v>
      </c>
      <c r="B1218" s="87">
        <v>12.0</v>
      </c>
      <c r="C1218" s="88" t="s">
        <v>32</v>
      </c>
      <c r="D1218" s="32"/>
      <c r="E1218" s="93">
        <v>-2000.0</v>
      </c>
      <c r="F1218" s="32"/>
      <c r="G1218" s="93">
        <v>-312.91</v>
      </c>
      <c r="H1218" s="93">
        <v>1126.62</v>
      </c>
      <c r="I1218" s="93">
        <v>135.67</v>
      </c>
      <c r="J1218" s="93">
        <v>-4930.05</v>
      </c>
      <c r="K1218" s="32"/>
      <c r="L1218" s="32"/>
      <c r="M1218" s="32"/>
      <c r="N1218" s="32"/>
      <c r="O1218" s="93">
        <v>47451.0</v>
      </c>
      <c r="P1218" s="91">
        <f>IFERROR(__xludf.DUMMYFUNCTION("IFERROR(sum(FILTER($D:$N,$C:$C = $C1218,$A:$A &lt; $A1218,$B:$B = 12)),0) + sum($D1218:$N1218)"),47450.15000000003)</f>
        <v>47450.15</v>
      </c>
      <c r="Q1218" s="92">
        <f t="shared" si="1"/>
        <v>0.85</v>
      </c>
      <c r="R1218" s="91">
        <f t="array" ref="R1218">IFERROR(INDEX('Fund YTD Target Values'!$1:$1000, MATCH($C1218,'Fund YTD Target Values'!$A:$A,0), MATCH($A1218,'Fund YTD Target Values'!$1:$1,0)),0)</f>
        <v>79179.11465</v>
      </c>
      <c r="S1218" s="91">
        <f>IFERROR(__xludf.DUMMYFUNCTION("IFERROR(sum(FILTER('Fund Investment Data'!$V:$V, 'Fund Investment Data'!$C:$C = $C1218, 'Fund Investment Data'!$A:$A &lt; $A1218)),0) + IFERROR(sum(FILTER('Fund Investment Data'!$V:$V, 'Fund Investment Data'!$C:$C = $C1218, 'Fund Investment Data'!$A:$A = $A1"&amp;"218, 'Fund Investment Data'!$B:$B &lt;= $B1218)),0)"),49449.04)</f>
        <v>49449.04</v>
      </c>
      <c r="T1218" s="93">
        <v>39268.0</v>
      </c>
      <c r="U1218" s="32">
        <f t="shared" si="22"/>
        <v>10181.04</v>
      </c>
      <c r="V1218" s="32">
        <f>IFERROR(__xludf.DUMMYFUNCTION("$D1218 - IFERROR(FILTER($D:$D,$C:$C = $C1218, $A:$A = $A1218, $B:$B = $B1218 - 1),0)"),0.0)</f>
        <v>0</v>
      </c>
      <c r="W1218" s="93">
        <f>IFERROR(__xludf.DUMMYFUNCTION("$E1218 - IFERROR(FILTER($E:$E,$C:$C = $C1218, $A:$A = $A1218, $B:$B = $B1218 - 1),0)"),0.0)</f>
        <v>0</v>
      </c>
      <c r="X1218" s="91"/>
      <c r="Y1218" s="91"/>
      <c r="Z1218" s="91">
        <v>2404.3869000000013</v>
      </c>
      <c r="AA1218" s="93">
        <v>0.0</v>
      </c>
      <c r="AB1218" s="93">
        <v>0.0</v>
      </c>
      <c r="AC1218" s="32">
        <f>IFERROR(__xludf.DUMMYFUNCTION("IFERROR(FILTER($AF:$AF,$C:$C = $C1218,$A:$A = $A1218 - 1,$B:$B = 12),0)"),0.0)</f>
        <v>0</v>
      </c>
      <c r="AD1218" s="32">
        <f t="shared" si="23"/>
        <v>2404.3869</v>
      </c>
      <c r="AE1218" s="32">
        <f t="shared" si="2"/>
        <v>404.3869</v>
      </c>
      <c r="AF1218" s="93">
        <v>0.0</v>
      </c>
    </row>
    <row r="1219">
      <c r="A1219" s="86">
        <v>2018.0</v>
      </c>
      <c r="B1219" s="87">
        <v>12.0</v>
      </c>
      <c r="C1219" s="88" t="s">
        <v>40</v>
      </c>
      <c r="D1219" s="32"/>
      <c r="E1219" s="93">
        <v>-7000.0</v>
      </c>
      <c r="F1219" s="32"/>
      <c r="G1219" s="93">
        <v>-901.9</v>
      </c>
      <c r="H1219" s="93">
        <v>3277.04</v>
      </c>
      <c r="I1219" s="93">
        <v>1389.77</v>
      </c>
      <c r="J1219" s="93">
        <v>-15132.51</v>
      </c>
      <c r="K1219" s="32"/>
      <c r="L1219" s="32"/>
      <c r="M1219" s="32"/>
      <c r="N1219" s="32"/>
      <c r="O1219" s="93">
        <v>136445.0</v>
      </c>
      <c r="P1219" s="91">
        <f>IFERROR(__xludf.DUMMYFUNCTION("IFERROR(sum(FILTER($D:$N,$C:$C = $C1219,$A:$A &lt; $A1219,$B:$B = 12)),0) + sum($D1219:$N1219)"),136445.10999999993)</f>
        <v>136445.11</v>
      </c>
      <c r="Q1219" s="92">
        <f t="shared" si="1"/>
        <v>-0.1099999999</v>
      </c>
      <c r="R1219" s="91">
        <f t="array" ref="R1219">IFERROR(INDEX('Fund YTD Target Values'!$1:$1000, MATCH($C1219,'Fund YTD Target Values'!$A:$A,0), MATCH($A1219,'Fund YTD Target Values'!$1:$1,0)),0)</f>
        <v>161362.9699</v>
      </c>
      <c r="S1219" s="91">
        <f>IFERROR(__xludf.DUMMYFUNCTION("IFERROR(sum(FILTER('Fund Investment Data'!$V:$V, 'Fund Investment Data'!$C:$C = $C1219, 'Fund Investment Data'!$A:$A &lt; $A1219)),0) + IFERROR(sum(FILTER('Fund Investment Data'!$V:$V, 'Fund Investment Data'!$C:$C = $C1219, 'Fund Investment Data'!$A:$A = $A1"&amp;"219, 'Fund Investment Data'!$B:$B &lt;= $B1219)),0)"),129703.74)</f>
        <v>129703.74</v>
      </c>
      <c r="T1219" s="93">
        <v>129723.0</v>
      </c>
      <c r="U1219" s="32">
        <f t="shared" si="22"/>
        <v>-19.26</v>
      </c>
      <c r="V1219" s="32">
        <f>IFERROR(__xludf.DUMMYFUNCTION("$D1219 - IFERROR(FILTER($D:$D,$C:$C = $C1219, $A:$A = $A1219, $B:$B = $B1219 - 1),0)"),0.0)</f>
        <v>0</v>
      </c>
      <c r="W1219" s="93">
        <f>IFERROR(__xludf.DUMMYFUNCTION("$E1219 - IFERROR(FILTER($E:$E,$C:$C = $C1219, $A:$A = $A1219, $B:$B = $B1219 - 1),0)"),0.0)</f>
        <v>0</v>
      </c>
      <c r="X1219" s="91"/>
      <c r="Y1219" s="91"/>
      <c r="Z1219" s="91">
        <v>6966.571949999998</v>
      </c>
      <c r="AA1219" s="93">
        <v>0.0</v>
      </c>
      <c r="AB1219" s="93">
        <v>0.0</v>
      </c>
      <c r="AC1219" s="32">
        <f>IFERROR(__xludf.DUMMYFUNCTION("IFERROR(FILTER($AF:$AF,$C:$C = $C1219,$A:$A = $A1219 - 1,$B:$B = 12),0)"),0.0)</f>
        <v>0</v>
      </c>
      <c r="AD1219" s="32">
        <f t="shared" si="23"/>
        <v>6966.57195</v>
      </c>
      <c r="AE1219" s="32">
        <f t="shared" si="2"/>
        <v>-33.42805</v>
      </c>
      <c r="AF1219" s="93">
        <v>0.0</v>
      </c>
    </row>
    <row r="1220">
      <c r="A1220" s="86">
        <v>2018.0</v>
      </c>
      <c r="B1220" s="87">
        <v>12.0</v>
      </c>
      <c r="C1220" s="88" t="s">
        <v>51</v>
      </c>
      <c r="D1220" s="93">
        <v>2650.0</v>
      </c>
      <c r="E1220" s="93">
        <v>-25143.0</v>
      </c>
      <c r="F1220" s="93">
        <v>14700.0</v>
      </c>
      <c r="G1220" s="93">
        <v>-2823.47</v>
      </c>
      <c r="H1220" s="93">
        <v>10226.23</v>
      </c>
      <c r="I1220" s="93">
        <v>1507.92</v>
      </c>
      <c r="J1220" s="93">
        <v>-44339.6</v>
      </c>
      <c r="K1220" s="32"/>
      <c r="L1220" s="32"/>
      <c r="M1220" s="32"/>
      <c r="N1220" s="32"/>
      <c r="O1220" s="93">
        <v>442130.0</v>
      </c>
      <c r="P1220" s="91">
        <f>IFERROR(__xludf.DUMMYFUNCTION("IFERROR(sum(FILTER($D:$N,$C:$C = $C1220,$A:$A &lt; $A1220,$B:$B = 12)),0) + sum($D1220:$N1220)"),442130.01000000007)</f>
        <v>442130.01</v>
      </c>
      <c r="Q1220" s="92">
        <f t="shared" si="1"/>
        <v>-0.01000000007</v>
      </c>
      <c r="R1220" s="91">
        <f t="array" ref="R1220">IFERROR(INDEX('Fund YTD Target Values'!$1:$1000, MATCH($C1220,'Fund YTD Target Values'!$A:$A,0), MATCH($A1220,'Fund YTD Target Values'!$1:$1,0)),0)</f>
        <v>451180.3592</v>
      </c>
      <c r="S1220" s="91">
        <f>IFERROR(__xludf.DUMMYFUNCTION("IFERROR(sum(FILTER('Fund Investment Data'!$V:$V, 'Fund Investment Data'!$C:$C = $C1220, 'Fund Investment Data'!$A:$A &lt; $A1220)),0) + IFERROR(sum(FILTER('Fund Investment Data'!$V:$V, 'Fund Investment Data'!$C:$C = $C1220, 'Fund Investment Data'!$A:$A = $A1"&amp;"220, 'Fund Investment Data'!$B:$B &lt;= $B1220)),0)"),419073.55)</f>
        <v>419073.55</v>
      </c>
      <c r="T1220" s="93">
        <v>424146.0</v>
      </c>
      <c r="U1220" s="32">
        <f t="shared" si="22"/>
        <v>-5072.45</v>
      </c>
      <c r="V1220" s="32">
        <f>IFERROR(__xludf.DUMMYFUNCTION("$D1220 - IFERROR(FILTER($D:$D,$C:$C = $C1220, $A:$A = $A1220, $B:$B = $B1220 - 1),0)"),0.0)</f>
        <v>0</v>
      </c>
      <c r="W1220" s="93">
        <f>IFERROR(__xludf.DUMMYFUNCTION("$E1220 - IFERROR(FILTER($E:$E,$C:$C = $C1220, $A:$A = $A1220, $B:$B = $B1220 - 1),0)"),0.0)</f>
        <v>0</v>
      </c>
      <c r="X1220" s="91"/>
      <c r="Y1220" s="91"/>
      <c r="Z1220" s="91">
        <v>19554.093940855593</v>
      </c>
      <c r="AA1220" s="93">
        <v>144.5625</v>
      </c>
      <c r="AB1220" s="93">
        <v>112.5</v>
      </c>
      <c r="AC1220" s="32">
        <f>IFERROR(__xludf.DUMMYFUNCTION("IFERROR(FILTER($AF:$AF,$C:$C = $C1220,$A:$A = $A1220 - 1,$B:$B = 12),0)"),0.0)</f>
        <v>0</v>
      </c>
      <c r="AD1220" s="32">
        <f t="shared" si="23"/>
        <v>19811.15644</v>
      </c>
      <c r="AE1220" s="32">
        <f t="shared" si="2"/>
        <v>-5331.843559</v>
      </c>
      <c r="AF1220" s="93">
        <v>14700.0</v>
      </c>
    </row>
    <row r="1221">
      <c r="A1221" s="86">
        <v>2018.0</v>
      </c>
      <c r="B1221" s="87">
        <v>12.0</v>
      </c>
      <c r="C1221" s="88" t="s">
        <v>48</v>
      </c>
      <c r="D1221" s="32"/>
      <c r="E1221" s="93">
        <v>-63750.0</v>
      </c>
      <c r="F1221" s="32"/>
      <c r="G1221" s="93">
        <v>-7261.88</v>
      </c>
      <c r="H1221" s="93">
        <v>26410.14</v>
      </c>
      <c r="I1221" s="93">
        <v>15034.67</v>
      </c>
      <c r="J1221" s="93">
        <v>-125861.21</v>
      </c>
      <c r="K1221" s="32"/>
      <c r="L1221" s="32"/>
      <c r="M1221" s="32"/>
      <c r="N1221" s="32"/>
      <c r="O1221" s="93">
        <v>1093215.0</v>
      </c>
      <c r="P1221" s="91">
        <f>IFERROR(__xludf.DUMMYFUNCTION("IFERROR(sum(FILTER($D:$N,$C:$C = $C1221,$A:$A &lt; $A1221,$B:$B = 12)),0) + sum($D1221:$N1221)"),1093213.3899999997)</f>
        <v>1093213.39</v>
      </c>
      <c r="Q1221" s="92">
        <f t="shared" si="1"/>
        <v>1.61</v>
      </c>
      <c r="R1221" s="91">
        <f t="array" ref="R1221">IFERROR(INDEX('Fund YTD Target Values'!$1:$1000, MATCH($C1221,'Fund YTD Target Values'!$A:$A,0), MATCH($A1221,'Fund YTD Target Values'!$1:$1,0)),0)</f>
        <v>1896274.236</v>
      </c>
      <c r="S1221" s="91">
        <f>IFERROR(__xludf.DUMMYFUNCTION("IFERROR(sum(FILTER('Fund Investment Data'!$V:$V, 'Fund Investment Data'!$C:$C = $C1221, 'Fund Investment Data'!$A:$A &lt; $A1221)),0) + IFERROR(sum(FILTER('Fund Investment Data'!$V:$V, 'Fund Investment Data'!$C:$C = $C1221, 'Fund Investment Data'!$A:$A = $A1"&amp;"221, 'Fund Investment Data'!$B:$B &lt;= $B1221)),0)"),1183929.39)</f>
        <v>1183929.39</v>
      </c>
      <c r="T1221" s="93">
        <v>1140040.0</v>
      </c>
      <c r="U1221" s="32">
        <f t="shared" si="22"/>
        <v>43889.39</v>
      </c>
      <c r="V1221" s="32">
        <f>IFERROR(__xludf.DUMMYFUNCTION("$D1221 - IFERROR(FILTER($D:$D,$C:$C = $C1221, $A:$A = $A1221, $B:$B = $B1221 - 1),0)"),0.0)</f>
        <v>0</v>
      </c>
      <c r="W1221" s="93">
        <f>IFERROR(__xludf.DUMMYFUNCTION("$E1221 - IFERROR(FILTER($E:$E,$C:$C = $C1221, $A:$A = $A1221, $B:$B = $B1221 - 1),0)"),0.0)</f>
        <v>0</v>
      </c>
      <c r="X1221" s="91"/>
      <c r="Y1221" s="91"/>
      <c r="Z1221" s="91">
        <v>56188.875149999985</v>
      </c>
      <c r="AA1221" s="93">
        <v>0.0</v>
      </c>
      <c r="AB1221" s="93">
        <v>0.0</v>
      </c>
      <c r="AC1221" s="32">
        <f>IFERROR(__xludf.DUMMYFUNCTION("IFERROR(FILTER($AF:$AF,$C:$C = $C1221,$A:$A = $A1221 - 1,$B:$B = 12),0)"),0.0)</f>
        <v>0</v>
      </c>
      <c r="AD1221" s="32">
        <f t="shared" si="23"/>
        <v>56188.87515</v>
      </c>
      <c r="AE1221" s="32">
        <f t="shared" si="2"/>
        <v>-7561.12485</v>
      </c>
      <c r="AF1221" s="93">
        <v>0.0</v>
      </c>
    </row>
    <row r="1222">
      <c r="A1222" s="86">
        <v>2018.0</v>
      </c>
      <c r="B1222" s="87">
        <v>12.0</v>
      </c>
      <c r="C1222" s="88" t="s">
        <v>49</v>
      </c>
      <c r="D1222" s="32"/>
      <c r="E1222" s="93">
        <v>-33750.0</v>
      </c>
      <c r="F1222" s="32"/>
      <c r="G1222" s="93">
        <v>-3172.74</v>
      </c>
      <c r="H1222" s="93">
        <v>11544.76</v>
      </c>
      <c r="I1222" s="93">
        <v>8588.94</v>
      </c>
      <c r="J1222" s="93">
        <v>-56689.78</v>
      </c>
      <c r="K1222" s="32"/>
      <c r="L1222" s="32"/>
      <c r="M1222" s="32"/>
      <c r="N1222" s="32"/>
      <c r="O1222" s="93">
        <v>474234.0</v>
      </c>
      <c r="P1222" s="91">
        <f>IFERROR(__xludf.DUMMYFUNCTION("IFERROR(sum(FILTER($D:$N,$C:$C = $C1222,$A:$A &lt; $A1222,$B:$B = 12)),0) + sum($D1222:$N1222)"),474234.3199999999)</f>
        <v>474234.32</v>
      </c>
      <c r="Q1222" s="92">
        <f t="shared" si="1"/>
        <v>-0.3199999999</v>
      </c>
      <c r="R1222" s="91">
        <f t="array" ref="R1222">IFERROR(INDEX('Fund YTD Target Values'!$1:$1000, MATCH($C1222,'Fund YTD Target Values'!$A:$A,0), MATCH($A1222,'Fund YTD Target Values'!$1:$1,0)),0)</f>
        <v>701383.2727</v>
      </c>
      <c r="S1222" s="91">
        <f>IFERROR(__xludf.DUMMYFUNCTION("IFERROR(sum(FILTER('Fund Investment Data'!$V:$V, 'Fund Investment Data'!$C:$C = $C1222, 'Fund Investment Data'!$A:$A &lt; $A1222)),0) + IFERROR(sum(FILTER('Fund Investment Data'!$V:$V, 'Fund Investment Data'!$C:$C = $C1222, 'Fund Investment Data'!$A:$A = $A1"&amp;"222, 'Fund Investment Data'!$B:$B &lt;= $B1222)),0)"),500000.0)</f>
        <v>500000</v>
      </c>
      <c r="T1222" s="93">
        <v>500000.0</v>
      </c>
      <c r="U1222" s="32">
        <f t="shared" si="22"/>
        <v>0</v>
      </c>
      <c r="V1222" s="32">
        <f>IFERROR(__xludf.DUMMYFUNCTION("$D1222 - IFERROR(FILTER($D:$D,$C:$C = $C1222, $A:$A = $A1222, $B:$B = $B1222 - 1),0)"),0.0)</f>
        <v>0</v>
      </c>
      <c r="W1222" s="93">
        <f>IFERROR(__xludf.DUMMYFUNCTION("$E1222 - IFERROR(FILTER($E:$E,$C:$C = $C1222, $A:$A = $A1222, $B:$B = $B1222 - 1),0)"),0.0)</f>
        <v>0</v>
      </c>
      <c r="X1222" s="91"/>
      <c r="Y1222" s="91"/>
      <c r="Z1222" s="91">
        <v>24647.091299999993</v>
      </c>
      <c r="AA1222" s="93">
        <v>0.0</v>
      </c>
      <c r="AB1222" s="93">
        <v>0.0</v>
      </c>
      <c r="AC1222" s="32">
        <f>IFERROR(__xludf.DUMMYFUNCTION("IFERROR(FILTER($AF:$AF,$C:$C = $C1222,$A:$A = $A1222 - 1,$B:$B = 12),0)"),0.0)</f>
        <v>0</v>
      </c>
      <c r="AD1222" s="32">
        <f t="shared" si="23"/>
        <v>24647.0913</v>
      </c>
      <c r="AE1222" s="32">
        <f t="shared" si="2"/>
        <v>-9102.9087</v>
      </c>
      <c r="AF1222" s="93">
        <v>0.0</v>
      </c>
    </row>
    <row r="1223">
      <c r="A1223" s="86">
        <v>2018.0</v>
      </c>
      <c r="B1223" s="87">
        <v>12.0</v>
      </c>
      <c r="C1223" s="88" t="s">
        <v>41</v>
      </c>
      <c r="D1223" s="32"/>
      <c r="E1223" s="93">
        <v>-21115.0</v>
      </c>
      <c r="F1223" s="32"/>
      <c r="G1223" s="93">
        <v>-3819.49</v>
      </c>
      <c r="H1223" s="93">
        <v>13876.34</v>
      </c>
      <c r="I1223" s="93">
        <v>4011.94</v>
      </c>
      <c r="J1223" s="93">
        <v>-62894.82</v>
      </c>
      <c r="K1223" s="32"/>
      <c r="L1223" s="32"/>
      <c r="M1223" s="32"/>
      <c r="N1223" s="32"/>
      <c r="O1223" s="93">
        <v>583177.0</v>
      </c>
      <c r="P1223" s="91">
        <f>IFERROR(__xludf.DUMMYFUNCTION("IFERROR(sum(FILTER($D:$N,$C:$C = $C1223,$A:$A &lt; $A1223,$B:$B = 12)),0) + sum($D1223:$N1223)"),583178.3200000001)</f>
        <v>583178.32</v>
      </c>
      <c r="Q1223" s="92">
        <f t="shared" si="1"/>
        <v>-1.32</v>
      </c>
      <c r="R1223" s="91">
        <f t="array" ref="R1223">IFERROR(INDEX('Fund YTD Target Values'!$1:$1000, MATCH($C1223,'Fund YTD Target Values'!$A:$A,0), MATCH($A1223,'Fund YTD Target Values'!$1:$1,0)),0)</f>
        <v>587968.3276</v>
      </c>
      <c r="S1223" s="91">
        <f>IFERROR(__xludf.DUMMYFUNCTION("IFERROR(sum(FILTER('Fund Investment Data'!$V:$V, 'Fund Investment Data'!$C:$C = $C1223, 'Fund Investment Data'!$A:$A &lt; $A1223)),0) + IFERROR(sum(FILTER('Fund Investment Data'!$V:$V, 'Fund Investment Data'!$C:$C = $C1223, 'Fund Investment Data'!$A:$A = $A1"&amp;"223, 'Fund Investment Data'!$B:$B &lt;= $B1223)),0)"),433755.86)</f>
        <v>433755.86</v>
      </c>
      <c r="T1223" s="93">
        <v>434291.0</v>
      </c>
      <c r="U1223" s="32">
        <f t="shared" si="22"/>
        <v>-535.14</v>
      </c>
      <c r="V1223" s="32">
        <f>IFERROR(__xludf.DUMMYFUNCTION("$D1223 - IFERROR(FILTER($D:$D,$C:$C = $C1223, $A:$A = $A1223, $B:$B = $B1223 - 1),0)"),0.0)</f>
        <v>0</v>
      </c>
      <c r="W1223" s="93">
        <f>IFERROR(__xludf.DUMMYFUNCTION("$E1223 - IFERROR(FILTER($E:$E,$C:$C = $C1223, $A:$A = $A1223, $B:$B = $B1223 - 1),0)"),0.0)</f>
        <v>0</v>
      </c>
      <c r="X1223" s="91"/>
      <c r="Y1223" s="91"/>
      <c r="Z1223" s="91">
        <v>25827.685844259777</v>
      </c>
      <c r="AA1223" s="93">
        <v>0.0</v>
      </c>
      <c r="AB1223" s="93">
        <v>0.0</v>
      </c>
      <c r="AC1223" s="32">
        <f>IFERROR(__xludf.DUMMYFUNCTION("IFERROR(FILTER($AF:$AF,$C:$C = $C1223,$A:$A = $A1223 - 1,$B:$B = 12),0)"),0.0)</f>
        <v>0</v>
      </c>
      <c r="AD1223" s="32">
        <f t="shared" si="23"/>
        <v>25827.68584</v>
      </c>
      <c r="AE1223" s="32">
        <f t="shared" si="2"/>
        <v>4712.685844</v>
      </c>
      <c r="AF1223" s="93">
        <v>0.0</v>
      </c>
    </row>
    <row r="1224">
      <c r="A1224" s="86">
        <v>2018.0</v>
      </c>
      <c r="B1224" s="87">
        <v>12.0</v>
      </c>
      <c r="C1224" s="88" t="s">
        <v>25</v>
      </c>
      <c r="D1224" s="32"/>
      <c r="E1224" s="93">
        <v>-20000.0</v>
      </c>
      <c r="F1224" s="32"/>
      <c r="G1224" s="93">
        <v>-560.72</v>
      </c>
      <c r="H1224" s="93">
        <v>2055.53</v>
      </c>
      <c r="I1224" s="93">
        <v>5612.55</v>
      </c>
      <c r="J1224" s="93">
        <v>-13335.72</v>
      </c>
      <c r="K1224" s="32"/>
      <c r="L1224" s="32"/>
      <c r="M1224" s="32"/>
      <c r="N1224" s="32"/>
      <c r="O1224" s="93">
        <v>74838.0</v>
      </c>
      <c r="P1224" s="91">
        <f>IFERROR(__xludf.DUMMYFUNCTION("IFERROR(sum(FILTER($D:$N,$C:$C = $C1224,$A:$A &lt; $A1224,$B:$B = 12)),0) + sum($D1224:$N1224)"),74837.97)</f>
        <v>74837.97</v>
      </c>
      <c r="Q1224" s="92">
        <f t="shared" si="1"/>
        <v>0.03</v>
      </c>
      <c r="R1224" s="91">
        <f t="array" ref="R1224">IFERROR(INDEX('Fund YTD Target Values'!$1:$1000, MATCH($C1224,'Fund YTD Target Values'!$A:$A,0), MATCH($A1224,'Fund YTD Target Values'!$1:$1,0)),0)</f>
        <v>109175.2469</v>
      </c>
      <c r="S1224" s="91">
        <f>IFERROR(__xludf.DUMMYFUNCTION("IFERROR(sum(FILTER('Fund Investment Data'!$V:$V, 'Fund Investment Data'!$C:$C = $C1224, 'Fund Investment Data'!$A:$A &lt; $A1224)),0) + IFERROR(sum(FILTER('Fund Investment Data'!$V:$V, 'Fund Investment Data'!$C:$C = $C1224, 'Fund Investment Data'!$A:$A = $A1"&amp;"224, 'Fund Investment Data'!$B:$B &lt;= $B1224)),0)"),81000.0)</f>
        <v>81000</v>
      </c>
      <c r="T1224" s="93">
        <v>81000.0</v>
      </c>
      <c r="U1224" s="32">
        <f t="shared" si="22"/>
        <v>0</v>
      </c>
      <c r="V1224" s="32">
        <f>IFERROR(__xludf.DUMMYFUNCTION("$D1224 - IFERROR(FILTER($D:$D,$C:$C = $C1224, $A:$A = $A1224, $B:$B = $B1224 - 1),0)"),0.0)</f>
        <v>0</v>
      </c>
      <c r="W1224" s="93">
        <f>IFERROR(__xludf.DUMMYFUNCTION("$E1224 - IFERROR(FILTER($E:$E,$C:$C = $C1224, $A:$A = $A1224, $B:$B = $B1224 - 1),0)"),0.0)</f>
        <v>0</v>
      </c>
      <c r="X1224" s="91"/>
      <c r="Y1224" s="91"/>
      <c r="Z1224" s="91">
        <v>4547.984849999999</v>
      </c>
      <c r="AA1224" s="93">
        <v>0.0</v>
      </c>
      <c r="AB1224" s="93">
        <v>0.0</v>
      </c>
      <c r="AC1224" s="32">
        <f>IFERROR(__xludf.DUMMYFUNCTION("IFERROR(FILTER($AF:$AF,$C:$C = $C1224,$A:$A = $A1224 - 1,$B:$B = 12),0)"),0.0)</f>
        <v>0</v>
      </c>
      <c r="AD1224" s="32">
        <f t="shared" si="23"/>
        <v>4547.98485</v>
      </c>
      <c r="AE1224" s="32">
        <f t="shared" si="2"/>
        <v>-15452.01515</v>
      </c>
      <c r="AF1224" s="93">
        <v>0.0</v>
      </c>
    </row>
    <row r="1225">
      <c r="A1225" s="86">
        <v>2018.0</v>
      </c>
      <c r="B1225" s="87">
        <v>12.0</v>
      </c>
      <c r="C1225" s="88" t="s">
        <v>42</v>
      </c>
      <c r="D1225" s="32"/>
      <c r="E1225" s="93">
        <v>-6000.0</v>
      </c>
      <c r="F1225" s="32"/>
      <c r="G1225" s="93">
        <v>-1766.9</v>
      </c>
      <c r="H1225" s="93">
        <v>6394.43</v>
      </c>
      <c r="I1225" s="32"/>
      <c r="J1225" s="93">
        <v>-27199.32</v>
      </c>
      <c r="K1225" s="32"/>
      <c r="L1225" s="32"/>
      <c r="M1225" s="32"/>
      <c r="N1225" s="32"/>
      <c r="O1225" s="93">
        <v>270877.0</v>
      </c>
      <c r="P1225" s="91">
        <f>IFERROR(__xludf.DUMMYFUNCTION("IFERROR(sum(FILTER($D:$N,$C:$C = $C1225,$A:$A &lt; $A1225,$B:$B = 12)),0) + sum($D1225:$N1225)"),270875.97000000015)</f>
        <v>270875.97</v>
      </c>
      <c r="Q1225" s="92">
        <f t="shared" si="1"/>
        <v>1.03</v>
      </c>
      <c r="R1225" s="91">
        <f t="array" ref="R1225">IFERROR(INDEX('Fund YTD Target Values'!$1:$1000, MATCH($C1225,'Fund YTD Target Values'!$A:$A,0), MATCH($A1225,'Fund YTD Target Values'!$1:$1,0)),0)</f>
        <v>240185.7184</v>
      </c>
      <c r="S1225" s="91">
        <f>IFERROR(__xludf.DUMMYFUNCTION("IFERROR(sum(FILTER('Fund Investment Data'!$V:$V, 'Fund Investment Data'!$C:$C = $C1225, 'Fund Investment Data'!$A:$A &lt; $A1225)),0) + IFERROR(sum(FILTER('Fund Investment Data'!$V:$V, 'Fund Investment Data'!$C:$C = $C1225, 'Fund Investment Data'!$A:$A = $A1"&amp;"225, 'Fund Investment Data'!$B:$B &lt;= $B1225)),0)"),194469.0)</f>
        <v>194469</v>
      </c>
      <c r="T1225" s="93">
        <v>194469.0</v>
      </c>
      <c r="U1225" s="32">
        <f t="shared" si="22"/>
        <v>0</v>
      </c>
      <c r="V1225" s="32">
        <f>IFERROR(__xludf.DUMMYFUNCTION("$D1225 - IFERROR(FILTER($D:$D,$C:$C = $C1225, $A:$A = $A1225, $B:$B = $B1225 - 1),0)"),0.0)</f>
        <v>0</v>
      </c>
      <c r="W1225" s="93">
        <f>IFERROR(__xludf.DUMMYFUNCTION("$E1225 - IFERROR(FILTER($E:$E,$C:$C = $C1225, $A:$A = $A1225, $B:$B = $B1225 - 1),0)"),0.0)</f>
        <v>0</v>
      </c>
      <c r="X1225" s="91"/>
      <c r="Y1225" s="91"/>
      <c r="Z1225" s="91">
        <v>10550.63851058687</v>
      </c>
      <c r="AA1225" s="93">
        <v>0.0</v>
      </c>
      <c r="AB1225" s="93">
        <v>0.0</v>
      </c>
      <c r="AC1225" s="32">
        <f>IFERROR(__xludf.DUMMYFUNCTION("IFERROR(FILTER($AF:$AF,$C:$C = $C1225,$A:$A = $A1225 - 1,$B:$B = 12),0)"),0.0)</f>
        <v>0</v>
      </c>
      <c r="AD1225" s="32">
        <f t="shared" si="23"/>
        <v>10550.63851</v>
      </c>
      <c r="AE1225" s="32">
        <f t="shared" si="2"/>
        <v>4550.638511</v>
      </c>
      <c r="AF1225" s="93">
        <v>0.0</v>
      </c>
    </row>
    <row r="1226">
      <c r="A1226" s="86">
        <v>2018.0</v>
      </c>
      <c r="B1226" s="87">
        <v>12.0</v>
      </c>
      <c r="C1226" s="88" t="s">
        <v>43</v>
      </c>
      <c r="D1226" s="32"/>
      <c r="E1226" s="93">
        <v>-6000.0</v>
      </c>
      <c r="F1226" s="32"/>
      <c r="G1226" s="93">
        <v>-732.48</v>
      </c>
      <c r="H1226" s="93">
        <v>2661.11</v>
      </c>
      <c r="I1226" s="93">
        <v>1482.8</v>
      </c>
      <c r="J1226" s="93">
        <v>-12626.5</v>
      </c>
      <c r="K1226" s="32"/>
      <c r="L1226" s="32"/>
      <c r="M1226" s="32"/>
      <c r="N1226" s="32"/>
      <c r="O1226" s="93">
        <v>110298.0</v>
      </c>
      <c r="P1226" s="91">
        <f>IFERROR(__xludf.DUMMYFUNCTION("IFERROR(sum(FILTER($D:$N,$C:$C = $C1226,$A:$A &lt; $A1226,$B:$B = 12)),0) + sum($D1226:$N1226)"),110297.48000000001)</f>
        <v>110297.48</v>
      </c>
      <c r="Q1226" s="92">
        <f t="shared" si="1"/>
        <v>0.52</v>
      </c>
      <c r="R1226" s="91">
        <f t="array" ref="R1226">IFERROR(INDEX('Fund YTD Target Values'!$1:$1000, MATCH($C1226,'Fund YTD Target Values'!$A:$A,0), MATCH($A1226,'Fund YTD Target Values'!$1:$1,0)),0)</f>
        <v>130697.0954</v>
      </c>
      <c r="S1226" s="91">
        <f>IFERROR(__xludf.DUMMYFUNCTION("IFERROR(sum(FILTER('Fund Investment Data'!$V:$V, 'Fund Investment Data'!$C:$C = $C1226, 'Fund Investment Data'!$A:$A &lt; $A1226)),0) + IFERROR(sum(FILTER('Fund Investment Data'!$V:$V, 'Fund Investment Data'!$C:$C = $C1226, 'Fund Investment Data'!$A:$A = $A1"&amp;"226, 'Fund Investment Data'!$B:$B &lt;= $B1226)),0)"),100000.0)</f>
        <v>100000</v>
      </c>
      <c r="T1226" s="93">
        <v>100000.0</v>
      </c>
      <c r="U1226" s="32">
        <f t="shared" si="22"/>
        <v>0</v>
      </c>
      <c r="V1226" s="32">
        <f>IFERROR(__xludf.DUMMYFUNCTION("$D1226 - IFERROR(FILTER($D:$D,$C:$C = $C1226, $A:$A = $A1226, $B:$B = $B1226 - 1),0)"),0.0)</f>
        <v>0</v>
      </c>
      <c r="W1226" s="93">
        <f>IFERROR(__xludf.DUMMYFUNCTION("$E1226 - IFERROR(FILTER($E:$E,$C:$C = $C1226, $A:$A = $A1226, $B:$B = $B1226 - 1),0)"),0.0)</f>
        <v>0</v>
      </c>
      <c r="X1226" s="91"/>
      <c r="Y1226" s="91"/>
      <c r="Z1226" s="91">
        <v>5648.0647500000005</v>
      </c>
      <c r="AA1226" s="93">
        <v>0.0</v>
      </c>
      <c r="AB1226" s="93">
        <v>0.0</v>
      </c>
      <c r="AC1226" s="32">
        <f>IFERROR(__xludf.DUMMYFUNCTION("IFERROR(FILTER($AF:$AF,$C:$C = $C1226,$A:$A = $A1226 - 1,$B:$B = 12),0)"),0.0)</f>
        <v>0</v>
      </c>
      <c r="AD1226" s="32">
        <f t="shared" si="23"/>
        <v>5648.06475</v>
      </c>
      <c r="AE1226" s="32">
        <f t="shared" si="2"/>
        <v>-351.93525</v>
      </c>
      <c r="AF1226" s="93">
        <v>0.0</v>
      </c>
    </row>
    <row r="1227">
      <c r="A1227" s="86">
        <v>2018.0</v>
      </c>
      <c r="B1227" s="87">
        <v>12.0</v>
      </c>
      <c r="C1227" s="88" t="s">
        <v>52</v>
      </c>
      <c r="D1227" s="93">
        <v>75000.0</v>
      </c>
      <c r="E1227" s="93">
        <v>-55979.0</v>
      </c>
      <c r="F1227" s="32"/>
      <c r="G1227" s="93">
        <v>-7410.1</v>
      </c>
      <c r="H1227" s="93">
        <v>25667.4</v>
      </c>
      <c r="I1227" s="93">
        <v>5363.5</v>
      </c>
      <c r="J1227" s="93">
        <v>-115557.9</v>
      </c>
      <c r="K1227" s="32"/>
      <c r="L1227" s="32"/>
      <c r="M1227" s="32"/>
      <c r="N1227" s="32"/>
      <c r="O1227" s="93">
        <v>1091540.0</v>
      </c>
      <c r="P1227" s="91">
        <f>IFERROR(__xludf.DUMMYFUNCTION("IFERROR(sum(FILTER($D:$N,$C:$C = $C1227,$A:$A &lt; $A1227,$B:$B = 12)),0) + sum($D1227:$N1227)"),1091540.0299999998)</f>
        <v>1091540.03</v>
      </c>
      <c r="Q1227" s="92">
        <f t="shared" si="1"/>
        <v>-0.0299999998</v>
      </c>
      <c r="R1227" s="91">
        <f t="array" ref="R1227">IFERROR(INDEX('Fund YTD Target Values'!$1:$1000, MATCH($C1227,'Fund YTD Target Values'!$A:$A,0), MATCH($A1227,'Fund YTD Target Values'!$1:$1,0)),0)</f>
        <v>1148979.378</v>
      </c>
      <c r="S1227" s="91">
        <f>IFERROR(__xludf.DUMMYFUNCTION("IFERROR(sum(FILTER('Fund Investment Data'!$V:$V, 'Fund Investment Data'!$C:$C = $C1227, 'Fund Investment Data'!$A:$A &lt; $A1227)),0) + IFERROR(sum(FILTER('Fund Investment Data'!$V:$V, 'Fund Investment Data'!$C:$C = $C1227, 'Fund Investment Data'!$A:$A = $A1"&amp;"227, 'Fund Investment Data'!$B:$B &lt;= $B1227)),0)"),1080136.0)</f>
        <v>1080136</v>
      </c>
      <c r="T1227" s="93">
        <v>1081043.0</v>
      </c>
      <c r="U1227" s="32">
        <f t="shared" si="22"/>
        <v>-907</v>
      </c>
      <c r="V1227" s="32">
        <f>IFERROR(__xludf.DUMMYFUNCTION("$D1227 - IFERROR(FILTER($D:$D,$C:$C = $C1227, $A:$A = $A1227, $B:$B = $B1227 - 1),0)"),0.0)</f>
        <v>0</v>
      </c>
      <c r="W1227" s="93">
        <f>IFERROR(__xludf.DUMMYFUNCTION("$E1227 - IFERROR(FILTER($E:$E,$C:$C = $C1227, $A:$A = $A1227, $B:$B = $B1227 - 1),0)"),0.0)</f>
        <v>0</v>
      </c>
      <c r="X1227" s="91"/>
      <c r="Y1227" s="91"/>
      <c r="Z1227" s="91">
        <v>47019.19418671139</v>
      </c>
      <c r="AA1227" s="93">
        <v>978.75</v>
      </c>
      <c r="AB1227" s="93">
        <v>45.0</v>
      </c>
      <c r="AC1227" s="32">
        <f>IFERROR(__xludf.DUMMYFUNCTION("IFERROR(FILTER($AF:$AF,$C:$C = $C1227,$A:$A = $A1227 - 1,$B:$B = 12),0)"),0.0)</f>
        <v>0</v>
      </c>
      <c r="AD1227" s="32">
        <f t="shared" si="23"/>
        <v>48042.94419</v>
      </c>
      <c r="AE1227" s="32">
        <f t="shared" si="2"/>
        <v>-7936.055813</v>
      </c>
      <c r="AF1227" s="93">
        <v>0.0</v>
      </c>
    </row>
    <row r="1228">
      <c r="A1228" s="86">
        <v>2018.0</v>
      </c>
      <c r="B1228" s="87">
        <v>12.0</v>
      </c>
      <c r="C1228" s="88" t="s">
        <v>33</v>
      </c>
      <c r="D1228" s="32"/>
      <c r="E1228" s="93">
        <v>-18000.0</v>
      </c>
      <c r="F1228" s="32"/>
      <c r="G1228" s="93">
        <v>-2076.04</v>
      </c>
      <c r="H1228" s="93">
        <v>7548.61</v>
      </c>
      <c r="I1228" s="93">
        <v>4546.35</v>
      </c>
      <c r="J1228" s="93">
        <v>-36151.19</v>
      </c>
      <c r="K1228" s="32"/>
      <c r="L1228" s="32"/>
      <c r="M1228" s="32"/>
      <c r="N1228" s="32"/>
      <c r="O1228" s="93">
        <v>312945.0</v>
      </c>
      <c r="P1228" s="91">
        <f>IFERROR(__xludf.DUMMYFUNCTION("IFERROR(sum(FILTER($D:$N,$C:$C = $C1228,$A:$A &lt; $A1228,$B:$B = 12)),0) + sum($D1228:$N1228)"),312945.1799999998)</f>
        <v>312945.18</v>
      </c>
      <c r="Q1228" s="92">
        <f t="shared" si="1"/>
        <v>-0.1799999998</v>
      </c>
      <c r="R1228" s="91">
        <f t="array" ref="R1228">IFERROR(INDEX('Fund YTD Target Values'!$1:$1000, MATCH($C1228,'Fund YTD Target Values'!$A:$A,0), MATCH($A1228,'Fund YTD Target Values'!$1:$1,0)),0)</f>
        <v>512928.5668</v>
      </c>
      <c r="S1228" s="91">
        <f>IFERROR(__xludf.DUMMYFUNCTION("IFERROR(sum(FILTER('Fund Investment Data'!$V:$V, 'Fund Investment Data'!$C:$C = $C1228, 'Fund Investment Data'!$A:$A &lt; $A1228)),0) + IFERROR(sum(FILTER('Fund Investment Data'!$V:$V, 'Fund Investment Data'!$C:$C = $C1228, 'Fund Investment Data'!$A:$A = $A1"&amp;"228, 'Fund Investment Data'!$B:$B &lt;= $B1228)),0)"),325871.6399999999)</f>
        <v>325871.64</v>
      </c>
      <c r="T1228" s="93">
        <v>326032.0</v>
      </c>
      <c r="U1228" s="32">
        <f t="shared" si="22"/>
        <v>-160.36</v>
      </c>
      <c r="V1228" s="32">
        <f>IFERROR(__xludf.DUMMYFUNCTION("$D1228 - IFERROR(FILTER($D:$D,$C:$C = $C1228, $A:$A = $A1228, $B:$B = $B1228 - 1),0)"),0.0)</f>
        <v>0</v>
      </c>
      <c r="W1228" s="93">
        <f>IFERROR(__xludf.DUMMYFUNCTION("$E1228 - IFERROR(FILTER($E:$E,$C:$C = $C1228, $A:$A = $A1228, $B:$B = $B1228 - 1),0)"),0.0)</f>
        <v>0</v>
      </c>
      <c r="X1228" s="91"/>
      <c r="Y1228" s="91"/>
      <c r="Z1228" s="91">
        <v>16068.485249999992</v>
      </c>
      <c r="AA1228" s="93">
        <v>0.0</v>
      </c>
      <c r="AB1228" s="93">
        <v>0.0</v>
      </c>
      <c r="AC1228" s="32">
        <f>IFERROR(__xludf.DUMMYFUNCTION("IFERROR(FILTER($AF:$AF,$C:$C = $C1228,$A:$A = $A1228 - 1,$B:$B = 12),0)"),0.0)</f>
        <v>0</v>
      </c>
      <c r="AD1228" s="32">
        <f t="shared" si="23"/>
        <v>16068.48525</v>
      </c>
      <c r="AE1228" s="32">
        <f t="shared" si="2"/>
        <v>-1931.51475</v>
      </c>
      <c r="AF1228" s="93">
        <v>0.0</v>
      </c>
    </row>
    <row r="1229">
      <c r="A1229" s="86">
        <v>2018.0</v>
      </c>
      <c r="B1229" s="87">
        <v>12.0</v>
      </c>
      <c r="C1229" s="88" t="s">
        <v>53</v>
      </c>
      <c r="D1229" s="32"/>
      <c r="E1229" s="93">
        <v>-105000.0</v>
      </c>
      <c r="F1229" s="93">
        <v>43500.0</v>
      </c>
      <c r="G1229" s="93">
        <v>-13241.03</v>
      </c>
      <c r="H1229" s="93">
        <v>48145.81</v>
      </c>
      <c r="I1229" s="93">
        <v>10901.79</v>
      </c>
      <c r="J1229" s="93">
        <v>-213086.37</v>
      </c>
      <c r="K1229" s="32"/>
      <c r="L1229" s="32"/>
      <c r="M1229" s="32"/>
      <c r="N1229" s="32"/>
      <c r="O1229" s="93">
        <v>2046535.0</v>
      </c>
      <c r="P1229" s="91">
        <f>IFERROR(__xludf.DUMMYFUNCTION("IFERROR(sum(FILTER($D:$N,$C:$C = $C1229,$A:$A &lt; $A1229,$B:$B = 12)),0) + sum($D1229:$N1229)"),2046534.8799999997)</f>
        <v>2046534.88</v>
      </c>
      <c r="Q1229" s="92">
        <f t="shared" si="1"/>
        <v>0.1200000003</v>
      </c>
      <c r="R1229" s="91">
        <f t="array" ref="R1229">IFERROR(INDEX('Fund YTD Target Values'!$1:$1000, MATCH($C1229,'Fund YTD Target Values'!$A:$A,0), MATCH($A1229,'Fund YTD Target Values'!$1:$1,0)),0)</f>
        <v>2224754.768</v>
      </c>
      <c r="S1229" s="91">
        <f>IFERROR(__xludf.DUMMYFUNCTION("IFERROR(sum(FILTER('Fund Investment Data'!$V:$V, 'Fund Investment Data'!$C:$C = $C1229, 'Fund Investment Data'!$A:$A &lt; $A1229)),0) + IFERROR(sum(FILTER('Fund Investment Data'!$V:$V, 'Fund Investment Data'!$C:$C = $C1229, 'Fund Investment Data'!$A:$A = $A1"&amp;"229, 'Fund Investment Data'!$B:$B &lt;= $B1229)),0)"),2005500.0)</f>
        <v>2005500</v>
      </c>
      <c r="T1229" s="93">
        <v>2005500.0</v>
      </c>
      <c r="U1229" s="32">
        <f t="shared" si="22"/>
        <v>0</v>
      </c>
      <c r="V1229" s="32">
        <f>IFERROR(__xludf.DUMMYFUNCTION("$D1229 - IFERROR(FILTER($D:$D,$C:$C = $C1229, $A:$A = $A1229, $B:$B = $B1229 - 1),0)"),0.0)</f>
        <v>0</v>
      </c>
      <c r="W1229" s="93">
        <f>IFERROR(__xludf.DUMMYFUNCTION("$E1229 - IFERROR(FILTER($E:$E,$C:$C = $C1229, $A:$A = $A1229, $B:$B = $B1229 - 1),0)"),0.0)</f>
        <v>0</v>
      </c>
      <c r="X1229" s="91"/>
      <c r="Y1229" s="91"/>
      <c r="Z1229" s="91">
        <v>97726.80690399795</v>
      </c>
      <c r="AA1229" s="93">
        <v>0.0</v>
      </c>
      <c r="AB1229" s="93">
        <v>0.0</v>
      </c>
      <c r="AC1229" s="32">
        <f>IFERROR(__xludf.DUMMYFUNCTION("IFERROR(FILTER($AF:$AF,$C:$C = $C1229,$A:$A = $A1229 - 1,$B:$B = 12),0)"),0.0)</f>
        <v>0</v>
      </c>
      <c r="AD1229" s="32">
        <f t="shared" si="23"/>
        <v>97726.8069</v>
      </c>
      <c r="AE1229" s="32">
        <f t="shared" si="2"/>
        <v>-7273.193096</v>
      </c>
      <c r="AF1229" s="93">
        <v>43500.0</v>
      </c>
    </row>
    <row r="1230">
      <c r="A1230" s="86">
        <v>2018.0</v>
      </c>
      <c r="B1230" s="87">
        <v>12.0</v>
      </c>
      <c r="C1230" s="88" t="s">
        <v>34</v>
      </c>
      <c r="D1230" s="93">
        <v>5000.0</v>
      </c>
      <c r="E1230" s="93">
        <v>-7000.0</v>
      </c>
      <c r="F1230" s="32"/>
      <c r="G1230" s="93">
        <v>-845.73</v>
      </c>
      <c r="H1230" s="93">
        <v>3048.21</v>
      </c>
      <c r="I1230" s="93">
        <v>581.33</v>
      </c>
      <c r="J1230" s="93">
        <v>-13632.7</v>
      </c>
      <c r="K1230" s="32"/>
      <c r="L1230" s="32"/>
      <c r="M1230" s="32"/>
      <c r="N1230" s="32"/>
      <c r="O1230" s="93">
        <v>131439.0</v>
      </c>
      <c r="P1230" s="91">
        <f>IFERROR(__xludf.DUMMYFUNCTION("IFERROR(sum(FILTER($D:$N,$C:$C = $C1230,$A:$A &lt; $A1230,$B:$B = 12)),0) + sum($D1230:$N1230)"),131439.27)</f>
        <v>131439.27</v>
      </c>
      <c r="Q1230" s="92">
        <f t="shared" si="1"/>
        <v>-0.27</v>
      </c>
      <c r="R1230" s="91">
        <f t="array" ref="R1230">IFERROR(INDEX('Fund YTD Target Values'!$1:$1000, MATCH($C1230,'Fund YTD Target Values'!$A:$A,0), MATCH($A1230,'Fund YTD Target Values'!$1:$1,0)),0)</f>
        <v>135327.6594</v>
      </c>
      <c r="S1230" s="91">
        <f>IFERROR(__xludf.DUMMYFUNCTION("IFERROR(sum(FILTER('Fund Investment Data'!$V:$V, 'Fund Investment Data'!$C:$C = $C1230, 'Fund Investment Data'!$A:$A &lt; $A1230)),0) + IFERROR(sum(FILTER('Fund Investment Data'!$V:$V, 'Fund Investment Data'!$C:$C = $C1230, 'Fund Investment Data'!$A:$A = $A1"&amp;"230, 'Fund Investment Data'!$B:$B &lt;= $B1230)),0)"),125000.0)</f>
        <v>125000</v>
      </c>
      <c r="T1230" s="93">
        <v>125000.0</v>
      </c>
      <c r="U1230" s="32">
        <f t="shared" si="22"/>
        <v>0</v>
      </c>
      <c r="V1230" s="32">
        <f>IFERROR(__xludf.DUMMYFUNCTION("$D1230 - IFERROR(FILTER($D:$D,$C:$C = $C1230, $A:$A = $A1230, $B:$B = $B1230 - 1),0)"),0.0)</f>
        <v>0</v>
      </c>
      <c r="W1230" s="93">
        <f>IFERROR(__xludf.DUMMYFUNCTION("$E1230 - IFERROR(FILTER($E:$E,$C:$C = $C1230, $A:$A = $A1230, $B:$B = $B1230 - 1),0)"),0.0)</f>
        <v>0</v>
      </c>
      <c r="X1230" s="91"/>
      <c r="Y1230" s="91"/>
      <c r="Z1230" s="91">
        <v>5724.9033412186045</v>
      </c>
      <c r="AA1230" s="93">
        <v>0.0</v>
      </c>
      <c r="AB1230" s="93">
        <v>450.0</v>
      </c>
      <c r="AC1230" s="32">
        <f>IFERROR(__xludf.DUMMYFUNCTION("IFERROR(FILTER($AF:$AF,$C:$C = $C1230,$A:$A = $A1230 - 1,$B:$B = 12),0)"),0.0)</f>
        <v>0</v>
      </c>
      <c r="AD1230" s="32">
        <f t="shared" si="23"/>
        <v>6174.903341</v>
      </c>
      <c r="AE1230" s="32">
        <f t="shared" si="2"/>
        <v>-825.0966588</v>
      </c>
      <c r="AF1230" s="93">
        <v>0.0</v>
      </c>
    </row>
    <row r="1231">
      <c r="A1231" s="86">
        <v>2018.0</v>
      </c>
      <c r="B1231" s="87">
        <v>12.0</v>
      </c>
      <c r="C1231" s="88" t="s">
        <v>54</v>
      </c>
      <c r="D1231" s="93">
        <v>35.0</v>
      </c>
      <c r="E1231" s="93">
        <v>-5000.0</v>
      </c>
      <c r="F1231" s="32"/>
      <c r="G1231" s="93">
        <v>-1009.49</v>
      </c>
      <c r="H1231" s="93">
        <v>3617.64</v>
      </c>
      <c r="I1231" s="93">
        <v>416.36</v>
      </c>
      <c r="J1231" s="93">
        <v>-15985.43</v>
      </c>
      <c r="K1231" s="32"/>
      <c r="L1231" s="32"/>
      <c r="M1231" s="32"/>
      <c r="N1231" s="32"/>
      <c r="O1231" s="93">
        <v>154966.0</v>
      </c>
      <c r="P1231" s="91">
        <f>IFERROR(__xludf.DUMMYFUNCTION("IFERROR(sum(FILTER($D:$N,$C:$C = $C1231,$A:$A &lt; $A1231,$B:$B = 12)),0) + sum($D1231:$N1231)"),154967.04999999993)</f>
        <v>154967.05</v>
      </c>
      <c r="Q1231" s="92">
        <f t="shared" si="1"/>
        <v>-1.05</v>
      </c>
      <c r="R1231" s="91">
        <f t="array" ref="R1231">IFERROR(INDEX('Fund YTD Target Values'!$1:$1000, MATCH($C1231,'Fund YTD Target Values'!$A:$A,0), MATCH($A1231,'Fund YTD Target Values'!$1:$1,0)),0)</f>
        <v>155177.2706</v>
      </c>
      <c r="S1231" s="91">
        <f>IFERROR(__xludf.DUMMYFUNCTION("IFERROR(sum(FILTER('Fund Investment Data'!$V:$V, 'Fund Investment Data'!$C:$C = $C1231, 'Fund Investment Data'!$A:$A &lt; $A1231)),0) + IFERROR(sum(FILTER('Fund Investment Data'!$V:$V, 'Fund Investment Data'!$C:$C = $C1231, 'Fund Investment Data'!$A:$A = $A1"&amp;"231, 'Fund Investment Data'!$B:$B &lt;= $B1231)),0)"),112467.10999999999)</f>
        <v>112467.11</v>
      </c>
      <c r="T1231" s="93">
        <v>108645.0</v>
      </c>
      <c r="U1231" s="32">
        <f t="shared" si="22"/>
        <v>3822.11</v>
      </c>
      <c r="V1231" s="32">
        <f>IFERROR(__xludf.DUMMYFUNCTION("$D1231 - IFERROR(FILTER($D:$D,$C:$C = $C1231, $A:$A = $A1231, $B:$B = $B1231 - 1),0)"),0.0)</f>
        <v>0</v>
      </c>
      <c r="W1231" s="93">
        <f>IFERROR(__xludf.DUMMYFUNCTION("$E1231 - IFERROR(FILTER($E:$E,$C:$C = $C1231, $A:$A = $A1231, $B:$B = $B1231 - 1),0)"),0.0)</f>
        <v>0</v>
      </c>
      <c r="X1231" s="91"/>
      <c r="Y1231" s="91"/>
      <c r="Z1231" s="91">
        <v>6801.614815909347</v>
      </c>
      <c r="AA1231" s="93">
        <v>11.475</v>
      </c>
      <c r="AB1231" s="93">
        <v>620.325</v>
      </c>
      <c r="AC1231" s="32">
        <f>IFERROR(__xludf.DUMMYFUNCTION("IFERROR(FILTER($AF:$AF,$C:$C = $C1231,$A:$A = $A1231 - 1,$B:$B = 12),0)"),0.0)</f>
        <v>0</v>
      </c>
      <c r="AD1231" s="32">
        <f t="shared" si="23"/>
        <v>7433.414816</v>
      </c>
      <c r="AE1231" s="32">
        <f t="shared" si="2"/>
        <v>2433.414816</v>
      </c>
      <c r="AF1231" s="93">
        <v>0.0</v>
      </c>
    </row>
    <row r="1232">
      <c r="A1232" s="86">
        <v>2018.0</v>
      </c>
      <c r="B1232" s="87">
        <v>12.0</v>
      </c>
      <c r="C1232" s="88" t="s">
        <v>55</v>
      </c>
      <c r="D1232" s="93">
        <v>70000.0</v>
      </c>
      <c r="E1232" s="93">
        <v>-6575.0</v>
      </c>
      <c r="F1232" s="93">
        <v>5000.0</v>
      </c>
      <c r="G1232" s="93">
        <v>-1726.58</v>
      </c>
      <c r="H1232" s="93">
        <v>4558.42</v>
      </c>
      <c r="I1232" s="93">
        <v>368.86</v>
      </c>
      <c r="J1232" s="93">
        <v>-23159.52</v>
      </c>
      <c r="K1232" s="32"/>
      <c r="L1232" s="32"/>
      <c r="M1232" s="32"/>
      <c r="N1232" s="32"/>
      <c r="O1232" s="93">
        <v>277531.0</v>
      </c>
      <c r="P1232" s="91">
        <f>IFERROR(__xludf.DUMMYFUNCTION("IFERROR(sum(FILTER($D:$N,$C:$C = $C1232,$A:$A &lt; $A1232,$B:$B = 12)),0) + sum($D1232:$N1232)"),277530.93999999994)</f>
        <v>277530.94</v>
      </c>
      <c r="Q1232" s="92">
        <f t="shared" si="1"/>
        <v>0.06000000006</v>
      </c>
      <c r="R1232" s="91">
        <f t="array" ref="R1232">IFERROR(INDEX('Fund YTD Target Values'!$1:$1000, MATCH($C1232,'Fund YTD Target Values'!$A:$A,0), MATCH($A1232,'Fund YTD Target Values'!$1:$1,0)),0)</f>
        <v>289110.9496</v>
      </c>
      <c r="S1232" s="91">
        <f>IFERROR(__xludf.DUMMYFUNCTION("IFERROR(sum(FILTER('Fund Investment Data'!$V:$V, 'Fund Investment Data'!$C:$C = $C1232, 'Fund Investment Data'!$A:$A &lt; $A1232)),0) + IFERROR(sum(FILTER('Fund Investment Data'!$V:$V, 'Fund Investment Data'!$C:$C = $C1232, 'Fund Investment Data'!$A:$A = $A1"&amp;"232, 'Fund Investment Data'!$B:$B &lt;= $B1232)),0)"),280000.0)</f>
        <v>280000</v>
      </c>
      <c r="T1232" s="93">
        <v>286598.0</v>
      </c>
      <c r="U1232" s="32">
        <f t="shared" si="22"/>
        <v>-6598</v>
      </c>
      <c r="V1232" s="32">
        <f>IFERROR(__xludf.DUMMYFUNCTION("$D1232 - IFERROR(FILTER($D:$D,$C:$C = $C1232, $A:$A = $A1232, $B:$B = $B1232 - 1),0)"),0.0)</f>
        <v>0</v>
      </c>
      <c r="W1232" s="93">
        <f>IFERROR(__xludf.DUMMYFUNCTION("$E1232 - IFERROR(FILTER($E:$E,$C:$C = $C1232, $A:$A = $A1232, $B:$B = $B1232 - 1),0)"),0.0)</f>
        <v>0</v>
      </c>
      <c r="X1232" s="91"/>
      <c r="Y1232" s="91"/>
      <c r="Z1232" s="91">
        <v>6474.887097314764</v>
      </c>
      <c r="AA1232" s="93">
        <v>1575.0</v>
      </c>
      <c r="AB1232" s="93">
        <v>3150.0</v>
      </c>
      <c r="AC1232" s="32">
        <f>IFERROR(__xludf.DUMMYFUNCTION("IFERROR(FILTER($AF:$AF,$C:$C = $C1232,$A:$A = $A1232 - 1,$B:$B = 12),0)"),0.0)</f>
        <v>0</v>
      </c>
      <c r="AD1232" s="32">
        <f t="shared" si="23"/>
        <v>11199.8871</v>
      </c>
      <c r="AE1232" s="32">
        <f t="shared" si="2"/>
        <v>4624.887097</v>
      </c>
      <c r="AF1232" s="93">
        <v>5000.0</v>
      </c>
    </row>
    <row r="1233">
      <c r="A1233" s="86">
        <v>2018.0</v>
      </c>
      <c r="B1233" s="87">
        <v>12.0</v>
      </c>
      <c r="C1233" s="88" t="s">
        <v>44</v>
      </c>
      <c r="D1233" s="32"/>
      <c r="E1233" s="93">
        <v>-15000.0</v>
      </c>
      <c r="F1233" s="32"/>
      <c r="G1233" s="93">
        <v>-1665.52</v>
      </c>
      <c r="H1233" s="93">
        <v>6056.6</v>
      </c>
      <c r="I1233" s="93">
        <v>3844.32</v>
      </c>
      <c r="J1233" s="93">
        <v>-29152.94</v>
      </c>
      <c r="K1233" s="32"/>
      <c r="L1233" s="32"/>
      <c r="M1233" s="32"/>
      <c r="N1233" s="32"/>
      <c r="O1233" s="93">
        <v>250718.0</v>
      </c>
      <c r="P1233" s="91">
        <f>IFERROR(__xludf.DUMMYFUNCTION("IFERROR(sum(FILTER($D:$N,$C:$C = $C1233,$A:$A &lt; $A1233,$B:$B = 12)),0) + sum($D1233:$N1233)"),250718.93000000008)</f>
        <v>250718.93</v>
      </c>
      <c r="Q1233" s="92">
        <f t="shared" si="1"/>
        <v>-0.9300000001</v>
      </c>
      <c r="R1233" s="91">
        <f t="array" ref="R1233">IFERROR(INDEX('Fund YTD Target Values'!$1:$1000, MATCH($C1233,'Fund YTD Target Values'!$A:$A,0), MATCH($A1233,'Fund YTD Target Values'!$1:$1,0)),0)</f>
        <v>321586.5616</v>
      </c>
      <c r="S1233" s="91">
        <f>IFERROR(__xludf.DUMMYFUNCTION("IFERROR(sum(FILTER('Fund Investment Data'!$V:$V, 'Fund Investment Data'!$C:$C = $C1233, 'Fund Investment Data'!$A:$A &lt; $A1233)),0) + IFERROR(sum(FILTER('Fund Investment Data'!$V:$V, 'Fund Investment Data'!$C:$C = $C1233, 'Fund Investment Data'!$A:$A = $A1"&amp;"233, 'Fund Investment Data'!$B:$B &lt;= $B1233)),0)"),250000.0)</f>
        <v>250000</v>
      </c>
      <c r="T1233" s="93">
        <v>250000.0</v>
      </c>
      <c r="U1233" s="32">
        <f t="shared" si="22"/>
        <v>0</v>
      </c>
      <c r="V1233" s="32">
        <f>IFERROR(__xludf.DUMMYFUNCTION("$D1233 - IFERROR(FILTER($D:$D,$C:$C = $C1233, $A:$A = $A1233, $B:$B = $B1233 - 1),0)"),0.0)</f>
        <v>0</v>
      </c>
      <c r="W1233" s="93">
        <f>IFERROR(__xludf.DUMMYFUNCTION("$E1233 - IFERROR(FILTER($E:$E,$C:$C = $C1233, $A:$A = $A1233, $B:$B = $B1233 - 1),0)"),0.0)</f>
        <v>0</v>
      </c>
      <c r="X1233" s="91"/>
      <c r="Y1233" s="91"/>
      <c r="Z1233" s="91">
        <v>12898.641150000003</v>
      </c>
      <c r="AA1233" s="93">
        <v>0.0</v>
      </c>
      <c r="AB1233" s="93">
        <v>0.0</v>
      </c>
      <c r="AC1233" s="32">
        <f>IFERROR(__xludf.DUMMYFUNCTION("IFERROR(FILTER($AF:$AF,$C:$C = $C1233,$A:$A = $A1233 - 1,$B:$B = 12),0)"),0.0)</f>
        <v>0</v>
      </c>
      <c r="AD1233" s="32">
        <f t="shared" si="23"/>
        <v>12898.64115</v>
      </c>
      <c r="AE1233" s="32">
        <f t="shared" si="2"/>
        <v>-2101.35885</v>
      </c>
      <c r="AF1233" s="93">
        <v>0.0</v>
      </c>
    </row>
    <row r="1234">
      <c r="A1234" s="86">
        <v>2018.0</v>
      </c>
      <c r="B1234" s="87">
        <v>12.0</v>
      </c>
      <c r="C1234" s="88" t="s">
        <v>45</v>
      </c>
      <c r="D1234" s="32"/>
      <c r="E1234" s="93">
        <v>-5000.0</v>
      </c>
      <c r="F1234" s="32"/>
      <c r="G1234" s="93">
        <v>-868.32</v>
      </c>
      <c r="H1234" s="93">
        <v>3144.51</v>
      </c>
      <c r="I1234" s="93">
        <v>193.65</v>
      </c>
      <c r="J1234" s="93">
        <v>-13536.01</v>
      </c>
      <c r="K1234" s="32"/>
      <c r="L1234" s="32"/>
      <c r="M1234" s="32"/>
      <c r="N1234" s="32"/>
      <c r="O1234" s="93">
        <v>132336.0</v>
      </c>
      <c r="P1234" s="91">
        <f>IFERROR(__xludf.DUMMYFUNCTION("IFERROR(sum(FILTER($D:$N,$C:$C = $C1234,$A:$A &lt; $A1234,$B:$B = 12)),0) + sum($D1234:$N1234)"),132336.11999999997)</f>
        <v>132336.12</v>
      </c>
      <c r="Q1234" s="92">
        <f t="shared" si="1"/>
        <v>-0.12</v>
      </c>
      <c r="R1234" s="91">
        <f t="array" ref="R1234">IFERROR(INDEX('Fund YTD Target Values'!$1:$1000, MATCH($C1234,'Fund YTD Target Values'!$A:$A,0), MATCH($A1234,'Fund YTD Target Values'!$1:$1,0)),0)</f>
        <v>121242.134</v>
      </c>
      <c r="S1234" s="91">
        <f>IFERROR(__xludf.DUMMYFUNCTION("IFERROR(sum(FILTER('Fund Investment Data'!$V:$V, 'Fund Investment Data'!$C:$C = $C1234, 'Fund Investment Data'!$A:$A &lt; $A1234)),0) + IFERROR(sum(FILTER('Fund Investment Data'!$V:$V, 'Fund Investment Data'!$C:$C = $C1234, 'Fund Investment Data'!$A:$A = $A1"&amp;"234, 'Fund Investment Data'!$B:$B &lt;= $B1234)),0)"),100000.0)</f>
        <v>100000</v>
      </c>
      <c r="T1234" s="93">
        <v>100000.0</v>
      </c>
      <c r="U1234" s="32">
        <f t="shared" si="22"/>
        <v>0</v>
      </c>
      <c r="V1234" s="32">
        <f>IFERROR(__xludf.DUMMYFUNCTION("$D1234 - IFERROR(FILTER($D:$D,$C:$C = $C1234, $A:$A = $A1234, $B:$B = $B1234 - 1),0)"),0.0)</f>
        <v>0</v>
      </c>
      <c r="W1234" s="93">
        <f>IFERROR(__xludf.DUMMYFUNCTION("$E1234 - IFERROR(FILTER($E:$E,$C:$C = $C1234, $A:$A = $A1234, $B:$B = $B1234 - 1),0)"),0.0)</f>
        <v>0</v>
      </c>
      <c r="X1234" s="91"/>
      <c r="Y1234" s="91"/>
      <c r="Z1234" s="91">
        <v>5325.8034515521795</v>
      </c>
      <c r="AA1234" s="93">
        <v>0.0</v>
      </c>
      <c r="AB1234" s="93">
        <v>0.0</v>
      </c>
      <c r="AC1234" s="32">
        <f>IFERROR(__xludf.DUMMYFUNCTION("IFERROR(FILTER($AF:$AF,$C:$C = $C1234,$A:$A = $A1234 - 1,$B:$B = 12),0)"),0.0)</f>
        <v>0</v>
      </c>
      <c r="AD1234" s="32">
        <f t="shared" si="23"/>
        <v>5325.803452</v>
      </c>
      <c r="AE1234" s="32">
        <f t="shared" si="2"/>
        <v>325.8034516</v>
      </c>
      <c r="AF1234" s="93">
        <v>0.0</v>
      </c>
    </row>
    <row r="1235">
      <c r="A1235" s="86">
        <v>2018.0</v>
      </c>
      <c r="B1235" s="87">
        <v>12.0</v>
      </c>
      <c r="C1235" s="88" t="s">
        <v>35</v>
      </c>
      <c r="D1235" s="32"/>
      <c r="E1235" s="93">
        <v>-64200.0</v>
      </c>
      <c r="F1235" s="32"/>
      <c r="G1235" s="93">
        <v>-8545.17</v>
      </c>
      <c r="H1235" s="93">
        <v>31055.81</v>
      </c>
      <c r="I1235" s="93">
        <v>15513.35</v>
      </c>
      <c r="J1235" s="93">
        <v>-145979.48</v>
      </c>
      <c r="K1235" s="32"/>
      <c r="L1235" s="32"/>
      <c r="M1235" s="32"/>
      <c r="N1235" s="32"/>
      <c r="O1235" s="93">
        <v>1293987.0</v>
      </c>
      <c r="P1235" s="91">
        <f>IFERROR(__xludf.DUMMYFUNCTION("IFERROR(sum(FILTER($D:$N,$C:$C = $C1235,$A:$A &lt; $A1235,$B:$B = 12)),0) + sum($D1235:$N1235)"),1293986.0700000003)</f>
        <v>1293986.07</v>
      </c>
      <c r="Q1235" s="92">
        <f t="shared" si="1"/>
        <v>0.9299999997</v>
      </c>
      <c r="R1235" s="91">
        <f t="array" ref="R1235">IFERROR(INDEX('Fund YTD Target Values'!$1:$1000, MATCH($C1235,'Fund YTD Target Values'!$A:$A,0), MATCH($A1235,'Fund YTD Target Values'!$1:$1,0)),0)</f>
        <v>1579247.369</v>
      </c>
      <c r="S1235" s="91">
        <f>IFERROR(__xludf.DUMMYFUNCTION("IFERROR(sum(FILTER('Fund Investment Data'!$V:$V, 'Fund Investment Data'!$C:$C = $C1235, 'Fund Investment Data'!$A:$A &lt; $A1235)),0) + IFERROR(sum(FILTER('Fund Investment Data'!$V:$V, 'Fund Investment Data'!$C:$C = $C1235, 'Fund Investment Data'!$A:$A = $A1"&amp;"235, 'Fund Investment Data'!$B:$B &lt;= $B1235)),0)"),1086625.0)</f>
        <v>1086625</v>
      </c>
      <c r="T1235" s="93">
        <v>1071625.0</v>
      </c>
      <c r="U1235" s="32">
        <f t="shared" si="22"/>
        <v>15000</v>
      </c>
      <c r="V1235" s="32">
        <f>IFERROR(__xludf.DUMMYFUNCTION("$D1235 - IFERROR(FILTER($D:$D,$C:$C = $C1235, $A:$A = $A1235, $B:$B = $B1235 - 1),0)"),0.0)</f>
        <v>0</v>
      </c>
      <c r="W1235" s="93">
        <f>IFERROR(__xludf.DUMMYFUNCTION("$E1235 - IFERROR(FILTER($E:$E,$C:$C = $C1235, $A:$A = $A1235, $B:$B = $B1235 - 1),0)"),0.0)</f>
        <v>0</v>
      </c>
      <c r="X1235" s="91"/>
      <c r="Y1235" s="91"/>
      <c r="Z1235" s="91">
        <v>65976.3702</v>
      </c>
      <c r="AA1235" s="93">
        <v>0.0</v>
      </c>
      <c r="AB1235" s="93">
        <v>0.0</v>
      </c>
      <c r="AC1235" s="32">
        <f>IFERROR(__xludf.DUMMYFUNCTION("IFERROR(FILTER($AF:$AF,$C:$C = $C1235,$A:$A = $A1235 - 1,$B:$B = 12),0)"),0.0)</f>
        <v>0</v>
      </c>
      <c r="AD1235" s="32">
        <f t="shared" si="23"/>
        <v>65976.3702</v>
      </c>
      <c r="AE1235" s="32">
        <f t="shared" si="2"/>
        <v>1776.3702</v>
      </c>
      <c r="AF1235" s="93">
        <v>0.0</v>
      </c>
    </row>
    <row r="1236">
      <c r="A1236" s="86">
        <v>2018.0</v>
      </c>
      <c r="B1236" s="87">
        <v>12.0</v>
      </c>
      <c r="C1236" s="88" t="s">
        <v>56</v>
      </c>
      <c r="D1236" s="32"/>
      <c r="E1236" s="93">
        <v>-50000.0</v>
      </c>
      <c r="F1236" s="32"/>
      <c r="G1236" s="93">
        <v>-6599.49</v>
      </c>
      <c r="H1236" s="93">
        <v>23823.97</v>
      </c>
      <c r="I1236" s="93">
        <v>3463.53</v>
      </c>
      <c r="J1236" s="93">
        <v>-104253.13</v>
      </c>
      <c r="K1236" s="32"/>
      <c r="L1236" s="32"/>
      <c r="M1236" s="32"/>
      <c r="N1236" s="32"/>
      <c r="O1236" s="93">
        <v>999413.0</v>
      </c>
      <c r="P1236" s="91">
        <f>IFERROR(__xludf.DUMMYFUNCTION("IFERROR(sum(FILTER($D:$N,$C:$C = $C1236,$A:$A &lt; $A1236,$B:$B = 12)),0) + sum($D1236:$N1236)"),999412.7099999998)</f>
        <v>999412.71</v>
      </c>
      <c r="Q1236" s="92">
        <f t="shared" si="1"/>
        <v>0.2900000002</v>
      </c>
      <c r="R1236" s="91">
        <f t="array" ref="R1236">IFERROR(INDEX('Fund YTD Target Values'!$1:$1000, MATCH($C1236,'Fund YTD Target Values'!$A:$A,0), MATCH($A1236,'Fund YTD Target Values'!$1:$1,0)),0)</f>
        <v>1060725.595</v>
      </c>
      <c r="S1236" s="91">
        <f>IFERROR(__xludf.DUMMYFUNCTION("IFERROR(sum(FILTER('Fund Investment Data'!$V:$V, 'Fund Investment Data'!$C:$C = $C1236, 'Fund Investment Data'!$A:$A &lt; $A1236)),0) + IFERROR(sum(FILTER('Fund Investment Data'!$V:$V, 'Fund Investment Data'!$C:$C = $C1236, 'Fund Investment Data'!$A:$A = $A1"&amp;"236, 'Fund Investment Data'!$B:$B &lt;= $B1236)),0)"),1000000.0)</f>
        <v>1000000</v>
      </c>
      <c r="T1236" s="93">
        <v>1000000.0</v>
      </c>
      <c r="U1236" s="32">
        <f t="shared" si="22"/>
        <v>0</v>
      </c>
      <c r="V1236" s="32">
        <f>IFERROR(__xludf.DUMMYFUNCTION("$D1236 - IFERROR(FILTER($D:$D,$C:$C = $C1236, $A:$A = $A1236, $B:$B = $B1236 - 1),0)"),0.0)</f>
        <v>0</v>
      </c>
      <c r="W1236" s="93">
        <f>IFERROR(__xludf.DUMMYFUNCTION("$E1236 - IFERROR(FILTER($E:$E,$C:$C = $C1236, $A:$A = $A1236, $B:$B = $B1236 - 1),0)"),0.0)</f>
        <v>0</v>
      </c>
      <c r="X1236" s="91"/>
      <c r="Y1236" s="91"/>
      <c r="Z1236" s="91">
        <v>46594.49524440029</v>
      </c>
      <c r="AA1236" s="93">
        <v>0.0</v>
      </c>
      <c r="AB1236" s="93">
        <v>0.0</v>
      </c>
      <c r="AC1236" s="32">
        <f>IFERROR(__xludf.DUMMYFUNCTION("IFERROR(FILTER($AF:$AF,$C:$C = $C1236,$A:$A = $A1236 - 1,$B:$B = 12),0)"),0.0)</f>
        <v>0</v>
      </c>
      <c r="AD1236" s="32">
        <f t="shared" si="23"/>
        <v>46594.49524</v>
      </c>
      <c r="AE1236" s="32">
        <f t="shared" si="2"/>
        <v>-3405.504756</v>
      </c>
      <c r="AF1236" s="93">
        <v>0.0</v>
      </c>
    </row>
    <row r="1237">
      <c r="A1237" s="86">
        <v>2018.0</v>
      </c>
      <c r="B1237" s="87">
        <v>12.0</v>
      </c>
      <c r="C1237" s="88" t="s">
        <v>57</v>
      </c>
      <c r="D1237" s="32"/>
      <c r="E1237" s="93">
        <v>-45000.0</v>
      </c>
      <c r="F1237" s="93">
        <v>45000.0</v>
      </c>
      <c r="G1237" s="93">
        <v>-12044.82</v>
      </c>
      <c r="H1237" s="93">
        <v>43667.15</v>
      </c>
      <c r="I1237" s="32"/>
      <c r="J1237" s="93">
        <v>-185898.75</v>
      </c>
      <c r="K1237" s="32"/>
      <c r="L1237" s="93">
        <v>-387.94</v>
      </c>
      <c r="M1237" s="32"/>
      <c r="N1237" s="32"/>
      <c r="O1237" s="93">
        <v>1880514.0</v>
      </c>
      <c r="P1237" s="91">
        <f>IFERROR(__xludf.DUMMYFUNCTION("IFERROR(sum(FILTER($D:$N,$C:$C = $C1237,$A:$A &lt; $A1237,$B:$B = 12)),0) + sum($D1237:$N1237)"),1880514.4700000002)</f>
        <v>1880514.47</v>
      </c>
      <c r="Q1237" s="92">
        <f t="shared" si="1"/>
        <v>-0.4700000002</v>
      </c>
      <c r="R1237" s="91">
        <f t="array" ref="R1237">IFERROR(INDEX('Fund YTD Target Values'!$1:$1000, MATCH($C1237,'Fund YTD Target Values'!$A:$A,0), MATCH($A1237,'Fund YTD Target Values'!$1:$1,0)),0)</f>
        <v>2048853.692</v>
      </c>
      <c r="S1237" s="91">
        <f>IFERROR(__xludf.DUMMYFUNCTION("IFERROR(sum(FILTER('Fund Investment Data'!$V:$V, 'Fund Investment Data'!$C:$C = $C1237, 'Fund Investment Data'!$A:$A &lt; $A1237)),0) + IFERROR(sum(FILTER('Fund Investment Data'!$V:$V, 'Fund Investment Data'!$C:$C = $C1237, 'Fund Investment Data'!$A:$A = $A1"&amp;"237, 'Fund Investment Data'!$B:$B &lt;= $B1237)),0)"),2000000.0)</f>
        <v>2000000</v>
      </c>
      <c r="T1237" s="93">
        <v>2000000.0</v>
      </c>
      <c r="U1237" s="32">
        <f t="shared" si="22"/>
        <v>0</v>
      </c>
      <c r="V1237" s="32">
        <f>IFERROR(__xludf.DUMMYFUNCTION("$D1237 - IFERROR(FILTER($D:$D,$C:$C = $C1237, $A:$A = $A1237, $B:$B = $B1237 - 1),0)"),0.0)</f>
        <v>0</v>
      </c>
      <c r="W1237" s="93">
        <f>IFERROR(__xludf.DUMMYFUNCTION("$E1237 - IFERROR(FILTER($E:$E,$C:$C = $C1237, $A:$A = $A1237, $B:$B = $B1237 - 1),0)"),0.0)</f>
        <v>0</v>
      </c>
      <c r="X1237" s="91"/>
      <c r="Y1237" s="91"/>
      <c r="Z1237" s="91">
        <v>0.0</v>
      </c>
      <c r="AA1237" s="93">
        <v>45000.0</v>
      </c>
      <c r="AB1237" s="93">
        <v>0.0</v>
      </c>
      <c r="AC1237" s="32">
        <f>IFERROR(__xludf.DUMMYFUNCTION("IFERROR(FILTER($AF:$AF,$C:$C = $C1237,$A:$A = $A1237 - 1,$B:$B = 12),0)"),0.0)</f>
        <v>0</v>
      </c>
      <c r="AD1237" s="32">
        <f t="shared" si="23"/>
        <v>45000</v>
      </c>
      <c r="AE1237" s="32">
        <f t="shared" si="2"/>
        <v>0</v>
      </c>
      <c r="AF1237" s="93">
        <v>45000.0</v>
      </c>
    </row>
    <row r="1238">
      <c r="A1238" s="86">
        <v>2018.0</v>
      </c>
      <c r="B1238" s="87">
        <v>12.0</v>
      </c>
      <c r="C1238" s="88" t="s">
        <v>58</v>
      </c>
      <c r="D1238" s="32"/>
      <c r="E1238" s="93">
        <v>-45000.0</v>
      </c>
      <c r="F1238" s="93">
        <v>25000.0</v>
      </c>
      <c r="G1238" s="93">
        <v>-12044.83</v>
      </c>
      <c r="H1238" s="93">
        <v>43667.14</v>
      </c>
      <c r="I1238" s="32"/>
      <c r="J1238" s="93">
        <v>-185898.75</v>
      </c>
      <c r="K1238" s="32"/>
      <c r="L1238" s="93">
        <v>-387.94</v>
      </c>
      <c r="M1238" s="32"/>
      <c r="N1238" s="32"/>
      <c r="O1238" s="93">
        <v>1860514.0</v>
      </c>
      <c r="P1238" s="91">
        <f>IFERROR(__xludf.DUMMYFUNCTION("IFERROR(sum(FILTER($D:$N,$C:$C = $C1238,$A:$A &lt; $A1238,$B:$B = 12)),0) + sum($D1238:$N1238)"),1860514.4500000002)</f>
        <v>1860514.45</v>
      </c>
      <c r="Q1238" s="92">
        <f t="shared" si="1"/>
        <v>-0.4500000002</v>
      </c>
      <c r="R1238" s="91">
        <f t="array" ref="R1238">IFERROR(INDEX('Fund YTD Target Values'!$1:$1000, MATCH($C1238,'Fund YTD Target Values'!$A:$A,0), MATCH($A1238,'Fund YTD Target Values'!$1:$1,0)),0)</f>
        <v>2048853.692</v>
      </c>
      <c r="S1238" s="91">
        <f>IFERROR(__xludf.DUMMYFUNCTION("IFERROR(sum(FILTER('Fund Investment Data'!$V:$V, 'Fund Investment Data'!$C:$C = $C1238, 'Fund Investment Data'!$A:$A &lt; $A1238)),0) + IFERROR(sum(FILTER('Fund Investment Data'!$V:$V, 'Fund Investment Data'!$C:$C = $C1238, 'Fund Investment Data'!$A:$A = $A1"&amp;"238, 'Fund Investment Data'!$B:$B &lt;= $B1238)),0)"),2000000.0)</f>
        <v>2000000</v>
      </c>
      <c r="T1238" s="93">
        <v>2000000.0</v>
      </c>
      <c r="U1238" s="32">
        <f t="shared" si="22"/>
        <v>0</v>
      </c>
      <c r="V1238" s="32">
        <f>IFERROR(__xludf.DUMMYFUNCTION("$D1238 - IFERROR(FILTER($D:$D,$C:$C = $C1238, $A:$A = $A1238, $B:$B = $B1238 - 1),0)"),0.0)</f>
        <v>0</v>
      </c>
      <c r="W1238" s="93">
        <f>IFERROR(__xludf.DUMMYFUNCTION("$E1238 - IFERROR(FILTER($E:$E,$C:$C = $C1238, $A:$A = $A1238, $B:$B = $B1238 - 1),0)"),0.0)</f>
        <v>0</v>
      </c>
      <c r="X1238" s="91"/>
      <c r="Y1238" s="91"/>
      <c r="Z1238" s="91">
        <v>0.0</v>
      </c>
      <c r="AA1238" s="93">
        <v>45000.0</v>
      </c>
      <c r="AB1238" s="93">
        <v>0.0</v>
      </c>
      <c r="AC1238" s="32">
        <f>IFERROR(__xludf.DUMMYFUNCTION("IFERROR(FILTER($AF:$AF,$C:$C = $C1238,$A:$A = $A1238 - 1,$B:$B = 12),0)"),0.0)</f>
        <v>0</v>
      </c>
      <c r="AD1238" s="32">
        <f t="shared" si="23"/>
        <v>45000</v>
      </c>
      <c r="AE1238" s="32">
        <f t="shared" si="2"/>
        <v>0</v>
      </c>
      <c r="AF1238" s="93">
        <v>25000.0</v>
      </c>
    </row>
    <row r="1239">
      <c r="A1239" s="86">
        <v>2019.0</v>
      </c>
      <c r="B1239" s="87">
        <v>1.0</v>
      </c>
      <c r="C1239" s="88" t="s">
        <v>26</v>
      </c>
      <c r="D1239" s="32"/>
      <c r="E1239" s="32"/>
      <c r="F1239" s="32"/>
      <c r="G1239" s="93">
        <v>-145.71</v>
      </c>
      <c r="H1239" s="93">
        <v>2048.66</v>
      </c>
      <c r="I1239" s="32"/>
      <c r="J1239" s="93">
        <v>18454.98</v>
      </c>
      <c r="K1239" s="32"/>
      <c r="L1239" s="32"/>
      <c r="M1239" s="32"/>
      <c r="N1239" s="32"/>
      <c r="O1239" s="93">
        <v>329187.0</v>
      </c>
      <c r="P1239" s="91">
        <f>IFERROR(__xludf.DUMMYFUNCTION("IFERROR(sum(FILTER($D:$N,$C:$C = $C1239,$A:$A &lt; $A1239,$B:$B = 12)),0) + sum($D1239:$N1239)"),329185.32999999996)</f>
        <v>329185.33</v>
      </c>
      <c r="Q1239" s="92">
        <f t="shared" si="1"/>
        <v>1.67</v>
      </c>
      <c r="R1239" s="91">
        <f t="array" ref="R1239">IFERROR(INDEX('Fund YTD Target Values'!$1:$1000, MATCH($C1239,'Fund YTD Target Values'!$A:$A,0), MATCH($A1239,'Fund YTD Target Values'!$1:$1,0)),0)</f>
        <v>392089.6861</v>
      </c>
      <c r="S1239" s="91">
        <f>IFERROR(__xludf.DUMMYFUNCTION("IFERROR(sum(FILTER('Fund Investment Data'!$V:$V, 'Fund Investment Data'!$C:$C = $C1239, 'Fund Investment Data'!$A:$A &lt; $A1239)),0) + IFERROR(sum(FILTER('Fund Investment Data'!$V:$V, 'Fund Investment Data'!$C:$C = $C1239, 'Fund Investment Data'!$A:$A = $A1"&amp;"239, 'Fund Investment Data'!$B:$B &lt;= $B1239)),0)"),310249.0)</f>
        <v>310249</v>
      </c>
      <c r="T1239" s="93">
        <v>310250.0</v>
      </c>
      <c r="U1239" s="32">
        <f t="shared" si="22"/>
        <v>-1</v>
      </c>
      <c r="V1239" s="32">
        <f>IFERROR(__xludf.DUMMYFUNCTION("$D1239 - IFERROR(FILTER($D:$D,$C:$C = $C1239, $A:$A = $A1239, $B:$B = $B1239 - 1),0)"),0.0)</f>
        <v>0</v>
      </c>
      <c r="W1239" s="93">
        <f>IFERROR(__xludf.DUMMYFUNCTION("$E1239 - IFERROR(FILTER($E:$E,$C:$C = $C1239, $A:$A = $A1239, $B:$B = $B1239 - 1),0)"),0.0)</f>
        <v>0</v>
      </c>
      <c r="X1239" s="91">
        <f>IFERROR(__xludf.DUMMYFUNCTION("iFERROR((FILTER('Fund Investment Data'!$Z:$Z, 'Fund Investment Data'!$C:$C = $C1239, 'Fund Investment Data'!$A:$A = $A1239 - 1, 'Fund Investment Data'!$B:$B = 12) + FILTER('Fund Investment Data'!$AB:$AB, 'Fund Investment Data'!$C:$C = $C1239, 'Fund Invest"&amp;"ment Data'!$A:$A = $A1239 - 1, 'Fund Investment Data'!$B:$B = 12)) * (1 + AVERAGE(FILTER('Inflation Data'!$C:$C,'Inflation Data'!$A:$A = ($A1239 - 2)))) * Parameters!$A$4,0)"),11342.657736026731)</f>
        <v>11342.65774</v>
      </c>
      <c r="Y1239" s="91">
        <f>IFERROR(__xludf.DUMMYFUNCTION("IFERROR((IFERROR(FILTER('Fund Investment Data'!$P:$P,'Fund Investment Data'!$C:$C = $C1239,'Fund Investment Data'!$A:$A = ($A1239 - 2), 'Fund Investment Data'!$B:$B = 12),0) - SUM(FILTER('Fund Investment Data'!$V:$V, 'Fund Investment Data'!$C:$C = $C1239,"&amp;" 'Fund Investment Data'!$A:$A = ($A1239 - 2), 'Fund Investment Data'!$B:$B &gt; 3)))  * Parameters!$B$4 * (1 - Parameters!$A$4),0)"),4477.69296)</f>
        <v>4477.69296</v>
      </c>
      <c r="Z1239" s="91">
        <f t="shared" ref="Z1239:Z2782" si="24">sum($X1239:$Y1239)</f>
        <v>15820.3507</v>
      </c>
      <c r="AA1239" s="91">
        <f>IFERROR(__xludf.DUMMYFUNCTION("((IFERROR((SUM(FILTER('Fund Investment Data'!$V:$V, 'Fund Investment Data'!$C:$C = $C1239, 'Fund Investment Data'!$A:$A = $A1239 - 1, 'Fund Investment Data'!$B:$B &gt;= 4, 'Fund Investment Data'!$B:$B &lt;= ($B1239 + 5))) / 12) * ($B1239 - 3) * Parameters!$B$4,"&amp;" 0) + IF($B1239 &gt;= 9, IFERROR(SUM(FILTER('Fund Investment Data'!$V:$V, 'Fund Investment Data'!$C:$C = $C1239, 'Fund Investment Data'!$A:$A = $A1239, 'Fund Investment Data'!$B:$B &lt;= 3)) * Parameters!$B$4, 0),0)))"),0.0)</f>
        <v>0</v>
      </c>
      <c r="AB1239" s="32">
        <f>IFERROR(__xludf.DUMMYFUNCTION("IFERROR(((IFERROR(SUM(FILTER('Fund Investment Data'!$V:$V, 'Fund Investment Data'!$C:$C = $C1239, 'Fund Investment Data'!$A:$A = $A1239 - 2, 'Fund Investment Data'!$B:$B &gt;= 4)) * Parameters!$B$4,0) + IFERROR(SUM(FILTER('Fund Investment Data'!$V:$V, 'Fund "&amp;"Investment Data'!$C:$C = $C1239, 'Fund Investment Data'!$A:$A = $A1239 - 1, 'Fund Investment Data'!$B:$B &lt;= 3)) * Parameters!$B$4,0))),0)"),829.755)</f>
        <v>829.755</v>
      </c>
      <c r="AC1239" s="32">
        <f>IFERROR(__xludf.DUMMYFUNCTION("IFERROR(FILTER($AF:$AF,$C:$C = $C1239,$A:$A = $A1239 - 1,$B:$B = 12),0)"),0.0)</f>
        <v>0</v>
      </c>
      <c r="AD1239" s="32">
        <f t="shared" si="23"/>
        <v>16650.1057</v>
      </c>
      <c r="AE1239" s="32">
        <f t="shared" si="2"/>
        <v>16650.1057</v>
      </c>
      <c r="AF1239" s="32"/>
    </row>
    <row r="1240">
      <c r="A1240" s="86">
        <v>2019.0</v>
      </c>
      <c r="B1240" s="87">
        <v>1.0</v>
      </c>
      <c r="C1240" s="88" t="s">
        <v>27</v>
      </c>
      <c r="D1240" s="32"/>
      <c r="E1240" s="32"/>
      <c r="F1240" s="32"/>
      <c r="G1240" s="93">
        <v>-127.8</v>
      </c>
      <c r="H1240" s="93">
        <v>1796.06</v>
      </c>
      <c r="I1240" s="32"/>
      <c r="J1240" s="93">
        <v>16176.43</v>
      </c>
      <c r="K1240" s="32"/>
      <c r="L1240" s="32"/>
      <c r="M1240" s="32"/>
      <c r="N1240" s="32"/>
      <c r="O1240" s="93">
        <v>288728.0</v>
      </c>
      <c r="P1240" s="91">
        <f>IFERROR(__xludf.DUMMYFUNCTION("IFERROR(sum(FILTER($D:$N,$C:$C = $C1240,$A:$A &lt; $A1240,$B:$B = 12)),0) + sum($D1240:$N1240)"),288728.50000000006)</f>
        <v>288728.5</v>
      </c>
      <c r="Q1240" s="92">
        <f t="shared" si="1"/>
        <v>-0.5000000001</v>
      </c>
      <c r="R1240" s="91">
        <f t="array" ref="R1240">IFERROR(INDEX('Fund YTD Target Values'!$1:$1000, MATCH($C1240,'Fund YTD Target Values'!$A:$A,0), MATCH($A1240,'Fund YTD Target Values'!$1:$1,0)),0)</f>
        <v>400423.4941</v>
      </c>
      <c r="S1240" s="91">
        <f>IFERROR(__xludf.DUMMYFUNCTION("IFERROR(sum(FILTER('Fund Investment Data'!$V:$V, 'Fund Investment Data'!$C:$C = $C1240, 'Fund Investment Data'!$A:$A &lt; $A1240)),0) + IFERROR(sum(FILTER('Fund Investment Data'!$V:$V, 'Fund Investment Data'!$C:$C = $C1240, 'Fund Investment Data'!$A:$A = $A1"&amp;"240, 'Fund Investment Data'!$B:$B &lt;= $B1240)),0)"),276213.69999999995)</f>
        <v>276213.7</v>
      </c>
      <c r="T1240" s="32"/>
      <c r="U1240" s="32"/>
      <c r="V1240" s="32">
        <f>IFERROR(__xludf.DUMMYFUNCTION("$D1240 - IFERROR(FILTER($D:$D,$C:$C = $C1240, $A:$A = $A1240, $B:$B = $B1240 - 1),0)"),0.0)</f>
        <v>0</v>
      </c>
      <c r="W1240" s="93">
        <f>IFERROR(__xludf.DUMMYFUNCTION("$E1240 - IFERROR(FILTER($E:$E,$C:$C = $C1240, $A:$A = $A1240, $B:$B = $B1240 - 1),0)"),0.0)</f>
        <v>0</v>
      </c>
      <c r="X1240" s="91">
        <f>IFERROR(__xludf.DUMMYFUNCTION("iFERROR((FILTER('Fund Investment Data'!$Z:$Z, 'Fund Investment Data'!$C:$C = $C1240, 'Fund Investment Data'!$A:$A = $A1240 - 1, 'Fund Investment Data'!$B:$B = 12) + FILTER('Fund Investment Data'!$AB:$AB, 'Fund Investment Data'!$C:$C = $C1240, 'Fund Invest"&amp;"ment Data'!$A:$A = $A1240 - 1, 'Fund Investment Data'!$B:$B = 12)) * (1 + AVERAGE(FILTER('Inflation Data'!$C:$C,'Inflation Data'!$A:$A = ($A1240 - 2)))) * Parameters!$A$4,0)"),9924.42530607715)</f>
        <v>9924.425306</v>
      </c>
      <c r="Y1240" s="91">
        <f>IFERROR(__xludf.DUMMYFUNCTION("IFERROR((IFERROR(FILTER('Fund Investment Data'!$P:$P,'Fund Investment Data'!$C:$C = $C1240,'Fund Investment Data'!$A:$A = ($A1240 - 2), 'Fund Investment Data'!$B:$B = 12),0) - SUM(FILTER('Fund Investment Data'!$V:$V, 'Fund Investment Data'!$C:$C = $C1240,"&amp;" 'Fund Investment Data'!$A:$A = ($A1240 - 2), 'Fund Investment Data'!$B:$B &gt; 3)))  * Parameters!$B$4 * (1 - Parameters!$A$4),0)"),4164.5529000000015)</f>
        <v>4164.5529</v>
      </c>
      <c r="Z1240" s="91">
        <f t="shared" si="24"/>
        <v>14088.97821</v>
      </c>
      <c r="AA1240" s="91">
        <f>IFERROR(__xludf.DUMMYFUNCTION("((IFERROR((SUM(FILTER('Fund Investment Data'!$V:$V, 'Fund Investment Data'!$C:$C = $C1240, 'Fund Investment Data'!$A:$A = $A1240 - 1, 'Fund Investment Data'!$B:$B &gt;= 4, 'Fund Investment Data'!$B:$B &lt;= ($B1240 + 5))) / 12) * ($B1240 - 3) * Parameters!$B$4,"&amp;" 0) + IF($B1240 &gt;= 9, IFERROR(SUM(FILTER('Fund Investment Data'!$V:$V, 'Fund Investment Data'!$C:$C = $C1240, 'Fund Investment Data'!$A:$A = $A1240, 'Fund Investment Data'!$B:$B &lt;= 3)) * Parameters!$B$4, 0),0)))"),0.0)</f>
        <v>0</v>
      </c>
      <c r="AB1240" s="32">
        <f>IFERROR(__xludf.DUMMYFUNCTION("IFERROR(((IFERROR(SUM(FILTER('Fund Investment Data'!$V:$V, 'Fund Investment Data'!$C:$C = $C1240, 'Fund Investment Data'!$A:$A = $A1240 - 2, 'Fund Investment Data'!$B:$B &gt;= 4)) * Parameters!$B$4,0) + IFERROR(SUM(FILTER('Fund Investment Data'!$V:$V, 'Fund "&amp;"Investment Data'!$C:$C = $C1240, 'Fund Investment Data'!$A:$A = $A1240 - 1, 'Fund Investment Data'!$B:$B &lt;= 3)) * Parameters!$B$4,0))),0)"),0.0)</f>
        <v>0</v>
      </c>
      <c r="AC1240" s="32">
        <f>IFERROR(__xludf.DUMMYFUNCTION("IFERROR(FILTER($AF:$AF,$C:$C = $C1240,$A:$A = $A1240 - 1,$B:$B = 12),0)"),0.0)</f>
        <v>0</v>
      </c>
      <c r="AD1240" s="32">
        <f t="shared" si="23"/>
        <v>14088.97821</v>
      </c>
      <c r="AE1240" s="32">
        <f t="shared" si="2"/>
        <v>14088.97821</v>
      </c>
      <c r="AF1240" s="32"/>
    </row>
    <row r="1241">
      <c r="A1241" s="86">
        <v>2019.0</v>
      </c>
      <c r="B1241" s="87">
        <v>1.0</v>
      </c>
      <c r="C1241" s="88" t="s">
        <v>28</v>
      </c>
      <c r="D1241" s="32"/>
      <c r="E1241" s="32"/>
      <c r="F1241" s="32"/>
      <c r="G1241" s="93">
        <v>-1369.33</v>
      </c>
      <c r="H1241" s="93">
        <v>19242.96</v>
      </c>
      <c r="I1241" s="32"/>
      <c r="J1241" s="93">
        <v>173313.92</v>
      </c>
      <c r="K1241" s="32"/>
      <c r="L1241" s="32"/>
      <c r="M1241" s="32"/>
      <c r="N1241" s="32"/>
      <c r="O1241" s="93">
        <v>3093428.0</v>
      </c>
      <c r="P1241" s="91">
        <f>IFERROR(__xludf.DUMMYFUNCTION("IFERROR(sum(FILTER($D:$N,$C:$C = $C1241,$A:$A &lt; $A1241,$B:$B = 12)),0) + sum($D1241:$N1241)"),3093426.9899999998)</f>
        <v>3093426.99</v>
      </c>
      <c r="Q1241" s="92">
        <f t="shared" si="1"/>
        <v>1.01</v>
      </c>
      <c r="R1241" s="91">
        <f t="array" ref="R1241">IFERROR(INDEX('Fund YTD Target Values'!$1:$1000, MATCH($C1241,'Fund YTD Target Values'!$A:$A,0), MATCH($A1241,'Fund YTD Target Values'!$1:$1,0)),0)</f>
        <v>3910070.897</v>
      </c>
      <c r="S1241" s="91">
        <f>IFERROR(__xludf.DUMMYFUNCTION("IFERROR(sum(FILTER('Fund Investment Data'!$V:$V, 'Fund Investment Data'!$C:$C = $C1241, 'Fund Investment Data'!$A:$A &lt; $A1241)),0) + IFERROR(sum(FILTER('Fund Investment Data'!$V:$V, 'Fund Investment Data'!$C:$C = $C1241, 'Fund Investment Data'!$A:$A = $A1"&amp;"241, 'Fund Investment Data'!$B:$B &lt;= $B1241)),0)"),2960091.25)</f>
        <v>2960091.25</v>
      </c>
      <c r="T1241" s="93">
        <v>3009816.0</v>
      </c>
      <c r="U1241" s="32">
        <f t="shared" ref="U1241:U1242" si="25">S1241-T1241</f>
        <v>-49724.75</v>
      </c>
      <c r="V1241" s="32">
        <f>IFERROR(__xludf.DUMMYFUNCTION("$D1241 - IFERROR(FILTER($D:$D,$C:$C = $C1241, $A:$A = $A1241, $B:$B = $B1241 - 1),0)"),0.0)</f>
        <v>0</v>
      </c>
      <c r="W1241" s="93">
        <f>IFERROR(__xludf.DUMMYFUNCTION("$E1241 - IFERROR(FILTER($E:$E,$C:$C = $C1241, $A:$A = $A1241, $B:$B = $B1241 - 1),0)"),0.0)</f>
        <v>0</v>
      </c>
      <c r="X1241" s="91">
        <f>IFERROR(__xludf.DUMMYFUNCTION("iFERROR((FILTER('Fund Investment Data'!$Z:$Z, 'Fund Investment Data'!$C:$C = $C1241, 'Fund Investment Data'!$A:$A = $A1241 - 1, 'Fund Investment Data'!$B:$B = 12) + FILTER('Fund Investment Data'!$AB:$AB, 'Fund Investment Data'!$C:$C = $C1241, 'Fund Invest"&amp;"ment Data'!$A:$A = $A1241 - 1, 'Fund Investment Data'!$B:$B = 12)) * (1 + AVERAGE(FILTER('Inflation Data'!$C:$C,'Inflation Data'!$A:$A = ($A1241 - 2)))) * Parameters!$A$4,0)"),106462.6298445185)</f>
        <v>106462.6298</v>
      </c>
      <c r="Y1241" s="91">
        <f>IFERROR(__xludf.DUMMYFUNCTION("IFERROR((IFERROR(FILTER('Fund Investment Data'!$P:$P,'Fund Investment Data'!$C:$C = $C1241,'Fund Investment Data'!$A:$A = ($A1241 - 2), 'Fund Investment Data'!$B:$B = 12),0) - SUM(FILTER('Fund Investment Data'!$V:$V, 'Fund Investment Data'!$C:$C = $C1241,"&amp;" 'Fund Investment Data'!$A:$A = ($A1241 - 2), 'Fund Investment Data'!$B:$B &gt; 3)))  * Parameters!$B$4 * (1 - Parameters!$A$4),0)"),44674.55194500001)</f>
        <v>44674.55195</v>
      </c>
      <c r="Z1241" s="91">
        <f t="shared" si="24"/>
        <v>151137.1818</v>
      </c>
      <c r="AA1241" s="91">
        <f>IFERROR(__xludf.DUMMYFUNCTION("((IFERROR((SUM(FILTER('Fund Investment Data'!$V:$V, 'Fund Investment Data'!$C:$C = $C1241, 'Fund Investment Data'!$A:$A = $A1241 - 1, 'Fund Investment Data'!$B:$B &gt;= 4, 'Fund Investment Data'!$B:$B &lt;= ($B1241 + 5))) / 12) * ($B1241 - 3) * Parameters!$B$4,"&amp;" 0) + IF($B1241 &gt;= 9, IFERROR(SUM(FILTER('Fund Investment Data'!$V:$V, 'Fund Investment Data'!$C:$C = $C1241, 'Fund Investment Data'!$A:$A = $A1241, 'Fund Investment Data'!$B:$B &lt;= 3)) * Parameters!$B$4, 0),0)))"),0.0)</f>
        <v>0</v>
      </c>
      <c r="AB1241" s="32">
        <f>IFERROR(__xludf.DUMMYFUNCTION("IFERROR(((IFERROR(SUM(FILTER('Fund Investment Data'!$V:$V, 'Fund Investment Data'!$C:$C = $C1241, 'Fund Investment Data'!$A:$A = $A1241 - 2, 'Fund Investment Data'!$B:$B &gt;= 4)) * Parameters!$B$4,0) + IFERROR(SUM(FILTER('Fund Investment Data'!$V:$V, 'Fund "&amp;"Investment Data'!$C:$C = $C1241, 'Fund Investment Data'!$A:$A = $A1241 - 1, 'Fund Investment Data'!$B:$B &lt;= 3)) * Parameters!$B$4,0))),0)"),0.0)</f>
        <v>0</v>
      </c>
      <c r="AC1241" s="32">
        <f>IFERROR(__xludf.DUMMYFUNCTION("IFERROR(FILTER($AF:$AF,$C:$C = $C1241,$A:$A = $A1241 - 1,$B:$B = 12),0)"),0.0)</f>
        <v>0</v>
      </c>
      <c r="AD1241" s="32">
        <f t="shared" si="23"/>
        <v>151137.1818</v>
      </c>
      <c r="AE1241" s="32">
        <f t="shared" si="2"/>
        <v>151137.1818</v>
      </c>
      <c r="AF1241" s="32"/>
    </row>
    <row r="1242">
      <c r="A1242" s="86">
        <v>2019.0</v>
      </c>
      <c r="B1242" s="87">
        <v>1.0</v>
      </c>
      <c r="C1242" s="88" t="s">
        <v>46</v>
      </c>
      <c r="D1242" s="32"/>
      <c r="E1242" s="32"/>
      <c r="F1242" s="32"/>
      <c r="G1242" s="93">
        <v>-157.96</v>
      </c>
      <c r="H1242" s="93">
        <v>2223.93</v>
      </c>
      <c r="I1242" s="32"/>
      <c r="J1242" s="93">
        <v>20044.46</v>
      </c>
      <c r="K1242" s="32"/>
      <c r="L1242" s="32"/>
      <c r="M1242" s="32"/>
      <c r="N1242" s="32"/>
      <c r="O1242" s="93">
        <v>356901.0</v>
      </c>
      <c r="P1242" s="91">
        <f>IFERROR(__xludf.DUMMYFUNCTION("IFERROR(sum(FILTER($D:$N,$C:$C = $C1242,$A:$A &lt; $A1242,$B:$B = 12)),0) + sum($D1242:$N1242)"),356901.81)</f>
        <v>356901.81</v>
      </c>
      <c r="Q1242" s="92">
        <f t="shared" si="1"/>
        <v>-0.81</v>
      </c>
      <c r="R1242" s="91">
        <f t="array" ref="R1242">IFERROR(INDEX('Fund YTD Target Values'!$1:$1000, MATCH($C1242,'Fund YTD Target Values'!$A:$A,0), MATCH($A1242,'Fund YTD Target Values'!$1:$1,0)),0)</f>
        <v>464818.8536</v>
      </c>
      <c r="S1242" s="91">
        <f>IFERROR(__xludf.DUMMYFUNCTION("IFERROR(sum(FILTER('Fund Investment Data'!$V:$V, 'Fund Investment Data'!$C:$C = $C1242, 'Fund Investment Data'!$A:$A &lt; $A1242)),0) + IFERROR(sum(FILTER('Fund Investment Data'!$V:$V, 'Fund Investment Data'!$C:$C = $C1242, 'Fund Investment Data'!$A:$A = $A1"&amp;"242, 'Fund Investment Data'!$B:$B &lt;= $B1242)),0)"),366400.0)</f>
        <v>366400</v>
      </c>
      <c r="T1242" s="93">
        <v>366400.0</v>
      </c>
      <c r="U1242" s="32">
        <f t="shared" si="25"/>
        <v>0</v>
      </c>
      <c r="V1242" s="32">
        <f>IFERROR(__xludf.DUMMYFUNCTION("$D1242 - IFERROR(FILTER($D:$D,$C:$C = $C1242, $A:$A = $A1242, $B:$B = $B1242 - 1),0)"),0.0)</f>
        <v>0</v>
      </c>
      <c r="W1242" s="93">
        <f>IFERROR(__xludf.DUMMYFUNCTION("$E1242 - IFERROR(FILTER($E:$E,$C:$C = $C1242, $A:$A = $A1242, $B:$B = $B1242 - 1),0)"),0.0)</f>
        <v>0</v>
      </c>
      <c r="X1242" s="91">
        <f>IFERROR(__xludf.DUMMYFUNCTION("iFERROR((FILTER('Fund Investment Data'!$Z:$Z, 'Fund Investment Data'!$C:$C = $C1242, 'Fund Investment Data'!$A:$A = $A1242 - 1, 'Fund Investment Data'!$B:$B = 12) + FILTER('Fund Investment Data'!$AB:$AB, 'Fund Investment Data'!$C:$C = $C1242, 'Fund Invest"&amp;"ment Data'!$A:$A = $A1242 - 1, 'Fund Investment Data'!$B:$B = 12)) * (1 + AVERAGE(FILTER('Inflation Data'!$C:$C,'Inflation Data'!$A:$A = ($A1242 - 2)))) * Parameters!$A$4,0)"),12659.715432364716)</f>
        <v>12659.71543</v>
      </c>
      <c r="Y1242" s="91">
        <f>IFERROR(__xludf.DUMMYFUNCTION("IFERROR((IFERROR(FILTER('Fund Investment Data'!$P:$P,'Fund Investment Data'!$C:$C = $C1242,'Fund Investment Data'!$A:$A = ($A1242 - 2), 'Fund Investment Data'!$B:$B = 12),0) - SUM(FILTER('Fund Investment Data'!$V:$V, 'Fund Investment Data'!$C:$C = $C1242,"&amp;" 'Fund Investment Data'!$A:$A = ($A1242 - 2), 'Fund Investment Data'!$B:$B &gt; 3)))  * Parameters!$B$4 * (1 - Parameters!$A$4),0)"),5312.3534100000015)</f>
        <v>5312.35341</v>
      </c>
      <c r="Z1242" s="91">
        <f t="shared" si="24"/>
        <v>17972.06884</v>
      </c>
      <c r="AA1242" s="91">
        <f>IFERROR(__xludf.DUMMYFUNCTION("((IFERROR((SUM(FILTER('Fund Investment Data'!$V:$V, 'Fund Investment Data'!$C:$C = $C1242, 'Fund Investment Data'!$A:$A = $A1242 - 1, 'Fund Investment Data'!$B:$B &gt;= 4, 'Fund Investment Data'!$B:$B &lt;= ($B1242 + 5))) / 12) * ($B1242 - 3) * Parameters!$B$4,"&amp;" 0) + IF($B1242 &gt;= 9, IFERROR(SUM(FILTER('Fund Investment Data'!$V:$V, 'Fund Investment Data'!$C:$C = $C1242, 'Fund Investment Data'!$A:$A = $A1242, 'Fund Investment Data'!$B:$B &lt;= 3)) * Parameters!$B$4, 0),0)))"),0.0)</f>
        <v>0</v>
      </c>
      <c r="AB1242" s="32">
        <f>IFERROR(__xludf.DUMMYFUNCTION("IFERROR(((IFERROR(SUM(FILTER('Fund Investment Data'!$V:$V, 'Fund Investment Data'!$C:$C = $C1242, 'Fund Investment Data'!$A:$A = $A1242 - 2, 'Fund Investment Data'!$B:$B &gt;= 4)) * Parameters!$B$4,0) + IFERROR(SUM(FILTER('Fund Investment Data'!$V:$V, 'Fund "&amp;"Investment Data'!$C:$C = $C1242, 'Fund Investment Data'!$A:$A = $A1242 - 1, 'Fund Investment Data'!$B:$B &lt;= 3)) * Parameters!$B$4,0))),0)"),0.0)</f>
        <v>0</v>
      </c>
      <c r="AC1242" s="32">
        <f>IFERROR(__xludf.DUMMYFUNCTION("IFERROR(FILTER($AF:$AF,$C:$C = $C1242,$A:$A = $A1242 - 1,$B:$B = 12),0)"),0.0)</f>
        <v>0</v>
      </c>
      <c r="AD1242" s="32">
        <f t="shared" si="23"/>
        <v>17972.06884</v>
      </c>
      <c r="AE1242" s="32">
        <f t="shared" si="2"/>
        <v>17972.06884</v>
      </c>
      <c r="AF1242" s="32"/>
    </row>
    <row r="1243">
      <c r="A1243" s="86">
        <v>2019.0</v>
      </c>
      <c r="B1243" s="87">
        <v>1.0</v>
      </c>
      <c r="C1243" s="88" t="s">
        <v>36</v>
      </c>
      <c r="D1243" s="32"/>
      <c r="E1243" s="32"/>
      <c r="F1243" s="32"/>
      <c r="G1243" s="93">
        <v>-185.87</v>
      </c>
      <c r="H1243" s="93">
        <v>2611.92</v>
      </c>
      <c r="I1243" s="32"/>
      <c r="J1243" s="93">
        <v>23524.5</v>
      </c>
      <c r="K1243" s="32"/>
      <c r="L1243" s="32"/>
      <c r="M1243" s="32"/>
      <c r="N1243" s="32"/>
      <c r="O1243" s="93">
        <v>419882.0</v>
      </c>
      <c r="P1243" s="91">
        <f>IFERROR(__xludf.DUMMYFUNCTION("IFERROR(sum(FILTER($D:$N,$C:$C = $C1243,$A:$A &lt; $A1243,$B:$B = 12)),0) + sum($D1243:$N1243)"),419881.29)</f>
        <v>419881.29</v>
      </c>
      <c r="Q1243" s="92">
        <f t="shared" si="1"/>
        <v>0.71</v>
      </c>
      <c r="R1243" s="91">
        <f t="array" ref="R1243">IFERROR(INDEX('Fund YTD Target Values'!$1:$1000, MATCH($C1243,'Fund YTD Target Values'!$A:$A,0), MATCH($A1243,'Fund YTD Target Values'!$1:$1,0)),0)</f>
        <v>647000.627</v>
      </c>
      <c r="S1243" s="91">
        <f>IFERROR(__xludf.DUMMYFUNCTION("IFERROR(sum(FILTER('Fund Investment Data'!$V:$V, 'Fund Investment Data'!$C:$C = $C1243, 'Fund Investment Data'!$A:$A &lt; $A1243)),0) + IFERROR(sum(FILTER('Fund Investment Data'!$V:$V, 'Fund Investment Data'!$C:$C = $C1243, 'Fund Investment Data'!$A:$A = $A1"&amp;"243, 'Fund Investment Data'!$B:$B &lt;= $B1243)),0)"),429067.24)</f>
        <v>429067.24</v>
      </c>
      <c r="T1243" s="32"/>
      <c r="U1243" s="32"/>
      <c r="V1243" s="32">
        <f>IFERROR(__xludf.DUMMYFUNCTION("$D1243 - IFERROR(FILTER($D:$D,$C:$C = $C1243, $A:$A = $A1243, $B:$B = $B1243 - 1),0)"),0.0)</f>
        <v>0</v>
      </c>
      <c r="W1243" s="93">
        <f>IFERROR(__xludf.DUMMYFUNCTION("$E1243 - IFERROR(FILTER($E:$E,$C:$C = $C1243, $A:$A = $A1243, $B:$B = $B1243 - 1),0)"),0.0)</f>
        <v>0</v>
      </c>
      <c r="X1243" s="91">
        <f>IFERROR(__xludf.DUMMYFUNCTION("iFERROR((FILTER('Fund Investment Data'!$Z:$Z, 'Fund Investment Data'!$C:$C = $C1243, 'Fund Investment Data'!$A:$A = $A1243 - 1, 'Fund Investment Data'!$B:$B = 12) + FILTER('Fund Investment Data'!$AB:$AB, 'Fund Investment Data'!$C:$C = $C1243, 'Fund Invest"&amp;"ment Data'!$A:$A = $A1243 - 1, 'Fund Investment Data'!$B:$B = 12)) * (1 + AVERAGE(FILTER('Inflation Data'!$C:$C,'Inflation Data'!$A:$A = ($A1243 - 2)))) * Parameters!$A$4,0)"),14501.42849435059)</f>
        <v>14501.42849</v>
      </c>
      <c r="Y1243" s="91">
        <f>IFERROR(__xludf.DUMMYFUNCTION("IFERROR((IFERROR(FILTER('Fund Investment Data'!$P:$P,'Fund Investment Data'!$C:$C = $C1243,'Fund Investment Data'!$A:$A = ($A1243 - 2), 'Fund Investment Data'!$B:$B = 12),0) - SUM(FILTER('Fund Investment Data'!$V:$V, 'Fund Investment Data'!$C:$C = $C1243,"&amp;" 'Fund Investment Data'!$A:$A = ($A1243 - 2), 'Fund Investment Data'!$B:$B &gt; 3)))  * Parameters!$B$4 * (1 - Parameters!$A$4),0)"),6085.1852100000015)</f>
        <v>6085.18521</v>
      </c>
      <c r="Z1243" s="91">
        <f t="shared" si="24"/>
        <v>20586.6137</v>
      </c>
      <c r="AA1243" s="91">
        <f>IFERROR(__xludf.DUMMYFUNCTION("((IFERROR((SUM(FILTER('Fund Investment Data'!$V:$V, 'Fund Investment Data'!$C:$C = $C1243, 'Fund Investment Data'!$A:$A = $A1243 - 1, 'Fund Investment Data'!$B:$B &gt;= 4, 'Fund Investment Data'!$B:$B &lt;= ($B1243 + 5))) / 12) * ($B1243 - 3) * Parameters!$B$4,"&amp;" 0) + IF($B1243 &gt;= 9, IFERROR(SUM(FILTER('Fund Investment Data'!$V:$V, 'Fund Investment Data'!$C:$C = $C1243, 'Fund Investment Data'!$A:$A = $A1243, 'Fund Investment Data'!$B:$B &lt;= 3)) * Parameters!$B$4, 0),0)))"),0.0)</f>
        <v>0</v>
      </c>
      <c r="AB1243" s="32">
        <f>IFERROR(__xludf.DUMMYFUNCTION("IFERROR(((IFERROR(SUM(FILTER('Fund Investment Data'!$V:$V, 'Fund Investment Data'!$C:$C = $C1243, 'Fund Investment Data'!$A:$A = $A1243 - 2, 'Fund Investment Data'!$B:$B &gt;= 4)) * Parameters!$B$4,0) + IFERROR(SUM(FILTER('Fund Investment Data'!$V:$V, 'Fund "&amp;"Investment Data'!$C:$C = $C1243, 'Fund Investment Data'!$A:$A = $A1243 - 1, 'Fund Investment Data'!$B:$B &lt;= 3)) * Parameters!$B$4,0))),0)"),0.0)</f>
        <v>0</v>
      </c>
      <c r="AC1243" s="32">
        <f>IFERROR(__xludf.DUMMYFUNCTION("IFERROR(FILTER($AF:$AF,$C:$C = $C1243,$A:$A = $A1243 - 1,$B:$B = 12),0)"),0.0)</f>
        <v>0</v>
      </c>
      <c r="AD1243" s="32">
        <f t="shared" si="23"/>
        <v>20586.6137</v>
      </c>
      <c r="AE1243" s="32">
        <f t="shared" si="2"/>
        <v>20586.6137</v>
      </c>
      <c r="AF1243" s="32"/>
    </row>
    <row r="1244">
      <c r="A1244" s="86">
        <v>2019.0</v>
      </c>
      <c r="B1244" s="87">
        <v>1.0</v>
      </c>
      <c r="C1244" s="88" t="s">
        <v>37</v>
      </c>
      <c r="D1244" s="32"/>
      <c r="E1244" s="32"/>
      <c r="F1244" s="32"/>
      <c r="G1244" s="93">
        <v>-341.13</v>
      </c>
      <c r="H1244" s="93">
        <v>4793.87</v>
      </c>
      <c r="I1244" s="32"/>
      <c r="J1244" s="93">
        <v>43176.45</v>
      </c>
      <c r="K1244" s="32"/>
      <c r="L1244" s="32"/>
      <c r="M1244" s="32"/>
      <c r="N1244" s="32"/>
      <c r="O1244" s="93">
        <v>770643.0</v>
      </c>
      <c r="P1244" s="91">
        <f>IFERROR(__xludf.DUMMYFUNCTION("IFERROR(sum(FILTER($D:$N,$C:$C = $C1244,$A:$A &lt; $A1244,$B:$B = 12)),0) + sum($D1244:$N1244)"),770643.2999999998)</f>
        <v>770643.3</v>
      </c>
      <c r="Q1244" s="92">
        <f t="shared" si="1"/>
        <v>-0.2999999998</v>
      </c>
      <c r="R1244" s="91">
        <f t="array" ref="R1244">IFERROR(INDEX('Fund YTD Target Values'!$1:$1000, MATCH($C1244,'Fund YTD Target Values'!$A:$A,0), MATCH($A1244,'Fund YTD Target Values'!$1:$1,0)),0)</f>
        <v>860942.6464</v>
      </c>
      <c r="S1244" s="91">
        <f>IFERROR(__xludf.DUMMYFUNCTION("IFERROR(sum(FILTER('Fund Investment Data'!$V:$V, 'Fund Investment Data'!$C:$C = $C1244, 'Fund Investment Data'!$A:$A &lt; $A1244)),0) + IFERROR(sum(FILTER('Fund Investment Data'!$V:$V, 'Fund Investment Data'!$C:$C = $C1244, 'Fund Investment Data'!$A:$A = $A1"&amp;"244, 'Fund Investment Data'!$B:$B &lt;= $B1244)),0)"),758137.86)</f>
        <v>758137.86</v>
      </c>
      <c r="T1244" s="32"/>
      <c r="U1244" s="32"/>
      <c r="V1244" s="32">
        <f>IFERROR(__xludf.DUMMYFUNCTION("$D1244 - IFERROR(FILTER($D:$D,$C:$C = $C1244, $A:$A = $A1244, $B:$B = $B1244 - 1),0)"),0.0)</f>
        <v>0</v>
      </c>
      <c r="W1244" s="93">
        <f>IFERROR(__xludf.DUMMYFUNCTION("$E1244 - IFERROR(FILTER($E:$E,$C:$C = $C1244, $A:$A = $A1244, $B:$B = $B1244 - 1),0)"),0.0)</f>
        <v>0</v>
      </c>
      <c r="X1244" s="91">
        <f>IFERROR(__xludf.DUMMYFUNCTION("iFERROR((FILTER('Fund Investment Data'!$Z:$Z, 'Fund Investment Data'!$C:$C = $C1244, 'Fund Investment Data'!$A:$A = $A1244 - 1, 'Fund Investment Data'!$B:$B = 12) + FILTER('Fund Investment Data'!$AB:$AB, 'Fund Investment Data'!$C:$C = $C1244, 'Fund Invest"&amp;"ment Data'!$A:$A = $A1244 - 1, 'Fund Investment Data'!$B:$B = 12)) * (1 + AVERAGE(FILTER('Inflation Data'!$C:$C,'Inflation Data'!$A:$A = ($A1244 - 2)))) * Parameters!$A$4,0)"),26487.702642294462)</f>
        <v>26487.70264</v>
      </c>
      <c r="Y1244" s="91">
        <f>IFERROR(__xludf.DUMMYFUNCTION("IFERROR((IFERROR(FILTER('Fund Investment Data'!$P:$P,'Fund Investment Data'!$C:$C = $C1244,'Fund Investment Data'!$A:$A = ($A1244 - 2), 'Fund Investment Data'!$B:$B = 12),0) - SUM(FILTER('Fund Investment Data'!$V:$V, 'Fund Investment Data'!$C:$C = $C1244,"&amp;" 'Fund Investment Data'!$A:$A = ($A1244 - 2), 'Fund Investment Data'!$B:$B &gt; 3)))  * Parameters!$B$4 * (1 - Parameters!$A$4),0)"),11114.94474)</f>
        <v>11114.94474</v>
      </c>
      <c r="Z1244" s="91">
        <f t="shared" si="24"/>
        <v>37602.64738</v>
      </c>
      <c r="AA1244" s="91">
        <f>IFERROR(__xludf.DUMMYFUNCTION("((IFERROR((SUM(FILTER('Fund Investment Data'!$V:$V, 'Fund Investment Data'!$C:$C = $C1244, 'Fund Investment Data'!$A:$A = $A1244 - 1, 'Fund Investment Data'!$B:$B &gt;= 4, 'Fund Investment Data'!$B:$B &lt;= ($B1244 + 5))) / 12) * ($B1244 - 3) * Parameters!$B$4,"&amp;" 0) + IF($B1244 &gt;= 9, IFERROR(SUM(FILTER('Fund Investment Data'!$V:$V, 'Fund Investment Data'!$C:$C = $C1244, 'Fund Investment Data'!$A:$A = $A1244, 'Fund Investment Data'!$B:$B &lt;= 3)) * Parameters!$B$4, 0),0)))"),0.0)</f>
        <v>0</v>
      </c>
      <c r="AB1244" s="32">
        <f>IFERROR(__xludf.DUMMYFUNCTION("IFERROR(((IFERROR(SUM(FILTER('Fund Investment Data'!$V:$V, 'Fund Investment Data'!$C:$C = $C1244, 'Fund Investment Data'!$A:$A = $A1244 - 2, 'Fund Investment Data'!$B:$B &gt;= 4)) * Parameters!$B$4,0) + IFERROR(SUM(FILTER('Fund Investment Data'!$V:$V, 'Fund "&amp;"Investment Data'!$C:$C = $C1244, 'Fund Investment Data'!$A:$A = $A1244 - 1, 'Fund Investment Data'!$B:$B &lt;= 3)) * Parameters!$B$4,0))),0)"),0.0)</f>
        <v>0</v>
      </c>
      <c r="AC1244" s="32">
        <f>IFERROR(__xludf.DUMMYFUNCTION("IFERROR(FILTER($AF:$AF,$C:$C = $C1244,$A:$A = $A1244 - 1,$B:$B = 12),0)"),0.0)</f>
        <v>0</v>
      </c>
      <c r="AD1244" s="32">
        <f t="shared" si="23"/>
        <v>37602.64738</v>
      </c>
      <c r="AE1244" s="32">
        <f t="shared" si="2"/>
        <v>37602.64738</v>
      </c>
      <c r="AF1244" s="32"/>
    </row>
    <row r="1245">
      <c r="A1245" s="86">
        <v>2019.0</v>
      </c>
      <c r="B1245" s="87">
        <v>1.0</v>
      </c>
      <c r="C1245" s="88" t="s">
        <v>29</v>
      </c>
      <c r="D1245" s="32"/>
      <c r="E1245" s="32"/>
      <c r="F1245" s="32"/>
      <c r="G1245" s="93">
        <v>-25.35</v>
      </c>
      <c r="H1245" s="93">
        <v>352.45</v>
      </c>
      <c r="I1245" s="32"/>
      <c r="J1245" s="93">
        <v>3161.31</v>
      </c>
      <c r="K1245" s="32"/>
      <c r="L1245" s="32"/>
      <c r="M1245" s="32"/>
      <c r="N1245" s="32"/>
      <c r="O1245" s="93">
        <v>57216.0</v>
      </c>
      <c r="P1245" s="91">
        <f>IFERROR(__xludf.DUMMYFUNCTION("IFERROR(sum(FILTER($D:$N,$C:$C = $C1245,$A:$A &lt; $A1245,$B:$B = 12)),0) + sum($D1245:$N1245)"),57215.799999999916)</f>
        <v>57215.8</v>
      </c>
      <c r="Q1245" s="92">
        <f t="shared" si="1"/>
        <v>0.2000000001</v>
      </c>
      <c r="R1245" s="91">
        <f t="array" ref="R1245">IFERROR(INDEX('Fund YTD Target Values'!$1:$1000, MATCH($C1245,'Fund YTD Target Values'!$A:$A,0), MATCH($A1245,'Fund YTD Target Values'!$1:$1,0)),0)</f>
        <v>78452.06886</v>
      </c>
      <c r="S1245" s="91">
        <f>IFERROR(__xludf.DUMMYFUNCTION("IFERROR(sum(FILTER('Fund Investment Data'!$V:$V, 'Fund Investment Data'!$C:$C = $C1245, 'Fund Investment Data'!$A:$A &lt; $A1245)),0) + IFERROR(sum(FILTER('Fund Investment Data'!$V:$V, 'Fund Investment Data'!$C:$C = $C1245, 'Fund Investment Data'!$A:$A = $A1"&amp;"245, 'Fund Investment Data'!$B:$B &lt;= $B1245)),0)"),50000.0)</f>
        <v>50000</v>
      </c>
      <c r="T1245" s="93">
        <v>50000.0</v>
      </c>
      <c r="U1245" s="32">
        <f>S1245-T1245</f>
        <v>0</v>
      </c>
      <c r="V1245" s="32">
        <f>IFERROR(__xludf.DUMMYFUNCTION("$D1245 - IFERROR(FILTER($D:$D,$C:$C = $C1245, $A:$A = $A1245, $B:$B = $B1245 - 1),0)"),0.0)</f>
        <v>0</v>
      </c>
      <c r="W1245" s="93">
        <f>IFERROR(__xludf.DUMMYFUNCTION("$E1245 - IFERROR(FILTER($E:$E,$C:$C = $C1245, $A:$A = $A1245, $B:$B = $B1245 - 1),0)"),0.0)</f>
        <v>0</v>
      </c>
      <c r="X1245" s="91">
        <f>IFERROR(__xludf.DUMMYFUNCTION("iFERROR((FILTER('Fund Investment Data'!$Z:$Z, 'Fund Investment Data'!$C:$C = $C1245, 'Fund Investment Data'!$A:$A = $A1245 - 1, 'Fund Investment Data'!$B:$B = 12) + FILTER('Fund Investment Data'!$AB:$AB, 'Fund Investment Data'!$C:$C = $C1245, 'Fund Invest"&amp;"ment Data'!$A:$A = $A1245 - 1, 'Fund Investment Data'!$B:$B = 12)) * (1 + AVERAGE(FILTER('Inflation Data'!$C:$C,'Inflation Data'!$A:$A = ($A1245 - 2)))) * Parameters!$A$4,0)"),1871.1341826828661)</f>
        <v>1871.134183</v>
      </c>
      <c r="Y1245" s="91">
        <f>IFERROR(__xludf.DUMMYFUNCTION("IFERROR((IFERROR(FILTER('Fund Investment Data'!$P:$P,'Fund Investment Data'!$C:$C = $C1245,'Fund Investment Data'!$A:$A = ($A1245 - 2), 'Fund Investment Data'!$B:$B = 12),0) - SUM(FILTER('Fund Investment Data'!$V:$V, 'Fund Investment Data'!$C:$C = $C1245,"&amp;" 'Fund Investment Data'!$A:$A = ($A1245 - 2), 'Fund Investment Data'!$B:$B &gt; 3)))  * Parameters!$B$4 * (1 - Parameters!$A$4),0)"),785.1776849999991)</f>
        <v>785.177685</v>
      </c>
      <c r="Z1245" s="91">
        <f t="shared" si="24"/>
        <v>2656.311868</v>
      </c>
      <c r="AA1245" s="91">
        <f>IFERROR(__xludf.DUMMYFUNCTION("((IFERROR((SUM(FILTER('Fund Investment Data'!$V:$V, 'Fund Investment Data'!$C:$C = $C1245, 'Fund Investment Data'!$A:$A = $A1245 - 1, 'Fund Investment Data'!$B:$B &gt;= 4, 'Fund Investment Data'!$B:$B &lt;= ($B1245 + 5))) / 12) * ($B1245 - 3) * Parameters!$B$4,"&amp;" 0) + IF($B1245 &gt;= 9, IFERROR(SUM(FILTER('Fund Investment Data'!$V:$V, 'Fund Investment Data'!$C:$C = $C1245, 'Fund Investment Data'!$A:$A = $A1245, 'Fund Investment Data'!$B:$B &lt;= 3)) * Parameters!$B$4, 0),0)))"),0.0)</f>
        <v>0</v>
      </c>
      <c r="AB1245" s="32">
        <f>IFERROR(__xludf.DUMMYFUNCTION("IFERROR(((IFERROR(SUM(FILTER('Fund Investment Data'!$V:$V, 'Fund Investment Data'!$C:$C = $C1245, 'Fund Investment Data'!$A:$A = $A1245 - 2, 'Fund Investment Data'!$B:$B &gt;= 4)) * Parameters!$B$4,0) + IFERROR(SUM(FILTER('Fund Investment Data'!$V:$V, 'Fund "&amp;"Investment Data'!$C:$C = $C1245, 'Fund Investment Data'!$A:$A = $A1245 - 1, 'Fund Investment Data'!$B:$B &lt;= 3)) * Parameters!$B$4,0))),0)"),0.0)</f>
        <v>0</v>
      </c>
      <c r="AC1245" s="32">
        <f>IFERROR(__xludf.DUMMYFUNCTION("IFERROR(FILTER($AF:$AF,$C:$C = $C1245,$A:$A = $A1245 - 1,$B:$B = 12),0)"),0.0)</f>
        <v>0</v>
      </c>
      <c r="AD1245" s="32">
        <f t="shared" si="23"/>
        <v>2656.311868</v>
      </c>
      <c r="AE1245" s="32">
        <f t="shared" si="2"/>
        <v>2656.311868</v>
      </c>
      <c r="AF1245" s="32"/>
    </row>
    <row r="1246">
      <c r="A1246" s="86">
        <v>2019.0</v>
      </c>
      <c r="B1246" s="87">
        <v>1.0</v>
      </c>
      <c r="C1246" s="88" t="s">
        <v>38</v>
      </c>
      <c r="D1246" s="32"/>
      <c r="E1246" s="32"/>
      <c r="F1246" s="32"/>
      <c r="G1246" s="93">
        <v>-340.57</v>
      </c>
      <c r="H1246" s="93">
        <v>4794.8</v>
      </c>
      <c r="I1246" s="32"/>
      <c r="J1246" s="93">
        <v>43215.96</v>
      </c>
      <c r="K1246" s="32"/>
      <c r="L1246" s="32"/>
      <c r="M1246" s="32"/>
      <c r="N1246" s="32"/>
      <c r="O1246" s="93">
        <v>769481.0</v>
      </c>
      <c r="P1246" s="91">
        <f>IFERROR(__xludf.DUMMYFUNCTION("IFERROR(sum(FILTER($D:$N,$C:$C = $C1246,$A:$A &lt; $A1246,$B:$B = 12)),0) + sum($D1246:$N1246)"),769480.3500000001)</f>
        <v>769480.35</v>
      </c>
      <c r="Q1246" s="92">
        <f t="shared" si="1"/>
        <v>0.6499999999</v>
      </c>
      <c r="R1246" s="91">
        <f t="array" ref="R1246">IFERROR(INDEX('Fund YTD Target Values'!$1:$1000, MATCH($C1246,'Fund YTD Target Values'!$A:$A,0), MATCH($A1246,'Fund YTD Target Values'!$1:$1,0)),0)</f>
        <v>715243.4084</v>
      </c>
      <c r="S1246" s="91">
        <f>IFERROR(__xludf.DUMMYFUNCTION("IFERROR(sum(FILTER('Fund Investment Data'!$V:$V, 'Fund Investment Data'!$C:$C = $C1246, 'Fund Investment Data'!$A:$A &lt; $A1246)),0) + IFERROR(sum(FILTER('Fund Investment Data'!$V:$V, 'Fund Investment Data'!$C:$C = $C1246, 'Fund Investment Data'!$A:$A = $A1"&amp;"246, 'Fund Investment Data'!$B:$B &lt;= $B1246)),0)"),556601.64)</f>
        <v>556601.64</v>
      </c>
      <c r="T1246" s="32"/>
      <c r="U1246" s="32"/>
      <c r="V1246" s="32">
        <f>IFERROR(__xludf.DUMMYFUNCTION("$D1246 - IFERROR(FILTER($D:$D,$C:$C = $C1246, $A:$A = $A1246, $B:$B = $B1246 - 1),0)"),0.0)</f>
        <v>0</v>
      </c>
      <c r="W1246" s="93">
        <f>IFERROR(__xludf.DUMMYFUNCTION("$E1246 - IFERROR(FILTER($E:$E,$C:$C = $C1246, $A:$A = $A1246, $B:$B = $B1246 - 1),0)"),0.0)</f>
        <v>0</v>
      </c>
      <c r="X1246" s="91">
        <f>IFERROR(__xludf.DUMMYFUNCTION("iFERROR((FILTER('Fund Investment Data'!$Z:$Z, 'Fund Investment Data'!$C:$C = $C1246, 'Fund Investment Data'!$A:$A = $A1246 - 1, 'Fund Investment Data'!$B:$B = 12) + FILTER('Fund Investment Data'!$AB:$AB, 'Fund Investment Data'!$C:$C = $C1246, 'Fund Invest"&amp;"ment Data'!$A:$A = $A1246 - 1, 'Fund Investment Data'!$B:$B = 12)) * (1 + AVERAGE(FILTER('Inflation Data'!$C:$C,'Inflation Data'!$A:$A = ($A1246 - 2)))) * Parameters!$A$4,0)"),22062.02597097784)</f>
        <v>22062.02597</v>
      </c>
      <c r="Y1246" s="91">
        <f>IFERROR(__xludf.DUMMYFUNCTION("IFERROR((IFERROR(FILTER('Fund Investment Data'!$P:$P,'Fund Investment Data'!$C:$C = $C1246,'Fund Investment Data'!$A:$A = ($A1246 - 2), 'Fund Investment Data'!$B:$B = 12),0) - SUM(FILTER('Fund Investment Data'!$V:$V, 'Fund Investment Data'!$C:$C = $C1246,"&amp;" 'Fund Investment Data'!$A:$A = ($A1246 - 2), 'Fund Investment Data'!$B:$B &gt; 3)))  * Parameters!$B$4 * (1 - Parameters!$A$4),0)"),11008.00989)</f>
        <v>11008.00989</v>
      </c>
      <c r="Z1246" s="91">
        <f t="shared" si="24"/>
        <v>33070.03586</v>
      </c>
      <c r="AA1246" s="91">
        <f>IFERROR(__xludf.DUMMYFUNCTION("((IFERROR((SUM(FILTER('Fund Investment Data'!$V:$V, 'Fund Investment Data'!$C:$C = $C1246, 'Fund Investment Data'!$A:$A = $A1246 - 1, 'Fund Investment Data'!$B:$B &gt;= 4, 'Fund Investment Data'!$B:$B &lt;= ($B1246 + 5))) / 12) * ($B1246 - 3) * Parameters!$B$4,"&amp;" 0) + IF($B1246 &gt;= 9, IFERROR(SUM(FILTER('Fund Investment Data'!$V:$V, 'Fund Investment Data'!$C:$C = $C1246, 'Fund Investment Data'!$A:$A = $A1246, 'Fund Investment Data'!$B:$B &lt;= 3)) * Parameters!$B$4, 0),0)))"),0.0)</f>
        <v>0</v>
      </c>
      <c r="AB1246" s="32">
        <f>IFERROR(__xludf.DUMMYFUNCTION("IFERROR(((IFERROR(SUM(FILTER('Fund Investment Data'!$V:$V, 'Fund Investment Data'!$C:$C = $C1246, 'Fund Investment Data'!$A:$A = $A1246 - 2, 'Fund Investment Data'!$B:$B &gt;= 4)) * Parameters!$B$4,0) + IFERROR(SUM(FILTER('Fund Investment Data'!$V:$V, 'Fund "&amp;"Investment Data'!$C:$C = $C1246, 'Fund Investment Data'!$A:$A = $A1246 - 1, 'Fund Investment Data'!$B:$B &lt;= 3)) * Parameters!$B$4,0))),0)"),0.0)</f>
        <v>0</v>
      </c>
      <c r="AC1246" s="32">
        <f>IFERROR(__xludf.DUMMYFUNCTION("IFERROR(FILTER($AF:$AF,$C:$C = $C1246,$A:$A = $A1246 - 1,$B:$B = 12),0)"),0.0)</f>
        <v>0</v>
      </c>
      <c r="AD1246" s="32">
        <f t="shared" si="23"/>
        <v>33070.03586</v>
      </c>
      <c r="AE1246" s="32">
        <f t="shared" si="2"/>
        <v>33070.03586</v>
      </c>
      <c r="AF1246" s="32"/>
    </row>
    <row r="1247">
      <c r="A1247" s="86">
        <v>2019.0</v>
      </c>
      <c r="B1247" s="87">
        <v>1.0</v>
      </c>
      <c r="C1247" s="88" t="s">
        <v>30</v>
      </c>
      <c r="D1247" s="32"/>
      <c r="E1247" s="32"/>
      <c r="F1247" s="32"/>
      <c r="G1247" s="93">
        <v>-7.57</v>
      </c>
      <c r="H1247" s="93">
        <v>105.22</v>
      </c>
      <c r="I1247" s="32"/>
      <c r="J1247" s="93">
        <v>943.7</v>
      </c>
      <c r="K1247" s="32"/>
      <c r="L1247" s="32"/>
      <c r="M1247" s="32"/>
      <c r="N1247" s="32"/>
      <c r="O1247" s="93">
        <v>17082.0</v>
      </c>
      <c r="P1247" s="91">
        <f>IFERROR(__xludf.DUMMYFUNCTION("IFERROR(sum(FILTER($D:$N,$C:$C = $C1247,$A:$A &lt; $A1247,$B:$B = 12)),0) + sum($D1247:$N1247)"),17080.429999999986)</f>
        <v>17080.43</v>
      </c>
      <c r="Q1247" s="92">
        <f t="shared" si="1"/>
        <v>1.57</v>
      </c>
      <c r="R1247" s="91">
        <f t="array" ref="R1247">IFERROR(INDEX('Fund YTD Target Values'!$1:$1000, MATCH($C1247,'Fund YTD Target Values'!$A:$A,0), MATCH($A1247,'Fund YTD Target Values'!$1:$1,0)),0)</f>
        <v>18819.48136</v>
      </c>
      <c r="S1247" s="91">
        <f>IFERROR(__xludf.DUMMYFUNCTION("IFERROR(sum(FILTER('Fund Investment Data'!$V:$V, 'Fund Investment Data'!$C:$C = $C1247, 'Fund Investment Data'!$A:$A &lt; $A1247)),0) + IFERROR(sum(FILTER('Fund Investment Data'!$V:$V, 'Fund Investment Data'!$C:$C = $C1247, 'Fund Investment Data'!$A:$A = $A1"&amp;"247, 'Fund Investment Data'!$B:$B &lt;= $B1247)),0)"),11540.75)</f>
        <v>11540.75</v>
      </c>
      <c r="T1247" s="32"/>
      <c r="U1247" s="32"/>
      <c r="V1247" s="32">
        <f>IFERROR(__xludf.DUMMYFUNCTION("$D1247 - IFERROR(FILTER($D:$D,$C:$C = $C1247, $A:$A = $A1247, $B:$B = $B1247 - 1),0)"),0.0)</f>
        <v>0</v>
      </c>
      <c r="W1247" s="93">
        <f>IFERROR(__xludf.DUMMYFUNCTION("$E1247 - IFERROR(FILTER($E:$E,$C:$C = $C1247, $A:$A = $A1247, $B:$B = $B1247 - 1),0)"),0.0)</f>
        <v>0</v>
      </c>
      <c r="X1247" s="91">
        <f>IFERROR(__xludf.DUMMYFUNCTION("iFERROR((FILTER('Fund Investment Data'!$Z:$Z, 'Fund Investment Data'!$C:$C = $C1247, 'Fund Investment Data'!$A:$A = $A1247 - 1, 'Fund Investment Data'!$B:$B = 12) + FILTER('Fund Investment Data'!$AB:$AB, 'Fund Investment Data'!$C:$C = $C1247, 'Fund Invest"&amp;"ment Data'!$A:$A = $A1247 - 1, 'Fund Investment Data'!$B:$B = 12)) * (1 + AVERAGE(FILTER('Inflation Data'!$C:$C,'Inflation Data'!$A:$A = ($A1247 - 2)))) * Parameters!$A$4,0)"),558.7349135648467)</f>
        <v>558.7349136</v>
      </c>
      <c r="Y1247" s="91">
        <f>IFERROR(__xludf.DUMMYFUNCTION("IFERROR((IFERROR(FILTER('Fund Investment Data'!$P:$P,'Fund Investment Data'!$C:$C = $C1247,'Fund Investment Data'!$A:$A = ($A1247 - 2), 'Fund Investment Data'!$B:$B = 12),0) - SUM(FILTER('Fund Investment Data'!$V:$V, 'Fund Investment Data'!$C:$C = $C1247,"&amp;" 'Fund Investment Data'!$A:$A = ($A1247 - 2), 'Fund Investment Data'!$B:$B &gt; 3)))  * Parameters!$B$4 * (1 - Parameters!$A$4),0)"),234.46003499999986)</f>
        <v>234.460035</v>
      </c>
      <c r="Z1247" s="91">
        <f t="shared" si="24"/>
        <v>793.1949486</v>
      </c>
      <c r="AA1247" s="91">
        <f>IFERROR(__xludf.DUMMYFUNCTION("((IFERROR((SUM(FILTER('Fund Investment Data'!$V:$V, 'Fund Investment Data'!$C:$C = $C1247, 'Fund Investment Data'!$A:$A = $A1247 - 1, 'Fund Investment Data'!$B:$B &gt;= 4, 'Fund Investment Data'!$B:$B &lt;= ($B1247 + 5))) / 12) * ($B1247 - 3) * Parameters!$B$4,"&amp;" 0) + IF($B1247 &gt;= 9, IFERROR(SUM(FILTER('Fund Investment Data'!$V:$V, 'Fund Investment Data'!$C:$C = $C1247, 'Fund Investment Data'!$A:$A = $A1247, 'Fund Investment Data'!$B:$B &lt;= 3)) * Parameters!$B$4, 0),0)))"),0.0)</f>
        <v>0</v>
      </c>
      <c r="AB1247" s="32">
        <f>IFERROR(__xludf.DUMMYFUNCTION("IFERROR(((IFERROR(SUM(FILTER('Fund Investment Data'!$V:$V, 'Fund Investment Data'!$C:$C = $C1247, 'Fund Investment Data'!$A:$A = $A1247 - 2, 'Fund Investment Data'!$B:$B &gt;= 4)) * Parameters!$B$4,0) + IFERROR(SUM(FILTER('Fund Investment Data'!$V:$V, 'Fund "&amp;"Investment Data'!$C:$C = $C1247, 'Fund Investment Data'!$A:$A = $A1247 - 1, 'Fund Investment Data'!$B:$B &lt;= 3)) * Parameters!$B$4,0))),0)"),0.0)</f>
        <v>0</v>
      </c>
      <c r="AC1247" s="32">
        <f>IFERROR(__xludf.DUMMYFUNCTION("IFERROR(FILTER($AF:$AF,$C:$C = $C1247,$A:$A = $A1247 - 1,$B:$B = 12),0)"),0.0)</f>
        <v>0</v>
      </c>
      <c r="AD1247" s="32">
        <f t="shared" si="23"/>
        <v>793.1949486</v>
      </c>
      <c r="AE1247" s="32">
        <f t="shared" si="2"/>
        <v>793.1949486</v>
      </c>
      <c r="AF1247" s="32"/>
    </row>
    <row r="1248">
      <c r="A1248" s="86">
        <v>2019.0</v>
      </c>
      <c r="B1248" s="87">
        <v>1.0</v>
      </c>
      <c r="C1248" s="88" t="s">
        <v>47</v>
      </c>
      <c r="D1248" s="32"/>
      <c r="E1248" s="32"/>
      <c r="F1248" s="32"/>
      <c r="G1248" s="93">
        <v>-628.13</v>
      </c>
      <c r="H1248" s="93">
        <v>8843.46</v>
      </c>
      <c r="I1248" s="32"/>
      <c r="J1248" s="93">
        <v>79706.63</v>
      </c>
      <c r="K1248" s="32"/>
      <c r="L1248" s="32"/>
      <c r="M1248" s="32"/>
      <c r="N1248" s="32"/>
      <c r="O1248" s="93">
        <v>1419220.0</v>
      </c>
      <c r="P1248" s="91">
        <f>IFERROR(__xludf.DUMMYFUNCTION("IFERROR(sum(FILTER($D:$N,$C:$C = $C1248,$A:$A &lt; $A1248,$B:$B = 12)),0) + sum($D1248:$N1248)"),1419219.9199999997)</f>
        <v>1419219.92</v>
      </c>
      <c r="Q1248" s="92">
        <f t="shared" si="1"/>
        <v>0.08000000031</v>
      </c>
      <c r="R1248" s="91">
        <f t="array" ref="R1248">IFERROR(INDEX('Fund YTD Target Values'!$1:$1000, MATCH($C1248,'Fund YTD Target Values'!$A:$A,0), MATCH($A1248,'Fund YTD Target Values'!$1:$1,0)),0)</f>
        <v>2034942.933</v>
      </c>
      <c r="S1248" s="91">
        <f>IFERROR(__xludf.DUMMYFUNCTION("IFERROR(sum(FILTER('Fund Investment Data'!$V:$V, 'Fund Investment Data'!$C:$C = $C1248, 'Fund Investment Data'!$A:$A &lt; $A1248)),0) + IFERROR(sum(FILTER('Fund Investment Data'!$V:$V, 'Fund Investment Data'!$C:$C = $C1248, 'Fund Investment Data'!$A:$A = $A1"&amp;"248, 'Fund Investment Data'!$B:$B &lt;= $B1248)),0)"),1456367.46)</f>
        <v>1456367.46</v>
      </c>
      <c r="T1248" s="93">
        <v>1348955.0</v>
      </c>
      <c r="U1248" s="32">
        <f t="shared" ref="U1248:U1249" si="26">S1248-T1248</f>
        <v>107412.46</v>
      </c>
      <c r="V1248" s="32">
        <f>IFERROR(__xludf.DUMMYFUNCTION("$D1248 - IFERROR(FILTER($D:$D,$C:$C = $C1248, $A:$A = $A1248, $B:$B = $B1248 - 1),0)"),0.0)</f>
        <v>0</v>
      </c>
      <c r="W1248" s="93">
        <f>IFERROR(__xludf.DUMMYFUNCTION("$E1248 - IFERROR(FILTER($E:$E,$C:$C = $C1248, $A:$A = $A1248, $B:$B = $B1248 - 1),0)"),0.0)</f>
        <v>0</v>
      </c>
      <c r="X1248" s="91">
        <f>IFERROR(__xludf.DUMMYFUNCTION("iFERROR((FILTER('Fund Investment Data'!$Z:$Z, 'Fund Investment Data'!$C:$C = $C1248, 'Fund Investment Data'!$A:$A = $A1248 - 1, 'Fund Investment Data'!$B:$B = 12) + FILTER('Fund Investment Data'!$AB:$AB, 'Fund Investment Data'!$C:$C = $C1248, 'Fund Invest"&amp;"ment Data'!$A:$A = $A1248 - 1, 'Fund Investment Data'!$B:$B = 12)) * (1 + AVERAGE(FILTER('Inflation Data'!$C:$C,'Inflation Data'!$A:$A = ($A1248 - 2)))) * Parameters!$A$4,0)"),48393.90516981818)</f>
        <v>48393.90517</v>
      </c>
      <c r="Y1248" s="91">
        <f>IFERROR(__xludf.DUMMYFUNCTION("IFERROR((IFERROR(FILTER('Fund Investment Data'!$P:$P,'Fund Investment Data'!$C:$C = $C1248,'Fund Investment Data'!$A:$A = ($A1248 - 2), 'Fund Investment Data'!$B:$B = 12),0) - SUM(FILTER('Fund Investment Data'!$V:$V, 'Fund Investment Data'!$C:$C = $C1248,"&amp;" 'Fund Investment Data'!$A:$A = ($A1248 - 2), 'Fund Investment Data'!$B:$B &gt; 3)))  * Parameters!$B$4 * (1 - Parameters!$A$4),0)"),20307.37014)</f>
        <v>20307.37014</v>
      </c>
      <c r="Z1248" s="91">
        <f t="shared" si="24"/>
        <v>68701.27531</v>
      </c>
      <c r="AA1248" s="91">
        <f>IFERROR(__xludf.DUMMYFUNCTION("((IFERROR((SUM(FILTER('Fund Investment Data'!$V:$V, 'Fund Investment Data'!$C:$C = $C1248, 'Fund Investment Data'!$A:$A = $A1248 - 1, 'Fund Investment Data'!$B:$B &gt;= 4, 'Fund Investment Data'!$B:$B &lt;= ($B1248 + 5))) / 12) * ($B1248 - 3) * Parameters!$B$4,"&amp;" 0) + IF($B1248 &gt;= 9, IFERROR(SUM(FILTER('Fund Investment Data'!$V:$V, 'Fund Investment Data'!$C:$C = $C1248, 'Fund Investment Data'!$A:$A = $A1248, 'Fund Investment Data'!$B:$B &lt;= 3)) * Parameters!$B$4, 0),0)))"),0.0)</f>
        <v>0</v>
      </c>
      <c r="AB1248" s="32">
        <f>IFERROR(__xludf.DUMMYFUNCTION("IFERROR(((IFERROR(SUM(FILTER('Fund Investment Data'!$V:$V, 'Fund Investment Data'!$C:$C = $C1248, 'Fund Investment Data'!$A:$A = $A1248 - 2, 'Fund Investment Data'!$B:$B &gt;= 4)) * Parameters!$B$4,0) + IFERROR(SUM(FILTER('Fund Investment Data'!$V:$V, 'Fund "&amp;"Investment Data'!$C:$C = $C1248, 'Fund Investment Data'!$A:$A = $A1248 - 1, 'Fund Investment Data'!$B:$B &lt;= 3)) * Parameters!$B$4,0))),0)"),450.0)</f>
        <v>450</v>
      </c>
      <c r="AC1248" s="32">
        <f>IFERROR(__xludf.DUMMYFUNCTION("IFERROR(FILTER($AF:$AF,$C:$C = $C1248,$A:$A = $A1248 - 1,$B:$B = 12),0)"),0.0)</f>
        <v>0</v>
      </c>
      <c r="AD1248" s="32">
        <f t="shared" si="23"/>
        <v>69151.27531</v>
      </c>
      <c r="AE1248" s="32">
        <f t="shared" si="2"/>
        <v>69151.27531</v>
      </c>
      <c r="AF1248" s="32"/>
    </row>
    <row r="1249">
      <c r="A1249" s="86">
        <v>2019.0</v>
      </c>
      <c r="B1249" s="87">
        <v>1.0</v>
      </c>
      <c r="C1249" s="88" t="s">
        <v>31</v>
      </c>
      <c r="D1249" s="32"/>
      <c r="E1249" s="32"/>
      <c r="F1249" s="32"/>
      <c r="G1249" s="93">
        <v>-78.13</v>
      </c>
      <c r="H1249" s="93">
        <v>1097.67</v>
      </c>
      <c r="I1249" s="32"/>
      <c r="J1249" s="93">
        <v>9885.23</v>
      </c>
      <c r="K1249" s="32"/>
      <c r="L1249" s="32"/>
      <c r="M1249" s="32"/>
      <c r="N1249" s="32"/>
      <c r="O1249" s="93">
        <v>176502.0</v>
      </c>
      <c r="P1249" s="91">
        <f>IFERROR(__xludf.DUMMYFUNCTION("IFERROR(sum(FILTER($D:$N,$C:$C = $C1249,$A:$A &lt; $A1249,$B:$B = 12)),0) + sum($D1249:$N1249)"),176502.49)</f>
        <v>176502.49</v>
      </c>
      <c r="Q1249" s="92">
        <f t="shared" si="1"/>
        <v>-0.49</v>
      </c>
      <c r="R1249" s="91">
        <f t="array" ref="R1249">IFERROR(INDEX('Fund YTD Target Values'!$1:$1000, MATCH($C1249,'Fund YTD Target Values'!$A:$A,0), MATCH($A1249,'Fund YTD Target Values'!$1:$1,0)),0)</f>
        <v>214470.0821</v>
      </c>
      <c r="S1249" s="91">
        <f>IFERROR(__xludf.DUMMYFUNCTION("IFERROR(sum(FILTER('Fund Investment Data'!$V:$V, 'Fund Investment Data'!$C:$C = $C1249, 'Fund Investment Data'!$A:$A &lt; $A1249)),0) + IFERROR(sum(FILTER('Fund Investment Data'!$V:$V, 'Fund Investment Data'!$C:$C = $C1249, 'Fund Investment Data'!$A:$A = $A1"&amp;"249, 'Fund Investment Data'!$B:$B &lt;= $B1249)),0)"),158100.0)</f>
        <v>158100</v>
      </c>
      <c r="T1249" s="93">
        <v>156850.0</v>
      </c>
      <c r="U1249" s="32">
        <f t="shared" si="26"/>
        <v>1250</v>
      </c>
      <c r="V1249" s="32">
        <f>IFERROR(__xludf.DUMMYFUNCTION("$D1249 - IFERROR(FILTER($D:$D,$C:$C = $C1249, $A:$A = $A1249, $B:$B = $B1249 - 1),0)"),0.0)</f>
        <v>0</v>
      </c>
      <c r="W1249" s="93">
        <f>IFERROR(__xludf.DUMMYFUNCTION("$E1249 - IFERROR(FILTER($E:$E,$C:$C = $C1249, $A:$A = $A1249, $B:$B = $B1249 - 1),0)"),0.0)</f>
        <v>0</v>
      </c>
      <c r="X1249" s="91">
        <f>IFERROR(__xludf.DUMMYFUNCTION("iFERROR((FILTER('Fund Investment Data'!$Z:$Z, 'Fund Investment Data'!$C:$C = $C1249, 'Fund Investment Data'!$A:$A = $A1249 - 1, 'Fund Investment Data'!$B:$B = 12) + FILTER('Fund Investment Data'!$AB:$AB, 'Fund Investment Data'!$C:$C = $C1249, 'Fund Invest"&amp;"ment Data'!$A:$A = $A1249 - 1, 'Fund Investment Data'!$B:$B = 12)) * (1 + AVERAGE(FILTER('Inflation Data'!$C:$C,'Inflation Data'!$A:$A = ($A1249 - 2)))) * Parameters!$A$4,0)"),6185.263738478203)</f>
        <v>6185.263738</v>
      </c>
      <c r="Y1249" s="91">
        <f>IFERROR(__xludf.DUMMYFUNCTION("IFERROR((IFERROR(FILTER('Fund Investment Data'!$P:$P,'Fund Investment Data'!$C:$C = $C1249,'Fund Investment Data'!$A:$A = ($A1249 - 2), 'Fund Investment Data'!$B:$B = 12),0) - SUM(FILTER('Fund Investment Data'!$V:$V, 'Fund Investment Data'!$C:$C = $C1249,"&amp;" 'Fund Investment Data'!$A:$A = ($A1249 - 2), 'Fund Investment Data'!$B:$B &gt; 3)))  * Parameters!$B$4 * (1 - Parameters!$A$4),0)"),2555.001225000001)</f>
        <v>2555.001225</v>
      </c>
      <c r="Z1249" s="91">
        <f t="shared" si="24"/>
        <v>8740.264963</v>
      </c>
      <c r="AA1249" s="91">
        <f>IFERROR(__xludf.DUMMYFUNCTION("((IFERROR((SUM(FILTER('Fund Investment Data'!$V:$V, 'Fund Investment Data'!$C:$C = $C1249, 'Fund Investment Data'!$A:$A = $A1249 - 1, 'Fund Investment Data'!$B:$B &gt;= 4, 'Fund Investment Data'!$B:$B &lt;= ($B1249 + 5))) / 12) * ($B1249 - 3) * Parameters!$B$4,"&amp;" 0) + IF($B1249 &gt;= 9, IFERROR(SUM(FILTER('Fund Investment Data'!$V:$V, 'Fund Investment Data'!$C:$C = $C1249, 'Fund Investment Data'!$A:$A = $A1249, 'Fund Investment Data'!$B:$B &lt;= 3)) * Parameters!$B$4, 0),0)))"),0.0)</f>
        <v>0</v>
      </c>
      <c r="AB1249" s="32">
        <f>IFERROR(__xludf.DUMMYFUNCTION("IFERROR(((IFERROR(SUM(FILTER('Fund Investment Data'!$V:$V, 'Fund Investment Data'!$C:$C = $C1249, 'Fund Investment Data'!$A:$A = $A1249 - 2, 'Fund Investment Data'!$B:$B &gt;= 4)) * Parameters!$B$4,0) + IFERROR(SUM(FILTER('Fund Investment Data'!$V:$V, 'Fund "&amp;"Investment Data'!$C:$C = $C1249, 'Fund Investment Data'!$A:$A = $A1249 - 1, 'Fund Investment Data'!$B:$B &lt;= 3)) * Parameters!$B$4,0))),0)"),0.0)</f>
        <v>0</v>
      </c>
      <c r="AC1249" s="32">
        <f>IFERROR(__xludf.DUMMYFUNCTION("IFERROR(FILTER($AF:$AF,$C:$C = $C1249,$A:$A = $A1249 - 1,$B:$B = 12),0)"),0.0)</f>
        <v>0</v>
      </c>
      <c r="AD1249" s="32">
        <f t="shared" si="23"/>
        <v>8740.264963</v>
      </c>
      <c r="AE1249" s="32">
        <f t="shared" si="2"/>
        <v>8740.264963</v>
      </c>
      <c r="AF1249" s="32"/>
    </row>
    <row r="1250">
      <c r="A1250" s="86">
        <v>2019.0</v>
      </c>
      <c r="B1250" s="87">
        <v>1.0</v>
      </c>
      <c r="C1250" s="88" t="s">
        <v>39</v>
      </c>
      <c r="D1250" s="32"/>
      <c r="E1250" s="32"/>
      <c r="F1250" s="32"/>
      <c r="G1250" s="93">
        <v>-80.6</v>
      </c>
      <c r="H1250" s="93">
        <v>1134.21</v>
      </c>
      <c r="I1250" s="32"/>
      <c r="J1250" s="93">
        <v>10220.95</v>
      </c>
      <c r="K1250" s="32"/>
      <c r="L1250" s="32"/>
      <c r="M1250" s="32"/>
      <c r="N1250" s="32"/>
      <c r="O1250" s="93">
        <v>182095.0</v>
      </c>
      <c r="P1250" s="91">
        <f>IFERROR(__xludf.DUMMYFUNCTION("IFERROR(sum(FILTER($D:$N,$C:$C = $C1250,$A:$A &lt; $A1250,$B:$B = 12)),0) + sum($D1250:$N1250)"),182094.82000000004)</f>
        <v>182094.82</v>
      </c>
      <c r="Q1250" s="92">
        <f t="shared" si="1"/>
        <v>0.18</v>
      </c>
      <c r="R1250" s="91">
        <f t="array" ref="R1250">IFERROR(INDEX('Fund YTD Target Values'!$1:$1000, MATCH($C1250,'Fund YTD Target Values'!$A:$A,0), MATCH($A1250,'Fund YTD Target Values'!$1:$1,0)),0)</f>
        <v>203233.3066</v>
      </c>
      <c r="S1250" s="91">
        <f>IFERROR(__xludf.DUMMYFUNCTION("IFERROR(sum(FILTER('Fund Investment Data'!$V:$V, 'Fund Investment Data'!$C:$C = $C1250, 'Fund Investment Data'!$A:$A &lt; $A1250)),0) + IFERROR(sum(FILTER('Fund Investment Data'!$V:$V, 'Fund Investment Data'!$C:$C = $C1250, 'Fund Investment Data'!$A:$A = $A1"&amp;"250, 'Fund Investment Data'!$B:$B &lt;= $B1250)),0)"),170000.0)</f>
        <v>170000</v>
      </c>
      <c r="T1250" s="32"/>
      <c r="U1250" s="32"/>
      <c r="V1250" s="32">
        <f>IFERROR(__xludf.DUMMYFUNCTION("$D1250 - IFERROR(FILTER($D:$D,$C:$C = $C1250, $A:$A = $A1250, $B:$B = $B1250 - 1),0)"),0.0)</f>
        <v>0</v>
      </c>
      <c r="W1250" s="93">
        <f>IFERROR(__xludf.DUMMYFUNCTION("$E1250 - IFERROR(FILTER($E:$E,$C:$C = $C1250, $A:$A = $A1250, $B:$B = $B1250 - 1),0)"),0.0)</f>
        <v>0</v>
      </c>
      <c r="X1250" s="91">
        <f>IFERROR(__xludf.DUMMYFUNCTION("iFERROR((FILTER('Fund Investment Data'!$Z:$Z, 'Fund Investment Data'!$C:$C = $C1250, 'Fund Investment Data'!$A:$A = $A1250 - 1, 'Fund Investment Data'!$B:$B = 12) + FILTER('Fund Investment Data'!$AB:$AB, 'Fund Investment Data'!$C:$C = $C1250, 'Fund Invest"&amp;"ment Data'!$A:$A = $A1250 - 1, 'Fund Investment Data'!$B:$B = 12)) * (1 + AVERAGE(FILTER('Inflation Data'!$C:$C,'Inflation Data'!$A:$A = ($A1250 - 2)))) * Parameters!$A$4,0)"),5335.081378121052)</f>
        <v>5335.081378</v>
      </c>
      <c r="Y1250" s="91">
        <f>IFERROR(__xludf.DUMMYFUNCTION("IFERROR((IFERROR(FILTER('Fund Investment Data'!$P:$P,'Fund Investment Data'!$C:$C = $C1250,'Fund Investment Data'!$A:$A = ($A1250 - 2), 'Fund Investment Data'!$B:$B = 12),0) - SUM(FILTER('Fund Investment Data'!$V:$V, 'Fund Investment Data'!$C:$C = $C1250,"&amp;" 'Fund Investment Data'!$A:$A = ($A1250 - 2), 'Fund Investment Data'!$B:$B &gt; 3)))  * Parameters!$B$4 * (1 - Parameters!$A$4),0)"),2223.764010000001)</f>
        <v>2223.76401</v>
      </c>
      <c r="Z1250" s="91">
        <f t="shared" si="24"/>
        <v>7558.845388</v>
      </c>
      <c r="AA1250" s="91">
        <f>IFERROR(__xludf.DUMMYFUNCTION("((IFERROR((SUM(FILTER('Fund Investment Data'!$V:$V, 'Fund Investment Data'!$C:$C = $C1250, 'Fund Investment Data'!$A:$A = $A1250 - 1, 'Fund Investment Data'!$B:$B &gt;= 4, 'Fund Investment Data'!$B:$B &lt;= ($B1250 + 5))) / 12) * ($B1250 - 3) * Parameters!$B$4,"&amp;" 0) + IF($B1250 &gt;= 9, IFERROR(SUM(FILTER('Fund Investment Data'!$V:$V, 'Fund Investment Data'!$C:$C = $C1250, 'Fund Investment Data'!$A:$A = $A1250, 'Fund Investment Data'!$B:$B &lt;= 3)) * Parameters!$B$4, 0),0)))"),0.0)</f>
        <v>0</v>
      </c>
      <c r="AB1250" s="32">
        <f>IFERROR(__xludf.DUMMYFUNCTION("IFERROR(((IFERROR(SUM(FILTER('Fund Investment Data'!$V:$V, 'Fund Investment Data'!$C:$C = $C1250, 'Fund Investment Data'!$A:$A = $A1250 - 2, 'Fund Investment Data'!$B:$B &gt;= 4)) * Parameters!$B$4,0) + IFERROR(SUM(FILTER('Fund Investment Data'!$V:$V, 'Fund "&amp;"Investment Data'!$C:$C = $C1250, 'Fund Investment Data'!$A:$A = $A1250 - 1, 'Fund Investment Data'!$B:$B &lt;= 3)) * Parameters!$B$4,0))),0)"),675.0)</f>
        <v>675</v>
      </c>
      <c r="AC1250" s="32">
        <f>IFERROR(__xludf.DUMMYFUNCTION("IFERROR(FILTER($AF:$AF,$C:$C = $C1250,$A:$A = $A1250 - 1,$B:$B = 12),0)"),0.0)</f>
        <v>0</v>
      </c>
      <c r="AD1250" s="32">
        <f t="shared" si="23"/>
        <v>8233.845388</v>
      </c>
      <c r="AE1250" s="32">
        <f t="shared" si="2"/>
        <v>8233.845388</v>
      </c>
      <c r="AF1250" s="32"/>
    </row>
    <row r="1251">
      <c r="A1251" s="86">
        <v>2019.0</v>
      </c>
      <c r="B1251" s="87">
        <v>1.0</v>
      </c>
      <c r="C1251" s="88" t="s">
        <v>50</v>
      </c>
      <c r="D1251" s="32"/>
      <c r="E1251" s="32"/>
      <c r="F1251" s="32"/>
      <c r="G1251" s="93">
        <v>-89.43</v>
      </c>
      <c r="H1251" s="93">
        <v>1256.81</v>
      </c>
      <c r="I1251" s="32"/>
      <c r="J1251" s="93">
        <v>11319.67</v>
      </c>
      <c r="K1251" s="32"/>
      <c r="L1251" s="32"/>
      <c r="M1251" s="32"/>
      <c r="N1251" s="32"/>
      <c r="O1251" s="93">
        <v>202041.0</v>
      </c>
      <c r="P1251" s="91">
        <f>IFERROR(__xludf.DUMMYFUNCTION("IFERROR(sum(FILTER($D:$N,$C:$C = $C1251,$A:$A &lt; $A1251,$B:$B = 12)),0) + sum($D1251:$N1251)"),202040.88)</f>
        <v>202040.88</v>
      </c>
      <c r="Q1251" s="92">
        <f t="shared" si="1"/>
        <v>0.12</v>
      </c>
      <c r="R1251" s="91">
        <f t="array" ref="R1251">IFERROR(INDEX('Fund YTD Target Values'!$1:$1000, MATCH($C1251,'Fund YTD Target Values'!$A:$A,0), MATCH($A1251,'Fund YTD Target Values'!$1:$1,0)),0)</f>
        <v>221607.3864</v>
      </c>
      <c r="S1251" s="91">
        <f>IFERROR(__xludf.DUMMYFUNCTION("IFERROR(sum(FILTER('Fund Investment Data'!$V:$V, 'Fund Investment Data'!$C:$C = $C1251, 'Fund Investment Data'!$A:$A &lt; $A1251)),0) + IFERROR(sum(FILTER('Fund Investment Data'!$V:$V, 'Fund Investment Data'!$C:$C = $C1251, 'Fund Investment Data'!$A:$A = $A1"&amp;"251, 'Fund Investment Data'!$B:$B &lt;= $B1251)),0)"),185189.56)</f>
        <v>185189.56</v>
      </c>
      <c r="T1251" s="93">
        <v>190241.0</v>
      </c>
      <c r="U1251" s="32">
        <f t="shared" ref="U1251:U1253" si="27">S1251-T1251</f>
        <v>-5051.44</v>
      </c>
      <c r="V1251" s="32">
        <f>IFERROR(__xludf.DUMMYFUNCTION("$D1251 - IFERROR(FILTER($D:$D,$C:$C = $C1251, $A:$A = $A1251, $B:$B = $B1251 - 1),0)"),0.0)</f>
        <v>0</v>
      </c>
      <c r="W1251" s="93">
        <f>IFERROR(__xludf.DUMMYFUNCTION("$E1251 - IFERROR(FILTER($E:$E,$C:$C = $C1251, $A:$A = $A1251, $B:$B = $B1251 - 1),0)"),0.0)</f>
        <v>0</v>
      </c>
      <c r="X1251" s="91">
        <f>IFERROR(__xludf.DUMMYFUNCTION("iFERROR((FILTER('Fund Investment Data'!$Z:$Z, 'Fund Investment Data'!$C:$C = $C1251, 'Fund Investment Data'!$A:$A = $A1251 - 1, 'Fund Investment Data'!$B:$B = 12) + FILTER('Fund Investment Data'!$AB:$AB, 'Fund Investment Data'!$C:$C = $C1251, 'Fund Invest"&amp;"ment Data'!$A:$A = $A1251 - 1, 'Fund Investment Data'!$B:$B = 12)) * (1 + AVERAGE(FILTER('Inflation Data'!$C:$C,'Inflation Data'!$A:$A = ($A1251 - 2)))) * Parameters!$A$4,0)"),7479.015292624062)</f>
        <v>7479.015293</v>
      </c>
      <c r="Y1251" s="91">
        <f>IFERROR(__xludf.DUMMYFUNCTION("IFERROR((IFERROR(FILTER('Fund Investment Data'!$P:$P,'Fund Investment Data'!$C:$C = $C1251,'Fund Investment Data'!$A:$A = ($A1251 - 2), 'Fund Investment Data'!$B:$B = 12),0) - SUM(FILTER('Fund Investment Data'!$V:$V, 'Fund Investment Data'!$C:$C = $C1251,"&amp;" 'Fund Investment Data'!$A:$A = ($A1251 - 2), 'Fund Investment Data'!$B:$B &gt; 3)))  * Parameters!$B$4 * (1 - Parameters!$A$4),0)"),2908.7654850000004)</f>
        <v>2908.765485</v>
      </c>
      <c r="Z1251" s="91">
        <f t="shared" si="24"/>
        <v>10387.78078</v>
      </c>
      <c r="AA1251" s="91">
        <f>IFERROR(__xludf.DUMMYFUNCTION("((IFERROR((SUM(FILTER('Fund Investment Data'!$V:$V, 'Fund Investment Data'!$C:$C = $C1251, 'Fund Investment Data'!$A:$A = $A1251 - 1, 'Fund Investment Data'!$B:$B &gt;= 4, 'Fund Investment Data'!$B:$B &lt;= ($B1251 + 5))) / 12) * ($B1251 - 3) * Parameters!$B$4,"&amp;" 0) + IF($B1251 &gt;= 9, IFERROR(SUM(FILTER('Fund Investment Data'!$V:$V, 'Fund Investment Data'!$C:$C = $C1251, 'Fund Investment Data'!$A:$A = $A1251, 'Fund Investment Data'!$B:$B &lt;= 3)) * Parameters!$B$4, 0),0)))"),0.0)</f>
        <v>0</v>
      </c>
      <c r="AB1251" s="32">
        <f>IFERROR(__xludf.DUMMYFUNCTION("IFERROR(((IFERROR(SUM(FILTER('Fund Investment Data'!$V:$V, 'Fund Investment Data'!$C:$C = $C1251, 'Fund Investment Data'!$A:$A = $A1251 - 2, 'Fund Investment Data'!$B:$B &gt;= 4)) * Parameters!$B$4,0) + IFERROR(SUM(FILTER('Fund Investment Data'!$V:$V, 'Fund "&amp;"Investment Data'!$C:$C = $C1251, 'Fund Investment Data'!$A:$A = $A1251 - 1, 'Fund Investment Data'!$B:$B &lt;= 3)) * Parameters!$B$4,0))),0)"),0.0)</f>
        <v>0</v>
      </c>
      <c r="AC1251" s="32">
        <f>IFERROR(__xludf.DUMMYFUNCTION("IFERROR(FILTER($AF:$AF,$C:$C = $C1251,$A:$A = $A1251 - 1,$B:$B = 12),0)"),0.0)</f>
        <v>0</v>
      </c>
      <c r="AD1251" s="32">
        <f t="shared" si="23"/>
        <v>10387.78078</v>
      </c>
      <c r="AE1251" s="32">
        <f t="shared" si="2"/>
        <v>10387.78078</v>
      </c>
      <c r="AF1251" s="32"/>
    </row>
    <row r="1252">
      <c r="A1252" s="86">
        <v>2019.0</v>
      </c>
      <c r="B1252" s="87">
        <v>1.0</v>
      </c>
      <c r="C1252" s="88" t="s">
        <v>32</v>
      </c>
      <c r="D1252" s="32"/>
      <c r="E1252" s="32"/>
      <c r="F1252" s="32"/>
      <c r="G1252" s="93">
        <v>-22.38</v>
      </c>
      <c r="H1252" s="93">
        <v>314.52</v>
      </c>
      <c r="I1252" s="32"/>
      <c r="J1252" s="93">
        <v>2832.51</v>
      </c>
      <c r="K1252" s="32"/>
      <c r="L1252" s="32"/>
      <c r="M1252" s="32"/>
      <c r="N1252" s="32"/>
      <c r="O1252" s="93">
        <v>50575.0</v>
      </c>
      <c r="P1252" s="91">
        <f>IFERROR(__xludf.DUMMYFUNCTION("IFERROR(sum(FILTER($D:$N,$C:$C = $C1252,$A:$A &lt; $A1252,$B:$B = 12)),0) + sum($D1252:$N1252)"),50574.800000000025)</f>
        <v>50574.8</v>
      </c>
      <c r="Q1252" s="92">
        <f t="shared" si="1"/>
        <v>0.2</v>
      </c>
      <c r="R1252" s="91">
        <f t="array" ref="R1252">IFERROR(INDEX('Fund YTD Target Values'!$1:$1000, MATCH($C1252,'Fund YTD Target Values'!$A:$A,0), MATCH($A1252,'Fund YTD Target Values'!$1:$1,0)),0)</f>
        <v>80613.71135</v>
      </c>
      <c r="S1252" s="91">
        <f>IFERROR(__xludf.DUMMYFUNCTION("IFERROR(sum(FILTER('Fund Investment Data'!$V:$V, 'Fund Investment Data'!$C:$C = $C1252, 'Fund Investment Data'!$A:$A &lt; $A1252)),0) + IFERROR(sum(FILTER('Fund Investment Data'!$V:$V, 'Fund Investment Data'!$C:$C = $C1252, 'Fund Investment Data'!$A:$A = $A1"&amp;"252, 'Fund Investment Data'!$B:$B &lt;= $B1252)),0)"),49449.04)</f>
        <v>49449.04</v>
      </c>
      <c r="T1252" s="93">
        <v>39268.0</v>
      </c>
      <c r="U1252" s="32">
        <f t="shared" si="27"/>
        <v>10181.04</v>
      </c>
      <c r="V1252" s="32">
        <f>IFERROR(__xludf.DUMMYFUNCTION("$D1252 - IFERROR(FILTER($D:$D,$C:$C = $C1252, $A:$A = $A1252, $B:$B = $B1252 - 1),0)"),0.0)</f>
        <v>0</v>
      </c>
      <c r="W1252" s="93">
        <f>IFERROR(__xludf.DUMMYFUNCTION("$E1252 - IFERROR(FILTER($E:$E,$C:$C = $C1252, $A:$A = $A1252, $B:$B = $B1252 - 1),0)"),0.0)</f>
        <v>0</v>
      </c>
      <c r="X1252" s="91">
        <f>IFERROR(__xludf.DUMMYFUNCTION("iFERROR((FILTER('Fund Investment Data'!$Z:$Z, 'Fund Investment Data'!$C:$C = $C1252, 'Fund Investment Data'!$A:$A = $A1252 - 1, 'Fund Investment Data'!$B:$B = 12) + FILTER('Fund Investment Data'!$AB:$AB, 'Fund Investment Data'!$C:$C = $C1252, 'Fund Invest"&amp;"ment Data'!$A:$A = $A1252 - 1, 'Fund Investment Data'!$B:$B = 12)) * (1 + AVERAGE(FILTER('Inflation Data'!$C:$C,'Inflation Data'!$A:$A = ($A1252 - 2)))) * Parameters!$A$4,0)"),1718.9474190106023)</f>
        <v>1718.947419</v>
      </c>
      <c r="Y1252" s="91">
        <f>IFERROR(__xludf.DUMMYFUNCTION("IFERROR((IFERROR(FILTER('Fund Investment Data'!$P:$P,'Fund Investment Data'!$C:$C = $C1252,'Fund Investment Data'!$A:$A = ($A1252 - 2), 'Fund Investment Data'!$B:$B = 12),0) - SUM(FILTER('Fund Investment Data'!$V:$V, 'Fund Investment Data'!$C:$C = $C1252,"&amp;" 'Fund Investment Data'!$A:$A = ($A1252 - 2), 'Fund Investment Data'!$B:$B &gt; 3)))  * Parameters!$B$4 * (1 - Parameters!$A$4),0)"),721.3160700000005)</f>
        <v>721.31607</v>
      </c>
      <c r="Z1252" s="91">
        <f t="shared" si="24"/>
        <v>2440.263489</v>
      </c>
      <c r="AA1252" s="91">
        <f>IFERROR(__xludf.DUMMYFUNCTION("((IFERROR((SUM(FILTER('Fund Investment Data'!$V:$V, 'Fund Investment Data'!$C:$C = $C1252, 'Fund Investment Data'!$A:$A = $A1252 - 1, 'Fund Investment Data'!$B:$B &gt;= 4, 'Fund Investment Data'!$B:$B &lt;= ($B1252 + 5))) / 12) * ($B1252 - 3) * Parameters!$B$4,"&amp;" 0) + IF($B1252 &gt;= 9, IFERROR(SUM(FILTER('Fund Investment Data'!$V:$V, 'Fund Investment Data'!$C:$C = $C1252, 'Fund Investment Data'!$A:$A = $A1252, 'Fund Investment Data'!$B:$B &lt;= 3)) * Parameters!$B$4, 0),0)))"),0.0)</f>
        <v>0</v>
      </c>
      <c r="AB1252" s="32">
        <f>IFERROR(__xludf.DUMMYFUNCTION("IFERROR(((IFERROR(SUM(FILTER('Fund Investment Data'!$V:$V, 'Fund Investment Data'!$C:$C = $C1252, 'Fund Investment Data'!$A:$A = $A1252 - 2, 'Fund Investment Data'!$B:$B &gt;= 4)) * Parameters!$B$4,0) + IFERROR(SUM(FILTER('Fund Investment Data'!$V:$V, 'Fund "&amp;"Investment Data'!$C:$C = $C1252, 'Fund Investment Data'!$A:$A = $A1252 - 1, 'Fund Investment Data'!$B:$B &lt;= 3)) * Parameters!$B$4,0))),0)"),0.0)</f>
        <v>0</v>
      </c>
      <c r="AC1252" s="32">
        <f>IFERROR(__xludf.DUMMYFUNCTION("IFERROR(FILTER($AF:$AF,$C:$C = $C1252,$A:$A = $A1252 - 1,$B:$B = 12),0)"),0.0)</f>
        <v>0</v>
      </c>
      <c r="AD1252" s="32">
        <f t="shared" si="23"/>
        <v>2440.263489</v>
      </c>
      <c r="AE1252" s="32">
        <f t="shared" si="2"/>
        <v>2440.263489</v>
      </c>
      <c r="AF1252" s="32"/>
    </row>
    <row r="1253">
      <c r="A1253" s="86">
        <v>2019.0</v>
      </c>
      <c r="B1253" s="87">
        <v>1.0</v>
      </c>
      <c r="C1253" s="88" t="s">
        <v>40</v>
      </c>
      <c r="D1253" s="32"/>
      <c r="E1253" s="32"/>
      <c r="F1253" s="32"/>
      <c r="G1253" s="93">
        <v>-64.37</v>
      </c>
      <c r="H1253" s="93">
        <v>904.68</v>
      </c>
      <c r="I1253" s="32"/>
      <c r="J1253" s="93">
        <v>8148.12</v>
      </c>
      <c r="K1253" s="32"/>
      <c r="L1253" s="32"/>
      <c r="M1253" s="32"/>
      <c r="N1253" s="32"/>
      <c r="O1253" s="93">
        <v>145434.0</v>
      </c>
      <c r="P1253" s="91">
        <f>IFERROR(__xludf.DUMMYFUNCTION("IFERROR(sum(FILTER($D:$N,$C:$C = $C1253,$A:$A &lt; $A1253,$B:$B = 12)),0) + sum($D1253:$N1253)"),145433.53999999992)</f>
        <v>145433.54</v>
      </c>
      <c r="Q1253" s="92">
        <f t="shared" si="1"/>
        <v>0.4600000001</v>
      </c>
      <c r="R1253" s="91">
        <f t="array" ref="R1253">IFERROR(INDEX('Fund YTD Target Values'!$1:$1000, MATCH($C1253,'Fund YTD Target Values'!$A:$A,0), MATCH($A1253,'Fund YTD Target Values'!$1:$1,0)),0)</f>
        <v>164286.6043</v>
      </c>
      <c r="S1253" s="91">
        <f>IFERROR(__xludf.DUMMYFUNCTION("IFERROR(sum(FILTER('Fund Investment Data'!$V:$V, 'Fund Investment Data'!$C:$C = $C1253, 'Fund Investment Data'!$A:$A &lt; $A1253)),0) + IFERROR(sum(FILTER('Fund Investment Data'!$V:$V, 'Fund Investment Data'!$C:$C = $C1253, 'Fund Investment Data'!$A:$A = $A1"&amp;"253, 'Fund Investment Data'!$B:$B &lt;= $B1253)),0)"),129703.74)</f>
        <v>129703.74</v>
      </c>
      <c r="T1253" s="93">
        <v>129723.0</v>
      </c>
      <c r="U1253" s="32">
        <f t="shared" si="27"/>
        <v>-19.26</v>
      </c>
      <c r="V1253" s="32">
        <f>IFERROR(__xludf.DUMMYFUNCTION("$D1253 - IFERROR(FILTER($D:$D,$C:$C = $C1253, $A:$A = $A1253, $B:$B = $B1253 - 1),0)"),0.0)</f>
        <v>0</v>
      </c>
      <c r="W1253" s="93">
        <f>IFERROR(__xludf.DUMMYFUNCTION("$E1253 - IFERROR(FILTER($E:$E,$C:$C = $C1253, $A:$A = $A1253, $B:$B = $B1253 - 1),0)"),0.0)</f>
        <v>0</v>
      </c>
      <c r="X1253" s="91">
        <f>IFERROR(__xludf.DUMMYFUNCTION("iFERROR((FILTER('Fund Investment Data'!$Z:$Z, 'Fund Investment Data'!$C:$C = $C1253, 'Fund Investment Data'!$A:$A = $A1253 - 1, 'Fund Investment Data'!$B:$B = 12) + FILTER('Fund Investment Data'!$AB:$AB, 'Fund Investment Data'!$C:$C = $C1253, 'Fund Invest"&amp;"ment Data'!$A:$A = $A1253 - 1, 'Fund Investment Data'!$B:$B = 12)) * (1 + AVERAGE(FILTER('Inflation Data'!$C:$C,'Inflation Data'!$A:$A = ($A1253 - 2)))) * Parameters!$A$4,0)"),4980.550706212943)</f>
        <v>4980.550706</v>
      </c>
      <c r="Y1253" s="91">
        <f>IFERROR(__xludf.DUMMYFUNCTION("IFERROR((IFERROR(FILTER('Fund Investment Data'!$P:$P,'Fund Investment Data'!$C:$C = $C1253,'Fund Investment Data'!$A:$A = ($A1253 - 2), 'Fund Investment Data'!$B:$B = 12),0) - SUM(FILTER('Fund Investment Data'!$V:$V, 'Fund Investment Data'!$C:$C = $C1253,"&amp;" 'Fund Investment Data'!$A:$A = ($A1253 - 2), 'Fund Investment Data'!$B:$B &gt; 3)))  * Parameters!$B$4 * (1 - Parameters!$A$4),0)"),2089.971585)</f>
        <v>2089.971585</v>
      </c>
      <c r="Z1253" s="91">
        <f t="shared" si="24"/>
        <v>7070.522291</v>
      </c>
      <c r="AA1253" s="91">
        <f>IFERROR(__xludf.DUMMYFUNCTION("((IFERROR((SUM(FILTER('Fund Investment Data'!$V:$V, 'Fund Investment Data'!$C:$C = $C1253, 'Fund Investment Data'!$A:$A = $A1253 - 1, 'Fund Investment Data'!$B:$B &gt;= 4, 'Fund Investment Data'!$B:$B &lt;= ($B1253 + 5))) / 12) * ($B1253 - 3) * Parameters!$B$4,"&amp;" 0) + IF($B1253 &gt;= 9, IFERROR(SUM(FILTER('Fund Investment Data'!$V:$V, 'Fund Investment Data'!$C:$C = $C1253, 'Fund Investment Data'!$A:$A = $A1253, 'Fund Investment Data'!$B:$B &lt;= 3)) * Parameters!$B$4, 0),0)))"),0.0)</f>
        <v>0</v>
      </c>
      <c r="AB1253" s="32">
        <f>IFERROR(__xludf.DUMMYFUNCTION("IFERROR(((IFERROR(SUM(FILTER('Fund Investment Data'!$V:$V, 'Fund Investment Data'!$C:$C = $C1253, 'Fund Investment Data'!$A:$A = $A1253 - 2, 'Fund Investment Data'!$B:$B &gt;= 4)) * Parameters!$B$4,0) + IFERROR(SUM(FILTER('Fund Investment Data'!$V:$V, 'Fund "&amp;"Investment Data'!$C:$C = $C1253, 'Fund Investment Data'!$A:$A = $A1253 - 1, 'Fund Investment Data'!$B:$B &lt;= 3)) * Parameters!$B$4,0))),0)"),0.0)</f>
        <v>0</v>
      </c>
      <c r="AC1253" s="32">
        <f>IFERROR(__xludf.DUMMYFUNCTION("IFERROR(FILTER($AF:$AF,$C:$C = $C1253,$A:$A = $A1253 - 1,$B:$B = 12),0)"),0.0)</f>
        <v>0</v>
      </c>
      <c r="AD1253" s="32">
        <f t="shared" si="23"/>
        <v>7070.522291</v>
      </c>
      <c r="AE1253" s="32">
        <f t="shared" si="2"/>
        <v>7070.522291</v>
      </c>
      <c r="AF1253" s="32"/>
    </row>
    <row r="1254">
      <c r="A1254" s="86">
        <v>2019.0</v>
      </c>
      <c r="B1254" s="87">
        <v>1.0</v>
      </c>
      <c r="C1254" s="88" t="s">
        <v>51</v>
      </c>
      <c r="D1254" s="32"/>
      <c r="E1254" s="32"/>
      <c r="F1254" s="32"/>
      <c r="G1254" s="93">
        <v>-208.6</v>
      </c>
      <c r="H1254" s="93">
        <v>2829.99</v>
      </c>
      <c r="I1254" s="32"/>
      <c r="J1254" s="93">
        <v>25383.91</v>
      </c>
      <c r="K1254" s="32"/>
      <c r="L1254" s="32"/>
      <c r="M1254" s="32"/>
      <c r="N1254" s="32"/>
      <c r="O1254" s="93">
        <v>470135.0</v>
      </c>
      <c r="P1254" s="91">
        <f>IFERROR(__xludf.DUMMYFUNCTION("IFERROR(sum(FILTER($D:$N,$C:$C = $C1254,$A:$A &lt; $A1254,$B:$B = 12)),0) + sum($D1254:$N1254)"),470135.31000000006)</f>
        <v>470135.31</v>
      </c>
      <c r="Q1254" s="92">
        <f t="shared" si="1"/>
        <v>-0.3100000001</v>
      </c>
      <c r="R1254" s="91">
        <f t="array" ref="R1254">IFERROR(INDEX('Fund YTD Target Values'!$1:$1000, MATCH($C1254,'Fund YTD Target Values'!$A:$A,0), MATCH($A1254,'Fund YTD Target Values'!$1:$1,0)),0)</f>
        <v>460355.013</v>
      </c>
      <c r="S1254" s="91">
        <f>IFERROR(__xludf.DUMMYFUNCTION("IFERROR(sum(FILTER('Fund Investment Data'!$V:$V, 'Fund Investment Data'!$C:$C = $C1254, 'Fund Investment Data'!$A:$A &lt; $A1254)),0) + IFERROR(sum(FILTER('Fund Investment Data'!$V:$V, 'Fund Investment Data'!$C:$C = $C1254, 'Fund Investment Data'!$A:$A = $A1"&amp;"254, 'Fund Investment Data'!$B:$B &lt;= $B1254)),0)"),419073.55)</f>
        <v>419073.55</v>
      </c>
      <c r="T1254" s="32"/>
      <c r="U1254" s="32"/>
      <c r="V1254" s="32">
        <f>IFERROR(__xludf.DUMMYFUNCTION("$D1254 - IFERROR(FILTER($D:$D,$C:$C = $C1254, $A:$A = $A1254, $B:$B = $B1254 - 1),0)"),0.0)</f>
        <v>0</v>
      </c>
      <c r="W1254" s="93">
        <f>IFERROR(__xludf.DUMMYFUNCTION("$E1254 - IFERROR(FILTER($E:$E,$C:$C = $C1254, $A:$A = $A1254, $B:$B = $B1254 - 1),0)"),0.0)</f>
        <v>0</v>
      </c>
      <c r="X1254" s="91">
        <f>IFERROR(__xludf.DUMMYFUNCTION("iFERROR((FILTER('Fund Investment Data'!$Z:$Z, 'Fund Investment Data'!$C:$C = $C1254, 'Fund Investment Data'!$A:$A = $A1254 - 1, 'Fund Investment Data'!$B:$B = 12) + FILTER('Fund Investment Data'!$AB:$AB, 'Fund Investment Data'!$C:$C = $C1254, 'Fund Invest"&amp;"ment Data'!$A:$A = $A1254 - 1, 'Fund Investment Data'!$B:$B = 12)) * (1 + AVERAGE(FILTER('Inflation Data'!$C:$C,'Inflation Data'!$A:$A = ($A1254 - 2)))) * Parameters!$A$4,0)"),14060.066994776611)</f>
        <v>14060.06699</v>
      </c>
      <c r="Y1254" s="91">
        <f>IFERROR(__xludf.DUMMYFUNCTION("IFERROR((IFERROR(FILTER('Fund Investment Data'!$P:$P,'Fund Investment Data'!$C:$C = $C1254,'Fund Investment Data'!$A:$A = ($A1254 - 2), 'Fund Investment Data'!$B:$B = 12),0) - SUM(FILTER('Fund Investment Data'!$V:$V, 'Fund Investment Data'!$C:$C = $C1254,"&amp;" 'Fund Investment Data'!$A:$A = ($A1254 - 2), 'Fund Investment Data'!$B:$B &gt; 3)))  * Parameters!$B$4 * (1 - Parameters!$A$4),0)"),6507.701055)</f>
        <v>6507.701055</v>
      </c>
      <c r="Z1254" s="91">
        <f t="shared" si="24"/>
        <v>20567.76805</v>
      </c>
      <c r="AA1254" s="91">
        <f>IFERROR(__xludf.DUMMYFUNCTION("((IFERROR((SUM(FILTER('Fund Investment Data'!$V:$V, 'Fund Investment Data'!$C:$C = $C1254, 'Fund Investment Data'!$A:$A = $A1254 - 1, 'Fund Investment Data'!$B:$B &gt;= 4, 'Fund Investment Data'!$B:$B &lt;= ($B1254 + 5))) / 12) * ($B1254 - 3) * Parameters!$B$4,"&amp;" 0) + IF($B1254 &gt;= 9, IFERROR(SUM(FILTER('Fund Investment Data'!$V:$V, 'Fund Investment Data'!$C:$C = $C1254, 'Fund Investment Data'!$A:$A = $A1254, 'Fund Investment Data'!$B:$B &lt;= 3)) * Parameters!$B$4, 0),0)))"),-0.375)</f>
        <v>-0.375</v>
      </c>
      <c r="AB1254" s="32">
        <f>IFERROR(__xludf.DUMMYFUNCTION("IFERROR(((IFERROR(SUM(FILTER('Fund Investment Data'!$V:$V, 'Fund Investment Data'!$C:$C = $C1254, 'Fund Investment Data'!$A:$A = $A1254 - 2, 'Fund Investment Data'!$B:$B &gt;= 4)) * Parameters!$B$4,0) + IFERROR(SUM(FILTER('Fund Investment Data'!$V:$V, 'Fund "&amp;"Investment Data'!$C:$C = $C1254, 'Fund Investment Data'!$A:$A = $A1254 - 1, 'Fund Investment Data'!$B:$B &lt;= 3)) * Parameters!$B$4,0))),0)"),153.0)</f>
        <v>153</v>
      </c>
      <c r="AC1254" s="32">
        <f>IFERROR(__xludf.DUMMYFUNCTION("IFERROR(FILTER($AF:$AF,$C:$C = $C1254,$A:$A = $A1254 - 1,$B:$B = 12),0)"),14700.0)</f>
        <v>14700</v>
      </c>
      <c r="AD1254" s="32">
        <f t="shared" si="23"/>
        <v>35420.39305</v>
      </c>
      <c r="AE1254" s="32">
        <f t="shared" si="2"/>
        <v>35420.39305</v>
      </c>
      <c r="AF1254" s="32"/>
    </row>
    <row r="1255">
      <c r="A1255" s="86">
        <v>2019.0</v>
      </c>
      <c r="B1255" s="87">
        <v>1.0</v>
      </c>
      <c r="C1255" s="88" t="s">
        <v>48</v>
      </c>
      <c r="D1255" s="32"/>
      <c r="E1255" s="32"/>
      <c r="F1255" s="32"/>
      <c r="G1255" s="93">
        <v>-515.8</v>
      </c>
      <c r="H1255" s="93">
        <v>7263.49</v>
      </c>
      <c r="I1255" s="32"/>
      <c r="J1255" s="93">
        <v>65471.71</v>
      </c>
      <c r="K1255" s="32"/>
      <c r="L1255" s="32"/>
      <c r="M1255" s="32"/>
      <c r="N1255" s="32"/>
      <c r="O1255" s="93">
        <v>1165434.0</v>
      </c>
      <c r="P1255" s="91">
        <f>IFERROR(__xludf.DUMMYFUNCTION("IFERROR(sum(FILTER($D:$N,$C:$C = $C1255,$A:$A &lt; $A1255,$B:$B = 12)),0) + sum($D1255:$N1255)"),1165432.7899999996)</f>
        <v>1165432.79</v>
      </c>
      <c r="Q1255" s="92">
        <f t="shared" si="1"/>
        <v>1.21</v>
      </c>
      <c r="R1255" s="91">
        <f t="array" ref="R1255">IFERROR(INDEX('Fund YTD Target Values'!$1:$1000, MATCH($C1255,'Fund YTD Target Values'!$A:$A,0), MATCH($A1255,'Fund YTD Target Values'!$1:$1,0)),0)</f>
        <v>1930631.639</v>
      </c>
      <c r="S1255" s="91">
        <f>IFERROR(__xludf.DUMMYFUNCTION("IFERROR(sum(FILTER('Fund Investment Data'!$V:$V, 'Fund Investment Data'!$C:$C = $C1255, 'Fund Investment Data'!$A:$A &lt; $A1255)),0) + IFERROR(sum(FILTER('Fund Investment Data'!$V:$V, 'Fund Investment Data'!$C:$C = $C1255, 'Fund Investment Data'!$A:$A = $A1"&amp;"255, 'Fund Investment Data'!$B:$B &lt;= $B1255)),0)"),1183929.39)</f>
        <v>1183929.39</v>
      </c>
      <c r="T1255" s="93">
        <v>1140040.0</v>
      </c>
      <c r="U1255" s="32">
        <f t="shared" ref="U1255:U1260" si="28">S1255-T1255</f>
        <v>43889.39</v>
      </c>
      <c r="V1255" s="32">
        <f>IFERROR(__xludf.DUMMYFUNCTION("$D1255 - IFERROR(FILTER($D:$D,$C:$C = $C1255, $A:$A = $A1255, $B:$B = $B1255 - 1),0)"),0.0)</f>
        <v>0</v>
      </c>
      <c r="W1255" s="93">
        <f>IFERROR(__xludf.DUMMYFUNCTION("$E1255 - IFERROR(FILTER($E:$E,$C:$C = $C1255, $A:$A = $A1255, $B:$B = $B1255 - 1),0)"),0.0)</f>
        <v>0</v>
      </c>
      <c r="X1255" s="91">
        <f>IFERROR(__xludf.DUMMYFUNCTION("iFERROR((FILTER('Fund Investment Data'!$Z:$Z, 'Fund Investment Data'!$C:$C = $C1255, 'Fund Investment Data'!$A:$A = $A1255 - 1, 'Fund Investment Data'!$B:$B = 12) + FILTER('Fund Investment Data'!$AB:$AB, 'Fund Investment Data'!$C:$C = $C1255, 'Fund Invest"&amp;"ment Data'!$A:$A = $A1255 - 1, 'Fund Investment Data'!$B:$B = 12)) * (1 + AVERAGE(FILTER('Inflation Data'!$C:$C,'Inflation Data'!$A:$A = ($A1255 - 2)))) * Parameters!$A$4,0)"),40170.623919220896)</f>
        <v>40170.62392</v>
      </c>
      <c r="Y1255" s="91">
        <f>IFERROR(__xludf.DUMMYFUNCTION("IFERROR((IFERROR(FILTER('Fund Investment Data'!$P:$P,'Fund Investment Data'!$C:$C = $C1255,'Fund Investment Data'!$A:$A = ($A1255 - 2), 'Fund Investment Data'!$B:$B = 12),0) - SUM(FILTER('Fund Investment Data'!$V:$V, 'Fund Investment Data'!$C:$C = $C1255,"&amp;" 'Fund Investment Data'!$A:$A = ($A1255 - 2), 'Fund Investment Data'!$B:$B &gt; 3)))  * Parameters!$B$4 * (1 - Parameters!$A$4),0)"),16856.662545)</f>
        <v>16856.66255</v>
      </c>
      <c r="Z1255" s="91">
        <f t="shared" si="24"/>
        <v>57027.28646</v>
      </c>
      <c r="AA1255" s="91">
        <f>IFERROR(__xludf.DUMMYFUNCTION("((IFERROR((SUM(FILTER('Fund Investment Data'!$V:$V, 'Fund Investment Data'!$C:$C = $C1255, 'Fund Investment Data'!$A:$A = $A1255 - 1, 'Fund Investment Data'!$B:$B &gt;= 4, 'Fund Investment Data'!$B:$B &lt;= ($B1255 + 5))) / 12) * ($B1255 - 3) * Parameters!$B$4,"&amp;" 0) + IF($B1255 &gt;= 9, IFERROR(SUM(FILTER('Fund Investment Data'!$V:$V, 'Fund Investment Data'!$C:$C = $C1255, 'Fund Investment Data'!$A:$A = $A1255, 'Fund Investment Data'!$B:$B &lt;= 3)) * Parameters!$B$4, 0),0)))"),0.0)</f>
        <v>0</v>
      </c>
      <c r="AB1255" s="32">
        <f>IFERROR(__xludf.DUMMYFUNCTION("IFERROR(((IFERROR(SUM(FILTER('Fund Investment Data'!$V:$V, 'Fund Investment Data'!$C:$C = $C1255, 'Fund Investment Data'!$A:$A = $A1255 - 2, 'Fund Investment Data'!$B:$B &gt;= 4)) * Parameters!$B$4,0) + IFERROR(SUM(FILTER('Fund Investment Data'!$V:$V, 'Fund "&amp;"Investment Data'!$C:$C = $C1255, 'Fund Investment Data'!$A:$A = $A1255 - 1, 'Fund Investment Data'!$B:$B &lt;= 3)) * Parameters!$B$4,0))),0)"),0.0)</f>
        <v>0</v>
      </c>
      <c r="AC1255" s="32">
        <f>IFERROR(__xludf.DUMMYFUNCTION("IFERROR(FILTER($AF:$AF,$C:$C = $C1255,$A:$A = $A1255 - 1,$B:$B = 12),0)"),0.0)</f>
        <v>0</v>
      </c>
      <c r="AD1255" s="32">
        <f t="shared" si="23"/>
        <v>57027.28646</v>
      </c>
      <c r="AE1255" s="32">
        <f t="shared" si="2"/>
        <v>57027.28646</v>
      </c>
      <c r="AF1255" s="32"/>
    </row>
    <row r="1256">
      <c r="A1256" s="86">
        <v>2019.0</v>
      </c>
      <c r="B1256" s="87">
        <v>1.0</v>
      </c>
      <c r="C1256" s="88" t="s">
        <v>49</v>
      </c>
      <c r="D1256" s="32"/>
      <c r="E1256" s="32"/>
      <c r="F1256" s="32"/>
      <c r="G1256" s="93">
        <v>-223.75</v>
      </c>
      <c r="H1256" s="93">
        <v>3150.21</v>
      </c>
      <c r="I1256" s="32"/>
      <c r="J1256" s="93">
        <v>28393.0</v>
      </c>
      <c r="K1256" s="32"/>
      <c r="L1256" s="32"/>
      <c r="M1256" s="32"/>
      <c r="N1256" s="32"/>
      <c r="O1256" s="93">
        <v>505553.0</v>
      </c>
      <c r="P1256" s="91">
        <f>IFERROR(__xludf.DUMMYFUNCTION("IFERROR(sum(FILTER($D:$N,$C:$C = $C1256,$A:$A &lt; $A1256,$B:$B = 12)),0) + sum($D1256:$N1256)"),505553.77999999985)</f>
        <v>505553.78</v>
      </c>
      <c r="Q1256" s="92">
        <f t="shared" si="1"/>
        <v>-0.7799999999</v>
      </c>
      <c r="R1256" s="91">
        <f t="array" ref="R1256">IFERROR(INDEX('Fund YTD Target Values'!$1:$1000, MATCH($C1256,'Fund YTD Target Values'!$A:$A,0), MATCH($A1256,'Fund YTD Target Values'!$1:$1,0)),0)</f>
        <v>714091.1961</v>
      </c>
      <c r="S1256" s="91">
        <f>IFERROR(__xludf.DUMMYFUNCTION("IFERROR(sum(FILTER('Fund Investment Data'!$V:$V, 'Fund Investment Data'!$C:$C = $C1256, 'Fund Investment Data'!$A:$A &lt; $A1256)),0) + IFERROR(sum(FILTER('Fund Investment Data'!$V:$V, 'Fund Investment Data'!$C:$C = $C1256, 'Fund Investment Data'!$A:$A = $A1"&amp;"256, 'Fund Investment Data'!$B:$B &lt;= $B1256)),0)"),500000.0)</f>
        <v>500000</v>
      </c>
      <c r="T1256" s="93">
        <v>500000.0</v>
      </c>
      <c r="U1256" s="32">
        <f t="shared" si="28"/>
        <v>0</v>
      </c>
      <c r="V1256" s="32">
        <f>IFERROR(__xludf.DUMMYFUNCTION("$D1256 - IFERROR(FILTER($D:$D,$C:$C = $C1256, $A:$A = $A1256, $B:$B = $B1256 - 1),0)"),0.0)</f>
        <v>0</v>
      </c>
      <c r="W1256" s="93">
        <f>IFERROR(__xludf.DUMMYFUNCTION("$E1256 - IFERROR(FILTER($E:$E,$C:$C = $C1256, $A:$A = $A1256, $B:$B = $B1256 - 1),0)"),0.0)</f>
        <v>0</v>
      </c>
      <c r="X1256" s="91">
        <f>IFERROR(__xludf.DUMMYFUNCTION("iFERROR((FILTER('Fund Investment Data'!$Z:$Z, 'Fund Investment Data'!$C:$C = $C1256, 'Fund Investment Data'!$A:$A = $A1256 - 1, 'Fund Investment Data'!$B:$B = 12) + FILTER('Fund Investment Data'!$AB:$AB, 'Fund Investment Data'!$C:$C = $C1256, 'Fund Invest"&amp;"ment Data'!$A:$A = $A1256 - 1, 'Fund Investment Data'!$B:$B = 12)) * (1 + AVERAGE(FILTER('Inflation Data'!$C:$C,'Inflation Data'!$A:$A = ($A1256 - 2)))) * Parameters!$A$4,0)"),17620.730663710416)</f>
        <v>17620.73066</v>
      </c>
      <c r="Y1256" s="91">
        <f>IFERROR(__xludf.DUMMYFUNCTION("IFERROR((IFERROR(FILTER('Fund Investment Data'!$P:$P,'Fund Investment Data'!$C:$C = $C1256,'Fund Investment Data'!$A:$A = ($A1256 - 2), 'Fund Investment Data'!$B:$B = 12),0) - SUM(FILTER('Fund Investment Data'!$V:$V, 'Fund Investment Data'!$C:$C = $C1256,"&amp;" 'Fund Investment Data'!$A:$A = ($A1256 - 2), 'Fund Investment Data'!$B:$B &gt; 3)))  * Parameters!$B$4 * (1 - Parameters!$A$4),0)"),7394.127389999999)</f>
        <v>7394.12739</v>
      </c>
      <c r="Z1256" s="91">
        <f t="shared" si="24"/>
        <v>25014.85805</v>
      </c>
      <c r="AA1256" s="91">
        <f>IFERROR(__xludf.DUMMYFUNCTION("((IFERROR((SUM(FILTER('Fund Investment Data'!$V:$V, 'Fund Investment Data'!$C:$C = $C1256, 'Fund Investment Data'!$A:$A = $A1256 - 1, 'Fund Investment Data'!$B:$B &gt;= 4, 'Fund Investment Data'!$B:$B &lt;= ($B1256 + 5))) / 12) * ($B1256 - 3) * Parameters!$B$4,"&amp;" 0) + IF($B1256 &gt;= 9, IFERROR(SUM(FILTER('Fund Investment Data'!$V:$V, 'Fund Investment Data'!$C:$C = $C1256, 'Fund Investment Data'!$A:$A = $A1256, 'Fund Investment Data'!$B:$B &lt;= 3)) * Parameters!$B$4, 0),0)))"),0.0)</f>
        <v>0</v>
      </c>
      <c r="AB1256" s="32">
        <f>IFERROR(__xludf.DUMMYFUNCTION("IFERROR(((IFERROR(SUM(FILTER('Fund Investment Data'!$V:$V, 'Fund Investment Data'!$C:$C = $C1256, 'Fund Investment Data'!$A:$A = $A1256 - 2, 'Fund Investment Data'!$B:$B &gt;= 4)) * Parameters!$B$4,0) + IFERROR(SUM(FILTER('Fund Investment Data'!$V:$V, 'Fund "&amp;"Investment Data'!$C:$C = $C1256, 'Fund Investment Data'!$A:$A = $A1256 - 1, 'Fund Investment Data'!$B:$B &lt;= 3)) * Parameters!$B$4,0))),0)"),0.0)</f>
        <v>0</v>
      </c>
      <c r="AC1256" s="32">
        <f>IFERROR(__xludf.DUMMYFUNCTION("IFERROR(FILTER($AF:$AF,$C:$C = $C1256,$A:$A = $A1256 - 1,$B:$B = 12),0)"),0.0)</f>
        <v>0</v>
      </c>
      <c r="AD1256" s="32">
        <f t="shared" si="23"/>
        <v>25014.85805</v>
      </c>
      <c r="AE1256" s="32">
        <f t="shared" si="2"/>
        <v>25014.85805</v>
      </c>
      <c r="AF1256" s="32"/>
    </row>
    <row r="1257">
      <c r="A1257" s="86">
        <v>2019.0</v>
      </c>
      <c r="B1257" s="87">
        <v>1.0</v>
      </c>
      <c r="C1257" s="88" t="s">
        <v>41</v>
      </c>
      <c r="D1257" s="32"/>
      <c r="E1257" s="32"/>
      <c r="F1257" s="32"/>
      <c r="G1257" s="93">
        <v>-275.16</v>
      </c>
      <c r="H1257" s="93">
        <v>3872.03</v>
      </c>
      <c r="I1257" s="32"/>
      <c r="J1257" s="93">
        <v>34892.35</v>
      </c>
      <c r="K1257" s="32"/>
      <c r="L1257" s="32"/>
      <c r="M1257" s="32"/>
      <c r="N1257" s="32"/>
      <c r="O1257" s="93">
        <v>621667.0</v>
      </c>
      <c r="P1257" s="91">
        <f>IFERROR(__xludf.DUMMYFUNCTION("IFERROR(sum(FILTER($D:$N,$C:$C = $C1257,$A:$A &lt; $A1257,$B:$B = 12)),0) + sum($D1257:$N1257)"),621667.54)</f>
        <v>621667.54</v>
      </c>
      <c r="Q1257" s="92">
        <f t="shared" si="1"/>
        <v>-0.54</v>
      </c>
      <c r="R1257" s="91">
        <f t="array" ref="R1257">IFERROR(INDEX('Fund YTD Target Values'!$1:$1000, MATCH($C1257,'Fund YTD Target Values'!$A:$A,0), MATCH($A1257,'Fund YTD Target Values'!$1:$1,0)),0)</f>
        <v>598621.3568</v>
      </c>
      <c r="S1257" s="91">
        <f>IFERROR(__xludf.DUMMYFUNCTION("IFERROR(sum(FILTER('Fund Investment Data'!$V:$V, 'Fund Investment Data'!$C:$C = $C1257, 'Fund Investment Data'!$A:$A &lt; $A1257)),0) + IFERROR(sum(FILTER('Fund Investment Data'!$V:$V, 'Fund Investment Data'!$C:$C = $C1257, 'Fund Investment Data'!$A:$A = $A1"&amp;"257, 'Fund Investment Data'!$B:$B &lt;= $B1257)),0)"),433755.86)</f>
        <v>433755.86</v>
      </c>
      <c r="T1257" s="93">
        <v>434291.0</v>
      </c>
      <c r="U1257" s="32">
        <f t="shared" si="28"/>
        <v>-535.14</v>
      </c>
      <c r="V1257" s="32">
        <f>IFERROR(__xludf.DUMMYFUNCTION("$D1257 - IFERROR(FILTER($D:$D,$C:$C = $C1257, $A:$A = $A1257, $B:$B = $B1257 - 1),0)"),0.0)</f>
        <v>0</v>
      </c>
      <c r="W1257" s="93">
        <f>IFERROR(__xludf.DUMMYFUNCTION("$E1257 - IFERROR(FILTER($E:$E,$C:$C = $C1257, $A:$A = $A1257, $B:$B = $B1257 - 1),0)"),0.0)</f>
        <v>0</v>
      </c>
      <c r="X1257" s="91">
        <f>IFERROR(__xludf.DUMMYFUNCTION("iFERROR((FILTER('Fund Investment Data'!$Z:$Z, 'Fund Investment Data'!$C:$C = $C1257, 'Fund Investment Data'!$A:$A = $A1257 - 1, 'Fund Investment Data'!$B:$B = 12) + FILTER('Fund Investment Data'!$AB:$AB, 'Fund Investment Data'!$C:$C = $C1257, 'Fund Invest"&amp;"ment Data'!$A:$A = $A1257 - 1, 'Fund Investment Data'!$B:$B = 12)) * (1 + AVERAGE(FILTER('Inflation Data'!$C:$C,'Inflation Data'!$A:$A = ($A1257 - 2)))) * Parameters!$A$4,0)"),18464.76285534869)</f>
        <v>18464.76286</v>
      </c>
      <c r="Y1257" s="91">
        <f>IFERROR(__xludf.DUMMYFUNCTION("IFERROR((IFERROR(FILTER('Fund Investment Data'!$P:$P,'Fund Investment Data'!$C:$C = $C1257,'Fund Investment Data'!$A:$A = ($A1257 - 2), 'Fund Investment Data'!$B:$B = 12),0) - SUM(FILTER('Fund Investment Data'!$V:$V, 'Fund Investment Data'!$C:$C = $C1257,"&amp;" 'Fund Investment Data'!$A:$A = ($A1257 - 2), 'Fund Investment Data'!$B:$B &gt; 3)))  * Parameters!$B$4 * (1 - Parameters!$A$4),0)"),8817.111225000002)</f>
        <v>8817.111225</v>
      </c>
      <c r="Z1257" s="91">
        <f t="shared" si="24"/>
        <v>27281.87408</v>
      </c>
      <c r="AA1257" s="91">
        <f>IFERROR(__xludf.DUMMYFUNCTION("((IFERROR((SUM(FILTER('Fund Investment Data'!$V:$V, 'Fund Investment Data'!$C:$C = $C1257, 'Fund Investment Data'!$A:$A = $A1257 - 1, 'Fund Investment Data'!$B:$B &gt;= 4, 'Fund Investment Data'!$B:$B &lt;= ($B1257 + 5))) / 12) * ($B1257 - 3) * Parameters!$B$4,"&amp;" 0) + IF($B1257 &gt;= 9, IFERROR(SUM(FILTER('Fund Investment Data'!$V:$V, 'Fund Investment Data'!$C:$C = $C1257, 'Fund Investment Data'!$A:$A = $A1257, 'Fund Investment Data'!$B:$B &lt;= 3)) * Parameters!$B$4, 0),0)))"),0.0)</f>
        <v>0</v>
      </c>
      <c r="AB1257" s="32">
        <f>IFERROR(__xludf.DUMMYFUNCTION("IFERROR(((IFERROR(SUM(FILTER('Fund Investment Data'!$V:$V, 'Fund Investment Data'!$C:$C = $C1257, 'Fund Investment Data'!$A:$A = $A1257 - 2, 'Fund Investment Data'!$B:$B &gt;= 4)) * Parameters!$B$4,0) + IFERROR(SUM(FILTER('Fund Investment Data'!$V:$V, 'Fund "&amp;"Investment Data'!$C:$C = $C1257, 'Fund Investment Data'!$A:$A = $A1257 - 1, 'Fund Investment Data'!$B:$B &lt;= 3)) * Parameters!$B$4,0))),0)"),0.0)</f>
        <v>0</v>
      </c>
      <c r="AC1257" s="32">
        <f>IFERROR(__xludf.DUMMYFUNCTION("IFERROR(FILTER($AF:$AF,$C:$C = $C1257,$A:$A = $A1257 - 1,$B:$B = 12),0)"),0.0)</f>
        <v>0</v>
      </c>
      <c r="AD1257" s="32">
        <f t="shared" si="23"/>
        <v>27281.87408</v>
      </c>
      <c r="AE1257" s="32">
        <f t="shared" si="2"/>
        <v>27281.87408</v>
      </c>
      <c r="AF1257" s="32"/>
    </row>
    <row r="1258">
      <c r="A1258" s="86">
        <v>2019.0</v>
      </c>
      <c r="B1258" s="87">
        <v>1.0</v>
      </c>
      <c r="C1258" s="88" t="s">
        <v>25</v>
      </c>
      <c r="D1258" s="32"/>
      <c r="E1258" s="32"/>
      <c r="F1258" s="32"/>
      <c r="G1258" s="93">
        <v>-35.31</v>
      </c>
      <c r="H1258" s="93">
        <v>496.06</v>
      </c>
      <c r="I1258" s="32"/>
      <c r="J1258" s="93">
        <v>4467.31</v>
      </c>
      <c r="K1258" s="32"/>
      <c r="L1258" s="32"/>
      <c r="M1258" s="32"/>
      <c r="N1258" s="32"/>
      <c r="O1258" s="93">
        <v>79766.0</v>
      </c>
      <c r="P1258" s="91">
        <f>IFERROR(__xludf.DUMMYFUNCTION("IFERROR(sum(FILTER($D:$N,$C:$C = $C1258,$A:$A &lt; $A1258,$B:$B = 12)),0) + sum($D1258:$N1258)"),79766.03)</f>
        <v>79766.03</v>
      </c>
      <c r="Q1258" s="92">
        <f t="shared" si="1"/>
        <v>-0.03</v>
      </c>
      <c r="R1258" s="91">
        <f t="array" ref="R1258">IFERROR(INDEX('Fund YTD Target Values'!$1:$1000, MATCH($C1258,'Fund YTD Target Values'!$A:$A,0), MATCH($A1258,'Fund YTD Target Values'!$1:$1,0)),0)</f>
        <v>111153.3247</v>
      </c>
      <c r="S1258" s="91">
        <f>IFERROR(__xludf.DUMMYFUNCTION("IFERROR(sum(FILTER('Fund Investment Data'!$V:$V, 'Fund Investment Data'!$C:$C = $C1258, 'Fund Investment Data'!$A:$A &lt; $A1258)),0) + IFERROR(sum(FILTER('Fund Investment Data'!$V:$V, 'Fund Investment Data'!$C:$C = $C1258, 'Fund Investment Data'!$A:$A = $A1"&amp;"258, 'Fund Investment Data'!$B:$B &lt;= $B1258)),0)"),81000.0)</f>
        <v>81000</v>
      </c>
      <c r="T1258" s="93">
        <v>81000.0</v>
      </c>
      <c r="U1258" s="32">
        <f t="shared" si="28"/>
        <v>0</v>
      </c>
      <c r="V1258" s="32">
        <f>IFERROR(__xludf.DUMMYFUNCTION("$D1258 - IFERROR(FILTER($D:$D,$C:$C = $C1258, $A:$A = $A1258, $B:$B = $B1258 - 1),0)"),0.0)</f>
        <v>0</v>
      </c>
      <c r="W1258" s="93">
        <f>IFERROR(__xludf.DUMMYFUNCTION("$E1258 - IFERROR(FILTER($E:$E,$C:$C = $C1258, $A:$A = $A1258, $B:$B = $B1258 - 1),0)"),0.0)</f>
        <v>0</v>
      </c>
      <c r="X1258" s="91">
        <f>IFERROR(__xludf.DUMMYFUNCTION("iFERROR((FILTER('Fund Investment Data'!$Z:$Z, 'Fund Investment Data'!$C:$C = $C1258, 'Fund Investment Data'!$A:$A = $A1258 - 1, 'Fund Investment Data'!$B:$B = 12) + FILTER('Fund Investment Data'!$AB:$AB, 'Fund Investment Data'!$C:$C = $C1258, 'Fund Invest"&amp;"ment Data'!$A:$A = $A1258 - 1, 'Fund Investment Data'!$B:$B = 12)) * (1 + AVERAGE(FILTER('Inflation Data'!$C:$C,'Inflation Data'!$A:$A = ($A1258 - 2)))) * Parameters!$A$4,0)"),3251.4512616945367)</f>
        <v>3251.451262</v>
      </c>
      <c r="Y1258" s="91">
        <f>IFERROR(__xludf.DUMMYFUNCTION("IFERROR((IFERROR(FILTER('Fund Investment Data'!$P:$P,'Fund Investment Data'!$C:$C = $C1258,'Fund Investment Data'!$A:$A = ($A1258 - 2), 'Fund Investment Data'!$B:$B = 12),0) - SUM(FILTER('Fund Investment Data'!$V:$V, 'Fund Investment Data'!$C:$C = $C1258,"&amp;" 'Fund Investment Data'!$A:$A = ($A1258 - 2), 'Fund Investment Data'!$B:$B &gt; 3)))  * Parameters!$B$4 * (1 - Parameters!$A$4),0)"),1364.3954549999999)</f>
        <v>1364.395455</v>
      </c>
      <c r="Z1258" s="91">
        <f t="shared" si="24"/>
        <v>4615.846717</v>
      </c>
      <c r="AA1258" s="91">
        <f>IFERROR(__xludf.DUMMYFUNCTION("((IFERROR((SUM(FILTER('Fund Investment Data'!$V:$V, 'Fund Investment Data'!$C:$C = $C1258, 'Fund Investment Data'!$A:$A = $A1258 - 1, 'Fund Investment Data'!$B:$B &gt;= 4, 'Fund Investment Data'!$B:$B &lt;= ($B1258 + 5))) / 12) * ($B1258 - 3) * Parameters!$B$4,"&amp;" 0) + IF($B1258 &gt;= 9, IFERROR(SUM(FILTER('Fund Investment Data'!$V:$V, 'Fund Investment Data'!$C:$C = $C1258, 'Fund Investment Data'!$A:$A = $A1258, 'Fund Investment Data'!$B:$B &lt;= 3)) * Parameters!$B$4, 0),0)))"),0.0)</f>
        <v>0</v>
      </c>
      <c r="AB1258" s="32">
        <f>IFERROR(__xludf.DUMMYFUNCTION("IFERROR(((IFERROR(SUM(FILTER('Fund Investment Data'!$V:$V, 'Fund Investment Data'!$C:$C = $C1258, 'Fund Investment Data'!$A:$A = $A1258 - 2, 'Fund Investment Data'!$B:$B &gt;= 4)) * Parameters!$B$4,0) + IFERROR(SUM(FILTER('Fund Investment Data'!$V:$V, 'Fund "&amp;"Investment Data'!$C:$C = $C1258, 'Fund Investment Data'!$A:$A = $A1258 - 1, 'Fund Investment Data'!$B:$B &lt;= 3)) * Parameters!$B$4,0))),0)"),0.0)</f>
        <v>0</v>
      </c>
      <c r="AC1258" s="32">
        <f>IFERROR(__xludf.DUMMYFUNCTION("IFERROR(FILTER($AF:$AF,$C:$C = $C1258,$A:$A = $A1258 - 1,$B:$B = 12),0)"),0.0)</f>
        <v>0</v>
      </c>
      <c r="AD1258" s="32">
        <f t="shared" si="23"/>
        <v>4615.846717</v>
      </c>
      <c r="AE1258" s="32">
        <f t="shared" si="2"/>
        <v>4615.846717</v>
      </c>
      <c r="AF1258" s="32"/>
    </row>
    <row r="1259">
      <c r="A1259" s="86">
        <v>2019.0</v>
      </c>
      <c r="B1259" s="87">
        <v>1.0</v>
      </c>
      <c r="C1259" s="88" t="s">
        <v>42</v>
      </c>
      <c r="D1259" s="32"/>
      <c r="E1259" s="32"/>
      <c r="F1259" s="32"/>
      <c r="G1259" s="93">
        <v>-127.81</v>
      </c>
      <c r="H1259" s="93">
        <v>1790.32</v>
      </c>
      <c r="I1259" s="32"/>
      <c r="J1259" s="93">
        <v>16105.01</v>
      </c>
      <c r="K1259" s="32"/>
      <c r="L1259" s="32"/>
      <c r="M1259" s="32"/>
      <c r="N1259" s="32"/>
      <c r="O1259" s="93">
        <v>288644.0</v>
      </c>
      <c r="P1259" s="91">
        <f>IFERROR(__xludf.DUMMYFUNCTION("IFERROR(sum(FILTER($D:$N,$C:$C = $C1259,$A:$A &lt; $A1259,$B:$B = 12)),0) + sum($D1259:$N1259)"),288643.4900000001)</f>
        <v>288643.49</v>
      </c>
      <c r="Q1259" s="92">
        <f t="shared" si="1"/>
        <v>0.5099999999</v>
      </c>
      <c r="R1259" s="91">
        <f t="array" ref="R1259">IFERROR(INDEX('Fund YTD Target Values'!$1:$1000, MATCH($C1259,'Fund YTD Target Values'!$A:$A,0), MATCH($A1259,'Fund YTD Target Values'!$1:$1,0)),0)</f>
        <v>244537.4928</v>
      </c>
      <c r="S1259" s="91">
        <f>IFERROR(__xludf.DUMMYFUNCTION("IFERROR(sum(FILTER('Fund Investment Data'!$V:$V, 'Fund Investment Data'!$C:$C = $C1259, 'Fund Investment Data'!$A:$A &lt; $A1259)),0) + IFERROR(sum(FILTER('Fund Investment Data'!$V:$V, 'Fund Investment Data'!$C:$C = $C1259, 'Fund Investment Data'!$A:$A = $A1"&amp;"259, 'Fund Investment Data'!$B:$B &lt;= $B1259)),0)"),194469.0)</f>
        <v>194469</v>
      </c>
      <c r="T1259" s="93">
        <v>194469.0</v>
      </c>
      <c r="U1259" s="32">
        <f t="shared" si="28"/>
        <v>0</v>
      </c>
      <c r="V1259" s="32">
        <f>IFERROR(__xludf.DUMMYFUNCTION("$D1259 - IFERROR(FILTER($D:$D,$C:$C = $C1259, $A:$A = $A1259, $B:$B = $B1259 - 1),0)"),0.0)</f>
        <v>0</v>
      </c>
      <c r="W1259" s="93">
        <f>IFERROR(__xludf.DUMMYFUNCTION("$E1259 - IFERROR(FILTER($E:$E,$C:$C = $C1259, $A:$A = $A1259, $B:$B = $B1259 - 1),0)"),0.0)</f>
        <v>0</v>
      </c>
      <c r="X1259" s="91">
        <f>IFERROR(__xludf.DUMMYFUNCTION("iFERROR((FILTER('Fund Investment Data'!$Z:$Z, 'Fund Investment Data'!$C:$C = $C1259, 'Fund Investment Data'!$A:$A = $A1259 - 1, 'Fund Investment Data'!$B:$B = 12) + FILTER('Fund Investment Data'!$AB:$AB, 'Fund Investment Data'!$C:$C = $C1259, 'Fund Invest"&amp;"ment Data'!$A:$A = $A1259 - 1, 'Fund Investment Data'!$B:$B = 12)) * (1 + AVERAGE(FILTER('Inflation Data'!$C:$C,'Inflation Data'!$A:$A = ($A1259 - 2)))) * Parameters!$A$4,0)"),7542.876247032937)</f>
        <v>7542.876247</v>
      </c>
      <c r="Y1259" s="91">
        <f>IFERROR(__xludf.DUMMYFUNCTION("IFERROR((IFERROR(FILTER('Fund Investment Data'!$P:$P,'Fund Investment Data'!$C:$C = $C1259,'Fund Investment Data'!$A:$A = ($A1259 - 2), 'Fund Investment Data'!$B:$B = 12),0) - SUM(FILTER('Fund Investment Data'!$V:$V, 'Fund Investment Data'!$C:$C = $C1259,"&amp;" 'Fund Investment Data'!$A:$A = ($A1259 - 2), 'Fund Investment Data'!$B:$B &gt; 3)))  * Parameters!$B$4 * (1 - Parameters!$A$4),0)"),4042.544760000002)</f>
        <v>4042.54476</v>
      </c>
      <c r="Z1259" s="91">
        <f t="shared" si="24"/>
        <v>11585.42101</v>
      </c>
      <c r="AA1259" s="91">
        <f>IFERROR(__xludf.DUMMYFUNCTION("((IFERROR((SUM(FILTER('Fund Investment Data'!$V:$V, 'Fund Investment Data'!$C:$C = $C1259, 'Fund Investment Data'!$A:$A = $A1259 - 1, 'Fund Investment Data'!$B:$B &gt;= 4, 'Fund Investment Data'!$B:$B &lt;= ($B1259 + 5))) / 12) * ($B1259 - 3) * Parameters!$B$4,"&amp;" 0) + IF($B1259 &gt;= 9, IFERROR(SUM(FILTER('Fund Investment Data'!$V:$V, 'Fund Investment Data'!$C:$C = $C1259, 'Fund Investment Data'!$A:$A = $A1259, 'Fund Investment Data'!$B:$B &lt;= 3)) * Parameters!$B$4, 0),0)))"),0.0)</f>
        <v>0</v>
      </c>
      <c r="AB1259" s="32">
        <f>IFERROR(__xludf.DUMMYFUNCTION("IFERROR(((IFERROR(SUM(FILTER('Fund Investment Data'!$V:$V, 'Fund Investment Data'!$C:$C = $C1259, 'Fund Investment Data'!$A:$A = $A1259 - 2, 'Fund Investment Data'!$B:$B &gt;= 4)) * Parameters!$B$4,0) + IFERROR(SUM(FILTER('Fund Investment Data'!$V:$V, 'Fund "&amp;"Investment Data'!$C:$C = $C1259, 'Fund Investment Data'!$A:$A = $A1259 - 1, 'Fund Investment Data'!$B:$B &lt;= 3)) * Parameters!$B$4,0))),0)"),0.0)</f>
        <v>0</v>
      </c>
      <c r="AC1259" s="32">
        <f>IFERROR(__xludf.DUMMYFUNCTION("IFERROR(FILTER($AF:$AF,$C:$C = $C1259,$A:$A = $A1259 - 1,$B:$B = 12),0)"),0.0)</f>
        <v>0</v>
      </c>
      <c r="AD1259" s="32">
        <f t="shared" si="23"/>
        <v>11585.42101</v>
      </c>
      <c r="AE1259" s="32">
        <f t="shared" si="2"/>
        <v>11585.42101</v>
      </c>
      <c r="AF1259" s="32"/>
    </row>
    <row r="1260">
      <c r="A1260" s="86">
        <v>2019.0</v>
      </c>
      <c r="B1260" s="87">
        <v>1.0</v>
      </c>
      <c r="C1260" s="88" t="s">
        <v>43</v>
      </c>
      <c r="D1260" s="32"/>
      <c r="E1260" s="32"/>
      <c r="F1260" s="32"/>
      <c r="G1260" s="93">
        <v>-52.05</v>
      </c>
      <c r="H1260" s="93">
        <v>731.32</v>
      </c>
      <c r="I1260" s="32"/>
      <c r="J1260" s="93">
        <v>6586.71</v>
      </c>
      <c r="K1260" s="32"/>
      <c r="L1260" s="32"/>
      <c r="M1260" s="32"/>
      <c r="N1260" s="32"/>
      <c r="O1260" s="93">
        <v>117564.0</v>
      </c>
      <c r="P1260" s="91">
        <f>IFERROR(__xludf.DUMMYFUNCTION("IFERROR(sum(FILTER($D:$N,$C:$C = $C1260,$A:$A &lt; $A1260,$B:$B = 12)),0) + sum($D1260:$N1260)"),117563.46000000002)</f>
        <v>117563.46</v>
      </c>
      <c r="Q1260" s="92">
        <f t="shared" si="1"/>
        <v>0.54</v>
      </c>
      <c r="R1260" s="91">
        <f t="array" ref="R1260">IFERROR(INDEX('Fund YTD Target Values'!$1:$1000, MATCH($C1260,'Fund YTD Target Values'!$A:$A,0), MATCH($A1260,'Fund YTD Target Values'!$1:$1,0)),0)</f>
        <v>133065.1141</v>
      </c>
      <c r="S1260" s="91">
        <f>IFERROR(__xludf.DUMMYFUNCTION("IFERROR(sum(FILTER('Fund Investment Data'!$V:$V, 'Fund Investment Data'!$C:$C = $C1260, 'Fund Investment Data'!$A:$A &lt; $A1260)),0) + IFERROR(sum(FILTER('Fund Investment Data'!$V:$V, 'Fund Investment Data'!$C:$C = $C1260, 'Fund Investment Data'!$A:$A = $A1"&amp;"260, 'Fund Investment Data'!$B:$B &lt;= $B1260)),0)"),100000.0)</f>
        <v>100000</v>
      </c>
      <c r="T1260" s="93">
        <v>100000.0</v>
      </c>
      <c r="U1260" s="32">
        <f t="shared" si="28"/>
        <v>0</v>
      </c>
      <c r="V1260" s="32">
        <f>IFERROR(__xludf.DUMMYFUNCTION("$D1260 - IFERROR(FILTER($D:$D,$C:$C = $C1260, $A:$A = $A1260, $B:$B = $B1260 - 1),0)"),0.0)</f>
        <v>0</v>
      </c>
      <c r="W1260" s="93">
        <f>IFERROR(__xludf.DUMMYFUNCTION("$E1260 - IFERROR(FILTER($E:$E,$C:$C = $C1260, $A:$A = $A1260, $B:$B = $B1260 - 1),0)"),0.0)</f>
        <v>0</v>
      </c>
      <c r="X1260" s="91">
        <f>IFERROR(__xludf.DUMMYFUNCTION("iFERROR((FILTER('Fund Investment Data'!$Z:$Z, 'Fund Investment Data'!$C:$C = $C1260, 'Fund Investment Data'!$A:$A = $A1260 - 1, 'Fund Investment Data'!$B:$B = 12) + FILTER('Fund Investment Data'!$AB:$AB, 'Fund Investment Data'!$C:$C = $C1260, 'Fund Invest"&amp;"ment Data'!$A:$A = $A1260 - 1, 'Fund Investment Data'!$B:$B = 12)) * (1 + AVERAGE(FILTER('Inflation Data'!$C:$C,'Inflation Data'!$A:$A = ($A1260 - 2)))) * Parameters!$A$4,0)"),4037.921818829265)</f>
        <v>4037.921819</v>
      </c>
      <c r="Y1260" s="91">
        <f>IFERROR(__xludf.DUMMYFUNCTION("IFERROR((IFERROR(FILTER('Fund Investment Data'!$P:$P,'Fund Investment Data'!$C:$C = $C1260,'Fund Investment Data'!$A:$A = ($A1260 - 2), 'Fund Investment Data'!$B:$B = 12),0) - SUM(FILTER('Fund Investment Data'!$V:$V, 'Fund Investment Data'!$C:$C = $C1260,"&amp;" 'Fund Investment Data'!$A:$A = ($A1260 - 2), 'Fund Investment Data'!$B:$B &gt; 3)))  * Parameters!$B$4 * (1 - Parameters!$A$4),0)"),1694.4194250000005)</f>
        <v>1694.419425</v>
      </c>
      <c r="Z1260" s="91">
        <f t="shared" si="24"/>
        <v>5732.341244</v>
      </c>
      <c r="AA1260" s="91">
        <f>IFERROR(__xludf.DUMMYFUNCTION("((IFERROR((SUM(FILTER('Fund Investment Data'!$V:$V, 'Fund Investment Data'!$C:$C = $C1260, 'Fund Investment Data'!$A:$A = $A1260 - 1, 'Fund Investment Data'!$B:$B &gt;= 4, 'Fund Investment Data'!$B:$B &lt;= ($B1260 + 5))) / 12) * ($B1260 - 3) * Parameters!$B$4,"&amp;" 0) + IF($B1260 &gt;= 9, IFERROR(SUM(FILTER('Fund Investment Data'!$V:$V, 'Fund Investment Data'!$C:$C = $C1260, 'Fund Investment Data'!$A:$A = $A1260, 'Fund Investment Data'!$B:$B &lt;= 3)) * Parameters!$B$4, 0),0)))"),0.0)</f>
        <v>0</v>
      </c>
      <c r="AB1260" s="32">
        <f>IFERROR(__xludf.DUMMYFUNCTION("IFERROR(((IFERROR(SUM(FILTER('Fund Investment Data'!$V:$V, 'Fund Investment Data'!$C:$C = $C1260, 'Fund Investment Data'!$A:$A = $A1260 - 2, 'Fund Investment Data'!$B:$B &gt;= 4)) * Parameters!$B$4,0) + IFERROR(SUM(FILTER('Fund Investment Data'!$V:$V, 'Fund "&amp;"Investment Data'!$C:$C = $C1260, 'Fund Investment Data'!$A:$A = $A1260 - 1, 'Fund Investment Data'!$B:$B &lt;= 3)) * Parameters!$B$4,0))),0)"),0.0)</f>
        <v>0</v>
      </c>
      <c r="AC1260" s="32">
        <f>IFERROR(__xludf.DUMMYFUNCTION("IFERROR(FILTER($AF:$AF,$C:$C = $C1260,$A:$A = $A1260 - 1,$B:$B = 12),0)"),0.0)</f>
        <v>0</v>
      </c>
      <c r="AD1260" s="32">
        <f t="shared" si="23"/>
        <v>5732.341244</v>
      </c>
      <c r="AE1260" s="32">
        <f t="shared" si="2"/>
        <v>5732.341244</v>
      </c>
      <c r="AF1260" s="32"/>
    </row>
    <row r="1261">
      <c r="A1261" s="86">
        <v>2019.0</v>
      </c>
      <c r="B1261" s="87">
        <v>1.0</v>
      </c>
      <c r="C1261" s="88" t="s">
        <v>52</v>
      </c>
      <c r="D1261" s="93">
        <v>1000.0</v>
      </c>
      <c r="E1261" s="32"/>
      <c r="F1261" s="32"/>
      <c r="G1261" s="93">
        <v>-515.01</v>
      </c>
      <c r="H1261" s="93">
        <v>7242.16</v>
      </c>
      <c r="I1261" s="32"/>
      <c r="J1261" s="93">
        <v>65244.11</v>
      </c>
      <c r="K1261" s="32"/>
      <c r="L1261" s="32"/>
      <c r="M1261" s="32"/>
      <c r="N1261" s="32"/>
      <c r="O1261" s="93">
        <v>1164512.0</v>
      </c>
      <c r="P1261" s="91">
        <f>IFERROR(__xludf.DUMMYFUNCTION("IFERROR(sum(FILTER($D:$N,$C:$C = $C1261,$A:$A &lt; $A1261,$B:$B = 12)),0) + sum($D1261:$N1261)"),1164511.2899999998)</f>
        <v>1164511.29</v>
      </c>
      <c r="Q1261" s="92">
        <f t="shared" si="1"/>
        <v>0.7100000002</v>
      </c>
      <c r="R1261" s="91">
        <f t="array" ref="R1261">IFERROR(INDEX('Fund YTD Target Values'!$1:$1000, MATCH($C1261,'Fund YTD Target Values'!$A:$A,0), MATCH($A1261,'Fund YTD Target Values'!$1:$1,0)),0)</f>
        <v>1170797.015</v>
      </c>
      <c r="S1261" s="91">
        <f>IFERROR(__xludf.DUMMYFUNCTION("IFERROR(sum(FILTER('Fund Investment Data'!$V:$V, 'Fund Investment Data'!$C:$C = $C1261, 'Fund Investment Data'!$A:$A &lt; $A1261)),0) + IFERROR(sum(FILTER('Fund Investment Data'!$V:$V, 'Fund Investment Data'!$C:$C = $C1261, 'Fund Investment Data'!$A:$A = $A1"&amp;"261, 'Fund Investment Data'!$B:$B &lt;= $B1261)),0)"),1081136.0)</f>
        <v>1081136</v>
      </c>
      <c r="T1261" s="32"/>
      <c r="U1261" s="32"/>
      <c r="V1261" s="32">
        <f>IFERROR(__xludf.DUMMYFUNCTION("$D1261 - IFERROR(FILTER($D:$D,$C:$C = $C1261, $A:$A = $A1261, $B:$B = $B1261 - 1),0)"),1000.0)</f>
        <v>1000</v>
      </c>
      <c r="W1261" s="93">
        <f>IFERROR(__xludf.DUMMYFUNCTION("$E1261 - IFERROR(FILTER($E:$E,$C:$C = $C1261, $A:$A = $A1261, $B:$B = $B1261 - 1),0)"),0.0)</f>
        <v>0</v>
      </c>
      <c r="X1261" s="91">
        <f>IFERROR(__xludf.DUMMYFUNCTION("iFERROR((FILTER('Fund Investment Data'!$Z:$Z, 'Fund Investment Data'!$C:$C = $C1261, 'Fund Investment Data'!$A:$A = $A1261 - 1, 'Fund Investment Data'!$B:$B = 12) + FILTER('Fund Investment Data'!$AB:$AB, 'Fund Investment Data'!$C:$C = $C1261, 'Fund Invest"&amp;"ment Data'!$A:$A = $A1261 - 1, 'Fund Investment Data'!$B:$B = 12)) * (1 + AVERAGE(FILTER('Inflation Data'!$C:$C,'Inflation Data'!$A:$A = ($A1261 - 2)))) * Parameters!$A$4,0)"),33647.195102028425)</f>
        <v>33647.1951</v>
      </c>
      <c r="Y1261" s="91">
        <f>IFERROR(__xludf.DUMMYFUNCTION("IFERROR((IFERROR(FILTER('Fund Investment Data'!$P:$P,'Fund Investment Data'!$C:$C = $C1261,'Fund Investment Data'!$A:$A = ($A1261 - 2), 'Fund Investment Data'!$B:$B = 12),0) - SUM(FILTER('Fund Investment Data'!$V:$V, 'Fund Investment Data'!$C:$C = $C1261,"&amp;" 'Fund Investment Data'!$A:$A = ($A1261 - 2), 'Fund Investment Data'!$B:$B &gt; 3)))  * Parameters!$B$4 * (1 - Parameters!$A$4),0)"),15672.907755)</f>
        <v>15672.90776</v>
      </c>
      <c r="Z1261" s="91">
        <f t="shared" si="24"/>
        <v>49320.10286</v>
      </c>
      <c r="AA1261" s="91">
        <f>IFERROR(__xludf.DUMMYFUNCTION("((IFERROR((SUM(FILTER('Fund Investment Data'!$V:$V, 'Fund Investment Data'!$C:$C = $C1261, 'Fund Investment Data'!$A:$A = $A1261 - 1, 'Fund Investment Data'!$B:$B &gt;= 4, 'Fund Investment Data'!$B:$B &lt;= ($B1261 + 5))) / 12) * ($B1261 - 3) * Parameters!$B$4,"&amp;" 0) + IF($B1261 &gt;= 9, IFERROR(SUM(FILTER('Fund Investment Data'!$V:$V, 'Fund Investment Data'!$C:$C = $C1261, 'Fund Investment Data'!$A:$A = $A1261, 'Fund Investment Data'!$B:$B &lt;= 3)) * Parameters!$B$4, 0),0)))"),0.0)</f>
        <v>0</v>
      </c>
      <c r="AB1261" s="32">
        <f>IFERROR(__xludf.DUMMYFUNCTION("IFERROR(((IFERROR(SUM(FILTER('Fund Investment Data'!$V:$V, 'Fund Investment Data'!$C:$C = $C1261, 'Fund Investment Data'!$A:$A = $A1261 - 2, 'Fund Investment Data'!$B:$B &gt;= 4)) * Parameters!$B$4,0) + IFERROR(SUM(FILTER('Fund Investment Data'!$V:$V, 'Fund "&amp;"Investment Data'!$C:$C = $C1261, 'Fund Investment Data'!$A:$A = $A1261 - 1, 'Fund Investment Data'!$B:$B &lt;= 3)) * Parameters!$B$4,0))),0)"),3532.5)</f>
        <v>3532.5</v>
      </c>
      <c r="AC1261" s="32">
        <f>IFERROR(__xludf.DUMMYFUNCTION("IFERROR(FILTER($AF:$AF,$C:$C = $C1261,$A:$A = $A1261 - 1,$B:$B = 12),0)"),0.0)</f>
        <v>0</v>
      </c>
      <c r="AD1261" s="32">
        <f t="shared" si="23"/>
        <v>52852.60286</v>
      </c>
      <c r="AE1261" s="32">
        <f t="shared" si="2"/>
        <v>52852.60286</v>
      </c>
      <c r="AF1261" s="32"/>
    </row>
    <row r="1262">
      <c r="A1262" s="86">
        <v>2019.0</v>
      </c>
      <c r="B1262" s="87">
        <v>1.0</v>
      </c>
      <c r="C1262" s="88" t="s">
        <v>33</v>
      </c>
      <c r="D1262" s="32"/>
      <c r="E1262" s="32"/>
      <c r="F1262" s="32"/>
      <c r="G1262" s="93">
        <v>-147.66</v>
      </c>
      <c r="H1262" s="93">
        <v>2074.94</v>
      </c>
      <c r="I1262" s="32"/>
      <c r="J1262" s="93">
        <v>18688.22</v>
      </c>
      <c r="K1262" s="32"/>
      <c r="L1262" s="32"/>
      <c r="M1262" s="32"/>
      <c r="N1262" s="32"/>
      <c r="O1262" s="93">
        <v>333560.0</v>
      </c>
      <c r="P1262" s="91">
        <f>IFERROR(__xludf.DUMMYFUNCTION("IFERROR(sum(FILTER($D:$N,$C:$C = $C1262,$A:$A &lt; $A1262,$B:$B = 12)),0) + sum($D1262:$N1262)"),333560.6799999998)</f>
        <v>333560.68</v>
      </c>
      <c r="Q1262" s="92">
        <f t="shared" si="1"/>
        <v>-0.6799999998</v>
      </c>
      <c r="R1262" s="91">
        <f t="array" ref="R1262">IFERROR(INDEX('Fund YTD Target Values'!$1:$1000, MATCH($C1262,'Fund YTD Target Values'!$A:$A,0), MATCH($A1262,'Fund YTD Target Values'!$1:$1,0)),0)</f>
        <v>522221.9976</v>
      </c>
      <c r="S1262" s="91">
        <f>IFERROR(__xludf.DUMMYFUNCTION("IFERROR(sum(FILTER('Fund Investment Data'!$V:$V, 'Fund Investment Data'!$C:$C = $C1262, 'Fund Investment Data'!$A:$A &lt; $A1262)),0) + IFERROR(sum(FILTER('Fund Investment Data'!$V:$V, 'Fund Investment Data'!$C:$C = $C1262, 'Fund Investment Data'!$A:$A = $A1"&amp;"262, 'Fund Investment Data'!$B:$B &lt;= $B1262)),0)"),325871.6399999999)</f>
        <v>325871.64</v>
      </c>
      <c r="T1262" s="93">
        <v>326032.0</v>
      </c>
      <c r="U1262" s="32">
        <f t="shared" ref="U1262:U1263" si="29">S1262-T1262</f>
        <v>-160.36</v>
      </c>
      <c r="V1262" s="32">
        <f>IFERROR(__xludf.DUMMYFUNCTION("$D1262 - IFERROR(FILTER($D:$D,$C:$C = $C1262, $A:$A = $A1262, $B:$B = $B1262 - 1),0)"),0.0)</f>
        <v>0</v>
      </c>
      <c r="W1262" s="93">
        <f>IFERROR(__xludf.DUMMYFUNCTION("$E1262 - IFERROR(FILTER($E:$E,$C:$C = $C1262, $A:$A = $A1262, $B:$B = $B1262 - 1),0)"),0.0)</f>
        <v>0</v>
      </c>
      <c r="X1262" s="91">
        <f>IFERROR(__xludf.DUMMYFUNCTION("iFERROR((FILTER('Fund Investment Data'!$Z:$Z, 'Fund Investment Data'!$C:$C = $C1262, 'Fund Investment Data'!$A:$A = $A1262 - 1, 'Fund Investment Data'!$B:$B = 12) + FILTER('Fund Investment Data'!$AB:$AB, 'Fund Investment Data'!$C:$C = $C1262, 'Fund Invest"&amp;"ment Data'!$A:$A = $A1262 - 1, 'Fund Investment Data'!$B:$B = 12)) * (1 + AVERAGE(FILTER('Inflation Data'!$C:$C,'Inflation Data'!$A:$A = ($A1262 - 2)))) * Parameters!$A$4,0)"),11487.702435867292)</f>
        <v>11487.70244</v>
      </c>
      <c r="Y1262" s="91">
        <f>IFERROR(__xludf.DUMMYFUNCTION("IFERROR((IFERROR(FILTER('Fund Investment Data'!$P:$P,'Fund Investment Data'!$C:$C = $C1262,'Fund Investment Data'!$A:$A = ($A1262 - 2), 'Fund Investment Data'!$B:$B = 12),0) - SUM(FILTER('Fund Investment Data'!$V:$V, 'Fund Investment Data'!$C:$C = $C1262,"&amp;" 'Fund Investment Data'!$A:$A = ($A1262 - 2), 'Fund Investment Data'!$B:$B &gt; 3)))  * Parameters!$B$4 * (1 - Parameters!$A$4),0)"),4820.5455749999965)</f>
        <v>4820.545575</v>
      </c>
      <c r="Z1262" s="91">
        <f t="shared" si="24"/>
        <v>16308.24801</v>
      </c>
      <c r="AA1262" s="91">
        <f>IFERROR(__xludf.DUMMYFUNCTION("((IFERROR((SUM(FILTER('Fund Investment Data'!$V:$V, 'Fund Investment Data'!$C:$C = $C1262, 'Fund Investment Data'!$A:$A = $A1262 - 1, 'Fund Investment Data'!$B:$B &gt;= 4, 'Fund Investment Data'!$B:$B &lt;= ($B1262 + 5))) / 12) * ($B1262 - 3) * Parameters!$B$4,"&amp;" 0) + IF($B1262 &gt;= 9, IFERROR(SUM(FILTER('Fund Investment Data'!$V:$V, 'Fund Investment Data'!$C:$C = $C1262, 'Fund Investment Data'!$A:$A = $A1262, 'Fund Investment Data'!$B:$B &lt;= 3)) * Parameters!$B$4, 0),0)))"),0.0)</f>
        <v>0</v>
      </c>
      <c r="AB1262" s="32">
        <f>IFERROR(__xludf.DUMMYFUNCTION("IFERROR(((IFERROR(SUM(FILTER('Fund Investment Data'!$V:$V, 'Fund Investment Data'!$C:$C = $C1262, 'Fund Investment Data'!$A:$A = $A1262 - 2, 'Fund Investment Data'!$B:$B &gt;= 4)) * Parameters!$B$4,0) + IFERROR(SUM(FILTER('Fund Investment Data'!$V:$V, 'Fund "&amp;"Investment Data'!$C:$C = $C1262, 'Fund Investment Data'!$A:$A = $A1262 - 1, 'Fund Investment Data'!$B:$B &lt;= 3)) * Parameters!$B$4,0))),0)"),0.0)</f>
        <v>0</v>
      </c>
      <c r="AC1262" s="32">
        <f>IFERROR(__xludf.DUMMYFUNCTION("IFERROR(FILTER($AF:$AF,$C:$C = $C1262,$A:$A = $A1262 - 1,$B:$B = 12),0)"),0.0)</f>
        <v>0</v>
      </c>
      <c r="AD1262" s="32">
        <f t="shared" si="23"/>
        <v>16308.24801</v>
      </c>
      <c r="AE1262" s="32">
        <f t="shared" si="2"/>
        <v>16308.24801</v>
      </c>
      <c r="AF1262" s="32"/>
    </row>
    <row r="1263">
      <c r="A1263" s="86">
        <v>2019.0</v>
      </c>
      <c r="B1263" s="87">
        <v>1.0</v>
      </c>
      <c r="C1263" s="88" t="s">
        <v>53</v>
      </c>
      <c r="D1263" s="32"/>
      <c r="E1263" s="32"/>
      <c r="F1263" s="32"/>
      <c r="G1263" s="93">
        <v>-965.6</v>
      </c>
      <c r="H1263" s="93">
        <v>13297.03</v>
      </c>
      <c r="I1263" s="32"/>
      <c r="J1263" s="93">
        <v>119615.81</v>
      </c>
      <c r="K1263" s="32"/>
      <c r="L1263" s="32"/>
      <c r="M1263" s="32"/>
      <c r="N1263" s="32"/>
      <c r="O1263" s="93">
        <v>2178482.0</v>
      </c>
      <c r="P1263" s="91">
        <f>IFERROR(__xludf.DUMMYFUNCTION("IFERROR(sum(FILTER($D:$N,$C:$C = $C1263,$A:$A &lt; $A1263,$B:$B = 12)),0) + sum($D1263:$N1263)"),2178482.12)</f>
        <v>2178482.12</v>
      </c>
      <c r="Q1263" s="92">
        <f t="shared" si="1"/>
        <v>-0.1200000001</v>
      </c>
      <c r="R1263" s="91">
        <f t="array" ref="R1263">IFERROR(INDEX('Fund YTD Target Values'!$1:$1000, MATCH($C1263,'Fund YTD Target Values'!$A:$A,0), MATCH($A1263,'Fund YTD Target Values'!$1:$1,0)),0)</f>
        <v>2265063.703</v>
      </c>
      <c r="S1263" s="91">
        <f>IFERROR(__xludf.DUMMYFUNCTION("IFERROR(sum(FILTER('Fund Investment Data'!$V:$V, 'Fund Investment Data'!$C:$C = $C1263, 'Fund Investment Data'!$A:$A &lt; $A1263)),0) + IFERROR(sum(FILTER('Fund Investment Data'!$V:$V, 'Fund Investment Data'!$C:$C = $C1263, 'Fund Investment Data'!$A:$A = $A1"&amp;"263, 'Fund Investment Data'!$B:$B &lt;= $B1263)),0)"),2005500.0)</f>
        <v>2005500</v>
      </c>
      <c r="T1263" s="93">
        <v>2005500.0</v>
      </c>
      <c r="U1263" s="32">
        <f t="shared" si="29"/>
        <v>0</v>
      </c>
      <c r="V1263" s="32">
        <f>IFERROR(__xludf.DUMMYFUNCTION("$D1263 - IFERROR(FILTER($D:$D,$C:$C = $C1263, $A:$A = $A1263, $B:$B = $B1263 - 1),0)"),0.0)</f>
        <v>0</v>
      </c>
      <c r="W1263" s="93">
        <f>IFERROR(__xludf.DUMMYFUNCTION("$E1263 - IFERROR(FILTER($E:$E,$C:$C = $C1263, $A:$A = $A1263, $B:$B = $B1263 - 1),0)"),0.0)</f>
        <v>0</v>
      </c>
      <c r="X1263" s="91">
        <f>IFERROR(__xludf.DUMMYFUNCTION("iFERROR((FILTER('Fund Investment Data'!$Z:$Z, 'Fund Investment Data'!$C:$C = $C1263, 'Fund Investment Data'!$A:$A = $A1263 - 1, 'Fund Investment Data'!$B:$B = 12) + FILTER('Fund Investment Data'!$AB:$AB, 'Fund Investment Data'!$C:$C = $C1263, 'Fund Invest"&amp;"ment Data'!$A:$A = $A1263 - 1, 'Fund Investment Data'!$B:$B = 12)) * (1 + AVERAGE(FILTER('Inflation Data'!$C:$C,'Inflation Data'!$A:$A = ($A1263 - 2)))) * Parameters!$A$4,0)"),69866.97627398264)</f>
        <v>69866.97627</v>
      </c>
      <c r="Y1263" s="91">
        <f>IFERROR(__xludf.DUMMYFUNCTION("IFERROR((IFERROR(FILTER('Fund Investment Data'!$P:$P,'Fund Investment Data'!$C:$C = $C1263,'Fund Investment Data'!$A:$A = ($A1263 - 2), 'Fund Investment Data'!$B:$B = 12),0) - SUM(FILTER('Fund Investment Data'!$V:$V, 'Fund Investment Data'!$C:$C = $C1263,"&amp;" 'Fund Investment Data'!$A:$A = ($A1263 - 2), 'Fund Investment Data'!$B:$B &gt; 3)))  * Parameters!$B$4 * (1 - Parameters!$A$4),0)"),30716.748180000002)</f>
        <v>30716.74818</v>
      </c>
      <c r="Z1263" s="91">
        <f t="shared" si="24"/>
        <v>100583.7245</v>
      </c>
      <c r="AA1263" s="91">
        <f>IFERROR(__xludf.DUMMYFUNCTION("((IFERROR((SUM(FILTER('Fund Investment Data'!$V:$V, 'Fund Investment Data'!$C:$C = $C1263, 'Fund Investment Data'!$A:$A = $A1263 - 1, 'Fund Investment Data'!$B:$B &gt;= 4, 'Fund Investment Data'!$B:$B &lt;= ($B1263 + 5))) / 12) * ($B1263 - 3) * Parameters!$B$4,"&amp;" 0) + IF($B1263 &gt;= 9, IFERROR(SUM(FILTER('Fund Investment Data'!$V:$V, 'Fund Investment Data'!$C:$C = $C1263, 'Fund Investment Data'!$A:$A = $A1263, 'Fund Investment Data'!$B:$B &lt;= 3)) * Parameters!$B$4, 0),0)))"),0.0)</f>
        <v>0</v>
      </c>
      <c r="AB1263" s="32">
        <f>IFERROR(__xludf.DUMMYFUNCTION("IFERROR(((IFERROR(SUM(FILTER('Fund Investment Data'!$V:$V, 'Fund Investment Data'!$C:$C = $C1263, 'Fund Investment Data'!$A:$A = $A1263 - 2, 'Fund Investment Data'!$B:$B &gt;= 4)) * Parameters!$B$4,0) + IFERROR(SUM(FILTER('Fund Investment Data'!$V:$V, 'Fund "&amp;"Investment Data'!$C:$C = $C1263, 'Fund Investment Data'!$A:$A = $A1263 - 1, 'Fund Investment Data'!$B:$B &lt;= 3)) * Parameters!$B$4,0))),0)"),0.0)</f>
        <v>0</v>
      </c>
      <c r="AC1263" s="32">
        <f>IFERROR(__xludf.DUMMYFUNCTION("IFERROR(FILTER($AF:$AF,$C:$C = $C1263,$A:$A = $A1263 - 1,$B:$B = 12),0)"),43500.0)</f>
        <v>43500</v>
      </c>
      <c r="AD1263" s="32">
        <f t="shared" si="23"/>
        <v>144083.7245</v>
      </c>
      <c r="AE1263" s="32">
        <f t="shared" si="2"/>
        <v>144083.7245</v>
      </c>
      <c r="AF1263" s="32"/>
    </row>
    <row r="1264">
      <c r="A1264" s="86">
        <v>2019.0</v>
      </c>
      <c r="B1264" s="87">
        <v>1.0</v>
      </c>
      <c r="C1264" s="88" t="s">
        <v>34</v>
      </c>
      <c r="D1264" s="32"/>
      <c r="E1264" s="32"/>
      <c r="F1264" s="32"/>
      <c r="G1264" s="93">
        <v>-62.01</v>
      </c>
      <c r="H1264" s="93">
        <v>871.56</v>
      </c>
      <c r="I1264" s="32"/>
      <c r="J1264" s="93">
        <v>7850.03</v>
      </c>
      <c r="K1264" s="32"/>
      <c r="L1264" s="32"/>
      <c r="M1264" s="32"/>
      <c r="N1264" s="32"/>
      <c r="O1264" s="93">
        <v>140099.0</v>
      </c>
      <c r="P1264" s="91">
        <f>IFERROR(__xludf.DUMMYFUNCTION("IFERROR(sum(FILTER($D:$N,$C:$C = $C1264,$A:$A &lt; $A1264,$B:$B = 12)),0) + sum($D1264:$N1264)"),140098.84999999995)</f>
        <v>140098.85</v>
      </c>
      <c r="Q1264" s="92">
        <f t="shared" si="1"/>
        <v>0.1500000001</v>
      </c>
      <c r="R1264" s="91">
        <f t="array" ref="R1264">IFERROR(INDEX('Fund YTD Target Values'!$1:$1000, MATCH($C1264,'Fund YTD Target Values'!$A:$A,0), MATCH($A1264,'Fund YTD Target Values'!$1:$1,0)),0)</f>
        <v>137779.5763</v>
      </c>
      <c r="S1264" s="91">
        <f>IFERROR(__xludf.DUMMYFUNCTION("IFERROR(sum(FILTER('Fund Investment Data'!$V:$V, 'Fund Investment Data'!$C:$C = $C1264, 'Fund Investment Data'!$A:$A &lt; $A1264)),0) + IFERROR(sum(FILTER('Fund Investment Data'!$V:$V, 'Fund Investment Data'!$C:$C = $C1264, 'Fund Investment Data'!$A:$A = $A1"&amp;"264, 'Fund Investment Data'!$B:$B &lt;= $B1264)),0)"),125000.0)</f>
        <v>125000</v>
      </c>
      <c r="T1264" s="32"/>
      <c r="U1264" s="32"/>
      <c r="V1264" s="32">
        <f>IFERROR(__xludf.DUMMYFUNCTION("$D1264 - IFERROR(FILTER($D:$D,$C:$C = $C1264, $A:$A = $A1264, $B:$B = $B1264 - 1),0)"),0.0)</f>
        <v>0</v>
      </c>
      <c r="W1264" s="93">
        <f>IFERROR(__xludf.DUMMYFUNCTION("$E1264 - IFERROR(FILTER($E:$E,$C:$C = $C1264, $A:$A = $A1264, $B:$B = $B1264 - 1),0)"),0.0)</f>
        <v>0</v>
      </c>
      <c r="X1264" s="91">
        <f>IFERROR(__xludf.DUMMYFUNCTION("iFERROR((FILTER('Fund Investment Data'!$Z:$Z, 'Fund Investment Data'!$C:$C = $C1264, 'Fund Investment Data'!$A:$A = $A1264 - 1, 'Fund Investment Data'!$B:$B = 12) + FILTER('Fund Investment Data'!$AB:$AB, 'Fund Investment Data'!$C:$C = $C1264, 'Fund Invest"&amp;"ment Data'!$A:$A = $A1264 - 1, 'Fund Investment Data'!$B:$B = 12)) * (1 + AVERAGE(FILTER('Inflation Data'!$C:$C,'Inflation Data'!$A:$A = ($A1264 - 2)))) * Parameters!$A$4,0)"),4414.569951711041)</f>
        <v>4414.569952</v>
      </c>
      <c r="Y1264" s="91">
        <f>IFERROR(__xludf.DUMMYFUNCTION("IFERROR((IFERROR(FILTER('Fund Investment Data'!$P:$P,'Fund Investment Data'!$C:$C = $C1264,'Fund Investment Data'!$A:$A = ($A1264 - 2), 'Fund Investment Data'!$B:$B = 12),0) - SUM(FILTER('Fund Investment Data'!$V:$V, 'Fund Investment Data'!$C:$C = $C1264,"&amp;" 'Fund Investment Data'!$A:$A = ($A1264 - 2), 'Fund Investment Data'!$B:$B &gt; 3)))  * Parameters!$B$4 * (1 - Parameters!$A$4),0)"),1947.8901600000004)</f>
        <v>1947.89016</v>
      </c>
      <c r="Z1264" s="91">
        <f t="shared" si="24"/>
        <v>6362.460112</v>
      </c>
      <c r="AA1264" s="91">
        <f>IFERROR(__xludf.DUMMYFUNCTION("((IFERROR((SUM(FILTER('Fund Investment Data'!$V:$V, 'Fund Investment Data'!$C:$C = $C1264, 'Fund Investment Data'!$A:$A = $A1264 - 1, 'Fund Investment Data'!$B:$B &gt;= 4, 'Fund Investment Data'!$B:$B &lt;= ($B1264 + 5))) / 12) * ($B1264 - 3) * Parameters!$B$4,"&amp;" 0) + IF($B1264 &gt;= 9, IFERROR(SUM(FILTER('Fund Investment Data'!$V:$V, 'Fund Investment Data'!$C:$C = $C1264, 'Fund Investment Data'!$A:$A = $A1264, 'Fund Investment Data'!$B:$B &lt;= 3)) * Parameters!$B$4, 0),0)))"),0.0)</f>
        <v>0</v>
      </c>
      <c r="AB1264" s="32">
        <f>IFERROR(__xludf.DUMMYFUNCTION("IFERROR(((IFERROR(SUM(FILTER('Fund Investment Data'!$V:$V, 'Fund Investment Data'!$C:$C = $C1264, 'Fund Investment Data'!$A:$A = $A1264 - 2, 'Fund Investment Data'!$B:$B &gt;= 4)) * Parameters!$B$4,0) + IFERROR(SUM(FILTER('Fund Investment Data'!$V:$V, 'Fund "&amp;"Investment Data'!$C:$C = $C1264, 'Fund Investment Data'!$A:$A = $A1264 - 1, 'Fund Investment Data'!$B:$B &lt;= 3)) * Parameters!$B$4,0))),0)"),0.0)</f>
        <v>0</v>
      </c>
      <c r="AC1264" s="32">
        <f>IFERROR(__xludf.DUMMYFUNCTION("IFERROR(FILTER($AF:$AF,$C:$C = $C1264,$A:$A = $A1264 - 1,$B:$B = 12),0)"),0.0)</f>
        <v>0</v>
      </c>
      <c r="AD1264" s="32">
        <f t="shared" si="23"/>
        <v>6362.460112</v>
      </c>
      <c r="AE1264" s="32">
        <f t="shared" si="2"/>
        <v>6362.460112</v>
      </c>
      <c r="AF1264" s="32"/>
    </row>
    <row r="1265">
      <c r="A1265" s="86">
        <v>2019.0</v>
      </c>
      <c r="B1265" s="87">
        <v>1.0</v>
      </c>
      <c r="C1265" s="88" t="s">
        <v>54</v>
      </c>
      <c r="D1265" s="93">
        <v>100.0</v>
      </c>
      <c r="E1265" s="32"/>
      <c r="F1265" s="32"/>
      <c r="G1265" s="93">
        <v>-73.12</v>
      </c>
      <c r="H1265" s="93">
        <v>1025.02</v>
      </c>
      <c r="I1265" s="32"/>
      <c r="J1265" s="93">
        <v>9223.42</v>
      </c>
      <c r="K1265" s="32"/>
      <c r="L1265" s="32"/>
      <c r="M1265" s="32"/>
      <c r="N1265" s="32"/>
      <c r="O1265" s="93">
        <v>165241.0</v>
      </c>
      <c r="P1265" s="91">
        <f>IFERROR(__xludf.DUMMYFUNCTION("IFERROR(sum(FILTER($D:$N,$C:$C = $C1265,$A:$A &lt; $A1265,$B:$B = 12)),0) + sum($D1265:$N1265)"),165242.36999999997)</f>
        <v>165242.37</v>
      </c>
      <c r="Q1265" s="92">
        <f t="shared" si="1"/>
        <v>-1.37</v>
      </c>
      <c r="R1265" s="91">
        <f t="array" ref="R1265">IFERROR(INDEX('Fund YTD Target Values'!$1:$1000, MATCH($C1265,'Fund YTD Target Values'!$A:$A,0), MATCH($A1265,'Fund YTD Target Values'!$1:$1,0)),0)</f>
        <v>158496.8702</v>
      </c>
      <c r="S1265" s="91">
        <f>IFERROR(__xludf.DUMMYFUNCTION("IFERROR(sum(FILTER('Fund Investment Data'!$V:$V, 'Fund Investment Data'!$C:$C = $C1265, 'Fund Investment Data'!$A:$A &lt; $A1265)),0) + IFERROR(sum(FILTER('Fund Investment Data'!$V:$V, 'Fund Investment Data'!$C:$C = $C1265, 'Fund Investment Data'!$A:$A = $A1"&amp;"265, 'Fund Investment Data'!$B:$B &lt;= $B1265)),0)"),112567.10999999999)</f>
        <v>112567.11</v>
      </c>
      <c r="T1265" s="32"/>
      <c r="U1265" s="32"/>
      <c r="V1265" s="32">
        <f>IFERROR(__xludf.DUMMYFUNCTION("$D1265 - IFERROR(FILTER($D:$D,$C:$C = $C1265, $A:$A = $A1265, $B:$B = $B1265 - 1),0)"),100.0)</f>
        <v>100</v>
      </c>
      <c r="W1265" s="93">
        <f>IFERROR(__xludf.DUMMYFUNCTION("$E1265 - IFERROR(FILTER($E:$E,$C:$C = $C1265, $A:$A = $A1265, $B:$B = $B1265 - 1),0)"),0.0)</f>
        <v>0</v>
      </c>
      <c r="X1265" s="91">
        <f>IFERROR(__xludf.DUMMYFUNCTION("iFERROR((FILTER('Fund Investment Data'!$Z:$Z, 'Fund Investment Data'!$C:$C = $C1265, 'Fund Investment Data'!$A:$A = $A1265 - 1, 'Fund Investment Data'!$B:$B = 12) + FILTER('Fund Investment Data'!$AB:$AB, 'Fund Investment Data'!$C:$C = $C1265, 'Fund Invest"&amp;"ment Data'!$A:$A = $A1265 - 1, 'Fund Investment Data'!$B:$B = 12)) * (1 + AVERAGE(FILTER('Inflation Data'!$C:$C,'Inflation Data'!$A:$A = ($A1265 - 2)))) * Parameters!$A$4,0)"),5306.102894924851)</f>
        <v>5306.102895</v>
      </c>
      <c r="Y1265" s="91">
        <f>IFERROR(__xludf.DUMMYFUNCTION("IFERROR((IFERROR(FILTER('Fund Investment Data'!$P:$P,'Fund Investment Data'!$C:$C = $C1265,'Fund Investment Data'!$A:$A = ($A1265 - 2), 'Fund Investment Data'!$B:$B = 12),0) - SUM(FILTER('Fund Investment Data'!$V:$V, 'Fund Investment Data'!$C:$C = $C1265,"&amp;" 'Fund Investment Data'!$A:$A = ($A1265 - 2), 'Fund Investment Data'!$B:$B &gt; 3)))  * Parameters!$B$4 * (1 - Parameters!$A$4),0)"),2330.059095)</f>
        <v>2330.059095</v>
      </c>
      <c r="Z1265" s="91">
        <f t="shared" si="24"/>
        <v>7636.16199</v>
      </c>
      <c r="AA1265" s="91">
        <f>IFERROR(__xludf.DUMMYFUNCTION("((IFERROR((SUM(FILTER('Fund Investment Data'!$V:$V, 'Fund Investment Data'!$C:$C = $C1265, 'Fund Investment Data'!$A:$A = $A1265 - 1, 'Fund Investment Data'!$B:$B &gt;= 4, 'Fund Investment Data'!$B:$B &lt;= ($B1265 + 5))) / 12) * ($B1265 - 3) * Parameters!$B$4,"&amp;" 0) + IF($B1265 &gt;= 9, IFERROR(SUM(FILTER('Fund Investment Data'!$V:$V, 'Fund Investment Data'!$C:$C = $C1265, 'Fund Investment Data'!$A:$A = $A1265, 'Fund Investment Data'!$B:$B &lt;= 3)) * Parameters!$B$4, 0),0)))"),-0.26249999999999996)</f>
        <v>-0.2625</v>
      </c>
      <c r="AB1265" s="32">
        <f>IFERROR(__xludf.DUMMYFUNCTION("IFERROR(((IFERROR(SUM(FILTER('Fund Investment Data'!$V:$V, 'Fund Investment Data'!$C:$C = $C1265, 'Fund Investment Data'!$A:$A = $A1265 - 2, 'Fund Investment Data'!$B:$B &gt;= 4)) * Parameters!$B$4,0) + IFERROR(SUM(FILTER('Fund Investment Data'!$V:$V, 'Fund "&amp;"Investment Data'!$C:$C = $C1265, 'Fund Investment Data'!$A:$A = $A1265 - 1, 'Fund Investment Data'!$B:$B &lt;= 3)) * Parameters!$B$4,0))),0)"),13.32)</f>
        <v>13.32</v>
      </c>
      <c r="AC1265" s="32">
        <f>IFERROR(__xludf.DUMMYFUNCTION("IFERROR(FILTER($AF:$AF,$C:$C = $C1265,$A:$A = $A1265 - 1,$B:$B = 12),0)"),0.0)</f>
        <v>0</v>
      </c>
      <c r="AD1265" s="32">
        <f t="shared" si="23"/>
        <v>7649.21949</v>
      </c>
      <c r="AE1265" s="32">
        <f t="shared" si="2"/>
        <v>7649.21949</v>
      </c>
      <c r="AF1265" s="32"/>
    </row>
    <row r="1266">
      <c r="A1266" s="86">
        <v>2019.0</v>
      </c>
      <c r="B1266" s="87">
        <v>1.0</v>
      </c>
      <c r="C1266" s="88" t="s">
        <v>55</v>
      </c>
      <c r="D1266" s="32"/>
      <c r="E1266" s="32"/>
      <c r="F1266" s="32"/>
      <c r="G1266" s="93">
        <v>-130.95</v>
      </c>
      <c r="H1266" s="93">
        <v>1476.27</v>
      </c>
      <c r="I1266" s="32"/>
      <c r="J1266" s="93">
        <v>12125.22</v>
      </c>
      <c r="K1266" s="32"/>
      <c r="L1266" s="32"/>
      <c r="M1266" s="32"/>
      <c r="N1266" s="32"/>
      <c r="O1266" s="93">
        <v>291001.0</v>
      </c>
      <c r="P1266" s="91">
        <f>IFERROR(__xludf.DUMMYFUNCTION("IFERROR(sum(FILTER($D:$N,$C:$C = $C1266,$A:$A &lt; $A1266,$B:$B = 12)),0) + sum($D1266:$N1266)"),291001.4799999999)</f>
        <v>291001.48</v>
      </c>
      <c r="Q1266" s="92">
        <f t="shared" si="1"/>
        <v>-0.4799999999</v>
      </c>
      <c r="R1266" s="91">
        <f t="array" ref="R1266">IFERROR(INDEX('Fund YTD Target Values'!$1:$1000, MATCH($C1266,'Fund YTD Target Values'!$A:$A,0), MATCH($A1266,'Fund YTD Target Values'!$1:$1,0)),0)</f>
        <v>364349.1694</v>
      </c>
      <c r="S1266" s="91">
        <f>IFERROR(__xludf.DUMMYFUNCTION("IFERROR(sum(FILTER('Fund Investment Data'!$V:$V, 'Fund Investment Data'!$C:$C = $C1266, 'Fund Investment Data'!$A:$A &lt; $A1266)),0) + IFERROR(sum(FILTER('Fund Investment Data'!$V:$V, 'Fund Investment Data'!$C:$C = $C1266, 'Fund Investment Data'!$A:$A = $A1"&amp;"266, 'Fund Investment Data'!$B:$B &lt;= $B1266)),0)"),280000.0)</f>
        <v>280000</v>
      </c>
      <c r="T1266" s="32"/>
      <c r="U1266" s="32"/>
      <c r="V1266" s="32">
        <f>IFERROR(__xludf.DUMMYFUNCTION("$D1266 - IFERROR(FILTER($D:$D,$C:$C = $C1266, $A:$A = $A1266, $B:$B = $B1266 - 1),0)"),0.0)</f>
        <v>0</v>
      </c>
      <c r="W1266" s="93">
        <f>IFERROR(__xludf.DUMMYFUNCTION("$E1266 - IFERROR(FILTER($E:$E,$C:$C = $C1266, $A:$A = $A1266, $B:$B = $B1266 - 1),0)"),0.0)</f>
        <v>0</v>
      </c>
      <c r="X1266" s="91">
        <f>IFERROR(__xludf.DUMMYFUNCTION("iFERROR((FILTER('Fund Investment Data'!$Z:$Z, 'Fund Investment Data'!$C:$C = $C1266, 'Fund Investment Data'!$A:$A = $A1266 - 1, 'Fund Investment Data'!$B:$B = 12) + FILTER('Fund Investment Data'!$AB:$AB, 'Fund Investment Data'!$C:$C = $C1266, 'Fund Invest"&amp;"ment Data'!$A:$A = $A1266 - 1, 'Fund Investment Data'!$B:$B = 12)) * (1 + AVERAGE(FILTER('Inflation Data'!$C:$C,'Inflation Data'!$A:$A = ($A1266 - 2)))) * Parameters!$A$4,0)"),6881.036839036868)</f>
        <v>6881.036839</v>
      </c>
      <c r="Y1266" s="91">
        <f>IFERROR(__xludf.DUMMYFUNCTION("IFERROR((IFERROR(FILTER('Fund Investment Data'!$P:$P,'Fund Investment Data'!$C:$C = $C1266,'Fund Investment Data'!$A:$A = ($A1266 - 2), 'Fund Investment Data'!$B:$B = 12),0) - SUM(FILTER('Fund Investment Data'!$V:$V, 'Fund Investment Data'!$C:$C = $C1266,"&amp;" 'Fund Investment Data'!$A:$A = ($A1266 - 2), 'Fund Investment Data'!$B:$B &gt; 3)))  * Parameters!$B$4 * (1 - Parameters!$A$4),0)"),2147.3742599999996)</f>
        <v>2147.37426</v>
      </c>
      <c r="Z1266" s="91">
        <f t="shared" si="24"/>
        <v>9028.411099</v>
      </c>
      <c r="AA1266" s="91">
        <f>IFERROR(__xludf.DUMMYFUNCTION("((IFERROR((SUM(FILTER('Fund Investment Data'!$V:$V, 'Fund Investment Data'!$C:$C = $C1266, 'Fund Investment Data'!$A:$A = $A1266 - 1, 'Fund Investment Data'!$B:$B &gt;= 4, 'Fund Investment Data'!$B:$B &lt;= ($B1266 + 5))) / 12) * ($B1266 - 3) * Parameters!$B$4,"&amp;" 0) + IF($B1266 &gt;= 9, IFERROR(SUM(FILTER('Fund Investment Data'!$V:$V, 'Fund Investment Data'!$C:$C = $C1266, 'Fund Investment Data'!$A:$A = $A1266, 'Fund Investment Data'!$B:$B &lt;= 3)) * Parameters!$B$4, 0),0)))"),0.0)</f>
        <v>0</v>
      </c>
      <c r="AB1266" s="32">
        <f>IFERROR(__xludf.DUMMYFUNCTION("IFERROR(((IFERROR(SUM(FILTER('Fund Investment Data'!$V:$V, 'Fund Investment Data'!$C:$C = $C1266, 'Fund Investment Data'!$A:$A = $A1266 - 2, 'Fund Investment Data'!$B:$B &gt;= 4)) * Parameters!$B$4,0) + IFERROR(SUM(FILTER('Fund Investment Data'!$V:$V, 'Fund "&amp;"Investment Data'!$C:$C = $C1266, 'Fund Investment Data'!$A:$A = $A1266 - 1, 'Fund Investment Data'!$B:$B &lt;= 3)) * Parameters!$B$4,0))),0)"),3150.0)</f>
        <v>3150</v>
      </c>
      <c r="AC1266" s="32">
        <f>IFERROR(__xludf.DUMMYFUNCTION("IFERROR(FILTER($AF:$AF,$C:$C = $C1266,$A:$A = $A1266 - 1,$B:$B = 12),0)"),5000.0)</f>
        <v>5000</v>
      </c>
      <c r="AD1266" s="32">
        <f t="shared" si="23"/>
        <v>17178.4111</v>
      </c>
      <c r="AE1266" s="32">
        <f t="shared" si="2"/>
        <v>17178.4111</v>
      </c>
      <c r="AF1266" s="32"/>
    </row>
    <row r="1267">
      <c r="A1267" s="86">
        <v>2019.0</v>
      </c>
      <c r="B1267" s="87">
        <v>1.0</v>
      </c>
      <c r="C1267" s="88" t="s">
        <v>44</v>
      </c>
      <c r="D1267" s="32"/>
      <c r="E1267" s="32"/>
      <c r="F1267" s="32"/>
      <c r="G1267" s="93">
        <v>-118.29</v>
      </c>
      <c r="H1267" s="93">
        <v>1662.36</v>
      </c>
      <c r="I1267" s="32"/>
      <c r="J1267" s="93">
        <v>14972.2</v>
      </c>
      <c r="K1267" s="32"/>
      <c r="L1267" s="32"/>
      <c r="M1267" s="32"/>
      <c r="N1267" s="32"/>
      <c r="O1267" s="93">
        <v>267234.0</v>
      </c>
      <c r="P1267" s="91">
        <f>IFERROR(__xludf.DUMMYFUNCTION("IFERROR(sum(FILTER($D:$N,$C:$C = $C1267,$A:$A &lt; $A1267,$B:$B = 12)),0) + sum($D1267:$N1267)"),267235.20000000007)</f>
        <v>267235.2</v>
      </c>
      <c r="Q1267" s="92">
        <f t="shared" si="1"/>
        <v>-1.2</v>
      </c>
      <c r="R1267" s="91">
        <f t="array" ref="R1267">IFERROR(INDEX('Fund YTD Target Values'!$1:$1000, MATCH($C1267,'Fund YTD Target Values'!$A:$A,0), MATCH($A1267,'Fund YTD Target Values'!$1:$1,0)),0)</f>
        <v>327413.1867</v>
      </c>
      <c r="S1267" s="91">
        <f>IFERROR(__xludf.DUMMYFUNCTION("IFERROR(sum(FILTER('Fund Investment Data'!$V:$V, 'Fund Investment Data'!$C:$C = $C1267, 'Fund Investment Data'!$A:$A &lt; $A1267)),0) + IFERROR(sum(FILTER('Fund Investment Data'!$V:$V, 'Fund Investment Data'!$C:$C = $C1267, 'Fund Investment Data'!$A:$A = $A1"&amp;"267, 'Fund Investment Data'!$B:$B &lt;= $B1267)),0)"),250000.0)</f>
        <v>250000</v>
      </c>
      <c r="T1267" s="93">
        <v>250000.0</v>
      </c>
      <c r="U1267" s="32">
        <f t="shared" ref="U1267:U1272" si="30">S1267-T1267</f>
        <v>0</v>
      </c>
      <c r="V1267" s="32">
        <f>IFERROR(__xludf.DUMMYFUNCTION("$D1267 - IFERROR(FILTER($D:$D,$C:$C = $C1267, $A:$A = $A1267, $B:$B = $B1267 - 1),0)"),0.0)</f>
        <v>0</v>
      </c>
      <c r="W1267" s="93">
        <f>IFERROR(__xludf.DUMMYFUNCTION("$E1267 - IFERROR(FILTER($E:$E,$C:$C = $C1267, $A:$A = $A1267, $B:$B = $B1267 - 1),0)"),0.0)</f>
        <v>0</v>
      </c>
      <c r="X1267" s="91">
        <f>IFERROR(__xludf.DUMMYFUNCTION("iFERROR((FILTER('Fund Investment Data'!$Z:$Z, 'Fund Investment Data'!$C:$C = $C1267, 'Fund Investment Data'!$A:$A = $A1267 - 1, 'Fund Investment Data'!$B:$B = 12) + FILTER('Fund Investment Data'!$AB:$AB, 'Fund Investment Data'!$C:$C = $C1267, 'Fund Invest"&amp;"ment Data'!$A:$A = $A1267 - 1, 'Fund Investment Data'!$B:$B = 12)) * (1 + AVERAGE(FILTER('Inflation Data'!$C:$C,'Inflation Data'!$A:$A = ($A1267 - 2)))) * Parameters!$A$4,0)"),9221.513356912916)</f>
        <v>9221.513357</v>
      </c>
      <c r="Y1267" s="91">
        <f>IFERROR(__xludf.DUMMYFUNCTION("IFERROR((IFERROR(FILTER('Fund Investment Data'!$P:$P,'Fund Investment Data'!$C:$C = $C1267,'Fund Investment Data'!$A:$A = ($A1267 - 2), 'Fund Investment Data'!$B:$B = 12),0) - SUM(FILTER('Fund Investment Data'!$V:$V, 'Fund Investment Data'!$C:$C = $C1267,"&amp;" 'Fund Investment Data'!$A:$A = ($A1267 - 2), 'Fund Investment Data'!$B:$B &gt; 3)))  * Parameters!$B$4 * (1 - Parameters!$A$4),0)"),3869.5923450000028)</f>
        <v>3869.592345</v>
      </c>
      <c r="Z1267" s="91">
        <f t="shared" si="24"/>
        <v>13091.1057</v>
      </c>
      <c r="AA1267" s="91">
        <f>IFERROR(__xludf.DUMMYFUNCTION("((IFERROR((SUM(FILTER('Fund Investment Data'!$V:$V, 'Fund Investment Data'!$C:$C = $C1267, 'Fund Investment Data'!$A:$A = $A1267 - 1, 'Fund Investment Data'!$B:$B &gt;= 4, 'Fund Investment Data'!$B:$B &lt;= ($B1267 + 5))) / 12) * ($B1267 - 3) * Parameters!$B$4,"&amp;" 0) + IF($B1267 &gt;= 9, IFERROR(SUM(FILTER('Fund Investment Data'!$V:$V, 'Fund Investment Data'!$C:$C = $C1267, 'Fund Investment Data'!$A:$A = $A1267, 'Fund Investment Data'!$B:$B &lt;= 3)) * Parameters!$B$4, 0),0)))"),0.0)</f>
        <v>0</v>
      </c>
      <c r="AB1267" s="32">
        <f>IFERROR(__xludf.DUMMYFUNCTION("IFERROR(((IFERROR(SUM(FILTER('Fund Investment Data'!$V:$V, 'Fund Investment Data'!$C:$C = $C1267, 'Fund Investment Data'!$A:$A = $A1267 - 2, 'Fund Investment Data'!$B:$B &gt;= 4)) * Parameters!$B$4,0) + IFERROR(SUM(FILTER('Fund Investment Data'!$V:$V, 'Fund "&amp;"Investment Data'!$C:$C = $C1267, 'Fund Investment Data'!$A:$A = $A1267 - 1, 'Fund Investment Data'!$B:$B &lt;= 3)) * Parameters!$B$4,0))),0)"),0.0)</f>
        <v>0</v>
      </c>
      <c r="AC1267" s="32">
        <f>IFERROR(__xludf.DUMMYFUNCTION("IFERROR(FILTER($AF:$AF,$C:$C = $C1267,$A:$A = $A1267 - 1,$B:$B = 12),0)"),0.0)</f>
        <v>0</v>
      </c>
      <c r="AD1267" s="32">
        <f t="shared" si="23"/>
        <v>13091.1057</v>
      </c>
      <c r="AE1267" s="32">
        <f t="shared" si="2"/>
        <v>13091.1057</v>
      </c>
      <c r="AF1267" s="32"/>
    </row>
    <row r="1268">
      <c r="A1268" s="86">
        <v>2019.0</v>
      </c>
      <c r="B1268" s="87">
        <v>1.0</v>
      </c>
      <c r="C1268" s="88" t="s">
        <v>45</v>
      </c>
      <c r="D1268" s="32"/>
      <c r="E1268" s="32"/>
      <c r="F1268" s="32"/>
      <c r="G1268" s="93">
        <v>-62.44</v>
      </c>
      <c r="H1268" s="93">
        <v>877.44</v>
      </c>
      <c r="I1268" s="32"/>
      <c r="J1268" s="93">
        <v>7902.73</v>
      </c>
      <c r="K1268" s="32"/>
      <c r="L1268" s="32"/>
      <c r="M1268" s="32"/>
      <c r="N1268" s="32"/>
      <c r="O1268" s="93">
        <v>141054.0</v>
      </c>
      <c r="P1268" s="91">
        <f>IFERROR(__xludf.DUMMYFUNCTION("IFERROR(sum(FILTER($D:$N,$C:$C = $C1268,$A:$A &lt; $A1268,$B:$B = 12)),0) + sum($D1268:$N1268)"),141053.84999999998)</f>
        <v>141053.85</v>
      </c>
      <c r="Q1268" s="92">
        <f t="shared" si="1"/>
        <v>0.15</v>
      </c>
      <c r="R1268" s="91">
        <f t="array" ref="R1268">IFERROR(INDEX('Fund YTD Target Values'!$1:$1000, MATCH($C1268,'Fund YTD Target Values'!$A:$A,0), MATCH($A1268,'Fund YTD Target Values'!$1:$1,0)),0)</f>
        <v>123438.8442</v>
      </c>
      <c r="S1268" s="91">
        <f>IFERROR(__xludf.DUMMYFUNCTION("IFERROR(sum(FILTER('Fund Investment Data'!$V:$V, 'Fund Investment Data'!$C:$C = $C1268, 'Fund Investment Data'!$A:$A &lt; $A1268)),0) + IFERROR(sum(FILTER('Fund Investment Data'!$V:$V, 'Fund Investment Data'!$C:$C = $C1268, 'Fund Investment Data'!$A:$A = $A1"&amp;"268, 'Fund Investment Data'!$B:$B &lt;= $B1268)),0)"),100000.0)</f>
        <v>100000</v>
      </c>
      <c r="T1268" s="93">
        <v>100000.0</v>
      </c>
      <c r="U1268" s="32">
        <f t="shared" si="30"/>
        <v>0</v>
      </c>
      <c r="V1268" s="32">
        <f>IFERROR(__xludf.DUMMYFUNCTION("$D1268 - IFERROR(FILTER($D:$D,$C:$C = $C1268, $A:$A = $A1268, $B:$B = $B1268 - 1),0)"),0.0)</f>
        <v>0</v>
      </c>
      <c r="W1268" s="93">
        <f>IFERROR(__xludf.DUMMYFUNCTION("$E1268 - IFERROR(FILTER($E:$E,$C:$C = $C1268, $A:$A = $A1268, $B:$B = $B1268 - 1),0)"),0.0)</f>
        <v>0</v>
      </c>
      <c r="X1268" s="91">
        <f>IFERROR(__xludf.DUMMYFUNCTION("iFERROR((FILTER('Fund Investment Data'!$Z:$Z, 'Fund Investment Data'!$C:$C = $C1268, 'Fund Investment Data'!$A:$A = $A1268 - 1, 'Fund Investment Data'!$B:$B = 12) + FILTER('Fund Investment Data'!$AB:$AB, 'Fund Investment Data'!$C:$C = $C1268, 'Fund Invest"&amp;"ment Data'!$A:$A = $A1268 - 1, 'Fund Investment Data'!$B:$B = 12)) * (1 + AVERAGE(FILTER('Inflation Data'!$C:$C,'Inflation Data'!$A:$A = ($A1268 - 2)))) * Parameters!$A$4,0)"),3807.5303509611413)</f>
        <v>3807.530351</v>
      </c>
      <c r="Y1268" s="91">
        <f>IFERROR(__xludf.DUMMYFUNCTION("IFERROR((IFERROR(FILTER('Fund Investment Data'!$P:$P,'Fund Investment Data'!$C:$C = $C1268,'Fund Investment Data'!$A:$A = ($A1268 - 2), 'Fund Investment Data'!$B:$B = 12),0) - SUM(FILTER('Fund Investment Data'!$V:$V, 'Fund Investment Data'!$C:$C = $C1268,"&amp;" 'Fund Investment Data'!$A:$A = ($A1268 - 2), 'Fund Investment Data'!$B:$B &gt; 3)))  * Parameters!$B$4 * (1 - Parameters!$A$4),0)"),2003.430915)</f>
        <v>2003.430915</v>
      </c>
      <c r="Z1268" s="91">
        <f t="shared" si="24"/>
        <v>5810.961266</v>
      </c>
      <c r="AA1268" s="91">
        <f>IFERROR(__xludf.DUMMYFUNCTION("((IFERROR((SUM(FILTER('Fund Investment Data'!$V:$V, 'Fund Investment Data'!$C:$C = $C1268, 'Fund Investment Data'!$A:$A = $A1268 - 1, 'Fund Investment Data'!$B:$B &gt;= 4, 'Fund Investment Data'!$B:$B &lt;= ($B1268 + 5))) / 12) * ($B1268 - 3) * Parameters!$B$4,"&amp;" 0) + IF($B1268 &gt;= 9, IFERROR(SUM(FILTER('Fund Investment Data'!$V:$V, 'Fund Investment Data'!$C:$C = $C1268, 'Fund Investment Data'!$A:$A = $A1268, 'Fund Investment Data'!$B:$B &lt;= 3)) * Parameters!$B$4, 0),0)))"),0.0)</f>
        <v>0</v>
      </c>
      <c r="AB1268" s="32">
        <f>IFERROR(__xludf.DUMMYFUNCTION("IFERROR(((IFERROR(SUM(FILTER('Fund Investment Data'!$V:$V, 'Fund Investment Data'!$C:$C = $C1268, 'Fund Investment Data'!$A:$A = $A1268 - 2, 'Fund Investment Data'!$B:$B &gt;= 4)) * Parameters!$B$4,0) + IFERROR(SUM(FILTER('Fund Investment Data'!$V:$V, 'Fund "&amp;"Investment Data'!$C:$C = $C1268, 'Fund Investment Data'!$A:$A = $A1268 - 1, 'Fund Investment Data'!$B:$B &lt;= 3)) * Parameters!$B$4,0))),0)"),0.0)</f>
        <v>0</v>
      </c>
      <c r="AC1268" s="32">
        <f>IFERROR(__xludf.DUMMYFUNCTION("IFERROR(FILTER($AF:$AF,$C:$C = $C1268,$A:$A = $A1268 - 1,$B:$B = 12),0)"),0.0)</f>
        <v>0</v>
      </c>
      <c r="AD1268" s="32">
        <f t="shared" si="23"/>
        <v>5810.961266</v>
      </c>
      <c r="AE1268" s="32">
        <f t="shared" si="2"/>
        <v>5810.961266</v>
      </c>
      <c r="AF1268" s="32"/>
    </row>
    <row r="1269">
      <c r="A1269" s="86">
        <v>2019.0</v>
      </c>
      <c r="B1269" s="87">
        <v>1.0</v>
      </c>
      <c r="C1269" s="88" t="s">
        <v>35</v>
      </c>
      <c r="D1269" s="32"/>
      <c r="E1269" s="32"/>
      <c r="F1269" s="32"/>
      <c r="G1269" s="93">
        <v>-610.53</v>
      </c>
      <c r="H1269" s="93">
        <v>8579.63</v>
      </c>
      <c r="I1269" s="32"/>
      <c r="J1269" s="93">
        <v>77273.39</v>
      </c>
      <c r="K1269" s="32"/>
      <c r="L1269" s="32"/>
      <c r="M1269" s="32"/>
      <c r="N1269" s="32"/>
      <c r="O1269" s="93">
        <v>1379229.0</v>
      </c>
      <c r="P1269" s="91">
        <f>IFERROR(__xludf.DUMMYFUNCTION("IFERROR(sum(FILTER($D:$N,$C:$C = $C1269,$A:$A &lt; $A1269,$B:$B = 12)),0) + sum($D1269:$N1269)"),1379228.5600000005)</f>
        <v>1379228.56</v>
      </c>
      <c r="Q1269" s="92">
        <f t="shared" si="1"/>
        <v>0.4399999995</v>
      </c>
      <c r="R1269" s="91">
        <f t="array" ref="R1269">IFERROR(INDEX('Fund YTD Target Values'!$1:$1000, MATCH($C1269,'Fund YTD Target Values'!$A:$A,0), MATCH($A1269,'Fund YTD Target Values'!$1:$1,0)),0)</f>
        <v>1607860.761</v>
      </c>
      <c r="S1269" s="91">
        <f>IFERROR(__xludf.DUMMYFUNCTION("IFERROR(sum(FILTER('Fund Investment Data'!$V:$V, 'Fund Investment Data'!$C:$C = $C1269, 'Fund Investment Data'!$A:$A &lt; $A1269)),0) + IFERROR(sum(FILTER('Fund Investment Data'!$V:$V, 'Fund Investment Data'!$C:$C = $C1269, 'Fund Investment Data'!$A:$A = $A1"&amp;"269, 'Fund Investment Data'!$B:$B &lt;= $B1269)),0)"),1086625.0)</f>
        <v>1086625</v>
      </c>
      <c r="T1269" s="93">
        <v>1071625.0</v>
      </c>
      <c r="U1269" s="32">
        <f t="shared" si="30"/>
        <v>15000</v>
      </c>
      <c r="V1269" s="32">
        <f>IFERROR(__xludf.DUMMYFUNCTION("$D1269 - IFERROR(FILTER($D:$D,$C:$C = $C1269, $A:$A = $A1269, $B:$B = $B1269 - 1),0)"),0.0)</f>
        <v>0</v>
      </c>
      <c r="W1269" s="93">
        <f>IFERROR(__xludf.DUMMYFUNCTION("$E1269 - IFERROR(FILTER($E:$E,$C:$C = $C1269, $A:$A = $A1269, $B:$B = $B1269 - 1),0)"),0.0)</f>
        <v>0</v>
      </c>
      <c r="X1269" s="91">
        <f>IFERROR(__xludf.DUMMYFUNCTION("iFERROR((FILTER('Fund Investment Data'!$Z:$Z, 'Fund Investment Data'!$C:$C = $C1269, 'Fund Investment Data'!$A:$A = $A1269 - 1, 'Fund Investment Data'!$B:$B = 12) + FILTER('Fund Investment Data'!$AB:$AB, 'Fund Investment Data'!$C:$C = $C1269, 'Fund Invest"&amp;"ment Data'!$A:$A = $A1269 - 1, 'Fund Investment Data'!$B:$B = 12)) * (1 + AVERAGE(FILTER('Inflation Data'!$C:$C,'Inflation Data'!$A:$A = ($A1269 - 2)))) * Parameters!$A$4,0)"),47167.912647909514)</f>
        <v>47167.91265</v>
      </c>
      <c r="Y1269" s="91">
        <f>IFERROR(__xludf.DUMMYFUNCTION("IFERROR((IFERROR(FILTER('Fund Investment Data'!$P:$P,'Fund Investment Data'!$C:$C = $C1269,'Fund Investment Data'!$A:$A = ($A1269 - 2), 'Fund Investment Data'!$B:$B = 12),0) - SUM(FILTER('Fund Investment Data'!$V:$V, 'Fund Investment Data'!$C:$C = $C1269,"&amp;" 'Fund Investment Data'!$A:$A = ($A1269 - 2), 'Fund Investment Data'!$B:$B &gt; 3)))  * Parameters!$B$4 * (1 - Parameters!$A$4),0)"),19792.911060000006)</f>
        <v>19792.91106</v>
      </c>
      <c r="Z1269" s="91">
        <f t="shared" si="24"/>
        <v>66960.82371</v>
      </c>
      <c r="AA1269" s="91">
        <f>IFERROR(__xludf.DUMMYFUNCTION("((IFERROR((SUM(FILTER('Fund Investment Data'!$V:$V, 'Fund Investment Data'!$C:$C = $C1269, 'Fund Investment Data'!$A:$A = $A1269 - 1, 'Fund Investment Data'!$B:$B &gt;= 4, 'Fund Investment Data'!$B:$B &lt;= ($B1269 + 5))) / 12) * ($B1269 - 3) * Parameters!$B$4,"&amp;" 0) + IF($B1269 &gt;= 9, IFERROR(SUM(FILTER('Fund Investment Data'!$V:$V, 'Fund Investment Data'!$C:$C = $C1269, 'Fund Investment Data'!$A:$A = $A1269, 'Fund Investment Data'!$B:$B &lt;= 3)) * Parameters!$B$4, 0),0)))"),0.0)</f>
        <v>0</v>
      </c>
      <c r="AB1269" s="32">
        <f>IFERROR(__xludf.DUMMYFUNCTION("IFERROR(((IFERROR(SUM(FILTER('Fund Investment Data'!$V:$V, 'Fund Investment Data'!$C:$C = $C1269, 'Fund Investment Data'!$A:$A = $A1269 - 2, 'Fund Investment Data'!$B:$B &gt;= 4)) * Parameters!$B$4,0) + IFERROR(SUM(FILTER('Fund Investment Data'!$V:$V, 'Fund "&amp;"Investment Data'!$C:$C = $C1269, 'Fund Investment Data'!$A:$A = $A1269 - 1, 'Fund Investment Data'!$B:$B &lt;= 3)) * Parameters!$B$4,0))),0)"),0.0)</f>
        <v>0</v>
      </c>
      <c r="AC1269" s="32">
        <f>IFERROR(__xludf.DUMMYFUNCTION("IFERROR(FILTER($AF:$AF,$C:$C = $C1269,$A:$A = $A1269 - 1,$B:$B = 12),0)"),0.0)</f>
        <v>0</v>
      </c>
      <c r="AD1269" s="32">
        <f t="shared" si="23"/>
        <v>66960.82371</v>
      </c>
      <c r="AE1269" s="32">
        <f t="shared" si="2"/>
        <v>66960.82371</v>
      </c>
      <c r="AF1269" s="32"/>
    </row>
    <row r="1270">
      <c r="A1270" s="86">
        <v>2019.0</v>
      </c>
      <c r="B1270" s="87">
        <v>1.0</v>
      </c>
      <c r="C1270" s="88" t="s">
        <v>56</v>
      </c>
      <c r="D1270" s="32"/>
      <c r="E1270" s="32"/>
      <c r="F1270" s="32"/>
      <c r="G1270" s="93">
        <v>-471.54</v>
      </c>
      <c r="H1270" s="93">
        <v>6626.49</v>
      </c>
      <c r="I1270" s="32"/>
      <c r="J1270" s="93">
        <v>59682.22</v>
      </c>
      <c r="K1270" s="32"/>
      <c r="L1270" s="32"/>
      <c r="M1270" s="32"/>
      <c r="N1270" s="32"/>
      <c r="O1270" s="93">
        <v>1065250.0</v>
      </c>
      <c r="P1270" s="91">
        <f>IFERROR(__xludf.DUMMYFUNCTION("IFERROR(sum(FILTER($D:$N,$C:$C = $C1270,$A:$A &lt; $A1270,$B:$B = 12)),0) + sum($D1270:$N1270)"),1065249.88)</f>
        <v>1065249.88</v>
      </c>
      <c r="Q1270" s="92">
        <f t="shared" si="1"/>
        <v>0.1200000001</v>
      </c>
      <c r="R1270" s="91">
        <f t="array" ref="R1270">IFERROR(INDEX('Fund YTD Target Values'!$1:$1000, MATCH($C1270,'Fund YTD Target Values'!$A:$A,0), MATCH($A1270,'Fund YTD Target Values'!$1:$1,0)),0)</f>
        <v>1079944.217</v>
      </c>
      <c r="S1270" s="91">
        <f>IFERROR(__xludf.DUMMYFUNCTION("IFERROR(sum(FILTER('Fund Investment Data'!$V:$V, 'Fund Investment Data'!$C:$C = $C1270, 'Fund Investment Data'!$A:$A &lt; $A1270)),0) + IFERROR(sum(FILTER('Fund Investment Data'!$V:$V, 'Fund Investment Data'!$C:$C = $C1270, 'Fund Investment Data'!$A:$A = $A1"&amp;"270, 'Fund Investment Data'!$B:$B &lt;= $B1270)),0)"),1000000.0)</f>
        <v>1000000</v>
      </c>
      <c r="T1270" s="93">
        <v>1000000.0</v>
      </c>
      <c r="U1270" s="32">
        <f t="shared" si="30"/>
        <v>0</v>
      </c>
      <c r="V1270" s="32">
        <f>IFERROR(__xludf.DUMMYFUNCTION("$D1270 - IFERROR(FILTER($D:$D,$C:$C = $C1270, $A:$A = $A1270, $B:$B = $B1270 - 1),0)"),0.0)</f>
        <v>0</v>
      </c>
      <c r="W1270" s="93">
        <f>IFERROR(__xludf.DUMMYFUNCTION("$E1270 - IFERROR(FILTER($E:$E,$C:$C = $C1270, $A:$A = $A1270, $B:$B = $B1270 - 1),0)"),0.0)</f>
        <v>0</v>
      </c>
      <c r="X1270" s="91">
        <f>IFERROR(__xludf.DUMMYFUNCTION("iFERROR((FILTER('Fund Investment Data'!$Z:$Z, 'Fund Investment Data'!$C:$C = $C1270, 'Fund Investment Data'!$A:$A = $A1270 - 1, 'Fund Investment Data'!$B:$B = 12) + FILTER('Fund Investment Data'!$AB:$AB, 'Fund Investment Data'!$C:$C = $C1270, 'Fund Invest"&amp;"ment Data'!$A:$A = $A1270 - 1, 'Fund Investment Data'!$B:$B = 12)) * (1 + AVERAGE(FILTER('Inflation Data'!$C:$C,'Inflation Data'!$A:$A = ($A1270 - 2)))) * Parameters!$A$4,0)"),33311.397321480836)</f>
        <v>33311.39732</v>
      </c>
      <c r="Y1270" s="91">
        <f>IFERROR(__xludf.DUMMYFUNCTION("IFERROR((IFERROR(FILTER('Fund Investment Data'!$P:$P,'Fund Investment Data'!$C:$C = $C1270,'Fund Investment Data'!$A:$A = ($A1270 - 2), 'Fund Investment Data'!$B:$B = 12),0) - SUM(FILTER('Fund Investment Data'!$V:$V, 'Fund Investment Data'!$C:$C = $C1270,"&amp;" 'Fund Investment Data'!$A:$A = ($A1270 - 2), 'Fund Investment Data'!$B:$B &gt; 3)))  * Parameters!$B$4 * (1 - Parameters!$A$4),0)"),15295.200705)</f>
        <v>15295.20071</v>
      </c>
      <c r="Z1270" s="91">
        <f t="shared" si="24"/>
        <v>48606.59803</v>
      </c>
      <c r="AA1270" s="91">
        <f>IFERROR(__xludf.DUMMYFUNCTION("((IFERROR((SUM(FILTER('Fund Investment Data'!$V:$V, 'Fund Investment Data'!$C:$C = $C1270, 'Fund Investment Data'!$A:$A = $A1270 - 1, 'Fund Investment Data'!$B:$B &gt;= 4, 'Fund Investment Data'!$B:$B &lt;= ($B1270 + 5))) / 12) * ($B1270 - 3) * Parameters!$B$4,"&amp;" 0) + IF($B1270 &gt;= 9, IFERROR(SUM(FILTER('Fund Investment Data'!$V:$V, 'Fund Investment Data'!$C:$C = $C1270, 'Fund Investment Data'!$A:$A = $A1270, 'Fund Investment Data'!$B:$B &lt;= 3)) * Parameters!$B$4, 0),0)))"),0.0)</f>
        <v>0</v>
      </c>
      <c r="AB1270" s="32">
        <f>IFERROR(__xludf.DUMMYFUNCTION("IFERROR(((IFERROR(SUM(FILTER('Fund Investment Data'!$V:$V, 'Fund Investment Data'!$C:$C = $C1270, 'Fund Investment Data'!$A:$A = $A1270 - 2, 'Fund Investment Data'!$B:$B &gt;= 4)) * Parameters!$B$4,0) + IFERROR(SUM(FILTER('Fund Investment Data'!$V:$V, 'Fund "&amp;"Investment Data'!$C:$C = $C1270, 'Fund Investment Data'!$A:$A = $A1270 - 1, 'Fund Investment Data'!$B:$B &lt;= 3)) * Parameters!$B$4,0))),0)"),0.0)</f>
        <v>0</v>
      </c>
      <c r="AC1270" s="32">
        <f>IFERROR(__xludf.DUMMYFUNCTION("IFERROR(FILTER($AF:$AF,$C:$C = $C1270,$A:$A = $A1270 - 1,$B:$B = 12),0)"),0.0)</f>
        <v>0</v>
      </c>
      <c r="AD1270" s="32">
        <f t="shared" si="23"/>
        <v>48606.59803</v>
      </c>
      <c r="AE1270" s="32">
        <f t="shared" si="2"/>
        <v>48606.59803</v>
      </c>
      <c r="AF1270" s="32"/>
    </row>
    <row r="1271">
      <c r="A1271" s="86">
        <v>2019.0</v>
      </c>
      <c r="B1271" s="87">
        <v>1.0</v>
      </c>
      <c r="C1271" s="88" t="s">
        <v>57</v>
      </c>
      <c r="D1271" s="32"/>
      <c r="E1271" s="32"/>
      <c r="F1271" s="32"/>
      <c r="G1271" s="93">
        <v>-887.26</v>
      </c>
      <c r="H1271" s="93">
        <v>12214.18</v>
      </c>
      <c r="I1271" s="32"/>
      <c r="J1271" s="93">
        <v>109952.63</v>
      </c>
      <c r="K1271" s="32"/>
      <c r="L1271" s="32"/>
      <c r="M1271" s="32"/>
      <c r="N1271" s="32"/>
      <c r="O1271" s="93">
        <v>2001794.0</v>
      </c>
      <c r="P1271" s="91">
        <f>IFERROR(__xludf.DUMMYFUNCTION("IFERROR(sum(FILTER($D:$N,$C:$C = $C1271,$A:$A &lt; $A1271,$B:$B = 12)),0) + sum($D1271:$N1271)"),2001794.02)</f>
        <v>2001794.02</v>
      </c>
      <c r="Q1271" s="92">
        <f t="shared" si="1"/>
        <v>-0.02000000002</v>
      </c>
      <c r="R1271" s="91">
        <f t="array" ref="R1271">IFERROR(INDEX('Fund YTD Target Values'!$1:$1000, MATCH($C1271,'Fund YTD Target Values'!$A:$A,0), MATCH($A1271,'Fund YTD Target Values'!$1:$1,0)),0)</f>
        <v>2085975.586</v>
      </c>
      <c r="S1271" s="91">
        <f>IFERROR(__xludf.DUMMYFUNCTION("IFERROR(sum(FILTER('Fund Investment Data'!$V:$V, 'Fund Investment Data'!$C:$C = $C1271, 'Fund Investment Data'!$A:$A &lt; $A1271)),0) + IFERROR(sum(FILTER('Fund Investment Data'!$V:$V, 'Fund Investment Data'!$C:$C = $C1271, 'Fund Investment Data'!$A:$A = $A1"&amp;"271, 'Fund Investment Data'!$B:$B &lt;= $B1271)),0)"),2000000.0)</f>
        <v>2000000</v>
      </c>
      <c r="T1271" s="93">
        <v>2000000.0</v>
      </c>
      <c r="U1271" s="32">
        <f t="shared" si="30"/>
        <v>0</v>
      </c>
      <c r="V1271" s="32">
        <f>IFERROR(__xludf.DUMMYFUNCTION("$D1271 - IFERROR(FILTER($D:$D,$C:$C = $C1271, $A:$A = $A1271, $B:$B = $B1271 - 1),0)"),0.0)</f>
        <v>0</v>
      </c>
      <c r="W1271" s="93">
        <f>IFERROR(__xludf.DUMMYFUNCTION("$E1271 - IFERROR(FILTER($E:$E,$C:$C = $C1271, $A:$A = $A1271, $B:$B = $B1271 - 1),0)"),0.0)</f>
        <v>0</v>
      </c>
      <c r="X1271" s="91">
        <f>IFERROR(__xludf.DUMMYFUNCTION("iFERROR((FILTER('Fund Investment Data'!$Z:$Z, 'Fund Investment Data'!$C:$C = $C1271, 'Fund Investment Data'!$A:$A = $A1271 - 1, 'Fund Investment Data'!$B:$B = 12) + FILTER('Fund Investment Data'!$AB:$AB, 'Fund Investment Data'!$C:$C = $C1271, 'Fund Invest"&amp;"ment Data'!$A:$A = $A1271 - 1, 'Fund Investment Data'!$B:$B = 12)) * (1 + AVERAGE(FILTER('Inflation Data'!$C:$C,'Inflation Data'!$A:$A = ($A1271 - 2)))) * Parameters!$A$4,0)"),0.0)</f>
        <v>0</v>
      </c>
      <c r="Y1271" s="91">
        <f>IFERROR(__xludf.DUMMYFUNCTION("IFERROR((IFERROR(FILTER('Fund Investment Data'!$P:$P,'Fund Investment Data'!$C:$C = $C1271,'Fund Investment Data'!$A:$A = ($A1271 - 2), 'Fund Investment Data'!$B:$B = 12),0) - SUM(FILTER('Fund Investment Data'!$V:$V, 'Fund Investment Data'!$C:$C = $C1271,"&amp;" 'Fund Investment Data'!$A:$A = ($A1271 - 2), 'Fund Investment Data'!$B:$B &gt; 3)))  * Parameters!$B$4 * (1 - Parameters!$A$4),0)"),474.91420500000106)</f>
        <v>474.914205</v>
      </c>
      <c r="Z1271" s="91">
        <f t="shared" si="24"/>
        <v>474.914205</v>
      </c>
      <c r="AA1271" s="91">
        <f>IFERROR(__xludf.DUMMYFUNCTION("((IFERROR((SUM(FILTER('Fund Investment Data'!$V:$V, 'Fund Investment Data'!$C:$C = $C1271, 'Fund Investment Data'!$A:$A = $A1271 - 1, 'Fund Investment Data'!$B:$B &gt;= 4, 'Fund Investment Data'!$B:$B &lt;= ($B1271 + 5))) / 12) * ($B1271 - 3) * Parameters!$B$4,"&amp;" 0) + IF($B1271 &gt;= 9, IFERROR(SUM(FILTER('Fund Investment Data'!$V:$V, 'Fund Investment Data'!$C:$C = $C1271, 'Fund Investment Data'!$A:$A = $A1271, 'Fund Investment Data'!$B:$B &lt;= 3)) * Parameters!$B$4, 0),0)))"),0.0)</f>
        <v>0</v>
      </c>
      <c r="AB1271" s="32">
        <f>IFERROR(__xludf.DUMMYFUNCTION("IFERROR(((IFERROR(SUM(FILTER('Fund Investment Data'!$V:$V, 'Fund Investment Data'!$C:$C = $C1271, 'Fund Investment Data'!$A:$A = $A1271 - 2, 'Fund Investment Data'!$B:$B &gt;= 4)) * Parameters!$B$4,0) + IFERROR(SUM(FILTER('Fund Investment Data'!$V:$V, 'Fund "&amp;"Investment Data'!$C:$C = $C1271, 'Fund Investment Data'!$A:$A = $A1271 - 1, 'Fund Investment Data'!$B:$B &lt;= 3)) * Parameters!$B$4,0))),0)"),90000.0)</f>
        <v>90000</v>
      </c>
      <c r="AC1271" s="32">
        <f>IFERROR(__xludf.DUMMYFUNCTION("IFERROR(FILTER($AF:$AF,$C:$C = $C1271,$A:$A = $A1271 - 1,$B:$B = 12),0)"),45000.0)</f>
        <v>45000</v>
      </c>
      <c r="AD1271" s="32">
        <f t="shared" si="23"/>
        <v>135474.9142</v>
      </c>
      <c r="AE1271" s="32">
        <f t="shared" si="2"/>
        <v>135474.9142</v>
      </c>
      <c r="AF1271" s="32"/>
    </row>
    <row r="1272">
      <c r="A1272" s="86">
        <v>2019.0</v>
      </c>
      <c r="B1272" s="87">
        <v>1.0</v>
      </c>
      <c r="C1272" s="88" t="s">
        <v>58</v>
      </c>
      <c r="D1272" s="32"/>
      <c r="E1272" s="32"/>
      <c r="F1272" s="32"/>
      <c r="G1272" s="93">
        <v>-877.83</v>
      </c>
      <c r="H1272" s="93">
        <v>12206.76</v>
      </c>
      <c r="I1272" s="32"/>
      <c r="J1272" s="93">
        <v>109952.63</v>
      </c>
      <c r="K1272" s="32"/>
      <c r="L1272" s="32"/>
      <c r="M1272" s="32"/>
      <c r="N1272" s="32"/>
      <c r="O1272" s="93">
        <v>1981796.0</v>
      </c>
      <c r="P1272" s="91">
        <f>IFERROR(__xludf.DUMMYFUNCTION("IFERROR(sum(FILTER($D:$N,$C:$C = $C1272,$A:$A &lt; $A1272,$B:$B = 12)),0) + sum($D1272:$N1272)"),1981796.01)</f>
        <v>1981796.01</v>
      </c>
      <c r="Q1272" s="92">
        <f t="shared" si="1"/>
        <v>-0.01000000001</v>
      </c>
      <c r="R1272" s="91">
        <f t="array" ref="R1272">IFERROR(INDEX('Fund YTD Target Values'!$1:$1000, MATCH($C1272,'Fund YTD Target Values'!$A:$A,0), MATCH($A1272,'Fund YTD Target Values'!$1:$1,0)),0)</f>
        <v>2085975.586</v>
      </c>
      <c r="S1272" s="91">
        <f>IFERROR(__xludf.DUMMYFUNCTION("IFERROR(sum(FILTER('Fund Investment Data'!$V:$V, 'Fund Investment Data'!$C:$C = $C1272, 'Fund Investment Data'!$A:$A &lt; $A1272)),0) + IFERROR(sum(FILTER('Fund Investment Data'!$V:$V, 'Fund Investment Data'!$C:$C = $C1272, 'Fund Investment Data'!$A:$A = $A1"&amp;"272, 'Fund Investment Data'!$B:$B &lt;= $B1272)),0)"),2000000.0)</f>
        <v>2000000</v>
      </c>
      <c r="T1272" s="93">
        <v>2000000.0</v>
      </c>
      <c r="U1272" s="32">
        <f t="shared" si="30"/>
        <v>0</v>
      </c>
      <c r="V1272" s="32">
        <f>IFERROR(__xludf.DUMMYFUNCTION("$D1272 - IFERROR(FILTER($D:$D,$C:$C = $C1272, $A:$A = $A1272, $B:$B = $B1272 - 1),0)"),0.0)</f>
        <v>0</v>
      </c>
      <c r="W1272" s="93">
        <f>IFERROR(__xludf.DUMMYFUNCTION("$E1272 - IFERROR(FILTER($E:$E,$C:$C = $C1272, $A:$A = $A1272, $B:$B = $B1272 - 1),0)"),0.0)</f>
        <v>0</v>
      </c>
      <c r="X1272" s="91">
        <f>IFERROR(__xludf.DUMMYFUNCTION("iFERROR((FILTER('Fund Investment Data'!$Z:$Z, 'Fund Investment Data'!$C:$C = $C1272, 'Fund Investment Data'!$A:$A = $A1272 - 1, 'Fund Investment Data'!$B:$B = 12) + FILTER('Fund Investment Data'!$AB:$AB, 'Fund Investment Data'!$C:$C = $C1272, 'Fund Invest"&amp;"ment Data'!$A:$A = $A1272 - 1, 'Fund Investment Data'!$B:$B = 12)) * (1 + AVERAGE(FILTER('Inflation Data'!$C:$C,'Inflation Data'!$A:$A = ($A1272 - 2)))) * Parameters!$A$4,0)"),0.0)</f>
        <v>0</v>
      </c>
      <c r="Y1272" s="91">
        <f>IFERROR(__xludf.DUMMYFUNCTION("IFERROR((IFERROR(FILTER('Fund Investment Data'!$P:$P,'Fund Investment Data'!$C:$C = $C1272,'Fund Investment Data'!$A:$A = ($A1272 - 2), 'Fund Investment Data'!$B:$B = 12),0) - SUM(FILTER('Fund Investment Data'!$V:$V, 'Fund Investment Data'!$C:$C = $C1272,"&amp;" 'Fund Investment Data'!$A:$A = ($A1272 - 2), 'Fund Investment Data'!$B:$B &gt; 3)))  * Parameters!$B$4 * (1 - Parameters!$A$4),0)"),474.91420500000106)</f>
        <v>474.914205</v>
      </c>
      <c r="Z1272" s="91">
        <f t="shared" si="24"/>
        <v>474.914205</v>
      </c>
      <c r="AA1272" s="91">
        <f>IFERROR(__xludf.DUMMYFUNCTION("((IFERROR((SUM(FILTER('Fund Investment Data'!$V:$V, 'Fund Investment Data'!$C:$C = $C1272, 'Fund Investment Data'!$A:$A = $A1272 - 1, 'Fund Investment Data'!$B:$B &gt;= 4, 'Fund Investment Data'!$B:$B &lt;= ($B1272 + 5))) / 12) * ($B1272 - 3) * Parameters!$B$4,"&amp;" 0) + IF($B1272 &gt;= 9, IFERROR(SUM(FILTER('Fund Investment Data'!$V:$V, 'Fund Investment Data'!$C:$C = $C1272, 'Fund Investment Data'!$A:$A = $A1272, 'Fund Investment Data'!$B:$B &lt;= 3)) * Parameters!$B$4, 0),0)))"),0.0)</f>
        <v>0</v>
      </c>
      <c r="AB1272" s="32">
        <f>IFERROR(__xludf.DUMMYFUNCTION("IFERROR(((IFERROR(SUM(FILTER('Fund Investment Data'!$V:$V, 'Fund Investment Data'!$C:$C = $C1272, 'Fund Investment Data'!$A:$A = $A1272 - 2, 'Fund Investment Data'!$B:$B &gt;= 4)) * Parameters!$B$4,0) + IFERROR(SUM(FILTER('Fund Investment Data'!$V:$V, 'Fund "&amp;"Investment Data'!$C:$C = $C1272, 'Fund Investment Data'!$A:$A = $A1272 - 1, 'Fund Investment Data'!$B:$B &lt;= 3)) * Parameters!$B$4,0))),0)"),90000.0)</f>
        <v>90000</v>
      </c>
      <c r="AC1272" s="32">
        <f>IFERROR(__xludf.DUMMYFUNCTION("IFERROR(FILTER($AF:$AF,$C:$C = $C1272,$A:$A = $A1272 - 1,$B:$B = 12),0)"),25000.0)</f>
        <v>25000</v>
      </c>
      <c r="AD1272" s="32">
        <f t="shared" si="23"/>
        <v>115474.9142</v>
      </c>
      <c r="AE1272" s="32">
        <f t="shared" si="2"/>
        <v>115474.9142</v>
      </c>
      <c r="AF1272" s="32"/>
    </row>
    <row r="1273">
      <c r="A1273" s="86">
        <v>2019.0</v>
      </c>
      <c r="B1273" s="87">
        <v>2.0</v>
      </c>
      <c r="C1273" s="88" t="s">
        <v>26</v>
      </c>
      <c r="D1273" s="93">
        <v>7128.0</v>
      </c>
      <c r="E1273" s="32"/>
      <c r="F1273" s="32"/>
      <c r="G1273" s="93">
        <v>-299.91</v>
      </c>
      <c r="H1273" s="93">
        <v>2214.62</v>
      </c>
      <c r="I1273" s="32"/>
      <c r="J1273" s="93">
        <v>23856.74</v>
      </c>
      <c r="K1273" s="32"/>
      <c r="L1273" s="32"/>
      <c r="M1273" s="32"/>
      <c r="N1273" s="32"/>
      <c r="O1273" s="93">
        <v>341728.0</v>
      </c>
      <c r="P1273" s="91">
        <f>IFERROR(__xludf.DUMMYFUNCTION("IFERROR(sum(FILTER($D:$N,$C:$C = $C1273,$A:$A &lt; $A1273,$B:$B = 12)),0) + sum($D1273:$N1273)"),341726.85)</f>
        <v>341726.85</v>
      </c>
      <c r="Q1273" s="92">
        <f t="shared" si="1"/>
        <v>1.15</v>
      </c>
      <c r="R1273" s="91">
        <f t="array" ref="R1273">IFERROR(INDEX('Fund YTD Target Values'!$1:$1000, MATCH($C1273,'Fund YTD Target Values'!$A:$A,0), MATCH($A1273,'Fund YTD Target Values'!$1:$1,0)),0)</f>
        <v>392089.6861</v>
      </c>
      <c r="S1273" s="91">
        <f>IFERROR(__xludf.DUMMYFUNCTION("IFERROR(sum(FILTER('Fund Investment Data'!$V:$V, 'Fund Investment Data'!$C:$C = $C1273, 'Fund Investment Data'!$A:$A &lt; $A1273)),0) + IFERROR(sum(FILTER('Fund Investment Data'!$V:$V, 'Fund Investment Data'!$C:$C = $C1273, 'Fund Investment Data'!$A:$A = $A1"&amp;"273, 'Fund Investment Data'!$B:$B &lt;= $B1273)),0)"),317377.0)</f>
        <v>317377</v>
      </c>
      <c r="T1273" s="32"/>
      <c r="U1273" s="32"/>
      <c r="V1273" s="32">
        <f>IFERROR(__xludf.DUMMYFUNCTION("$D1273 - IFERROR(FILTER($D:$D,$C:$C = $C1273, $A:$A = $A1273, $B:$B = $B1273 - 1),0)"),7128.0)</f>
        <v>7128</v>
      </c>
      <c r="W1273" s="93">
        <f>IFERROR(__xludf.DUMMYFUNCTION("$E1273 - IFERROR(FILTER($E:$E,$C:$C = $C1273, $A:$A = $A1273, $B:$B = $B1273 - 1),0)"),0.0)</f>
        <v>0</v>
      </c>
      <c r="X1273" s="91">
        <f>IFERROR(__xludf.DUMMYFUNCTION("iFERROR((FILTER('Fund Investment Data'!$Z:$Z, 'Fund Investment Data'!$C:$C = $C1273, 'Fund Investment Data'!$A:$A = $A1273 - 1, 'Fund Investment Data'!$B:$B = 12) + FILTER('Fund Investment Data'!$AB:$AB, 'Fund Investment Data'!$C:$C = $C1273, 'Fund Invest"&amp;"ment Data'!$A:$A = $A1273 - 1, 'Fund Investment Data'!$B:$B = 12)) * (1 + AVERAGE(FILTER('Inflation Data'!$C:$C,'Inflation Data'!$A:$A = ($A1273 - 2)))) * Parameters!$A$4,0)"),11342.657736026731)</f>
        <v>11342.65774</v>
      </c>
      <c r="Y1273" s="91">
        <f>IFERROR(__xludf.DUMMYFUNCTION("IFERROR((IFERROR(FILTER('Fund Investment Data'!$P:$P,'Fund Investment Data'!$C:$C = $C1273,'Fund Investment Data'!$A:$A = ($A1273 - 2), 'Fund Investment Data'!$B:$B = 12),0) - SUM(FILTER('Fund Investment Data'!$V:$V, 'Fund Investment Data'!$C:$C = $C1273,"&amp;" 'Fund Investment Data'!$A:$A = ($A1273 - 2), 'Fund Investment Data'!$B:$B &gt; 3)))  * Parameters!$B$4 * (1 - Parameters!$A$4),0)"),4477.69296)</f>
        <v>4477.69296</v>
      </c>
      <c r="Z1273" s="91">
        <f t="shared" si="24"/>
        <v>15820.3507</v>
      </c>
      <c r="AA1273" s="91">
        <f>IFERROR(__xludf.DUMMYFUNCTION("((IFERROR((SUM(FILTER('Fund Investment Data'!$V:$V, 'Fund Investment Data'!$C:$C = $C1273, 'Fund Investment Data'!$A:$A = $A1273 - 1, 'Fund Investment Data'!$B:$B &gt;= 4, 'Fund Investment Data'!$B:$B &lt;= ($B1273 + 5))) / 12) * ($B1273 - 3) * Parameters!$B$4,"&amp;" 0) + IF($B1273 &gt;= 9, IFERROR(SUM(FILTER('Fund Investment Data'!$V:$V, 'Fund Investment Data'!$C:$C = $C1273, 'Fund Investment Data'!$A:$A = $A1273, 'Fund Investment Data'!$B:$B &lt;= 3)) * Parameters!$B$4, 0),0)))"),0.0)</f>
        <v>0</v>
      </c>
      <c r="AB1273" s="32">
        <f>IFERROR(__xludf.DUMMYFUNCTION("IFERROR(((IFERROR(SUM(FILTER('Fund Investment Data'!$V:$V, 'Fund Investment Data'!$C:$C = $C1273, 'Fund Investment Data'!$A:$A = $A1273 - 2, 'Fund Investment Data'!$B:$B &gt;= 4)) * Parameters!$B$4,0) + IFERROR(SUM(FILTER('Fund Investment Data'!$V:$V, 'Fund "&amp;"Investment Data'!$C:$C = $C1273, 'Fund Investment Data'!$A:$A = $A1273 - 1, 'Fund Investment Data'!$B:$B &lt;= 3)) * Parameters!$B$4,0))),0)"),829.755)</f>
        <v>829.755</v>
      </c>
      <c r="AC1273" s="32">
        <f>IFERROR(__xludf.DUMMYFUNCTION("IFERROR(FILTER($AF:$AF,$C:$C = $C1273,$A:$A = $A1273 - 1,$B:$B = 12),0)"),0.0)</f>
        <v>0</v>
      </c>
      <c r="AD1273" s="32">
        <f t="shared" si="23"/>
        <v>16650.1057</v>
      </c>
      <c r="AE1273" s="32">
        <f t="shared" si="2"/>
        <v>16650.1057</v>
      </c>
      <c r="AF1273" s="32"/>
    </row>
    <row r="1274">
      <c r="A1274" s="86">
        <v>2019.0</v>
      </c>
      <c r="B1274" s="87">
        <v>2.0</v>
      </c>
      <c r="C1274" s="88" t="s">
        <v>27</v>
      </c>
      <c r="D1274" s="32"/>
      <c r="E1274" s="32"/>
      <c r="F1274" s="32"/>
      <c r="G1274" s="93">
        <v>-263.05</v>
      </c>
      <c r="H1274" s="93">
        <v>1941.89</v>
      </c>
      <c r="I1274" s="32"/>
      <c r="J1274" s="93">
        <v>20910.99</v>
      </c>
      <c r="K1274" s="32"/>
      <c r="L1274" s="32"/>
      <c r="M1274" s="32"/>
      <c r="N1274" s="32"/>
      <c r="O1274" s="93">
        <v>293473.0</v>
      </c>
      <c r="P1274" s="91">
        <f>IFERROR(__xludf.DUMMYFUNCTION("IFERROR(sum(FILTER($D:$N,$C:$C = $C1274,$A:$A &lt; $A1274,$B:$B = 12)),0) + sum($D1274:$N1274)"),293473.6400000001)</f>
        <v>293473.64</v>
      </c>
      <c r="Q1274" s="92">
        <f t="shared" si="1"/>
        <v>-0.6400000001</v>
      </c>
      <c r="R1274" s="91">
        <f t="array" ref="R1274">IFERROR(INDEX('Fund YTD Target Values'!$1:$1000, MATCH($C1274,'Fund YTD Target Values'!$A:$A,0), MATCH($A1274,'Fund YTD Target Values'!$1:$1,0)),0)</f>
        <v>400423.4941</v>
      </c>
      <c r="S1274" s="91">
        <f>IFERROR(__xludf.DUMMYFUNCTION("IFERROR(sum(FILTER('Fund Investment Data'!$V:$V, 'Fund Investment Data'!$C:$C = $C1274, 'Fund Investment Data'!$A:$A &lt; $A1274)),0) + IFERROR(sum(FILTER('Fund Investment Data'!$V:$V, 'Fund Investment Data'!$C:$C = $C1274, 'Fund Investment Data'!$A:$A = $A1"&amp;"274, 'Fund Investment Data'!$B:$B &lt;= $B1274)),0)"),276213.69999999995)</f>
        <v>276213.7</v>
      </c>
      <c r="T1274" s="32"/>
      <c r="U1274" s="32"/>
      <c r="V1274" s="32">
        <f>IFERROR(__xludf.DUMMYFUNCTION("$D1274 - IFERROR(FILTER($D:$D,$C:$C = $C1274, $A:$A = $A1274, $B:$B = $B1274 - 1),0)"),0.0)</f>
        <v>0</v>
      </c>
      <c r="W1274" s="93">
        <f>IFERROR(__xludf.DUMMYFUNCTION("$E1274 - IFERROR(FILTER($E:$E,$C:$C = $C1274, $A:$A = $A1274, $B:$B = $B1274 - 1),0)"),0.0)</f>
        <v>0</v>
      </c>
      <c r="X1274" s="91">
        <f>IFERROR(__xludf.DUMMYFUNCTION("iFERROR((FILTER('Fund Investment Data'!$Z:$Z, 'Fund Investment Data'!$C:$C = $C1274, 'Fund Investment Data'!$A:$A = $A1274 - 1, 'Fund Investment Data'!$B:$B = 12) + FILTER('Fund Investment Data'!$AB:$AB, 'Fund Investment Data'!$C:$C = $C1274, 'Fund Invest"&amp;"ment Data'!$A:$A = $A1274 - 1, 'Fund Investment Data'!$B:$B = 12)) * (1 + AVERAGE(FILTER('Inflation Data'!$C:$C,'Inflation Data'!$A:$A = ($A1274 - 2)))) * Parameters!$A$4,0)"),9924.42530607715)</f>
        <v>9924.425306</v>
      </c>
      <c r="Y1274" s="91">
        <f>IFERROR(__xludf.DUMMYFUNCTION("IFERROR((IFERROR(FILTER('Fund Investment Data'!$P:$P,'Fund Investment Data'!$C:$C = $C1274,'Fund Investment Data'!$A:$A = ($A1274 - 2), 'Fund Investment Data'!$B:$B = 12),0) - SUM(FILTER('Fund Investment Data'!$V:$V, 'Fund Investment Data'!$C:$C = $C1274,"&amp;" 'Fund Investment Data'!$A:$A = ($A1274 - 2), 'Fund Investment Data'!$B:$B &gt; 3)))  * Parameters!$B$4 * (1 - Parameters!$A$4),0)"),4164.5529000000015)</f>
        <v>4164.5529</v>
      </c>
      <c r="Z1274" s="91">
        <f t="shared" si="24"/>
        <v>14088.97821</v>
      </c>
      <c r="AA1274" s="91">
        <f>IFERROR(__xludf.DUMMYFUNCTION("((IFERROR((SUM(FILTER('Fund Investment Data'!$V:$V, 'Fund Investment Data'!$C:$C = $C1274, 'Fund Investment Data'!$A:$A = $A1274 - 1, 'Fund Investment Data'!$B:$B &gt;= 4, 'Fund Investment Data'!$B:$B &lt;= ($B1274 + 5))) / 12) * ($B1274 - 3) * Parameters!$B$4,"&amp;" 0) + IF($B1274 &gt;= 9, IFERROR(SUM(FILTER('Fund Investment Data'!$V:$V, 'Fund Investment Data'!$C:$C = $C1274, 'Fund Investment Data'!$A:$A = $A1274, 'Fund Investment Data'!$B:$B &lt;= 3)) * Parameters!$B$4, 0),0)))"),0.0)</f>
        <v>0</v>
      </c>
      <c r="AB1274" s="32">
        <f>IFERROR(__xludf.DUMMYFUNCTION("IFERROR(((IFERROR(SUM(FILTER('Fund Investment Data'!$V:$V, 'Fund Investment Data'!$C:$C = $C1274, 'Fund Investment Data'!$A:$A = $A1274 - 2, 'Fund Investment Data'!$B:$B &gt;= 4)) * Parameters!$B$4,0) + IFERROR(SUM(FILTER('Fund Investment Data'!$V:$V, 'Fund "&amp;"Investment Data'!$C:$C = $C1274, 'Fund Investment Data'!$A:$A = $A1274 - 1, 'Fund Investment Data'!$B:$B &lt;= 3)) * Parameters!$B$4,0))),0)"),0.0)</f>
        <v>0</v>
      </c>
      <c r="AC1274" s="32">
        <f>IFERROR(__xludf.DUMMYFUNCTION("IFERROR(FILTER($AF:$AF,$C:$C = $C1274,$A:$A = $A1274 - 1,$B:$B = 12),0)"),0.0)</f>
        <v>0</v>
      </c>
      <c r="AD1274" s="32">
        <f t="shared" si="23"/>
        <v>14088.97821</v>
      </c>
      <c r="AE1274" s="32">
        <f t="shared" si="2"/>
        <v>14088.97821</v>
      </c>
      <c r="AF1274" s="32"/>
    </row>
    <row r="1275">
      <c r="A1275" s="86">
        <v>2019.0</v>
      </c>
      <c r="B1275" s="87">
        <v>2.0</v>
      </c>
      <c r="C1275" s="88" t="s">
        <v>28</v>
      </c>
      <c r="D1275" s="32"/>
      <c r="E1275" s="32"/>
      <c r="F1275" s="32"/>
      <c r="G1275" s="93">
        <v>-2818.42</v>
      </c>
      <c r="H1275" s="93">
        <v>20805.34</v>
      </c>
      <c r="I1275" s="32"/>
      <c r="J1275" s="93">
        <v>224039.94</v>
      </c>
      <c r="K1275" s="32"/>
      <c r="L1275" s="32"/>
      <c r="M1275" s="32"/>
      <c r="N1275" s="32"/>
      <c r="O1275" s="93">
        <v>3144267.0</v>
      </c>
      <c r="P1275" s="91">
        <f>IFERROR(__xludf.DUMMYFUNCTION("IFERROR(sum(FILTER($D:$N,$C:$C = $C1275,$A:$A &lt; $A1275,$B:$B = 12)),0) + sum($D1275:$N1275)"),3144266.3)</f>
        <v>3144266.3</v>
      </c>
      <c r="Q1275" s="92">
        <f t="shared" si="1"/>
        <v>0.7000000002</v>
      </c>
      <c r="R1275" s="91">
        <f t="array" ref="R1275">IFERROR(INDEX('Fund YTD Target Values'!$1:$1000, MATCH($C1275,'Fund YTD Target Values'!$A:$A,0), MATCH($A1275,'Fund YTD Target Values'!$1:$1,0)),0)</f>
        <v>3910070.897</v>
      </c>
      <c r="S1275" s="91">
        <f>IFERROR(__xludf.DUMMYFUNCTION("IFERROR(sum(FILTER('Fund Investment Data'!$V:$V, 'Fund Investment Data'!$C:$C = $C1275, 'Fund Investment Data'!$A:$A &lt; $A1275)),0) + IFERROR(sum(FILTER('Fund Investment Data'!$V:$V, 'Fund Investment Data'!$C:$C = $C1275, 'Fund Investment Data'!$A:$A = $A1"&amp;"275, 'Fund Investment Data'!$B:$B &lt;= $B1275)),0)"),2960091.25)</f>
        <v>2960091.25</v>
      </c>
      <c r="T1275" s="93">
        <v>3009816.0</v>
      </c>
      <c r="U1275" s="32">
        <f t="shared" ref="U1275:U1276" si="31">S1275-T1275</f>
        <v>-49724.75</v>
      </c>
      <c r="V1275" s="32">
        <f>IFERROR(__xludf.DUMMYFUNCTION("$D1275 - IFERROR(FILTER($D:$D,$C:$C = $C1275, $A:$A = $A1275, $B:$B = $B1275 - 1),0)"),0.0)</f>
        <v>0</v>
      </c>
      <c r="W1275" s="93">
        <f>IFERROR(__xludf.DUMMYFUNCTION("$E1275 - IFERROR(FILTER($E:$E,$C:$C = $C1275, $A:$A = $A1275, $B:$B = $B1275 - 1),0)"),0.0)</f>
        <v>0</v>
      </c>
      <c r="X1275" s="91">
        <f>IFERROR(__xludf.DUMMYFUNCTION("iFERROR((FILTER('Fund Investment Data'!$Z:$Z, 'Fund Investment Data'!$C:$C = $C1275, 'Fund Investment Data'!$A:$A = $A1275 - 1, 'Fund Investment Data'!$B:$B = 12) + FILTER('Fund Investment Data'!$AB:$AB, 'Fund Investment Data'!$C:$C = $C1275, 'Fund Invest"&amp;"ment Data'!$A:$A = $A1275 - 1, 'Fund Investment Data'!$B:$B = 12)) * (1 + AVERAGE(FILTER('Inflation Data'!$C:$C,'Inflation Data'!$A:$A = ($A1275 - 2)))) * Parameters!$A$4,0)"),106462.6298445185)</f>
        <v>106462.6298</v>
      </c>
      <c r="Y1275" s="91">
        <f>IFERROR(__xludf.DUMMYFUNCTION("IFERROR((IFERROR(FILTER('Fund Investment Data'!$P:$P,'Fund Investment Data'!$C:$C = $C1275,'Fund Investment Data'!$A:$A = ($A1275 - 2), 'Fund Investment Data'!$B:$B = 12),0) - SUM(FILTER('Fund Investment Data'!$V:$V, 'Fund Investment Data'!$C:$C = $C1275,"&amp;" 'Fund Investment Data'!$A:$A = ($A1275 - 2), 'Fund Investment Data'!$B:$B &gt; 3)))  * Parameters!$B$4 * (1 - Parameters!$A$4),0)"),44674.55194500001)</f>
        <v>44674.55195</v>
      </c>
      <c r="Z1275" s="91">
        <f t="shared" si="24"/>
        <v>151137.1818</v>
      </c>
      <c r="AA1275" s="91">
        <f>IFERROR(__xludf.DUMMYFUNCTION("((IFERROR((SUM(FILTER('Fund Investment Data'!$V:$V, 'Fund Investment Data'!$C:$C = $C1275, 'Fund Investment Data'!$A:$A = $A1275 - 1, 'Fund Investment Data'!$B:$B &gt;= 4, 'Fund Investment Data'!$B:$B &lt;= ($B1275 + 5))) / 12) * ($B1275 - 3) * Parameters!$B$4,"&amp;" 0) + IF($B1275 &gt;= 9, IFERROR(SUM(FILTER('Fund Investment Data'!$V:$V, 'Fund Investment Data'!$C:$C = $C1275, 'Fund Investment Data'!$A:$A = $A1275, 'Fund Investment Data'!$B:$B &lt;= 3)) * Parameters!$B$4, 0),0)))"),0.0)</f>
        <v>0</v>
      </c>
      <c r="AB1275" s="32">
        <f>IFERROR(__xludf.DUMMYFUNCTION("IFERROR(((IFERROR(SUM(FILTER('Fund Investment Data'!$V:$V, 'Fund Investment Data'!$C:$C = $C1275, 'Fund Investment Data'!$A:$A = $A1275 - 2, 'Fund Investment Data'!$B:$B &gt;= 4)) * Parameters!$B$4,0) + IFERROR(SUM(FILTER('Fund Investment Data'!$V:$V, 'Fund "&amp;"Investment Data'!$C:$C = $C1275, 'Fund Investment Data'!$A:$A = $A1275 - 1, 'Fund Investment Data'!$B:$B &lt;= 3)) * Parameters!$B$4,0))),0)"),0.0)</f>
        <v>0</v>
      </c>
      <c r="AC1275" s="32">
        <f>IFERROR(__xludf.DUMMYFUNCTION("IFERROR(FILTER($AF:$AF,$C:$C = $C1275,$A:$A = $A1275 - 1,$B:$B = 12),0)"),0.0)</f>
        <v>0</v>
      </c>
      <c r="AD1275" s="32">
        <f t="shared" si="23"/>
        <v>151137.1818</v>
      </c>
      <c r="AE1275" s="32">
        <f t="shared" si="2"/>
        <v>151137.1818</v>
      </c>
      <c r="AF1275" s="32"/>
    </row>
    <row r="1276">
      <c r="A1276" s="86">
        <v>2019.0</v>
      </c>
      <c r="B1276" s="87">
        <v>2.0</v>
      </c>
      <c r="C1276" s="88" t="s">
        <v>46</v>
      </c>
      <c r="D1276" s="32"/>
      <c r="E1276" s="32"/>
      <c r="F1276" s="32"/>
      <c r="G1276" s="93">
        <v>-325.14</v>
      </c>
      <c r="H1276" s="93">
        <v>2402.95</v>
      </c>
      <c r="I1276" s="32"/>
      <c r="J1276" s="93">
        <v>25911.13</v>
      </c>
      <c r="K1276" s="32"/>
      <c r="L1276" s="32"/>
      <c r="M1276" s="32"/>
      <c r="N1276" s="32"/>
      <c r="O1276" s="93">
        <v>362780.0</v>
      </c>
      <c r="P1276" s="91">
        <f>IFERROR(__xludf.DUMMYFUNCTION("IFERROR(sum(FILTER($D:$N,$C:$C = $C1276,$A:$A &lt; $A1276,$B:$B = 12)),0) + sum($D1276:$N1276)"),362780.32)</f>
        <v>362780.32</v>
      </c>
      <c r="Q1276" s="92">
        <f t="shared" si="1"/>
        <v>-0.32</v>
      </c>
      <c r="R1276" s="91">
        <f t="array" ref="R1276">IFERROR(INDEX('Fund YTD Target Values'!$1:$1000, MATCH($C1276,'Fund YTD Target Values'!$A:$A,0), MATCH($A1276,'Fund YTD Target Values'!$1:$1,0)),0)</f>
        <v>464818.8536</v>
      </c>
      <c r="S1276" s="91">
        <f>IFERROR(__xludf.DUMMYFUNCTION("IFERROR(sum(FILTER('Fund Investment Data'!$V:$V, 'Fund Investment Data'!$C:$C = $C1276, 'Fund Investment Data'!$A:$A &lt; $A1276)),0) + IFERROR(sum(FILTER('Fund Investment Data'!$V:$V, 'Fund Investment Data'!$C:$C = $C1276, 'Fund Investment Data'!$A:$A = $A1"&amp;"276, 'Fund Investment Data'!$B:$B &lt;= $B1276)),0)"),366400.0)</f>
        <v>366400</v>
      </c>
      <c r="T1276" s="93">
        <v>366400.0</v>
      </c>
      <c r="U1276" s="32">
        <f t="shared" si="31"/>
        <v>0</v>
      </c>
      <c r="V1276" s="32">
        <f>IFERROR(__xludf.DUMMYFUNCTION("$D1276 - IFERROR(FILTER($D:$D,$C:$C = $C1276, $A:$A = $A1276, $B:$B = $B1276 - 1),0)"),0.0)</f>
        <v>0</v>
      </c>
      <c r="W1276" s="93">
        <f>IFERROR(__xludf.DUMMYFUNCTION("$E1276 - IFERROR(FILTER($E:$E,$C:$C = $C1276, $A:$A = $A1276, $B:$B = $B1276 - 1),0)"),0.0)</f>
        <v>0</v>
      </c>
      <c r="X1276" s="91">
        <f>IFERROR(__xludf.DUMMYFUNCTION("iFERROR((FILTER('Fund Investment Data'!$Z:$Z, 'Fund Investment Data'!$C:$C = $C1276, 'Fund Investment Data'!$A:$A = $A1276 - 1, 'Fund Investment Data'!$B:$B = 12) + FILTER('Fund Investment Data'!$AB:$AB, 'Fund Investment Data'!$C:$C = $C1276, 'Fund Invest"&amp;"ment Data'!$A:$A = $A1276 - 1, 'Fund Investment Data'!$B:$B = 12)) * (1 + AVERAGE(FILTER('Inflation Data'!$C:$C,'Inflation Data'!$A:$A = ($A1276 - 2)))) * Parameters!$A$4,0)"),12659.715432364716)</f>
        <v>12659.71543</v>
      </c>
      <c r="Y1276" s="91">
        <f>IFERROR(__xludf.DUMMYFUNCTION("IFERROR((IFERROR(FILTER('Fund Investment Data'!$P:$P,'Fund Investment Data'!$C:$C = $C1276,'Fund Investment Data'!$A:$A = ($A1276 - 2), 'Fund Investment Data'!$B:$B = 12),0) - SUM(FILTER('Fund Investment Data'!$V:$V, 'Fund Investment Data'!$C:$C = $C1276,"&amp;" 'Fund Investment Data'!$A:$A = ($A1276 - 2), 'Fund Investment Data'!$B:$B &gt; 3)))  * Parameters!$B$4 * (1 - Parameters!$A$4),0)"),5312.3534100000015)</f>
        <v>5312.35341</v>
      </c>
      <c r="Z1276" s="91">
        <f t="shared" si="24"/>
        <v>17972.06884</v>
      </c>
      <c r="AA1276" s="91">
        <f>IFERROR(__xludf.DUMMYFUNCTION("((IFERROR((SUM(FILTER('Fund Investment Data'!$V:$V, 'Fund Investment Data'!$C:$C = $C1276, 'Fund Investment Data'!$A:$A = $A1276 - 1, 'Fund Investment Data'!$B:$B &gt;= 4, 'Fund Investment Data'!$B:$B &lt;= ($B1276 + 5))) / 12) * ($B1276 - 3) * Parameters!$B$4,"&amp;" 0) + IF($B1276 &gt;= 9, IFERROR(SUM(FILTER('Fund Investment Data'!$V:$V, 'Fund Investment Data'!$C:$C = $C1276, 'Fund Investment Data'!$A:$A = $A1276, 'Fund Investment Data'!$B:$B &lt;= 3)) * Parameters!$B$4, 0),0)))"),0.0)</f>
        <v>0</v>
      </c>
      <c r="AB1276" s="32">
        <f>IFERROR(__xludf.DUMMYFUNCTION("IFERROR(((IFERROR(SUM(FILTER('Fund Investment Data'!$V:$V, 'Fund Investment Data'!$C:$C = $C1276, 'Fund Investment Data'!$A:$A = $A1276 - 2, 'Fund Investment Data'!$B:$B &gt;= 4)) * Parameters!$B$4,0) + IFERROR(SUM(FILTER('Fund Investment Data'!$V:$V, 'Fund "&amp;"Investment Data'!$C:$C = $C1276, 'Fund Investment Data'!$A:$A = $A1276 - 1, 'Fund Investment Data'!$B:$B &lt;= 3)) * Parameters!$B$4,0))),0)"),0.0)</f>
        <v>0</v>
      </c>
      <c r="AC1276" s="32">
        <f>IFERROR(__xludf.DUMMYFUNCTION("IFERROR(FILTER($AF:$AF,$C:$C = $C1276,$A:$A = $A1276 - 1,$B:$B = 12),0)"),0.0)</f>
        <v>0</v>
      </c>
      <c r="AD1276" s="32">
        <f t="shared" si="23"/>
        <v>17972.06884</v>
      </c>
      <c r="AE1276" s="32">
        <f t="shared" si="2"/>
        <v>17972.06884</v>
      </c>
      <c r="AF1276" s="32"/>
    </row>
    <row r="1277">
      <c r="A1277" s="86">
        <v>2019.0</v>
      </c>
      <c r="B1277" s="87">
        <v>2.0</v>
      </c>
      <c r="C1277" s="88" t="s">
        <v>36</v>
      </c>
      <c r="D1277" s="32"/>
      <c r="E1277" s="32"/>
      <c r="F1277" s="32"/>
      <c r="G1277" s="93">
        <v>-382.56</v>
      </c>
      <c r="H1277" s="93">
        <v>2823.99</v>
      </c>
      <c r="I1277" s="32"/>
      <c r="J1277" s="93">
        <v>30409.72</v>
      </c>
      <c r="K1277" s="32"/>
      <c r="L1277" s="32"/>
      <c r="M1277" s="32"/>
      <c r="N1277" s="32"/>
      <c r="O1277" s="93">
        <v>426782.0</v>
      </c>
      <c r="P1277" s="91">
        <f>IFERROR(__xludf.DUMMYFUNCTION("IFERROR(sum(FILTER($D:$N,$C:$C = $C1277,$A:$A &lt; $A1277,$B:$B = 12)),0) + sum($D1277:$N1277)"),426781.89)</f>
        <v>426781.89</v>
      </c>
      <c r="Q1277" s="92">
        <f t="shared" si="1"/>
        <v>0.11</v>
      </c>
      <c r="R1277" s="91">
        <f t="array" ref="R1277">IFERROR(INDEX('Fund YTD Target Values'!$1:$1000, MATCH($C1277,'Fund YTD Target Values'!$A:$A,0), MATCH($A1277,'Fund YTD Target Values'!$1:$1,0)),0)</f>
        <v>647000.627</v>
      </c>
      <c r="S1277" s="91">
        <f>IFERROR(__xludf.DUMMYFUNCTION("IFERROR(sum(FILTER('Fund Investment Data'!$V:$V, 'Fund Investment Data'!$C:$C = $C1277, 'Fund Investment Data'!$A:$A &lt; $A1277)),0) + IFERROR(sum(FILTER('Fund Investment Data'!$V:$V, 'Fund Investment Data'!$C:$C = $C1277, 'Fund Investment Data'!$A:$A = $A1"&amp;"277, 'Fund Investment Data'!$B:$B &lt;= $B1277)),0)"),429067.24)</f>
        <v>429067.24</v>
      </c>
      <c r="T1277" s="32"/>
      <c r="U1277" s="32"/>
      <c r="V1277" s="32">
        <f>IFERROR(__xludf.DUMMYFUNCTION("$D1277 - IFERROR(FILTER($D:$D,$C:$C = $C1277, $A:$A = $A1277, $B:$B = $B1277 - 1),0)"),0.0)</f>
        <v>0</v>
      </c>
      <c r="W1277" s="93">
        <f>IFERROR(__xludf.DUMMYFUNCTION("$E1277 - IFERROR(FILTER($E:$E,$C:$C = $C1277, $A:$A = $A1277, $B:$B = $B1277 - 1),0)"),0.0)</f>
        <v>0</v>
      </c>
      <c r="X1277" s="91">
        <f>IFERROR(__xludf.DUMMYFUNCTION("iFERROR((FILTER('Fund Investment Data'!$Z:$Z, 'Fund Investment Data'!$C:$C = $C1277, 'Fund Investment Data'!$A:$A = $A1277 - 1, 'Fund Investment Data'!$B:$B = 12) + FILTER('Fund Investment Data'!$AB:$AB, 'Fund Investment Data'!$C:$C = $C1277, 'Fund Invest"&amp;"ment Data'!$A:$A = $A1277 - 1, 'Fund Investment Data'!$B:$B = 12)) * (1 + AVERAGE(FILTER('Inflation Data'!$C:$C,'Inflation Data'!$A:$A = ($A1277 - 2)))) * Parameters!$A$4,0)"),14501.42849435059)</f>
        <v>14501.42849</v>
      </c>
      <c r="Y1277" s="91">
        <f>IFERROR(__xludf.DUMMYFUNCTION("IFERROR((IFERROR(FILTER('Fund Investment Data'!$P:$P,'Fund Investment Data'!$C:$C = $C1277,'Fund Investment Data'!$A:$A = ($A1277 - 2), 'Fund Investment Data'!$B:$B = 12),0) - SUM(FILTER('Fund Investment Data'!$V:$V, 'Fund Investment Data'!$C:$C = $C1277,"&amp;" 'Fund Investment Data'!$A:$A = ($A1277 - 2), 'Fund Investment Data'!$B:$B &gt; 3)))  * Parameters!$B$4 * (1 - Parameters!$A$4),0)"),6085.1852100000015)</f>
        <v>6085.18521</v>
      </c>
      <c r="Z1277" s="91">
        <f t="shared" si="24"/>
        <v>20586.6137</v>
      </c>
      <c r="AA1277" s="91">
        <f>IFERROR(__xludf.DUMMYFUNCTION("((IFERROR((SUM(FILTER('Fund Investment Data'!$V:$V, 'Fund Investment Data'!$C:$C = $C1277, 'Fund Investment Data'!$A:$A = $A1277 - 1, 'Fund Investment Data'!$B:$B &gt;= 4, 'Fund Investment Data'!$B:$B &lt;= ($B1277 + 5))) / 12) * ($B1277 - 3) * Parameters!$B$4,"&amp;" 0) + IF($B1277 &gt;= 9, IFERROR(SUM(FILTER('Fund Investment Data'!$V:$V, 'Fund Investment Data'!$C:$C = $C1277, 'Fund Investment Data'!$A:$A = $A1277, 'Fund Investment Data'!$B:$B &lt;= 3)) * Parameters!$B$4, 0),0)))"),0.0)</f>
        <v>0</v>
      </c>
      <c r="AB1277" s="32">
        <f>IFERROR(__xludf.DUMMYFUNCTION("IFERROR(((IFERROR(SUM(FILTER('Fund Investment Data'!$V:$V, 'Fund Investment Data'!$C:$C = $C1277, 'Fund Investment Data'!$A:$A = $A1277 - 2, 'Fund Investment Data'!$B:$B &gt;= 4)) * Parameters!$B$4,0) + IFERROR(SUM(FILTER('Fund Investment Data'!$V:$V, 'Fund "&amp;"Investment Data'!$C:$C = $C1277, 'Fund Investment Data'!$A:$A = $A1277 - 1, 'Fund Investment Data'!$B:$B &lt;= 3)) * Parameters!$B$4,0))),0)"),0.0)</f>
        <v>0</v>
      </c>
      <c r="AC1277" s="32">
        <f>IFERROR(__xludf.DUMMYFUNCTION("IFERROR(FILTER($AF:$AF,$C:$C = $C1277,$A:$A = $A1277 - 1,$B:$B = 12),0)"),0.0)</f>
        <v>0</v>
      </c>
      <c r="AD1277" s="32">
        <f t="shared" si="23"/>
        <v>20586.6137</v>
      </c>
      <c r="AE1277" s="32">
        <f t="shared" si="2"/>
        <v>20586.6137</v>
      </c>
      <c r="AF1277" s="32"/>
    </row>
    <row r="1278">
      <c r="A1278" s="86">
        <v>2019.0</v>
      </c>
      <c r="B1278" s="87">
        <v>2.0</v>
      </c>
      <c r="C1278" s="88" t="s">
        <v>37</v>
      </c>
      <c r="D1278" s="32"/>
      <c r="E1278" s="32"/>
      <c r="F1278" s="32"/>
      <c r="G1278" s="93">
        <v>-702.13</v>
      </c>
      <c r="H1278" s="93">
        <v>5183.09</v>
      </c>
      <c r="I1278" s="32"/>
      <c r="J1278" s="93">
        <v>55813.45</v>
      </c>
      <c r="K1278" s="32"/>
      <c r="L1278" s="32"/>
      <c r="M1278" s="32"/>
      <c r="N1278" s="32"/>
      <c r="O1278" s="93">
        <v>783309.0</v>
      </c>
      <c r="P1278" s="91">
        <f>IFERROR(__xludf.DUMMYFUNCTION("IFERROR(sum(FILTER($D:$N,$C:$C = $C1278,$A:$A &lt; $A1278,$B:$B = 12)),0) + sum($D1278:$N1278)"),783308.5199999999)</f>
        <v>783308.52</v>
      </c>
      <c r="Q1278" s="92">
        <f t="shared" si="1"/>
        <v>0.4800000001</v>
      </c>
      <c r="R1278" s="91">
        <f t="array" ref="R1278">IFERROR(INDEX('Fund YTD Target Values'!$1:$1000, MATCH($C1278,'Fund YTD Target Values'!$A:$A,0), MATCH($A1278,'Fund YTD Target Values'!$1:$1,0)),0)</f>
        <v>860942.6464</v>
      </c>
      <c r="S1278" s="91">
        <f>IFERROR(__xludf.DUMMYFUNCTION("IFERROR(sum(FILTER('Fund Investment Data'!$V:$V, 'Fund Investment Data'!$C:$C = $C1278, 'Fund Investment Data'!$A:$A &lt; $A1278)),0) + IFERROR(sum(FILTER('Fund Investment Data'!$V:$V, 'Fund Investment Data'!$C:$C = $C1278, 'Fund Investment Data'!$A:$A = $A1"&amp;"278, 'Fund Investment Data'!$B:$B &lt;= $B1278)),0)"),758137.86)</f>
        <v>758137.86</v>
      </c>
      <c r="T1278" s="32"/>
      <c r="U1278" s="32"/>
      <c r="V1278" s="32">
        <f>IFERROR(__xludf.DUMMYFUNCTION("$D1278 - IFERROR(FILTER($D:$D,$C:$C = $C1278, $A:$A = $A1278, $B:$B = $B1278 - 1),0)"),0.0)</f>
        <v>0</v>
      </c>
      <c r="W1278" s="93">
        <f>IFERROR(__xludf.DUMMYFUNCTION("$E1278 - IFERROR(FILTER($E:$E,$C:$C = $C1278, $A:$A = $A1278, $B:$B = $B1278 - 1),0)"),0.0)</f>
        <v>0</v>
      </c>
      <c r="X1278" s="91">
        <f>IFERROR(__xludf.DUMMYFUNCTION("iFERROR((FILTER('Fund Investment Data'!$Z:$Z, 'Fund Investment Data'!$C:$C = $C1278, 'Fund Investment Data'!$A:$A = $A1278 - 1, 'Fund Investment Data'!$B:$B = 12) + FILTER('Fund Investment Data'!$AB:$AB, 'Fund Investment Data'!$C:$C = $C1278, 'Fund Invest"&amp;"ment Data'!$A:$A = $A1278 - 1, 'Fund Investment Data'!$B:$B = 12)) * (1 + AVERAGE(FILTER('Inflation Data'!$C:$C,'Inflation Data'!$A:$A = ($A1278 - 2)))) * Parameters!$A$4,0)"),26487.702642294462)</f>
        <v>26487.70264</v>
      </c>
      <c r="Y1278" s="91">
        <f>IFERROR(__xludf.DUMMYFUNCTION("IFERROR((IFERROR(FILTER('Fund Investment Data'!$P:$P,'Fund Investment Data'!$C:$C = $C1278,'Fund Investment Data'!$A:$A = ($A1278 - 2), 'Fund Investment Data'!$B:$B = 12),0) - SUM(FILTER('Fund Investment Data'!$V:$V, 'Fund Investment Data'!$C:$C = $C1278,"&amp;" 'Fund Investment Data'!$A:$A = ($A1278 - 2), 'Fund Investment Data'!$B:$B &gt; 3)))  * Parameters!$B$4 * (1 - Parameters!$A$4),0)"),11114.94474)</f>
        <v>11114.94474</v>
      </c>
      <c r="Z1278" s="91">
        <f t="shared" si="24"/>
        <v>37602.64738</v>
      </c>
      <c r="AA1278" s="91">
        <f>IFERROR(__xludf.DUMMYFUNCTION("((IFERROR((SUM(FILTER('Fund Investment Data'!$V:$V, 'Fund Investment Data'!$C:$C = $C1278, 'Fund Investment Data'!$A:$A = $A1278 - 1, 'Fund Investment Data'!$B:$B &gt;= 4, 'Fund Investment Data'!$B:$B &lt;= ($B1278 + 5))) / 12) * ($B1278 - 3) * Parameters!$B$4,"&amp;" 0) + IF($B1278 &gt;= 9, IFERROR(SUM(FILTER('Fund Investment Data'!$V:$V, 'Fund Investment Data'!$C:$C = $C1278, 'Fund Investment Data'!$A:$A = $A1278, 'Fund Investment Data'!$B:$B &lt;= 3)) * Parameters!$B$4, 0),0)))"),0.0)</f>
        <v>0</v>
      </c>
      <c r="AB1278" s="32">
        <f>IFERROR(__xludf.DUMMYFUNCTION("IFERROR(((IFERROR(SUM(FILTER('Fund Investment Data'!$V:$V, 'Fund Investment Data'!$C:$C = $C1278, 'Fund Investment Data'!$A:$A = $A1278 - 2, 'Fund Investment Data'!$B:$B &gt;= 4)) * Parameters!$B$4,0) + IFERROR(SUM(FILTER('Fund Investment Data'!$V:$V, 'Fund "&amp;"Investment Data'!$C:$C = $C1278, 'Fund Investment Data'!$A:$A = $A1278 - 1, 'Fund Investment Data'!$B:$B &lt;= 3)) * Parameters!$B$4,0))),0)"),0.0)</f>
        <v>0</v>
      </c>
      <c r="AC1278" s="32">
        <f>IFERROR(__xludf.DUMMYFUNCTION("IFERROR(FILTER($AF:$AF,$C:$C = $C1278,$A:$A = $A1278 - 1,$B:$B = 12),0)"),0.0)</f>
        <v>0</v>
      </c>
      <c r="AD1278" s="32">
        <f t="shared" si="23"/>
        <v>37602.64738</v>
      </c>
      <c r="AE1278" s="32">
        <f t="shared" si="2"/>
        <v>37602.64738</v>
      </c>
      <c r="AF1278" s="32"/>
    </row>
    <row r="1279">
      <c r="A1279" s="86">
        <v>2019.0</v>
      </c>
      <c r="B1279" s="87">
        <v>2.0</v>
      </c>
      <c r="C1279" s="88" t="s">
        <v>29</v>
      </c>
      <c r="D1279" s="32"/>
      <c r="E1279" s="32"/>
      <c r="F1279" s="32"/>
      <c r="G1279" s="93">
        <v>-52.15</v>
      </c>
      <c r="H1279" s="93">
        <v>382.48</v>
      </c>
      <c r="I1279" s="32"/>
      <c r="J1279" s="93">
        <v>4086.57</v>
      </c>
      <c r="K1279" s="32"/>
      <c r="L1279" s="32"/>
      <c r="M1279" s="32"/>
      <c r="N1279" s="32"/>
      <c r="O1279" s="93">
        <v>58144.0</v>
      </c>
      <c r="P1279" s="91">
        <f>IFERROR(__xludf.DUMMYFUNCTION("IFERROR(sum(FILTER($D:$N,$C:$C = $C1279,$A:$A &lt; $A1279,$B:$B = 12)),0) + sum($D1279:$N1279)"),58144.28999999992)</f>
        <v>58144.29</v>
      </c>
      <c r="Q1279" s="92">
        <f t="shared" si="1"/>
        <v>-0.2899999999</v>
      </c>
      <c r="R1279" s="91">
        <f t="array" ref="R1279">IFERROR(INDEX('Fund YTD Target Values'!$1:$1000, MATCH($C1279,'Fund YTD Target Values'!$A:$A,0), MATCH($A1279,'Fund YTD Target Values'!$1:$1,0)),0)</f>
        <v>78452.06886</v>
      </c>
      <c r="S1279" s="91">
        <f>IFERROR(__xludf.DUMMYFUNCTION("IFERROR(sum(FILTER('Fund Investment Data'!$V:$V, 'Fund Investment Data'!$C:$C = $C1279, 'Fund Investment Data'!$A:$A &lt; $A1279)),0) + IFERROR(sum(FILTER('Fund Investment Data'!$V:$V, 'Fund Investment Data'!$C:$C = $C1279, 'Fund Investment Data'!$A:$A = $A1"&amp;"279, 'Fund Investment Data'!$B:$B &lt;= $B1279)),0)"),50000.0)</f>
        <v>50000</v>
      </c>
      <c r="T1279" s="93">
        <v>50000.0</v>
      </c>
      <c r="U1279" s="32">
        <f>S1279-T1279</f>
        <v>0</v>
      </c>
      <c r="V1279" s="32">
        <f>IFERROR(__xludf.DUMMYFUNCTION("$D1279 - IFERROR(FILTER($D:$D,$C:$C = $C1279, $A:$A = $A1279, $B:$B = $B1279 - 1),0)"),0.0)</f>
        <v>0</v>
      </c>
      <c r="W1279" s="93">
        <f>IFERROR(__xludf.DUMMYFUNCTION("$E1279 - IFERROR(FILTER($E:$E,$C:$C = $C1279, $A:$A = $A1279, $B:$B = $B1279 - 1),0)"),0.0)</f>
        <v>0</v>
      </c>
      <c r="X1279" s="91">
        <f>IFERROR(__xludf.DUMMYFUNCTION("iFERROR((FILTER('Fund Investment Data'!$Z:$Z, 'Fund Investment Data'!$C:$C = $C1279, 'Fund Investment Data'!$A:$A = $A1279 - 1, 'Fund Investment Data'!$B:$B = 12) + FILTER('Fund Investment Data'!$AB:$AB, 'Fund Investment Data'!$C:$C = $C1279, 'Fund Invest"&amp;"ment Data'!$A:$A = $A1279 - 1, 'Fund Investment Data'!$B:$B = 12)) * (1 + AVERAGE(FILTER('Inflation Data'!$C:$C,'Inflation Data'!$A:$A = ($A1279 - 2)))) * Parameters!$A$4,0)"),1871.1341826828661)</f>
        <v>1871.134183</v>
      </c>
      <c r="Y1279" s="91">
        <f>IFERROR(__xludf.DUMMYFUNCTION("IFERROR((IFERROR(FILTER('Fund Investment Data'!$P:$P,'Fund Investment Data'!$C:$C = $C1279,'Fund Investment Data'!$A:$A = ($A1279 - 2), 'Fund Investment Data'!$B:$B = 12),0) - SUM(FILTER('Fund Investment Data'!$V:$V, 'Fund Investment Data'!$C:$C = $C1279,"&amp;" 'Fund Investment Data'!$A:$A = ($A1279 - 2), 'Fund Investment Data'!$B:$B &gt; 3)))  * Parameters!$B$4 * (1 - Parameters!$A$4),0)"),785.1776849999991)</f>
        <v>785.177685</v>
      </c>
      <c r="Z1279" s="91">
        <f t="shared" si="24"/>
        <v>2656.311868</v>
      </c>
      <c r="AA1279" s="91">
        <f>IFERROR(__xludf.DUMMYFUNCTION("((IFERROR((SUM(FILTER('Fund Investment Data'!$V:$V, 'Fund Investment Data'!$C:$C = $C1279, 'Fund Investment Data'!$A:$A = $A1279 - 1, 'Fund Investment Data'!$B:$B &gt;= 4, 'Fund Investment Data'!$B:$B &lt;= ($B1279 + 5))) / 12) * ($B1279 - 3) * Parameters!$B$4,"&amp;" 0) + IF($B1279 &gt;= 9, IFERROR(SUM(FILTER('Fund Investment Data'!$V:$V, 'Fund Investment Data'!$C:$C = $C1279, 'Fund Investment Data'!$A:$A = $A1279, 'Fund Investment Data'!$B:$B &lt;= 3)) * Parameters!$B$4, 0),0)))"),0.0)</f>
        <v>0</v>
      </c>
      <c r="AB1279" s="32">
        <f>IFERROR(__xludf.DUMMYFUNCTION("IFERROR(((IFERROR(SUM(FILTER('Fund Investment Data'!$V:$V, 'Fund Investment Data'!$C:$C = $C1279, 'Fund Investment Data'!$A:$A = $A1279 - 2, 'Fund Investment Data'!$B:$B &gt;= 4)) * Parameters!$B$4,0) + IFERROR(SUM(FILTER('Fund Investment Data'!$V:$V, 'Fund "&amp;"Investment Data'!$C:$C = $C1279, 'Fund Investment Data'!$A:$A = $A1279 - 1, 'Fund Investment Data'!$B:$B &lt;= 3)) * Parameters!$B$4,0))),0)"),0.0)</f>
        <v>0</v>
      </c>
      <c r="AC1279" s="32">
        <f>IFERROR(__xludf.DUMMYFUNCTION("IFERROR(FILTER($AF:$AF,$C:$C = $C1279,$A:$A = $A1279 - 1,$B:$B = 12),0)"),0.0)</f>
        <v>0</v>
      </c>
      <c r="AD1279" s="32">
        <f t="shared" si="23"/>
        <v>2656.311868</v>
      </c>
      <c r="AE1279" s="32">
        <f t="shared" si="2"/>
        <v>2656.311868</v>
      </c>
      <c r="AF1279" s="32"/>
    </row>
    <row r="1280">
      <c r="A1280" s="86">
        <v>2019.0</v>
      </c>
      <c r="B1280" s="87">
        <v>2.0</v>
      </c>
      <c r="C1280" s="88" t="s">
        <v>38</v>
      </c>
      <c r="D1280" s="32"/>
      <c r="E1280" s="32"/>
      <c r="F1280" s="32"/>
      <c r="G1280" s="93">
        <v>-701.03</v>
      </c>
      <c r="H1280" s="93">
        <v>5180.77</v>
      </c>
      <c r="I1280" s="32"/>
      <c r="J1280" s="93">
        <v>55864.54</v>
      </c>
      <c r="K1280" s="32"/>
      <c r="L1280" s="32"/>
      <c r="M1280" s="32"/>
      <c r="N1280" s="32"/>
      <c r="O1280" s="93">
        <v>782155.0</v>
      </c>
      <c r="P1280" s="91">
        <f>IFERROR(__xludf.DUMMYFUNCTION("IFERROR(sum(FILTER($D:$N,$C:$C = $C1280,$A:$A &lt; $A1280,$B:$B = 12)),0) + sum($D1280:$N1280)"),782154.4400000001)</f>
        <v>782154.44</v>
      </c>
      <c r="Q1280" s="92">
        <f t="shared" si="1"/>
        <v>0.5599999999</v>
      </c>
      <c r="R1280" s="91">
        <f t="array" ref="R1280">IFERROR(INDEX('Fund YTD Target Values'!$1:$1000, MATCH($C1280,'Fund YTD Target Values'!$A:$A,0), MATCH($A1280,'Fund YTD Target Values'!$1:$1,0)),0)</f>
        <v>715243.4084</v>
      </c>
      <c r="S1280" s="91">
        <f>IFERROR(__xludf.DUMMYFUNCTION("IFERROR(sum(FILTER('Fund Investment Data'!$V:$V, 'Fund Investment Data'!$C:$C = $C1280, 'Fund Investment Data'!$A:$A &lt; $A1280)),0) + IFERROR(sum(FILTER('Fund Investment Data'!$V:$V, 'Fund Investment Data'!$C:$C = $C1280, 'Fund Investment Data'!$A:$A = $A1"&amp;"280, 'Fund Investment Data'!$B:$B &lt;= $B1280)),0)"),556601.64)</f>
        <v>556601.64</v>
      </c>
      <c r="T1280" s="32"/>
      <c r="U1280" s="32"/>
      <c r="V1280" s="32">
        <f>IFERROR(__xludf.DUMMYFUNCTION("$D1280 - IFERROR(FILTER($D:$D,$C:$C = $C1280, $A:$A = $A1280, $B:$B = $B1280 - 1),0)"),0.0)</f>
        <v>0</v>
      </c>
      <c r="W1280" s="93">
        <f>IFERROR(__xludf.DUMMYFUNCTION("$E1280 - IFERROR(FILTER($E:$E,$C:$C = $C1280, $A:$A = $A1280, $B:$B = $B1280 - 1),0)"),0.0)</f>
        <v>0</v>
      </c>
      <c r="X1280" s="91">
        <f>IFERROR(__xludf.DUMMYFUNCTION("iFERROR((FILTER('Fund Investment Data'!$Z:$Z, 'Fund Investment Data'!$C:$C = $C1280, 'Fund Investment Data'!$A:$A = $A1280 - 1, 'Fund Investment Data'!$B:$B = 12) + FILTER('Fund Investment Data'!$AB:$AB, 'Fund Investment Data'!$C:$C = $C1280, 'Fund Invest"&amp;"ment Data'!$A:$A = $A1280 - 1, 'Fund Investment Data'!$B:$B = 12)) * (1 + AVERAGE(FILTER('Inflation Data'!$C:$C,'Inflation Data'!$A:$A = ($A1280 - 2)))) * Parameters!$A$4,0)"),22062.02597097784)</f>
        <v>22062.02597</v>
      </c>
      <c r="Y1280" s="91">
        <f>IFERROR(__xludf.DUMMYFUNCTION("IFERROR((IFERROR(FILTER('Fund Investment Data'!$P:$P,'Fund Investment Data'!$C:$C = $C1280,'Fund Investment Data'!$A:$A = ($A1280 - 2), 'Fund Investment Data'!$B:$B = 12),0) - SUM(FILTER('Fund Investment Data'!$V:$V, 'Fund Investment Data'!$C:$C = $C1280,"&amp;" 'Fund Investment Data'!$A:$A = ($A1280 - 2), 'Fund Investment Data'!$B:$B &gt; 3)))  * Parameters!$B$4 * (1 - Parameters!$A$4),0)"),11008.00989)</f>
        <v>11008.00989</v>
      </c>
      <c r="Z1280" s="91">
        <f t="shared" si="24"/>
        <v>33070.03586</v>
      </c>
      <c r="AA1280" s="91">
        <f>IFERROR(__xludf.DUMMYFUNCTION("((IFERROR((SUM(FILTER('Fund Investment Data'!$V:$V, 'Fund Investment Data'!$C:$C = $C1280, 'Fund Investment Data'!$A:$A = $A1280 - 1, 'Fund Investment Data'!$B:$B &gt;= 4, 'Fund Investment Data'!$B:$B &lt;= ($B1280 + 5))) / 12) * ($B1280 - 3) * Parameters!$B$4,"&amp;" 0) + IF($B1280 &gt;= 9, IFERROR(SUM(FILTER('Fund Investment Data'!$V:$V, 'Fund Investment Data'!$C:$C = $C1280, 'Fund Investment Data'!$A:$A = $A1280, 'Fund Investment Data'!$B:$B &lt;= 3)) * Parameters!$B$4, 0),0)))"),0.0)</f>
        <v>0</v>
      </c>
      <c r="AB1280" s="32">
        <f>IFERROR(__xludf.DUMMYFUNCTION("IFERROR(((IFERROR(SUM(FILTER('Fund Investment Data'!$V:$V, 'Fund Investment Data'!$C:$C = $C1280, 'Fund Investment Data'!$A:$A = $A1280 - 2, 'Fund Investment Data'!$B:$B &gt;= 4)) * Parameters!$B$4,0) + IFERROR(SUM(FILTER('Fund Investment Data'!$V:$V, 'Fund "&amp;"Investment Data'!$C:$C = $C1280, 'Fund Investment Data'!$A:$A = $A1280 - 1, 'Fund Investment Data'!$B:$B &lt;= 3)) * Parameters!$B$4,0))),0)"),0.0)</f>
        <v>0</v>
      </c>
      <c r="AC1280" s="32">
        <f>IFERROR(__xludf.DUMMYFUNCTION("IFERROR(FILTER($AF:$AF,$C:$C = $C1280,$A:$A = $A1280 - 1,$B:$B = 12),0)"),0.0)</f>
        <v>0</v>
      </c>
      <c r="AD1280" s="32">
        <f t="shared" si="23"/>
        <v>33070.03586</v>
      </c>
      <c r="AE1280" s="32">
        <f t="shared" si="2"/>
        <v>33070.03586</v>
      </c>
      <c r="AF1280" s="32"/>
    </row>
    <row r="1281">
      <c r="A1281" s="86">
        <v>2019.0</v>
      </c>
      <c r="B1281" s="87">
        <v>2.0</v>
      </c>
      <c r="C1281" s="88" t="s">
        <v>30</v>
      </c>
      <c r="D1281" s="32"/>
      <c r="E1281" s="32"/>
      <c r="F1281" s="32"/>
      <c r="G1281" s="93">
        <v>-15.57</v>
      </c>
      <c r="H1281" s="93">
        <v>114.18</v>
      </c>
      <c r="I1281" s="32"/>
      <c r="J1281" s="93">
        <v>1219.91</v>
      </c>
      <c r="K1281" s="32"/>
      <c r="L1281" s="32"/>
      <c r="M1281" s="32"/>
      <c r="N1281" s="32"/>
      <c r="O1281" s="93">
        <v>17359.0</v>
      </c>
      <c r="P1281" s="91">
        <f>IFERROR(__xludf.DUMMYFUNCTION("IFERROR(sum(FILTER($D:$N,$C:$C = $C1281,$A:$A &lt; $A1281,$B:$B = 12)),0) + sum($D1281:$N1281)"),17357.599999999984)</f>
        <v>17357.6</v>
      </c>
      <c r="Q1281" s="92">
        <f t="shared" si="1"/>
        <v>1.4</v>
      </c>
      <c r="R1281" s="91">
        <f t="array" ref="R1281">IFERROR(INDEX('Fund YTD Target Values'!$1:$1000, MATCH($C1281,'Fund YTD Target Values'!$A:$A,0), MATCH($A1281,'Fund YTD Target Values'!$1:$1,0)),0)</f>
        <v>18819.48136</v>
      </c>
      <c r="S1281" s="91">
        <f>IFERROR(__xludf.DUMMYFUNCTION("IFERROR(sum(FILTER('Fund Investment Data'!$V:$V, 'Fund Investment Data'!$C:$C = $C1281, 'Fund Investment Data'!$A:$A &lt; $A1281)),0) + IFERROR(sum(FILTER('Fund Investment Data'!$V:$V, 'Fund Investment Data'!$C:$C = $C1281, 'Fund Investment Data'!$A:$A = $A1"&amp;"281, 'Fund Investment Data'!$B:$B &lt;= $B1281)),0)"),11540.75)</f>
        <v>11540.75</v>
      </c>
      <c r="T1281" s="32"/>
      <c r="U1281" s="32"/>
      <c r="V1281" s="32">
        <f>IFERROR(__xludf.DUMMYFUNCTION("$D1281 - IFERROR(FILTER($D:$D,$C:$C = $C1281, $A:$A = $A1281, $B:$B = $B1281 - 1),0)"),0.0)</f>
        <v>0</v>
      </c>
      <c r="W1281" s="93">
        <f>IFERROR(__xludf.DUMMYFUNCTION("$E1281 - IFERROR(FILTER($E:$E,$C:$C = $C1281, $A:$A = $A1281, $B:$B = $B1281 - 1),0)"),0.0)</f>
        <v>0</v>
      </c>
      <c r="X1281" s="91">
        <f>IFERROR(__xludf.DUMMYFUNCTION("iFERROR((FILTER('Fund Investment Data'!$Z:$Z, 'Fund Investment Data'!$C:$C = $C1281, 'Fund Investment Data'!$A:$A = $A1281 - 1, 'Fund Investment Data'!$B:$B = 12) + FILTER('Fund Investment Data'!$AB:$AB, 'Fund Investment Data'!$C:$C = $C1281, 'Fund Invest"&amp;"ment Data'!$A:$A = $A1281 - 1, 'Fund Investment Data'!$B:$B = 12)) * (1 + AVERAGE(FILTER('Inflation Data'!$C:$C,'Inflation Data'!$A:$A = ($A1281 - 2)))) * Parameters!$A$4,0)"),558.7349135648467)</f>
        <v>558.7349136</v>
      </c>
      <c r="Y1281" s="91">
        <f>IFERROR(__xludf.DUMMYFUNCTION("IFERROR((IFERROR(FILTER('Fund Investment Data'!$P:$P,'Fund Investment Data'!$C:$C = $C1281,'Fund Investment Data'!$A:$A = ($A1281 - 2), 'Fund Investment Data'!$B:$B = 12),0) - SUM(FILTER('Fund Investment Data'!$V:$V, 'Fund Investment Data'!$C:$C = $C1281,"&amp;" 'Fund Investment Data'!$A:$A = ($A1281 - 2), 'Fund Investment Data'!$B:$B &gt; 3)))  * Parameters!$B$4 * (1 - Parameters!$A$4),0)"),234.46003499999986)</f>
        <v>234.460035</v>
      </c>
      <c r="Z1281" s="91">
        <f t="shared" si="24"/>
        <v>793.1949486</v>
      </c>
      <c r="AA1281" s="91">
        <f>IFERROR(__xludf.DUMMYFUNCTION("((IFERROR((SUM(FILTER('Fund Investment Data'!$V:$V, 'Fund Investment Data'!$C:$C = $C1281, 'Fund Investment Data'!$A:$A = $A1281 - 1, 'Fund Investment Data'!$B:$B &gt;= 4, 'Fund Investment Data'!$B:$B &lt;= ($B1281 + 5))) / 12) * ($B1281 - 3) * Parameters!$B$4,"&amp;" 0) + IF($B1281 &gt;= 9, IFERROR(SUM(FILTER('Fund Investment Data'!$V:$V, 'Fund Investment Data'!$C:$C = $C1281, 'Fund Investment Data'!$A:$A = $A1281, 'Fund Investment Data'!$B:$B &lt;= 3)) * Parameters!$B$4, 0),0)))"),0.0)</f>
        <v>0</v>
      </c>
      <c r="AB1281" s="32">
        <f>IFERROR(__xludf.DUMMYFUNCTION("IFERROR(((IFERROR(SUM(FILTER('Fund Investment Data'!$V:$V, 'Fund Investment Data'!$C:$C = $C1281, 'Fund Investment Data'!$A:$A = $A1281 - 2, 'Fund Investment Data'!$B:$B &gt;= 4)) * Parameters!$B$4,0) + IFERROR(SUM(FILTER('Fund Investment Data'!$V:$V, 'Fund "&amp;"Investment Data'!$C:$C = $C1281, 'Fund Investment Data'!$A:$A = $A1281 - 1, 'Fund Investment Data'!$B:$B &lt;= 3)) * Parameters!$B$4,0))),0)"),0.0)</f>
        <v>0</v>
      </c>
      <c r="AC1281" s="32">
        <f>IFERROR(__xludf.DUMMYFUNCTION("IFERROR(FILTER($AF:$AF,$C:$C = $C1281,$A:$A = $A1281 - 1,$B:$B = 12),0)"),0.0)</f>
        <v>0</v>
      </c>
      <c r="AD1281" s="32">
        <f t="shared" si="23"/>
        <v>793.1949486</v>
      </c>
      <c r="AE1281" s="32">
        <f t="shared" si="2"/>
        <v>793.1949486</v>
      </c>
      <c r="AF1281" s="32"/>
    </row>
    <row r="1282">
      <c r="A1282" s="86">
        <v>2019.0</v>
      </c>
      <c r="B1282" s="87">
        <v>2.0</v>
      </c>
      <c r="C1282" s="88" t="s">
        <v>47</v>
      </c>
      <c r="D1282" s="32"/>
      <c r="E1282" s="32"/>
      <c r="F1282" s="32"/>
      <c r="G1282" s="93">
        <v>-1292.95</v>
      </c>
      <c r="H1282" s="93">
        <v>9555.35</v>
      </c>
      <c r="I1282" s="32"/>
      <c r="J1282" s="93">
        <v>103035.4</v>
      </c>
      <c r="K1282" s="32"/>
      <c r="L1282" s="32"/>
      <c r="M1282" s="32"/>
      <c r="N1282" s="32"/>
      <c r="O1282" s="93">
        <v>1442596.0</v>
      </c>
      <c r="P1282" s="91">
        <f>IFERROR(__xludf.DUMMYFUNCTION("IFERROR(sum(FILTER($D:$N,$C:$C = $C1282,$A:$A &lt; $A1282,$B:$B = 12)),0) + sum($D1282:$N1282)"),1442595.7599999998)</f>
        <v>1442595.76</v>
      </c>
      <c r="Q1282" s="92">
        <f t="shared" si="1"/>
        <v>0.2400000002</v>
      </c>
      <c r="R1282" s="91">
        <f t="array" ref="R1282">IFERROR(INDEX('Fund YTD Target Values'!$1:$1000, MATCH($C1282,'Fund YTD Target Values'!$A:$A,0), MATCH($A1282,'Fund YTD Target Values'!$1:$1,0)),0)</f>
        <v>2034942.933</v>
      </c>
      <c r="S1282" s="91">
        <f>IFERROR(__xludf.DUMMYFUNCTION("IFERROR(sum(FILTER('Fund Investment Data'!$V:$V, 'Fund Investment Data'!$C:$C = $C1282, 'Fund Investment Data'!$A:$A &lt; $A1282)),0) + IFERROR(sum(FILTER('Fund Investment Data'!$V:$V, 'Fund Investment Data'!$C:$C = $C1282, 'Fund Investment Data'!$A:$A = $A1"&amp;"282, 'Fund Investment Data'!$B:$B &lt;= $B1282)),0)"),1456367.46)</f>
        <v>1456367.46</v>
      </c>
      <c r="T1282" s="93">
        <v>1348955.0</v>
      </c>
      <c r="U1282" s="32">
        <f t="shared" ref="U1282:U1283" si="32">S1282-T1282</f>
        <v>107412.46</v>
      </c>
      <c r="V1282" s="32">
        <f>IFERROR(__xludf.DUMMYFUNCTION("$D1282 - IFERROR(FILTER($D:$D,$C:$C = $C1282, $A:$A = $A1282, $B:$B = $B1282 - 1),0)"),0.0)</f>
        <v>0</v>
      </c>
      <c r="W1282" s="93">
        <f>IFERROR(__xludf.DUMMYFUNCTION("$E1282 - IFERROR(FILTER($E:$E,$C:$C = $C1282, $A:$A = $A1282, $B:$B = $B1282 - 1),0)"),0.0)</f>
        <v>0</v>
      </c>
      <c r="X1282" s="91">
        <f>IFERROR(__xludf.DUMMYFUNCTION("iFERROR((FILTER('Fund Investment Data'!$Z:$Z, 'Fund Investment Data'!$C:$C = $C1282, 'Fund Investment Data'!$A:$A = $A1282 - 1, 'Fund Investment Data'!$B:$B = 12) + FILTER('Fund Investment Data'!$AB:$AB, 'Fund Investment Data'!$C:$C = $C1282, 'Fund Invest"&amp;"ment Data'!$A:$A = $A1282 - 1, 'Fund Investment Data'!$B:$B = 12)) * (1 + AVERAGE(FILTER('Inflation Data'!$C:$C,'Inflation Data'!$A:$A = ($A1282 - 2)))) * Parameters!$A$4,0)"),48393.90516981818)</f>
        <v>48393.90517</v>
      </c>
      <c r="Y1282" s="91">
        <f>IFERROR(__xludf.DUMMYFUNCTION("IFERROR((IFERROR(FILTER('Fund Investment Data'!$P:$P,'Fund Investment Data'!$C:$C = $C1282,'Fund Investment Data'!$A:$A = ($A1282 - 2), 'Fund Investment Data'!$B:$B = 12),0) - SUM(FILTER('Fund Investment Data'!$V:$V, 'Fund Investment Data'!$C:$C = $C1282,"&amp;" 'Fund Investment Data'!$A:$A = ($A1282 - 2), 'Fund Investment Data'!$B:$B &gt; 3)))  * Parameters!$B$4 * (1 - Parameters!$A$4),0)"),20307.37014)</f>
        <v>20307.37014</v>
      </c>
      <c r="Z1282" s="91">
        <f t="shared" si="24"/>
        <v>68701.27531</v>
      </c>
      <c r="AA1282" s="91">
        <f>IFERROR(__xludf.DUMMYFUNCTION("((IFERROR((SUM(FILTER('Fund Investment Data'!$V:$V, 'Fund Investment Data'!$C:$C = $C1282, 'Fund Investment Data'!$A:$A = $A1282 - 1, 'Fund Investment Data'!$B:$B &gt;= 4, 'Fund Investment Data'!$B:$B &lt;= ($B1282 + 5))) / 12) * ($B1282 - 3) * Parameters!$B$4,"&amp;" 0) + IF($B1282 &gt;= 9, IFERROR(SUM(FILTER('Fund Investment Data'!$V:$V, 'Fund Investment Data'!$C:$C = $C1282, 'Fund Investment Data'!$A:$A = $A1282, 'Fund Investment Data'!$B:$B &lt;= 3)) * Parameters!$B$4, 0),0)))"),0.0)</f>
        <v>0</v>
      </c>
      <c r="AB1282" s="32">
        <f>IFERROR(__xludf.DUMMYFUNCTION("IFERROR(((IFERROR(SUM(FILTER('Fund Investment Data'!$V:$V, 'Fund Investment Data'!$C:$C = $C1282, 'Fund Investment Data'!$A:$A = $A1282 - 2, 'Fund Investment Data'!$B:$B &gt;= 4)) * Parameters!$B$4,0) + IFERROR(SUM(FILTER('Fund Investment Data'!$V:$V, 'Fund "&amp;"Investment Data'!$C:$C = $C1282, 'Fund Investment Data'!$A:$A = $A1282 - 1, 'Fund Investment Data'!$B:$B &lt;= 3)) * Parameters!$B$4,0))),0)"),450.0)</f>
        <v>450</v>
      </c>
      <c r="AC1282" s="32">
        <f>IFERROR(__xludf.DUMMYFUNCTION("IFERROR(FILTER($AF:$AF,$C:$C = $C1282,$A:$A = $A1282 - 1,$B:$B = 12),0)"),0.0)</f>
        <v>0</v>
      </c>
      <c r="AD1282" s="32">
        <f t="shared" si="23"/>
        <v>69151.27531</v>
      </c>
      <c r="AE1282" s="32">
        <f t="shared" si="2"/>
        <v>69151.27531</v>
      </c>
      <c r="AF1282" s="32"/>
    </row>
    <row r="1283">
      <c r="A1283" s="86">
        <v>2019.0</v>
      </c>
      <c r="B1283" s="87">
        <v>2.0</v>
      </c>
      <c r="C1283" s="88" t="s">
        <v>31</v>
      </c>
      <c r="D1283" s="32"/>
      <c r="E1283" s="32"/>
      <c r="F1283" s="32"/>
      <c r="G1283" s="93">
        <v>-160.81</v>
      </c>
      <c r="H1283" s="93">
        <v>1186.91</v>
      </c>
      <c r="I1283" s="32"/>
      <c r="J1283" s="93">
        <v>12778.47</v>
      </c>
      <c r="K1283" s="32"/>
      <c r="L1283" s="32"/>
      <c r="M1283" s="32"/>
      <c r="N1283" s="32"/>
      <c r="O1283" s="93">
        <v>179402.0</v>
      </c>
      <c r="P1283" s="91">
        <f>IFERROR(__xludf.DUMMYFUNCTION("IFERROR(sum(FILTER($D:$N,$C:$C = $C1283,$A:$A &lt; $A1283,$B:$B = 12)),0) + sum($D1283:$N1283)"),179402.29)</f>
        <v>179402.29</v>
      </c>
      <c r="Q1283" s="92">
        <f t="shared" si="1"/>
        <v>-0.29</v>
      </c>
      <c r="R1283" s="91">
        <f t="array" ref="R1283">IFERROR(INDEX('Fund YTD Target Values'!$1:$1000, MATCH($C1283,'Fund YTD Target Values'!$A:$A,0), MATCH($A1283,'Fund YTD Target Values'!$1:$1,0)),0)</f>
        <v>214470.0821</v>
      </c>
      <c r="S1283" s="91">
        <f>IFERROR(__xludf.DUMMYFUNCTION("IFERROR(sum(FILTER('Fund Investment Data'!$V:$V, 'Fund Investment Data'!$C:$C = $C1283, 'Fund Investment Data'!$A:$A &lt; $A1283)),0) + IFERROR(sum(FILTER('Fund Investment Data'!$V:$V, 'Fund Investment Data'!$C:$C = $C1283, 'Fund Investment Data'!$A:$A = $A1"&amp;"283, 'Fund Investment Data'!$B:$B &lt;= $B1283)),0)"),158100.0)</f>
        <v>158100</v>
      </c>
      <c r="T1283" s="93">
        <v>156850.0</v>
      </c>
      <c r="U1283" s="32">
        <f t="shared" si="32"/>
        <v>1250</v>
      </c>
      <c r="V1283" s="32">
        <f>IFERROR(__xludf.DUMMYFUNCTION("$D1283 - IFERROR(FILTER($D:$D,$C:$C = $C1283, $A:$A = $A1283, $B:$B = $B1283 - 1),0)"),0.0)</f>
        <v>0</v>
      </c>
      <c r="W1283" s="93">
        <f>IFERROR(__xludf.DUMMYFUNCTION("$E1283 - IFERROR(FILTER($E:$E,$C:$C = $C1283, $A:$A = $A1283, $B:$B = $B1283 - 1),0)"),0.0)</f>
        <v>0</v>
      </c>
      <c r="X1283" s="91">
        <f>IFERROR(__xludf.DUMMYFUNCTION("iFERROR((FILTER('Fund Investment Data'!$Z:$Z, 'Fund Investment Data'!$C:$C = $C1283, 'Fund Investment Data'!$A:$A = $A1283 - 1, 'Fund Investment Data'!$B:$B = 12) + FILTER('Fund Investment Data'!$AB:$AB, 'Fund Investment Data'!$C:$C = $C1283, 'Fund Invest"&amp;"ment Data'!$A:$A = $A1283 - 1, 'Fund Investment Data'!$B:$B = 12)) * (1 + AVERAGE(FILTER('Inflation Data'!$C:$C,'Inflation Data'!$A:$A = ($A1283 - 2)))) * Parameters!$A$4,0)"),6185.263738478203)</f>
        <v>6185.263738</v>
      </c>
      <c r="Y1283" s="91">
        <f>IFERROR(__xludf.DUMMYFUNCTION("IFERROR((IFERROR(FILTER('Fund Investment Data'!$P:$P,'Fund Investment Data'!$C:$C = $C1283,'Fund Investment Data'!$A:$A = ($A1283 - 2), 'Fund Investment Data'!$B:$B = 12),0) - SUM(FILTER('Fund Investment Data'!$V:$V, 'Fund Investment Data'!$C:$C = $C1283,"&amp;" 'Fund Investment Data'!$A:$A = ($A1283 - 2), 'Fund Investment Data'!$B:$B &gt; 3)))  * Parameters!$B$4 * (1 - Parameters!$A$4),0)"),2555.001225000001)</f>
        <v>2555.001225</v>
      </c>
      <c r="Z1283" s="91">
        <f t="shared" si="24"/>
        <v>8740.264963</v>
      </c>
      <c r="AA1283" s="91">
        <f>IFERROR(__xludf.DUMMYFUNCTION("((IFERROR((SUM(FILTER('Fund Investment Data'!$V:$V, 'Fund Investment Data'!$C:$C = $C1283, 'Fund Investment Data'!$A:$A = $A1283 - 1, 'Fund Investment Data'!$B:$B &gt;= 4, 'Fund Investment Data'!$B:$B &lt;= ($B1283 + 5))) / 12) * ($B1283 - 3) * Parameters!$B$4,"&amp;" 0) + IF($B1283 &gt;= 9, IFERROR(SUM(FILTER('Fund Investment Data'!$V:$V, 'Fund Investment Data'!$C:$C = $C1283, 'Fund Investment Data'!$A:$A = $A1283, 'Fund Investment Data'!$B:$B &lt;= 3)) * Parameters!$B$4, 0),0)))"),0.0)</f>
        <v>0</v>
      </c>
      <c r="AB1283" s="32">
        <f>IFERROR(__xludf.DUMMYFUNCTION("IFERROR(((IFERROR(SUM(FILTER('Fund Investment Data'!$V:$V, 'Fund Investment Data'!$C:$C = $C1283, 'Fund Investment Data'!$A:$A = $A1283 - 2, 'Fund Investment Data'!$B:$B &gt;= 4)) * Parameters!$B$4,0) + IFERROR(SUM(FILTER('Fund Investment Data'!$V:$V, 'Fund "&amp;"Investment Data'!$C:$C = $C1283, 'Fund Investment Data'!$A:$A = $A1283 - 1, 'Fund Investment Data'!$B:$B &lt;= 3)) * Parameters!$B$4,0))),0)"),0.0)</f>
        <v>0</v>
      </c>
      <c r="AC1283" s="32">
        <f>IFERROR(__xludf.DUMMYFUNCTION("IFERROR(FILTER($AF:$AF,$C:$C = $C1283,$A:$A = $A1283 - 1,$B:$B = 12),0)"),0.0)</f>
        <v>0</v>
      </c>
      <c r="AD1283" s="32">
        <f t="shared" si="23"/>
        <v>8740.264963</v>
      </c>
      <c r="AE1283" s="32">
        <f t="shared" si="2"/>
        <v>8740.264963</v>
      </c>
      <c r="AF1283" s="32"/>
    </row>
    <row r="1284">
      <c r="A1284" s="86">
        <v>2019.0</v>
      </c>
      <c r="B1284" s="87">
        <v>2.0</v>
      </c>
      <c r="C1284" s="88" t="s">
        <v>39</v>
      </c>
      <c r="D1284" s="32"/>
      <c r="E1284" s="32"/>
      <c r="F1284" s="32"/>
      <c r="G1284" s="93">
        <v>-165.9</v>
      </c>
      <c r="H1284" s="93">
        <v>1225.7</v>
      </c>
      <c r="I1284" s="32"/>
      <c r="J1284" s="93">
        <v>13212.44</v>
      </c>
      <c r="K1284" s="32"/>
      <c r="L1284" s="32"/>
      <c r="M1284" s="32"/>
      <c r="N1284" s="32"/>
      <c r="O1284" s="93">
        <v>185093.0</v>
      </c>
      <c r="P1284" s="91">
        <f>IFERROR(__xludf.DUMMYFUNCTION("IFERROR(sum(FILTER($D:$N,$C:$C = $C1284,$A:$A &lt; $A1284,$B:$B = 12)),0) + sum($D1284:$N1284)"),185092.50000000003)</f>
        <v>185092.5</v>
      </c>
      <c r="Q1284" s="92">
        <f t="shared" si="1"/>
        <v>0.5</v>
      </c>
      <c r="R1284" s="91">
        <f t="array" ref="R1284">IFERROR(INDEX('Fund YTD Target Values'!$1:$1000, MATCH($C1284,'Fund YTD Target Values'!$A:$A,0), MATCH($A1284,'Fund YTD Target Values'!$1:$1,0)),0)</f>
        <v>203233.3066</v>
      </c>
      <c r="S1284" s="91">
        <f>IFERROR(__xludf.DUMMYFUNCTION("IFERROR(sum(FILTER('Fund Investment Data'!$V:$V, 'Fund Investment Data'!$C:$C = $C1284, 'Fund Investment Data'!$A:$A &lt; $A1284)),0) + IFERROR(sum(FILTER('Fund Investment Data'!$V:$V, 'Fund Investment Data'!$C:$C = $C1284, 'Fund Investment Data'!$A:$A = $A1"&amp;"284, 'Fund Investment Data'!$B:$B &lt;= $B1284)),0)"),170000.0)</f>
        <v>170000</v>
      </c>
      <c r="T1284" s="32"/>
      <c r="U1284" s="32"/>
      <c r="V1284" s="32">
        <f>IFERROR(__xludf.DUMMYFUNCTION("$D1284 - IFERROR(FILTER($D:$D,$C:$C = $C1284, $A:$A = $A1284, $B:$B = $B1284 - 1),0)"),0.0)</f>
        <v>0</v>
      </c>
      <c r="W1284" s="93">
        <f>IFERROR(__xludf.DUMMYFUNCTION("$E1284 - IFERROR(FILTER($E:$E,$C:$C = $C1284, $A:$A = $A1284, $B:$B = $B1284 - 1),0)"),0.0)</f>
        <v>0</v>
      </c>
      <c r="X1284" s="91">
        <f>IFERROR(__xludf.DUMMYFUNCTION("iFERROR((FILTER('Fund Investment Data'!$Z:$Z, 'Fund Investment Data'!$C:$C = $C1284, 'Fund Investment Data'!$A:$A = $A1284 - 1, 'Fund Investment Data'!$B:$B = 12) + FILTER('Fund Investment Data'!$AB:$AB, 'Fund Investment Data'!$C:$C = $C1284, 'Fund Invest"&amp;"ment Data'!$A:$A = $A1284 - 1, 'Fund Investment Data'!$B:$B = 12)) * (1 + AVERAGE(FILTER('Inflation Data'!$C:$C,'Inflation Data'!$A:$A = ($A1284 - 2)))) * Parameters!$A$4,0)"),5335.081378121052)</f>
        <v>5335.081378</v>
      </c>
      <c r="Y1284" s="91">
        <f>IFERROR(__xludf.DUMMYFUNCTION("IFERROR((IFERROR(FILTER('Fund Investment Data'!$P:$P,'Fund Investment Data'!$C:$C = $C1284,'Fund Investment Data'!$A:$A = ($A1284 - 2), 'Fund Investment Data'!$B:$B = 12),0) - SUM(FILTER('Fund Investment Data'!$V:$V, 'Fund Investment Data'!$C:$C = $C1284,"&amp;" 'Fund Investment Data'!$A:$A = ($A1284 - 2), 'Fund Investment Data'!$B:$B &gt; 3)))  * Parameters!$B$4 * (1 - Parameters!$A$4),0)"),2223.764010000001)</f>
        <v>2223.76401</v>
      </c>
      <c r="Z1284" s="91">
        <f t="shared" si="24"/>
        <v>7558.845388</v>
      </c>
      <c r="AA1284" s="91">
        <f>IFERROR(__xludf.DUMMYFUNCTION("((IFERROR((SUM(FILTER('Fund Investment Data'!$V:$V, 'Fund Investment Data'!$C:$C = $C1284, 'Fund Investment Data'!$A:$A = $A1284 - 1, 'Fund Investment Data'!$B:$B &gt;= 4, 'Fund Investment Data'!$B:$B &lt;= ($B1284 + 5))) / 12) * ($B1284 - 3) * Parameters!$B$4,"&amp;" 0) + IF($B1284 &gt;= 9, IFERROR(SUM(FILTER('Fund Investment Data'!$V:$V, 'Fund Investment Data'!$C:$C = $C1284, 'Fund Investment Data'!$A:$A = $A1284, 'Fund Investment Data'!$B:$B &lt;= 3)) * Parameters!$B$4, 0),0)))"),-56.25)</f>
        <v>-56.25</v>
      </c>
      <c r="AB1284" s="32">
        <f>IFERROR(__xludf.DUMMYFUNCTION("IFERROR(((IFERROR(SUM(FILTER('Fund Investment Data'!$V:$V, 'Fund Investment Data'!$C:$C = $C1284, 'Fund Investment Data'!$A:$A = $A1284 - 2, 'Fund Investment Data'!$B:$B &gt;= 4)) * Parameters!$B$4,0) + IFERROR(SUM(FILTER('Fund Investment Data'!$V:$V, 'Fund "&amp;"Investment Data'!$C:$C = $C1284, 'Fund Investment Data'!$A:$A = $A1284 - 1, 'Fund Investment Data'!$B:$B &lt;= 3)) * Parameters!$B$4,0))),0)"),675.0)</f>
        <v>675</v>
      </c>
      <c r="AC1284" s="32">
        <f>IFERROR(__xludf.DUMMYFUNCTION("IFERROR(FILTER($AF:$AF,$C:$C = $C1284,$A:$A = $A1284 - 1,$B:$B = 12),0)"),0.0)</f>
        <v>0</v>
      </c>
      <c r="AD1284" s="32">
        <f t="shared" si="23"/>
        <v>8177.595388</v>
      </c>
      <c r="AE1284" s="32">
        <f t="shared" si="2"/>
        <v>8177.595388</v>
      </c>
      <c r="AF1284" s="32"/>
    </row>
    <row r="1285">
      <c r="A1285" s="86">
        <v>2019.0</v>
      </c>
      <c r="B1285" s="87">
        <v>2.0</v>
      </c>
      <c r="C1285" s="88" t="s">
        <v>50</v>
      </c>
      <c r="D1285" s="32"/>
      <c r="E1285" s="32"/>
      <c r="F1285" s="32"/>
      <c r="G1285" s="93">
        <v>-184.07</v>
      </c>
      <c r="H1285" s="93">
        <v>1358.85</v>
      </c>
      <c r="I1285" s="32"/>
      <c r="J1285" s="93">
        <v>14632.75</v>
      </c>
      <c r="K1285" s="32"/>
      <c r="L1285" s="32"/>
      <c r="M1285" s="32"/>
      <c r="N1285" s="32"/>
      <c r="O1285" s="93">
        <v>205362.0</v>
      </c>
      <c r="P1285" s="91">
        <f>IFERROR(__xludf.DUMMYFUNCTION("IFERROR(sum(FILTER($D:$N,$C:$C = $C1285,$A:$A &lt; $A1285,$B:$B = 12)),0) + sum($D1285:$N1285)"),205361.36000000002)</f>
        <v>205361.36</v>
      </c>
      <c r="Q1285" s="92">
        <f t="shared" si="1"/>
        <v>0.64</v>
      </c>
      <c r="R1285" s="91">
        <f t="array" ref="R1285">IFERROR(INDEX('Fund YTD Target Values'!$1:$1000, MATCH($C1285,'Fund YTD Target Values'!$A:$A,0), MATCH($A1285,'Fund YTD Target Values'!$1:$1,0)),0)</f>
        <v>221607.3864</v>
      </c>
      <c r="S1285" s="91">
        <f>IFERROR(__xludf.DUMMYFUNCTION("IFERROR(sum(FILTER('Fund Investment Data'!$V:$V, 'Fund Investment Data'!$C:$C = $C1285, 'Fund Investment Data'!$A:$A &lt; $A1285)),0) + IFERROR(sum(FILTER('Fund Investment Data'!$V:$V, 'Fund Investment Data'!$C:$C = $C1285, 'Fund Investment Data'!$A:$A = $A1"&amp;"285, 'Fund Investment Data'!$B:$B &lt;= $B1285)),0)"),185189.56)</f>
        <v>185189.56</v>
      </c>
      <c r="T1285" s="93">
        <v>190241.0</v>
      </c>
      <c r="U1285" s="32">
        <f t="shared" ref="U1285:U1287" si="33">S1285-T1285</f>
        <v>-5051.44</v>
      </c>
      <c r="V1285" s="32">
        <f>IFERROR(__xludf.DUMMYFUNCTION("$D1285 - IFERROR(FILTER($D:$D,$C:$C = $C1285, $A:$A = $A1285, $B:$B = $B1285 - 1),0)"),0.0)</f>
        <v>0</v>
      </c>
      <c r="W1285" s="93">
        <f>IFERROR(__xludf.DUMMYFUNCTION("$E1285 - IFERROR(FILTER($E:$E,$C:$C = $C1285, $A:$A = $A1285, $B:$B = $B1285 - 1),0)"),0.0)</f>
        <v>0</v>
      </c>
      <c r="X1285" s="91">
        <f>IFERROR(__xludf.DUMMYFUNCTION("iFERROR((FILTER('Fund Investment Data'!$Z:$Z, 'Fund Investment Data'!$C:$C = $C1285, 'Fund Investment Data'!$A:$A = $A1285 - 1, 'Fund Investment Data'!$B:$B = 12) + FILTER('Fund Investment Data'!$AB:$AB, 'Fund Investment Data'!$C:$C = $C1285, 'Fund Invest"&amp;"ment Data'!$A:$A = $A1285 - 1, 'Fund Investment Data'!$B:$B = 12)) * (1 + AVERAGE(FILTER('Inflation Data'!$C:$C,'Inflation Data'!$A:$A = ($A1285 - 2)))) * Parameters!$A$4,0)"),7479.015292624062)</f>
        <v>7479.015293</v>
      </c>
      <c r="Y1285" s="91">
        <f>IFERROR(__xludf.DUMMYFUNCTION("IFERROR((IFERROR(FILTER('Fund Investment Data'!$P:$P,'Fund Investment Data'!$C:$C = $C1285,'Fund Investment Data'!$A:$A = ($A1285 - 2), 'Fund Investment Data'!$B:$B = 12),0) - SUM(FILTER('Fund Investment Data'!$V:$V, 'Fund Investment Data'!$C:$C = $C1285,"&amp;" 'Fund Investment Data'!$A:$A = ($A1285 - 2), 'Fund Investment Data'!$B:$B &gt; 3)))  * Parameters!$B$4 * (1 - Parameters!$A$4),0)"),2908.7654850000004)</f>
        <v>2908.765485</v>
      </c>
      <c r="Z1285" s="91">
        <f t="shared" si="24"/>
        <v>10387.78078</v>
      </c>
      <c r="AA1285" s="91">
        <f>IFERROR(__xludf.DUMMYFUNCTION("((IFERROR((SUM(FILTER('Fund Investment Data'!$V:$V, 'Fund Investment Data'!$C:$C = $C1285, 'Fund Investment Data'!$A:$A = $A1285 - 1, 'Fund Investment Data'!$B:$B &gt;= 4, 'Fund Investment Data'!$B:$B &lt;= ($B1285 + 5))) / 12) * ($B1285 - 3) * Parameters!$B$4,"&amp;" 0) + IF($B1285 &gt;= 9, IFERROR(SUM(FILTER('Fund Investment Data'!$V:$V, 'Fund Investment Data'!$C:$C = $C1285, 'Fund Investment Data'!$A:$A = $A1285, 'Fund Investment Data'!$B:$B &lt;= 3)) * Parameters!$B$4, 0),0)))"),0.0)</f>
        <v>0</v>
      </c>
      <c r="AB1285" s="32">
        <f>IFERROR(__xludf.DUMMYFUNCTION("IFERROR(((IFERROR(SUM(FILTER('Fund Investment Data'!$V:$V, 'Fund Investment Data'!$C:$C = $C1285, 'Fund Investment Data'!$A:$A = $A1285 - 2, 'Fund Investment Data'!$B:$B &gt;= 4)) * Parameters!$B$4,0) + IFERROR(SUM(FILTER('Fund Investment Data'!$V:$V, 'Fund "&amp;"Investment Data'!$C:$C = $C1285, 'Fund Investment Data'!$A:$A = $A1285 - 1, 'Fund Investment Data'!$B:$B &lt;= 3)) * Parameters!$B$4,0))),0)"),0.0)</f>
        <v>0</v>
      </c>
      <c r="AC1285" s="32">
        <f>IFERROR(__xludf.DUMMYFUNCTION("IFERROR(FILTER($AF:$AF,$C:$C = $C1285,$A:$A = $A1285 - 1,$B:$B = 12),0)"),0.0)</f>
        <v>0</v>
      </c>
      <c r="AD1285" s="32">
        <f t="shared" si="23"/>
        <v>10387.78078</v>
      </c>
      <c r="AE1285" s="32">
        <f t="shared" si="2"/>
        <v>10387.78078</v>
      </c>
      <c r="AF1285" s="32"/>
    </row>
    <row r="1286">
      <c r="A1286" s="86">
        <v>2019.0</v>
      </c>
      <c r="B1286" s="87">
        <v>2.0</v>
      </c>
      <c r="C1286" s="88" t="s">
        <v>32</v>
      </c>
      <c r="D1286" s="32"/>
      <c r="E1286" s="32"/>
      <c r="F1286" s="32"/>
      <c r="G1286" s="93">
        <v>-46.07</v>
      </c>
      <c r="H1286" s="93">
        <v>340.09</v>
      </c>
      <c r="I1286" s="32"/>
      <c r="J1286" s="93">
        <v>3661.54</v>
      </c>
      <c r="K1286" s="32"/>
      <c r="L1286" s="32"/>
      <c r="M1286" s="32"/>
      <c r="N1286" s="32"/>
      <c r="O1286" s="93">
        <v>51406.0</v>
      </c>
      <c r="P1286" s="91">
        <f>IFERROR(__xludf.DUMMYFUNCTION("IFERROR(sum(FILTER($D:$N,$C:$C = $C1286,$A:$A &lt; $A1286,$B:$B = 12)),0) + sum($D1286:$N1286)"),51405.71000000002)</f>
        <v>51405.71</v>
      </c>
      <c r="Q1286" s="92">
        <f t="shared" si="1"/>
        <v>0.29</v>
      </c>
      <c r="R1286" s="91">
        <f t="array" ref="R1286">IFERROR(INDEX('Fund YTD Target Values'!$1:$1000, MATCH($C1286,'Fund YTD Target Values'!$A:$A,0), MATCH($A1286,'Fund YTD Target Values'!$1:$1,0)),0)</f>
        <v>80613.71135</v>
      </c>
      <c r="S1286" s="91">
        <f>IFERROR(__xludf.DUMMYFUNCTION("IFERROR(sum(FILTER('Fund Investment Data'!$V:$V, 'Fund Investment Data'!$C:$C = $C1286, 'Fund Investment Data'!$A:$A &lt; $A1286)),0) + IFERROR(sum(FILTER('Fund Investment Data'!$V:$V, 'Fund Investment Data'!$C:$C = $C1286, 'Fund Investment Data'!$A:$A = $A1"&amp;"286, 'Fund Investment Data'!$B:$B &lt;= $B1286)),0)"),49449.04)</f>
        <v>49449.04</v>
      </c>
      <c r="T1286" s="93">
        <v>39268.0</v>
      </c>
      <c r="U1286" s="32">
        <f t="shared" si="33"/>
        <v>10181.04</v>
      </c>
      <c r="V1286" s="32">
        <f>IFERROR(__xludf.DUMMYFUNCTION("$D1286 - IFERROR(FILTER($D:$D,$C:$C = $C1286, $A:$A = $A1286, $B:$B = $B1286 - 1),0)"),0.0)</f>
        <v>0</v>
      </c>
      <c r="W1286" s="93">
        <f>IFERROR(__xludf.DUMMYFUNCTION("$E1286 - IFERROR(FILTER($E:$E,$C:$C = $C1286, $A:$A = $A1286, $B:$B = $B1286 - 1),0)"),0.0)</f>
        <v>0</v>
      </c>
      <c r="X1286" s="91">
        <f>IFERROR(__xludf.DUMMYFUNCTION("iFERROR((FILTER('Fund Investment Data'!$Z:$Z, 'Fund Investment Data'!$C:$C = $C1286, 'Fund Investment Data'!$A:$A = $A1286 - 1, 'Fund Investment Data'!$B:$B = 12) + FILTER('Fund Investment Data'!$AB:$AB, 'Fund Investment Data'!$C:$C = $C1286, 'Fund Invest"&amp;"ment Data'!$A:$A = $A1286 - 1, 'Fund Investment Data'!$B:$B = 12)) * (1 + AVERAGE(FILTER('Inflation Data'!$C:$C,'Inflation Data'!$A:$A = ($A1286 - 2)))) * Parameters!$A$4,0)"),1718.9474190106023)</f>
        <v>1718.947419</v>
      </c>
      <c r="Y1286" s="91">
        <f>IFERROR(__xludf.DUMMYFUNCTION("IFERROR((IFERROR(FILTER('Fund Investment Data'!$P:$P,'Fund Investment Data'!$C:$C = $C1286,'Fund Investment Data'!$A:$A = ($A1286 - 2), 'Fund Investment Data'!$B:$B = 12),0) - SUM(FILTER('Fund Investment Data'!$V:$V, 'Fund Investment Data'!$C:$C = $C1286,"&amp;" 'Fund Investment Data'!$A:$A = ($A1286 - 2), 'Fund Investment Data'!$B:$B &gt; 3)))  * Parameters!$B$4 * (1 - Parameters!$A$4),0)"),721.3160700000005)</f>
        <v>721.31607</v>
      </c>
      <c r="Z1286" s="91">
        <f t="shared" si="24"/>
        <v>2440.263489</v>
      </c>
      <c r="AA1286" s="91">
        <f>IFERROR(__xludf.DUMMYFUNCTION("((IFERROR((SUM(FILTER('Fund Investment Data'!$V:$V, 'Fund Investment Data'!$C:$C = $C1286, 'Fund Investment Data'!$A:$A = $A1286 - 1, 'Fund Investment Data'!$B:$B &gt;= 4, 'Fund Investment Data'!$B:$B &lt;= ($B1286 + 5))) / 12) * ($B1286 - 3) * Parameters!$B$4,"&amp;" 0) + IF($B1286 &gt;= 9, IFERROR(SUM(FILTER('Fund Investment Data'!$V:$V, 'Fund Investment Data'!$C:$C = $C1286, 'Fund Investment Data'!$A:$A = $A1286, 'Fund Investment Data'!$B:$B &lt;= 3)) * Parameters!$B$4, 0),0)))"),0.0)</f>
        <v>0</v>
      </c>
      <c r="AB1286" s="32">
        <f>IFERROR(__xludf.DUMMYFUNCTION("IFERROR(((IFERROR(SUM(FILTER('Fund Investment Data'!$V:$V, 'Fund Investment Data'!$C:$C = $C1286, 'Fund Investment Data'!$A:$A = $A1286 - 2, 'Fund Investment Data'!$B:$B &gt;= 4)) * Parameters!$B$4,0) + IFERROR(SUM(FILTER('Fund Investment Data'!$V:$V, 'Fund "&amp;"Investment Data'!$C:$C = $C1286, 'Fund Investment Data'!$A:$A = $A1286 - 1, 'Fund Investment Data'!$B:$B &lt;= 3)) * Parameters!$B$4,0))),0)"),0.0)</f>
        <v>0</v>
      </c>
      <c r="AC1286" s="32">
        <f>IFERROR(__xludf.DUMMYFUNCTION("IFERROR(FILTER($AF:$AF,$C:$C = $C1286,$A:$A = $A1286 - 1,$B:$B = 12),0)"),0.0)</f>
        <v>0</v>
      </c>
      <c r="AD1286" s="32">
        <f t="shared" si="23"/>
        <v>2440.263489</v>
      </c>
      <c r="AE1286" s="32">
        <f t="shared" si="2"/>
        <v>2440.263489</v>
      </c>
      <c r="AF1286" s="32"/>
    </row>
    <row r="1287">
      <c r="A1287" s="86">
        <v>2019.0</v>
      </c>
      <c r="B1287" s="87">
        <v>2.0</v>
      </c>
      <c r="C1287" s="88" t="s">
        <v>40</v>
      </c>
      <c r="D1287" s="32"/>
      <c r="E1287" s="32"/>
      <c r="F1287" s="32"/>
      <c r="G1287" s="93">
        <v>-132.5</v>
      </c>
      <c r="H1287" s="93">
        <v>978.13</v>
      </c>
      <c r="I1287" s="32"/>
      <c r="J1287" s="93">
        <v>10532.94</v>
      </c>
      <c r="K1287" s="32"/>
      <c r="L1287" s="32"/>
      <c r="M1287" s="32"/>
      <c r="N1287" s="32"/>
      <c r="O1287" s="93">
        <v>147824.0</v>
      </c>
      <c r="P1287" s="91">
        <f>IFERROR(__xludf.DUMMYFUNCTION("IFERROR(sum(FILTER($D:$N,$C:$C = $C1287,$A:$A &lt; $A1287,$B:$B = 12)),0) + sum($D1287:$N1287)"),147823.67999999993)</f>
        <v>147823.68</v>
      </c>
      <c r="Q1287" s="92">
        <f t="shared" si="1"/>
        <v>0.3200000001</v>
      </c>
      <c r="R1287" s="91">
        <f t="array" ref="R1287">IFERROR(INDEX('Fund YTD Target Values'!$1:$1000, MATCH($C1287,'Fund YTD Target Values'!$A:$A,0), MATCH($A1287,'Fund YTD Target Values'!$1:$1,0)),0)</f>
        <v>164286.6043</v>
      </c>
      <c r="S1287" s="91">
        <f>IFERROR(__xludf.DUMMYFUNCTION("IFERROR(sum(FILTER('Fund Investment Data'!$V:$V, 'Fund Investment Data'!$C:$C = $C1287, 'Fund Investment Data'!$A:$A &lt; $A1287)),0) + IFERROR(sum(FILTER('Fund Investment Data'!$V:$V, 'Fund Investment Data'!$C:$C = $C1287, 'Fund Investment Data'!$A:$A = $A1"&amp;"287, 'Fund Investment Data'!$B:$B &lt;= $B1287)),0)"),129703.74)</f>
        <v>129703.74</v>
      </c>
      <c r="T1287" s="93">
        <v>129723.0</v>
      </c>
      <c r="U1287" s="32">
        <f t="shared" si="33"/>
        <v>-19.26</v>
      </c>
      <c r="V1287" s="32">
        <f>IFERROR(__xludf.DUMMYFUNCTION("$D1287 - IFERROR(FILTER($D:$D,$C:$C = $C1287, $A:$A = $A1287, $B:$B = $B1287 - 1),0)"),0.0)</f>
        <v>0</v>
      </c>
      <c r="W1287" s="93">
        <f>IFERROR(__xludf.DUMMYFUNCTION("$E1287 - IFERROR(FILTER($E:$E,$C:$C = $C1287, $A:$A = $A1287, $B:$B = $B1287 - 1),0)"),0.0)</f>
        <v>0</v>
      </c>
      <c r="X1287" s="91">
        <f>IFERROR(__xludf.DUMMYFUNCTION("iFERROR((FILTER('Fund Investment Data'!$Z:$Z, 'Fund Investment Data'!$C:$C = $C1287, 'Fund Investment Data'!$A:$A = $A1287 - 1, 'Fund Investment Data'!$B:$B = 12) + FILTER('Fund Investment Data'!$AB:$AB, 'Fund Investment Data'!$C:$C = $C1287, 'Fund Invest"&amp;"ment Data'!$A:$A = $A1287 - 1, 'Fund Investment Data'!$B:$B = 12)) * (1 + AVERAGE(FILTER('Inflation Data'!$C:$C,'Inflation Data'!$A:$A = ($A1287 - 2)))) * Parameters!$A$4,0)"),4980.550706212943)</f>
        <v>4980.550706</v>
      </c>
      <c r="Y1287" s="91">
        <f>IFERROR(__xludf.DUMMYFUNCTION("IFERROR((IFERROR(FILTER('Fund Investment Data'!$P:$P,'Fund Investment Data'!$C:$C = $C1287,'Fund Investment Data'!$A:$A = ($A1287 - 2), 'Fund Investment Data'!$B:$B = 12),0) - SUM(FILTER('Fund Investment Data'!$V:$V, 'Fund Investment Data'!$C:$C = $C1287,"&amp;" 'Fund Investment Data'!$A:$A = ($A1287 - 2), 'Fund Investment Data'!$B:$B &gt; 3)))  * Parameters!$B$4 * (1 - Parameters!$A$4),0)"),2089.971585)</f>
        <v>2089.971585</v>
      </c>
      <c r="Z1287" s="91">
        <f t="shared" si="24"/>
        <v>7070.522291</v>
      </c>
      <c r="AA1287" s="91">
        <f>IFERROR(__xludf.DUMMYFUNCTION("((IFERROR((SUM(FILTER('Fund Investment Data'!$V:$V, 'Fund Investment Data'!$C:$C = $C1287, 'Fund Investment Data'!$A:$A = $A1287 - 1, 'Fund Investment Data'!$B:$B &gt;= 4, 'Fund Investment Data'!$B:$B &lt;= ($B1287 + 5))) / 12) * ($B1287 - 3) * Parameters!$B$4,"&amp;" 0) + IF($B1287 &gt;= 9, IFERROR(SUM(FILTER('Fund Investment Data'!$V:$V, 'Fund Investment Data'!$C:$C = $C1287, 'Fund Investment Data'!$A:$A = $A1287, 'Fund Investment Data'!$B:$B &lt;= 3)) * Parameters!$B$4, 0),0)))"),0.0)</f>
        <v>0</v>
      </c>
      <c r="AB1287" s="32">
        <f>IFERROR(__xludf.DUMMYFUNCTION("IFERROR(((IFERROR(SUM(FILTER('Fund Investment Data'!$V:$V, 'Fund Investment Data'!$C:$C = $C1287, 'Fund Investment Data'!$A:$A = $A1287 - 2, 'Fund Investment Data'!$B:$B &gt;= 4)) * Parameters!$B$4,0) + IFERROR(SUM(FILTER('Fund Investment Data'!$V:$V, 'Fund "&amp;"Investment Data'!$C:$C = $C1287, 'Fund Investment Data'!$A:$A = $A1287 - 1, 'Fund Investment Data'!$B:$B &lt;= 3)) * Parameters!$B$4,0))),0)"),0.0)</f>
        <v>0</v>
      </c>
      <c r="AC1287" s="32">
        <f>IFERROR(__xludf.DUMMYFUNCTION("IFERROR(FILTER($AF:$AF,$C:$C = $C1287,$A:$A = $A1287 - 1,$B:$B = 12),0)"),0.0)</f>
        <v>0</v>
      </c>
      <c r="AD1287" s="32">
        <f t="shared" si="23"/>
        <v>7070.522291</v>
      </c>
      <c r="AE1287" s="32">
        <f t="shared" si="2"/>
        <v>7070.522291</v>
      </c>
      <c r="AF1287" s="32"/>
    </row>
    <row r="1288">
      <c r="A1288" s="86">
        <v>2019.0</v>
      </c>
      <c r="B1288" s="87">
        <v>2.0</v>
      </c>
      <c r="C1288" s="88" t="s">
        <v>51</v>
      </c>
      <c r="D1288" s="32"/>
      <c r="E1288" s="32"/>
      <c r="F1288" s="32"/>
      <c r="G1288" s="93">
        <v>-428.83</v>
      </c>
      <c r="H1288" s="93">
        <v>3091.81</v>
      </c>
      <c r="I1288" s="32"/>
      <c r="J1288" s="93">
        <v>32813.34</v>
      </c>
      <c r="K1288" s="32"/>
      <c r="L1288" s="32"/>
      <c r="M1288" s="32"/>
      <c r="N1288" s="32"/>
      <c r="O1288" s="93">
        <v>477606.0</v>
      </c>
      <c r="P1288" s="91">
        <f>IFERROR(__xludf.DUMMYFUNCTION("IFERROR(sum(FILTER($D:$N,$C:$C = $C1288,$A:$A &lt; $A1288,$B:$B = 12)),0) + sum($D1288:$N1288)"),477606.3300000001)</f>
        <v>477606.33</v>
      </c>
      <c r="Q1288" s="92">
        <f t="shared" si="1"/>
        <v>-0.3300000001</v>
      </c>
      <c r="R1288" s="91">
        <f t="array" ref="R1288">IFERROR(INDEX('Fund YTD Target Values'!$1:$1000, MATCH($C1288,'Fund YTD Target Values'!$A:$A,0), MATCH($A1288,'Fund YTD Target Values'!$1:$1,0)),0)</f>
        <v>460355.013</v>
      </c>
      <c r="S1288" s="91">
        <f>IFERROR(__xludf.DUMMYFUNCTION("IFERROR(sum(FILTER('Fund Investment Data'!$V:$V, 'Fund Investment Data'!$C:$C = $C1288, 'Fund Investment Data'!$A:$A &lt; $A1288)),0) + IFERROR(sum(FILTER('Fund Investment Data'!$V:$V, 'Fund Investment Data'!$C:$C = $C1288, 'Fund Investment Data'!$A:$A = $A1"&amp;"288, 'Fund Investment Data'!$B:$B &lt;= $B1288)),0)"),419073.55)</f>
        <v>419073.55</v>
      </c>
      <c r="T1288" s="32"/>
      <c r="U1288" s="32"/>
      <c r="V1288" s="32">
        <f>IFERROR(__xludf.DUMMYFUNCTION("$D1288 - IFERROR(FILTER($D:$D,$C:$C = $C1288, $A:$A = $A1288, $B:$B = $B1288 - 1),0)"),0.0)</f>
        <v>0</v>
      </c>
      <c r="W1288" s="93">
        <f>IFERROR(__xludf.DUMMYFUNCTION("$E1288 - IFERROR(FILTER($E:$E,$C:$C = $C1288, $A:$A = $A1288, $B:$B = $B1288 - 1),0)"),0.0)</f>
        <v>0</v>
      </c>
      <c r="X1288" s="91">
        <f>IFERROR(__xludf.DUMMYFUNCTION("iFERROR((FILTER('Fund Investment Data'!$Z:$Z, 'Fund Investment Data'!$C:$C = $C1288, 'Fund Investment Data'!$A:$A = $A1288 - 1, 'Fund Investment Data'!$B:$B = 12) + FILTER('Fund Investment Data'!$AB:$AB, 'Fund Investment Data'!$C:$C = $C1288, 'Fund Invest"&amp;"ment Data'!$A:$A = $A1288 - 1, 'Fund Investment Data'!$B:$B = 12)) * (1 + AVERAGE(FILTER('Inflation Data'!$C:$C,'Inflation Data'!$A:$A = ($A1288 - 2)))) * Parameters!$A$4,0)"),14060.066994776611)</f>
        <v>14060.06699</v>
      </c>
      <c r="Y1288" s="91">
        <f>IFERROR(__xludf.DUMMYFUNCTION("IFERROR((IFERROR(FILTER('Fund Investment Data'!$P:$P,'Fund Investment Data'!$C:$C = $C1288,'Fund Investment Data'!$A:$A = ($A1288 - 2), 'Fund Investment Data'!$B:$B = 12),0) - SUM(FILTER('Fund Investment Data'!$V:$V, 'Fund Investment Data'!$C:$C = $C1288,"&amp;" 'Fund Investment Data'!$A:$A = ($A1288 - 2), 'Fund Investment Data'!$B:$B &gt; 3)))  * Parameters!$B$4 * (1 - Parameters!$A$4),0)"),6507.701055)</f>
        <v>6507.701055</v>
      </c>
      <c r="Z1288" s="91">
        <f t="shared" si="24"/>
        <v>20567.76805</v>
      </c>
      <c r="AA1288" s="91">
        <f>IFERROR(__xludf.DUMMYFUNCTION("((IFERROR((SUM(FILTER('Fund Investment Data'!$V:$V, 'Fund Investment Data'!$C:$C = $C1288, 'Fund Investment Data'!$A:$A = $A1288 - 1, 'Fund Investment Data'!$B:$B &gt;= 4, 'Fund Investment Data'!$B:$B &lt;= ($B1288 + 5))) / 12) * ($B1288 - 3) * Parameters!$B$4,"&amp;" 0) + IF($B1288 &gt;= 9, IFERROR(SUM(FILTER('Fund Investment Data'!$V:$V, 'Fund Investment Data'!$C:$C = $C1288, 'Fund Investment Data'!$A:$A = $A1288, 'Fund Investment Data'!$B:$B &lt;= 3)) * Parameters!$B$4, 0),0)))"),-0.1875)</f>
        <v>-0.1875</v>
      </c>
      <c r="AB1288" s="32">
        <f>IFERROR(__xludf.DUMMYFUNCTION("IFERROR(((IFERROR(SUM(FILTER('Fund Investment Data'!$V:$V, 'Fund Investment Data'!$C:$C = $C1288, 'Fund Investment Data'!$A:$A = $A1288 - 2, 'Fund Investment Data'!$B:$B &gt;= 4)) * Parameters!$B$4,0) + IFERROR(SUM(FILTER('Fund Investment Data'!$V:$V, 'Fund "&amp;"Investment Data'!$C:$C = $C1288, 'Fund Investment Data'!$A:$A = $A1288 - 1, 'Fund Investment Data'!$B:$B &lt;= 3)) * Parameters!$B$4,0))),0)"),153.0)</f>
        <v>153</v>
      </c>
      <c r="AC1288" s="32">
        <f>IFERROR(__xludf.DUMMYFUNCTION("IFERROR(FILTER($AF:$AF,$C:$C = $C1288,$A:$A = $A1288 - 1,$B:$B = 12),0)"),14700.0)</f>
        <v>14700</v>
      </c>
      <c r="AD1288" s="32">
        <f t="shared" si="23"/>
        <v>35420.58055</v>
      </c>
      <c r="AE1288" s="32">
        <f t="shared" si="2"/>
        <v>35420.58055</v>
      </c>
      <c r="AF1288" s="32"/>
    </row>
    <row r="1289">
      <c r="A1289" s="86">
        <v>2019.0</v>
      </c>
      <c r="B1289" s="87">
        <v>2.0</v>
      </c>
      <c r="C1289" s="88" t="s">
        <v>48</v>
      </c>
      <c r="D1289" s="32"/>
      <c r="E1289" s="32"/>
      <c r="F1289" s="32"/>
      <c r="G1289" s="93">
        <v>-1061.73</v>
      </c>
      <c r="H1289" s="93">
        <v>7847.61</v>
      </c>
      <c r="I1289" s="32"/>
      <c r="J1289" s="93">
        <v>84634.17</v>
      </c>
      <c r="K1289" s="32"/>
      <c r="L1289" s="32"/>
      <c r="M1289" s="32"/>
      <c r="N1289" s="32"/>
      <c r="O1289" s="93">
        <v>1184635.0</v>
      </c>
      <c r="P1289" s="91">
        <f>IFERROR(__xludf.DUMMYFUNCTION("IFERROR(sum(FILTER($D:$N,$C:$C = $C1289,$A:$A &lt; $A1289,$B:$B = 12)),0) + sum($D1289:$N1289)"),1184633.4399999997)</f>
        <v>1184633.44</v>
      </c>
      <c r="Q1289" s="92">
        <f t="shared" si="1"/>
        <v>1.56</v>
      </c>
      <c r="R1289" s="91">
        <f t="array" ref="R1289">IFERROR(INDEX('Fund YTD Target Values'!$1:$1000, MATCH($C1289,'Fund YTD Target Values'!$A:$A,0), MATCH($A1289,'Fund YTD Target Values'!$1:$1,0)),0)</f>
        <v>1930631.639</v>
      </c>
      <c r="S1289" s="91">
        <f>IFERROR(__xludf.DUMMYFUNCTION("IFERROR(sum(FILTER('Fund Investment Data'!$V:$V, 'Fund Investment Data'!$C:$C = $C1289, 'Fund Investment Data'!$A:$A &lt; $A1289)),0) + IFERROR(sum(FILTER('Fund Investment Data'!$V:$V, 'Fund Investment Data'!$C:$C = $C1289, 'Fund Investment Data'!$A:$A = $A1"&amp;"289, 'Fund Investment Data'!$B:$B &lt;= $B1289)),0)"),1183929.39)</f>
        <v>1183929.39</v>
      </c>
      <c r="T1289" s="93">
        <v>1140040.0</v>
      </c>
      <c r="U1289" s="32">
        <f t="shared" ref="U1289:U1294" si="34">S1289-T1289</f>
        <v>43889.39</v>
      </c>
      <c r="V1289" s="32">
        <f>IFERROR(__xludf.DUMMYFUNCTION("$D1289 - IFERROR(FILTER($D:$D,$C:$C = $C1289, $A:$A = $A1289, $B:$B = $B1289 - 1),0)"),0.0)</f>
        <v>0</v>
      </c>
      <c r="W1289" s="93">
        <f>IFERROR(__xludf.DUMMYFUNCTION("$E1289 - IFERROR(FILTER($E:$E,$C:$C = $C1289, $A:$A = $A1289, $B:$B = $B1289 - 1),0)"),0.0)</f>
        <v>0</v>
      </c>
      <c r="X1289" s="91">
        <f>IFERROR(__xludf.DUMMYFUNCTION("iFERROR((FILTER('Fund Investment Data'!$Z:$Z, 'Fund Investment Data'!$C:$C = $C1289, 'Fund Investment Data'!$A:$A = $A1289 - 1, 'Fund Investment Data'!$B:$B = 12) + FILTER('Fund Investment Data'!$AB:$AB, 'Fund Investment Data'!$C:$C = $C1289, 'Fund Invest"&amp;"ment Data'!$A:$A = $A1289 - 1, 'Fund Investment Data'!$B:$B = 12)) * (1 + AVERAGE(FILTER('Inflation Data'!$C:$C,'Inflation Data'!$A:$A = ($A1289 - 2)))) * Parameters!$A$4,0)"),40170.623919220896)</f>
        <v>40170.62392</v>
      </c>
      <c r="Y1289" s="91">
        <f>IFERROR(__xludf.DUMMYFUNCTION("IFERROR((IFERROR(FILTER('Fund Investment Data'!$P:$P,'Fund Investment Data'!$C:$C = $C1289,'Fund Investment Data'!$A:$A = ($A1289 - 2), 'Fund Investment Data'!$B:$B = 12),0) - SUM(FILTER('Fund Investment Data'!$V:$V, 'Fund Investment Data'!$C:$C = $C1289,"&amp;" 'Fund Investment Data'!$A:$A = ($A1289 - 2), 'Fund Investment Data'!$B:$B &gt; 3)))  * Parameters!$B$4 * (1 - Parameters!$A$4),0)"),16856.662545)</f>
        <v>16856.66255</v>
      </c>
      <c r="Z1289" s="91">
        <f t="shared" si="24"/>
        <v>57027.28646</v>
      </c>
      <c r="AA1289" s="91">
        <f>IFERROR(__xludf.DUMMYFUNCTION("((IFERROR((SUM(FILTER('Fund Investment Data'!$V:$V, 'Fund Investment Data'!$C:$C = $C1289, 'Fund Investment Data'!$A:$A = $A1289 - 1, 'Fund Investment Data'!$B:$B &gt;= 4, 'Fund Investment Data'!$B:$B &lt;= ($B1289 + 5))) / 12) * ($B1289 - 3) * Parameters!$B$4,"&amp;" 0) + IF($B1289 &gt;= 9, IFERROR(SUM(FILTER('Fund Investment Data'!$V:$V, 'Fund Investment Data'!$C:$C = $C1289, 'Fund Investment Data'!$A:$A = $A1289, 'Fund Investment Data'!$B:$B &lt;= 3)) * Parameters!$B$4, 0),0)))"),0.0)</f>
        <v>0</v>
      </c>
      <c r="AB1289" s="32">
        <f>IFERROR(__xludf.DUMMYFUNCTION("IFERROR(((IFERROR(SUM(FILTER('Fund Investment Data'!$V:$V, 'Fund Investment Data'!$C:$C = $C1289, 'Fund Investment Data'!$A:$A = $A1289 - 2, 'Fund Investment Data'!$B:$B &gt;= 4)) * Parameters!$B$4,0) + IFERROR(SUM(FILTER('Fund Investment Data'!$V:$V, 'Fund "&amp;"Investment Data'!$C:$C = $C1289, 'Fund Investment Data'!$A:$A = $A1289 - 1, 'Fund Investment Data'!$B:$B &lt;= 3)) * Parameters!$B$4,0))),0)"),0.0)</f>
        <v>0</v>
      </c>
      <c r="AC1289" s="32">
        <f>IFERROR(__xludf.DUMMYFUNCTION("IFERROR(FILTER($AF:$AF,$C:$C = $C1289,$A:$A = $A1289 - 1,$B:$B = 12),0)"),0.0)</f>
        <v>0</v>
      </c>
      <c r="AD1289" s="32">
        <f t="shared" si="23"/>
        <v>57027.28646</v>
      </c>
      <c r="AE1289" s="32">
        <f t="shared" si="2"/>
        <v>57027.28646</v>
      </c>
      <c r="AF1289" s="32"/>
    </row>
    <row r="1290">
      <c r="A1290" s="86">
        <v>2019.0</v>
      </c>
      <c r="B1290" s="87">
        <v>2.0</v>
      </c>
      <c r="C1290" s="88" t="s">
        <v>49</v>
      </c>
      <c r="D1290" s="32"/>
      <c r="E1290" s="32"/>
      <c r="F1290" s="32"/>
      <c r="G1290" s="93">
        <v>-460.57</v>
      </c>
      <c r="H1290" s="93">
        <v>3403.81</v>
      </c>
      <c r="I1290" s="32"/>
      <c r="J1290" s="93">
        <v>36703.15</v>
      </c>
      <c r="K1290" s="32"/>
      <c r="L1290" s="32"/>
      <c r="M1290" s="32"/>
      <c r="N1290" s="32"/>
      <c r="O1290" s="93">
        <v>513880.0</v>
      </c>
      <c r="P1290" s="91">
        <f>IFERROR(__xludf.DUMMYFUNCTION("IFERROR(sum(FILTER($D:$N,$C:$C = $C1290,$A:$A &lt; $A1290,$B:$B = 12)),0) + sum($D1290:$N1290)"),513880.70999999985)</f>
        <v>513880.71</v>
      </c>
      <c r="Q1290" s="92">
        <f t="shared" si="1"/>
        <v>-0.7099999998</v>
      </c>
      <c r="R1290" s="91">
        <f t="array" ref="R1290">IFERROR(INDEX('Fund YTD Target Values'!$1:$1000, MATCH($C1290,'Fund YTD Target Values'!$A:$A,0), MATCH($A1290,'Fund YTD Target Values'!$1:$1,0)),0)</f>
        <v>714091.1961</v>
      </c>
      <c r="S1290" s="91">
        <f>IFERROR(__xludf.DUMMYFUNCTION("IFERROR(sum(FILTER('Fund Investment Data'!$V:$V, 'Fund Investment Data'!$C:$C = $C1290, 'Fund Investment Data'!$A:$A &lt; $A1290)),0) + IFERROR(sum(FILTER('Fund Investment Data'!$V:$V, 'Fund Investment Data'!$C:$C = $C1290, 'Fund Investment Data'!$A:$A = $A1"&amp;"290, 'Fund Investment Data'!$B:$B &lt;= $B1290)),0)"),500000.0)</f>
        <v>500000</v>
      </c>
      <c r="T1290" s="93">
        <v>500000.0</v>
      </c>
      <c r="U1290" s="32">
        <f t="shared" si="34"/>
        <v>0</v>
      </c>
      <c r="V1290" s="32">
        <f>IFERROR(__xludf.DUMMYFUNCTION("$D1290 - IFERROR(FILTER($D:$D,$C:$C = $C1290, $A:$A = $A1290, $B:$B = $B1290 - 1),0)"),0.0)</f>
        <v>0</v>
      </c>
      <c r="W1290" s="93">
        <f>IFERROR(__xludf.DUMMYFUNCTION("$E1290 - IFERROR(FILTER($E:$E,$C:$C = $C1290, $A:$A = $A1290, $B:$B = $B1290 - 1),0)"),0.0)</f>
        <v>0</v>
      </c>
      <c r="X1290" s="91">
        <f>IFERROR(__xludf.DUMMYFUNCTION("iFERROR((FILTER('Fund Investment Data'!$Z:$Z, 'Fund Investment Data'!$C:$C = $C1290, 'Fund Investment Data'!$A:$A = $A1290 - 1, 'Fund Investment Data'!$B:$B = 12) + FILTER('Fund Investment Data'!$AB:$AB, 'Fund Investment Data'!$C:$C = $C1290, 'Fund Invest"&amp;"ment Data'!$A:$A = $A1290 - 1, 'Fund Investment Data'!$B:$B = 12)) * (1 + AVERAGE(FILTER('Inflation Data'!$C:$C,'Inflation Data'!$A:$A = ($A1290 - 2)))) * Parameters!$A$4,0)"),17620.730663710416)</f>
        <v>17620.73066</v>
      </c>
      <c r="Y1290" s="91">
        <f>IFERROR(__xludf.DUMMYFUNCTION("IFERROR((IFERROR(FILTER('Fund Investment Data'!$P:$P,'Fund Investment Data'!$C:$C = $C1290,'Fund Investment Data'!$A:$A = ($A1290 - 2), 'Fund Investment Data'!$B:$B = 12),0) - SUM(FILTER('Fund Investment Data'!$V:$V, 'Fund Investment Data'!$C:$C = $C1290,"&amp;" 'Fund Investment Data'!$A:$A = ($A1290 - 2), 'Fund Investment Data'!$B:$B &gt; 3)))  * Parameters!$B$4 * (1 - Parameters!$A$4),0)"),7394.127389999999)</f>
        <v>7394.12739</v>
      </c>
      <c r="Z1290" s="91">
        <f t="shared" si="24"/>
        <v>25014.85805</v>
      </c>
      <c r="AA1290" s="91">
        <f>IFERROR(__xludf.DUMMYFUNCTION("((IFERROR((SUM(FILTER('Fund Investment Data'!$V:$V, 'Fund Investment Data'!$C:$C = $C1290, 'Fund Investment Data'!$A:$A = $A1290 - 1, 'Fund Investment Data'!$B:$B &gt;= 4, 'Fund Investment Data'!$B:$B &lt;= ($B1290 + 5))) / 12) * ($B1290 - 3) * Parameters!$B$4,"&amp;" 0) + IF($B1290 &gt;= 9, IFERROR(SUM(FILTER('Fund Investment Data'!$V:$V, 'Fund Investment Data'!$C:$C = $C1290, 'Fund Investment Data'!$A:$A = $A1290, 'Fund Investment Data'!$B:$B &lt;= 3)) * Parameters!$B$4, 0),0)))"),0.0)</f>
        <v>0</v>
      </c>
      <c r="AB1290" s="32">
        <f>IFERROR(__xludf.DUMMYFUNCTION("IFERROR(((IFERROR(SUM(FILTER('Fund Investment Data'!$V:$V, 'Fund Investment Data'!$C:$C = $C1290, 'Fund Investment Data'!$A:$A = $A1290 - 2, 'Fund Investment Data'!$B:$B &gt;= 4)) * Parameters!$B$4,0) + IFERROR(SUM(FILTER('Fund Investment Data'!$V:$V, 'Fund "&amp;"Investment Data'!$C:$C = $C1290, 'Fund Investment Data'!$A:$A = $A1290 - 1, 'Fund Investment Data'!$B:$B &lt;= 3)) * Parameters!$B$4,0))),0)"),0.0)</f>
        <v>0</v>
      </c>
      <c r="AC1290" s="32">
        <f>IFERROR(__xludf.DUMMYFUNCTION("IFERROR(FILTER($AF:$AF,$C:$C = $C1290,$A:$A = $A1290 - 1,$B:$B = 12),0)"),0.0)</f>
        <v>0</v>
      </c>
      <c r="AD1290" s="32">
        <f t="shared" si="23"/>
        <v>25014.85805</v>
      </c>
      <c r="AE1290" s="32">
        <f t="shared" si="2"/>
        <v>25014.85805</v>
      </c>
      <c r="AF1290" s="32"/>
    </row>
    <row r="1291">
      <c r="A1291" s="86">
        <v>2019.0</v>
      </c>
      <c r="B1291" s="87">
        <v>2.0</v>
      </c>
      <c r="C1291" s="88" t="s">
        <v>41</v>
      </c>
      <c r="D1291" s="32"/>
      <c r="E1291" s="32"/>
      <c r="F1291" s="32"/>
      <c r="G1291" s="93">
        <v>-566.37</v>
      </c>
      <c r="H1291" s="93">
        <v>4184.42</v>
      </c>
      <c r="I1291" s="32"/>
      <c r="J1291" s="93">
        <v>45104.75</v>
      </c>
      <c r="K1291" s="32"/>
      <c r="L1291" s="32"/>
      <c r="M1291" s="32"/>
      <c r="N1291" s="32"/>
      <c r="O1291" s="93">
        <v>631900.0</v>
      </c>
      <c r="P1291" s="91">
        <f>IFERROR(__xludf.DUMMYFUNCTION("IFERROR(sum(FILTER($D:$N,$C:$C = $C1291,$A:$A &lt; $A1291,$B:$B = 12)),0) + sum($D1291:$N1291)"),631901.1200000001)</f>
        <v>631901.12</v>
      </c>
      <c r="Q1291" s="92">
        <f t="shared" si="1"/>
        <v>-1.12</v>
      </c>
      <c r="R1291" s="91">
        <f t="array" ref="R1291">IFERROR(INDEX('Fund YTD Target Values'!$1:$1000, MATCH($C1291,'Fund YTD Target Values'!$A:$A,0), MATCH($A1291,'Fund YTD Target Values'!$1:$1,0)),0)</f>
        <v>598621.3568</v>
      </c>
      <c r="S1291" s="91">
        <f>IFERROR(__xludf.DUMMYFUNCTION("IFERROR(sum(FILTER('Fund Investment Data'!$V:$V, 'Fund Investment Data'!$C:$C = $C1291, 'Fund Investment Data'!$A:$A &lt; $A1291)),0) + IFERROR(sum(FILTER('Fund Investment Data'!$V:$V, 'Fund Investment Data'!$C:$C = $C1291, 'Fund Investment Data'!$A:$A = $A1"&amp;"291, 'Fund Investment Data'!$B:$B &lt;= $B1291)),0)"),433755.86)</f>
        <v>433755.86</v>
      </c>
      <c r="T1291" s="93">
        <v>434291.0</v>
      </c>
      <c r="U1291" s="32">
        <f t="shared" si="34"/>
        <v>-535.14</v>
      </c>
      <c r="V1291" s="32">
        <f>IFERROR(__xludf.DUMMYFUNCTION("$D1291 - IFERROR(FILTER($D:$D,$C:$C = $C1291, $A:$A = $A1291, $B:$B = $B1291 - 1),0)"),0.0)</f>
        <v>0</v>
      </c>
      <c r="W1291" s="93">
        <f>IFERROR(__xludf.DUMMYFUNCTION("$E1291 - IFERROR(FILTER($E:$E,$C:$C = $C1291, $A:$A = $A1291, $B:$B = $B1291 - 1),0)"),0.0)</f>
        <v>0</v>
      </c>
      <c r="X1291" s="91">
        <f>IFERROR(__xludf.DUMMYFUNCTION("iFERROR((FILTER('Fund Investment Data'!$Z:$Z, 'Fund Investment Data'!$C:$C = $C1291, 'Fund Investment Data'!$A:$A = $A1291 - 1, 'Fund Investment Data'!$B:$B = 12) + FILTER('Fund Investment Data'!$AB:$AB, 'Fund Investment Data'!$C:$C = $C1291, 'Fund Invest"&amp;"ment Data'!$A:$A = $A1291 - 1, 'Fund Investment Data'!$B:$B = 12)) * (1 + AVERAGE(FILTER('Inflation Data'!$C:$C,'Inflation Data'!$A:$A = ($A1291 - 2)))) * Parameters!$A$4,0)"),18464.76285534869)</f>
        <v>18464.76286</v>
      </c>
      <c r="Y1291" s="91">
        <f>IFERROR(__xludf.DUMMYFUNCTION("IFERROR((IFERROR(FILTER('Fund Investment Data'!$P:$P,'Fund Investment Data'!$C:$C = $C1291,'Fund Investment Data'!$A:$A = ($A1291 - 2), 'Fund Investment Data'!$B:$B = 12),0) - SUM(FILTER('Fund Investment Data'!$V:$V, 'Fund Investment Data'!$C:$C = $C1291,"&amp;" 'Fund Investment Data'!$A:$A = ($A1291 - 2), 'Fund Investment Data'!$B:$B &gt; 3)))  * Parameters!$B$4 * (1 - Parameters!$A$4),0)"),8817.111225000002)</f>
        <v>8817.111225</v>
      </c>
      <c r="Z1291" s="91">
        <f t="shared" si="24"/>
        <v>27281.87408</v>
      </c>
      <c r="AA1291" s="91">
        <f>IFERROR(__xludf.DUMMYFUNCTION("((IFERROR((SUM(FILTER('Fund Investment Data'!$V:$V, 'Fund Investment Data'!$C:$C = $C1291, 'Fund Investment Data'!$A:$A = $A1291 - 1, 'Fund Investment Data'!$B:$B &gt;= 4, 'Fund Investment Data'!$B:$B &lt;= ($B1291 + 5))) / 12) * ($B1291 - 3) * Parameters!$B$4,"&amp;" 0) + IF($B1291 &gt;= 9, IFERROR(SUM(FILTER('Fund Investment Data'!$V:$V, 'Fund Investment Data'!$C:$C = $C1291, 'Fund Investment Data'!$A:$A = $A1291, 'Fund Investment Data'!$B:$B &lt;= 3)) * Parameters!$B$4, 0),0)))"),0.0)</f>
        <v>0</v>
      </c>
      <c r="AB1291" s="32">
        <f>IFERROR(__xludf.DUMMYFUNCTION("IFERROR(((IFERROR(SUM(FILTER('Fund Investment Data'!$V:$V, 'Fund Investment Data'!$C:$C = $C1291, 'Fund Investment Data'!$A:$A = $A1291 - 2, 'Fund Investment Data'!$B:$B &gt;= 4)) * Parameters!$B$4,0) + IFERROR(SUM(FILTER('Fund Investment Data'!$V:$V, 'Fund "&amp;"Investment Data'!$C:$C = $C1291, 'Fund Investment Data'!$A:$A = $A1291 - 1, 'Fund Investment Data'!$B:$B &lt;= 3)) * Parameters!$B$4,0))),0)"),0.0)</f>
        <v>0</v>
      </c>
      <c r="AC1291" s="32">
        <f>IFERROR(__xludf.DUMMYFUNCTION("IFERROR(FILTER($AF:$AF,$C:$C = $C1291,$A:$A = $A1291 - 1,$B:$B = 12),0)"),0.0)</f>
        <v>0</v>
      </c>
      <c r="AD1291" s="32">
        <f t="shared" si="23"/>
        <v>27281.87408</v>
      </c>
      <c r="AE1291" s="32">
        <f t="shared" si="2"/>
        <v>27281.87408</v>
      </c>
      <c r="AF1291" s="32"/>
    </row>
    <row r="1292">
      <c r="A1292" s="86">
        <v>2019.0</v>
      </c>
      <c r="B1292" s="87">
        <v>2.0</v>
      </c>
      <c r="C1292" s="88" t="s">
        <v>25</v>
      </c>
      <c r="D1292" s="32"/>
      <c r="E1292" s="32"/>
      <c r="F1292" s="32"/>
      <c r="G1292" s="93">
        <v>-72.67</v>
      </c>
      <c r="H1292" s="93">
        <v>536.39</v>
      </c>
      <c r="I1292" s="32"/>
      <c r="J1292" s="93">
        <v>5774.82</v>
      </c>
      <c r="K1292" s="32"/>
      <c r="L1292" s="32"/>
      <c r="M1292" s="32"/>
      <c r="N1292" s="32"/>
      <c r="O1292" s="93">
        <v>81077.0</v>
      </c>
      <c r="P1292" s="91">
        <f>IFERROR(__xludf.DUMMYFUNCTION("IFERROR(sum(FILTER($D:$N,$C:$C = $C1292,$A:$A &lt; $A1292,$B:$B = 12)),0) + sum($D1292:$N1292)"),81076.51)</f>
        <v>81076.51</v>
      </c>
      <c r="Q1292" s="92">
        <f t="shared" si="1"/>
        <v>0.49</v>
      </c>
      <c r="R1292" s="91">
        <f t="array" ref="R1292">IFERROR(INDEX('Fund YTD Target Values'!$1:$1000, MATCH($C1292,'Fund YTD Target Values'!$A:$A,0), MATCH($A1292,'Fund YTD Target Values'!$1:$1,0)),0)</f>
        <v>111153.3247</v>
      </c>
      <c r="S1292" s="91">
        <f>IFERROR(__xludf.DUMMYFUNCTION("IFERROR(sum(FILTER('Fund Investment Data'!$V:$V, 'Fund Investment Data'!$C:$C = $C1292, 'Fund Investment Data'!$A:$A &lt; $A1292)),0) + IFERROR(sum(FILTER('Fund Investment Data'!$V:$V, 'Fund Investment Data'!$C:$C = $C1292, 'Fund Investment Data'!$A:$A = $A1"&amp;"292, 'Fund Investment Data'!$B:$B &lt;= $B1292)),0)"),81000.0)</f>
        <v>81000</v>
      </c>
      <c r="T1292" s="93">
        <v>81000.0</v>
      </c>
      <c r="U1292" s="32">
        <f t="shared" si="34"/>
        <v>0</v>
      </c>
      <c r="V1292" s="32">
        <f>IFERROR(__xludf.DUMMYFUNCTION("$D1292 - IFERROR(FILTER($D:$D,$C:$C = $C1292, $A:$A = $A1292, $B:$B = $B1292 - 1),0)"),0.0)</f>
        <v>0</v>
      </c>
      <c r="W1292" s="93">
        <f>IFERROR(__xludf.DUMMYFUNCTION("$E1292 - IFERROR(FILTER($E:$E,$C:$C = $C1292, $A:$A = $A1292, $B:$B = $B1292 - 1),0)"),0.0)</f>
        <v>0</v>
      </c>
      <c r="X1292" s="91">
        <f>IFERROR(__xludf.DUMMYFUNCTION("iFERROR((FILTER('Fund Investment Data'!$Z:$Z, 'Fund Investment Data'!$C:$C = $C1292, 'Fund Investment Data'!$A:$A = $A1292 - 1, 'Fund Investment Data'!$B:$B = 12) + FILTER('Fund Investment Data'!$AB:$AB, 'Fund Investment Data'!$C:$C = $C1292, 'Fund Invest"&amp;"ment Data'!$A:$A = $A1292 - 1, 'Fund Investment Data'!$B:$B = 12)) * (1 + AVERAGE(FILTER('Inflation Data'!$C:$C,'Inflation Data'!$A:$A = ($A1292 - 2)))) * Parameters!$A$4,0)"),3251.4512616945367)</f>
        <v>3251.451262</v>
      </c>
      <c r="Y1292" s="91">
        <f>IFERROR(__xludf.DUMMYFUNCTION("IFERROR((IFERROR(FILTER('Fund Investment Data'!$P:$P,'Fund Investment Data'!$C:$C = $C1292,'Fund Investment Data'!$A:$A = ($A1292 - 2), 'Fund Investment Data'!$B:$B = 12),0) - SUM(FILTER('Fund Investment Data'!$V:$V, 'Fund Investment Data'!$C:$C = $C1292,"&amp;" 'Fund Investment Data'!$A:$A = ($A1292 - 2), 'Fund Investment Data'!$B:$B &gt; 3)))  * Parameters!$B$4 * (1 - Parameters!$A$4),0)"),1364.3954549999999)</f>
        <v>1364.395455</v>
      </c>
      <c r="Z1292" s="91">
        <f t="shared" si="24"/>
        <v>4615.846717</v>
      </c>
      <c r="AA1292" s="91">
        <f>IFERROR(__xludf.DUMMYFUNCTION("((IFERROR((SUM(FILTER('Fund Investment Data'!$V:$V, 'Fund Investment Data'!$C:$C = $C1292, 'Fund Investment Data'!$A:$A = $A1292 - 1, 'Fund Investment Data'!$B:$B &gt;= 4, 'Fund Investment Data'!$B:$B &lt;= ($B1292 + 5))) / 12) * ($B1292 - 3) * Parameters!$B$4,"&amp;" 0) + IF($B1292 &gt;= 9, IFERROR(SUM(FILTER('Fund Investment Data'!$V:$V, 'Fund Investment Data'!$C:$C = $C1292, 'Fund Investment Data'!$A:$A = $A1292, 'Fund Investment Data'!$B:$B &lt;= 3)) * Parameters!$B$4, 0),0)))"),0.0)</f>
        <v>0</v>
      </c>
      <c r="AB1292" s="32">
        <f>IFERROR(__xludf.DUMMYFUNCTION("IFERROR(((IFERROR(SUM(FILTER('Fund Investment Data'!$V:$V, 'Fund Investment Data'!$C:$C = $C1292, 'Fund Investment Data'!$A:$A = $A1292 - 2, 'Fund Investment Data'!$B:$B &gt;= 4)) * Parameters!$B$4,0) + IFERROR(SUM(FILTER('Fund Investment Data'!$V:$V, 'Fund "&amp;"Investment Data'!$C:$C = $C1292, 'Fund Investment Data'!$A:$A = $A1292 - 1, 'Fund Investment Data'!$B:$B &lt;= 3)) * Parameters!$B$4,0))),0)"),0.0)</f>
        <v>0</v>
      </c>
      <c r="AC1292" s="32">
        <f>IFERROR(__xludf.DUMMYFUNCTION("IFERROR(FILTER($AF:$AF,$C:$C = $C1292,$A:$A = $A1292 - 1,$B:$B = 12),0)"),0.0)</f>
        <v>0</v>
      </c>
      <c r="AD1292" s="32">
        <f t="shared" si="23"/>
        <v>4615.846717</v>
      </c>
      <c r="AE1292" s="32">
        <f t="shared" si="2"/>
        <v>4615.846717</v>
      </c>
      <c r="AF1292" s="32"/>
    </row>
    <row r="1293">
      <c r="A1293" s="86">
        <v>2019.0</v>
      </c>
      <c r="B1293" s="87">
        <v>2.0</v>
      </c>
      <c r="C1293" s="88" t="s">
        <v>42</v>
      </c>
      <c r="D1293" s="32"/>
      <c r="E1293" s="32"/>
      <c r="F1293" s="32"/>
      <c r="G1293" s="93">
        <v>-263.02</v>
      </c>
      <c r="H1293" s="93">
        <v>1937.81</v>
      </c>
      <c r="I1293" s="32"/>
      <c r="J1293" s="93">
        <v>20818.67</v>
      </c>
      <c r="K1293" s="32"/>
      <c r="L1293" s="32"/>
      <c r="M1293" s="32"/>
      <c r="N1293" s="32"/>
      <c r="O1293" s="93">
        <v>293370.0</v>
      </c>
      <c r="P1293" s="91">
        <f>IFERROR(__xludf.DUMMYFUNCTION("IFERROR(sum(FILTER($D:$N,$C:$C = $C1293,$A:$A &lt; $A1293,$B:$B = 12)),0) + sum($D1293:$N1293)"),293369.4300000001)</f>
        <v>293369.43</v>
      </c>
      <c r="Q1293" s="92">
        <f t="shared" si="1"/>
        <v>0.5699999999</v>
      </c>
      <c r="R1293" s="91">
        <f t="array" ref="R1293">IFERROR(INDEX('Fund YTD Target Values'!$1:$1000, MATCH($C1293,'Fund YTD Target Values'!$A:$A,0), MATCH($A1293,'Fund YTD Target Values'!$1:$1,0)),0)</f>
        <v>244537.4928</v>
      </c>
      <c r="S1293" s="91">
        <f>IFERROR(__xludf.DUMMYFUNCTION("IFERROR(sum(FILTER('Fund Investment Data'!$V:$V, 'Fund Investment Data'!$C:$C = $C1293, 'Fund Investment Data'!$A:$A &lt; $A1293)),0) + IFERROR(sum(FILTER('Fund Investment Data'!$V:$V, 'Fund Investment Data'!$C:$C = $C1293, 'Fund Investment Data'!$A:$A = $A1"&amp;"293, 'Fund Investment Data'!$B:$B &lt;= $B1293)),0)"),194469.0)</f>
        <v>194469</v>
      </c>
      <c r="T1293" s="93">
        <v>194469.0</v>
      </c>
      <c r="U1293" s="32">
        <f t="shared" si="34"/>
        <v>0</v>
      </c>
      <c r="V1293" s="32">
        <f>IFERROR(__xludf.DUMMYFUNCTION("$D1293 - IFERROR(FILTER($D:$D,$C:$C = $C1293, $A:$A = $A1293, $B:$B = $B1293 - 1),0)"),0.0)</f>
        <v>0</v>
      </c>
      <c r="W1293" s="93">
        <f>IFERROR(__xludf.DUMMYFUNCTION("$E1293 - IFERROR(FILTER($E:$E,$C:$C = $C1293, $A:$A = $A1293, $B:$B = $B1293 - 1),0)"),0.0)</f>
        <v>0</v>
      </c>
      <c r="X1293" s="91">
        <f>IFERROR(__xludf.DUMMYFUNCTION("iFERROR((FILTER('Fund Investment Data'!$Z:$Z, 'Fund Investment Data'!$C:$C = $C1293, 'Fund Investment Data'!$A:$A = $A1293 - 1, 'Fund Investment Data'!$B:$B = 12) + FILTER('Fund Investment Data'!$AB:$AB, 'Fund Investment Data'!$C:$C = $C1293, 'Fund Invest"&amp;"ment Data'!$A:$A = $A1293 - 1, 'Fund Investment Data'!$B:$B = 12)) * (1 + AVERAGE(FILTER('Inflation Data'!$C:$C,'Inflation Data'!$A:$A = ($A1293 - 2)))) * Parameters!$A$4,0)"),7542.876247032937)</f>
        <v>7542.876247</v>
      </c>
      <c r="Y1293" s="91">
        <f>IFERROR(__xludf.DUMMYFUNCTION("IFERROR((IFERROR(FILTER('Fund Investment Data'!$P:$P,'Fund Investment Data'!$C:$C = $C1293,'Fund Investment Data'!$A:$A = ($A1293 - 2), 'Fund Investment Data'!$B:$B = 12),0) - SUM(FILTER('Fund Investment Data'!$V:$V, 'Fund Investment Data'!$C:$C = $C1293,"&amp;" 'Fund Investment Data'!$A:$A = ($A1293 - 2), 'Fund Investment Data'!$B:$B &gt; 3)))  * Parameters!$B$4 * (1 - Parameters!$A$4),0)"),4042.544760000002)</f>
        <v>4042.54476</v>
      </c>
      <c r="Z1293" s="91">
        <f t="shared" si="24"/>
        <v>11585.42101</v>
      </c>
      <c r="AA1293" s="91">
        <f>IFERROR(__xludf.DUMMYFUNCTION("((IFERROR((SUM(FILTER('Fund Investment Data'!$V:$V, 'Fund Investment Data'!$C:$C = $C1293, 'Fund Investment Data'!$A:$A = $A1293 - 1, 'Fund Investment Data'!$B:$B &gt;= 4, 'Fund Investment Data'!$B:$B &lt;= ($B1293 + 5))) / 12) * ($B1293 - 3) * Parameters!$B$4,"&amp;" 0) + IF($B1293 &gt;= 9, IFERROR(SUM(FILTER('Fund Investment Data'!$V:$V, 'Fund Investment Data'!$C:$C = $C1293, 'Fund Investment Data'!$A:$A = $A1293, 'Fund Investment Data'!$B:$B &lt;= 3)) * Parameters!$B$4, 0),0)))"),0.0)</f>
        <v>0</v>
      </c>
      <c r="AB1293" s="32">
        <f>IFERROR(__xludf.DUMMYFUNCTION("IFERROR(((IFERROR(SUM(FILTER('Fund Investment Data'!$V:$V, 'Fund Investment Data'!$C:$C = $C1293, 'Fund Investment Data'!$A:$A = $A1293 - 2, 'Fund Investment Data'!$B:$B &gt;= 4)) * Parameters!$B$4,0) + IFERROR(SUM(FILTER('Fund Investment Data'!$V:$V, 'Fund "&amp;"Investment Data'!$C:$C = $C1293, 'Fund Investment Data'!$A:$A = $A1293 - 1, 'Fund Investment Data'!$B:$B &lt;= 3)) * Parameters!$B$4,0))),0)"),0.0)</f>
        <v>0</v>
      </c>
      <c r="AC1293" s="32">
        <f>IFERROR(__xludf.DUMMYFUNCTION("IFERROR(FILTER($AF:$AF,$C:$C = $C1293,$A:$A = $A1293 - 1,$B:$B = 12),0)"),0.0)</f>
        <v>0</v>
      </c>
      <c r="AD1293" s="32">
        <f t="shared" si="23"/>
        <v>11585.42101</v>
      </c>
      <c r="AE1293" s="32">
        <f t="shared" si="2"/>
        <v>11585.42101</v>
      </c>
      <c r="AF1293" s="32"/>
    </row>
    <row r="1294">
      <c r="A1294" s="86">
        <v>2019.0</v>
      </c>
      <c r="B1294" s="87">
        <v>2.0</v>
      </c>
      <c r="C1294" s="88" t="s">
        <v>43</v>
      </c>
      <c r="D1294" s="32"/>
      <c r="E1294" s="32"/>
      <c r="F1294" s="32"/>
      <c r="G1294" s="93">
        <v>-107.13</v>
      </c>
      <c r="H1294" s="93">
        <v>790.7</v>
      </c>
      <c r="I1294" s="32"/>
      <c r="J1294" s="93">
        <v>8514.53</v>
      </c>
      <c r="K1294" s="32"/>
      <c r="L1294" s="32"/>
      <c r="M1294" s="32"/>
      <c r="N1294" s="32"/>
      <c r="O1294" s="93">
        <v>119496.0</v>
      </c>
      <c r="P1294" s="91">
        <f>IFERROR(__xludf.DUMMYFUNCTION("IFERROR(sum(FILTER($D:$N,$C:$C = $C1294,$A:$A &lt; $A1294,$B:$B = 12)),0) + sum($D1294:$N1294)"),119495.58000000003)</f>
        <v>119495.58</v>
      </c>
      <c r="Q1294" s="92">
        <f t="shared" si="1"/>
        <v>0.42</v>
      </c>
      <c r="R1294" s="91">
        <f t="array" ref="R1294">IFERROR(INDEX('Fund YTD Target Values'!$1:$1000, MATCH($C1294,'Fund YTD Target Values'!$A:$A,0), MATCH($A1294,'Fund YTD Target Values'!$1:$1,0)),0)</f>
        <v>133065.1141</v>
      </c>
      <c r="S1294" s="91">
        <f>IFERROR(__xludf.DUMMYFUNCTION("IFERROR(sum(FILTER('Fund Investment Data'!$V:$V, 'Fund Investment Data'!$C:$C = $C1294, 'Fund Investment Data'!$A:$A &lt; $A1294)),0) + IFERROR(sum(FILTER('Fund Investment Data'!$V:$V, 'Fund Investment Data'!$C:$C = $C1294, 'Fund Investment Data'!$A:$A = $A1"&amp;"294, 'Fund Investment Data'!$B:$B &lt;= $B1294)),0)"),100000.0)</f>
        <v>100000</v>
      </c>
      <c r="T1294" s="93">
        <v>100000.0</v>
      </c>
      <c r="U1294" s="32">
        <f t="shared" si="34"/>
        <v>0</v>
      </c>
      <c r="V1294" s="32">
        <f>IFERROR(__xludf.DUMMYFUNCTION("$D1294 - IFERROR(FILTER($D:$D,$C:$C = $C1294, $A:$A = $A1294, $B:$B = $B1294 - 1),0)"),0.0)</f>
        <v>0</v>
      </c>
      <c r="W1294" s="93">
        <f>IFERROR(__xludf.DUMMYFUNCTION("$E1294 - IFERROR(FILTER($E:$E,$C:$C = $C1294, $A:$A = $A1294, $B:$B = $B1294 - 1),0)"),0.0)</f>
        <v>0</v>
      </c>
      <c r="X1294" s="91">
        <f>IFERROR(__xludf.DUMMYFUNCTION("iFERROR((FILTER('Fund Investment Data'!$Z:$Z, 'Fund Investment Data'!$C:$C = $C1294, 'Fund Investment Data'!$A:$A = $A1294 - 1, 'Fund Investment Data'!$B:$B = 12) + FILTER('Fund Investment Data'!$AB:$AB, 'Fund Investment Data'!$C:$C = $C1294, 'Fund Invest"&amp;"ment Data'!$A:$A = $A1294 - 1, 'Fund Investment Data'!$B:$B = 12)) * (1 + AVERAGE(FILTER('Inflation Data'!$C:$C,'Inflation Data'!$A:$A = ($A1294 - 2)))) * Parameters!$A$4,0)"),4037.921818829265)</f>
        <v>4037.921819</v>
      </c>
      <c r="Y1294" s="91">
        <f>IFERROR(__xludf.DUMMYFUNCTION("IFERROR((IFERROR(FILTER('Fund Investment Data'!$P:$P,'Fund Investment Data'!$C:$C = $C1294,'Fund Investment Data'!$A:$A = ($A1294 - 2), 'Fund Investment Data'!$B:$B = 12),0) - SUM(FILTER('Fund Investment Data'!$V:$V, 'Fund Investment Data'!$C:$C = $C1294,"&amp;" 'Fund Investment Data'!$A:$A = ($A1294 - 2), 'Fund Investment Data'!$B:$B &gt; 3)))  * Parameters!$B$4 * (1 - Parameters!$A$4),0)"),1694.4194250000005)</f>
        <v>1694.419425</v>
      </c>
      <c r="Z1294" s="91">
        <f t="shared" si="24"/>
        <v>5732.341244</v>
      </c>
      <c r="AA1294" s="91">
        <f>IFERROR(__xludf.DUMMYFUNCTION("((IFERROR((SUM(FILTER('Fund Investment Data'!$V:$V, 'Fund Investment Data'!$C:$C = $C1294, 'Fund Investment Data'!$A:$A = $A1294 - 1, 'Fund Investment Data'!$B:$B &gt;= 4, 'Fund Investment Data'!$B:$B &lt;= ($B1294 + 5))) / 12) * ($B1294 - 3) * Parameters!$B$4,"&amp;" 0) + IF($B1294 &gt;= 9, IFERROR(SUM(FILTER('Fund Investment Data'!$V:$V, 'Fund Investment Data'!$C:$C = $C1294, 'Fund Investment Data'!$A:$A = $A1294, 'Fund Investment Data'!$B:$B &lt;= 3)) * Parameters!$B$4, 0),0)))"),0.0)</f>
        <v>0</v>
      </c>
      <c r="AB1294" s="32">
        <f>IFERROR(__xludf.DUMMYFUNCTION("IFERROR(((IFERROR(SUM(FILTER('Fund Investment Data'!$V:$V, 'Fund Investment Data'!$C:$C = $C1294, 'Fund Investment Data'!$A:$A = $A1294 - 2, 'Fund Investment Data'!$B:$B &gt;= 4)) * Parameters!$B$4,0) + IFERROR(SUM(FILTER('Fund Investment Data'!$V:$V, 'Fund "&amp;"Investment Data'!$C:$C = $C1294, 'Fund Investment Data'!$A:$A = $A1294 - 1, 'Fund Investment Data'!$B:$B &lt;= 3)) * Parameters!$B$4,0))),0)"),0.0)</f>
        <v>0</v>
      </c>
      <c r="AC1294" s="32">
        <f>IFERROR(__xludf.DUMMYFUNCTION("IFERROR(FILTER($AF:$AF,$C:$C = $C1294,$A:$A = $A1294 - 1,$B:$B = 12),0)"),0.0)</f>
        <v>0</v>
      </c>
      <c r="AD1294" s="32">
        <f t="shared" si="23"/>
        <v>5732.341244</v>
      </c>
      <c r="AE1294" s="32">
        <f t="shared" si="2"/>
        <v>5732.341244</v>
      </c>
      <c r="AF1294" s="32"/>
    </row>
    <row r="1295">
      <c r="A1295" s="86">
        <v>2019.0</v>
      </c>
      <c r="B1295" s="87">
        <v>2.0</v>
      </c>
      <c r="C1295" s="88" t="s">
        <v>52</v>
      </c>
      <c r="D1295" s="93">
        <v>1000.0</v>
      </c>
      <c r="E1295" s="32"/>
      <c r="F1295" s="32"/>
      <c r="G1295" s="93">
        <v>-1060.51</v>
      </c>
      <c r="H1295" s="93">
        <v>7829.86</v>
      </c>
      <c r="I1295" s="32"/>
      <c r="J1295" s="93">
        <v>84339.95</v>
      </c>
      <c r="K1295" s="32"/>
      <c r="L1295" s="32"/>
      <c r="M1295" s="32"/>
      <c r="N1295" s="32"/>
      <c r="O1295" s="93">
        <v>1183650.0</v>
      </c>
      <c r="P1295" s="91">
        <f>IFERROR(__xludf.DUMMYFUNCTION("IFERROR(sum(FILTER($D:$N,$C:$C = $C1295,$A:$A &lt; $A1295,$B:$B = 12)),0) + sum($D1295:$N1295)"),1183649.3299999998)</f>
        <v>1183649.33</v>
      </c>
      <c r="Q1295" s="92">
        <f t="shared" si="1"/>
        <v>0.6700000002</v>
      </c>
      <c r="R1295" s="91">
        <f t="array" ref="R1295">IFERROR(INDEX('Fund YTD Target Values'!$1:$1000, MATCH($C1295,'Fund YTD Target Values'!$A:$A,0), MATCH($A1295,'Fund YTD Target Values'!$1:$1,0)),0)</f>
        <v>1170797.015</v>
      </c>
      <c r="S1295" s="91">
        <f>IFERROR(__xludf.DUMMYFUNCTION("IFERROR(sum(FILTER('Fund Investment Data'!$V:$V, 'Fund Investment Data'!$C:$C = $C1295, 'Fund Investment Data'!$A:$A &lt; $A1295)),0) + IFERROR(sum(FILTER('Fund Investment Data'!$V:$V, 'Fund Investment Data'!$C:$C = $C1295, 'Fund Investment Data'!$A:$A = $A1"&amp;"295, 'Fund Investment Data'!$B:$B &lt;= $B1295)),0)"),1081136.0)</f>
        <v>1081136</v>
      </c>
      <c r="T1295" s="32"/>
      <c r="U1295" s="32"/>
      <c r="V1295" s="32">
        <f>IFERROR(__xludf.DUMMYFUNCTION("$D1295 - IFERROR(FILTER($D:$D,$C:$C = $C1295, $A:$A = $A1295, $B:$B = $B1295 - 1),0)"),0.0)</f>
        <v>0</v>
      </c>
      <c r="W1295" s="93">
        <f>IFERROR(__xludf.DUMMYFUNCTION("$E1295 - IFERROR(FILTER($E:$E,$C:$C = $C1295, $A:$A = $A1295, $B:$B = $B1295 - 1),0)"),0.0)</f>
        <v>0</v>
      </c>
      <c r="X1295" s="91">
        <f>IFERROR(__xludf.DUMMYFUNCTION("iFERROR((FILTER('Fund Investment Data'!$Z:$Z, 'Fund Investment Data'!$C:$C = $C1295, 'Fund Investment Data'!$A:$A = $A1295 - 1, 'Fund Investment Data'!$B:$B = 12) + FILTER('Fund Investment Data'!$AB:$AB, 'Fund Investment Data'!$C:$C = $C1295, 'Fund Invest"&amp;"ment Data'!$A:$A = $A1295 - 1, 'Fund Investment Data'!$B:$B = 12)) * (1 + AVERAGE(FILTER('Inflation Data'!$C:$C,'Inflation Data'!$A:$A = ($A1295 - 2)))) * Parameters!$A$4,0)"),33647.195102028425)</f>
        <v>33647.1951</v>
      </c>
      <c r="Y1295" s="91">
        <f>IFERROR(__xludf.DUMMYFUNCTION("IFERROR((IFERROR(FILTER('Fund Investment Data'!$P:$P,'Fund Investment Data'!$C:$C = $C1295,'Fund Investment Data'!$A:$A = ($A1295 - 2), 'Fund Investment Data'!$B:$B = 12),0) - SUM(FILTER('Fund Investment Data'!$V:$V, 'Fund Investment Data'!$C:$C = $C1295,"&amp;" 'Fund Investment Data'!$A:$A = ($A1295 - 2), 'Fund Investment Data'!$B:$B &gt; 3)))  * Parameters!$B$4 * (1 - Parameters!$A$4),0)"),15672.907755)</f>
        <v>15672.90776</v>
      </c>
      <c r="Z1295" s="91">
        <f t="shared" si="24"/>
        <v>49320.10286</v>
      </c>
      <c r="AA1295" s="91">
        <f>IFERROR(__xludf.DUMMYFUNCTION("((IFERROR((SUM(FILTER('Fund Investment Data'!$V:$V, 'Fund Investment Data'!$C:$C = $C1295, 'Fund Investment Data'!$A:$A = $A1295 - 1, 'Fund Investment Data'!$B:$B &gt;= 4, 'Fund Investment Data'!$B:$B &lt;= ($B1295 + 5))) / 12) * ($B1295 - 3) * Parameters!$B$4,"&amp;" 0) + IF($B1295 &gt;= 9, IFERROR(SUM(FILTER('Fund Investment Data'!$V:$V, 'Fund Investment Data'!$C:$C = $C1295, 'Fund Investment Data'!$A:$A = $A1295, 'Fund Investment Data'!$B:$B &lt;= 3)) * Parameters!$B$4, 0),0)))"),0.0)</f>
        <v>0</v>
      </c>
      <c r="AB1295" s="32">
        <f>IFERROR(__xludf.DUMMYFUNCTION("IFERROR(((IFERROR(SUM(FILTER('Fund Investment Data'!$V:$V, 'Fund Investment Data'!$C:$C = $C1295, 'Fund Investment Data'!$A:$A = $A1295 - 2, 'Fund Investment Data'!$B:$B &gt;= 4)) * Parameters!$B$4,0) + IFERROR(SUM(FILTER('Fund Investment Data'!$V:$V, 'Fund "&amp;"Investment Data'!$C:$C = $C1295, 'Fund Investment Data'!$A:$A = $A1295 - 1, 'Fund Investment Data'!$B:$B &lt;= 3)) * Parameters!$B$4,0))),0)"),3532.5)</f>
        <v>3532.5</v>
      </c>
      <c r="AC1295" s="32">
        <f>IFERROR(__xludf.DUMMYFUNCTION("IFERROR(FILTER($AF:$AF,$C:$C = $C1295,$A:$A = $A1295 - 1,$B:$B = 12),0)"),0.0)</f>
        <v>0</v>
      </c>
      <c r="AD1295" s="32">
        <f t="shared" si="23"/>
        <v>52852.60286</v>
      </c>
      <c r="AE1295" s="32">
        <f t="shared" si="2"/>
        <v>52852.60286</v>
      </c>
      <c r="AF1295" s="32"/>
    </row>
    <row r="1296">
      <c r="A1296" s="86">
        <v>2019.0</v>
      </c>
      <c r="B1296" s="87">
        <v>2.0</v>
      </c>
      <c r="C1296" s="88" t="s">
        <v>33</v>
      </c>
      <c r="D1296" s="32"/>
      <c r="E1296" s="32"/>
      <c r="F1296" s="32"/>
      <c r="G1296" s="93">
        <v>-303.91</v>
      </c>
      <c r="H1296" s="93">
        <v>2243.41</v>
      </c>
      <c r="I1296" s="32"/>
      <c r="J1296" s="93">
        <v>24157.95</v>
      </c>
      <c r="K1296" s="32"/>
      <c r="L1296" s="32"/>
      <c r="M1296" s="32"/>
      <c r="N1296" s="32"/>
      <c r="O1296" s="93">
        <v>339042.0</v>
      </c>
      <c r="P1296" s="91">
        <f>IFERROR(__xludf.DUMMYFUNCTION("IFERROR(sum(FILTER($D:$N,$C:$C = $C1296,$A:$A &lt; $A1296,$B:$B = 12)),0) + sum($D1296:$N1296)"),339042.62999999983)</f>
        <v>339042.63</v>
      </c>
      <c r="Q1296" s="92">
        <f t="shared" si="1"/>
        <v>-0.6299999998</v>
      </c>
      <c r="R1296" s="91">
        <f t="array" ref="R1296">IFERROR(INDEX('Fund YTD Target Values'!$1:$1000, MATCH($C1296,'Fund YTD Target Values'!$A:$A,0), MATCH($A1296,'Fund YTD Target Values'!$1:$1,0)),0)</f>
        <v>522221.9976</v>
      </c>
      <c r="S1296" s="91">
        <f>IFERROR(__xludf.DUMMYFUNCTION("IFERROR(sum(FILTER('Fund Investment Data'!$V:$V, 'Fund Investment Data'!$C:$C = $C1296, 'Fund Investment Data'!$A:$A &lt; $A1296)),0) + IFERROR(sum(FILTER('Fund Investment Data'!$V:$V, 'Fund Investment Data'!$C:$C = $C1296, 'Fund Investment Data'!$A:$A = $A1"&amp;"296, 'Fund Investment Data'!$B:$B &lt;= $B1296)),0)"),325871.6399999999)</f>
        <v>325871.64</v>
      </c>
      <c r="T1296" s="93">
        <v>326032.0</v>
      </c>
      <c r="U1296" s="32">
        <f t="shared" ref="U1296:U1297" si="35">S1296-T1296</f>
        <v>-160.36</v>
      </c>
      <c r="V1296" s="32">
        <f>IFERROR(__xludf.DUMMYFUNCTION("$D1296 - IFERROR(FILTER($D:$D,$C:$C = $C1296, $A:$A = $A1296, $B:$B = $B1296 - 1),0)"),0.0)</f>
        <v>0</v>
      </c>
      <c r="W1296" s="93">
        <f>IFERROR(__xludf.DUMMYFUNCTION("$E1296 - IFERROR(FILTER($E:$E,$C:$C = $C1296, $A:$A = $A1296, $B:$B = $B1296 - 1),0)"),0.0)</f>
        <v>0</v>
      </c>
      <c r="X1296" s="91">
        <f>IFERROR(__xludf.DUMMYFUNCTION("iFERROR((FILTER('Fund Investment Data'!$Z:$Z, 'Fund Investment Data'!$C:$C = $C1296, 'Fund Investment Data'!$A:$A = $A1296 - 1, 'Fund Investment Data'!$B:$B = 12) + FILTER('Fund Investment Data'!$AB:$AB, 'Fund Investment Data'!$C:$C = $C1296, 'Fund Invest"&amp;"ment Data'!$A:$A = $A1296 - 1, 'Fund Investment Data'!$B:$B = 12)) * (1 + AVERAGE(FILTER('Inflation Data'!$C:$C,'Inflation Data'!$A:$A = ($A1296 - 2)))) * Parameters!$A$4,0)"),11487.702435867292)</f>
        <v>11487.70244</v>
      </c>
      <c r="Y1296" s="91">
        <f>IFERROR(__xludf.DUMMYFUNCTION("IFERROR((IFERROR(FILTER('Fund Investment Data'!$P:$P,'Fund Investment Data'!$C:$C = $C1296,'Fund Investment Data'!$A:$A = ($A1296 - 2), 'Fund Investment Data'!$B:$B = 12),0) - SUM(FILTER('Fund Investment Data'!$V:$V, 'Fund Investment Data'!$C:$C = $C1296,"&amp;" 'Fund Investment Data'!$A:$A = ($A1296 - 2), 'Fund Investment Data'!$B:$B &gt; 3)))  * Parameters!$B$4 * (1 - Parameters!$A$4),0)"),4820.5455749999965)</f>
        <v>4820.545575</v>
      </c>
      <c r="Z1296" s="91">
        <f t="shared" si="24"/>
        <v>16308.24801</v>
      </c>
      <c r="AA1296" s="91">
        <f>IFERROR(__xludf.DUMMYFUNCTION("((IFERROR((SUM(FILTER('Fund Investment Data'!$V:$V, 'Fund Investment Data'!$C:$C = $C1296, 'Fund Investment Data'!$A:$A = $A1296 - 1, 'Fund Investment Data'!$B:$B &gt;= 4, 'Fund Investment Data'!$B:$B &lt;= ($B1296 + 5))) / 12) * ($B1296 - 3) * Parameters!$B$4,"&amp;" 0) + IF($B1296 &gt;= 9, IFERROR(SUM(FILTER('Fund Investment Data'!$V:$V, 'Fund Investment Data'!$C:$C = $C1296, 'Fund Investment Data'!$A:$A = $A1296, 'Fund Investment Data'!$B:$B &lt;= 3)) * Parameters!$B$4, 0),0)))"),0.0)</f>
        <v>0</v>
      </c>
      <c r="AB1296" s="32">
        <f>IFERROR(__xludf.DUMMYFUNCTION("IFERROR(((IFERROR(SUM(FILTER('Fund Investment Data'!$V:$V, 'Fund Investment Data'!$C:$C = $C1296, 'Fund Investment Data'!$A:$A = $A1296 - 2, 'Fund Investment Data'!$B:$B &gt;= 4)) * Parameters!$B$4,0) + IFERROR(SUM(FILTER('Fund Investment Data'!$V:$V, 'Fund "&amp;"Investment Data'!$C:$C = $C1296, 'Fund Investment Data'!$A:$A = $A1296 - 1, 'Fund Investment Data'!$B:$B &lt;= 3)) * Parameters!$B$4,0))),0)"),0.0)</f>
        <v>0</v>
      </c>
      <c r="AC1296" s="32">
        <f>IFERROR(__xludf.DUMMYFUNCTION("IFERROR(FILTER($AF:$AF,$C:$C = $C1296,$A:$A = $A1296 - 1,$B:$B = 12),0)"),0.0)</f>
        <v>0</v>
      </c>
      <c r="AD1296" s="32">
        <f t="shared" si="23"/>
        <v>16308.24801</v>
      </c>
      <c r="AE1296" s="32">
        <f t="shared" si="2"/>
        <v>16308.24801</v>
      </c>
      <c r="AF1296" s="32"/>
    </row>
    <row r="1297">
      <c r="A1297" s="86">
        <v>2019.0</v>
      </c>
      <c r="B1297" s="87">
        <v>2.0</v>
      </c>
      <c r="C1297" s="88" t="s">
        <v>53</v>
      </c>
      <c r="D1297" s="32"/>
      <c r="E1297" s="32"/>
      <c r="F1297" s="32"/>
      <c r="G1297" s="93">
        <v>-1986.09</v>
      </c>
      <c r="H1297" s="93">
        <v>14459.45</v>
      </c>
      <c r="I1297" s="32"/>
      <c r="J1297" s="93">
        <v>154625.32</v>
      </c>
      <c r="K1297" s="32"/>
      <c r="L1297" s="32"/>
      <c r="M1297" s="32"/>
      <c r="N1297" s="32"/>
      <c r="O1297" s="93">
        <v>2213634.0</v>
      </c>
      <c r="P1297" s="91">
        <f>IFERROR(__xludf.DUMMYFUNCTION("IFERROR(sum(FILTER($D:$N,$C:$C = $C1297,$A:$A &lt; $A1297,$B:$B = 12)),0) + sum($D1297:$N1297)"),2213633.56)</f>
        <v>2213633.56</v>
      </c>
      <c r="Q1297" s="92">
        <f t="shared" si="1"/>
        <v>0.4399999999</v>
      </c>
      <c r="R1297" s="91">
        <f t="array" ref="R1297">IFERROR(INDEX('Fund YTD Target Values'!$1:$1000, MATCH($C1297,'Fund YTD Target Values'!$A:$A,0), MATCH($A1297,'Fund YTD Target Values'!$1:$1,0)),0)</f>
        <v>2265063.703</v>
      </c>
      <c r="S1297" s="91">
        <f>IFERROR(__xludf.DUMMYFUNCTION("IFERROR(sum(FILTER('Fund Investment Data'!$V:$V, 'Fund Investment Data'!$C:$C = $C1297, 'Fund Investment Data'!$A:$A &lt; $A1297)),0) + IFERROR(sum(FILTER('Fund Investment Data'!$V:$V, 'Fund Investment Data'!$C:$C = $C1297, 'Fund Investment Data'!$A:$A = $A1"&amp;"297, 'Fund Investment Data'!$B:$B &lt;= $B1297)),0)"),2005500.0)</f>
        <v>2005500</v>
      </c>
      <c r="T1297" s="93">
        <v>2005500.0</v>
      </c>
      <c r="U1297" s="32">
        <f t="shared" si="35"/>
        <v>0</v>
      </c>
      <c r="V1297" s="32">
        <f>IFERROR(__xludf.DUMMYFUNCTION("$D1297 - IFERROR(FILTER($D:$D,$C:$C = $C1297, $A:$A = $A1297, $B:$B = $B1297 - 1),0)"),0.0)</f>
        <v>0</v>
      </c>
      <c r="W1297" s="93">
        <f>IFERROR(__xludf.DUMMYFUNCTION("$E1297 - IFERROR(FILTER($E:$E,$C:$C = $C1297, $A:$A = $A1297, $B:$B = $B1297 - 1),0)"),0.0)</f>
        <v>0</v>
      </c>
      <c r="X1297" s="91">
        <f>IFERROR(__xludf.DUMMYFUNCTION("iFERROR((FILTER('Fund Investment Data'!$Z:$Z, 'Fund Investment Data'!$C:$C = $C1297, 'Fund Investment Data'!$A:$A = $A1297 - 1, 'Fund Investment Data'!$B:$B = 12) + FILTER('Fund Investment Data'!$AB:$AB, 'Fund Investment Data'!$C:$C = $C1297, 'Fund Invest"&amp;"ment Data'!$A:$A = $A1297 - 1, 'Fund Investment Data'!$B:$B = 12)) * (1 + AVERAGE(FILTER('Inflation Data'!$C:$C,'Inflation Data'!$A:$A = ($A1297 - 2)))) * Parameters!$A$4,0)"),69866.97627398264)</f>
        <v>69866.97627</v>
      </c>
      <c r="Y1297" s="91">
        <f>IFERROR(__xludf.DUMMYFUNCTION("IFERROR((IFERROR(FILTER('Fund Investment Data'!$P:$P,'Fund Investment Data'!$C:$C = $C1297,'Fund Investment Data'!$A:$A = ($A1297 - 2), 'Fund Investment Data'!$B:$B = 12),0) - SUM(FILTER('Fund Investment Data'!$V:$V, 'Fund Investment Data'!$C:$C = $C1297,"&amp;" 'Fund Investment Data'!$A:$A = ($A1297 - 2), 'Fund Investment Data'!$B:$B &gt; 3)))  * Parameters!$B$4 * (1 - Parameters!$A$4),0)"),30716.748180000002)</f>
        <v>30716.74818</v>
      </c>
      <c r="Z1297" s="91">
        <f t="shared" si="24"/>
        <v>100583.7245</v>
      </c>
      <c r="AA1297" s="91">
        <f>IFERROR(__xludf.DUMMYFUNCTION("((IFERROR((SUM(FILTER('Fund Investment Data'!$V:$V, 'Fund Investment Data'!$C:$C = $C1297, 'Fund Investment Data'!$A:$A = $A1297 - 1, 'Fund Investment Data'!$B:$B &gt;= 4, 'Fund Investment Data'!$B:$B &lt;= ($B1297 + 5))) / 12) * ($B1297 - 3) * Parameters!$B$4,"&amp;" 0) + IF($B1297 &gt;= 9, IFERROR(SUM(FILTER('Fund Investment Data'!$V:$V, 'Fund Investment Data'!$C:$C = $C1297, 'Fund Investment Data'!$A:$A = $A1297, 'Fund Investment Data'!$B:$B &lt;= 3)) * Parameters!$B$4, 0),0)))"),0.0)</f>
        <v>0</v>
      </c>
      <c r="AB1297" s="32">
        <f>IFERROR(__xludf.DUMMYFUNCTION("IFERROR(((IFERROR(SUM(FILTER('Fund Investment Data'!$V:$V, 'Fund Investment Data'!$C:$C = $C1297, 'Fund Investment Data'!$A:$A = $A1297 - 2, 'Fund Investment Data'!$B:$B &gt;= 4)) * Parameters!$B$4,0) + IFERROR(SUM(FILTER('Fund Investment Data'!$V:$V, 'Fund "&amp;"Investment Data'!$C:$C = $C1297, 'Fund Investment Data'!$A:$A = $A1297 - 1, 'Fund Investment Data'!$B:$B &lt;= 3)) * Parameters!$B$4,0))),0)"),0.0)</f>
        <v>0</v>
      </c>
      <c r="AC1297" s="32">
        <f>IFERROR(__xludf.DUMMYFUNCTION("IFERROR(FILTER($AF:$AF,$C:$C = $C1297,$A:$A = $A1297 - 1,$B:$B = 12),0)"),43500.0)</f>
        <v>43500</v>
      </c>
      <c r="AD1297" s="32">
        <f t="shared" si="23"/>
        <v>144083.7245</v>
      </c>
      <c r="AE1297" s="32">
        <f t="shared" si="2"/>
        <v>144083.7245</v>
      </c>
      <c r="AF1297" s="32"/>
    </row>
    <row r="1298">
      <c r="A1298" s="86">
        <v>2019.0</v>
      </c>
      <c r="B1298" s="87">
        <v>2.0</v>
      </c>
      <c r="C1298" s="88" t="s">
        <v>34</v>
      </c>
      <c r="D1298" s="32"/>
      <c r="E1298" s="32"/>
      <c r="F1298" s="32"/>
      <c r="G1298" s="93">
        <v>-127.64</v>
      </c>
      <c r="H1298" s="93">
        <v>942.3</v>
      </c>
      <c r="I1298" s="32"/>
      <c r="J1298" s="93">
        <v>10147.6</v>
      </c>
      <c r="K1298" s="32"/>
      <c r="L1298" s="32"/>
      <c r="M1298" s="32"/>
      <c r="N1298" s="32"/>
      <c r="O1298" s="93">
        <v>142402.0</v>
      </c>
      <c r="P1298" s="91">
        <f>IFERROR(__xludf.DUMMYFUNCTION("IFERROR(sum(FILTER($D:$N,$C:$C = $C1298,$A:$A &lt; $A1298,$B:$B = 12)),0) + sum($D1298:$N1298)"),142401.52999999997)</f>
        <v>142401.53</v>
      </c>
      <c r="Q1298" s="92">
        <f t="shared" si="1"/>
        <v>0.47</v>
      </c>
      <c r="R1298" s="91">
        <f t="array" ref="R1298">IFERROR(INDEX('Fund YTD Target Values'!$1:$1000, MATCH($C1298,'Fund YTD Target Values'!$A:$A,0), MATCH($A1298,'Fund YTD Target Values'!$1:$1,0)),0)</f>
        <v>137779.5763</v>
      </c>
      <c r="S1298" s="91">
        <f>IFERROR(__xludf.DUMMYFUNCTION("IFERROR(sum(FILTER('Fund Investment Data'!$V:$V, 'Fund Investment Data'!$C:$C = $C1298, 'Fund Investment Data'!$A:$A &lt; $A1298)),0) + IFERROR(sum(FILTER('Fund Investment Data'!$V:$V, 'Fund Investment Data'!$C:$C = $C1298, 'Fund Investment Data'!$A:$A = $A1"&amp;"298, 'Fund Investment Data'!$B:$B &lt;= $B1298)),0)"),125000.0)</f>
        <v>125000</v>
      </c>
      <c r="T1298" s="32"/>
      <c r="U1298" s="32"/>
      <c r="V1298" s="32">
        <f>IFERROR(__xludf.DUMMYFUNCTION("$D1298 - IFERROR(FILTER($D:$D,$C:$C = $C1298, $A:$A = $A1298, $B:$B = $B1298 - 1),0)"),0.0)</f>
        <v>0</v>
      </c>
      <c r="W1298" s="93">
        <f>IFERROR(__xludf.DUMMYFUNCTION("$E1298 - IFERROR(FILTER($E:$E,$C:$C = $C1298, $A:$A = $A1298, $B:$B = $B1298 - 1),0)"),0.0)</f>
        <v>0</v>
      </c>
      <c r="X1298" s="91">
        <f>IFERROR(__xludf.DUMMYFUNCTION("iFERROR((FILTER('Fund Investment Data'!$Z:$Z, 'Fund Investment Data'!$C:$C = $C1298, 'Fund Investment Data'!$A:$A = $A1298 - 1, 'Fund Investment Data'!$B:$B = 12) + FILTER('Fund Investment Data'!$AB:$AB, 'Fund Investment Data'!$C:$C = $C1298, 'Fund Invest"&amp;"ment Data'!$A:$A = $A1298 - 1, 'Fund Investment Data'!$B:$B = 12)) * (1 + AVERAGE(FILTER('Inflation Data'!$C:$C,'Inflation Data'!$A:$A = ($A1298 - 2)))) * Parameters!$A$4,0)"),4414.569951711041)</f>
        <v>4414.569952</v>
      </c>
      <c r="Y1298" s="91">
        <f>IFERROR(__xludf.DUMMYFUNCTION("IFERROR((IFERROR(FILTER('Fund Investment Data'!$P:$P,'Fund Investment Data'!$C:$C = $C1298,'Fund Investment Data'!$A:$A = ($A1298 - 2), 'Fund Investment Data'!$B:$B = 12),0) - SUM(FILTER('Fund Investment Data'!$V:$V, 'Fund Investment Data'!$C:$C = $C1298,"&amp;" 'Fund Investment Data'!$A:$A = ($A1298 - 2), 'Fund Investment Data'!$B:$B &gt; 3)))  * Parameters!$B$4 * (1 - Parameters!$A$4),0)"),1947.8901600000004)</f>
        <v>1947.89016</v>
      </c>
      <c r="Z1298" s="91">
        <f t="shared" si="24"/>
        <v>6362.460112</v>
      </c>
      <c r="AA1298" s="91">
        <f>IFERROR(__xludf.DUMMYFUNCTION("((IFERROR((SUM(FILTER('Fund Investment Data'!$V:$V, 'Fund Investment Data'!$C:$C = $C1298, 'Fund Investment Data'!$A:$A = $A1298 - 1, 'Fund Investment Data'!$B:$B &gt;= 4, 'Fund Investment Data'!$B:$B &lt;= ($B1298 + 5))) / 12) * ($B1298 - 3) * Parameters!$B$4,"&amp;" 0) + IF($B1298 &gt;= 9, IFERROR(SUM(FILTER('Fund Investment Data'!$V:$V, 'Fund Investment Data'!$C:$C = $C1298, 'Fund Investment Data'!$A:$A = $A1298, 'Fund Investment Data'!$B:$B &lt;= 3)) * Parameters!$B$4, 0),0)))"),0.0)</f>
        <v>0</v>
      </c>
      <c r="AB1298" s="32">
        <f>IFERROR(__xludf.DUMMYFUNCTION("IFERROR(((IFERROR(SUM(FILTER('Fund Investment Data'!$V:$V, 'Fund Investment Data'!$C:$C = $C1298, 'Fund Investment Data'!$A:$A = $A1298 - 2, 'Fund Investment Data'!$B:$B &gt;= 4)) * Parameters!$B$4,0) + IFERROR(SUM(FILTER('Fund Investment Data'!$V:$V, 'Fund "&amp;"Investment Data'!$C:$C = $C1298, 'Fund Investment Data'!$A:$A = $A1298 - 1, 'Fund Investment Data'!$B:$B &lt;= 3)) * Parameters!$B$4,0))),0)"),0.0)</f>
        <v>0</v>
      </c>
      <c r="AC1298" s="32">
        <f>IFERROR(__xludf.DUMMYFUNCTION("IFERROR(FILTER($AF:$AF,$C:$C = $C1298,$A:$A = $A1298 - 1,$B:$B = 12),0)"),0.0)</f>
        <v>0</v>
      </c>
      <c r="AD1298" s="32">
        <f t="shared" si="23"/>
        <v>6362.460112</v>
      </c>
      <c r="AE1298" s="32">
        <f t="shared" si="2"/>
        <v>6362.460112</v>
      </c>
      <c r="AF1298" s="32"/>
    </row>
    <row r="1299">
      <c r="A1299" s="86">
        <v>2019.0</v>
      </c>
      <c r="B1299" s="87">
        <v>2.0</v>
      </c>
      <c r="C1299" s="88" t="s">
        <v>54</v>
      </c>
      <c r="D1299" s="93">
        <v>100.0</v>
      </c>
      <c r="E1299" s="32"/>
      <c r="F1299" s="32"/>
      <c r="G1299" s="93">
        <v>-150.53</v>
      </c>
      <c r="H1299" s="93">
        <v>1109.25</v>
      </c>
      <c r="I1299" s="32"/>
      <c r="J1299" s="93">
        <v>11922.96</v>
      </c>
      <c r="K1299" s="32"/>
      <c r="L1299" s="32"/>
      <c r="M1299" s="32"/>
      <c r="N1299" s="32"/>
      <c r="O1299" s="93">
        <v>167948.0</v>
      </c>
      <c r="P1299" s="91">
        <f>IFERROR(__xludf.DUMMYFUNCTION("IFERROR(sum(FILTER($D:$N,$C:$C = $C1299,$A:$A &lt; $A1299,$B:$B = 12)),0) + sum($D1299:$N1299)"),167948.72999999995)</f>
        <v>167948.73</v>
      </c>
      <c r="Q1299" s="92">
        <f t="shared" si="1"/>
        <v>-0.73</v>
      </c>
      <c r="R1299" s="91">
        <f t="array" ref="R1299">IFERROR(INDEX('Fund YTD Target Values'!$1:$1000, MATCH($C1299,'Fund YTD Target Values'!$A:$A,0), MATCH($A1299,'Fund YTD Target Values'!$1:$1,0)),0)</f>
        <v>158496.8702</v>
      </c>
      <c r="S1299" s="91">
        <f>IFERROR(__xludf.DUMMYFUNCTION("IFERROR(sum(FILTER('Fund Investment Data'!$V:$V, 'Fund Investment Data'!$C:$C = $C1299, 'Fund Investment Data'!$A:$A &lt; $A1299)),0) + IFERROR(sum(FILTER('Fund Investment Data'!$V:$V, 'Fund Investment Data'!$C:$C = $C1299, 'Fund Investment Data'!$A:$A = $A1"&amp;"299, 'Fund Investment Data'!$B:$B &lt;= $B1299)),0)"),112567.10999999999)</f>
        <v>112567.11</v>
      </c>
      <c r="T1299" s="32"/>
      <c r="U1299" s="32"/>
      <c r="V1299" s="32">
        <f>IFERROR(__xludf.DUMMYFUNCTION("$D1299 - IFERROR(FILTER($D:$D,$C:$C = $C1299, $A:$A = $A1299, $B:$B = $B1299 - 1),0)"),0.0)</f>
        <v>0</v>
      </c>
      <c r="W1299" s="93">
        <f>IFERROR(__xludf.DUMMYFUNCTION("$E1299 - IFERROR(FILTER($E:$E,$C:$C = $C1299, $A:$A = $A1299, $B:$B = $B1299 - 1),0)"),0.0)</f>
        <v>0</v>
      </c>
      <c r="X1299" s="91">
        <f>IFERROR(__xludf.DUMMYFUNCTION("iFERROR((FILTER('Fund Investment Data'!$Z:$Z, 'Fund Investment Data'!$C:$C = $C1299, 'Fund Investment Data'!$A:$A = $A1299 - 1, 'Fund Investment Data'!$B:$B = 12) + FILTER('Fund Investment Data'!$AB:$AB, 'Fund Investment Data'!$C:$C = $C1299, 'Fund Invest"&amp;"ment Data'!$A:$A = $A1299 - 1, 'Fund Investment Data'!$B:$B = 12)) * (1 + AVERAGE(FILTER('Inflation Data'!$C:$C,'Inflation Data'!$A:$A = ($A1299 - 2)))) * Parameters!$A$4,0)"),5306.102894924851)</f>
        <v>5306.102895</v>
      </c>
      <c r="Y1299" s="91">
        <f>IFERROR(__xludf.DUMMYFUNCTION("IFERROR((IFERROR(FILTER('Fund Investment Data'!$P:$P,'Fund Investment Data'!$C:$C = $C1299,'Fund Investment Data'!$A:$A = ($A1299 - 2), 'Fund Investment Data'!$B:$B = 12),0) - SUM(FILTER('Fund Investment Data'!$V:$V, 'Fund Investment Data'!$C:$C = $C1299,"&amp;" 'Fund Investment Data'!$A:$A = ($A1299 - 2), 'Fund Investment Data'!$B:$B &gt; 3)))  * Parameters!$B$4 * (1 - Parameters!$A$4),0)"),2330.059095)</f>
        <v>2330.059095</v>
      </c>
      <c r="Z1299" s="91">
        <f t="shared" si="24"/>
        <v>7636.16199</v>
      </c>
      <c r="AA1299" s="91">
        <f>IFERROR(__xludf.DUMMYFUNCTION("((IFERROR((SUM(FILTER('Fund Investment Data'!$V:$V, 'Fund Investment Data'!$C:$C = $C1299, 'Fund Investment Data'!$A:$A = $A1299 - 1, 'Fund Investment Data'!$B:$B &gt;= 4, 'Fund Investment Data'!$B:$B &lt;= ($B1299 + 5))) / 12) * ($B1299 - 3) * Parameters!$B$4,"&amp;" 0) + IF($B1299 &gt;= 9, IFERROR(SUM(FILTER('Fund Investment Data'!$V:$V, 'Fund Investment Data'!$C:$C = $C1299, 'Fund Investment Data'!$A:$A = $A1299, 'Fund Investment Data'!$B:$B &lt;= 3)) * Parameters!$B$4, 0),0)))"),-0.13124999999999998)</f>
        <v>-0.13125</v>
      </c>
      <c r="AB1299" s="32">
        <f>IFERROR(__xludf.DUMMYFUNCTION("IFERROR(((IFERROR(SUM(FILTER('Fund Investment Data'!$V:$V, 'Fund Investment Data'!$C:$C = $C1299, 'Fund Investment Data'!$A:$A = $A1299 - 2, 'Fund Investment Data'!$B:$B &gt;= 4)) * Parameters!$B$4,0) + IFERROR(SUM(FILTER('Fund Investment Data'!$V:$V, 'Fund "&amp;"Investment Data'!$C:$C = $C1299, 'Fund Investment Data'!$A:$A = $A1299 - 1, 'Fund Investment Data'!$B:$B &lt;= 3)) * Parameters!$B$4,0))),0)"),13.32)</f>
        <v>13.32</v>
      </c>
      <c r="AC1299" s="32">
        <f>IFERROR(__xludf.DUMMYFUNCTION("IFERROR(FILTER($AF:$AF,$C:$C = $C1299,$A:$A = $A1299 - 1,$B:$B = 12),0)"),0.0)</f>
        <v>0</v>
      </c>
      <c r="AD1299" s="32">
        <f t="shared" si="23"/>
        <v>7649.35074</v>
      </c>
      <c r="AE1299" s="32">
        <f t="shared" si="2"/>
        <v>7649.35074</v>
      </c>
      <c r="AF1299" s="32"/>
    </row>
    <row r="1300">
      <c r="A1300" s="86">
        <v>2019.0</v>
      </c>
      <c r="B1300" s="87">
        <v>2.0</v>
      </c>
      <c r="C1300" s="88" t="s">
        <v>55</v>
      </c>
      <c r="D1300" s="32"/>
      <c r="E1300" s="32"/>
      <c r="F1300" s="32"/>
      <c r="G1300" s="93">
        <v>-267.27</v>
      </c>
      <c r="H1300" s="93">
        <v>1729.77</v>
      </c>
      <c r="I1300" s="32"/>
      <c r="J1300" s="93">
        <v>15674.07</v>
      </c>
      <c r="K1300" s="32"/>
      <c r="L1300" s="32"/>
      <c r="M1300" s="32"/>
      <c r="N1300" s="32"/>
      <c r="O1300" s="93">
        <v>294668.0</v>
      </c>
      <c r="P1300" s="91">
        <f>IFERROR(__xludf.DUMMYFUNCTION("IFERROR(sum(FILTER($D:$N,$C:$C = $C1300,$A:$A &lt; $A1300,$B:$B = 12)),0) + sum($D1300:$N1300)"),294667.50999999995)</f>
        <v>294667.51</v>
      </c>
      <c r="Q1300" s="92">
        <f t="shared" si="1"/>
        <v>0.49</v>
      </c>
      <c r="R1300" s="91">
        <f t="array" ref="R1300">IFERROR(INDEX('Fund YTD Target Values'!$1:$1000, MATCH($C1300,'Fund YTD Target Values'!$A:$A,0), MATCH($A1300,'Fund YTD Target Values'!$1:$1,0)),0)</f>
        <v>364349.1694</v>
      </c>
      <c r="S1300" s="91">
        <f>IFERROR(__xludf.DUMMYFUNCTION("IFERROR(sum(FILTER('Fund Investment Data'!$V:$V, 'Fund Investment Data'!$C:$C = $C1300, 'Fund Investment Data'!$A:$A &lt; $A1300)),0) + IFERROR(sum(FILTER('Fund Investment Data'!$V:$V, 'Fund Investment Data'!$C:$C = $C1300, 'Fund Investment Data'!$A:$A = $A1"&amp;"300, 'Fund Investment Data'!$B:$B &lt;= $B1300)),0)"),280000.0)</f>
        <v>280000</v>
      </c>
      <c r="T1300" s="32"/>
      <c r="U1300" s="32"/>
      <c r="V1300" s="32">
        <f>IFERROR(__xludf.DUMMYFUNCTION("$D1300 - IFERROR(FILTER($D:$D,$C:$C = $C1300, $A:$A = $A1300, $B:$B = $B1300 - 1),0)"),0.0)</f>
        <v>0</v>
      </c>
      <c r="W1300" s="93">
        <f>IFERROR(__xludf.DUMMYFUNCTION("$E1300 - IFERROR(FILTER($E:$E,$C:$C = $C1300, $A:$A = $A1300, $B:$B = $B1300 - 1),0)"),0.0)</f>
        <v>0</v>
      </c>
      <c r="X1300" s="91">
        <f>IFERROR(__xludf.DUMMYFUNCTION("iFERROR((FILTER('Fund Investment Data'!$Z:$Z, 'Fund Investment Data'!$C:$C = $C1300, 'Fund Investment Data'!$A:$A = $A1300 - 1, 'Fund Investment Data'!$B:$B = 12) + FILTER('Fund Investment Data'!$AB:$AB, 'Fund Investment Data'!$C:$C = $C1300, 'Fund Invest"&amp;"ment Data'!$A:$A = $A1300 - 1, 'Fund Investment Data'!$B:$B = 12)) * (1 + AVERAGE(FILTER('Inflation Data'!$C:$C,'Inflation Data'!$A:$A = ($A1300 - 2)))) * Parameters!$A$4,0)"),6881.036839036868)</f>
        <v>6881.036839</v>
      </c>
      <c r="Y1300" s="91">
        <f>IFERROR(__xludf.DUMMYFUNCTION("IFERROR((IFERROR(FILTER('Fund Investment Data'!$P:$P,'Fund Investment Data'!$C:$C = $C1300,'Fund Investment Data'!$A:$A = ($A1300 - 2), 'Fund Investment Data'!$B:$B = 12),0) - SUM(FILTER('Fund Investment Data'!$V:$V, 'Fund Investment Data'!$C:$C = $C1300,"&amp;" 'Fund Investment Data'!$A:$A = ($A1300 - 2), 'Fund Investment Data'!$B:$B &gt; 3)))  * Parameters!$B$4 * (1 - Parameters!$A$4),0)"),2147.3742599999996)</f>
        <v>2147.37426</v>
      </c>
      <c r="Z1300" s="91">
        <f t="shared" si="24"/>
        <v>9028.411099</v>
      </c>
      <c r="AA1300" s="91">
        <f>IFERROR(__xludf.DUMMYFUNCTION("((IFERROR((SUM(FILTER('Fund Investment Data'!$V:$V, 'Fund Investment Data'!$C:$C = $C1300, 'Fund Investment Data'!$A:$A = $A1300 - 1, 'Fund Investment Data'!$B:$B &gt;= 4, 'Fund Investment Data'!$B:$B &lt;= ($B1300 + 5))) / 12) * ($B1300 - 3) * Parameters!$B$4,"&amp;" 0) + IF($B1300 &gt;= 9, IFERROR(SUM(FILTER('Fund Investment Data'!$V:$V, 'Fund Investment Data'!$C:$C = $C1300, 'Fund Investment Data'!$A:$A = $A1300, 'Fund Investment Data'!$B:$B &lt;= 3)) * Parameters!$B$4, 0),0)))"),0.0)</f>
        <v>0</v>
      </c>
      <c r="AB1300" s="32">
        <f>IFERROR(__xludf.DUMMYFUNCTION("IFERROR(((IFERROR(SUM(FILTER('Fund Investment Data'!$V:$V, 'Fund Investment Data'!$C:$C = $C1300, 'Fund Investment Data'!$A:$A = $A1300 - 2, 'Fund Investment Data'!$B:$B &gt;= 4)) * Parameters!$B$4,0) + IFERROR(SUM(FILTER('Fund Investment Data'!$V:$V, 'Fund "&amp;"Investment Data'!$C:$C = $C1300, 'Fund Investment Data'!$A:$A = $A1300 - 1, 'Fund Investment Data'!$B:$B &lt;= 3)) * Parameters!$B$4,0))),0)"),3150.0)</f>
        <v>3150</v>
      </c>
      <c r="AC1300" s="32">
        <f>IFERROR(__xludf.DUMMYFUNCTION("IFERROR(FILTER($AF:$AF,$C:$C = $C1300,$A:$A = $A1300 - 1,$B:$B = 12),0)"),5000.0)</f>
        <v>5000</v>
      </c>
      <c r="AD1300" s="32">
        <f t="shared" si="23"/>
        <v>17178.4111</v>
      </c>
      <c r="AE1300" s="32">
        <f t="shared" si="2"/>
        <v>17178.4111</v>
      </c>
      <c r="AF1300" s="32"/>
    </row>
    <row r="1301">
      <c r="A1301" s="86">
        <v>2019.0</v>
      </c>
      <c r="B1301" s="87">
        <v>2.0</v>
      </c>
      <c r="C1301" s="88" t="s">
        <v>44</v>
      </c>
      <c r="D1301" s="32"/>
      <c r="E1301" s="32"/>
      <c r="F1301" s="32"/>
      <c r="G1301" s="93">
        <v>-243.47</v>
      </c>
      <c r="H1301" s="93">
        <v>1797.33</v>
      </c>
      <c r="I1301" s="32"/>
      <c r="J1301" s="93">
        <v>19354.31</v>
      </c>
      <c r="K1301" s="32"/>
      <c r="L1301" s="32"/>
      <c r="M1301" s="32"/>
      <c r="N1301" s="32"/>
      <c r="O1301" s="93">
        <v>271626.0</v>
      </c>
      <c r="P1301" s="91">
        <f>IFERROR(__xludf.DUMMYFUNCTION("IFERROR(sum(FILTER($D:$N,$C:$C = $C1301,$A:$A &lt; $A1301,$B:$B = 12)),0) + sum($D1301:$N1301)"),271627.10000000003)</f>
        <v>271627.1</v>
      </c>
      <c r="Q1301" s="92">
        <f t="shared" si="1"/>
        <v>-1.1</v>
      </c>
      <c r="R1301" s="91">
        <f t="array" ref="R1301">IFERROR(INDEX('Fund YTD Target Values'!$1:$1000, MATCH($C1301,'Fund YTD Target Values'!$A:$A,0), MATCH($A1301,'Fund YTD Target Values'!$1:$1,0)),0)</f>
        <v>327413.1867</v>
      </c>
      <c r="S1301" s="91">
        <f>IFERROR(__xludf.DUMMYFUNCTION("IFERROR(sum(FILTER('Fund Investment Data'!$V:$V, 'Fund Investment Data'!$C:$C = $C1301, 'Fund Investment Data'!$A:$A &lt; $A1301)),0) + IFERROR(sum(FILTER('Fund Investment Data'!$V:$V, 'Fund Investment Data'!$C:$C = $C1301, 'Fund Investment Data'!$A:$A = $A1"&amp;"301, 'Fund Investment Data'!$B:$B &lt;= $B1301)),0)"),250000.0)</f>
        <v>250000</v>
      </c>
      <c r="T1301" s="93">
        <v>250000.0</v>
      </c>
      <c r="U1301" s="32">
        <f t="shared" ref="U1301:U1306" si="36">S1301-T1301</f>
        <v>0</v>
      </c>
      <c r="V1301" s="32">
        <f>IFERROR(__xludf.DUMMYFUNCTION("$D1301 - IFERROR(FILTER($D:$D,$C:$C = $C1301, $A:$A = $A1301, $B:$B = $B1301 - 1),0)"),0.0)</f>
        <v>0</v>
      </c>
      <c r="W1301" s="93">
        <f>IFERROR(__xludf.DUMMYFUNCTION("$E1301 - IFERROR(FILTER($E:$E,$C:$C = $C1301, $A:$A = $A1301, $B:$B = $B1301 - 1),0)"),0.0)</f>
        <v>0</v>
      </c>
      <c r="X1301" s="91">
        <f>IFERROR(__xludf.DUMMYFUNCTION("iFERROR((FILTER('Fund Investment Data'!$Z:$Z, 'Fund Investment Data'!$C:$C = $C1301, 'Fund Investment Data'!$A:$A = $A1301 - 1, 'Fund Investment Data'!$B:$B = 12) + FILTER('Fund Investment Data'!$AB:$AB, 'Fund Investment Data'!$C:$C = $C1301, 'Fund Invest"&amp;"ment Data'!$A:$A = $A1301 - 1, 'Fund Investment Data'!$B:$B = 12)) * (1 + AVERAGE(FILTER('Inflation Data'!$C:$C,'Inflation Data'!$A:$A = ($A1301 - 2)))) * Parameters!$A$4,0)"),9221.513356912916)</f>
        <v>9221.513357</v>
      </c>
      <c r="Y1301" s="91">
        <f>IFERROR(__xludf.DUMMYFUNCTION("IFERROR((IFERROR(FILTER('Fund Investment Data'!$P:$P,'Fund Investment Data'!$C:$C = $C1301,'Fund Investment Data'!$A:$A = ($A1301 - 2), 'Fund Investment Data'!$B:$B = 12),0) - SUM(FILTER('Fund Investment Data'!$V:$V, 'Fund Investment Data'!$C:$C = $C1301,"&amp;" 'Fund Investment Data'!$A:$A = ($A1301 - 2), 'Fund Investment Data'!$B:$B &gt; 3)))  * Parameters!$B$4 * (1 - Parameters!$A$4),0)"),3869.5923450000028)</f>
        <v>3869.592345</v>
      </c>
      <c r="Z1301" s="91">
        <f t="shared" si="24"/>
        <v>13091.1057</v>
      </c>
      <c r="AA1301" s="91">
        <f>IFERROR(__xludf.DUMMYFUNCTION("((IFERROR((SUM(FILTER('Fund Investment Data'!$V:$V, 'Fund Investment Data'!$C:$C = $C1301, 'Fund Investment Data'!$A:$A = $A1301 - 1, 'Fund Investment Data'!$B:$B &gt;= 4, 'Fund Investment Data'!$B:$B &lt;= ($B1301 + 5))) / 12) * ($B1301 - 3) * Parameters!$B$4,"&amp;" 0) + IF($B1301 &gt;= 9, IFERROR(SUM(FILTER('Fund Investment Data'!$V:$V, 'Fund Investment Data'!$C:$C = $C1301, 'Fund Investment Data'!$A:$A = $A1301, 'Fund Investment Data'!$B:$B &lt;= 3)) * Parameters!$B$4, 0),0)))"),0.0)</f>
        <v>0</v>
      </c>
      <c r="AB1301" s="32">
        <f>IFERROR(__xludf.DUMMYFUNCTION("IFERROR(((IFERROR(SUM(FILTER('Fund Investment Data'!$V:$V, 'Fund Investment Data'!$C:$C = $C1301, 'Fund Investment Data'!$A:$A = $A1301 - 2, 'Fund Investment Data'!$B:$B &gt;= 4)) * Parameters!$B$4,0) + IFERROR(SUM(FILTER('Fund Investment Data'!$V:$V, 'Fund "&amp;"Investment Data'!$C:$C = $C1301, 'Fund Investment Data'!$A:$A = $A1301 - 1, 'Fund Investment Data'!$B:$B &lt;= 3)) * Parameters!$B$4,0))),0)"),0.0)</f>
        <v>0</v>
      </c>
      <c r="AC1301" s="32">
        <f>IFERROR(__xludf.DUMMYFUNCTION("IFERROR(FILTER($AF:$AF,$C:$C = $C1301,$A:$A = $A1301 - 1,$B:$B = 12),0)"),0.0)</f>
        <v>0</v>
      </c>
      <c r="AD1301" s="32">
        <f t="shared" si="23"/>
        <v>13091.1057</v>
      </c>
      <c r="AE1301" s="32">
        <f t="shared" si="2"/>
        <v>13091.1057</v>
      </c>
      <c r="AF1301" s="32"/>
    </row>
    <row r="1302">
      <c r="A1302" s="86">
        <v>2019.0</v>
      </c>
      <c r="B1302" s="87">
        <v>2.0</v>
      </c>
      <c r="C1302" s="88" t="s">
        <v>45</v>
      </c>
      <c r="D1302" s="32"/>
      <c r="E1302" s="32"/>
      <c r="F1302" s="32"/>
      <c r="G1302" s="93">
        <v>-128.52</v>
      </c>
      <c r="H1302" s="93">
        <v>948.69</v>
      </c>
      <c r="I1302" s="32"/>
      <c r="J1302" s="93">
        <v>10215.72</v>
      </c>
      <c r="K1302" s="32"/>
      <c r="L1302" s="32"/>
      <c r="M1302" s="32"/>
      <c r="N1302" s="32"/>
      <c r="O1302" s="93">
        <v>143372.0</v>
      </c>
      <c r="P1302" s="91">
        <f>IFERROR(__xludf.DUMMYFUNCTION("IFERROR(sum(FILTER($D:$N,$C:$C = $C1302,$A:$A &lt; $A1302,$B:$B = 12)),0) + sum($D1302:$N1302)"),143372.00999999995)</f>
        <v>143372.01</v>
      </c>
      <c r="Q1302" s="92">
        <f t="shared" si="1"/>
        <v>-0.009999999951</v>
      </c>
      <c r="R1302" s="91">
        <f t="array" ref="R1302">IFERROR(INDEX('Fund YTD Target Values'!$1:$1000, MATCH($C1302,'Fund YTD Target Values'!$A:$A,0), MATCH($A1302,'Fund YTD Target Values'!$1:$1,0)),0)</f>
        <v>123438.8442</v>
      </c>
      <c r="S1302" s="91">
        <f>IFERROR(__xludf.DUMMYFUNCTION("IFERROR(sum(FILTER('Fund Investment Data'!$V:$V, 'Fund Investment Data'!$C:$C = $C1302, 'Fund Investment Data'!$A:$A &lt; $A1302)),0) + IFERROR(sum(FILTER('Fund Investment Data'!$V:$V, 'Fund Investment Data'!$C:$C = $C1302, 'Fund Investment Data'!$A:$A = $A1"&amp;"302, 'Fund Investment Data'!$B:$B &lt;= $B1302)),0)"),100000.0)</f>
        <v>100000</v>
      </c>
      <c r="T1302" s="93">
        <v>100000.0</v>
      </c>
      <c r="U1302" s="32">
        <f t="shared" si="36"/>
        <v>0</v>
      </c>
      <c r="V1302" s="32">
        <f>IFERROR(__xludf.DUMMYFUNCTION("$D1302 - IFERROR(FILTER($D:$D,$C:$C = $C1302, $A:$A = $A1302, $B:$B = $B1302 - 1),0)"),0.0)</f>
        <v>0</v>
      </c>
      <c r="W1302" s="93">
        <f>IFERROR(__xludf.DUMMYFUNCTION("$E1302 - IFERROR(FILTER($E:$E,$C:$C = $C1302, $A:$A = $A1302, $B:$B = $B1302 - 1),0)"),0.0)</f>
        <v>0</v>
      </c>
      <c r="X1302" s="91">
        <f>IFERROR(__xludf.DUMMYFUNCTION("iFERROR((FILTER('Fund Investment Data'!$Z:$Z, 'Fund Investment Data'!$C:$C = $C1302, 'Fund Investment Data'!$A:$A = $A1302 - 1, 'Fund Investment Data'!$B:$B = 12) + FILTER('Fund Investment Data'!$AB:$AB, 'Fund Investment Data'!$C:$C = $C1302, 'Fund Invest"&amp;"ment Data'!$A:$A = $A1302 - 1, 'Fund Investment Data'!$B:$B = 12)) * (1 + AVERAGE(FILTER('Inflation Data'!$C:$C,'Inflation Data'!$A:$A = ($A1302 - 2)))) * Parameters!$A$4,0)"),3807.5303509611413)</f>
        <v>3807.530351</v>
      </c>
      <c r="Y1302" s="91">
        <f>IFERROR(__xludf.DUMMYFUNCTION("IFERROR((IFERROR(FILTER('Fund Investment Data'!$P:$P,'Fund Investment Data'!$C:$C = $C1302,'Fund Investment Data'!$A:$A = ($A1302 - 2), 'Fund Investment Data'!$B:$B = 12),0) - SUM(FILTER('Fund Investment Data'!$V:$V, 'Fund Investment Data'!$C:$C = $C1302,"&amp;" 'Fund Investment Data'!$A:$A = ($A1302 - 2), 'Fund Investment Data'!$B:$B &gt; 3)))  * Parameters!$B$4 * (1 - Parameters!$A$4),0)"),2003.430915)</f>
        <v>2003.430915</v>
      </c>
      <c r="Z1302" s="91">
        <f t="shared" si="24"/>
        <v>5810.961266</v>
      </c>
      <c r="AA1302" s="91">
        <f>IFERROR(__xludf.DUMMYFUNCTION("((IFERROR((SUM(FILTER('Fund Investment Data'!$V:$V, 'Fund Investment Data'!$C:$C = $C1302, 'Fund Investment Data'!$A:$A = $A1302 - 1, 'Fund Investment Data'!$B:$B &gt;= 4, 'Fund Investment Data'!$B:$B &lt;= ($B1302 + 5))) / 12) * ($B1302 - 3) * Parameters!$B$4,"&amp;" 0) + IF($B1302 &gt;= 9, IFERROR(SUM(FILTER('Fund Investment Data'!$V:$V, 'Fund Investment Data'!$C:$C = $C1302, 'Fund Investment Data'!$A:$A = $A1302, 'Fund Investment Data'!$B:$B &lt;= 3)) * Parameters!$B$4, 0),0)))"),0.0)</f>
        <v>0</v>
      </c>
      <c r="AB1302" s="32">
        <f>IFERROR(__xludf.DUMMYFUNCTION("IFERROR(((IFERROR(SUM(FILTER('Fund Investment Data'!$V:$V, 'Fund Investment Data'!$C:$C = $C1302, 'Fund Investment Data'!$A:$A = $A1302 - 2, 'Fund Investment Data'!$B:$B &gt;= 4)) * Parameters!$B$4,0) + IFERROR(SUM(FILTER('Fund Investment Data'!$V:$V, 'Fund "&amp;"Investment Data'!$C:$C = $C1302, 'Fund Investment Data'!$A:$A = $A1302 - 1, 'Fund Investment Data'!$B:$B &lt;= 3)) * Parameters!$B$4,0))),0)"),0.0)</f>
        <v>0</v>
      </c>
      <c r="AC1302" s="32">
        <f>IFERROR(__xludf.DUMMYFUNCTION("IFERROR(FILTER($AF:$AF,$C:$C = $C1302,$A:$A = $A1302 - 1,$B:$B = 12),0)"),0.0)</f>
        <v>0</v>
      </c>
      <c r="AD1302" s="32">
        <f t="shared" si="23"/>
        <v>5810.961266</v>
      </c>
      <c r="AE1302" s="32">
        <f t="shared" si="2"/>
        <v>5810.961266</v>
      </c>
      <c r="AF1302" s="32"/>
    </row>
    <row r="1303">
      <c r="A1303" s="86">
        <v>2019.0</v>
      </c>
      <c r="B1303" s="87">
        <v>2.0</v>
      </c>
      <c r="C1303" s="88" t="s">
        <v>35</v>
      </c>
      <c r="D1303" s="32"/>
      <c r="E1303" s="32"/>
      <c r="F1303" s="32"/>
      <c r="G1303" s="93">
        <v>-1256.62</v>
      </c>
      <c r="H1303" s="93">
        <v>9276.23</v>
      </c>
      <c r="I1303" s="32"/>
      <c r="J1303" s="93">
        <v>99889.99</v>
      </c>
      <c r="K1303" s="32"/>
      <c r="L1303" s="32"/>
      <c r="M1303" s="32"/>
      <c r="N1303" s="32"/>
      <c r="O1303" s="93">
        <v>1401896.0</v>
      </c>
      <c r="P1303" s="91">
        <f>IFERROR(__xludf.DUMMYFUNCTION("IFERROR(sum(FILTER($D:$N,$C:$C = $C1303,$A:$A &lt; $A1303,$B:$B = 12)),0) + sum($D1303:$N1303)"),1401895.6700000006)</f>
        <v>1401895.67</v>
      </c>
      <c r="Q1303" s="92">
        <f t="shared" si="1"/>
        <v>0.3299999994</v>
      </c>
      <c r="R1303" s="91">
        <f t="array" ref="R1303">IFERROR(INDEX('Fund YTD Target Values'!$1:$1000, MATCH($C1303,'Fund YTD Target Values'!$A:$A,0), MATCH($A1303,'Fund YTD Target Values'!$1:$1,0)),0)</f>
        <v>1607860.761</v>
      </c>
      <c r="S1303" s="91">
        <f>IFERROR(__xludf.DUMMYFUNCTION("IFERROR(sum(FILTER('Fund Investment Data'!$V:$V, 'Fund Investment Data'!$C:$C = $C1303, 'Fund Investment Data'!$A:$A &lt; $A1303)),0) + IFERROR(sum(FILTER('Fund Investment Data'!$V:$V, 'Fund Investment Data'!$C:$C = $C1303, 'Fund Investment Data'!$A:$A = $A1"&amp;"303, 'Fund Investment Data'!$B:$B &lt;= $B1303)),0)"),1086625.0)</f>
        <v>1086625</v>
      </c>
      <c r="T1303" s="93">
        <v>1071625.0</v>
      </c>
      <c r="U1303" s="32">
        <f t="shared" si="36"/>
        <v>15000</v>
      </c>
      <c r="V1303" s="32">
        <f>IFERROR(__xludf.DUMMYFUNCTION("$D1303 - IFERROR(FILTER($D:$D,$C:$C = $C1303, $A:$A = $A1303, $B:$B = $B1303 - 1),0)"),0.0)</f>
        <v>0</v>
      </c>
      <c r="W1303" s="93">
        <f>IFERROR(__xludf.DUMMYFUNCTION("$E1303 - IFERROR(FILTER($E:$E,$C:$C = $C1303, $A:$A = $A1303, $B:$B = $B1303 - 1),0)"),0.0)</f>
        <v>0</v>
      </c>
      <c r="X1303" s="91">
        <f>IFERROR(__xludf.DUMMYFUNCTION("iFERROR((FILTER('Fund Investment Data'!$Z:$Z, 'Fund Investment Data'!$C:$C = $C1303, 'Fund Investment Data'!$A:$A = $A1303 - 1, 'Fund Investment Data'!$B:$B = 12) + FILTER('Fund Investment Data'!$AB:$AB, 'Fund Investment Data'!$C:$C = $C1303, 'Fund Invest"&amp;"ment Data'!$A:$A = $A1303 - 1, 'Fund Investment Data'!$B:$B = 12)) * (1 + AVERAGE(FILTER('Inflation Data'!$C:$C,'Inflation Data'!$A:$A = ($A1303 - 2)))) * Parameters!$A$4,0)"),47167.912647909514)</f>
        <v>47167.91265</v>
      </c>
      <c r="Y1303" s="91">
        <f>IFERROR(__xludf.DUMMYFUNCTION("IFERROR((IFERROR(FILTER('Fund Investment Data'!$P:$P,'Fund Investment Data'!$C:$C = $C1303,'Fund Investment Data'!$A:$A = ($A1303 - 2), 'Fund Investment Data'!$B:$B = 12),0) - SUM(FILTER('Fund Investment Data'!$V:$V, 'Fund Investment Data'!$C:$C = $C1303,"&amp;" 'Fund Investment Data'!$A:$A = ($A1303 - 2), 'Fund Investment Data'!$B:$B &gt; 3)))  * Parameters!$B$4 * (1 - Parameters!$A$4),0)"),19792.911060000006)</f>
        <v>19792.91106</v>
      </c>
      <c r="Z1303" s="91">
        <f t="shared" si="24"/>
        <v>66960.82371</v>
      </c>
      <c r="AA1303" s="91">
        <f>IFERROR(__xludf.DUMMYFUNCTION("((IFERROR((SUM(FILTER('Fund Investment Data'!$V:$V, 'Fund Investment Data'!$C:$C = $C1303, 'Fund Investment Data'!$A:$A = $A1303 - 1, 'Fund Investment Data'!$B:$B &gt;= 4, 'Fund Investment Data'!$B:$B &lt;= ($B1303 + 5))) / 12) * ($B1303 - 3) * Parameters!$B$4,"&amp;" 0) + IF($B1303 &gt;= 9, IFERROR(SUM(FILTER('Fund Investment Data'!$V:$V, 'Fund Investment Data'!$C:$C = $C1303, 'Fund Investment Data'!$A:$A = $A1303, 'Fund Investment Data'!$B:$B &lt;= 3)) * Parameters!$B$4, 0),0)))"),0.0)</f>
        <v>0</v>
      </c>
      <c r="AB1303" s="32">
        <f>IFERROR(__xludf.DUMMYFUNCTION("IFERROR(((IFERROR(SUM(FILTER('Fund Investment Data'!$V:$V, 'Fund Investment Data'!$C:$C = $C1303, 'Fund Investment Data'!$A:$A = $A1303 - 2, 'Fund Investment Data'!$B:$B &gt;= 4)) * Parameters!$B$4,0) + IFERROR(SUM(FILTER('Fund Investment Data'!$V:$V, 'Fund "&amp;"Investment Data'!$C:$C = $C1303, 'Fund Investment Data'!$A:$A = $A1303 - 1, 'Fund Investment Data'!$B:$B &lt;= 3)) * Parameters!$B$4,0))),0)"),0.0)</f>
        <v>0</v>
      </c>
      <c r="AC1303" s="32">
        <f>IFERROR(__xludf.DUMMYFUNCTION("IFERROR(FILTER($AF:$AF,$C:$C = $C1303,$A:$A = $A1303 - 1,$B:$B = 12),0)"),0.0)</f>
        <v>0</v>
      </c>
      <c r="AD1303" s="32">
        <f t="shared" si="23"/>
        <v>66960.82371</v>
      </c>
      <c r="AE1303" s="32">
        <f t="shared" si="2"/>
        <v>66960.82371</v>
      </c>
      <c r="AF1303" s="32"/>
    </row>
    <row r="1304">
      <c r="A1304" s="86">
        <v>2019.0</v>
      </c>
      <c r="B1304" s="87">
        <v>2.0</v>
      </c>
      <c r="C1304" s="88" t="s">
        <v>56</v>
      </c>
      <c r="D1304" s="32"/>
      <c r="E1304" s="32"/>
      <c r="F1304" s="32"/>
      <c r="G1304" s="93">
        <v>-970.54</v>
      </c>
      <c r="H1304" s="93">
        <v>7164.52</v>
      </c>
      <c r="I1304" s="32"/>
      <c r="J1304" s="93">
        <v>77150.19</v>
      </c>
      <c r="K1304" s="32"/>
      <c r="L1304" s="32"/>
      <c r="M1304" s="32"/>
      <c r="N1304" s="32"/>
      <c r="O1304" s="93">
        <v>1082757.0</v>
      </c>
      <c r="P1304" s="91">
        <f>IFERROR(__xludf.DUMMYFUNCTION("IFERROR(sum(FILTER($D:$N,$C:$C = $C1304,$A:$A &lt; $A1304,$B:$B = 12)),0) + sum($D1304:$N1304)"),1082756.88)</f>
        <v>1082756.88</v>
      </c>
      <c r="Q1304" s="92">
        <f t="shared" si="1"/>
        <v>0.1200000001</v>
      </c>
      <c r="R1304" s="91">
        <f t="array" ref="R1304">IFERROR(INDEX('Fund YTD Target Values'!$1:$1000, MATCH($C1304,'Fund YTD Target Values'!$A:$A,0), MATCH($A1304,'Fund YTD Target Values'!$1:$1,0)),0)</f>
        <v>1079944.217</v>
      </c>
      <c r="S1304" s="91">
        <f>IFERROR(__xludf.DUMMYFUNCTION("IFERROR(sum(FILTER('Fund Investment Data'!$V:$V, 'Fund Investment Data'!$C:$C = $C1304, 'Fund Investment Data'!$A:$A &lt; $A1304)),0) + IFERROR(sum(FILTER('Fund Investment Data'!$V:$V, 'Fund Investment Data'!$C:$C = $C1304, 'Fund Investment Data'!$A:$A = $A1"&amp;"304, 'Fund Investment Data'!$B:$B &lt;= $B1304)),0)"),1000000.0)</f>
        <v>1000000</v>
      </c>
      <c r="T1304" s="93">
        <v>1000000.0</v>
      </c>
      <c r="U1304" s="32">
        <f t="shared" si="36"/>
        <v>0</v>
      </c>
      <c r="V1304" s="32">
        <f>IFERROR(__xludf.DUMMYFUNCTION("$D1304 - IFERROR(FILTER($D:$D,$C:$C = $C1304, $A:$A = $A1304, $B:$B = $B1304 - 1),0)"),0.0)</f>
        <v>0</v>
      </c>
      <c r="W1304" s="93">
        <f>IFERROR(__xludf.DUMMYFUNCTION("$E1304 - IFERROR(FILTER($E:$E,$C:$C = $C1304, $A:$A = $A1304, $B:$B = $B1304 - 1),0)"),0.0)</f>
        <v>0</v>
      </c>
      <c r="X1304" s="91">
        <f>IFERROR(__xludf.DUMMYFUNCTION("iFERROR((FILTER('Fund Investment Data'!$Z:$Z, 'Fund Investment Data'!$C:$C = $C1304, 'Fund Investment Data'!$A:$A = $A1304 - 1, 'Fund Investment Data'!$B:$B = 12) + FILTER('Fund Investment Data'!$AB:$AB, 'Fund Investment Data'!$C:$C = $C1304, 'Fund Invest"&amp;"ment Data'!$A:$A = $A1304 - 1, 'Fund Investment Data'!$B:$B = 12)) * (1 + AVERAGE(FILTER('Inflation Data'!$C:$C,'Inflation Data'!$A:$A = ($A1304 - 2)))) * Parameters!$A$4,0)"),33311.397321480836)</f>
        <v>33311.39732</v>
      </c>
      <c r="Y1304" s="91">
        <f>IFERROR(__xludf.DUMMYFUNCTION("IFERROR((IFERROR(FILTER('Fund Investment Data'!$P:$P,'Fund Investment Data'!$C:$C = $C1304,'Fund Investment Data'!$A:$A = ($A1304 - 2), 'Fund Investment Data'!$B:$B = 12),0) - SUM(FILTER('Fund Investment Data'!$V:$V, 'Fund Investment Data'!$C:$C = $C1304,"&amp;" 'Fund Investment Data'!$A:$A = ($A1304 - 2), 'Fund Investment Data'!$B:$B &gt; 3)))  * Parameters!$B$4 * (1 - Parameters!$A$4),0)"),15295.200705)</f>
        <v>15295.20071</v>
      </c>
      <c r="Z1304" s="91">
        <f t="shared" si="24"/>
        <v>48606.59803</v>
      </c>
      <c r="AA1304" s="91">
        <f>IFERROR(__xludf.DUMMYFUNCTION("((IFERROR((SUM(FILTER('Fund Investment Data'!$V:$V, 'Fund Investment Data'!$C:$C = $C1304, 'Fund Investment Data'!$A:$A = $A1304 - 1, 'Fund Investment Data'!$B:$B &gt;= 4, 'Fund Investment Data'!$B:$B &lt;= ($B1304 + 5))) / 12) * ($B1304 - 3) * Parameters!$B$4,"&amp;" 0) + IF($B1304 &gt;= 9, IFERROR(SUM(FILTER('Fund Investment Data'!$V:$V, 'Fund Investment Data'!$C:$C = $C1304, 'Fund Investment Data'!$A:$A = $A1304, 'Fund Investment Data'!$B:$B &lt;= 3)) * Parameters!$B$4, 0),0)))"),0.0)</f>
        <v>0</v>
      </c>
      <c r="AB1304" s="32">
        <f>IFERROR(__xludf.DUMMYFUNCTION("IFERROR(((IFERROR(SUM(FILTER('Fund Investment Data'!$V:$V, 'Fund Investment Data'!$C:$C = $C1304, 'Fund Investment Data'!$A:$A = $A1304 - 2, 'Fund Investment Data'!$B:$B &gt;= 4)) * Parameters!$B$4,0) + IFERROR(SUM(FILTER('Fund Investment Data'!$V:$V, 'Fund "&amp;"Investment Data'!$C:$C = $C1304, 'Fund Investment Data'!$A:$A = $A1304 - 1, 'Fund Investment Data'!$B:$B &lt;= 3)) * Parameters!$B$4,0))),0)"),0.0)</f>
        <v>0</v>
      </c>
      <c r="AC1304" s="32">
        <f>IFERROR(__xludf.DUMMYFUNCTION("IFERROR(FILTER($AF:$AF,$C:$C = $C1304,$A:$A = $A1304 - 1,$B:$B = 12),0)"),0.0)</f>
        <v>0</v>
      </c>
      <c r="AD1304" s="32">
        <f t="shared" si="23"/>
        <v>48606.59803</v>
      </c>
      <c r="AE1304" s="32">
        <f t="shared" si="2"/>
        <v>48606.59803</v>
      </c>
      <c r="AF1304" s="32"/>
    </row>
    <row r="1305">
      <c r="A1305" s="86">
        <v>2019.0</v>
      </c>
      <c r="B1305" s="87">
        <v>2.0</v>
      </c>
      <c r="C1305" s="88" t="s">
        <v>57</v>
      </c>
      <c r="D1305" s="32"/>
      <c r="E1305" s="32"/>
      <c r="F1305" s="32"/>
      <c r="G1305" s="93">
        <v>-1824.98</v>
      </c>
      <c r="H1305" s="93">
        <v>13281.33</v>
      </c>
      <c r="I1305" s="32"/>
      <c r="J1305" s="93">
        <v>142133.89</v>
      </c>
      <c r="K1305" s="32"/>
      <c r="L1305" s="32"/>
      <c r="M1305" s="32"/>
      <c r="N1305" s="32"/>
      <c r="O1305" s="93">
        <v>2034105.0</v>
      </c>
      <c r="P1305" s="91">
        <f>IFERROR(__xludf.DUMMYFUNCTION("IFERROR(sum(FILTER($D:$N,$C:$C = $C1305,$A:$A &lt; $A1305,$B:$B = 12)),0) + sum($D1305:$N1305)"),2034104.71)</f>
        <v>2034104.71</v>
      </c>
      <c r="Q1305" s="92">
        <f t="shared" si="1"/>
        <v>0.29</v>
      </c>
      <c r="R1305" s="91">
        <f t="array" ref="R1305">IFERROR(INDEX('Fund YTD Target Values'!$1:$1000, MATCH($C1305,'Fund YTD Target Values'!$A:$A,0), MATCH($A1305,'Fund YTD Target Values'!$1:$1,0)),0)</f>
        <v>2085975.586</v>
      </c>
      <c r="S1305" s="91">
        <f>IFERROR(__xludf.DUMMYFUNCTION("IFERROR(sum(FILTER('Fund Investment Data'!$V:$V, 'Fund Investment Data'!$C:$C = $C1305, 'Fund Investment Data'!$A:$A &lt; $A1305)),0) + IFERROR(sum(FILTER('Fund Investment Data'!$V:$V, 'Fund Investment Data'!$C:$C = $C1305, 'Fund Investment Data'!$A:$A = $A1"&amp;"305, 'Fund Investment Data'!$B:$B &lt;= $B1305)),0)"),2000000.0)</f>
        <v>2000000</v>
      </c>
      <c r="T1305" s="93">
        <v>2000000.0</v>
      </c>
      <c r="U1305" s="32">
        <f t="shared" si="36"/>
        <v>0</v>
      </c>
      <c r="V1305" s="32">
        <f>IFERROR(__xludf.DUMMYFUNCTION("$D1305 - IFERROR(FILTER($D:$D,$C:$C = $C1305, $A:$A = $A1305, $B:$B = $B1305 - 1),0)"),0.0)</f>
        <v>0</v>
      </c>
      <c r="W1305" s="93">
        <f>IFERROR(__xludf.DUMMYFUNCTION("$E1305 - IFERROR(FILTER($E:$E,$C:$C = $C1305, $A:$A = $A1305, $B:$B = $B1305 - 1),0)"),0.0)</f>
        <v>0</v>
      </c>
      <c r="X1305" s="91">
        <f>IFERROR(__xludf.DUMMYFUNCTION("iFERROR((FILTER('Fund Investment Data'!$Z:$Z, 'Fund Investment Data'!$C:$C = $C1305, 'Fund Investment Data'!$A:$A = $A1305 - 1, 'Fund Investment Data'!$B:$B = 12) + FILTER('Fund Investment Data'!$AB:$AB, 'Fund Investment Data'!$C:$C = $C1305, 'Fund Invest"&amp;"ment Data'!$A:$A = $A1305 - 1, 'Fund Investment Data'!$B:$B = 12)) * (1 + AVERAGE(FILTER('Inflation Data'!$C:$C,'Inflation Data'!$A:$A = ($A1305 - 2)))) * Parameters!$A$4,0)"),0.0)</f>
        <v>0</v>
      </c>
      <c r="Y1305" s="91">
        <f>IFERROR(__xludf.DUMMYFUNCTION("IFERROR((IFERROR(FILTER('Fund Investment Data'!$P:$P,'Fund Investment Data'!$C:$C = $C1305,'Fund Investment Data'!$A:$A = ($A1305 - 2), 'Fund Investment Data'!$B:$B = 12),0) - SUM(FILTER('Fund Investment Data'!$V:$V, 'Fund Investment Data'!$C:$C = $C1305,"&amp;" 'Fund Investment Data'!$A:$A = ($A1305 - 2), 'Fund Investment Data'!$B:$B &gt; 3)))  * Parameters!$B$4 * (1 - Parameters!$A$4),0)"),474.91420500000106)</f>
        <v>474.914205</v>
      </c>
      <c r="Z1305" s="91">
        <f t="shared" si="24"/>
        <v>474.914205</v>
      </c>
      <c r="AA1305" s="91">
        <f>IFERROR(__xludf.DUMMYFUNCTION("((IFERROR((SUM(FILTER('Fund Investment Data'!$V:$V, 'Fund Investment Data'!$C:$C = $C1305, 'Fund Investment Data'!$A:$A = $A1305 - 1, 'Fund Investment Data'!$B:$B &gt;= 4, 'Fund Investment Data'!$B:$B &lt;= ($B1305 + 5))) / 12) * ($B1305 - 3) * Parameters!$B$4,"&amp;" 0) + IF($B1305 &gt;= 9, IFERROR(SUM(FILTER('Fund Investment Data'!$V:$V, 'Fund Investment Data'!$C:$C = $C1305, 'Fund Investment Data'!$A:$A = $A1305, 'Fund Investment Data'!$B:$B &lt;= 3)) * Parameters!$B$4, 0),0)))"),0.0)</f>
        <v>0</v>
      </c>
      <c r="AB1305" s="32">
        <f>IFERROR(__xludf.DUMMYFUNCTION("IFERROR(((IFERROR(SUM(FILTER('Fund Investment Data'!$V:$V, 'Fund Investment Data'!$C:$C = $C1305, 'Fund Investment Data'!$A:$A = $A1305 - 2, 'Fund Investment Data'!$B:$B &gt;= 4)) * Parameters!$B$4,0) + IFERROR(SUM(FILTER('Fund Investment Data'!$V:$V, 'Fund "&amp;"Investment Data'!$C:$C = $C1305, 'Fund Investment Data'!$A:$A = $A1305 - 1, 'Fund Investment Data'!$B:$B &lt;= 3)) * Parameters!$B$4,0))),0)"),90000.0)</f>
        <v>90000</v>
      </c>
      <c r="AC1305" s="32">
        <f>IFERROR(__xludf.DUMMYFUNCTION("IFERROR(FILTER($AF:$AF,$C:$C = $C1305,$A:$A = $A1305 - 1,$B:$B = 12),0)"),45000.0)</f>
        <v>45000</v>
      </c>
      <c r="AD1305" s="32">
        <f t="shared" si="23"/>
        <v>135474.9142</v>
      </c>
      <c r="AE1305" s="32">
        <f t="shared" si="2"/>
        <v>135474.9142</v>
      </c>
      <c r="AF1305" s="32"/>
    </row>
    <row r="1306">
      <c r="A1306" s="86">
        <v>2019.0</v>
      </c>
      <c r="B1306" s="87">
        <v>2.0</v>
      </c>
      <c r="C1306" s="88" t="s">
        <v>58</v>
      </c>
      <c r="D1306" s="32"/>
      <c r="E1306" s="32"/>
      <c r="F1306" s="32"/>
      <c r="G1306" s="93">
        <v>-1806.18</v>
      </c>
      <c r="H1306" s="93">
        <v>13235.24</v>
      </c>
      <c r="I1306" s="32"/>
      <c r="J1306" s="93">
        <v>142133.89</v>
      </c>
      <c r="K1306" s="32"/>
      <c r="L1306" s="32"/>
      <c r="M1306" s="32"/>
      <c r="N1306" s="32"/>
      <c r="O1306" s="93">
        <v>2014077.0</v>
      </c>
      <c r="P1306" s="91">
        <f>IFERROR(__xludf.DUMMYFUNCTION("IFERROR(sum(FILTER($D:$N,$C:$C = $C1306,$A:$A &lt; $A1306,$B:$B = 12)),0) + sum($D1306:$N1306)"),2014077.4)</f>
        <v>2014077.4</v>
      </c>
      <c r="Q1306" s="92">
        <f t="shared" si="1"/>
        <v>-0.3999999999</v>
      </c>
      <c r="R1306" s="91">
        <f t="array" ref="R1306">IFERROR(INDEX('Fund YTD Target Values'!$1:$1000, MATCH($C1306,'Fund YTD Target Values'!$A:$A,0), MATCH($A1306,'Fund YTD Target Values'!$1:$1,0)),0)</f>
        <v>2085975.586</v>
      </c>
      <c r="S1306" s="91">
        <f>IFERROR(__xludf.DUMMYFUNCTION("IFERROR(sum(FILTER('Fund Investment Data'!$V:$V, 'Fund Investment Data'!$C:$C = $C1306, 'Fund Investment Data'!$A:$A &lt; $A1306)),0) + IFERROR(sum(FILTER('Fund Investment Data'!$V:$V, 'Fund Investment Data'!$C:$C = $C1306, 'Fund Investment Data'!$A:$A = $A1"&amp;"306, 'Fund Investment Data'!$B:$B &lt;= $B1306)),0)"),2000000.0)</f>
        <v>2000000</v>
      </c>
      <c r="T1306" s="93">
        <v>2000000.0</v>
      </c>
      <c r="U1306" s="32">
        <f t="shared" si="36"/>
        <v>0</v>
      </c>
      <c r="V1306" s="32">
        <f>IFERROR(__xludf.DUMMYFUNCTION("$D1306 - IFERROR(FILTER($D:$D,$C:$C = $C1306, $A:$A = $A1306, $B:$B = $B1306 - 1),0)"),0.0)</f>
        <v>0</v>
      </c>
      <c r="W1306" s="93">
        <f>IFERROR(__xludf.DUMMYFUNCTION("$E1306 - IFERROR(FILTER($E:$E,$C:$C = $C1306, $A:$A = $A1306, $B:$B = $B1306 - 1),0)"),0.0)</f>
        <v>0</v>
      </c>
      <c r="X1306" s="91">
        <f>IFERROR(__xludf.DUMMYFUNCTION("iFERROR((FILTER('Fund Investment Data'!$Z:$Z, 'Fund Investment Data'!$C:$C = $C1306, 'Fund Investment Data'!$A:$A = $A1306 - 1, 'Fund Investment Data'!$B:$B = 12) + FILTER('Fund Investment Data'!$AB:$AB, 'Fund Investment Data'!$C:$C = $C1306, 'Fund Invest"&amp;"ment Data'!$A:$A = $A1306 - 1, 'Fund Investment Data'!$B:$B = 12)) * (1 + AVERAGE(FILTER('Inflation Data'!$C:$C,'Inflation Data'!$A:$A = ($A1306 - 2)))) * Parameters!$A$4,0)"),0.0)</f>
        <v>0</v>
      </c>
      <c r="Y1306" s="91">
        <f>IFERROR(__xludf.DUMMYFUNCTION("IFERROR((IFERROR(FILTER('Fund Investment Data'!$P:$P,'Fund Investment Data'!$C:$C = $C1306,'Fund Investment Data'!$A:$A = ($A1306 - 2), 'Fund Investment Data'!$B:$B = 12),0) - SUM(FILTER('Fund Investment Data'!$V:$V, 'Fund Investment Data'!$C:$C = $C1306,"&amp;" 'Fund Investment Data'!$A:$A = ($A1306 - 2), 'Fund Investment Data'!$B:$B &gt; 3)))  * Parameters!$B$4 * (1 - Parameters!$A$4),0)"),474.91420500000106)</f>
        <v>474.914205</v>
      </c>
      <c r="Z1306" s="91">
        <f t="shared" si="24"/>
        <v>474.914205</v>
      </c>
      <c r="AA1306" s="91">
        <f>IFERROR(__xludf.DUMMYFUNCTION("((IFERROR((SUM(FILTER('Fund Investment Data'!$V:$V, 'Fund Investment Data'!$C:$C = $C1306, 'Fund Investment Data'!$A:$A = $A1306 - 1, 'Fund Investment Data'!$B:$B &gt;= 4, 'Fund Investment Data'!$B:$B &lt;= ($B1306 + 5))) / 12) * ($B1306 - 3) * Parameters!$B$4,"&amp;" 0) + IF($B1306 &gt;= 9, IFERROR(SUM(FILTER('Fund Investment Data'!$V:$V, 'Fund Investment Data'!$C:$C = $C1306, 'Fund Investment Data'!$A:$A = $A1306, 'Fund Investment Data'!$B:$B &lt;= 3)) * Parameters!$B$4, 0),0)))"),0.0)</f>
        <v>0</v>
      </c>
      <c r="AB1306" s="32">
        <f>IFERROR(__xludf.DUMMYFUNCTION("IFERROR(((IFERROR(SUM(FILTER('Fund Investment Data'!$V:$V, 'Fund Investment Data'!$C:$C = $C1306, 'Fund Investment Data'!$A:$A = $A1306 - 2, 'Fund Investment Data'!$B:$B &gt;= 4)) * Parameters!$B$4,0) + IFERROR(SUM(FILTER('Fund Investment Data'!$V:$V, 'Fund "&amp;"Investment Data'!$C:$C = $C1306, 'Fund Investment Data'!$A:$A = $A1306 - 1, 'Fund Investment Data'!$B:$B &lt;= 3)) * Parameters!$B$4,0))),0)"),90000.0)</f>
        <v>90000</v>
      </c>
      <c r="AC1306" s="32">
        <f>IFERROR(__xludf.DUMMYFUNCTION("IFERROR(FILTER($AF:$AF,$C:$C = $C1306,$A:$A = $A1306 - 1,$B:$B = 12),0)"),25000.0)</f>
        <v>25000</v>
      </c>
      <c r="AD1306" s="32">
        <f t="shared" si="23"/>
        <v>115474.9142</v>
      </c>
      <c r="AE1306" s="32">
        <f t="shared" si="2"/>
        <v>115474.9142</v>
      </c>
      <c r="AF1306" s="32"/>
    </row>
    <row r="1307">
      <c r="A1307" s="86">
        <v>2019.0</v>
      </c>
      <c r="B1307" s="87">
        <v>3.0</v>
      </c>
      <c r="C1307" s="88" t="s">
        <v>26</v>
      </c>
      <c r="D1307" s="93">
        <v>7128.0</v>
      </c>
      <c r="E1307" s="32"/>
      <c r="F1307" s="32"/>
      <c r="G1307" s="93">
        <v>-459.7</v>
      </c>
      <c r="H1307" s="93">
        <v>2622.38</v>
      </c>
      <c r="I1307" s="32"/>
      <c r="J1307" s="93">
        <v>25771.13</v>
      </c>
      <c r="K1307" s="32"/>
      <c r="L1307" s="32"/>
      <c r="M1307" s="32"/>
      <c r="N1307" s="32"/>
      <c r="O1307" s="93">
        <v>343891.0</v>
      </c>
      <c r="P1307" s="91">
        <f>IFERROR(__xludf.DUMMYFUNCTION("IFERROR(sum(FILTER($D:$N,$C:$C = $C1307,$A:$A &lt; $A1307,$B:$B = 12)),0) + sum($D1307:$N1307)"),343889.20999999996)</f>
        <v>343889.21</v>
      </c>
      <c r="Q1307" s="92">
        <f t="shared" si="1"/>
        <v>1.79</v>
      </c>
      <c r="R1307" s="91">
        <f t="array" ref="R1307">IFERROR(INDEX('Fund YTD Target Values'!$1:$1000, MATCH($C1307,'Fund YTD Target Values'!$A:$A,0), MATCH($A1307,'Fund YTD Target Values'!$1:$1,0)),0)</f>
        <v>392089.6861</v>
      </c>
      <c r="S1307" s="91">
        <f>IFERROR(__xludf.DUMMYFUNCTION("IFERROR(sum(FILTER('Fund Investment Data'!$V:$V, 'Fund Investment Data'!$C:$C = $C1307, 'Fund Investment Data'!$A:$A &lt; $A1307)),0) + IFERROR(sum(FILTER('Fund Investment Data'!$V:$V, 'Fund Investment Data'!$C:$C = $C1307, 'Fund Investment Data'!$A:$A = $A1"&amp;"307, 'Fund Investment Data'!$B:$B &lt;= $B1307)),0)"),317377.0)</f>
        <v>317377</v>
      </c>
      <c r="T1307" s="93"/>
      <c r="U1307" s="32"/>
      <c r="V1307" s="32">
        <f>IFERROR(__xludf.DUMMYFUNCTION("$D1307 - IFERROR(FILTER($D:$D,$C:$C = $C1307, $A:$A = $A1307, $B:$B = $B1307 - 1),0)"),0.0)</f>
        <v>0</v>
      </c>
      <c r="W1307" s="93">
        <f>IFERROR(__xludf.DUMMYFUNCTION("$E1307 - IFERROR(FILTER($E:$E,$C:$C = $C1307, $A:$A = $A1307, $B:$B = $B1307 - 1),0)"),0.0)</f>
        <v>0</v>
      </c>
      <c r="X1307" s="91">
        <f>IFERROR(__xludf.DUMMYFUNCTION("iFERROR((FILTER('Fund Investment Data'!$Z:$Z, 'Fund Investment Data'!$C:$C = $C1307, 'Fund Investment Data'!$A:$A = $A1307 - 1, 'Fund Investment Data'!$B:$B = 12) + FILTER('Fund Investment Data'!$AB:$AB, 'Fund Investment Data'!$C:$C = $C1307, 'Fund Invest"&amp;"ment Data'!$A:$A = $A1307 - 1, 'Fund Investment Data'!$B:$B = 12)) * (1 + AVERAGE(FILTER('Inflation Data'!$C:$C,'Inflation Data'!$A:$A = ($A1307 - 2)))) * Parameters!$A$4,0)"),11342.657736026731)</f>
        <v>11342.65774</v>
      </c>
      <c r="Y1307" s="91">
        <f>IFERROR(__xludf.DUMMYFUNCTION("IFERROR((IFERROR(FILTER('Fund Investment Data'!$P:$P,'Fund Investment Data'!$C:$C = $C1307,'Fund Investment Data'!$A:$A = ($A1307 - 2), 'Fund Investment Data'!$B:$B = 12),0) - SUM(FILTER('Fund Investment Data'!$V:$V, 'Fund Investment Data'!$C:$C = $C1307,"&amp;" 'Fund Investment Data'!$A:$A = ($A1307 - 2), 'Fund Investment Data'!$B:$B &gt; 3)))  * Parameters!$B$4 * (1 - Parameters!$A$4),0)"),4477.69296)</f>
        <v>4477.69296</v>
      </c>
      <c r="Z1307" s="91">
        <f t="shared" si="24"/>
        <v>15820.3507</v>
      </c>
      <c r="AA1307" s="91">
        <f>IFERROR(__xludf.DUMMYFUNCTION("((IFERROR((SUM(FILTER('Fund Investment Data'!$V:$V, 'Fund Investment Data'!$C:$C = $C1307, 'Fund Investment Data'!$A:$A = $A1307 - 1, 'Fund Investment Data'!$B:$B &gt;= 4, 'Fund Investment Data'!$B:$B &lt;= ($B1307 + 5))) / 12) * ($B1307 - 3) * Parameters!$B$4,"&amp;" 0) + IF($B1307 &gt;= 9, IFERROR(SUM(FILTER('Fund Investment Data'!$V:$V, 'Fund Investment Data'!$C:$C = $C1307, 'Fund Investment Data'!$A:$A = $A1307, 'Fund Investment Data'!$B:$B &lt;= 3)) * Parameters!$B$4, 0),0)))"),0.0)</f>
        <v>0</v>
      </c>
      <c r="AB1307" s="32">
        <f>IFERROR(__xludf.DUMMYFUNCTION("IFERROR(((IFERROR(SUM(FILTER('Fund Investment Data'!$V:$V, 'Fund Investment Data'!$C:$C = $C1307, 'Fund Investment Data'!$A:$A = $A1307 - 2, 'Fund Investment Data'!$B:$B &gt;= 4)) * Parameters!$B$4,0) + IFERROR(SUM(FILTER('Fund Investment Data'!$V:$V, 'Fund "&amp;"Investment Data'!$C:$C = $C1307, 'Fund Investment Data'!$A:$A = $A1307 - 1, 'Fund Investment Data'!$B:$B &lt;= 3)) * Parameters!$B$4,0))),0)"),829.755)</f>
        <v>829.755</v>
      </c>
      <c r="AC1307" s="32">
        <f>IFERROR(__xludf.DUMMYFUNCTION("IFERROR(FILTER($AF:$AF,$C:$C = $C1307,$A:$A = $A1307 - 1,$B:$B = 12),0)"),0.0)</f>
        <v>0</v>
      </c>
      <c r="AD1307" s="32">
        <f t="shared" si="23"/>
        <v>16650.1057</v>
      </c>
      <c r="AE1307" s="32">
        <f t="shared" si="2"/>
        <v>16650.1057</v>
      </c>
      <c r="AF1307" s="32"/>
    </row>
    <row r="1308">
      <c r="A1308" s="86">
        <v>2019.0</v>
      </c>
      <c r="B1308" s="87">
        <v>3.0</v>
      </c>
      <c r="C1308" s="88" t="s">
        <v>27</v>
      </c>
      <c r="D1308" s="32"/>
      <c r="E1308" s="32"/>
      <c r="F1308" s="32"/>
      <c r="G1308" s="93">
        <v>-400.28</v>
      </c>
      <c r="H1308" s="93">
        <v>2296.88</v>
      </c>
      <c r="I1308" s="32"/>
      <c r="J1308" s="93">
        <v>22589.29</v>
      </c>
      <c r="K1308" s="32"/>
      <c r="L1308" s="32"/>
      <c r="M1308" s="32"/>
      <c r="N1308" s="32"/>
      <c r="O1308" s="93">
        <v>295369.0</v>
      </c>
      <c r="P1308" s="91">
        <f>IFERROR(__xludf.DUMMYFUNCTION("IFERROR(sum(FILTER($D:$N,$C:$C = $C1308,$A:$A &lt; $A1308,$B:$B = 12)),0) + sum($D1308:$N1308)"),295369.70000000007)</f>
        <v>295369.7</v>
      </c>
      <c r="Q1308" s="92">
        <f t="shared" si="1"/>
        <v>-0.7000000001</v>
      </c>
      <c r="R1308" s="91">
        <f t="array" ref="R1308">IFERROR(INDEX('Fund YTD Target Values'!$1:$1000, MATCH($C1308,'Fund YTD Target Values'!$A:$A,0), MATCH($A1308,'Fund YTD Target Values'!$1:$1,0)),0)</f>
        <v>400423.4941</v>
      </c>
      <c r="S1308" s="91">
        <f>IFERROR(__xludf.DUMMYFUNCTION("IFERROR(sum(FILTER('Fund Investment Data'!$V:$V, 'Fund Investment Data'!$C:$C = $C1308, 'Fund Investment Data'!$A:$A &lt; $A1308)),0) + IFERROR(sum(FILTER('Fund Investment Data'!$V:$V, 'Fund Investment Data'!$C:$C = $C1308, 'Fund Investment Data'!$A:$A = $A1"&amp;"308, 'Fund Investment Data'!$B:$B &lt;= $B1308)),0)"),276213.69999999995)</f>
        <v>276213.7</v>
      </c>
      <c r="T1308" s="93"/>
      <c r="U1308" s="32"/>
      <c r="V1308" s="32">
        <f>IFERROR(__xludf.DUMMYFUNCTION("$D1308 - IFERROR(FILTER($D:$D,$C:$C = $C1308, $A:$A = $A1308, $B:$B = $B1308 - 1),0)"),0.0)</f>
        <v>0</v>
      </c>
      <c r="W1308" s="93">
        <f>IFERROR(__xludf.DUMMYFUNCTION("$E1308 - IFERROR(FILTER($E:$E,$C:$C = $C1308, $A:$A = $A1308, $B:$B = $B1308 - 1),0)"),0.0)</f>
        <v>0</v>
      </c>
      <c r="X1308" s="91">
        <f>IFERROR(__xludf.DUMMYFUNCTION("iFERROR((FILTER('Fund Investment Data'!$Z:$Z, 'Fund Investment Data'!$C:$C = $C1308, 'Fund Investment Data'!$A:$A = $A1308 - 1, 'Fund Investment Data'!$B:$B = 12) + FILTER('Fund Investment Data'!$AB:$AB, 'Fund Investment Data'!$C:$C = $C1308, 'Fund Invest"&amp;"ment Data'!$A:$A = $A1308 - 1, 'Fund Investment Data'!$B:$B = 12)) * (1 + AVERAGE(FILTER('Inflation Data'!$C:$C,'Inflation Data'!$A:$A = ($A1308 - 2)))) * Parameters!$A$4,0)"),9924.42530607715)</f>
        <v>9924.425306</v>
      </c>
      <c r="Y1308" s="91">
        <f>IFERROR(__xludf.DUMMYFUNCTION("IFERROR((IFERROR(FILTER('Fund Investment Data'!$P:$P,'Fund Investment Data'!$C:$C = $C1308,'Fund Investment Data'!$A:$A = ($A1308 - 2), 'Fund Investment Data'!$B:$B = 12),0) - SUM(FILTER('Fund Investment Data'!$V:$V, 'Fund Investment Data'!$C:$C = $C1308,"&amp;" 'Fund Investment Data'!$A:$A = ($A1308 - 2), 'Fund Investment Data'!$B:$B &gt; 3)))  * Parameters!$B$4 * (1 - Parameters!$A$4),0)"),4164.5529000000015)</f>
        <v>4164.5529</v>
      </c>
      <c r="Z1308" s="91">
        <f t="shared" si="24"/>
        <v>14088.97821</v>
      </c>
      <c r="AA1308" s="91">
        <f>IFERROR(__xludf.DUMMYFUNCTION("((IFERROR((SUM(FILTER('Fund Investment Data'!$V:$V, 'Fund Investment Data'!$C:$C = $C1308, 'Fund Investment Data'!$A:$A = $A1308 - 1, 'Fund Investment Data'!$B:$B &gt;= 4, 'Fund Investment Data'!$B:$B &lt;= ($B1308 + 5))) / 12) * ($B1308 - 3) * Parameters!$B$4,"&amp;" 0) + IF($B1308 &gt;= 9, IFERROR(SUM(FILTER('Fund Investment Data'!$V:$V, 'Fund Investment Data'!$C:$C = $C1308, 'Fund Investment Data'!$A:$A = $A1308, 'Fund Investment Data'!$B:$B &lt;= 3)) * Parameters!$B$4, 0),0)))"),0.0)</f>
        <v>0</v>
      </c>
      <c r="AB1308" s="32">
        <f>IFERROR(__xludf.DUMMYFUNCTION("IFERROR(((IFERROR(SUM(FILTER('Fund Investment Data'!$V:$V, 'Fund Investment Data'!$C:$C = $C1308, 'Fund Investment Data'!$A:$A = $A1308 - 2, 'Fund Investment Data'!$B:$B &gt;= 4)) * Parameters!$B$4,0) + IFERROR(SUM(FILTER('Fund Investment Data'!$V:$V, 'Fund "&amp;"Investment Data'!$C:$C = $C1308, 'Fund Investment Data'!$A:$A = $A1308 - 1, 'Fund Investment Data'!$B:$B &lt;= 3)) * Parameters!$B$4,0))),0)"),0.0)</f>
        <v>0</v>
      </c>
      <c r="AC1308" s="32">
        <f>IFERROR(__xludf.DUMMYFUNCTION("IFERROR(FILTER($AF:$AF,$C:$C = $C1308,$A:$A = $A1308 - 1,$B:$B = 12),0)"),0.0)</f>
        <v>0</v>
      </c>
      <c r="AD1308" s="32">
        <f t="shared" si="23"/>
        <v>14088.97821</v>
      </c>
      <c r="AE1308" s="32">
        <f t="shared" si="2"/>
        <v>14088.97821</v>
      </c>
      <c r="AF1308" s="32"/>
    </row>
    <row r="1309">
      <c r="A1309" s="86">
        <v>2019.0</v>
      </c>
      <c r="B1309" s="87">
        <v>3.0</v>
      </c>
      <c r="C1309" s="88" t="s">
        <v>28</v>
      </c>
      <c r="D1309" s="32"/>
      <c r="E1309" s="93">
        <v>-39000.0</v>
      </c>
      <c r="F1309" s="32"/>
      <c r="G1309" s="93">
        <v>-4288.66</v>
      </c>
      <c r="H1309" s="93">
        <v>24608.73</v>
      </c>
      <c r="I1309" s="93">
        <v>2798.19</v>
      </c>
      <c r="J1309" s="93">
        <v>239230.74</v>
      </c>
      <c r="K1309" s="32"/>
      <c r="L1309" s="32"/>
      <c r="M1309" s="32"/>
      <c r="N1309" s="32"/>
      <c r="O1309" s="93">
        <v>3125589.0</v>
      </c>
      <c r="P1309" s="91">
        <f>IFERROR(__xludf.DUMMYFUNCTION("IFERROR(sum(FILTER($D:$N,$C:$C = $C1309,$A:$A &lt; $A1309,$B:$B = 12)),0) + sum($D1309:$N1309)"),3125588.44)</f>
        <v>3125588.44</v>
      </c>
      <c r="Q1309" s="92">
        <f t="shared" si="1"/>
        <v>0.5600000001</v>
      </c>
      <c r="R1309" s="91">
        <f t="array" ref="R1309">IFERROR(INDEX('Fund YTD Target Values'!$1:$1000, MATCH($C1309,'Fund YTD Target Values'!$A:$A,0), MATCH($A1309,'Fund YTD Target Values'!$1:$1,0)),0)</f>
        <v>3910070.897</v>
      </c>
      <c r="S1309" s="91">
        <f>IFERROR(__xludf.DUMMYFUNCTION("IFERROR(sum(FILTER('Fund Investment Data'!$V:$V, 'Fund Investment Data'!$C:$C = $C1309, 'Fund Investment Data'!$A:$A &lt; $A1309)),0) + IFERROR(sum(FILTER('Fund Investment Data'!$V:$V, 'Fund Investment Data'!$C:$C = $C1309, 'Fund Investment Data'!$A:$A = $A1"&amp;"309, 'Fund Investment Data'!$B:$B &lt;= $B1309)),0)"),2960091.25)</f>
        <v>2960091.25</v>
      </c>
      <c r="T1309" s="93"/>
      <c r="U1309" s="32"/>
      <c r="V1309" s="32">
        <f>IFERROR(__xludf.DUMMYFUNCTION("$D1309 - IFERROR(FILTER($D:$D,$C:$C = $C1309, $A:$A = $A1309, $B:$B = $B1309 - 1),0)"),0.0)</f>
        <v>0</v>
      </c>
      <c r="W1309" s="93">
        <f>IFERROR(__xludf.DUMMYFUNCTION("$E1309 - IFERROR(FILTER($E:$E,$C:$C = $C1309, $A:$A = $A1309, $B:$B = $B1309 - 1),0)"),-39000.0)</f>
        <v>-39000</v>
      </c>
      <c r="X1309" s="91">
        <f>IFERROR(__xludf.DUMMYFUNCTION("iFERROR((FILTER('Fund Investment Data'!$Z:$Z, 'Fund Investment Data'!$C:$C = $C1309, 'Fund Investment Data'!$A:$A = $A1309 - 1, 'Fund Investment Data'!$B:$B = 12) + FILTER('Fund Investment Data'!$AB:$AB, 'Fund Investment Data'!$C:$C = $C1309, 'Fund Invest"&amp;"ment Data'!$A:$A = $A1309 - 1, 'Fund Investment Data'!$B:$B = 12)) * (1 + AVERAGE(FILTER('Inflation Data'!$C:$C,'Inflation Data'!$A:$A = ($A1309 - 2)))) * Parameters!$A$4,0)"),106462.6298445185)</f>
        <v>106462.6298</v>
      </c>
      <c r="Y1309" s="91">
        <f>IFERROR(__xludf.DUMMYFUNCTION("IFERROR((IFERROR(FILTER('Fund Investment Data'!$P:$P,'Fund Investment Data'!$C:$C = $C1309,'Fund Investment Data'!$A:$A = ($A1309 - 2), 'Fund Investment Data'!$B:$B = 12),0) - SUM(FILTER('Fund Investment Data'!$V:$V, 'Fund Investment Data'!$C:$C = $C1309,"&amp;" 'Fund Investment Data'!$A:$A = ($A1309 - 2), 'Fund Investment Data'!$B:$B &gt; 3)))  * Parameters!$B$4 * (1 - Parameters!$A$4),0)"),44674.55194500001)</f>
        <v>44674.55195</v>
      </c>
      <c r="Z1309" s="91">
        <f t="shared" si="24"/>
        <v>151137.1818</v>
      </c>
      <c r="AA1309" s="91">
        <f>IFERROR(__xludf.DUMMYFUNCTION("((IFERROR((SUM(FILTER('Fund Investment Data'!$V:$V, 'Fund Investment Data'!$C:$C = $C1309, 'Fund Investment Data'!$A:$A = $A1309 - 1, 'Fund Investment Data'!$B:$B &gt;= 4, 'Fund Investment Data'!$B:$B &lt;= ($B1309 + 5))) / 12) * ($B1309 - 3) * Parameters!$B$4,"&amp;" 0) + IF($B1309 &gt;= 9, IFERROR(SUM(FILTER('Fund Investment Data'!$V:$V, 'Fund Investment Data'!$C:$C = $C1309, 'Fund Investment Data'!$A:$A = $A1309, 'Fund Investment Data'!$B:$B &lt;= 3)) * Parameters!$B$4, 0),0)))"),0.0)</f>
        <v>0</v>
      </c>
      <c r="AB1309" s="32">
        <f>IFERROR(__xludf.DUMMYFUNCTION("IFERROR(((IFERROR(SUM(FILTER('Fund Investment Data'!$V:$V, 'Fund Investment Data'!$C:$C = $C1309, 'Fund Investment Data'!$A:$A = $A1309 - 2, 'Fund Investment Data'!$B:$B &gt;= 4)) * Parameters!$B$4,0) + IFERROR(SUM(FILTER('Fund Investment Data'!$V:$V, 'Fund "&amp;"Investment Data'!$C:$C = $C1309, 'Fund Investment Data'!$A:$A = $A1309 - 1, 'Fund Investment Data'!$B:$B &lt;= 3)) * Parameters!$B$4,0))),0)"),0.0)</f>
        <v>0</v>
      </c>
      <c r="AC1309" s="32">
        <f>IFERROR(__xludf.DUMMYFUNCTION("IFERROR(FILTER($AF:$AF,$C:$C = $C1309,$A:$A = $A1309 - 1,$B:$B = 12),0)"),0.0)</f>
        <v>0</v>
      </c>
      <c r="AD1309" s="32">
        <f t="shared" si="23"/>
        <v>151137.1818</v>
      </c>
      <c r="AE1309" s="32">
        <f t="shared" si="2"/>
        <v>112137.1818</v>
      </c>
      <c r="AF1309" s="32"/>
    </row>
    <row r="1310">
      <c r="A1310" s="86">
        <v>2019.0</v>
      </c>
      <c r="B1310" s="87">
        <v>3.0</v>
      </c>
      <c r="C1310" s="88" t="s">
        <v>46</v>
      </c>
      <c r="D1310" s="32"/>
      <c r="E1310" s="32"/>
      <c r="F1310" s="32"/>
      <c r="G1310" s="93">
        <v>-494.78</v>
      </c>
      <c r="H1310" s="93">
        <v>2841.3</v>
      </c>
      <c r="I1310" s="32"/>
      <c r="J1310" s="93">
        <v>27990.73</v>
      </c>
      <c r="K1310" s="32"/>
      <c r="L1310" s="32"/>
      <c r="M1310" s="32"/>
      <c r="N1310" s="32"/>
      <c r="O1310" s="93">
        <v>365128.0</v>
      </c>
      <c r="P1310" s="91">
        <f>IFERROR(__xludf.DUMMYFUNCTION("IFERROR(sum(FILTER($D:$N,$C:$C = $C1310,$A:$A &lt; $A1310,$B:$B = 12)),0) + sum($D1310:$N1310)"),365128.63)</f>
        <v>365128.63</v>
      </c>
      <c r="Q1310" s="92">
        <f t="shared" si="1"/>
        <v>-0.63</v>
      </c>
      <c r="R1310" s="91">
        <f t="array" ref="R1310">IFERROR(INDEX('Fund YTD Target Values'!$1:$1000, MATCH($C1310,'Fund YTD Target Values'!$A:$A,0), MATCH($A1310,'Fund YTD Target Values'!$1:$1,0)),0)</f>
        <v>464818.8536</v>
      </c>
      <c r="S1310" s="91">
        <f>IFERROR(__xludf.DUMMYFUNCTION("IFERROR(sum(FILTER('Fund Investment Data'!$V:$V, 'Fund Investment Data'!$C:$C = $C1310, 'Fund Investment Data'!$A:$A &lt; $A1310)),0) + IFERROR(sum(FILTER('Fund Investment Data'!$V:$V, 'Fund Investment Data'!$C:$C = $C1310, 'Fund Investment Data'!$A:$A = $A1"&amp;"310, 'Fund Investment Data'!$B:$B &lt;= $B1310)),0)"),366400.0)</f>
        <v>366400</v>
      </c>
      <c r="T1310" s="93">
        <v>366400.0</v>
      </c>
      <c r="U1310" s="32">
        <f>S1310-T1310</f>
        <v>0</v>
      </c>
      <c r="V1310" s="32">
        <f>IFERROR(__xludf.DUMMYFUNCTION("$D1310 - IFERROR(FILTER($D:$D,$C:$C = $C1310, $A:$A = $A1310, $B:$B = $B1310 - 1),0)"),0.0)</f>
        <v>0</v>
      </c>
      <c r="W1310" s="93">
        <f>IFERROR(__xludf.DUMMYFUNCTION("$E1310 - IFERROR(FILTER($E:$E,$C:$C = $C1310, $A:$A = $A1310, $B:$B = $B1310 - 1),0)"),0.0)</f>
        <v>0</v>
      </c>
      <c r="X1310" s="91">
        <f>IFERROR(__xludf.DUMMYFUNCTION("iFERROR((FILTER('Fund Investment Data'!$Z:$Z, 'Fund Investment Data'!$C:$C = $C1310, 'Fund Investment Data'!$A:$A = $A1310 - 1, 'Fund Investment Data'!$B:$B = 12) + FILTER('Fund Investment Data'!$AB:$AB, 'Fund Investment Data'!$C:$C = $C1310, 'Fund Invest"&amp;"ment Data'!$A:$A = $A1310 - 1, 'Fund Investment Data'!$B:$B = 12)) * (1 + AVERAGE(FILTER('Inflation Data'!$C:$C,'Inflation Data'!$A:$A = ($A1310 - 2)))) * Parameters!$A$4,0)"),12659.715432364716)</f>
        <v>12659.71543</v>
      </c>
      <c r="Y1310" s="91">
        <f>IFERROR(__xludf.DUMMYFUNCTION("IFERROR((IFERROR(FILTER('Fund Investment Data'!$P:$P,'Fund Investment Data'!$C:$C = $C1310,'Fund Investment Data'!$A:$A = ($A1310 - 2), 'Fund Investment Data'!$B:$B = 12),0) - SUM(FILTER('Fund Investment Data'!$V:$V, 'Fund Investment Data'!$C:$C = $C1310,"&amp;" 'Fund Investment Data'!$A:$A = ($A1310 - 2), 'Fund Investment Data'!$B:$B &gt; 3)))  * Parameters!$B$4 * (1 - Parameters!$A$4),0)"),5312.3534100000015)</f>
        <v>5312.35341</v>
      </c>
      <c r="Z1310" s="91">
        <f t="shared" si="24"/>
        <v>17972.06884</v>
      </c>
      <c r="AA1310" s="91">
        <f>IFERROR(__xludf.DUMMYFUNCTION("((IFERROR((SUM(FILTER('Fund Investment Data'!$V:$V, 'Fund Investment Data'!$C:$C = $C1310, 'Fund Investment Data'!$A:$A = $A1310 - 1, 'Fund Investment Data'!$B:$B &gt;= 4, 'Fund Investment Data'!$B:$B &lt;= ($B1310 + 5))) / 12) * ($B1310 - 3) * Parameters!$B$4,"&amp;" 0) + IF($B1310 &gt;= 9, IFERROR(SUM(FILTER('Fund Investment Data'!$V:$V, 'Fund Investment Data'!$C:$C = $C1310, 'Fund Investment Data'!$A:$A = $A1310, 'Fund Investment Data'!$B:$B &lt;= 3)) * Parameters!$B$4, 0),0)))"),0.0)</f>
        <v>0</v>
      </c>
      <c r="AB1310" s="32">
        <f>IFERROR(__xludf.DUMMYFUNCTION("IFERROR(((IFERROR(SUM(FILTER('Fund Investment Data'!$V:$V, 'Fund Investment Data'!$C:$C = $C1310, 'Fund Investment Data'!$A:$A = $A1310 - 2, 'Fund Investment Data'!$B:$B &gt;= 4)) * Parameters!$B$4,0) + IFERROR(SUM(FILTER('Fund Investment Data'!$V:$V, 'Fund "&amp;"Investment Data'!$C:$C = $C1310, 'Fund Investment Data'!$A:$A = $A1310 - 1, 'Fund Investment Data'!$B:$B &lt;= 3)) * Parameters!$B$4,0))),0)"),0.0)</f>
        <v>0</v>
      </c>
      <c r="AC1310" s="32">
        <f>IFERROR(__xludf.DUMMYFUNCTION("IFERROR(FILTER($AF:$AF,$C:$C = $C1310,$A:$A = $A1310 - 1,$B:$B = 12),0)"),0.0)</f>
        <v>0</v>
      </c>
      <c r="AD1310" s="32">
        <f t="shared" si="23"/>
        <v>17972.06884</v>
      </c>
      <c r="AE1310" s="32">
        <f t="shared" si="2"/>
        <v>17972.06884</v>
      </c>
      <c r="AF1310" s="32"/>
    </row>
    <row r="1311">
      <c r="A1311" s="86">
        <v>2019.0</v>
      </c>
      <c r="B1311" s="87">
        <v>3.0</v>
      </c>
      <c r="C1311" s="88" t="s">
        <v>36</v>
      </c>
      <c r="D1311" s="32"/>
      <c r="E1311" s="93">
        <v>-10000.0</v>
      </c>
      <c r="F1311" s="32"/>
      <c r="G1311" s="93">
        <v>-582.12</v>
      </c>
      <c r="H1311" s="93">
        <v>3340.24</v>
      </c>
      <c r="I1311" s="93">
        <v>1929.6</v>
      </c>
      <c r="J1311" s="93">
        <v>30926.13</v>
      </c>
      <c r="K1311" s="32"/>
      <c r="L1311" s="32"/>
      <c r="M1311" s="32"/>
      <c r="N1311" s="32"/>
      <c r="O1311" s="93">
        <v>419545.0</v>
      </c>
      <c r="P1311" s="91">
        <f>IFERROR(__xludf.DUMMYFUNCTION("IFERROR(sum(FILTER($D:$N,$C:$C = $C1311,$A:$A &lt; $A1311,$B:$B = 12)),0) + sum($D1311:$N1311)"),419544.58999999997)</f>
        <v>419544.59</v>
      </c>
      <c r="Q1311" s="92">
        <f t="shared" si="1"/>
        <v>0.41</v>
      </c>
      <c r="R1311" s="91">
        <f t="array" ref="R1311">IFERROR(INDEX('Fund YTD Target Values'!$1:$1000, MATCH($C1311,'Fund YTD Target Values'!$A:$A,0), MATCH($A1311,'Fund YTD Target Values'!$1:$1,0)),0)</f>
        <v>647000.627</v>
      </c>
      <c r="S1311" s="91">
        <f>IFERROR(__xludf.DUMMYFUNCTION("IFERROR(sum(FILTER('Fund Investment Data'!$V:$V, 'Fund Investment Data'!$C:$C = $C1311, 'Fund Investment Data'!$A:$A &lt; $A1311)),0) + IFERROR(sum(FILTER('Fund Investment Data'!$V:$V, 'Fund Investment Data'!$C:$C = $C1311, 'Fund Investment Data'!$A:$A = $A1"&amp;"311, 'Fund Investment Data'!$B:$B &lt;= $B1311)),0)"),429067.24)</f>
        <v>429067.24</v>
      </c>
      <c r="T1311" s="93"/>
      <c r="U1311" s="32"/>
      <c r="V1311" s="32">
        <f>IFERROR(__xludf.DUMMYFUNCTION("$D1311 - IFERROR(FILTER($D:$D,$C:$C = $C1311, $A:$A = $A1311, $B:$B = $B1311 - 1),0)"),0.0)</f>
        <v>0</v>
      </c>
      <c r="W1311" s="93">
        <f>IFERROR(__xludf.DUMMYFUNCTION("$E1311 - IFERROR(FILTER($E:$E,$C:$C = $C1311, $A:$A = $A1311, $B:$B = $B1311 - 1),0)"),-10000.0)</f>
        <v>-10000</v>
      </c>
      <c r="X1311" s="91">
        <f>IFERROR(__xludf.DUMMYFUNCTION("iFERROR((FILTER('Fund Investment Data'!$Z:$Z, 'Fund Investment Data'!$C:$C = $C1311, 'Fund Investment Data'!$A:$A = $A1311 - 1, 'Fund Investment Data'!$B:$B = 12) + FILTER('Fund Investment Data'!$AB:$AB, 'Fund Investment Data'!$C:$C = $C1311, 'Fund Invest"&amp;"ment Data'!$A:$A = $A1311 - 1, 'Fund Investment Data'!$B:$B = 12)) * (1 + AVERAGE(FILTER('Inflation Data'!$C:$C,'Inflation Data'!$A:$A = ($A1311 - 2)))) * Parameters!$A$4,0)"),14501.42849435059)</f>
        <v>14501.42849</v>
      </c>
      <c r="Y1311" s="91">
        <f>IFERROR(__xludf.DUMMYFUNCTION("IFERROR((IFERROR(FILTER('Fund Investment Data'!$P:$P,'Fund Investment Data'!$C:$C = $C1311,'Fund Investment Data'!$A:$A = ($A1311 - 2), 'Fund Investment Data'!$B:$B = 12),0) - SUM(FILTER('Fund Investment Data'!$V:$V, 'Fund Investment Data'!$C:$C = $C1311,"&amp;" 'Fund Investment Data'!$A:$A = ($A1311 - 2), 'Fund Investment Data'!$B:$B &gt; 3)))  * Parameters!$B$4 * (1 - Parameters!$A$4),0)"),6085.1852100000015)</f>
        <v>6085.18521</v>
      </c>
      <c r="Z1311" s="91">
        <f t="shared" si="24"/>
        <v>20586.6137</v>
      </c>
      <c r="AA1311" s="91">
        <f>IFERROR(__xludf.DUMMYFUNCTION("((IFERROR((SUM(FILTER('Fund Investment Data'!$V:$V, 'Fund Investment Data'!$C:$C = $C1311, 'Fund Investment Data'!$A:$A = $A1311 - 1, 'Fund Investment Data'!$B:$B &gt;= 4, 'Fund Investment Data'!$B:$B &lt;= ($B1311 + 5))) / 12) * ($B1311 - 3) * Parameters!$B$4,"&amp;" 0) + IF($B1311 &gt;= 9, IFERROR(SUM(FILTER('Fund Investment Data'!$V:$V, 'Fund Investment Data'!$C:$C = $C1311, 'Fund Investment Data'!$A:$A = $A1311, 'Fund Investment Data'!$B:$B &lt;= 3)) * Parameters!$B$4, 0),0)))"),0.0)</f>
        <v>0</v>
      </c>
      <c r="AB1311" s="32">
        <f>IFERROR(__xludf.DUMMYFUNCTION("IFERROR(((IFERROR(SUM(FILTER('Fund Investment Data'!$V:$V, 'Fund Investment Data'!$C:$C = $C1311, 'Fund Investment Data'!$A:$A = $A1311 - 2, 'Fund Investment Data'!$B:$B &gt;= 4)) * Parameters!$B$4,0) + IFERROR(SUM(FILTER('Fund Investment Data'!$V:$V, 'Fund "&amp;"Investment Data'!$C:$C = $C1311, 'Fund Investment Data'!$A:$A = $A1311 - 1, 'Fund Investment Data'!$B:$B &lt;= 3)) * Parameters!$B$4,0))),0)"),0.0)</f>
        <v>0</v>
      </c>
      <c r="AC1311" s="32">
        <f>IFERROR(__xludf.DUMMYFUNCTION("IFERROR(FILTER($AF:$AF,$C:$C = $C1311,$A:$A = $A1311 - 1,$B:$B = 12),0)"),0.0)</f>
        <v>0</v>
      </c>
      <c r="AD1311" s="32">
        <f t="shared" si="23"/>
        <v>20586.6137</v>
      </c>
      <c r="AE1311" s="32">
        <f t="shared" si="2"/>
        <v>10586.6137</v>
      </c>
      <c r="AF1311" s="32"/>
    </row>
    <row r="1312">
      <c r="A1312" s="86">
        <v>2019.0</v>
      </c>
      <c r="B1312" s="87">
        <v>3.0</v>
      </c>
      <c r="C1312" s="88" t="s">
        <v>37</v>
      </c>
      <c r="D1312" s="32"/>
      <c r="E1312" s="93">
        <v>-10000.0</v>
      </c>
      <c r="F1312" s="32"/>
      <c r="G1312" s="93">
        <v>-1068.39</v>
      </c>
      <c r="H1312" s="93">
        <v>6130.59</v>
      </c>
      <c r="I1312" s="93">
        <v>602.44</v>
      </c>
      <c r="J1312" s="93">
        <v>59692.74</v>
      </c>
      <c r="K1312" s="32"/>
      <c r="L1312" s="32"/>
      <c r="M1312" s="32"/>
      <c r="N1312" s="32"/>
      <c r="O1312" s="93">
        <v>778371.0</v>
      </c>
      <c r="P1312" s="91">
        <f>IFERROR(__xludf.DUMMYFUNCTION("IFERROR(sum(FILTER($D:$N,$C:$C = $C1312,$A:$A &lt; $A1312,$B:$B = 12)),0) + sum($D1312:$N1312)"),778371.4899999999)</f>
        <v>778371.49</v>
      </c>
      <c r="Q1312" s="92">
        <f t="shared" si="1"/>
        <v>-0.4899999999</v>
      </c>
      <c r="R1312" s="91">
        <f t="array" ref="R1312">IFERROR(INDEX('Fund YTD Target Values'!$1:$1000, MATCH($C1312,'Fund YTD Target Values'!$A:$A,0), MATCH($A1312,'Fund YTD Target Values'!$1:$1,0)),0)</f>
        <v>860942.6464</v>
      </c>
      <c r="S1312" s="91">
        <f>IFERROR(__xludf.DUMMYFUNCTION("IFERROR(sum(FILTER('Fund Investment Data'!$V:$V, 'Fund Investment Data'!$C:$C = $C1312, 'Fund Investment Data'!$A:$A &lt; $A1312)),0) + IFERROR(sum(FILTER('Fund Investment Data'!$V:$V, 'Fund Investment Data'!$C:$C = $C1312, 'Fund Investment Data'!$A:$A = $A1"&amp;"312, 'Fund Investment Data'!$B:$B &lt;= $B1312)),0)"),758137.86)</f>
        <v>758137.86</v>
      </c>
      <c r="T1312" s="93"/>
      <c r="U1312" s="32"/>
      <c r="V1312" s="32">
        <f>IFERROR(__xludf.DUMMYFUNCTION("$D1312 - IFERROR(FILTER($D:$D,$C:$C = $C1312, $A:$A = $A1312, $B:$B = $B1312 - 1),0)"),0.0)</f>
        <v>0</v>
      </c>
      <c r="W1312" s="93">
        <f>IFERROR(__xludf.DUMMYFUNCTION("$E1312 - IFERROR(FILTER($E:$E,$C:$C = $C1312, $A:$A = $A1312, $B:$B = $B1312 - 1),0)"),-10000.0)</f>
        <v>-10000</v>
      </c>
      <c r="X1312" s="91">
        <f>IFERROR(__xludf.DUMMYFUNCTION("iFERROR((FILTER('Fund Investment Data'!$Z:$Z, 'Fund Investment Data'!$C:$C = $C1312, 'Fund Investment Data'!$A:$A = $A1312 - 1, 'Fund Investment Data'!$B:$B = 12) + FILTER('Fund Investment Data'!$AB:$AB, 'Fund Investment Data'!$C:$C = $C1312, 'Fund Invest"&amp;"ment Data'!$A:$A = $A1312 - 1, 'Fund Investment Data'!$B:$B = 12)) * (1 + AVERAGE(FILTER('Inflation Data'!$C:$C,'Inflation Data'!$A:$A = ($A1312 - 2)))) * Parameters!$A$4,0)"),26487.702642294462)</f>
        <v>26487.70264</v>
      </c>
      <c r="Y1312" s="91">
        <f>IFERROR(__xludf.DUMMYFUNCTION("IFERROR((IFERROR(FILTER('Fund Investment Data'!$P:$P,'Fund Investment Data'!$C:$C = $C1312,'Fund Investment Data'!$A:$A = ($A1312 - 2), 'Fund Investment Data'!$B:$B = 12),0) - SUM(FILTER('Fund Investment Data'!$V:$V, 'Fund Investment Data'!$C:$C = $C1312,"&amp;" 'Fund Investment Data'!$A:$A = ($A1312 - 2), 'Fund Investment Data'!$B:$B &gt; 3)))  * Parameters!$B$4 * (1 - Parameters!$A$4),0)"),11114.94474)</f>
        <v>11114.94474</v>
      </c>
      <c r="Z1312" s="91">
        <f t="shared" si="24"/>
        <v>37602.64738</v>
      </c>
      <c r="AA1312" s="91">
        <f>IFERROR(__xludf.DUMMYFUNCTION("((IFERROR((SUM(FILTER('Fund Investment Data'!$V:$V, 'Fund Investment Data'!$C:$C = $C1312, 'Fund Investment Data'!$A:$A = $A1312 - 1, 'Fund Investment Data'!$B:$B &gt;= 4, 'Fund Investment Data'!$B:$B &lt;= ($B1312 + 5))) / 12) * ($B1312 - 3) * Parameters!$B$4,"&amp;" 0) + IF($B1312 &gt;= 9, IFERROR(SUM(FILTER('Fund Investment Data'!$V:$V, 'Fund Investment Data'!$C:$C = $C1312, 'Fund Investment Data'!$A:$A = $A1312, 'Fund Investment Data'!$B:$B &lt;= 3)) * Parameters!$B$4, 0),0)))"),0.0)</f>
        <v>0</v>
      </c>
      <c r="AB1312" s="32">
        <f>IFERROR(__xludf.DUMMYFUNCTION("IFERROR(((IFERROR(SUM(FILTER('Fund Investment Data'!$V:$V, 'Fund Investment Data'!$C:$C = $C1312, 'Fund Investment Data'!$A:$A = $A1312 - 2, 'Fund Investment Data'!$B:$B &gt;= 4)) * Parameters!$B$4,0) + IFERROR(SUM(FILTER('Fund Investment Data'!$V:$V, 'Fund "&amp;"Investment Data'!$C:$C = $C1312, 'Fund Investment Data'!$A:$A = $A1312 - 1, 'Fund Investment Data'!$B:$B &lt;= 3)) * Parameters!$B$4,0))),0)"),0.0)</f>
        <v>0</v>
      </c>
      <c r="AC1312" s="32">
        <f>IFERROR(__xludf.DUMMYFUNCTION("IFERROR(FILTER($AF:$AF,$C:$C = $C1312,$A:$A = $A1312 - 1,$B:$B = 12),0)"),0.0)</f>
        <v>0</v>
      </c>
      <c r="AD1312" s="32">
        <f t="shared" si="23"/>
        <v>37602.64738</v>
      </c>
      <c r="AE1312" s="32">
        <f t="shared" si="2"/>
        <v>27602.64738</v>
      </c>
      <c r="AF1312" s="32"/>
    </row>
    <row r="1313">
      <c r="A1313" s="86">
        <v>2019.0</v>
      </c>
      <c r="B1313" s="87">
        <v>3.0</v>
      </c>
      <c r="C1313" s="88" t="s">
        <v>29</v>
      </c>
      <c r="D1313" s="32"/>
      <c r="E1313" s="32"/>
      <c r="F1313" s="32"/>
      <c r="G1313" s="93">
        <v>-79.33</v>
      </c>
      <c r="H1313" s="93">
        <v>453.25</v>
      </c>
      <c r="I1313" s="32"/>
      <c r="J1313" s="93">
        <v>4414.55</v>
      </c>
      <c r="K1313" s="32"/>
      <c r="L1313" s="32"/>
      <c r="M1313" s="32"/>
      <c r="N1313" s="32"/>
      <c r="O1313" s="93">
        <v>58516.0</v>
      </c>
      <c r="P1313" s="91">
        <f>IFERROR(__xludf.DUMMYFUNCTION("IFERROR(sum(FILTER($D:$N,$C:$C = $C1313,$A:$A &lt; $A1313,$B:$B = 12)),0) + sum($D1313:$N1313)"),58515.85999999992)</f>
        <v>58515.86</v>
      </c>
      <c r="Q1313" s="92">
        <f t="shared" si="1"/>
        <v>0.1400000001</v>
      </c>
      <c r="R1313" s="91">
        <f t="array" ref="R1313">IFERROR(INDEX('Fund YTD Target Values'!$1:$1000, MATCH($C1313,'Fund YTD Target Values'!$A:$A,0), MATCH($A1313,'Fund YTD Target Values'!$1:$1,0)),0)</f>
        <v>78452.06886</v>
      </c>
      <c r="S1313" s="91">
        <f>IFERROR(__xludf.DUMMYFUNCTION("IFERROR(sum(FILTER('Fund Investment Data'!$V:$V, 'Fund Investment Data'!$C:$C = $C1313, 'Fund Investment Data'!$A:$A &lt; $A1313)),0) + IFERROR(sum(FILTER('Fund Investment Data'!$V:$V, 'Fund Investment Data'!$C:$C = $C1313, 'Fund Investment Data'!$A:$A = $A1"&amp;"313, 'Fund Investment Data'!$B:$B &lt;= $B1313)),0)"),50000.0)</f>
        <v>50000</v>
      </c>
      <c r="T1313" s="93">
        <v>50000.0</v>
      </c>
      <c r="U1313" s="32">
        <f>S1313-T1313</f>
        <v>0</v>
      </c>
      <c r="V1313" s="32">
        <f>IFERROR(__xludf.DUMMYFUNCTION("$D1313 - IFERROR(FILTER($D:$D,$C:$C = $C1313, $A:$A = $A1313, $B:$B = $B1313 - 1),0)"),0.0)</f>
        <v>0</v>
      </c>
      <c r="W1313" s="93">
        <f>IFERROR(__xludf.DUMMYFUNCTION("$E1313 - IFERROR(FILTER($E:$E,$C:$C = $C1313, $A:$A = $A1313, $B:$B = $B1313 - 1),0)"),0.0)</f>
        <v>0</v>
      </c>
      <c r="X1313" s="91">
        <f>IFERROR(__xludf.DUMMYFUNCTION("iFERROR((FILTER('Fund Investment Data'!$Z:$Z, 'Fund Investment Data'!$C:$C = $C1313, 'Fund Investment Data'!$A:$A = $A1313 - 1, 'Fund Investment Data'!$B:$B = 12) + FILTER('Fund Investment Data'!$AB:$AB, 'Fund Investment Data'!$C:$C = $C1313, 'Fund Invest"&amp;"ment Data'!$A:$A = $A1313 - 1, 'Fund Investment Data'!$B:$B = 12)) * (1 + AVERAGE(FILTER('Inflation Data'!$C:$C,'Inflation Data'!$A:$A = ($A1313 - 2)))) * Parameters!$A$4,0)"),1871.1341826828661)</f>
        <v>1871.134183</v>
      </c>
      <c r="Y1313" s="91">
        <f>IFERROR(__xludf.DUMMYFUNCTION("IFERROR((IFERROR(FILTER('Fund Investment Data'!$P:$P,'Fund Investment Data'!$C:$C = $C1313,'Fund Investment Data'!$A:$A = ($A1313 - 2), 'Fund Investment Data'!$B:$B = 12),0) - SUM(FILTER('Fund Investment Data'!$V:$V, 'Fund Investment Data'!$C:$C = $C1313,"&amp;" 'Fund Investment Data'!$A:$A = ($A1313 - 2), 'Fund Investment Data'!$B:$B &gt; 3)))  * Parameters!$B$4 * (1 - Parameters!$A$4),0)"),785.1776849999991)</f>
        <v>785.177685</v>
      </c>
      <c r="Z1313" s="91">
        <f t="shared" si="24"/>
        <v>2656.311868</v>
      </c>
      <c r="AA1313" s="91">
        <f>IFERROR(__xludf.DUMMYFUNCTION("((IFERROR((SUM(FILTER('Fund Investment Data'!$V:$V, 'Fund Investment Data'!$C:$C = $C1313, 'Fund Investment Data'!$A:$A = $A1313 - 1, 'Fund Investment Data'!$B:$B &gt;= 4, 'Fund Investment Data'!$B:$B &lt;= ($B1313 + 5))) / 12) * ($B1313 - 3) * Parameters!$B$4,"&amp;" 0) + IF($B1313 &gt;= 9, IFERROR(SUM(FILTER('Fund Investment Data'!$V:$V, 'Fund Investment Data'!$C:$C = $C1313, 'Fund Investment Data'!$A:$A = $A1313, 'Fund Investment Data'!$B:$B &lt;= 3)) * Parameters!$B$4, 0),0)))"),0.0)</f>
        <v>0</v>
      </c>
      <c r="AB1313" s="32">
        <f>IFERROR(__xludf.DUMMYFUNCTION("IFERROR(((IFERROR(SUM(FILTER('Fund Investment Data'!$V:$V, 'Fund Investment Data'!$C:$C = $C1313, 'Fund Investment Data'!$A:$A = $A1313 - 2, 'Fund Investment Data'!$B:$B &gt;= 4)) * Parameters!$B$4,0) + IFERROR(SUM(FILTER('Fund Investment Data'!$V:$V, 'Fund "&amp;"Investment Data'!$C:$C = $C1313, 'Fund Investment Data'!$A:$A = $A1313 - 1, 'Fund Investment Data'!$B:$B &lt;= 3)) * Parameters!$B$4,0))),0)"),0.0)</f>
        <v>0</v>
      </c>
      <c r="AC1313" s="32">
        <f>IFERROR(__xludf.DUMMYFUNCTION("IFERROR(FILTER($AF:$AF,$C:$C = $C1313,$A:$A = $A1313 - 1,$B:$B = 12),0)"),0.0)</f>
        <v>0</v>
      </c>
      <c r="AD1313" s="32">
        <f t="shared" si="23"/>
        <v>2656.311868</v>
      </c>
      <c r="AE1313" s="32">
        <f t="shared" si="2"/>
        <v>2656.311868</v>
      </c>
      <c r="AF1313" s="32"/>
    </row>
    <row r="1314">
      <c r="A1314" s="86">
        <v>2019.0</v>
      </c>
      <c r="B1314" s="87">
        <v>3.0</v>
      </c>
      <c r="C1314" s="88" t="s">
        <v>38</v>
      </c>
      <c r="D1314" s="32"/>
      <c r="E1314" s="32"/>
      <c r="F1314" s="32"/>
      <c r="G1314" s="93">
        <v>-1066.76</v>
      </c>
      <c r="H1314" s="93">
        <v>6125.87</v>
      </c>
      <c r="I1314" s="32"/>
      <c r="J1314" s="93">
        <v>60348.17</v>
      </c>
      <c r="K1314" s="32"/>
      <c r="L1314" s="32"/>
      <c r="M1314" s="32"/>
      <c r="N1314" s="32"/>
      <c r="O1314" s="93">
        <v>787218.0</v>
      </c>
      <c r="P1314" s="91">
        <f>IFERROR(__xludf.DUMMYFUNCTION("IFERROR(sum(FILTER($D:$N,$C:$C = $C1314,$A:$A &lt; $A1314,$B:$B = 12)),0) + sum($D1314:$N1314)"),787217.4400000001)</f>
        <v>787217.44</v>
      </c>
      <c r="Q1314" s="92">
        <f t="shared" si="1"/>
        <v>0.5599999999</v>
      </c>
      <c r="R1314" s="91">
        <f t="array" ref="R1314">IFERROR(INDEX('Fund YTD Target Values'!$1:$1000, MATCH($C1314,'Fund YTD Target Values'!$A:$A,0), MATCH($A1314,'Fund YTD Target Values'!$1:$1,0)),0)</f>
        <v>715243.4084</v>
      </c>
      <c r="S1314" s="91">
        <f>IFERROR(__xludf.DUMMYFUNCTION("IFERROR(sum(FILTER('Fund Investment Data'!$V:$V, 'Fund Investment Data'!$C:$C = $C1314, 'Fund Investment Data'!$A:$A &lt; $A1314)),0) + IFERROR(sum(FILTER('Fund Investment Data'!$V:$V, 'Fund Investment Data'!$C:$C = $C1314, 'Fund Investment Data'!$A:$A = $A1"&amp;"314, 'Fund Investment Data'!$B:$B &lt;= $B1314)),0)"),556601.64)</f>
        <v>556601.64</v>
      </c>
      <c r="T1314" s="93"/>
      <c r="U1314" s="32"/>
      <c r="V1314" s="32">
        <f>IFERROR(__xludf.DUMMYFUNCTION("$D1314 - IFERROR(FILTER($D:$D,$C:$C = $C1314, $A:$A = $A1314, $B:$B = $B1314 - 1),0)"),0.0)</f>
        <v>0</v>
      </c>
      <c r="W1314" s="93">
        <f>IFERROR(__xludf.DUMMYFUNCTION("$E1314 - IFERROR(FILTER($E:$E,$C:$C = $C1314, $A:$A = $A1314, $B:$B = $B1314 - 1),0)"),0.0)</f>
        <v>0</v>
      </c>
      <c r="X1314" s="91">
        <f>IFERROR(__xludf.DUMMYFUNCTION("iFERROR((FILTER('Fund Investment Data'!$Z:$Z, 'Fund Investment Data'!$C:$C = $C1314, 'Fund Investment Data'!$A:$A = $A1314 - 1, 'Fund Investment Data'!$B:$B = 12) + FILTER('Fund Investment Data'!$AB:$AB, 'Fund Investment Data'!$C:$C = $C1314, 'Fund Invest"&amp;"ment Data'!$A:$A = $A1314 - 1, 'Fund Investment Data'!$B:$B = 12)) * (1 + AVERAGE(FILTER('Inflation Data'!$C:$C,'Inflation Data'!$A:$A = ($A1314 - 2)))) * Parameters!$A$4,0)"),22062.02597097784)</f>
        <v>22062.02597</v>
      </c>
      <c r="Y1314" s="91">
        <f>IFERROR(__xludf.DUMMYFUNCTION("IFERROR((IFERROR(FILTER('Fund Investment Data'!$P:$P,'Fund Investment Data'!$C:$C = $C1314,'Fund Investment Data'!$A:$A = ($A1314 - 2), 'Fund Investment Data'!$B:$B = 12),0) - SUM(FILTER('Fund Investment Data'!$V:$V, 'Fund Investment Data'!$C:$C = $C1314,"&amp;" 'Fund Investment Data'!$A:$A = ($A1314 - 2), 'Fund Investment Data'!$B:$B &gt; 3)))  * Parameters!$B$4 * (1 - Parameters!$A$4),0)"),11008.00989)</f>
        <v>11008.00989</v>
      </c>
      <c r="Z1314" s="91">
        <f t="shared" si="24"/>
        <v>33070.03586</v>
      </c>
      <c r="AA1314" s="91">
        <f>IFERROR(__xludf.DUMMYFUNCTION("((IFERROR((SUM(FILTER('Fund Investment Data'!$V:$V, 'Fund Investment Data'!$C:$C = $C1314, 'Fund Investment Data'!$A:$A = $A1314 - 1, 'Fund Investment Data'!$B:$B &gt;= 4, 'Fund Investment Data'!$B:$B &lt;= ($B1314 + 5))) / 12) * ($B1314 - 3) * Parameters!$B$4,"&amp;" 0) + IF($B1314 &gt;= 9, IFERROR(SUM(FILTER('Fund Investment Data'!$V:$V, 'Fund Investment Data'!$C:$C = $C1314, 'Fund Investment Data'!$A:$A = $A1314, 'Fund Investment Data'!$B:$B &lt;= 3)) * Parameters!$B$4, 0),0)))"),0.0)</f>
        <v>0</v>
      </c>
      <c r="AB1314" s="32">
        <f>IFERROR(__xludf.DUMMYFUNCTION("IFERROR(((IFERROR(SUM(FILTER('Fund Investment Data'!$V:$V, 'Fund Investment Data'!$C:$C = $C1314, 'Fund Investment Data'!$A:$A = $A1314 - 2, 'Fund Investment Data'!$B:$B &gt;= 4)) * Parameters!$B$4,0) + IFERROR(SUM(FILTER('Fund Investment Data'!$V:$V, 'Fund "&amp;"Investment Data'!$C:$C = $C1314, 'Fund Investment Data'!$A:$A = $A1314 - 1, 'Fund Investment Data'!$B:$B &lt;= 3)) * Parameters!$B$4,0))),0)"),0.0)</f>
        <v>0</v>
      </c>
      <c r="AC1314" s="32">
        <f>IFERROR(__xludf.DUMMYFUNCTION("IFERROR(FILTER($AF:$AF,$C:$C = $C1314,$A:$A = $A1314 - 1,$B:$B = 12),0)"),0.0)</f>
        <v>0</v>
      </c>
      <c r="AD1314" s="32">
        <f t="shared" si="23"/>
        <v>33070.03586</v>
      </c>
      <c r="AE1314" s="32">
        <f t="shared" si="2"/>
        <v>33070.03586</v>
      </c>
      <c r="AF1314" s="32"/>
    </row>
    <row r="1315">
      <c r="A1315" s="86">
        <v>2019.0</v>
      </c>
      <c r="B1315" s="87">
        <v>3.0</v>
      </c>
      <c r="C1315" s="88" t="s">
        <v>30</v>
      </c>
      <c r="D1315" s="32"/>
      <c r="E1315" s="32"/>
      <c r="F1315" s="32"/>
      <c r="G1315" s="93">
        <v>-23.69</v>
      </c>
      <c r="H1315" s="93">
        <v>135.3</v>
      </c>
      <c r="I1315" s="32"/>
      <c r="J1315" s="93">
        <v>1317.82</v>
      </c>
      <c r="K1315" s="32"/>
      <c r="L1315" s="32"/>
      <c r="M1315" s="32"/>
      <c r="N1315" s="32"/>
      <c r="O1315" s="93">
        <v>17470.0</v>
      </c>
      <c r="P1315" s="91">
        <f>IFERROR(__xludf.DUMMYFUNCTION("IFERROR(sum(FILTER($D:$N,$C:$C = $C1315,$A:$A &lt; $A1315,$B:$B = 12)),0) + sum($D1315:$N1315)"),17468.509999999984)</f>
        <v>17468.51</v>
      </c>
      <c r="Q1315" s="92">
        <f t="shared" si="1"/>
        <v>1.49</v>
      </c>
      <c r="R1315" s="91">
        <f t="array" ref="R1315">IFERROR(INDEX('Fund YTD Target Values'!$1:$1000, MATCH($C1315,'Fund YTD Target Values'!$A:$A,0), MATCH($A1315,'Fund YTD Target Values'!$1:$1,0)),0)</f>
        <v>18819.48136</v>
      </c>
      <c r="S1315" s="91">
        <f>IFERROR(__xludf.DUMMYFUNCTION("IFERROR(sum(FILTER('Fund Investment Data'!$V:$V, 'Fund Investment Data'!$C:$C = $C1315, 'Fund Investment Data'!$A:$A &lt; $A1315)),0) + IFERROR(sum(FILTER('Fund Investment Data'!$V:$V, 'Fund Investment Data'!$C:$C = $C1315, 'Fund Investment Data'!$A:$A = $A1"&amp;"315, 'Fund Investment Data'!$B:$B &lt;= $B1315)),0)"),11540.75)</f>
        <v>11540.75</v>
      </c>
      <c r="T1315" s="93"/>
      <c r="U1315" s="32"/>
      <c r="V1315" s="32">
        <f>IFERROR(__xludf.DUMMYFUNCTION("$D1315 - IFERROR(FILTER($D:$D,$C:$C = $C1315, $A:$A = $A1315, $B:$B = $B1315 - 1),0)"),0.0)</f>
        <v>0</v>
      </c>
      <c r="W1315" s="93">
        <f>IFERROR(__xludf.DUMMYFUNCTION("$E1315 - IFERROR(FILTER($E:$E,$C:$C = $C1315, $A:$A = $A1315, $B:$B = $B1315 - 1),0)"),0.0)</f>
        <v>0</v>
      </c>
      <c r="X1315" s="91">
        <f>IFERROR(__xludf.DUMMYFUNCTION("iFERROR((FILTER('Fund Investment Data'!$Z:$Z, 'Fund Investment Data'!$C:$C = $C1315, 'Fund Investment Data'!$A:$A = $A1315 - 1, 'Fund Investment Data'!$B:$B = 12) + FILTER('Fund Investment Data'!$AB:$AB, 'Fund Investment Data'!$C:$C = $C1315, 'Fund Invest"&amp;"ment Data'!$A:$A = $A1315 - 1, 'Fund Investment Data'!$B:$B = 12)) * (1 + AVERAGE(FILTER('Inflation Data'!$C:$C,'Inflation Data'!$A:$A = ($A1315 - 2)))) * Parameters!$A$4,0)"),558.7349135648467)</f>
        <v>558.7349136</v>
      </c>
      <c r="Y1315" s="91">
        <f>IFERROR(__xludf.DUMMYFUNCTION("IFERROR((IFERROR(FILTER('Fund Investment Data'!$P:$P,'Fund Investment Data'!$C:$C = $C1315,'Fund Investment Data'!$A:$A = ($A1315 - 2), 'Fund Investment Data'!$B:$B = 12),0) - SUM(FILTER('Fund Investment Data'!$V:$V, 'Fund Investment Data'!$C:$C = $C1315,"&amp;" 'Fund Investment Data'!$A:$A = ($A1315 - 2), 'Fund Investment Data'!$B:$B &gt; 3)))  * Parameters!$B$4 * (1 - Parameters!$A$4),0)"),234.46003499999986)</f>
        <v>234.460035</v>
      </c>
      <c r="Z1315" s="91">
        <f t="shared" si="24"/>
        <v>793.1949486</v>
      </c>
      <c r="AA1315" s="91">
        <f>IFERROR(__xludf.DUMMYFUNCTION("((IFERROR((SUM(FILTER('Fund Investment Data'!$V:$V, 'Fund Investment Data'!$C:$C = $C1315, 'Fund Investment Data'!$A:$A = $A1315 - 1, 'Fund Investment Data'!$B:$B &gt;= 4, 'Fund Investment Data'!$B:$B &lt;= ($B1315 + 5))) / 12) * ($B1315 - 3) * Parameters!$B$4,"&amp;" 0) + IF($B1315 &gt;= 9, IFERROR(SUM(FILTER('Fund Investment Data'!$V:$V, 'Fund Investment Data'!$C:$C = $C1315, 'Fund Investment Data'!$A:$A = $A1315, 'Fund Investment Data'!$B:$B &lt;= 3)) * Parameters!$B$4, 0),0)))"),0.0)</f>
        <v>0</v>
      </c>
      <c r="AB1315" s="32">
        <f>IFERROR(__xludf.DUMMYFUNCTION("IFERROR(((IFERROR(SUM(FILTER('Fund Investment Data'!$V:$V, 'Fund Investment Data'!$C:$C = $C1315, 'Fund Investment Data'!$A:$A = $A1315 - 2, 'Fund Investment Data'!$B:$B &gt;= 4)) * Parameters!$B$4,0) + IFERROR(SUM(FILTER('Fund Investment Data'!$V:$V, 'Fund "&amp;"Investment Data'!$C:$C = $C1315, 'Fund Investment Data'!$A:$A = $A1315 - 1, 'Fund Investment Data'!$B:$B &lt;= 3)) * Parameters!$B$4,0))),0)"),0.0)</f>
        <v>0</v>
      </c>
      <c r="AC1315" s="32">
        <f>IFERROR(__xludf.DUMMYFUNCTION("IFERROR(FILTER($AF:$AF,$C:$C = $C1315,$A:$A = $A1315 - 1,$B:$B = 12),0)"),0.0)</f>
        <v>0</v>
      </c>
      <c r="AD1315" s="32">
        <f t="shared" si="23"/>
        <v>793.1949486</v>
      </c>
      <c r="AE1315" s="32">
        <f t="shared" si="2"/>
        <v>793.1949486</v>
      </c>
      <c r="AF1315" s="32"/>
    </row>
    <row r="1316">
      <c r="A1316" s="86">
        <v>2019.0</v>
      </c>
      <c r="B1316" s="87">
        <v>3.0</v>
      </c>
      <c r="C1316" s="88" t="s">
        <v>47</v>
      </c>
      <c r="D1316" s="32"/>
      <c r="E1316" s="93">
        <v>-15000.0</v>
      </c>
      <c r="F1316" s="32"/>
      <c r="G1316" s="93">
        <v>-1967.5</v>
      </c>
      <c r="H1316" s="93">
        <v>11298.48</v>
      </c>
      <c r="I1316" s="93">
        <v>1456.31</v>
      </c>
      <c r="J1316" s="93">
        <v>109852.66</v>
      </c>
      <c r="K1316" s="32"/>
      <c r="L1316" s="32"/>
      <c r="M1316" s="32"/>
      <c r="N1316" s="32"/>
      <c r="O1316" s="93">
        <v>1436938.0</v>
      </c>
      <c r="P1316" s="91">
        <f>IFERROR(__xludf.DUMMYFUNCTION("IFERROR(sum(FILTER($D:$N,$C:$C = $C1316,$A:$A &lt; $A1316,$B:$B = 12)),0) + sum($D1316:$N1316)"),1436937.9099999997)</f>
        <v>1436937.91</v>
      </c>
      <c r="Q1316" s="92">
        <f t="shared" si="1"/>
        <v>0.09000000032</v>
      </c>
      <c r="R1316" s="91">
        <f t="array" ref="R1316">IFERROR(INDEX('Fund YTD Target Values'!$1:$1000, MATCH($C1316,'Fund YTD Target Values'!$A:$A,0), MATCH($A1316,'Fund YTD Target Values'!$1:$1,0)),0)</f>
        <v>2034942.933</v>
      </c>
      <c r="S1316" s="91">
        <f>IFERROR(__xludf.DUMMYFUNCTION("IFERROR(sum(FILTER('Fund Investment Data'!$V:$V, 'Fund Investment Data'!$C:$C = $C1316, 'Fund Investment Data'!$A:$A &lt; $A1316)),0) + IFERROR(sum(FILTER('Fund Investment Data'!$V:$V, 'Fund Investment Data'!$C:$C = $C1316, 'Fund Investment Data'!$A:$A = $A1"&amp;"316, 'Fund Investment Data'!$B:$B &lt;= $B1316)),0)"),1456367.46)</f>
        <v>1456367.46</v>
      </c>
      <c r="T1316" s="93"/>
      <c r="U1316" s="32"/>
      <c r="V1316" s="32">
        <f>IFERROR(__xludf.DUMMYFUNCTION("$D1316 - IFERROR(FILTER($D:$D,$C:$C = $C1316, $A:$A = $A1316, $B:$B = $B1316 - 1),0)"),0.0)</f>
        <v>0</v>
      </c>
      <c r="W1316" s="93">
        <f>IFERROR(__xludf.DUMMYFUNCTION("$E1316 - IFERROR(FILTER($E:$E,$C:$C = $C1316, $A:$A = $A1316, $B:$B = $B1316 - 1),0)"),-15000.0)</f>
        <v>-15000</v>
      </c>
      <c r="X1316" s="91">
        <f>IFERROR(__xludf.DUMMYFUNCTION("iFERROR((FILTER('Fund Investment Data'!$Z:$Z, 'Fund Investment Data'!$C:$C = $C1316, 'Fund Investment Data'!$A:$A = $A1316 - 1, 'Fund Investment Data'!$B:$B = 12) + FILTER('Fund Investment Data'!$AB:$AB, 'Fund Investment Data'!$C:$C = $C1316, 'Fund Invest"&amp;"ment Data'!$A:$A = $A1316 - 1, 'Fund Investment Data'!$B:$B = 12)) * (1 + AVERAGE(FILTER('Inflation Data'!$C:$C,'Inflation Data'!$A:$A = ($A1316 - 2)))) * Parameters!$A$4,0)"),48393.90516981818)</f>
        <v>48393.90517</v>
      </c>
      <c r="Y1316" s="91">
        <f>IFERROR(__xludf.DUMMYFUNCTION("IFERROR((IFERROR(FILTER('Fund Investment Data'!$P:$P,'Fund Investment Data'!$C:$C = $C1316,'Fund Investment Data'!$A:$A = ($A1316 - 2), 'Fund Investment Data'!$B:$B = 12),0) - SUM(FILTER('Fund Investment Data'!$V:$V, 'Fund Investment Data'!$C:$C = $C1316,"&amp;" 'Fund Investment Data'!$A:$A = ($A1316 - 2), 'Fund Investment Data'!$B:$B &gt; 3)))  * Parameters!$B$4 * (1 - Parameters!$A$4),0)"),20307.37014)</f>
        <v>20307.37014</v>
      </c>
      <c r="Z1316" s="91">
        <f t="shared" si="24"/>
        <v>68701.27531</v>
      </c>
      <c r="AA1316" s="91">
        <f>IFERROR(__xludf.DUMMYFUNCTION("((IFERROR((SUM(FILTER('Fund Investment Data'!$V:$V, 'Fund Investment Data'!$C:$C = $C1316, 'Fund Investment Data'!$A:$A = $A1316 - 1, 'Fund Investment Data'!$B:$B &gt;= 4, 'Fund Investment Data'!$B:$B &lt;= ($B1316 + 5))) / 12) * ($B1316 - 3) * Parameters!$B$4,"&amp;" 0) + IF($B1316 &gt;= 9, IFERROR(SUM(FILTER('Fund Investment Data'!$V:$V, 'Fund Investment Data'!$C:$C = $C1316, 'Fund Investment Data'!$A:$A = $A1316, 'Fund Investment Data'!$B:$B &lt;= 3)) * Parameters!$B$4, 0),0)))"),0.0)</f>
        <v>0</v>
      </c>
      <c r="AB1316" s="32">
        <f>IFERROR(__xludf.DUMMYFUNCTION("IFERROR(((IFERROR(SUM(FILTER('Fund Investment Data'!$V:$V, 'Fund Investment Data'!$C:$C = $C1316, 'Fund Investment Data'!$A:$A = $A1316 - 2, 'Fund Investment Data'!$B:$B &gt;= 4)) * Parameters!$B$4,0) + IFERROR(SUM(FILTER('Fund Investment Data'!$V:$V, 'Fund "&amp;"Investment Data'!$C:$C = $C1316, 'Fund Investment Data'!$A:$A = $A1316 - 1, 'Fund Investment Data'!$B:$B &lt;= 3)) * Parameters!$B$4,0))),0)"),450.0)</f>
        <v>450</v>
      </c>
      <c r="AC1316" s="32">
        <f>IFERROR(__xludf.DUMMYFUNCTION("IFERROR(FILTER($AF:$AF,$C:$C = $C1316,$A:$A = $A1316 - 1,$B:$B = 12),0)"),0.0)</f>
        <v>0</v>
      </c>
      <c r="AD1316" s="32">
        <f t="shared" si="23"/>
        <v>69151.27531</v>
      </c>
      <c r="AE1316" s="32">
        <f t="shared" si="2"/>
        <v>54151.27531</v>
      </c>
      <c r="AF1316" s="32"/>
    </row>
    <row r="1317">
      <c r="A1317" s="86">
        <v>2019.0</v>
      </c>
      <c r="B1317" s="87">
        <v>3.0</v>
      </c>
      <c r="C1317" s="88" t="s">
        <v>31</v>
      </c>
      <c r="D1317" s="32"/>
      <c r="E1317" s="32"/>
      <c r="F1317" s="32"/>
      <c r="G1317" s="93">
        <v>-244.7</v>
      </c>
      <c r="H1317" s="93">
        <v>1403.96</v>
      </c>
      <c r="I1317" s="32"/>
      <c r="J1317" s="93">
        <v>13804.06</v>
      </c>
      <c r="K1317" s="32"/>
      <c r="L1317" s="32"/>
      <c r="M1317" s="32"/>
      <c r="N1317" s="32"/>
      <c r="O1317" s="93">
        <v>180561.0</v>
      </c>
      <c r="P1317" s="91">
        <f>IFERROR(__xludf.DUMMYFUNCTION("IFERROR(sum(FILTER($D:$N,$C:$C = $C1317,$A:$A &lt; $A1317,$B:$B = 12)),0) + sum($D1317:$N1317)"),180561.04)</f>
        <v>180561.04</v>
      </c>
      <c r="Q1317" s="92">
        <f t="shared" si="1"/>
        <v>-0.04000000001</v>
      </c>
      <c r="R1317" s="91">
        <f t="array" ref="R1317">IFERROR(INDEX('Fund YTD Target Values'!$1:$1000, MATCH($C1317,'Fund YTD Target Values'!$A:$A,0), MATCH($A1317,'Fund YTD Target Values'!$1:$1,0)),0)</f>
        <v>214470.0821</v>
      </c>
      <c r="S1317" s="91">
        <f>IFERROR(__xludf.DUMMYFUNCTION("IFERROR(sum(FILTER('Fund Investment Data'!$V:$V, 'Fund Investment Data'!$C:$C = $C1317, 'Fund Investment Data'!$A:$A &lt; $A1317)),0) + IFERROR(sum(FILTER('Fund Investment Data'!$V:$V, 'Fund Investment Data'!$C:$C = $C1317, 'Fund Investment Data'!$A:$A = $A1"&amp;"317, 'Fund Investment Data'!$B:$B &lt;= $B1317)),0)"),158100.0)</f>
        <v>158100</v>
      </c>
      <c r="T1317" s="93">
        <v>156850.0</v>
      </c>
      <c r="U1317" s="32">
        <f t="shared" ref="U1317:U1318" si="37">S1317-T1317</f>
        <v>1250</v>
      </c>
      <c r="V1317" s="32">
        <f>IFERROR(__xludf.DUMMYFUNCTION("$D1317 - IFERROR(FILTER($D:$D,$C:$C = $C1317, $A:$A = $A1317, $B:$B = $B1317 - 1),0)"),0.0)</f>
        <v>0</v>
      </c>
      <c r="W1317" s="93">
        <f>IFERROR(__xludf.DUMMYFUNCTION("$E1317 - IFERROR(FILTER($E:$E,$C:$C = $C1317, $A:$A = $A1317, $B:$B = $B1317 - 1),0)"),0.0)</f>
        <v>0</v>
      </c>
      <c r="X1317" s="91">
        <f>IFERROR(__xludf.DUMMYFUNCTION("iFERROR((FILTER('Fund Investment Data'!$Z:$Z, 'Fund Investment Data'!$C:$C = $C1317, 'Fund Investment Data'!$A:$A = $A1317 - 1, 'Fund Investment Data'!$B:$B = 12) + FILTER('Fund Investment Data'!$AB:$AB, 'Fund Investment Data'!$C:$C = $C1317, 'Fund Invest"&amp;"ment Data'!$A:$A = $A1317 - 1, 'Fund Investment Data'!$B:$B = 12)) * (1 + AVERAGE(FILTER('Inflation Data'!$C:$C,'Inflation Data'!$A:$A = ($A1317 - 2)))) * Parameters!$A$4,0)"),6185.263738478203)</f>
        <v>6185.263738</v>
      </c>
      <c r="Y1317" s="91">
        <f>IFERROR(__xludf.DUMMYFUNCTION("IFERROR((IFERROR(FILTER('Fund Investment Data'!$P:$P,'Fund Investment Data'!$C:$C = $C1317,'Fund Investment Data'!$A:$A = ($A1317 - 2), 'Fund Investment Data'!$B:$B = 12),0) - SUM(FILTER('Fund Investment Data'!$V:$V, 'Fund Investment Data'!$C:$C = $C1317,"&amp;" 'Fund Investment Data'!$A:$A = ($A1317 - 2), 'Fund Investment Data'!$B:$B &gt; 3)))  * Parameters!$B$4 * (1 - Parameters!$A$4),0)"),2555.001225000001)</f>
        <v>2555.001225</v>
      </c>
      <c r="Z1317" s="91">
        <f t="shared" si="24"/>
        <v>8740.264963</v>
      </c>
      <c r="AA1317" s="91">
        <f>IFERROR(__xludf.DUMMYFUNCTION("((IFERROR((SUM(FILTER('Fund Investment Data'!$V:$V, 'Fund Investment Data'!$C:$C = $C1317, 'Fund Investment Data'!$A:$A = $A1317 - 1, 'Fund Investment Data'!$B:$B &gt;= 4, 'Fund Investment Data'!$B:$B &lt;= ($B1317 + 5))) / 12) * ($B1317 - 3) * Parameters!$B$4,"&amp;" 0) + IF($B1317 &gt;= 9, IFERROR(SUM(FILTER('Fund Investment Data'!$V:$V, 'Fund Investment Data'!$C:$C = $C1317, 'Fund Investment Data'!$A:$A = $A1317, 'Fund Investment Data'!$B:$B &lt;= 3)) * Parameters!$B$4, 0),0)))"),0.0)</f>
        <v>0</v>
      </c>
      <c r="AB1317" s="32">
        <f>IFERROR(__xludf.DUMMYFUNCTION("IFERROR(((IFERROR(SUM(FILTER('Fund Investment Data'!$V:$V, 'Fund Investment Data'!$C:$C = $C1317, 'Fund Investment Data'!$A:$A = $A1317 - 2, 'Fund Investment Data'!$B:$B &gt;= 4)) * Parameters!$B$4,0) + IFERROR(SUM(FILTER('Fund Investment Data'!$V:$V, 'Fund "&amp;"Investment Data'!$C:$C = $C1317, 'Fund Investment Data'!$A:$A = $A1317 - 1, 'Fund Investment Data'!$B:$B &lt;= 3)) * Parameters!$B$4,0))),0)"),0.0)</f>
        <v>0</v>
      </c>
      <c r="AC1317" s="32">
        <f>IFERROR(__xludf.DUMMYFUNCTION("IFERROR(FILTER($AF:$AF,$C:$C = $C1317,$A:$A = $A1317 - 1,$B:$B = 12),0)"),0.0)</f>
        <v>0</v>
      </c>
      <c r="AD1317" s="32">
        <f t="shared" si="23"/>
        <v>8740.264963</v>
      </c>
      <c r="AE1317" s="32">
        <f t="shared" si="2"/>
        <v>8740.264963</v>
      </c>
      <c r="AF1317" s="32"/>
    </row>
    <row r="1318">
      <c r="A1318" s="86">
        <v>2019.0</v>
      </c>
      <c r="B1318" s="87">
        <v>3.0</v>
      </c>
      <c r="C1318" s="88" t="s">
        <v>39</v>
      </c>
      <c r="D1318" s="32"/>
      <c r="E1318" s="32"/>
      <c r="F1318" s="32"/>
      <c r="G1318" s="93">
        <v>-252.45</v>
      </c>
      <c r="H1318" s="93">
        <v>1449.42</v>
      </c>
      <c r="I1318" s="32"/>
      <c r="J1318" s="93">
        <v>14272.86</v>
      </c>
      <c r="K1318" s="32"/>
      <c r="L1318" s="32"/>
      <c r="M1318" s="32"/>
      <c r="N1318" s="32"/>
      <c r="O1318" s="93">
        <v>186290.0</v>
      </c>
      <c r="P1318" s="91">
        <f>IFERROR(__xludf.DUMMYFUNCTION("IFERROR(sum(FILTER($D:$N,$C:$C = $C1318,$A:$A &lt; $A1318,$B:$B = 12)),0) + sum($D1318:$N1318)"),186290.09000000003)</f>
        <v>186290.09</v>
      </c>
      <c r="Q1318" s="92">
        <f t="shared" si="1"/>
        <v>-0.09000000003</v>
      </c>
      <c r="R1318" s="91">
        <f t="array" ref="R1318">IFERROR(INDEX('Fund YTD Target Values'!$1:$1000, MATCH($C1318,'Fund YTD Target Values'!$A:$A,0), MATCH($A1318,'Fund YTD Target Values'!$1:$1,0)),0)</f>
        <v>203233.3066</v>
      </c>
      <c r="S1318" s="91">
        <f>IFERROR(__xludf.DUMMYFUNCTION("IFERROR(sum(FILTER('Fund Investment Data'!$V:$V, 'Fund Investment Data'!$C:$C = $C1318, 'Fund Investment Data'!$A:$A &lt; $A1318)),0) + IFERROR(sum(FILTER('Fund Investment Data'!$V:$V, 'Fund Investment Data'!$C:$C = $C1318, 'Fund Investment Data'!$A:$A = $A1"&amp;"318, 'Fund Investment Data'!$B:$B &lt;= $B1318)),0)"),170000.0)</f>
        <v>170000</v>
      </c>
      <c r="T1318" s="93">
        <v>170000.0</v>
      </c>
      <c r="U1318" s="32">
        <f t="shared" si="37"/>
        <v>0</v>
      </c>
      <c r="V1318" s="32">
        <f>IFERROR(__xludf.DUMMYFUNCTION("$D1318 - IFERROR(FILTER($D:$D,$C:$C = $C1318, $A:$A = $A1318, $B:$B = $B1318 - 1),0)"),0.0)</f>
        <v>0</v>
      </c>
      <c r="W1318" s="93">
        <f>IFERROR(__xludf.DUMMYFUNCTION("$E1318 - IFERROR(FILTER($E:$E,$C:$C = $C1318, $A:$A = $A1318, $B:$B = $B1318 - 1),0)"),0.0)</f>
        <v>0</v>
      </c>
      <c r="X1318" s="91">
        <f>IFERROR(__xludf.DUMMYFUNCTION("iFERROR((FILTER('Fund Investment Data'!$Z:$Z, 'Fund Investment Data'!$C:$C = $C1318, 'Fund Investment Data'!$A:$A = $A1318 - 1, 'Fund Investment Data'!$B:$B = 12) + FILTER('Fund Investment Data'!$AB:$AB, 'Fund Investment Data'!$C:$C = $C1318, 'Fund Invest"&amp;"ment Data'!$A:$A = $A1318 - 1, 'Fund Investment Data'!$B:$B = 12)) * (1 + AVERAGE(FILTER('Inflation Data'!$C:$C,'Inflation Data'!$A:$A = ($A1318 - 2)))) * Parameters!$A$4,0)"),5335.081378121052)</f>
        <v>5335.081378</v>
      </c>
      <c r="Y1318" s="91">
        <f>IFERROR(__xludf.DUMMYFUNCTION("IFERROR((IFERROR(FILTER('Fund Investment Data'!$P:$P,'Fund Investment Data'!$C:$C = $C1318,'Fund Investment Data'!$A:$A = ($A1318 - 2), 'Fund Investment Data'!$B:$B = 12),0) - SUM(FILTER('Fund Investment Data'!$V:$V, 'Fund Investment Data'!$C:$C = $C1318,"&amp;" 'Fund Investment Data'!$A:$A = ($A1318 - 2), 'Fund Investment Data'!$B:$B &gt; 3)))  * Parameters!$B$4 * (1 - Parameters!$A$4),0)"),2223.764010000001)</f>
        <v>2223.76401</v>
      </c>
      <c r="Z1318" s="91">
        <f t="shared" si="24"/>
        <v>7558.845388</v>
      </c>
      <c r="AA1318" s="91">
        <f>IFERROR(__xludf.DUMMYFUNCTION("((IFERROR((SUM(FILTER('Fund Investment Data'!$V:$V, 'Fund Investment Data'!$C:$C = $C1318, 'Fund Investment Data'!$A:$A = $A1318 - 1, 'Fund Investment Data'!$B:$B &gt;= 4, 'Fund Investment Data'!$B:$B &lt;= ($B1318 + 5))) / 12) * ($B1318 - 3) * Parameters!$B$4,"&amp;" 0) + IF($B1318 &gt;= 9, IFERROR(SUM(FILTER('Fund Investment Data'!$V:$V, 'Fund Investment Data'!$C:$C = $C1318, 'Fund Investment Data'!$A:$A = $A1318, 'Fund Investment Data'!$B:$B &lt;= 3)) * Parameters!$B$4, 0),0)))"),0.0)</f>
        <v>0</v>
      </c>
      <c r="AB1318" s="32">
        <f>IFERROR(__xludf.DUMMYFUNCTION("IFERROR(((IFERROR(SUM(FILTER('Fund Investment Data'!$V:$V, 'Fund Investment Data'!$C:$C = $C1318, 'Fund Investment Data'!$A:$A = $A1318 - 2, 'Fund Investment Data'!$B:$B &gt;= 4)) * Parameters!$B$4,0) + IFERROR(SUM(FILTER('Fund Investment Data'!$V:$V, 'Fund "&amp;"Investment Data'!$C:$C = $C1318, 'Fund Investment Data'!$A:$A = $A1318 - 1, 'Fund Investment Data'!$B:$B &lt;= 3)) * Parameters!$B$4,0))),0)"),675.0)</f>
        <v>675</v>
      </c>
      <c r="AC1318" s="32">
        <f>IFERROR(__xludf.DUMMYFUNCTION("IFERROR(FILTER($AF:$AF,$C:$C = $C1318,$A:$A = $A1318 - 1,$B:$B = 12),0)"),0.0)</f>
        <v>0</v>
      </c>
      <c r="AD1318" s="32">
        <f t="shared" si="23"/>
        <v>8233.845388</v>
      </c>
      <c r="AE1318" s="32">
        <f t="shared" si="2"/>
        <v>8233.845388</v>
      </c>
      <c r="AF1318" s="32"/>
    </row>
    <row r="1319">
      <c r="A1319" s="86">
        <v>2019.0</v>
      </c>
      <c r="B1319" s="87">
        <v>3.0</v>
      </c>
      <c r="C1319" s="88" t="s">
        <v>50</v>
      </c>
      <c r="D1319" s="32"/>
      <c r="E1319" s="32"/>
      <c r="F1319" s="32"/>
      <c r="G1319" s="93">
        <v>-280.09</v>
      </c>
      <c r="H1319" s="93">
        <v>1607.26</v>
      </c>
      <c r="I1319" s="32"/>
      <c r="J1319" s="93">
        <v>15807.16</v>
      </c>
      <c r="K1319" s="32"/>
      <c r="L1319" s="32"/>
      <c r="M1319" s="32"/>
      <c r="N1319" s="32"/>
      <c r="O1319" s="93">
        <v>206689.0</v>
      </c>
      <c r="P1319" s="91">
        <f>IFERROR(__xludf.DUMMYFUNCTION("IFERROR(sum(FILTER($D:$N,$C:$C = $C1319,$A:$A &lt; $A1319,$B:$B = 12)),0) + sum($D1319:$N1319)"),206688.16000000003)</f>
        <v>206688.16</v>
      </c>
      <c r="Q1319" s="92">
        <f t="shared" si="1"/>
        <v>0.84</v>
      </c>
      <c r="R1319" s="91">
        <f t="array" ref="R1319">IFERROR(INDEX('Fund YTD Target Values'!$1:$1000, MATCH($C1319,'Fund YTD Target Values'!$A:$A,0), MATCH($A1319,'Fund YTD Target Values'!$1:$1,0)),0)</f>
        <v>221607.3864</v>
      </c>
      <c r="S1319" s="91">
        <f>IFERROR(__xludf.DUMMYFUNCTION("IFERROR(sum(FILTER('Fund Investment Data'!$V:$V, 'Fund Investment Data'!$C:$C = $C1319, 'Fund Investment Data'!$A:$A &lt; $A1319)),0) + IFERROR(sum(FILTER('Fund Investment Data'!$V:$V, 'Fund Investment Data'!$C:$C = $C1319, 'Fund Investment Data'!$A:$A = $A1"&amp;"319, 'Fund Investment Data'!$B:$B &lt;= $B1319)),0)"),185189.56)</f>
        <v>185189.56</v>
      </c>
      <c r="T1319" s="93"/>
      <c r="U1319" s="32"/>
      <c r="V1319" s="32">
        <f>IFERROR(__xludf.DUMMYFUNCTION("$D1319 - IFERROR(FILTER($D:$D,$C:$C = $C1319, $A:$A = $A1319, $B:$B = $B1319 - 1),0)"),0.0)</f>
        <v>0</v>
      </c>
      <c r="W1319" s="93">
        <f>IFERROR(__xludf.DUMMYFUNCTION("$E1319 - IFERROR(FILTER($E:$E,$C:$C = $C1319, $A:$A = $A1319, $B:$B = $B1319 - 1),0)"),0.0)</f>
        <v>0</v>
      </c>
      <c r="X1319" s="91">
        <f>IFERROR(__xludf.DUMMYFUNCTION("iFERROR((FILTER('Fund Investment Data'!$Z:$Z, 'Fund Investment Data'!$C:$C = $C1319, 'Fund Investment Data'!$A:$A = $A1319 - 1, 'Fund Investment Data'!$B:$B = 12) + FILTER('Fund Investment Data'!$AB:$AB, 'Fund Investment Data'!$C:$C = $C1319, 'Fund Invest"&amp;"ment Data'!$A:$A = $A1319 - 1, 'Fund Investment Data'!$B:$B = 12)) * (1 + AVERAGE(FILTER('Inflation Data'!$C:$C,'Inflation Data'!$A:$A = ($A1319 - 2)))) * Parameters!$A$4,0)"),7479.015292624062)</f>
        <v>7479.015293</v>
      </c>
      <c r="Y1319" s="91">
        <f>IFERROR(__xludf.DUMMYFUNCTION("IFERROR((IFERROR(FILTER('Fund Investment Data'!$P:$P,'Fund Investment Data'!$C:$C = $C1319,'Fund Investment Data'!$A:$A = ($A1319 - 2), 'Fund Investment Data'!$B:$B = 12),0) - SUM(FILTER('Fund Investment Data'!$V:$V, 'Fund Investment Data'!$C:$C = $C1319,"&amp;" 'Fund Investment Data'!$A:$A = ($A1319 - 2), 'Fund Investment Data'!$B:$B &gt; 3)))  * Parameters!$B$4 * (1 - Parameters!$A$4),0)"),2908.7654850000004)</f>
        <v>2908.765485</v>
      </c>
      <c r="Z1319" s="91">
        <f t="shared" si="24"/>
        <v>10387.78078</v>
      </c>
      <c r="AA1319" s="91">
        <f>IFERROR(__xludf.DUMMYFUNCTION("((IFERROR((SUM(FILTER('Fund Investment Data'!$V:$V, 'Fund Investment Data'!$C:$C = $C1319, 'Fund Investment Data'!$A:$A = $A1319 - 1, 'Fund Investment Data'!$B:$B &gt;= 4, 'Fund Investment Data'!$B:$B &lt;= ($B1319 + 5))) / 12) * ($B1319 - 3) * Parameters!$B$4,"&amp;" 0) + IF($B1319 &gt;= 9, IFERROR(SUM(FILTER('Fund Investment Data'!$V:$V, 'Fund Investment Data'!$C:$C = $C1319, 'Fund Investment Data'!$A:$A = $A1319, 'Fund Investment Data'!$B:$B &lt;= 3)) * Parameters!$B$4, 0),0)))"),0.0)</f>
        <v>0</v>
      </c>
      <c r="AB1319" s="32">
        <f>IFERROR(__xludf.DUMMYFUNCTION("IFERROR(((IFERROR(SUM(FILTER('Fund Investment Data'!$V:$V, 'Fund Investment Data'!$C:$C = $C1319, 'Fund Investment Data'!$A:$A = $A1319 - 2, 'Fund Investment Data'!$B:$B &gt;= 4)) * Parameters!$B$4,0) + IFERROR(SUM(FILTER('Fund Investment Data'!$V:$V, 'Fund "&amp;"Investment Data'!$C:$C = $C1319, 'Fund Investment Data'!$A:$A = $A1319 - 1, 'Fund Investment Data'!$B:$B &lt;= 3)) * Parameters!$B$4,0))),0)"),0.0)</f>
        <v>0</v>
      </c>
      <c r="AC1319" s="32">
        <f>IFERROR(__xludf.DUMMYFUNCTION("IFERROR(FILTER($AF:$AF,$C:$C = $C1319,$A:$A = $A1319 - 1,$B:$B = 12),0)"),0.0)</f>
        <v>0</v>
      </c>
      <c r="AD1319" s="32">
        <f t="shared" si="23"/>
        <v>10387.78078</v>
      </c>
      <c r="AE1319" s="32">
        <f t="shared" si="2"/>
        <v>10387.78078</v>
      </c>
      <c r="AF1319" s="32"/>
    </row>
    <row r="1320">
      <c r="A1320" s="86">
        <v>2019.0</v>
      </c>
      <c r="B1320" s="87">
        <v>3.0</v>
      </c>
      <c r="C1320" s="88" t="s">
        <v>32</v>
      </c>
      <c r="D1320" s="32"/>
      <c r="E1320" s="32"/>
      <c r="F1320" s="32"/>
      <c r="G1320" s="93">
        <v>-70.11</v>
      </c>
      <c r="H1320" s="93">
        <v>402.28</v>
      </c>
      <c r="I1320" s="32"/>
      <c r="J1320" s="93">
        <v>3955.41</v>
      </c>
      <c r="K1320" s="32"/>
      <c r="L1320" s="32"/>
      <c r="M1320" s="32"/>
      <c r="N1320" s="32"/>
      <c r="O1320" s="93">
        <v>51738.0</v>
      </c>
      <c r="P1320" s="91">
        <f>IFERROR(__xludf.DUMMYFUNCTION("IFERROR(sum(FILTER($D:$N,$C:$C = $C1320,$A:$A &lt; $A1320,$B:$B = 12)),0) + sum($D1320:$N1320)"),51737.730000000025)</f>
        <v>51737.73</v>
      </c>
      <c r="Q1320" s="92">
        <f t="shared" si="1"/>
        <v>0.27</v>
      </c>
      <c r="R1320" s="91">
        <f t="array" ref="R1320">IFERROR(INDEX('Fund YTD Target Values'!$1:$1000, MATCH($C1320,'Fund YTD Target Values'!$A:$A,0), MATCH($A1320,'Fund YTD Target Values'!$1:$1,0)),0)</f>
        <v>80613.71135</v>
      </c>
      <c r="S1320" s="91">
        <f>IFERROR(__xludf.DUMMYFUNCTION("IFERROR(sum(FILTER('Fund Investment Data'!$V:$V, 'Fund Investment Data'!$C:$C = $C1320, 'Fund Investment Data'!$A:$A &lt; $A1320)),0) + IFERROR(sum(FILTER('Fund Investment Data'!$V:$V, 'Fund Investment Data'!$C:$C = $C1320, 'Fund Investment Data'!$A:$A = $A1"&amp;"320, 'Fund Investment Data'!$B:$B &lt;= $B1320)),0)"),49449.04)</f>
        <v>49449.04</v>
      </c>
      <c r="T1320" s="93"/>
      <c r="U1320" s="32"/>
      <c r="V1320" s="32">
        <f>IFERROR(__xludf.DUMMYFUNCTION("$D1320 - IFERROR(FILTER($D:$D,$C:$C = $C1320, $A:$A = $A1320, $B:$B = $B1320 - 1),0)"),0.0)</f>
        <v>0</v>
      </c>
      <c r="W1320" s="93">
        <f>IFERROR(__xludf.DUMMYFUNCTION("$E1320 - IFERROR(FILTER($E:$E,$C:$C = $C1320, $A:$A = $A1320, $B:$B = $B1320 - 1),0)"),0.0)</f>
        <v>0</v>
      </c>
      <c r="X1320" s="91">
        <f>IFERROR(__xludf.DUMMYFUNCTION("iFERROR((FILTER('Fund Investment Data'!$Z:$Z, 'Fund Investment Data'!$C:$C = $C1320, 'Fund Investment Data'!$A:$A = $A1320 - 1, 'Fund Investment Data'!$B:$B = 12) + FILTER('Fund Investment Data'!$AB:$AB, 'Fund Investment Data'!$C:$C = $C1320, 'Fund Invest"&amp;"ment Data'!$A:$A = $A1320 - 1, 'Fund Investment Data'!$B:$B = 12)) * (1 + AVERAGE(FILTER('Inflation Data'!$C:$C,'Inflation Data'!$A:$A = ($A1320 - 2)))) * Parameters!$A$4,0)"),1718.9474190106023)</f>
        <v>1718.947419</v>
      </c>
      <c r="Y1320" s="91">
        <f>IFERROR(__xludf.DUMMYFUNCTION("IFERROR((IFERROR(FILTER('Fund Investment Data'!$P:$P,'Fund Investment Data'!$C:$C = $C1320,'Fund Investment Data'!$A:$A = ($A1320 - 2), 'Fund Investment Data'!$B:$B = 12),0) - SUM(FILTER('Fund Investment Data'!$V:$V, 'Fund Investment Data'!$C:$C = $C1320,"&amp;" 'Fund Investment Data'!$A:$A = ($A1320 - 2), 'Fund Investment Data'!$B:$B &gt; 3)))  * Parameters!$B$4 * (1 - Parameters!$A$4),0)"),721.3160700000005)</f>
        <v>721.31607</v>
      </c>
      <c r="Z1320" s="91">
        <f t="shared" si="24"/>
        <v>2440.263489</v>
      </c>
      <c r="AA1320" s="91">
        <f>IFERROR(__xludf.DUMMYFUNCTION("((IFERROR((SUM(FILTER('Fund Investment Data'!$V:$V, 'Fund Investment Data'!$C:$C = $C1320, 'Fund Investment Data'!$A:$A = $A1320 - 1, 'Fund Investment Data'!$B:$B &gt;= 4, 'Fund Investment Data'!$B:$B &lt;= ($B1320 + 5))) / 12) * ($B1320 - 3) * Parameters!$B$4,"&amp;" 0) + IF($B1320 &gt;= 9, IFERROR(SUM(FILTER('Fund Investment Data'!$V:$V, 'Fund Investment Data'!$C:$C = $C1320, 'Fund Investment Data'!$A:$A = $A1320, 'Fund Investment Data'!$B:$B &lt;= 3)) * Parameters!$B$4, 0),0)))"),0.0)</f>
        <v>0</v>
      </c>
      <c r="AB1320" s="32">
        <f>IFERROR(__xludf.DUMMYFUNCTION("IFERROR(((IFERROR(SUM(FILTER('Fund Investment Data'!$V:$V, 'Fund Investment Data'!$C:$C = $C1320, 'Fund Investment Data'!$A:$A = $A1320 - 2, 'Fund Investment Data'!$B:$B &gt;= 4)) * Parameters!$B$4,0) + IFERROR(SUM(FILTER('Fund Investment Data'!$V:$V, 'Fund "&amp;"Investment Data'!$C:$C = $C1320, 'Fund Investment Data'!$A:$A = $A1320 - 1, 'Fund Investment Data'!$B:$B &lt;= 3)) * Parameters!$B$4,0))),0)"),0.0)</f>
        <v>0</v>
      </c>
      <c r="AC1320" s="32">
        <f>IFERROR(__xludf.DUMMYFUNCTION("IFERROR(FILTER($AF:$AF,$C:$C = $C1320,$A:$A = $A1320 - 1,$B:$B = 12),0)"),0.0)</f>
        <v>0</v>
      </c>
      <c r="AD1320" s="32">
        <f t="shared" si="23"/>
        <v>2440.263489</v>
      </c>
      <c r="AE1320" s="32">
        <f t="shared" si="2"/>
        <v>2440.263489</v>
      </c>
      <c r="AF1320" s="32"/>
    </row>
    <row r="1321">
      <c r="A1321" s="86">
        <v>2019.0</v>
      </c>
      <c r="B1321" s="87">
        <v>3.0</v>
      </c>
      <c r="C1321" s="88" t="s">
        <v>40</v>
      </c>
      <c r="D1321" s="32"/>
      <c r="E1321" s="32"/>
      <c r="F1321" s="32"/>
      <c r="G1321" s="93">
        <v>-201.62</v>
      </c>
      <c r="H1321" s="93">
        <v>1156.95</v>
      </c>
      <c r="I1321" s="32"/>
      <c r="J1321" s="93">
        <v>11378.3</v>
      </c>
      <c r="K1321" s="32"/>
      <c r="L1321" s="32"/>
      <c r="M1321" s="32"/>
      <c r="N1321" s="32"/>
      <c r="O1321" s="93">
        <v>148779.0</v>
      </c>
      <c r="P1321" s="91">
        <f>IFERROR(__xludf.DUMMYFUNCTION("IFERROR(sum(FILTER($D:$N,$C:$C = $C1321,$A:$A &lt; $A1321,$B:$B = 12)),0) + sum($D1321:$N1321)"),148778.73999999993)</f>
        <v>148778.74</v>
      </c>
      <c r="Q1321" s="92">
        <f t="shared" si="1"/>
        <v>0.2600000001</v>
      </c>
      <c r="R1321" s="91">
        <f t="array" ref="R1321">IFERROR(INDEX('Fund YTD Target Values'!$1:$1000, MATCH($C1321,'Fund YTD Target Values'!$A:$A,0), MATCH($A1321,'Fund YTD Target Values'!$1:$1,0)),0)</f>
        <v>164286.6043</v>
      </c>
      <c r="S1321" s="91">
        <f>IFERROR(__xludf.DUMMYFUNCTION("IFERROR(sum(FILTER('Fund Investment Data'!$V:$V, 'Fund Investment Data'!$C:$C = $C1321, 'Fund Investment Data'!$A:$A &lt; $A1321)),0) + IFERROR(sum(FILTER('Fund Investment Data'!$V:$V, 'Fund Investment Data'!$C:$C = $C1321, 'Fund Investment Data'!$A:$A = $A1"&amp;"321, 'Fund Investment Data'!$B:$B &lt;= $B1321)),0)"),129703.74)</f>
        <v>129703.74</v>
      </c>
      <c r="T1321" s="93"/>
      <c r="U1321" s="32"/>
      <c r="V1321" s="32">
        <f>IFERROR(__xludf.DUMMYFUNCTION("$D1321 - IFERROR(FILTER($D:$D,$C:$C = $C1321, $A:$A = $A1321, $B:$B = $B1321 - 1),0)"),0.0)</f>
        <v>0</v>
      </c>
      <c r="W1321" s="93">
        <f>IFERROR(__xludf.DUMMYFUNCTION("$E1321 - IFERROR(FILTER($E:$E,$C:$C = $C1321, $A:$A = $A1321, $B:$B = $B1321 - 1),0)"),0.0)</f>
        <v>0</v>
      </c>
      <c r="X1321" s="91">
        <f>IFERROR(__xludf.DUMMYFUNCTION("iFERROR((FILTER('Fund Investment Data'!$Z:$Z, 'Fund Investment Data'!$C:$C = $C1321, 'Fund Investment Data'!$A:$A = $A1321 - 1, 'Fund Investment Data'!$B:$B = 12) + FILTER('Fund Investment Data'!$AB:$AB, 'Fund Investment Data'!$C:$C = $C1321, 'Fund Invest"&amp;"ment Data'!$A:$A = $A1321 - 1, 'Fund Investment Data'!$B:$B = 12)) * (1 + AVERAGE(FILTER('Inflation Data'!$C:$C,'Inflation Data'!$A:$A = ($A1321 - 2)))) * Parameters!$A$4,0)"),4980.550706212943)</f>
        <v>4980.550706</v>
      </c>
      <c r="Y1321" s="91">
        <f>IFERROR(__xludf.DUMMYFUNCTION("IFERROR((IFERROR(FILTER('Fund Investment Data'!$P:$P,'Fund Investment Data'!$C:$C = $C1321,'Fund Investment Data'!$A:$A = ($A1321 - 2), 'Fund Investment Data'!$B:$B = 12),0) - SUM(FILTER('Fund Investment Data'!$V:$V, 'Fund Investment Data'!$C:$C = $C1321,"&amp;" 'Fund Investment Data'!$A:$A = ($A1321 - 2), 'Fund Investment Data'!$B:$B &gt; 3)))  * Parameters!$B$4 * (1 - Parameters!$A$4),0)"),2089.971585)</f>
        <v>2089.971585</v>
      </c>
      <c r="Z1321" s="91">
        <f t="shared" si="24"/>
        <v>7070.522291</v>
      </c>
      <c r="AA1321" s="91">
        <f>IFERROR(__xludf.DUMMYFUNCTION("((IFERROR((SUM(FILTER('Fund Investment Data'!$V:$V, 'Fund Investment Data'!$C:$C = $C1321, 'Fund Investment Data'!$A:$A = $A1321 - 1, 'Fund Investment Data'!$B:$B &gt;= 4, 'Fund Investment Data'!$B:$B &lt;= ($B1321 + 5))) / 12) * ($B1321 - 3) * Parameters!$B$4,"&amp;" 0) + IF($B1321 &gt;= 9, IFERROR(SUM(FILTER('Fund Investment Data'!$V:$V, 'Fund Investment Data'!$C:$C = $C1321, 'Fund Investment Data'!$A:$A = $A1321, 'Fund Investment Data'!$B:$B &lt;= 3)) * Parameters!$B$4, 0),0)))"),0.0)</f>
        <v>0</v>
      </c>
      <c r="AB1321" s="32">
        <f>IFERROR(__xludf.DUMMYFUNCTION("IFERROR(((IFERROR(SUM(FILTER('Fund Investment Data'!$V:$V, 'Fund Investment Data'!$C:$C = $C1321, 'Fund Investment Data'!$A:$A = $A1321 - 2, 'Fund Investment Data'!$B:$B &gt;= 4)) * Parameters!$B$4,0) + IFERROR(SUM(FILTER('Fund Investment Data'!$V:$V, 'Fund "&amp;"Investment Data'!$C:$C = $C1321, 'Fund Investment Data'!$A:$A = $A1321 - 1, 'Fund Investment Data'!$B:$B &lt;= 3)) * Parameters!$B$4,0))),0)"),0.0)</f>
        <v>0</v>
      </c>
      <c r="AC1321" s="32">
        <f>IFERROR(__xludf.DUMMYFUNCTION("IFERROR(FILTER($AF:$AF,$C:$C = $C1321,$A:$A = $A1321 - 1,$B:$B = 12),0)"),0.0)</f>
        <v>0</v>
      </c>
      <c r="AD1321" s="32">
        <f t="shared" si="23"/>
        <v>7070.522291</v>
      </c>
      <c r="AE1321" s="32">
        <f t="shared" si="2"/>
        <v>7070.522291</v>
      </c>
      <c r="AF1321" s="32"/>
    </row>
    <row r="1322">
      <c r="A1322" s="86">
        <v>2019.0</v>
      </c>
      <c r="B1322" s="87">
        <v>3.0</v>
      </c>
      <c r="C1322" s="88" t="s">
        <v>51</v>
      </c>
      <c r="D1322" s="32"/>
      <c r="E1322" s="32"/>
      <c r="F1322" s="32"/>
      <c r="G1322" s="93">
        <v>-652.16</v>
      </c>
      <c r="H1322" s="93">
        <v>3678.81</v>
      </c>
      <c r="I1322" s="32"/>
      <c r="J1322" s="93">
        <v>35446.91</v>
      </c>
      <c r="K1322" s="32"/>
      <c r="L1322" s="32"/>
      <c r="M1322" s="32"/>
      <c r="N1322" s="32"/>
      <c r="O1322" s="93">
        <v>480604.0</v>
      </c>
      <c r="P1322" s="91">
        <f>IFERROR(__xludf.DUMMYFUNCTION("IFERROR(sum(FILTER($D:$N,$C:$C = $C1322,$A:$A &lt; $A1322,$B:$B = 12)),0) + sum($D1322:$N1322)"),480603.57000000007)</f>
        <v>480603.57</v>
      </c>
      <c r="Q1322" s="92">
        <f t="shared" si="1"/>
        <v>0.4299999999</v>
      </c>
      <c r="R1322" s="91">
        <f t="array" ref="R1322">IFERROR(INDEX('Fund YTD Target Values'!$1:$1000, MATCH($C1322,'Fund YTD Target Values'!$A:$A,0), MATCH($A1322,'Fund YTD Target Values'!$1:$1,0)),0)</f>
        <v>460355.013</v>
      </c>
      <c r="S1322" s="91">
        <f>IFERROR(__xludf.DUMMYFUNCTION("IFERROR(sum(FILTER('Fund Investment Data'!$V:$V, 'Fund Investment Data'!$C:$C = $C1322, 'Fund Investment Data'!$A:$A &lt; $A1322)),0) + IFERROR(sum(FILTER('Fund Investment Data'!$V:$V, 'Fund Investment Data'!$C:$C = $C1322, 'Fund Investment Data'!$A:$A = $A1"&amp;"322, 'Fund Investment Data'!$B:$B &lt;= $B1322)),0)"),419073.55)</f>
        <v>419073.55</v>
      </c>
      <c r="T1322" s="93"/>
      <c r="U1322" s="32"/>
      <c r="V1322" s="32">
        <f>IFERROR(__xludf.DUMMYFUNCTION("$D1322 - IFERROR(FILTER($D:$D,$C:$C = $C1322, $A:$A = $A1322, $B:$B = $B1322 - 1),0)"),0.0)</f>
        <v>0</v>
      </c>
      <c r="W1322" s="93">
        <f>IFERROR(__xludf.DUMMYFUNCTION("$E1322 - IFERROR(FILTER($E:$E,$C:$C = $C1322, $A:$A = $A1322, $B:$B = $B1322 - 1),0)"),0.0)</f>
        <v>0</v>
      </c>
      <c r="X1322" s="91">
        <f>IFERROR(__xludf.DUMMYFUNCTION("iFERROR((FILTER('Fund Investment Data'!$Z:$Z, 'Fund Investment Data'!$C:$C = $C1322, 'Fund Investment Data'!$A:$A = $A1322 - 1, 'Fund Investment Data'!$B:$B = 12) + FILTER('Fund Investment Data'!$AB:$AB, 'Fund Investment Data'!$C:$C = $C1322, 'Fund Invest"&amp;"ment Data'!$A:$A = $A1322 - 1, 'Fund Investment Data'!$B:$B = 12)) * (1 + AVERAGE(FILTER('Inflation Data'!$C:$C,'Inflation Data'!$A:$A = ($A1322 - 2)))) * Parameters!$A$4,0)"),14060.066994776611)</f>
        <v>14060.06699</v>
      </c>
      <c r="Y1322" s="91">
        <f>IFERROR(__xludf.DUMMYFUNCTION("IFERROR((IFERROR(FILTER('Fund Investment Data'!$P:$P,'Fund Investment Data'!$C:$C = $C1322,'Fund Investment Data'!$A:$A = ($A1322 - 2), 'Fund Investment Data'!$B:$B = 12),0) - SUM(FILTER('Fund Investment Data'!$V:$V, 'Fund Investment Data'!$C:$C = $C1322,"&amp;" 'Fund Investment Data'!$A:$A = ($A1322 - 2), 'Fund Investment Data'!$B:$B &gt; 3)))  * Parameters!$B$4 * (1 - Parameters!$A$4),0)"),6507.701055)</f>
        <v>6507.701055</v>
      </c>
      <c r="Z1322" s="91">
        <f t="shared" si="24"/>
        <v>20567.76805</v>
      </c>
      <c r="AA1322" s="91">
        <f>IFERROR(__xludf.DUMMYFUNCTION("((IFERROR((SUM(FILTER('Fund Investment Data'!$V:$V, 'Fund Investment Data'!$C:$C = $C1322, 'Fund Investment Data'!$A:$A = $A1322 - 1, 'Fund Investment Data'!$B:$B &gt;= 4, 'Fund Investment Data'!$B:$B &lt;= ($B1322 + 5))) / 12) * ($B1322 - 3) * Parameters!$B$4,"&amp;" 0) + IF($B1322 &gt;= 9, IFERROR(SUM(FILTER('Fund Investment Data'!$V:$V, 'Fund Investment Data'!$C:$C = $C1322, 'Fund Investment Data'!$A:$A = $A1322, 'Fund Investment Data'!$B:$B &lt;= 3)) * Parameters!$B$4, 0),0)))"),0.0)</f>
        <v>0</v>
      </c>
      <c r="AB1322" s="32">
        <f>IFERROR(__xludf.DUMMYFUNCTION("IFERROR(((IFERROR(SUM(FILTER('Fund Investment Data'!$V:$V, 'Fund Investment Data'!$C:$C = $C1322, 'Fund Investment Data'!$A:$A = $A1322 - 2, 'Fund Investment Data'!$B:$B &gt;= 4)) * Parameters!$B$4,0) + IFERROR(SUM(FILTER('Fund Investment Data'!$V:$V, 'Fund "&amp;"Investment Data'!$C:$C = $C1322, 'Fund Investment Data'!$A:$A = $A1322 - 1, 'Fund Investment Data'!$B:$B &lt;= 3)) * Parameters!$B$4,0))),0)"),153.0)</f>
        <v>153</v>
      </c>
      <c r="AC1322" s="32">
        <f>IFERROR(__xludf.DUMMYFUNCTION("IFERROR(FILTER($AF:$AF,$C:$C = $C1322,$A:$A = $A1322 - 1,$B:$B = 12),0)"),14700.0)</f>
        <v>14700</v>
      </c>
      <c r="AD1322" s="32">
        <f t="shared" si="23"/>
        <v>35420.76805</v>
      </c>
      <c r="AE1322" s="32">
        <f t="shared" si="2"/>
        <v>35420.76805</v>
      </c>
      <c r="AF1322" s="32"/>
    </row>
    <row r="1323">
      <c r="A1323" s="86">
        <v>2019.0</v>
      </c>
      <c r="B1323" s="87">
        <v>3.0</v>
      </c>
      <c r="C1323" s="88" t="s">
        <v>48</v>
      </c>
      <c r="D1323" s="32"/>
      <c r="E1323" s="93">
        <v>-10000.0</v>
      </c>
      <c r="F1323" s="32"/>
      <c r="G1323" s="93">
        <v>-1615.65</v>
      </c>
      <c r="H1323" s="93">
        <v>9278.86</v>
      </c>
      <c r="I1323" s="93">
        <v>539.44</v>
      </c>
      <c r="J1323" s="93">
        <v>90888.88</v>
      </c>
      <c r="K1323" s="32"/>
      <c r="L1323" s="32"/>
      <c r="M1323" s="32"/>
      <c r="N1323" s="32"/>
      <c r="O1323" s="93">
        <v>1182306.0</v>
      </c>
      <c r="P1323" s="91">
        <f>IFERROR(__xludf.DUMMYFUNCTION("IFERROR(sum(FILTER($D:$N,$C:$C = $C1323,$A:$A &lt; $A1323,$B:$B = 12)),0) + sum($D1323:$N1323)"),1182304.9199999997)</f>
        <v>1182304.92</v>
      </c>
      <c r="Q1323" s="92">
        <f t="shared" si="1"/>
        <v>1.08</v>
      </c>
      <c r="R1323" s="91">
        <f t="array" ref="R1323">IFERROR(INDEX('Fund YTD Target Values'!$1:$1000, MATCH($C1323,'Fund YTD Target Values'!$A:$A,0), MATCH($A1323,'Fund YTD Target Values'!$1:$1,0)),0)</f>
        <v>1930631.639</v>
      </c>
      <c r="S1323" s="91">
        <f>IFERROR(__xludf.DUMMYFUNCTION("IFERROR(sum(FILTER('Fund Investment Data'!$V:$V, 'Fund Investment Data'!$C:$C = $C1323, 'Fund Investment Data'!$A:$A &lt; $A1323)),0) + IFERROR(sum(FILTER('Fund Investment Data'!$V:$V, 'Fund Investment Data'!$C:$C = $C1323, 'Fund Investment Data'!$A:$A = $A1"&amp;"323, 'Fund Investment Data'!$B:$B &lt;= $B1323)),0)"),1183929.39)</f>
        <v>1183929.39</v>
      </c>
      <c r="T1323" s="93"/>
      <c r="U1323" s="32"/>
      <c r="V1323" s="32">
        <f>IFERROR(__xludf.DUMMYFUNCTION("$D1323 - IFERROR(FILTER($D:$D,$C:$C = $C1323, $A:$A = $A1323, $B:$B = $B1323 - 1),0)"),0.0)</f>
        <v>0</v>
      </c>
      <c r="W1323" s="93">
        <f>IFERROR(__xludf.DUMMYFUNCTION("$E1323 - IFERROR(FILTER($E:$E,$C:$C = $C1323, $A:$A = $A1323, $B:$B = $B1323 - 1),0)"),-10000.0)</f>
        <v>-10000</v>
      </c>
      <c r="X1323" s="91">
        <f>IFERROR(__xludf.DUMMYFUNCTION("iFERROR((FILTER('Fund Investment Data'!$Z:$Z, 'Fund Investment Data'!$C:$C = $C1323, 'Fund Investment Data'!$A:$A = $A1323 - 1, 'Fund Investment Data'!$B:$B = 12) + FILTER('Fund Investment Data'!$AB:$AB, 'Fund Investment Data'!$C:$C = $C1323, 'Fund Invest"&amp;"ment Data'!$A:$A = $A1323 - 1, 'Fund Investment Data'!$B:$B = 12)) * (1 + AVERAGE(FILTER('Inflation Data'!$C:$C,'Inflation Data'!$A:$A = ($A1323 - 2)))) * Parameters!$A$4,0)"),40170.623919220896)</f>
        <v>40170.62392</v>
      </c>
      <c r="Y1323" s="91">
        <f>IFERROR(__xludf.DUMMYFUNCTION("IFERROR((IFERROR(FILTER('Fund Investment Data'!$P:$P,'Fund Investment Data'!$C:$C = $C1323,'Fund Investment Data'!$A:$A = ($A1323 - 2), 'Fund Investment Data'!$B:$B = 12),0) - SUM(FILTER('Fund Investment Data'!$V:$V, 'Fund Investment Data'!$C:$C = $C1323,"&amp;" 'Fund Investment Data'!$A:$A = ($A1323 - 2), 'Fund Investment Data'!$B:$B &gt; 3)))  * Parameters!$B$4 * (1 - Parameters!$A$4),0)"),16856.662545)</f>
        <v>16856.66255</v>
      </c>
      <c r="Z1323" s="91">
        <f t="shared" si="24"/>
        <v>57027.28646</v>
      </c>
      <c r="AA1323" s="91">
        <f>IFERROR(__xludf.DUMMYFUNCTION("((IFERROR((SUM(FILTER('Fund Investment Data'!$V:$V, 'Fund Investment Data'!$C:$C = $C1323, 'Fund Investment Data'!$A:$A = $A1323 - 1, 'Fund Investment Data'!$B:$B &gt;= 4, 'Fund Investment Data'!$B:$B &lt;= ($B1323 + 5))) / 12) * ($B1323 - 3) * Parameters!$B$4,"&amp;" 0) + IF($B1323 &gt;= 9, IFERROR(SUM(FILTER('Fund Investment Data'!$V:$V, 'Fund Investment Data'!$C:$C = $C1323, 'Fund Investment Data'!$A:$A = $A1323, 'Fund Investment Data'!$B:$B &lt;= 3)) * Parameters!$B$4, 0),0)))"),0.0)</f>
        <v>0</v>
      </c>
      <c r="AB1323" s="32">
        <f>IFERROR(__xludf.DUMMYFUNCTION("IFERROR(((IFERROR(SUM(FILTER('Fund Investment Data'!$V:$V, 'Fund Investment Data'!$C:$C = $C1323, 'Fund Investment Data'!$A:$A = $A1323 - 2, 'Fund Investment Data'!$B:$B &gt;= 4)) * Parameters!$B$4,0) + IFERROR(SUM(FILTER('Fund Investment Data'!$V:$V, 'Fund "&amp;"Investment Data'!$C:$C = $C1323, 'Fund Investment Data'!$A:$A = $A1323 - 1, 'Fund Investment Data'!$B:$B &lt;= 3)) * Parameters!$B$4,0))),0)"),0.0)</f>
        <v>0</v>
      </c>
      <c r="AC1323" s="32">
        <f>IFERROR(__xludf.DUMMYFUNCTION("IFERROR(FILTER($AF:$AF,$C:$C = $C1323,$A:$A = $A1323 - 1,$B:$B = 12),0)"),0.0)</f>
        <v>0</v>
      </c>
      <c r="AD1323" s="32">
        <f t="shared" si="23"/>
        <v>57027.28646</v>
      </c>
      <c r="AE1323" s="32">
        <f t="shared" si="2"/>
        <v>47027.28646</v>
      </c>
      <c r="AF1323" s="32"/>
    </row>
    <row r="1324">
      <c r="A1324" s="86">
        <v>2019.0</v>
      </c>
      <c r="B1324" s="87">
        <v>3.0</v>
      </c>
      <c r="C1324" s="88" t="s">
        <v>49</v>
      </c>
      <c r="D1324" s="32"/>
      <c r="E1324" s="93">
        <v>-10000.0</v>
      </c>
      <c r="F1324" s="32"/>
      <c r="G1324" s="93">
        <v>-700.85</v>
      </c>
      <c r="H1324" s="93">
        <v>4024.75</v>
      </c>
      <c r="I1324" s="93">
        <v>2052.01</v>
      </c>
      <c r="J1324" s="93">
        <v>37602.58</v>
      </c>
      <c r="K1324" s="32"/>
      <c r="L1324" s="32"/>
      <c r="M1324" s="32"/>
      <c r="N1324" s="32"/>
      <c r="O1324" s="93">
        <v>507213.0</v>
      </c>
      <c r="P1324" s="91">
        <f>IFERROR(__xludf.DUMMYFUNCTION("IFERROR(sum(FILTER($D:$N,$C:$C = $C1324,$A:$A &lt; $A1324,$B:$B = 12)),0) + sum($D1324:$N1324)"),507212.8099999998)</f>
        <v>507212.81</v>
      </c>
      <c r="Q1324" s="92">
        <f t="shared" si="1"/>
        <v>0.1900000002</v>
      </c>
      <c r="R1324" s="91">
        <f t="array" ref="R1324">IFERROR(INDEX('Fund YTD Target Values'!$1:$1000, MATCH($C1324,'Fund YTD Target Values'!$A:$A,0), MATCH($A1324,'Fund YTD Target Values'!$1:$1,0)),0)</f>
        <v>714091.1961</v>
      </c>
      <c r="S1324" s="91">
        <f>IFERROR(__xludf.DUMMYFUNCTION("IFERROR(sum(FILTER('Fund Investment Data'!$V:$V, 'Fund Investment Data'!$C:$C = $C1324, 'Fund Investment Data'!$A:$A &lt; $A1324)),0) + IFERROR(sum(FILTER('Fund Investment Data'!$V:$V, 'Fund Investment Data'!$C:$C = $C1324, 'Fund Investment Data'!$A:$A = $A1"&amp;"324, 'Fund Investment Data'!$B:$B &lt;= $B1324)),0)"),500000.0)</f>
        <v>500000</v>
      </c>
      <c r="T1324" s="93">
        <v>500000.0</v>
      </c>
      <c r="U1324" s="32">
        <f>S1324-T1324</f>
        <v>0</v>
      </c>
      <c r="V1324" s="32">
        <f>IFERROR(__xludf.DUMMYFUNCTION("$D1324 - IFERROR(FILTER($D:$D,$C:$C = $C1324, $A:$A = $A1324, $B:$B = $B1324 - 1),0)"),0.0)</f>
        <v>0</v>
      </c>
      <c r="W1324" s="93">
        <f>IFERROR(__xludf.DUMMYFUNCTION("$E1324 - IFERROR(FILTER($E:$E,$C:$C = $C1324, $A:$A = $A1324, $B:$B = $B1324 - 1),0)"),-10000.0)</f>
        <v>-10000</v>
      </c>
      <c r="X1324" s="91">
        <f>IFERROR(__xludf.DUMMYFUNCTION("iFERROR((FILTER('Fund Investment Data'!$Z:$Z, 'Fund Investment Data'!$C:$C = $C1324, 'Fund Investment Data'!$A:$A = $A1324 - 1, 'Fund Investment Data'!$B:$B = 12) + FILTER('Fund Investment Data'!$AB:$AB, 'Fund Investment Data'!$C:$C = $C1324, 'Fund Invest"&amp;"ment Data'!$A:$A = $A1324 - 1, 'Fund Investment Data'!$B:$B = 12)) * (1 + AVERAGE(FILTER('Inflation Data'!$C:$C,'Inflation Data'!$A:$A = ($A1324 - 2)))) * Parameters!$A$4,0)"),17620.730663710416)</f>
        <v>17620.73066</v>
      </c>
      <c r="Y1324" s="91">
        <f>IFERROR(__xludf.DUMMYFUNCTION("IFERROR((IFERROR(FILTER('Fund Investment Data'!$P:$P,'Fund Investment Data'!$C:$C = $C1324,'Fund Investment Data'!$A:$A = ($A1324 - 2), 'Fund Investment Data'!$B:$B = 12),0) - SUM(FILTER('Fund Investment Data'!$V:$V, 'Fund Investment Data'!$C:$C = $C1324,"&amp;" 'Fund Investment Data'!$A:$A = ($A1324 - 2), 'Fund Investment Data'!$B:$B &gt; 3)))  * Parameters!$B$4 * (1 - Parameters!$A$4),0)"),7394.127389999999)</f>
        <v>7394.12739</v>
      </c>
      <c r="Z1324" s="91">
        <f t="shared" si="24"/>
        <v>25014.85805</v>
      </c>
      <c r="AA1324" s="91">
        <f>IFERROR(__xludf.DUMMYFUNCTION("((IFERROR((SUM(FILTER('Fund Investment Data'!$V:$V, 'Fund Investment Data'!$C:$C = $C1324, 'Fund Investment Data'!$A:$A = $A1324 - 1, 'Fund Investment Data'!$B:$B &gt;= 4, 'Fund Investment Data'!$B:$B &lt;= ($B1324 + 5))) / 12) * ($B1324 - 3) * Parameters!$B$4,"&amp;" 0) + IF($B1324 &gt;= 9, IFERROR(SUM(FILTER('Fund Investment Data'!$V:$V, 'Fund Investment Data'!$C:$C = $C1324, 'Fund Investment Data'!$A:$A = $A1324, 'Fund Investment Data'!$B:$B &lt;= 3)) * Parameters!$B$4, 0),0)))"),0.0)</f>
        <v>0</v>
      </c>
      <c r="AB1324" s="32">
        <f>IFERROR(__xludf.DUMMYFUNCTION("IFERROR(((IFERROR(SUM(FILTER('Fund Investment Data'!$V:$V, 'Fund Investment Data'!$C:$C = $C1324, 'Fund Investment Data'!$A:$A = $A1324 - 2, 'Fund Investment Data'!$B:$B &gt;= 4)) * Parameters!$B$4,0) + IFERROR(SUM(FILTER('Fund Investment Data'!$V:$V, 'Fund "&amp;"Investment Data'!$C:$C = $C1324, 'Fund Investment Data'!$A:$A = $A1324 - 1, 'Fund Investment Data'!$B:$B &lt;= 3)) * Parameters!$B$4,0))),0)"),0.0)</f>
        <v>0</v>
      </c>
      <c r="AC1324" s="32">
        <f>IFERROR(__xludf.DUMMYFUNCTION("IFERROR(FILTER($AF:$AF,$C:$C = $C1324,$A:$A = $A1324 - 1,$B:$B = 12),0)"),0.0)</f>
        <v>0</v>
      </c>
      <c r="AD1324" s="32">
        <f t="shared" si="23"/>
        <v>25014.85805</v>
      </c>
      <c r="AE1324" s="32">
        <f t="shared" si="2"/>
        <v>15014.85805</v>
      </c>
      <c r="AF1324" s="32"/>
    </row>
    <row r="1325">
      <c r="A1325" s="86">
        <v>2019.0</v>
      </c>
      <c r="B1325" s="87">
        <v>3.0</v>
      </c>
      <c r="C1325" s="88" t="s">
        <v>41</v>
      </c>
      <c r="D1325" s="32"/>
      <c r="E1325" s="32"/>
      <c r="F1325" s="32"/>
      <c r="G1325" s="93">
        <v>-861.85</v>
      </c>
      <c r="H1325" s="93">
        <v>4948.18</v>
      </c>
      <c r="I1325" s="32"/>
      <c r="J1325" s="93">
        <v>48724.82</v>
      </c>
      <c r="K1325" s="32"/>
      <c r="L1325" s="32"/>
      <c r="M1325" s="32"/>
      <c r="N1325" s="32"/>
      <c r="O1325" s="93">
        <v>635989.0</v>
      </c>
      <c r="P1325" s="91">
        <f>IFERROR(__xludf.DUMMYFUNCTION("IFERROR(sum(FILTER($D:$N,$C:$C = $C1325,$A:$A &lt; $A1325,$B:$B = 12)),0) + sum($D1325:$N1325)"),635989.4700000001)</f>
        <v>635989.47</v>
      </c>
      <c r="Q1325" s="92">
        <f t="shared" si="1"/>
        <v>-0.4700000001</v>
      </c>
      <c r="R1325" s="91">
        <f t="array" ref="R1325">IFERROR(INDEX('Fund YTD Target Values'!$1:$1000, MATCH($C1325,'Fund YTD Target Values'!$A:$A,0), MATCH($A1325,'Fund YTD Target Values'!$1:$1,0)),0)</f>
        <v>598621.3568</v>
      </c>
      <c r="S1325" s="91">
        <f>IFERROR(__xludf.DUMMYFUNCTION("IFERROR(sum(FILTER('Fund Investment Data'!$V:$V, 'Fund Investment Data'!$C:$C = $C1325, 'Fund Investment Data'!$A:$A &lt; $A1325)),0) + IFERROR(sum(FILTER('Fund Investment Data'!$V:$V, 'Fund Investment Data'!$C:$C = $C1325, 'Fund Investment Data'!$A:$A = $A1"&amp;"325, 'Fund Investment Data'!$B:$B &lt;= $B1325)),0)"),433755.86)</f>
        <v>433755.86</v>
      </c>
      <c r="T1325" s="93"/>
      <c r="U1325" s="32"/>
      <c r="V1325" s="32">
        <f>IFERROR(__xludf.DUMMYFUNCTION("$D1325 - IFERROR(FILTER($D:$D,$C:$C = $C1325, $A:$A = $A1325, $B:$B = $B1325 - 1),0)"),0.0)</f>
        <v>0</v>
      </c>
      <c r="W1325" s="93">
        <f>IFERROR(__xludf.DUMMYFUNCTION("$E1325 - IFERROR(FILTER($E:$E,$C:$C = $C1325, $A:$A = $A1325, $B:$B = $B1325 - 1),0)"),0.0)</f>
        <v>0</v>
      </c>
      <c r="X1325" s="91">
        <f>IFERROR(__xludf.DUMMYFUNCTION("iFERROR((FILTER('Fund Investment Data'!$Z:$Z, 'Fund Investment Data'!$C:$C = $C1325, 'Fund Investment Data'!$A:$A = $A1325 - 1, 'Fund Investment Data'!$B:$B = 12) + FILTER('Fund Investment Data'!$AB:$AB, 'Fund Investment Data'!$C:$C = $C1325, 'Fund Invest"&amp;"ment Data'!$A:$A = $A1325 - 1, 'Fund Investment Data'!$B:$B = 12)) * (1 + AVERAGE(FILTER('Inflation Data'!$C:$C,'Inflation Data'!$A:$A = ($A1325 - 2)))) * Parameters!$A$4,0)"),18464.76285534869)</f>
        <v>18464.76286</v>
      </c>
      <c r="Y1325" s="91">
        <f>IFERROR(__xludf.DUMMYFUNCTION("IFERROR((IFERROR(FILTER('Fund Investment Data'!$P:$P,'Fund Investment Data'!$C:$C = $C1325,'Fund Investment Data'!$A:$A = ($A1325 - 2), 'Fund Investment Data'!$B:$B = 12),0) - SUM(FILTER('Fund Investment Data'!$V:$V, 'Fund Investment Data'!$C:$C = $C1325,"&amp;" 'Fund Investment Data'!$A:$A = ($A1325 - 2), 'Fund Investment Data'!$B:$B &gt; 3)))  * Parameters!$B$4 * (1 - Parameters!$A$4),0)"),8817.111225000002)</f>
        <v>8817.111225</v>
      </c>
      <c r="Z1325" s="91">
        <f t="shared" si="24"/>
        <v>27281.87408</v>
      </c>
      <c r="AA1325" s="91">
        <f>IFERROR(__xludf.DUMMYFUNCTION("((IFERROR((SUM(FILTER('Fund Investment Data'!$V:$V, 'Fund Investment Data'!$C:$C = $C1325, 'Fund Investment Data'!$A:$A = $A1325 - 1, 'Fund Investment Data'!$B:$B &gt;= 4, 'Fund Investment Data'!$B:$B &lt;= ($B1325 + 5))) / 12) * ($B1325 - 3) * Parameters!$B$4,"&amp;" 0) + IF($B1325 &gt;= 9, IFERROR(SUM(FILTER('Fund Investment Data'!$V:$V, 'Fund Investment Data'!$C:$C = $C1325, 'Fund Investment Data'!$A:$A = $A1325, 'Fund Investment Data'!$B:$B &lt;= 3)) * Parameters!$B$4, 0),0)))"),0.0)</f>
        <v>0</v>
      </c>
      <c r="AB1325" s="32">
        <f>IFERROR(__xludf.DUMMYFUNCTION("IFERROR(((IFERROR(SUM(FILTER('Fund Investment Data'!$V:$V, 'Fund Investment Data'!$C:$C = $C1325, 'Fund Investment Data'!$A:$A = $A1325 - 2, 'Fund Investment Data'!$B:$B &gt;= 4)) * Parameters!$B$4,0) + IFERROR(SUM(FILTER('Fund Investment Data'!$V:$V, 'Fund "&amp;"Investment Data'!$C:$C = $C1325, 'Fund Investment Data'!$A:$A = $A1325 - 1, 'Fund Investment Data'!$B:$B &lt;= 3)) * Parameters!$B$4,0))),0)"),0.0)</f>
        <v>0</v>
      </c>
      <c r="AC1325" s="32">
        <f>IFERROR(__xludf.DUMMYFUNCTION("IFERROR(FILTER($AF:$AF,$C:$C = $C1325,$A:$A = $A1325 - 1,$B:$B = 12),0)"),0.0)</f>
        <v>0</v>
      </c>
      <c r="AD1325" s="32">
        <f t="shared" si="23"/>
        <v>27281.87408</v>
      </c>
      <c r="AE1325" s="32">
        <f t="shared" si="2"/>
        <v>27281.87408</v>
      </c>
      <c r="AF1325" s="32"/>
    </row>
    <row r="1326">
      <c r="A1326" s="86">
        <v>2019.0</v>
      </c>
      <c r="B1326" s="87">
        <v>3.0</v>
      </c>
      <c r="C1326" s="88" t="s">
        <v>25</v>
      </c>
      <c r="D1326" s="32"/>
      <c r="E1326" s="32"/>
      <c r="F1326" s="32"/>
      <c r="G1326" s="93">
        <v>-110.58</v>
      </c>
      <c r="H1326" s="93">
        <v>634.48</v>
      </c>
      <c r="I1326" s="32"/>
      <c r="J1326" s="93">
        <v>6238.3</v>
      </c>
      <c r="K1326" s="32"/>
      <c r="L1326" s="32"/>
      <c r="M1326" s="32"/>
      <c r="N1326" s="32"/>
      <c r="O1326" s="93">
        <v>81600.0</v>
      </c>
      <c r="P1326" s="91">
        <f>IFERROR(__xludf.DUMMYFUNCTION("IFERROR(sum(FILTER($D:$N,$C:$C = $C1326,$A:$A &lt; $A1326,$B:$B = 12)),0) + sum($D1326:$N1326)"),81600.17)</f>
        <v>81600.17</v>
      </c>
      <c r="Q1326" s="92">
        <f t="shared" si="1"/>
        <v>-0.17</v>
      </c>
      <c r="R1326" s="91">
        <f t="array" ref="R1326">IFERROR(INDEX('Fund YTD Target Values'!$1:$1000, MATCH($C1326,'Fund YTD Target Values'!$A:$A,0), MATCH($A1326,'Fund YTD Target Values'!$1:$1,0)),0)</f>
        <v>111153.3247</v>
      </c>
      <c r="S1326" s="91">
        <f>IFERROR(__xludf.DUMMYFUNCTION("IFERROR(sum(FILTER('Fund Investment Data'!$V:$V, 'Fund Investment Data'!$C:$C = $C1326, 'Fund Investment Data'!$A:$A &lt; $A1326)),0) + IFERROR(sum(FILTER('Fund Investment Data'!$V:$V, 'Fund Investment Data'!$C:$C = $C1326, 'Fund Investment Data'!$A:$A = $A1"&amp;"326, 'Fund Investment Data'!$B:$B &lt;= $B1326)),0)"),81000.0)</f>
        <v>81000</v>
      </c>
      <c r="T1326" s="93">
        <v>81000.0</v>
      </c>
      <c r="U1326" s="32">
        <f t="shared" ref="U1326:U1328" si="38">S1326-T1326</f>
        <v>0</v>
      </c>
      <c r="V1326" s="32">
        <f>IFERROR(__xludf.DUMMYFUNCTION("$D1326 - IFERROR(FILTER($D:$D,$C:$C = $C1326, $A:$A = $A1326, $B:$B = $B1326 - 1),0)"),0.0)</f>
        <v>0</v>
      </c>
      <c r="W1326" s="93">
        <f>IFERROR(__xludf.DUMMYFUNCTION("$E1326 - IFERROR(FILTER($E:$E,$C:$C = $C1326, $A:$A = $A1326, $B:$B = $B1326 - 1),0)"),0.0)</f>
        <v>0</v>
      </c>
      <c r="X1326" s="91">
        <f>IFERROR(__xludf.DUMMYFUNCTION("iFERROR((FILTER('Fund Investment Data'!$Z:$Z, 'Fund Investment Data'!$C:$C = $C1326, 'Fund Investment Data'!$A:$A = $A1326 - 1, 'Fund Investment Data'!$B:$B = 12) + FILTER('Fund Investment Data'!$AB:$AB, 'Fund Investment Data'!$C:$C = $C1326, 'Fund Invest"&amp;"ment Data'!$A:$A = $A1326 - 1, 'Fund Investment Data'!$B:$B = 12)) * (1 + AVERAGE(FILTER('Inflation Data'!$C:$C,'Inflation Data'!$A:$A = ($A1326 - 2)))) * Parameters!$A$4,0)"),3251.4512616945367)</f>
        <v>3251.451262</v>
      </c>
      <c r="Y1326" s="91">
        <f>IFERROR(__xludf.DUMMYFUNCTION("IFERROR((IFERROR(FILTER('Fund Investment Data'!$P:$P,'Fund Investment Data'!$C:$C = $C1326,'Fund Investment Data'!$A:$A = ($A1326 - 2), 'Fund Investment Data'!$B:$B = 12),0) - SUM(FILTER('Fund Investment Data'!$V:$V, 'Fund Investment Data'!$C:$C = $C1326,"&amp;" 'Fund Investment Data'!$A:$A = ($A1326 - 2), 'Fund Investment Data'!$B:$B &gt; 3)))  * Parameters!$B$4 * (1 - Parameters!$A$4),0)"),1364.3954549999999)</f>
        <v>1364.395455</v>
      </c>
      <c r="Z1326" s="91">
        <f t="shared" si="24"/>
        <v>4615.846717</v>
      </c>
      <c r="AA1326" s="91">
        <f>IFERROR(__xludf.DUMMYFUNCTION("((IFERROR((SUM(FILTER('Fund Investment Data'!$V:$V, 'Fund Investment Data'!$C:$C = $C1326, 'Fund Investment Data'!$A:$A = $A1326 - 1, 'Fund Investment Data'!$B:$B &gt;= 4, 'Fund Investment Data'!$B:$B &lt;= ($B1326 + 5))) / 12) * ($B1326 - 3) * Parameters!$B$4,"&amp;" 0) + IF($B1326 &gt;= 9, IFERROR(SUM(FILTER('Fund Investment Data'!$V:$V, 'Fund Investment Data'!$C:$C = $C1326, 'Fund Investment Data'!$A:$A = $A1326, 'Fund Investment Data'!$B:$B &lt;= 3)) * Parameters!$B$4, 0),0)))"),0.0)</f>
        <v>0</v>
      </c>
      <c r="AB1326" s="32">
        <f>IFERROR(__xludf.DUMMYFUNCTION("IFERROR(((IFERROR(SUM(FILTER('Fund Investment Data'!$V:$V, 'Fund Investment Data'!$C:$C = $C1326, 'Fund Investment Data'!$A:$A = $A1326 - 2, 'Fund Investment Data'!$B:$B &gt;= 4)) * Parameters!$B$4,0) + IFERROR(SUM(FILTER('Fund Investment Data'!$V:$V, 'Fund "&amp;"Investment Data'!$C:$C = $C1326, 'Fund Investment Data'!$A:$A = $A1326 - 1, 'Fund Investment Data'!$B:$B &lt;= 3)) * Parameters!$B$4,0))),0)"),0.0)</f>
        <v>0</v>
      </c>
      <c r="AC1326" s="32">
        <f>IFERROR(__xludf.DUMMYFUNCTION("IFERROR(FILTER($AF:$AF,$C:$C = $C1326,$A:$A = $A1326 - 1,$B:$B = 12),0)"),0.0)</f>
        <v>0</v>
      </c>
      <c r="AD1326" s="32">
        <f t="shared" si="23"/>
        <v>4615.846717</v>
      </c>
      <c r="AE1326" s="32">
        <f t="shared" si="2"/>
        <v>4615.846717</v>
      </c>
      <c r="AF1326" s="32"/>
    </row>
    <row r="1327">
      <c r="A1327" s="86">
        <v>2019.0</v>
      </c>
      <c r="B1327" s="87">
        <v>3.0</v>
      </c>
      <c r="C1327" s="88" t="s">
        <v>42</v>
      </c>
      <c r="D1327" s="32"/>
      <c r="E1327" s="32"/>
      <c r="F1327" s="32"/>
      <c r="G1327" s="93">
        <v>-400.2</v>
      </c>
      <c r="H1327" s="93">
        <v>2293.32</v>
      </c>
      <c r="I1327" s="32"/>
      <c r="J1327" s="93">
        <v>22489.56</v>
      </c>
      <c r="K1327" s="32"/>
      <c r="L1327" s="32"/>
      <c r="M1327" s="32"/>
      <c r="N1327" s="32"/>
      <c r="O1327" s="93">
        <v>295259.0</v>
      </c>
      <c r="P1327" s="91">
        <f>IFERROR(__xludf.DUMMYFUNCTION("IFERROR(sum(FILTER($D:$N,$C:$C = $C1327,$A:$A &lt; $A1327,$B:$B = 12)),0) + sum($D1327:$N1327)"),295258.6500000001)</f>
        <v>295258.65</v>
      </c>
      <c r="Q1327" s="92">
        <f t="shared" si="1"/>
        <v>0.3499999999</v>
      </c>
      <c r="R1327" s="91">
        <f t="array" ref="R1327">IFERROR(INDEX('Fund YTD Target Values'!$1:$1000, MATCH($C1327,'Fund YTD Target Values'!$A:$A,0), MATCH($A1327,'Fund YTD Target Values'!$1:$1,0)),0)</f>
        <v>244537.4928</v>
      </c>
      <c r="S1327" s="91">
        <f>IFERROR(__xludf.DUMMYFUNCTION("IFERROR(sum(FILTER('Fund Investment Data'!$V:$V, 'Fund Investment Data'!$C:$C = $C1327, 'Fund Investment Data'!$A:$A &lt; $A1327)),0) + IFERROR(sum(FILTER('Fund Investment Data'!$V:$V, 'Fund Investment Data'!$C:$C = $C1327, 'Fund Investment Data'!$A:$A = $A1"&amp;"327, 'Fund Investment Data'!$B:$B &lt;= $B1327)),0)"),194469.0)</f>
        <v>194469</v>
      </c>
      <c r="T1327" s="93">
        <v>194469.0</v>
      </c>
      <c r="U1327" s="32">
        <f t="shared" si="38"/>
        <v>0</v>
      </c>
      <c r="V1327" s="32">
        <f>IFERROR(__xludf.DUMMYFUNCTION("$D1327 - IFERROR(FILTER($D:$D,$C:$C = $C1327, $A:$A = $A1327, $B:$B = $B1327 - 1),0)"),0.0)</f>
        <v>0</v>
      </c>
      <c r="W1327" s="93">
        <f>IFERROR(__xludf.DUMMYFUNCTION("$E1327 - IFERROR(FILTER($E:$E,$C:$C = $C1327, $A:$A = $A1327, $B:$B = $B1327 - 1),0)"),0.0)</f>
        <v>0</v>
      </c>
      <c r="X1327" s="91">
        <f>IFERROR(__xludf.DUMMYFUNCTION("iFERROR((FILTER('Fund Investment Data'!$Z:$Z, 'Fund Investment Data'!$C:$C = $C1327, 'Fund Investment Data'!$A:$A = $A1327 - 1, 'Fund Investment Data'!$B:$B = 12) + FILTER('Fund Investment Data'!$AB:$AB, 'Fund Investment Data'!$C:$C = $C1327, 'Fund Invest"&amp;"ment Data'!$A:$A = $A1327 - 1, 'Fund Investment Data'!$B:$B = 12)) * (1 + AVERAGE(FILTER('Inflation Data'!$C:$C,'Inflation Data'!$A:$A = ($A1327 - 2)))) * Parameters!$A$4,0)"),7542.876247032937)</f>
        <v>7542.876247</v>
      </c>
      <c r="Y1327" s="91">
        <f>IFERROR(__xludf.DUMMYFUNCTION("IFERROR((IFERROR(FILTER('Fund Investment Data'!$P:$P,'Fund Investment Data'!$C:$C = $C1327,'Fund Investment Data'!$A:$A = ($A1327 - 2), 'Fund Investment Data'!$B:$B = 12),0) - SUM(FILTER('Fund Investment Data'!$V:$V, 'Fund Investment Data'!$C:$C = $C1327,"&amp;" 'Fund Investment Data'!$A:$A = ($A1327 - 2), 'Fund Investment Data'!$B:$B &gt; 3)))  * Parameters!$B$4 * (1 - Parameters!$A$4),0)"),4042.544760000002)</f>
        <v>4042.54476</v>
      </c>
      <c r="Z1327" s="91">
        <f t="shared" si="24"/>
        <v>11585.42101</v>
      </c>
      <c r="AA1327" s="91">
        <f>IFERROR(__xludf.DUMMYFUNCTION("((IFERROR((SUM(FILTER('Fund Investment Data'!$V:$V, 'Fund Investment Data'!$C:$C = $C1327, 'Fund Investment Data'!$A:$A = $A1327 - 1, 'Fund Investment Data'!$B:$B &gt;= 4, 'Fund Investment Data'!$B:$B &lt;= ($B1327 + 5))) / 12) * ($B1327 - 3) * Parameters!$B$4,"&amp;" 0) + IF($B1327 &gt;= 9, IFERROR(SUM(FILTER('Fund Investment Data'!$V:$V, 'Fund Investment Data'!$C:$C = $C1327, 'Fund Investment Data'!$A:$A = $A1327, 'Fund Investment Data'!$B:$B &lt;= 3)) * Parameters!$B$4, 0),0)))"),0.0)</f>
        <v>0</v>
      </c>
      <c r="AB1327" s="32">
        <f>IFERROR(__xludf.DUMMYFUNCTION("IFERROR(((IFERROR(SUM(FILTER('Fund Investment Data'!$V:$V, 'Fund Investment Data'!$C:$C = $C1327, 'Fund Investment Data'!$A:$A = $A1327 - 2, 'Fund Investment Data'!$B:$B &gt;= 4)) * Parameters!$B$4,0) + IFERROR(SUM(FILTER('Fund Investment Data'!$V:$V, 'Fund "&amp;"Investment Data'!$C:$C = $C1327, 'Fund Investment Data'!$A:$A = $A1327 - 1, 'Fund Investment Data'!$B:$B &lt;= 3)) * Parameters!$B$4,0))),0)"),0.0)</f>
        <v>0</v>
      </c>
      <c r="AC1327" s="32">
        <f>IFERROR(__xludf.DUMMYFUNCTION("IFERROR(FILTER($AF:$AF,$C:$C = $C1327,$A:$A = $A1327 - 1,$B:$B = 12),0)"),0.0)</f>
        <v>0</v>
      </c>
      <c r="AD1327" s="32">
        <f t="shared" si="23"/>
        <v>11585.42101</v>
      </c>
      <c r="AE1327" s="32">
        <f t="shared" si="2"/>
        <v>11585.42101</v>
      </c>
      <c r="AF1327" s="32"/>
    </row>
    <row r="1328">
      <c r="A1328" s="86">
        <v>2019.0</v>
      </c>
      <c r="B1328" s="87">
        <v>3.0</v>
      </c>
      <c r="C1328" s="88" t="s">
        <v>43</v>
      </c>
      <c r="D1328" s="32"/>
      <c r="E1328" s="32"/>
      <c r="F1328" s="32"/>
      <c r="G1328" s="93">
        <v>-163.01</v>
      </c>
      <c r="H1328" s="93">
        <v>935.24</v>
      </c>
      <c r="I1328" s="32"/>
      <c r="J1328" s="93">
        <v>9197.9</v>
      </c>
      <c r="K1328" s="32"/>
      <c r="L1328" s="32"/>
      <c r="M1328" s="32"/>
      <c r="N1328" s="32"/>
      <c r="O1328" s="93">
        <v>120268.0</v>
      </c>
      <c r="P1328" s="91">
        <f>IFERROR(__xludf.DUMMYFUNCTION("IFERROR(sum(FILTER($D:$N,$C:$C = $C1328,$A:$A &lt; $A1328,$B:$B = 12)),0) + sum($D1328:$N1328)"),120267.61000000003)</f>
        <v>120267.61</v>
      </c>
      <c r="Q1328" s="92">
        <f t="shared" si="1"/>
        <v>0.39</v>
      </c>
      <c r="R1328" s="91">
        <f t="array" ref="R1328">IFERROR(INDEX('Fund YTD Target Values'!$1:$1000, MATCH($C1328,'Fund YTD Target Values'!$A:$A,0), MATCH($A1328,'Fund YTD Target Values'!$1:$1,0)),0)</f>
        <v>133065.1141</v>
      </c>
      <c r="S1328" s="91">
        <f>IFERROR(__xludf.DUMMYFUNCTION("IFERROR(sum(FILTER('Fund Investment Data'!$V:$V, 'Fund Investment Data'!$C:$C = $C1328, 'Fund Investment Data'!$A:$A &lt; $A1328)),0) + IFERROR(sum(FILTER('Fund Investment Data'!$V:$V, 'Fund Investment Data'!$C:$C = $C1328, 'Fund Investment Data'!$A:$A = $A1"&amp;"328, 'Fund Investment Data'!$B:$B &lt;= $B1328)),0)"),100000.0)</f>
        <v>100000</v>
      </c>
      <c r="T1328" s="93">
        <v>100000.0</v>
      </c>
      <c r="U1328" s="32">
        <f t="shared" si="38"/>
        <v>0</v>
      </c>
      <c r="V1328" s="32">
        <f>IFERROR(__xludf.DUMMYFUNCTION("$D1328 - IFERROR(FILTER($D:$D,$C:$C = $C1328, $A:$A = $A1328, $B:$B = $B1328 - 1),0)"),0.0)</f>
        <v>0</v>
      </c>
      <c r="W1328" s="93">
        <f>IFERROR(__xludf.DUMMYFUNCTION("$E1328 - IFERROR(FILTER($E:$E,$C:$C = $C1328, $A:$A = $A1328, $B:$B = $B1328 - 1),0)"),0.0)</f>
        <v>0</v>
      </c>
      <c r="X1328" s="91">
        <f>IFERROR(__xludf.DUMMYFUNCTION("iFERROR((FILTER('Fund Investment Data'!$Z:$Z, 'Fund Investment Data'!$C:$C = $C1328, 'Fund Investment Data'!$A:$A = $A1328 - 1, 'Fund Investment Data'!$B:$B = 12) + FILTER('Fund Investment Data'!$AB:$AB, 'Fund Investment Data'!$C:$C = $C1328, 'Fund Invest"&amp;"ment Data'!$A:$A = $A1328 - 1, 'Fund Investment Data'!$B:$B = 12)) * (1 + AVERAGE(FILTER('Inflation Data'!$C:$C,'Inflation Data'!$A:$A = ($A1328 - 2)))) * Parameters!$A$4,0)"),4037.921818829265)</f>
        <v>4037.921819</v>
      </c>
      <c r="Y1328" s="91">
        <f>IFERROR(__xludf.DUMMYFUNCTION("IFERROR((IFERROR(FILTER('Fund Investment Data'!$P:$P,'Fund Investment Data'!$C:$C = $C1328,'Fund Investment Data'!$A:$A = ($A1328 - 2), 'Fund Investment Data'!$B:$B = 12),0) - SUM(FILTER('Fund Investment Data'!$V:$V, 'Fund Investment Data'!$C:$C = $C1328,"&amp;" 'Fund Investment Data'!$A:$A = ($A1328 - 2), 'Fund Investment Data'!$B:$B &gt; 3)))  * Parameters!$B$4 * (1 - Parameters!$A$4),0)"),1694.4194250000005)</f>
        <v>1694.419425</v>
      </c>
      <c r="Z1328" s="91">
        <f t="shared" si="24"/>
        <v>5732.341244</v>
      </c>
      <c r="AA1328" s="91">
        <f>IFERROR(__xludf.DUMMYFUNCTION("((IFERROR((SUM(FILTER('Fund Investment Data'!$V:$V, 'Fund Investment Data'!$C:$C = $C1328, 'Fund Investment Data'!$A:$A = $A1328 - 1, 'Fund Investment Data'!$B:$B &gt;= 4, 'Fund Investment Data'!$B:$B &lt;= ($B1328 + 5))) / 12) * ($B1328 - 3) * Parameters!$B$4,"&amp;" 0) + IF($B1328 &gt;= 9, IFERROR(SUM(FILTER('Fund Investment Data'!$V:$V, 'Fund Investment Data'!$C:$C = $C1328, 'Fund Investment Data'!$A:$A = $A1328, 'Fund Investment Data'!$B:$B &lt;= 3)) * Parameters!$B$4, 0),0)))"),0.0)</f>
        <v>0</v>
      </c>
      <c r="AB1328" s="32">
        <f>IFERROR(__xludf.DUMMYFUNCTION("IFERROR(((IFERROR(SUM(FILTER('Fund Investment Data'!$V:$V, 'Fund Investment Data'!$C:$C = $C1328, 'Fund Investment Data'!$A:$A = $A1328 - 2, 'Fund Investment Data'!$B:$B &gt;= 4)) * Parameters!$B$4,0) + IFERROR(SUM(FILTER('Fund Investment Data'!$V:$V, 'Fund "&amp;"Investment Data'!$C:$C = $C1328, 'Fund Investment Data'!$A:$A = $A1328 - 1, 'Fund Investment Data'!$B:$B &lt;= 3)) * Parameters!$B$4,0))),0)"),0.0)</f>
        <v>0</v>
      </c>
      <c r="AC1328" s="32">
        <f>IFERROR(__xludf.DUMMYFUNCTION("IFERROR(FILTER($AF:$AF,$C:$C = $C1328,$A:$A = $A1328 - 1,$B:$B = 12),0)"),0.0)</f>
        <v>0</v>
      </c>
      <c r="AD1328" s="32">
        <f t="shared" si="23"/>
        <v>5732.341244</v>
      </c>
      <c r="AE1328" s="32">
        <f t="shared" si="2"/>
        <v>5732.341244</v>
      </c>
      <c r="AF1328" s="32"/>
    </row>
    <row r="1329">
      <c r="A1329" s="86">
        <v>2019.0</v>
      </c>
      <c r="B1329" s="87">
        <v>3.0</v>
      </c>
      <c r="C1329" s="88" t="s">
        <v>52</v>
      </c>
      <c r="D1329" s="93">
        <v>1000.0</v>
      </c>
      <c r="E1329" s="93">
        <v>-12700.0</v>
      </c>
      <c r="F1329" s="32"/>
      <c r="G1329" s="93">
        <v>-1613.97</v>
      </c>
      <c r="H1329" s="93">
        <v>9261.62</v>
      </c>
      <c r="I1329" s="32"/>
      <c r="J1329" s="93">
        <v>91129.38</v>
      </c>
      <c r="K1329" s="32"/>
      <c r="L1329" s="93">
        <v>-19.27</v>
      </c>
      <c r="M1329" s="32"/>
      <c r="N1329" s="32"/>
      <c r="O1329" s="93">
        <v>1178598.0</v>
      </c>
      <c r="P1329" s="91">
        <f>IFERROR(__xludf.DUMMYFUNCTION("IFERROR(sum(FILTER($D:$N,$C:$C = $C1329,$A:$A &lt; $A1329,$B:$B = 12)),0) + sum($D1329:$N1329)"),1178597.7899999998)</f>
        <v>1178597.79</v>
      </c>
      <c r="Q1329" s="92">
        <f t="shared" si="1"/>
        <v>0.2100000002</v>
      </c>
      <c r="R1329" s="91">
        <f t="array" ref="R1329">IFERROR(INDEX('Fund YTD Target Values'!$1:$1000, MATCH($C1329,'Fund YTD Target Values'!$A:$A,0), MATCH($A1329,'Fund YTD Target Values'!$1:$1,0)),0)</f>
        <v>1170797.015</v>
      </c>
      <c r="S1329" s="91">
        <f>IFERROR(__xludf.DUMMYFUNCTION("IFERROR(sum(FILTER('Fund Investment Data'!$V:$V, 'Fund Investment Data'!$C:$C = $C1329, 'Fund Investment Data'!$A:$A &lt; $A1329)),0) + IFERROR(sum(FILTER('Fund Investment Data'!$V:$V, 'Fund Investment Data'!$C:$C = $C1329, 'Fund Investment Data'!$A:$A = $A1"&amp;"329, 'Fund Investment Data'!$B:$B &lt;= $B1329)),0)"),1081136.0)</f>
        <v>1081136</v>
      </c>
      <c r="T1329" s="93"/>
      <c r="U1329" s="32"/>
      <c r="V1329" s="32">
        <f>IFERROR(__xludf.DUMMYFUNCTION("$D1329 - IFERROR(FILTER($D:$D,$C:$C = $C1329, $A:$A = $A1329, $B:$B = $B1329 - 1),0)"),0.0)</f>
        <v>0</v>
      </c>
      <c r="W1329" s="93">
        <f>IFERROR(__xludf.DUMMYFUNCTION("$E1329 - IFERROR(FILTER($E:$E,$C:$C = $C1329, $A:$A = $A1329, $B:$B = $B1329 - 1),0)"),-12700.0)</f>
        <v>-12700</v>
      </c>
      <c r="X1329" s="91">
        <f>IFERROR(__xludf.DUMMYFUNCTION("iFERROR((FILTER('Fund Investment Data'!$Z:$Z, 'Fund Investment Data'!$C:$C = $C1329, 'Fund Investment Data'!$A:$A = $A1329 - 1, 'Fund Investment Data'!$B:$B = 12) + FILTER('Fund Investment Data'!$AB:$AB, 'Fund Investment Data'!$C:$C = $C1329, 'Fund Invest"&amp;"ment Data'!$A:$A = $A1329 - 1, 'Fund Investment Data'!$B:$B = 12)) * (1 + AVERAGE(FILTER('Inflation Data'!$C:$C,'Inflation Data'!$A:$A = ($A1329 - 2)))) * Parameters!$A$4,0)"),33647.195102028425)</f>
        <v>33647.1951</v>
      </c>
      <c r="Y1329" s="91">
        <f>IFERROR(__xludf.DUMMYFUNCTION("IFERROR((IFERROR(FILTER('Fund Investment Data'!$P:$P,'Fund Investment Data'!$C:$C = $C1329,'Fund Investment Data'!$A:$A = ($A1329 - 2), 'Fund Investment Data'!$B:$B = 12),0) - SUM(FILTER('Fund Investment Data'!$V:$V, 'Fund Investment Data'!$C:$C = $C1329,"&amp;" 'Fund Investment Data'!$A:$A = ($A1329 - 2), 'Fund Investment Data'!$B:$B &gt; 3)))  * Parameters!$B$4 * (1 - Parameters!$A$4),0)"),15672.907755)</f>
        <v>15672.90776</v>
      </c>
      <c r="Z1329" s="91">
        <f t="shared" si="24"/>
        <v>49320.10286</v>
      </c>
      <c r="AA1329" s="91">
        <f>IFERROR(__xludf.DUMMYFUNCTION("((IFERROR((SUM(FILTER('Fund Investment Data'!$V:$V, 'Fund Investment Data'!$C:$C = $C1329, 'Fund Investment Data'!$A:$A = $A1329 - 1, 'Fund Investment Data'!$B:$B &gt;= 4, 'Fund Investment Data'!$B:$B &lt;= ($B1329 + 5))) / 12) * ($B1329 - 3) * Parameters!$B$4,"&amp;" 0) + IF($B1329 &gt;= 9, IFERROR(SUM(FILTER('Fund Investment Data'!$V:$V, 'Fund Investment Data'!$C:$C = $C1329, 'Fund Investment Data'!$A:$A = $A1329, 'Fund Investment Data'!$B:$B &lt;= 3)) * Parameters!$B$4, 0),0)))"),0.0)</f>
        <v>0</v>
      </c>
      <c r="AB1329" s="32">
        <f>IFERROR(__xludf.DUMMYFUNCTION("IFERROR(((IFERROR(SUM(FILTER('Fund Investment Data'!$V:$V, 'Fund Investment Data'!$C:$C = $C1329, 'Fund Investment Data'!$A:$A = $A1329 - 2, 'Fund Investment Data'!$B:$B &gt;= 4)) * Parameters!$B$4,0) + IFERROR(SUM(FILTER('Fund Investment Data'!$V:$V, 'Fund "&amp;"Investment Data'!$C:$C = $C1329, 'Fund Investment Data'!$A:$A = $A1329 - 1, 'Fund Investment Data'!$B:$B &lt;= 3)) * Parameters!$B$4,0))),0)"),3532.5)</f>
        <v>3532.5</v>
      </c>
      <c r="AC1329" s="32">
        <f>IFERROR(__xludf.DUMMYFUNCTION("IFERROR(FILTER($AF:$AF,$C:$C = $C1329,$A:$A = $A1329 - 1,$B:$B = 12),0)"),0.0)</f>
        <v>0</v>
      </c>
      <c r="AD1329" s="32">
        <f t="shared" si="23"/>
        <v>52852.60286</v>
      </c>
      <c r="AE1329" s="32">
        <f t="shared" si="2"/>
        <v>40152.60286</v>
      </c>
      <c r="AF1329" s="32"/>
    </row>
    <row r="1330">
      <c r="A1330" s="86">
        <v>2019.0</v>
      </c>
      <c r="B1330" s="87">
        <v>3.0</v>
      </c>
      <c r="C1330" s="88" t="s">
        <v>33</v>
      </c>
      <c r="D1330" s="32"/>
      <c r="E1330" s="32"/>
      <c r="F1330" s="32"/>
      <c r="G1330" s="93">
        <v>-462.44</v>
      </c>
      <c r="H1330" s="93">
        <v>2653.53</v>
      </c>
      <c r="I1330" s="32"/>
      <c r="J1330" s="93">
        <v>26096.84</v>
      </c>
      <c r="K1330" s="32"/>
      <c r="L1330" s="32"/>
      <c r="M1330" s="32"/>
      <c r="N1330" s="32"/>
      <c r="O1330" s="93">
        <v>341233.0</v>
      </c>
      <c r="P1330" s="91">
        <f>IFERROR(__xludf.DUMMYFUNCTION("IFERROR(sum(FILTER($D:$N,$C:$C = $C1330,$A:$A &lt; $A1330,$B:$B = 12)),0) + sum($D1330:$N1330)"),341233.1099999998)</f>
        <v>341233.11</v>
      </c>
      <c r="Q1330" s="92">
        <f t="shared" si="1"/>
        <v>-0.1099999998</v>
      </c>
      <c r="R1330" s="91">
        <f t="array" ref="R1330">IFERROR(INDEX('Fund YTD Target Values'!$1:$1000, MATCH($C1330,'Fund YTD Target Values'!$A:$A,0), MATCH($A1330,'Fund YTD Target Values'!$1:$1,0)),0)</f>
        <v>522221.9976</v>
      </c>
      <c r="S1330" s="91">
        <f>IFERROR(__xludf.DUMMYFUNCTION("IFERROR(sum(FILTER('Fund Investment Data'!$V:$V, 'Fund Investment Data'!$C:$C = $C1330, 'Fund Investment Data'!$A:$A &lt; $A1330)),0) + IFERROR(sum(FILTER('Fund Investment Data'!$V:$V, 'Fund Investment Data'!$C:$C = $C1330, 'Fund Investment Data'!$A:$A = $A1"&amp;"330, 'Fund Investment Data'!$B:$B &lt;= $B1330)),0)"),325871.6399999999)</f>
        <v>325871.64</v>
      </c>
      <c r="T1330" s="93">
        <v>326032.0</v>
      </c>
      <c r="U1330" s="32">
        <f t="shared" ref="U1330:U1332" si="39">S1330-T1330</f>
        <v>-160.36</v>
      </c>
      <c r="V1330" s="32">
        <f>IFERROR(__xludf.DUMMYFUNCTION("$D1330 - IFERROR(FILTER($D:$D,$C:$C = $C1330, $A:$A = $A1330, $B:$B = $B1330 - 1),0)"),0.0)</f>
        <v>0</v>
      </c>
      <c r="W1330" s="93">
        <f>IFERROR(__xludf.DUMMYFUNCTION("$E1330 - IFERROR(FILTER($E:$E,$C:$C = $C1330, $A:$A = $A1330, $B:$B = $B1330 - 1),0)"),0.0)</f>
        <v>0</v>
      </c>
      <c r="X1330" s="91">
        <f>IFERROR(__xludf.DUMMYFUNCTION("iFERROR((FILTER('Fund Investment Data'!$Z:$Z, 'Fund Investment Data'!$C:$C = $C1330, 'Fund Investment Data'!$A:$A = $A1330 - 1, 'Fund Investment Data'!$B:$B = 12) + FILTER('Fund Investment Data'!$AB:$AB, 'Fund Investment Data'!$C:$C = $C1330, 'Fund Invest"&amp;"ment Data'!$A:$A = $A1330 - 1, 'Fund Investment Data'!$B:$B = 12)) * (1 + AVERAGE(FILTER('Inflation Data'!$C:$C,'Inflation Data'!$A:$A = ($A1330 - 2)))) * Parameters!$A$4,0)"),11487.702435867292)</f>
        <v>11487.70244</v>
      </c>
      <c r="Y1330" s="91">
        <f>IFERROR(__xludf.DUMMYFUNCTION("IFERROR((IFERROR(FILTER('Fund Investment Data'!$P:$P,'Fund Investment Data'!$C:$C = $C1330,'Fund Investment Data'!$A:$A = ($A1330 - 2), 'Fund Investment Data'!$B:$B = 12),0) - SUM(FILTER('Fund Investment Data'!$V:$V, 'Fund Investment Data'!$C:$C = $C1330,"&amp;" 'Fund Investment Data'!$A:$A = ($A1330 - 2), 'Fund Investment Data'!$B:$B &gt; 3)))  * Parameters!$B$4 * (1 - Parameters!$A$4),0)"),4820.5455749999965)</f>
        <v>4820.545575</v>
      </c>
      <c r="Z1330" s="91">
        <f t="shared" si="24"/>
        <v>16308.24801</v>
      </c>
      <c r="AA1330" s="91">
        <f>IFERROR(__xludf.DUMMYFUNCTION("((IFERROR((SUM(FILTER('Fund Investment Data'!$V:$V, 'Fund Investment Data'!$C:$C = $C1330, 'Fund Investment Data'!$A:$A = $A1330 - 1, 'Fund Investment Data'!$B:$B &gt;= 4, 'Fund Investment Data'!$B:$B &lt;= ($B1330 + 5))) / 12) * ($B1330 - 3) * Parameters!$B$4,"&amp;" 0) + IF($B1330 &gt;= 9, IFERROR(SUM(FILTER('Fund Investment Data'!$V:$V, 'Fund Investment Data'!$C:$C = $C1330, 'Fund Investment Data'!$A:$A = $A1330, 'Fund Investment Data'!$B:$B &lt;= 3)) * Parameters!$B$4, 0),0)))"),0.0)</f>
        <v>0</v>
      </c>
      <c r="AB1330" s="32">
        <f>IFERROR(__xludf.DUMMYFUNCTION("IFERROR(((IFERROR(SUM(FILTER('Fund Investment Data'!$V:$V, 'Fund Investment Data'!$C:$C = $C1330, 'Fund Investment Data'!$A:$A = $A1330 - 2, 'Fund Investment Data'!$B:$B &gt;= 4)) * Parameters!$B$4,0) + IFERROR(SUM(FILTER('Fund Investment Data'!$V:$V, 'Fund "&amp;"Investment Data'!$C:$C = $C1330, 'Fund Investment Data'!$A:$A = $A1330 - 1, 'Fund Investment Data'!$B:$B &lt;= 3)) * Parameters!$B$4,0))),0)"),0.0)</f>
        <v>0</v>
      </c>
      <c r="AC1330" s="32">
        <f>IFERROR(__xludf.DUMMYFUNCTION("IFERROR(FILTER($AF:$AF,$C:$C = $C1330,$A:$A = $A1330 - 1,$B:$B = 12),0)"),0.0)</f>
        <v>0</v>
      </c>
      <c r="AD1330" s="32">
        <f t="shared" si="23"/>
        <v>16308.24801</v>
      </c>
      <c r="AE1330" s="32">
        <f t="shared" si="2"/>
        <v>16308.24801</v>
      </c>
      <c r="AF1330" s="32"/>
    </row>
    <row r="1331">
      <c r="A1331" s="86">
        <v>2019.0</v>
      </c>
      <c r="B1331" s="87">
        <v>3.0</v>
      </c>
      <c r="C1331" s="88" t="s">
        <v>53</v>
      </c>
      <c r="D1331" s="32"/>
      <c r="E1331" s="93">
        <v>-15700.0</v>
      </c>
      <c r="F1331" s="32"/>
      <c r="G1331" s="93">
        <v>-3021.17</v>
      </c>
      <c r="H1331" s="93">
        <v>17160.77</v>
      </c>
      <c r="I1331" s="32"/>
      <c r="J1331" s="93">
        <v>167035.4</v>
      </c>
      <c r="K1331" s="32"/>
      <c r="L1331" s="32"/>
      <c r="M1331" s="32"/>
      <c r="N1331" s="32"/>
      <c r="O1331" s="93">
        <v>2212010.0</v>
      </c>
      <c r="P1331" s="91">
        <f>IFERROR(__xludf.DUMMYFUNCTION("IFERROR(sum(FILTER($D:$N,$C:$C = $C1331,$A:$A &lt; $A1331,$B:$B = 12)),0) + sum($D1331:$N1331)"),2212009.88)</f>
        <v>2212009.88</v>
      </c>
      <c r="Q1331" s="92">
        <f t="shared" si="1"/>
        <v>0.1200000001</v>
      </c>
      <c r="R1331" s="91">
        <f t="array" ref="R1331">IFERROR(INDEX('Fund YTD Target Values'!$1:$1000, MATCH($C1331,'Fund YTD Target Values'!$A:$A,0), MATCH($A1331,'Fund YTD Target Values'!$1:$1,0)),0)</f>
        <v>2265063.703</v>
      </c>
      <c r="S1331" s="91">
        <f>IFERROR(__xludf.DUMMYFUNCTION("IFERROR(sum(FILTER('Fund Investment Data'!$V:$V, 'Fund Investment Data'!$C:$C = $C1331, 'Fund Investment Data'!$A:$A &lt; $A1331)),0) + IFERROR(sum(FILTER('Fund Investment Data'!$V:$V, 'Fund Investment Data'!$C:$C = $C1331, 'Fund Investment Data'!$A:$A = $A1"&amp;"331, 'Fund Investment Data'!$B:$B &lt;= $B1331)),0)"),2005500.0)</f>
        <v>2005500</v>
      </c>
      <c r="T1331" s="93">
        <v>2005500.0</v>
      </c>
      <c r="U1331" s="32">
        <f t="shared" si="39"/>
        <v>0</v>
      </c>
      <c r="V1331" s="32">
        <f>IFERROR(__xludf.DUMMYFUNCTION("$D1331 - IFERROR(FILTER($D:$D,$C:$C = $C1331, $A:$A = $A1331, $B:$B = $B1331 - 1),0)"),0.0)</f>
        <v>0</v>
      </c>
      <c r="W1331" s="93">
        <f>IFERROR(__xludf.DUMMYFUNCTION("$E1331 - IFERROR(FILTER($E:$E,$C:$C = $C1331, $A:$A = $A1331, $B:$B = $B1331 - 1),0)"),-15700.0)</f>
        <v>-15700</v>
      </c>
      <c r="X1331" s="91">
        <f>IFERROR(__xludf.DUMMYFUNCTION("iFERROR((FILTER('Fund Investment Data'!$Z:$Z, 'Fund Investment Data'!$C:$C = $C1331, 'Fund Investment Data'!$A:$A = $A1331 - 1, 'Fund Investment Data'!$B:$B = 12) + FILTER('Fund Investment Data'!$AB:$AB, 'Fund Investment Data'!$C:$C = $C1331, 'Fund Invest"&amp;"ment Data'!$A:$A = $A1331 - 1, 'Fund Investment Data'!$B:$B = 12)) * (1 + AVERAGE(FILTER('Inflation Data'!$C:$C,'Inflation Data'!$A:$A = ($A1331 - 2)))) * Parameters!$A$4,0)"),69866.97627398264)</f>
        <v>69866.97627</v>
      </c>
      <c r="Y1331" s="91">
        <f>IFERROR(__xludf.DUMMYFUNCTION("IFERROR((IFERROR(FILTER('Fund Investment Data'!$P:$P,'Fund Investment Data'!$C:$C = $C1331,'Fund Investment Data'!$A:$A = ($A1331 - 2), 'Fund Investment Data'!$B:$B = 12),0) - SUM(FILTER('Fund Investment Data'!$V:$V, 'Fund Investment Data'!$C:$C = $C1331,"&amp;" 'Fund Investment Data'!$A:$A = ($A1331 - 2), 'Fund Investment Data'!$B:$B &gt; 3)))  * Parameters!$B$4 * (1 - Parameters!$A$4),0)"),30716.748180000002)</f>
        <v>30716.74818</v>
      </c>
      <c r="Z1331" s="91">
        <f t="shared" si="24"/>
        <v>100583.7245</v>
      </c>
      <c r="AA1331" s="91">
        <f>IFERROR(__xludf.DUMMYFUNCTION("((IFERROR((SUM(FILTER('Fund Investment Data'!$V:$V, 'Fund Investment Data'!$C:$C = $C1331, 'Fund Investment Data'!$A:$A = $A1331 - 1, 'Fund Investment Data'!$B:$B &gt;= 4, 'Fund Investment Data'!$B:$B &lt;= ($B1331 + 5))) / 12) * ($B1331 - 3) * Parameters!$B$4,"&amp;" 0) + IF($B1331 &gt;= 9, IFERROR(SUM(FILTER('Fund Investment Data'!$V:$V, 'Fund Investment Data'!$C:$C = $C1331, 'Fund Investment Data'!$A:$A = $A1331, 'Fund Investment Data'!$B:$B &lt;= 3)) * Parameters!$B$4, 0),0)))"),0.0)</f>
        <v>0</v>
      </c>
      <c r="AB1331" s="32">
        <f>IFERROR(__xludf.DUMMYFUNCTION("IFERROR(((IFERROR(SUM(FILTER('Fund Investment Data'!$V:$V, 'Fund Investment Data'!$C:$C = $C1331, 'Fund Investment Data'!$A:$A = $A1331 - 2, 'Fund Investment Data'!$B:$B &gt;= 4)) * Parameters!$B$4,0) + IFERROR(SUM(FILTER('Fund Investment Data'!$V:$V, 'Fund "&amp;"Investment Data'!$C:$C = $C1331, 'Fund Investment Data'!$A:$A = $A1331 - 1, 'Fund Investment Data'!$B:$B &lt;= 3)) * Parameters!$B$4,0))),0)"),0.0)</f>
        <v>0</v>
      </c>
      <c r="AC1331" s="32">
        <f>IFERROR(__xludf.DUMMYFUNCTION("IFERROR(FILTER($AF:$AF,$C:$C = $C1331,$A:$A = $A1331 - 1,$B:$B = 12),0)"),43500.0)</f>
        <v>43500</v>
      </c>
      <c r="AD1331" s="32">
        <f t="shared" si="23"/>
        <v>144083.7245</v>
      </c>
      <c r="AE1331" s="32">
        <f t="shared" si="2"/>
        <v>128383.7245</v>
      </c>
      <c r="AF1331" s="32"/>
    </row>
    <row r="1332">
      <c r="A1332" s="86">
        <v>2019.0</v>
      </c>
      <c r="B1332" s="87">
        <v>3.0</v>
      </c>
      <c r="C1332" s="88" t="s">
        <v>34</v>
      </c>
      <c r="D1332" s="32"/>
      <c r="E1332" s="32"/>
      <c r="F1332" s="32"/>
      <c r="G1332" s="93">
        <v>-194.23</v>
      </c>
      <c r="H1332" s="93">
        <v>1114.54</v>
      </c>
      <c r="I1332" s="32"/>
      <c r="J1332" s="93">
        <v>10962.04</v>
      </c>
      <c r="K1332" s="32"/>
      <c r="L1332" s="32"/>
      <c r="M1332" s="32"/>
      <c r="N1332" s="32"/>
      <c r="O1332" s="93">
        <v>143322.0</v>
      </c>
      <c r="P1332" s="91">
        <f>IFERROR(__xludf.DUMMYFUNCTION("IFERROR(sum(FILTER($D:$N,$C:$C = $C1332,$A:$A &lt; $A1332,$B:$B = 12)),0) + sum($D1332:$N1332)"),143321.61999999997)</f>
        <v>143321.62</v>
      </c>
      <c r="Q1332" s="92">
        <f t="shared" si="1"/>
        <v>0.38</v>
      </c>
      <c r="R1332" s="91">
        <f t="array" ref="R1332">IFERROR(INDEX('Fund YTD Target Values'!$1:$1000, MATCH($C1332,'Fund YTD Target Values'!$A:$A,0), MATCH($A1332,'Fund YTD Target Values'!$1:$1,0)),0)</f>
        <v>137779.5763</v>
      </c>
      <c r="S1332" s="91">
        <f>IFERROR(__xludf.DUMMYFUNCTION("IFERROR(sum(FILTER('Fund Investment Data'!$V:$V, 'Fund Investment Data'!$C:$C = $C1332, 'Fund Investment Data'!$A:$A &lt; $A1332)),0) + IFERROR(sum(FILTER('Fund Investment Data'!$V:$V, 'Fund Investment Data'!$C:$C = $C1332, 'Fund Investment Data'!$A:$A = $A1"&amp;"332, 'Fund Investment Data'!$B:$B &lt;= $B1332)),0)"),125000.0)</f>
        <v>125000</v>
      </c>
      <c r="T1332" s="93">
        <v>125000.0</v>
      </c>
      <c r="U1332" s="32">
        <f t="shared" si="39"/>
        <v>0</v>
      </c>
      <c r="V1332" s="32">
        <f>IFERROR(__xludf.DUMMYFUNCTION("$D1332 - IFERROR(FILTER($D:$D,$C:$C = $C1332, $A:$A = $A1332, $B:$B = $B1332 - 1),0)"),0.0)</f>
        <v>0</v>
      </c>
      <c r="W1332" s="93">
        <f>IFERROR(__xludf.DUMMYFUNCTION("$E1332 - IFERROR(FILTER($E:$E,$C:$C = $C1332, $A:$A = $A1332, $B:$B = $B1332 - 1),0)"),0.0)</f>
        <v>0</v>
      </c>
      <c r="X1332" s="91">
        <f>IFERROR(__xludf.DUMMYFUNCTION("iFERROR((FILTER('Fund Investment Data'!$Z:$Z, 'Fund Investment Data'!$C:$C = $C1332, 'Fund Investment Data'!$A:$A = $A1332 - 1, 'Fund Investment Data'!$B:$B = 12) + FILTER('Fund Investment Data'!$AB:$AB, 'Fund Investment Data'!$C:$C = $C1332, 'Fund Invest"&amp;"ment Data'!$A:$A = $A1332 - 1, 'Fund Investment Data'!$B:$B = 12)) * (1 + AVERAGE(FILTER('Inflation Data'!$C:$C,'Inflation Data'!$A:$A = ($A1332 - 2)))) * Parameters!$A$4,0)"),4414.569951711041)</f>
        <v>4414.569952</v>
      </c>
      <c r="Y1332" s="91">
        <f>IFERROR(__xludf.DUMMYFUNCTION("IFERROR((IFERROR(FILTER('Fund Investment Data'!$P:$P,'Fund Investment Data'!$C:$C = $C1332,'Fund Investment Data'!$A:$A = ($A1332 - 2), 'Fund Investment Data'!$B:$B = 12),0) - SUM(FILTER('Fund Investment Data'!$V:$V, 'Fund Investment Data'!$C:$C = $C1332,"&amp;" 'Fund Investment Data'!$A:$A = ($A1332 - 2), 'Fund Investment Data'!$B:$B &gt; 3)))  * Parameters!$B$4 * (1 - Parameters!$A$4),0)"),1947.8901600000004)</f>
        <v>1947.89016</v>
      </c>
      <c r="Z1332" s="91">
        <f t="shared" si="24"/>
        <v>6362.460112</v>
      </c>
      <c r="AA1332" s="91">
        <f>IFERROR(__xludf.DUMMYFUNCTION("((IFERROR((SUM(FILTER('Fund Investment Data'!$V:$V, 'Fund Investment Data'!$C:$C = $C1332, 'Fund Investment Data'!$A:$A = $A1332 - 1, 'Fund Investment Data'!$B:$B &gt;= 4, 'Fund Investment Data'!$B:$B &lt;= ($B1332 + 5))) / 12) * ($B1332 - 3) * Parameters!$B$4,"&amp;" 0) + IF($B1332 &gt;= 9, IFERROR(SUM(FILTER('Fund Investment Data'!$V:$V, 'Fund Investment Data'!$C:$C = $C1332, 'Fund Investment Data'!$A:$A = $A1332, 'Fund Investment Data'!$B:$B &lt;= 3)) * Parameters!$B$4, 0),0)))"),0.0)</f>
        <v>0</v>
      </c>
      <c r="AB1332" s="32">
        <f>IFERROR(__xludf.DUMMYFUNCTION("IFERROR(((IFERROR(SUM(FILTER('Fund Investment Data'!$V:$V, 'Fund Investment Data'!$C:$C = $C1332, 'Fund Investment Data'!$A:$A = $A1332 - 2, 'Fund Investment Data'!$B:$B &gt;= 4)) * Parameters!$B$4,0) + IFERROR(SUM(FILTER('Fund Investment Data'!$V:$V, 'Fund "&amp;"Investment Data'!$C:$C = $C1332, 'Fund Investment Data'!$A:$A = $A1332 - 1, 'Fund Investment Data'!$B:$B &lt;= 3)) * Parameters!$B$4,0))),0)"),0.0)</f>
        <v>0</v>
      </c>
      <c r="AC1332" s="32">
        <f>IFERROR(__xludf.DUMMYFUNCTION("IFERROR(FILTER($AF:$AF,$C:$C = $C1332,$A:$A = $A1332 - 1,$B:$B = 12),0)"),0.0)</f>
        <v>0</v>
      </c>
      <c r="AD1332" s="32">
        <f t="shared" si="23"/>
        <v>6362.460112</v>
      </c>
      <c r="AE1332" s="32">
        <f t="shared" si="2"/>
        <v>6362.460112</v>
      </c>
      <c r="AF1332" s="32"/>
    </row>
    <row r="1333">
      <c r="A1333" s="86">
        <v>2019.0</v>
      </c>
      <c r="B1333" s="87">
        <v>3.0</v>
      </c>
      <c r="C1333" s="88" t="s">
        <v>54</v>
      </c>
      <c r="D1333" s="93">
        <v>100.0</v>
      </c>
      <c r="E1333" s="32"/>
      <c r="F1333" s="32"/>
      <c r="G1333" s="93">
        <v>-229.06</v>
      </c>
      <c r="H1333" s="93">
        <v>1312.73</v>
      </c>
      <c r="I1333" s="32"/>
      <c r="J1333" s="93">
        <v>12879.88</v>
      </c>
      <c r="K1333" s="32"/>
      <c r="L1333" s="32"/>
      <c r="M1333" s="32"/>
      <c r="N1333" s="32"/>
      <c r="O1333" s="93">
        <v>169030.0</v>
      </c>
      <c r="P1333" s="91">
        <f>IFERROR(__xludf.DUMMYFUNCTION("IFERROR(sum(FILTER($D:$N,$C:$C = $C1333,$A:$A &lt; $A1333,$B:$B = 12)),0) + sum($D1333:$N1333)"),169030.59999999995)</f>
        <v>169030.6</v>
      </c>
      <c r="Q1333" s="92">
        <f t="shared" si="1"/>
        <v>-0.5999999999</v>
      </c>
      <c r="R1333" s="91">
        <f t="array" ref="R1333">IFERROR(INDEX('Fund YTD Target Values'!$1:$1000, MATCH($C1333,'Fund YTD Target Values'!$A:$A,0), MATCH($A1333,'Fund YTD Target Values'!$1:$1,0)),0)</f>
        <v>158496.8702</v>
      </c>
      <c r="S1333" s="91">
        <f>IFERROR(__xludf.DUMMYFUNCTION("IFERROR(sum(FILTER('Fund Investment Data'!$V:$V, 'Fund Investment Data'!$C:$C = $C1333, 'Fund Investment Data'!$A:$A &lt; $A1333)),0) + IFERROR(sum(FILTER('Fund Investment Data'!$V:$V, 'Fund Investment Data'!$C:$C = $C1333, 'Fund Investment Data'!$A:$A = $A1"&amp;"333, 'Fund Investment Data'!$B:$B &lt;= $B1333)),0)"),112567.10999999999)</f>
        <v>112567.11</v>
      </c>
      <c r="T1333" s="93"/>
      <c r="U1333" s="32"/>
      <c r="V1333" s="32">
        <f>IFERROR(__xludf.DUMMYFUNCTION("$D1333 - IFERROR(FILTER($D:$D,$C:$C = $C1333, $A:$A = $A1333, $B:$B = $B1333 - 1),0)"),0.0)</f>
        <v>0</v>
      </c>
      <c r="W1333" s="93">
        <f>IFERROR(__xludf.DUMMYFUNCTION("$E1333 - IFERROR(FILTER($E:$E,$C:$C = $C1333, $A:$A = $A1333, $B:$B = $B1333 - 1),0)"),0.0)</f>
        <v>0</v>
      </c>
      <c r="X1333" s="91">
        <f>IFERROR(__xludf.DUMMYFUNCTION("iFERROR((FILTER('Fund Investment Data'!$Z:$Z, 'Fund Investment Data'!$C:$C = $C1333, 'Fund Investment Data'!$A:$A = $A1333 - 1, 'Fund Investment Data'!$B:$B = 12) + FILTER('Fund Investment Data'!$AB:$AB, 'Fund Investment Data'!$C:$C = $C1333, 'Fund Invest"&amp;"ment Data'!$A:$A = $A1333 - 1, 'Fund Investment Data'!$B:$B = 12)) * (1 + AVERAGE(FILTER('Inflation Data'!$C:$C,'Inflation Data'!$A:$A = ($A1333 - 2)))) * Parameters!$A$4,0)"),5306.102894924851)</f>
        <v>5306.102895</v>
      </c>
      <c r="Y1333" s="91">
        <f>IFERROR(__xludf.DUMMYFUNCTION("IFERROR((IFERROR(FILTER('Fund Investment Data'!$P:$P,'Fund Investment Data'!$C:$C = $C1333,'Fund Investment Data'!$A:$A = ($A1333 - 2), 'Fund Investment Data'!$B:$B = 12),0) - SUM(FILTER('Fund Investment Data'!$V:$V, 'Fund Investment Data'!$C:$C = $C1333,"&amp;" 'Fund Investment Data'!$A:$A = ($A1333 - 2), 'Fund Investment Data'!$B:$B &gt; 3)))  * Parameters!$B$4 * (1 - Parameters!$A$4),0)"),2330.059095)</f>
        <v>2330.059095</v>
      </c>
      <c r="Z1333" s="91">
        <f t="shared" si="24"/>
        <v>7636.16199</v>
      </c>
      <c r="AA1333" s="91">
        <f>IFERROR(__xludf.DUMMYFUNCTION("((IFERROR((SUM(FILTER('Fund Investment Data'!$V:$V, 'Fund Investment Data'!$C:$C = $C1333, 'Fund Investment Data'!$A:$A = $A1333 - 1, 'Fund Investment Data'!$B:$B &gt;= 4, 'Fund Investment Data'!$B:$B &lt;= ($B1333 + 5))) / 12) * ($B1333 - 3) * Parameters!$B$4,"&amp;" 0) + IF($B1333 &gt;= 9, IFERROR(SUM(FILTER('Fund Investment Data'!$V:$V, 'Fund Investment Data'!$C:$C = $C1333, 'Fund Investment Data'!$A:$A = $A1333, 'Fund Investment Data'!$B:$B &lt;= 3)) * Parameters!$B$4, 0),0)))"),0.0)</f>
        <v>0</v>
      </c>
      <c r="AB1333" s="32">
        <f>IFERROR(__xludf.DUMMYFUNCTION("IFERROR(((IFERROR(SUM(FILTER('Fund Investment Data'!$V:$V, 'Fund Investment Data'!$C:$C = $C1333, 'Fund Investment Data'!$A:$A = $A1333 - 2, 'Fund Investment Data'!$B:$B &gt;= 4)) * Parameters!$B$4,0) + IFERROR(SUM(FILTER('Fund Investment Data'!$V:$V, 'Fund "&amp;"Investment Data'!$C:$C = $C1333, 'Fund Investment Data'!$A:$A = $A1333 - 1, 'Fund Investment Data'!$B:$B &lt;= 3)) * Parameters!$B$4,0))),0)"),13.32)</f>
        <v>13.32</v>
      </c>
      <c r="AC1333" s="32">
        <f>IFERROR(__xludf.DUMMYFUNCTION("IFERROR(FILTER($AF:$AF,$C:$C = $C1333,$A:$A = $A1333 - 1,$B:$B = 12),0)"),0.0)</f>
        <v>0</v>
      </c>
      <c r="AD1333" s="32">
        <f t="shared" si="23"/>
        <v>7649.48199</v>
      </c>
      <c r="AE1333" s="32">
        <f t="shared" si="2"/>
        <v>7649.48199</v>
      </c>
      <c r="AF1333" s="32"/>
    </row>
    <row r="1334">
      <c r="A1334" s="86">
        <v>2019.0</v>
      </c>
      <c r="B1334" s="87">
        <v>3.0</v>
      </c>
      <c r="C1334" s="88" t="s">
        <v>55</v>
      </c>
      <c r="D1334" s="32"/>
      <c r="E1334" s="32"/>
      <c r="F1334" s="32"/>
      <c r="G1334" s="93">
        <v>-405.06</v>
      </c>
      <c r="H1334" s="93">
        <v>2126.75</v>
      </c>
      <c r="I1334" s="32"/>
      <c r="J1334" s="93">
        <v>16932.05</v>
      </c>
      <c r="K1334" s="32"/>
      <c r="L1334" s="32"/>
      <c r="M1334" s="32"/>
      <c r="N1334" s="32"/>
      <c r="O1334" s="93">
        <v>296185.0</v>
      </c>
      <c r="P1334" s="91">
        <f>IFERROR(__xludf.DUMMYFUNCTION("IFERROR(sum(FILTER($D:$N,$C:$C = $C1334,$A:$A &lt; $A1334,$B:$B = 12)),0) + sum($D1334:$N1334)"),296184.67999999993)</f>
        <v>296184.68</v>
      </c>
      <c r="Q1334" s="92">
        <f t="shared" si="1"/>
        <v>0.3200000001</v>
      </c>
      <c r="R1334" s="91">
        <f t="array" ref="R1334">IFERROR(INDEX('Fund YTD Target Values'!$1:$1000, MATCH($C1334,'Fund YTD Target Values'!$A:$A,0), MATCH($A1334,'Fund YTD Target Values'!$1:$1,0)),0)</f>
        <v>364349.1694</v>
      </c>
      <c r="S1334" s="91">
        <f>IFERROR(__xludf.DUMMYFUNCTION("IFERROR(sum(FILTER('Fund Investment Data'!$V:$V, 'Fund Investment Data'!$C:$C = $C1334, 'Fund Investment Data'!$A:$A &lt; $A1334)),0) + IFERROR(sum(FILTER('Fund Investment Data'!$V:$V, 'Fund Investment Data'!$C:$C = $C1334, 'Fund Investment Data'!$A:$A = $A1"&amp;"334, 'Fund Investment Data'!$B:$B &lt;= $B1334)),0)"),280000.0)</f>
        <v>280000</v>
      </c>
      <c r="T1334" s="93"/>
      <c r="U1334" s="32"/>
      <c r="V1334" s="32">
        <f>IFERROR(__xludf.DUMMYFUNCTION("$D1334 - IFERROR(FILTER($D:$D,$C:$C = $C1334, $A:$A = $A1334, $B:$B = $B1334 - 1),0)"),0.0)</f>
        <v>0</v>
      </c>
      <c r="W1334" s="93">
        <f>IFERROR(__xludf.DUMMYFUNCTION("$E1334 - IFERROR(FILTER($E:$E,$C:$C = $C1334, $A:$A = $A1334, $B:$B = $B1334 - 1),0)"),0.0)</f>
        <v>0</v>
      </c>
      <c r="X1334" s="91">
        <f>IFERROR(__xludf.DUMMYFUNCTION("iFERROR((FILTER('Fund Investment Data'!$Z:$Z, 'Fund Investment Data'!$C:$C = $C1334, 'Fund Investment Data'!$A:$A = $A1334 - 1, 'Fund Investment Data'!$B:$B = 12) + FILTER('Fund Investment Data'!$AB:$AB, 'Fund Investment Data'!$C:$C = $C1334, 'Fund Invest"&amp;"ment Data'!$A:$A = $A1334 - 1, 'Fund Investment Data'!$B:$B = 12)) * (1 + AVERAGE(FILTER('Inflation Data'!$C:$C,'Inflation Data'!$A:$A = ($A1334 - 2)))) * Parameters!$A$4,0)"),6881.036839036868)</f>
        <v>6881.036839</v>
      </c>
      <c r="Y1334" s="91">
        <f>IFERROR(__xludf.DUMMYFUNCTION("IFERROR((IFERROR(FILTER('Fund Investment Data'!$P:$P,'Fund Investment Data'!$C:$C = $C1334,'Fund Investment Data'!$A:$A = ($A1334 - 2), 'Fund Investment Data'!$B:$B = 12),0) - SUM(FILTER('Fund Investment Data'!$V:$V, 'Fund Investment Data'!$C:$C = $C1334,"&amp;" 'Fund Investment Data'!$A:$A = ($A1334 - 2), 'Fund Investment Data'!$B:$B &gt; 3)))  * Parameters!$B$4 * (1 - Parameters!$A$4),0)"),2147.3742599999996)</f>
        <v>2147.37426</v>
      </c>
      <c r="Z1334" s="91">
        <f t="shared" si="24"/>
        <v>9028.411099</v>
      </c>
      <c r="AA1334" s="91">
        <f>IFERROR(__xludf.DUMMYFUNCTION("((IFERROR((SUM(FILTER('Fund Investment Data'!$V:$V, 'Fund Investment Data'!$C:$C = $C1334, 'Fund Investment Data'!$A:$A = $A1334 - 1, 'Fund Investment Data'!$B:$B &gt;= 4, 'Fund Investment Data'!$B:$B &lt;= ($B1334 + 5))) / 12) * ($B1334 - 3) * Parameters!$B$4,"&amp;" 0) + IF($B1334 &gt;= 9, IFERROR(SUM(FILTER('Fund Investment Data'!$V:$V, 'Fund Investment Data'!$C:$C = $C1334, 'Fund Investment Data'!$A:$A = $A1334, 'Fund Investment Data'!$B:$B &lt;= 3)) * Parameters!$B$4, 0),0)))"),0.0)</f>
        <v>0</v>
      </c>
      <c r="AB1334" s="32">
        <f>IFERROR(__xludf.DUMMYFUNCTION("IFERROR(((IFERROR(SUM(FILTER('Fund Investment Data'!$V:$V, 'Fund Investment Data'!$C:$C = $C1334, 'Fund Investment Data'!$A:$A = $A1334 - 2, 'Fund Investment Data'!$B:$B &gt;= 4)) * Parameters!$B$4,0) + IFERROR(SUM(FILTER('Fund Investment Data'!$V:$V, 'Fund "&amp;"Investment Data'!$C:$C = $C1334, 'Fund Investment Data'!$A:$A = $A1334 - 1, 'Fund Investment Data'!$B:$B &lt;= 3)) * Parameters!$B$4,0))),0)"),3150.0)</f>
        <v>3150</v>
      </c>
      <c r="AC1334" s="32">
        <f>IFERROR(__xludf.DUMMYFUNCTION("IFERROR(FILTER($AF:$AF,$C:$C = $C1334,$A:$A = $A1334 - 1,$B:$B = 12),0)"),5000.0)</f>
        <v>5000</v>
      </c>
      <c r="AD1334" s="32">
        <f t="shared" si="23"/>
        <v>17178.4111</v>
      </c>
      <c r="AE1334" s="32">
        <f t="shared" si="2"/>
        <v>17178.4111</v>
      </c>
      <c r="AF1334" s="32"/>
    </row>
    <row r="1335">
      <c r="A1335" s="86">
        <v>2019.0</v>
      </c>
      <c r="B1335" s="87">
        <v>3.0</v>
      </c>
      <c r="C1335" s="88" t="s">
        <v>44</v>
      </c>
      <c r="D1335" s="32"/>
      <c r="E1335" s="32"/>
      <c r="F1335" s="32"/>
      <c r="G1335" s="93">
        <v>-370.48</v>
      </c>
      <c r="H1335" s="93">
        <v>2125.89</v>
      </c>
      <c r="I1335" s="32"/>
      <c r="J1335" s="93">
        <v>20907.67</v>
      </c>
      <c r="K1335" s="32"/>
      <c r="L1335" s="32"/>
      <c r="M1335" s="32"/>
      <c r="N1335" s="32"/>
      <c r="O1335" s="93">
        <v>273381.0</v>
      </c>
      <c r="P1335" s="91">
        <f>IFERROR(__xludf.DUMMYFUNCTION("IFERROR(sum(FILTER($D:$N,$C:$C = $C1335,$A:$A &lt; $A1335,$B:$B = 12)),0) + sum($D1335:$N1335)"),273382.01000000007)</f>
        <v>273382.01</v>
      </c>
      <c r="Q1335" s="92">
        <f t="shared" si="1"/>
        <v>-1.01</v>
      </c>
      <c r="R1335" s="91">
        <f t="array" ref="R1335">IFERROR(INDEX('Fund YTD Target Values'!$1:$1000, MATCH($C1335,'Fund YTD Target Values'!$A:$A,0), MATCH($A1335,'Fund YTD Target Values'!$1:$1,0)),0)</f>
        <v>327413.1867</v>
      </c>
      <c r="S1335" s="91">
        <f>IFERROR(__xludf.DUMMYFUNCTION("IFERROR(sum(FILTER('Fund Investment Data'!$V:$V, 'Fund Investment Data'!$C:$C = $C1335, 'Fund Investment Data'!$A:$A &lt; $A1335)),0) + IFERROR(sum(FILTER('Fund Investment Data'!$V:$V, 'Fund Investment Data'!$C:$C = $C1335, 'Fund Investment Data'!$A:$A = $A1"&amp;"335, 'Fund Investment Data'!$B:$B &lt;= $B1335)),0)"),250000.0)</f>
        <v>250000</v>
      </c>
      <c r="T1335" s="93">
        <v>250000.0</v>
      </c>
      <c r="U1335" s="32">
        <f t="shared" ref="U1335:U1336" si="40">S1335-T1335</f>
        <v>0</v>
      </c>
      <c r="V1335" s="32">
        <f>IFERROR(__xludf.DUMMYFUNCTION("$D1335 - IFERROR(FILTER($D:$D,$C:$C = $C1335, $A:$A = $A1335, $B:$B = $B1335 - 1),0)"),0.0)</f>
        <v>0</v>
      </c>
      <c r="W1335" s="93">
        <f>IFERROR(__xludf.DUMMYFUNCTION("$E1335 - IFERROR(FILTER($E:$E,$C:$C = $C1335, $A:$A = $A1335, $B:$B = $B1335 - 1),0)"),0.0)</f>
        <v>0</v>
      </c>
      <c r="X1335" s="91">
        <f>IFERROR(__xludf.DUMMYFUNCTION("iFERROR((FILTER('Fund Investment Data'!$Z:$Z, 'Fund Investment Data'!$C:$C = $C1335, 'Fund Investment Data'!$A:$A = $A1335 - 1, 'Fund Investment Data'!$B:$B = 12) + FILTER('Fund Investment Data'!$AB:$AB, 'Fund Investment Data'!$C:$C = $C1335, 'Fund Invest"&amp;"ment Data'!$A:$A = $A1335 - 1, 'Fund Investment Data'!$B:$B = 12)) * (1 + AVERAGE(FILTER('Inflation Data'!$C:$C,'Inflation Data'!$A:$A = ($A1335 - 2)))) * Parameters!$A$4,0)"),9221.513356912916)</f>
        <v>9221.513357</v>
      </c>
      <c r="Y1335" s="91">
        <f>IFERROR(__xludf.DUMMYFUNCTION("IFERROR((IFERROR(FILTER('Fund Investment Data'!$P:$P,'Fund Investment Data'!$C:$C = $C1335,'Fund Investment Data'!$A:$A = ($A1335 - 2), 'Fund Investment Data'!$B:$B = 12),0) - SUM(FILTER('Fund Investment Data'!$V:$V, 'Fund Investment Data'!$C:$C = $C1335,"&amp;" 'Fund Investment Data'!$A:$A = ($A1335 - 2), 'Fund Investment Data'!$B:$B &gt; 3)))  * Parameters!$B$4 * (1 - Parameters!$A$4),0)"),3869.5923450000028)</f>
        <v>3869.592345</v>
      </c>
      <c r="Z1335" s="91">
        <f t="shared" si="24"/>
        <v>13091.1057</v>
      </c>
      <c r="AA1335" s="91">
        <f>IFERROR(__xludf.DUMMYFUNCTION("((IFERROR((SUM(FILTER('Fund Investment Data'!$V:$V, 'Fund Investment Data'!$C:$C = $C1335, 'Fund Investment Data'!$A:$A = $A1335 - 1, 'Fund Investment Data'!$B:$B &gt;= 4, 'Fund Investment Data'!$B:$B &lt;= ($B1335 + 5))) / 12) * ($B1335 - 3) * Parameters!$B$4,"&amp;" 0) + IF($B1335 &gt;= 9, IFERROR(SUM(FILTER('Fund Investment Data'!$V:$V, 'Fund Investment Data'!$C:$C = $C1335, 'Fund Investment Data'!$A:$A = $A1335, 'Fund Investment Data'!$B:$B &lt;= 3)) * Parameters!$B$4, 0),0)))"),0.0)</f>
        <v>0</v>
      </c>
      <c r="AB1335" s="32">
        <f>IFERROR(__xludf.DUMMYFUNCTION("IFERROR(((IFERROR(SUM(FILTER('Fund Investment Data'!$V:$V, 'Fund Investment Data'!$C:$C = $C1335, 'Fund Investment Data'!$A:$A = $A1335 - 2, 'Fund Investment Data'!$B:$B &gt;= 4)) * Parameters!$B$4,0) + IFERROR(SUM(FILTER('Fund Investment Data'!$V:$V, 'Fund "&amp;"Investment Data'!$C:$C = $C1335, 'Fund Investment Data'!$A:$A = $A1335 - 1, 'Fund Investment Data'!$B:$B &lt;= 3)) * Parameters!$B$4,0))),0)"),0.0)</f>
        <v>0</v>
      </c>
      <c r="AC1335" s="32">
        <f>IFERROR(__xludf.DUMMYFUNCTION("IFERROR(FILTER($AF:$AF,$C:$C = $C1335,$A:$A = $A1335 - 1,$B:$B = 12),0)"),0.0)</f>
        <v>0</v>
      </c>
      <c r="AD1335" s="32">
        <f t="shared" si="23"/>
        <v>13091.1057</v>
      </c>
      <c r="AE1335" s="32">
        <f t="shared" si="2"/>
        <v>13091.1057</v>
      </c>
      <c r="AF1335" s="32"/>
    </row>
    <row r="1336">
      <c r="A1336" s="86">
        <v>2019.0</v>
      </c>
      <c r="B1336" s="87">
        <v>3.0</v>
      </c>
      <c r="C1336" s="88" t="s">
        <v>45</v>
      </c>
      <c r="D1336" s="32"/>
      <c r="E1336" s="32"/>
      <c r="F1336" s="32"/>
      <c r="G1336" s="93">
        <v>-195.56</v>
      </c>
      <c r="H1336" s="93">
        <v>1122.11</v>
      </c>
      <c r="I1336" s="32"/>
      <c r="J1336" s="93">
        <v>11035.63</v>
      </c>
      <c r="K1336" s="32"/>
      <c r="L1336" s="32"/>
      <c r="M1336" s="32"/>
      <c r="N1336" s="32"/>
      <c r="O1336" s="93">
        <v>144298.0</v>
      </c>
      <c r="P1336" s="91">
        <f>IFERROR(__xludf.DUMMYFUNCTION("IFERROR(sum(FILTER($D:$N,$C:$C = $C1336,$A:$A &lt; $A1336,$B:$B = 12)),0) + sum($D1336:$N1336)"),144298.29999999996)</f>
        <v>144298.3</v>
      </c>
      <c r="Q1336" s="92">
        <f t="shared" si="1"/>
        <v>-0.3</v>
      </c>
      <c r="R1336" s="91">
        <f t="array" ref="R1336">IFERROR(INDEX('Fund YTD Target Values'!$1:$1000, MATCH($C1336,'Fund YTD Target Values'!$A:$A,0), MATCH($A1336,'Fund YTD Target Values'!$1:$1,0)),0)</f>
        <v>123438.8442</v>
      </c>
      <c r="S1336" s="91">
        <f>IFERROR(__xludf.DUMMYFUNCTION("IFERROR(sum(FILTER('Fund Investment Data'!$V:$V, 'Fund Investment Data'!$C:$C = $C1336, 'Fund Investment Data'!$A:$A &lt; $A1336)),0) + IFERROR(sum(FILTER('Fund Investment Data'!$V:$V, 'Fund Investment Data'!$C:$C = $C1336, 'Fund Investment Data'!$A:$A = $A1"&amp;"336, 'Fund Investment Data'!$B:$B &lt;= $B1336)),0)"),100000.0)</f>
        <v>100000</v>
      </c>
      <c r="T1336" s="93">
        <v>100000.0</v>
      </c>
      <c r="U1336" s="32">
        <f t="shared" si="40"/>
        <v>0</v>
      </c>
      <c r="V1336" s="32">
        <f>IFERROR(__xludf.DUMMYFUNCTION("$D1336 - IFERROR(FILTER($D:$D,$C:$C = $C1336, $A:$A = $A1336, $B:$B = $B1336 - 1),0)"),0.0)</f>
        <v>0</v>
      </c>
      <c r="W1336" s="93">
        <f>IFERROR(__xludf.DUMMYFUNCTION("$E1336 - IFERROR(FILTER($E:$E,$C:$C = $C1336, $A:$A = $A1336, $B:$B = $B1336 - 1),0)"),0.0)</f>
        <v>0</v>
      </c>
      <c r="X1336" s="91">
        <f>IFERROR(__xludf.DUMMYFUNCTION("iFERROR((FILTER('Fund Investment Data'!$Z:$Z, 'Fund Investment Data'!$C:$C = $C1336, 'Fund Investment Data'!$A:$A = $A1336 - 1, 'Fund Investment Data'!$B:$B = 12) + FILTER('Fund Investment Data'!$AB:$AB, 'Fund Investment Data'!$C:$C = $C1336, 'Fund Invest"&amp;"ment Data'!$A:$A = $A1336 - 1, 'Fund Investment Data'!$B:$B = 12)) * (1 + AVERAGE(FILTER('Inflation Data'!$C:$C,'Inflation Data'!$A:$A = ($A1336 - 2)))) * Parameters!$A$4,0)"),3807.5303509611413)</f>
        <v>3807.530351</v>
      </c>
      <c r="Y1336" s="91">
        <f>IFERROR(__xludf.DUMMYFUNCTION("IFERROR((IFERROR(FILTER('Fund Investment Data'!$P:$P,'Fund Investment Data'!$C:$C = $C1336,'Fund Investment Data'!$A:$A = ($A1336 - 2), 'Fund Investment Data'!$B:$B = 12),0) - SUM(FILTER('Fund Investment Data'!$V:$V, 'Fund Investment Data'!$C:$C = $C1336,"&amp;" 'Fund Investment Data'!$A:$A = ($A1336 - 2), 'Fund Investment Data'!$B:$B &gt; 3)))  * Parameters!$B$4 * (1 - Parameters!$A$4),0)"),2003.430915)</f>
        <v>2003.430915</v>
      </c>
      <c r="Z1336" s="91">
        <f t="shared" si="24"/>
        <v>5810.961266</v>
      </c>
      <c r="AA1336" s="91">
        <f>IFERROR(__xludf.DUMMYFUNCTION("((IFERROR((SUM(FILTER('Fund Investment Data'!$V:$V, 'Fund Investment Data'!$C:$C = $C1336, 'Fund Investment Data'!$A:$A = $A1336 - 1, 'Fund Investment Data'!$B:$B &gt;= 4, 'Fund Investment Data'!$B:$B &lt;= ($B1336 + 5))) / 12) * ($B1336 - 3) * Parameters!$B$4,"&amp;" 0) + IF($B1336 &gt;= 9, IFERROR(SUM(FILTER('Fund Investment Data'!$V:$V, 'Fund Investment Data'!$C:$C = $C1336, 'Fund Investment Data'!$A:$A = $A1336, 'Fund Investment Data'!$B:$B &lt;= 3)) * Parameters!$B$4, 0),0)))"),0.0)</f>
        <v>0</v>
      </c>
      <c r="AB1336" s="32">
        <f>IFERROR(__xludf.DUMMYFUNCTION("IFERROR(((IFERROR(SUM(FILTER('Fund Investment Data'!$V:$V, 'Fund Investment Data'!$C:$C = $C1336, 'Fund Investment Data'!$A:$A = $A1336 - 2, 'Fund Investment Data'!$B:$B &gt;= 4)) * Parameters!$B$4,0) + IFERROR(SUM(FILTER('Fund Investment Data'!$V:$V, 'Fund "&amp;"Investment Data'!$C:$C = $C1336, 'Fund Investment Data'!$A:$A = $A1336 - 1, 'Fund Investment Data'!$B:$B &lt;= 3)) * Parameters!$B$4,0))),0)"),0.0)</f>
        <v>0</v>
      </c>
      <c r="AC1336" s="32">
        <f>IFERROR(__xludf.DUMMYFUNCTION("IFERROR(FILTER($AF:$AF,$C:$C = $C1336,$A:$A = $A1336 - 1,$B:$B = 12),0)"),0.0)</f>
        <v>0</v>
      </c>
      <c r="AD1336" s="32">
        <f t="shared" si="23"/>
        <v>5810.961266</v>
      </c>
      <c r="AE1336" s="32">
        <f t="shared" si="2"/>
        <v>5810.961266</v>
      </c>
      <c r="AF1336" s="32"/>
    </row>
    <row r="1337">
      <c r="A1337" s="86">
        <v>2019.0</v>
      </c>
      <c r="B1337" s="87">
        <v>3.0</v>
      </c>
      <c r="C1337" s="88" t="s">
        <v>35</v>
      </c>
      <c r="D1337" s="32"/>
      <c r="E1337" s="93">
        <v>-6600.0</v>
      </c>
      <c r="F1337" s="32"/>
      <c r="G1337" s="93">
        <v>-1912.14</v>
      </c>
      <c r="H1337" s="93">
        <v>10972.0</v>
      </c>
      <c r="I1337" s="32"/>
      <c r="J1337" s="93">
        <v>107907.06</v>
      </c>
      <c r="K1337" s="32"/>
      <c r="L1337" s="32"/>
      <c r="M1337" s="32"/>
      <c r="N1337" s="32"/>
      <c r="O1337" s="93">
        <v>1404354.0</v>
      </c>
      <c r="P1337" s="91">
        <f>IFERROR(__xludf.DUMMYFUNCTION("IFERROR(sum(FILTER($D:$N,$C:$C = $C1337,$A:$A &lt; $A1337,$B:$B = 12)),0) + sum($D1337:$N1337)"),1404352.9900000005)</f>
        <v>1404352.99</v>
      </c>
      <c r="Q1337" s="92">
        <f t="shared" si="1"/>
        <v>1.01</v>
      </c>
      <c r="R1337" s="91">
        <f t="array" ref="R1337">IFERROR(INDEX('Fund YTD Target Values'!$1:$1000, MATCH($C1337,'Fund YTD Target Values'!$A:$A,0), MATCH($A1337,'Fund YTD Target Values'!$1:$1,0)),0)</f>
        <v>1607860.761</v>
      </c>
      <c r="S1337" s="91">
        <f>IFERROR(__xludf.DUMMYFUNCTION("IFERROR(sum(FILTER('Fund Investment Data'!$V:$V, 'Fund Investment Data'!$C:$C = $C1337, 'Fund Investment Data'!$A:$A &lt; $A1337)),0) + IFERROR(sum(FILTER('Fund Investment Data'!$V:$V, 'Fund Investment Data'!$C:$C = $C1337, 'Fund Investment Data'!$A:$A = $A1"&amp;"337, 'Fund Investment Data'!$B:$B &lt;= $B1337)),0)"),1086625.0)</f>
        <v>1086625</v>
      </c>
      <c r="T1337" s="93"/>
      <c r="U1337" s="32"/>
      <c r="V1337" s="32">
        <f>IFERROR(__xludf.DUMMYFUNCTION("$D1337 - IFERROR(FILTER($D:$D,$C:$C = $C1337, $A:$A = $A1337, $B:$B = $B1337 - 1),0)"),0.0)</f>
        <v>0</v>
      </c>
      <c r="W1337" s="93">
        <f>IFERROR(__xludf.DUMMYFUNCTION("$E1337 - IFERROR(FILTER($E:$E,$C:$C = $C1337, $A:$A = $A1337, $B:$B = $B1337 - 1),0)"),-6600.0)</f>
        <v>-6600</v>
      </c>
      <c r="X1337" s="91">
        <f>IFERROR(__xludf.DUMMYFUNCTION("iFERROR((FILTER('Fund Investment Data'!$Z:$Z, 'Fund Investment Data'!$C:$C = $C1337, 'Fund Investment Data'!$A:$A = $A1337 - 1, 'Fund Investment Data'!$B:$B = 12) + FILTER('Fund Investment Data'!$AB:$AB, 'Fund Investment Data'!$C:$C = $C1337, 'Fund Invest"&amp;"ment Data'!$A:$A = $A1337 - 1, 'Fund Investment Data'!$B:$B = 12)) * (1 + AVERAGE(FILTER('Inflation Data'!$C:$C,'Inflation Data'!$A:$A = ($A1337 - 2)))) * Parameters!$A$4,0)"),47167.912647909514)</f>
        <v>47167.91265</v>
      </c>
      <c r="Y1337" s="91">
        <f>IFERROR(__xludf.DUMMYFUNCTION("IFERROR((IFERROR(FILTER('Fund Investment Data'!$P:$P,'Fund Investment Data'!$C:$C = $C1337,'Fund Investment Data'!$A:$A = ($A1337 - 2), 'Fund Investment Data'!$B:$B = 12),0) - SUM(FILTER('Fund Investment Data'!$V:$V, 'Fund Investment Data'!$C:$C = $C1337,"&amp;" 'Fund Investment Data'!$A:$A = ($A1337 - 2), 'Fund Investment Data'!$B:$B &gt; 3)))  * Parameters!$B$4 * (1 - Parameters!$A$4),0)"),19792.911060000006)</f>
        <v>19792.91106</v>
      </c>
      <c r="Z1337" s="91">
        <f t="shared" si="24"/>
        <v>66960.82371</v>
      </c>
      <c r="AA1337" s="91">
        <f>IFERROR(__xludf.DUMMYFUNCTION("((IFERROR((SUM(FILTER('Fund Investment Data'!$V:$V, 'Fund Investment Data'!$C:$C = $C1337, 'Fund Investment Data'!$A:$A = $A1337 - 1, 'Fund Investment Data'!$B:$B &gt;= 4, 'Fund Investment Data'!$B:$B &lt;= ($B1337 + 5))) / 12) * ($B1337 - 3) * Parameters!$B$4,"&amp;" 0) + IF($B1337 &gt;= 9, IFERROR(SUM(FILTER('Fund Investment Data'!$V:$V, 'Fund Investment Data'!$C:$C = $C1337, 'Fund Investment Data'!$A:$A = $A1337, 'Fund Investment Data'!$B:$B &lt;= 3)) * Parameters!$B$4, 0),0)))"),0.0)</f>
        <v>0</v>
      </c>
      <c r="AB1337" s="32">
        <f>IFERROR(__xludf.DUMMYFUNCTION("IFERROR(((IFERROR(SUM(FILTER('Fund Investment Data'!$V:$V, 'Fund Investment Data'!$C:$C = $C1337, 'Fund Investment Data'!$A:$A = $A1337 - 2, 'Fund Investment Data'!$B:$B &gt;= 4)) * Parameters!$B$4,0) + IFERROR(SUM(FILTER('Fund Investment Data'!$V:$V, 'Fund "&amp;"Investment Data'!$C:$C = $C1337, 'Fund Investment Data'!$A:$A = $A1337 - 1, 'Fund Investment Data'!$B:$B &lt;= 3)) * Parameters!$B$4,0))),0)"),0.0)</f>
        <v>0</v>
      </c>
      <c r="AC1337" s="32">
        <f>IFERROR(__xludf.DUMMYFUNCTION("IFERROR(FILTER($AF:$AF,$C:$C = $C1337,$A:$A = $A1337 - 1,$B:$B = 12),0)"),0.0)</f>
        <v>0</v>
      </c>
      <c r="AD1337" s="32">
        <f t="shared" si="23"/>
        <v>66960.82371</v>
      </c>
      <c r="AE1337" s="32">
        <f t="shared" si="2"/>
        <v>60360.82371</v>
      </c>
      <c r="AF1337" s="32"/>
    </row>
    <row r="1338">
      <c r="A1338" s="86">
        <v>2019.0</v>
      </c>
      <c r="B1338" s="87">
        <v>3.0</v>
      </c>
      <c r="C1338" s="88" t="s">
        <v>56</v>
      </c>
      <c r="D1338" s="32"/>
      <c r="E1338" s="32"/>
      <c r="F1338" s="32"/>
      <c r="G1338" s="93">
        <v>-1476.83</v>
      </c>
      <c r="H1338" s="93">
        <v>8474.25</v>
      </c>
      <c r="I1338" s="32"/>
      <c r="J1338" s="93">
        <v>83342.19</v>
      </c>
      <c r="K1338" s="32"/>
      <c r="L1338" s="32"/>
      <c r="M1338" s="32"/>
      <c r="N1338" s="32"/>
      <c r="O1338" s="93">
        <v>1089752.0</v>
      </c>
      <c r="P1338" s="91">
        <f>IFERROR(__xludf.DUMMYFUNCTION("IFERROR(sum(FILTER($D:$N,$C:$C = $C1338,$A:$A &lt; $A1338,$B:$B = 12)),0) + sum($D1338:$N1338)"),1089752.3199999998)</f>
        <v>1089752.32</v>
      </c>
      <c r="Q1338" s="92">
        <f t="shared" si="1"/>
        <v>-0.3199999998</v>
      </c>
      <c r="R1338" s="91">
        <f t="array" ref="R1338">IFERROR(INDEX('Fund YTD Target Values'!$1:$1000, MATCH($C1338,'Fund YTD Target Values'!$A:$A,0), MATCH($A1338,'Fund YTD Target Values'!$1:$1,0)),0)</f>
        <v>1079944.217</v>
      </c>
      <c r="S1338" s="91">
        <f>IFERROR(__xludf.DUMMYFUNCTION("IFERROR(sum(FILTER('Fund Investment Data'!$V:$V, 'Fund Investment Data'!$C:$C = $C1338, 'Fund Investment Data'!$A:$A &lt; $A1338)),0) + IFERROR(sum(FILTER('Fund Investment Data'!$V:$V, 'Fund Investment Data'!$C:$C = $C1338, 'Fund Investment Data'!$A:$A = $A1"&amp;"338, 'Fund Investment Data'!$B:$B &lt;= $B1338)),0)"),1000000.0)</f>
        <v>1000000</v>
      </c>
      <c r="T1338" s="93">
        <v>1000000.0</v>
      </c>
      <c r="U1338" s="32">
        <f t="shared" ref="U1338:U1340" si="41">S1338-T1338</f>
        <v>0</v>
      </c>
      <c r="V1338" s="32">
        <f>IFERROR(__xludf.DUMMYFUNCTION("$D1338 - IFERROR(FILTER($D:$D,$C:$C = $C1338, $A:$A = $A1338, $B:$B = $B1338 - 1),0)"),0.0)</f>
        <v>0</v>
      </c>
      <c r="W1338" s="93">
        <f>IFERROR(__xludf.DUMMYFUNCTION("$E1338 - IFERROR(FILTER($E:$E,$C:$C = $C1338, $A:$A = $A1338, $B:$B = $B1338 - 1),0)"),0.0)</f>
        <v>0</v>
      </c>
      <c r="X1338" s="91">
        <f>IFERROR(__xludf.DUMMYFUNCTION("iFERROR((FILTER('Fund Investment Data'!$Z:$Z, 'Fund Investment Data'!$C:$C = $C1338, 'Fund Investment Data'!$A:$A = $A1338 - 1, 'Fund Investment Data'!$B:$B = 12) + FILTER('Fund Investment Data'!$AB:$AB, 'Fund Investment Data'!$C:$C = $C1338, 'Fund Invest"&amp;"ment Data'!$A:$A = $A1338 - 1, 'Fund Investment Data'!$B:$B = 12)) * (1 + AVERAGE(FILTER('Inflation Data'!$C:$C,'Inflation Data'!$A:$A = ($A1338 - 2)))) * Parameters!$A$4,0)"),33311.397321480836)</f>
        <v>33311.39732</v>
      </c>
      <c r="Y1338" s="91">
        <f>IFERROR(__xludf.DUMMYFUNCTION("IFERROR((IFERROR(FILTER('Fund Investment Data'!$P:$P,'Fund Investment Data'!$C:$C = $C1338,'Fund Investment Data'!$A:$A = ($A1338 - 2), 'Fund Investment Data'!$B:$B = 12),0) - SUM(FILTER('Fund Investment Data'!$V:$V, 'Fund Investment Data'!$C:$C = $C1338,"&amp;" 'Fund Investment Data'!$A:$A = ($A1338 - 2), 'Fund Investment Data'!$B:$B &gt; 3)))  * Parameters!$B$4 * (1 - Parameters!$A$4),0)"),15295.200705)</f>
        <v>15295.20071</v>
      </c>
      <c r="Z1338" s="91">
        <f t="shared" si="24"/>
        <v>48606.59803</v>
      </c>
      <c r="AA1338" s="91">
        <f>IFERROR(__xludf.DUMMYFUNCTION("((IFERROR((SUM(FILTER('Fund Investment Data'!$V:$V, 'Fund Investment Data'!$C:$C = $C1338, 'Fund Investment Data'!$A:$A = $A1338 - 1, 'Fund Investment Data'!$B:$B &gt;= 4, 'Fund Investment Data'!$B:$B &lt;= ($B1338 + 5))) / 12) * ($B1338 - 3) * Parameters!$B$4,"&amp;" 0) + IF($B1338 &gt;= 9, IFERROR(SUM(FILTER('Fund Investment Data'!$V:$V, 'Fund Investment Data'!$C:$C = $C1338, 'Fund Investment Data'!$A:$A = $A1338, 'Fund Investment Data'!$B:$B &lt;= 3)) * Parameters!$B$4, 0),0)))"),0.0)</f>
        <v>0</v>
      </c>
      <c r="AB1338" s="32">
        <f>IFERROR(__xludf.DUMMYFUNCTION("IFERROR(((IFERROR(SUM(FILTER('Fund Investment Data'!$V:$V, 'Fund Investment Data'!$C:$C = $C1338, 'Fund Investment Data'!$A:$A = $A1338 - 2, 'Fund Investment Data'!$B:$B &gt;= 4)) * Parameters!$B$4,0) + IFERROR(SUM(FILTER('Fund Investment Data'!$V:$V, 'Fund "&amp;"Investment Data'!$C:$C = $C1338, 'Fund Investment Data'!$A:$A = $A1338 - 1, 'Fund Investment Data'!$B:$B &lt;= 3)) * Parameters!$B$4,0))),0)"),0.0)</f>
        <v>0</v>
      </c>
      <c r="AC1338" s="32">
        <f>IFERROR(__xludf.DUMMYFUNCTION("IFERROR(FILTER($AF:$AF,$C:$C = $C1338,$A:$A = $A1338 - 1,$B:$B = 12),0)"),0.0)</f>
        <v>0</v>
      </c>
      <c r="AD1338" s="32">
        <f t="shared" si="23"/>
        <v>48606.59803</v>
      </c>
      <c r="AE1338" s="32">
        <f t="shared" si="2"/>
        <v>48606.59803</v>
      </c>
      <c r="AF1338" s="32"/>
    </row>
    <row r="1339">
      <c r="A1339" s="86">
        <v>2019.0</v>
      </c>
      <c r="B1339" s="87">
        <v>3.0</v>
      </c>
      <c r="C1339" s="88" t="s">
        <v>57</v>
      </c>
      <c r="D1339" s="32"/>
      <c r="E1339" s="93">
        <v>-2600.0</v>
      </c>
      <c r="F1339" s="32"/>
      <c r="G1339" s="93">
        <v>-2776.11</v>
      </c>
      <c r="H1339" s="93">
        <v>15763.2</v>
      </c>
      <c r="I1339" s="32"/>
      <c r="J1339" s="93">
        <v>153541.43</v>
      </c>
      <c r="K1339" s="32"/>
      <c r="L1339" s="32"/>
      <c r="M1339" s="32"/>
      <c r="N1339" s="32"/>
      <c r="O1339" s="93">
        <v>2044443.0</v>
      </c>
      <c r="P1339" s="91">
        <f>IFERROR(__xludf.DUMMYFUNCTION("IFERROR(sum(FILTER($D:$N,$C:$C = $C1339,$A:$A &lt; $A1339,$B:$B = 12)),0) + sum($D1339:$N1339)"),2044442.99)</f>
        <v>2044442.99</v>
      </c>
      <c r="Q1339" s="92">
        <f t="shared" si="1"/>
        <v>0.01000000001</v>
      </c>
      <c r="R1339" s="91">
        <f t="array" ref="R1339">IFERROR(INDEX('Fund YTD Target Values'!$1:$1000, MATCH($C1339,'Fund YTD Target Values'!$A:$A,0), MATCH($A1339,'Fund YTD Target Values'!$1:$1,0)),0)</f>
        <v>2085975.586</v>
      </c>
      <c r="S1339" s="91">
        <f>IFERROR(__xludf.DUMMYFUNCTION("IFERROR(sum(FILTER('Fund Investment Data'!$V:$V, 'Fund Investment Data'!$C:$C = $C1339, 'Fund Investment Data'!$A:$A &lt; $A1339)),0) + IFERROR(sum(FILTER('Fund Investment Data'!$V:$V, 'Fund Investment Data'!$C:$C = $C1339, 'Fund Investment Data'!$A:$A = $A1"&amp;"339, 'Fund Investment Data'!$B:$B &lt;= $B1339)),0)"),2000000.0)</f>
        <v>2000000</v>
      </c>
      <c r="T1339" s="93">
        <v>2000000.0</v>
      </c>
      <c r="U1339" s="32">
        <f t="shared" si="41"/>
        <v>0</v>
      </c>
      <c r="V1339" s="32">
        <f>IFERROR(__xludf.DUMMYFUNCTION("$D1339 - IFERROR(FILTER($D:$D,$C:$C = $C1339, $A:$A = $A1339, $B:$B = $B1339 - 1),0)"),0.0)</f>
        <v>0</v>
      </c>
      <c r="W1339" s="93">
        <f>IFERROR(__xludf.DUMMYFUNCTION("$E1339 - IFERROR(FILTER($E:$E,$C:$C = $C1339, $A:$A = $A1339, $B:$B = $B1339 - 1),0)"),-2600.0)</f>
        <v>-2600</v>
      </c>
      <c r="X1339" s="91">
        <f>IFERROR(__xludf.DUMMYFUNCTION("iFERROR((FILTER('Fund Investment Data'!$Z:$Z, 'Fund Investment Data'!$C:$C = $C1339, 'Fund Investment Data'!$A:$A = $A1339 - 1, 'Fund Investment Data'!$B:$B = 12) + FILTER('Fund Investment Data'!$AB:$AB, 'Fund Investment Data'!$C:$C = $C1339, 'Fund Invest"&amp;"ment Data'!$A:$A = $A1339 - 1, 'Fund Investment Data'!$B:$B = 12)) * (1 + AVERAGE(FILTER('Inflation Data'!$C:$C,'Inflation Data'!$A:$A = ($A1339 - 2)))) * Parameters!$A$4,0)"),0.0)</f>
        <v>0</v>
      </c>
      <c r="Y1339" s="91">
        <f>IFERROR(__xludf.DUMMYFUNCTION("IFERROR((IFERROR(FILTER('Fund Investment Data'!$P:$P,'Fund Investment Data'!$C:$C = $C1339,'Fund Investment Data'!$A:$A = ($A1339 - 2), 'Fund Investment Data'!$B:$B = 12),0) - SUM(FILTER('Fund Investment Data'!$V:$V, 'Fund Investment Data'!$C:$C = $C1339,"&amp;" 'Fund Investment Data'!$A:$A = ($A1339 - 2), 'Fund Investment Data'!$B:$B &gt; 3)))  * Parameters!$B$4 * (1 - Parameters!$A$4),0)"),474.91420500000106)</f>
        <v>474.914205</v>
      </c>
      <c r="Z1339" s="91">
        <f t="shared" si="24"/>
        <v>474.914205</v>
      </c>
      <c r="AA1339" s="91">
        <f>IFERROR(__xludf.DUMMYFUNCTION("((IFERROR((SUM(FILTER('Fund Investment Data'!$V:$V, 'Fund Investment Data'!$C:$C = $C1339, 'Fund Investment Data'!$A:$A = $A1339 - 1, 'Fund Investment Data'!$B:$B &gt;= 4, 'Fund Investment Data'!$B:$B &lt;= ($B1339 + 5))) / 12) * ($B1339 - 3) * Parameters!$B$4,"&amp;" 0) + IF($B1339 &gt;= 9, IFERROR(SUM(FILTER('Fund Investment Data'!$V:$V, 'Fund Investment Data'!$C:$C = $C1339, 'Fund Investment Data'!$A:$A = $A1339, 'Fund Investment Data'!$B:$B &lt;= 3)) * Parameters!$B$4, 0),0)))"),0.0)</f>
        <v>0</v>
      </c>
      <c r="AB1339" s="32">
        <f>IFERROR(__xludf.DUMMYFUNCTION("IFERROR(((IFERROR(SUM(FILTER('Fund Investment Data'!$V:$V, 'Fund Investment Data'!$C:$C = $C1339, 'Fund Investment Data'!$A:$A = $A1339 - 2, 'Fund Investment Data'!$B:$B &gt;= 4)) * Parameters!$B$4,0) + IFERROR(SUM(FILTER('Fund Investment Data'!$V:$V, 'Fund "&amp;"Investment Data'!$C:$C = $C1339, 'Fund Investment Data'!$A:$A = $A1339 - 1, 'Fund Investment Data'!$B:$B &lt;= 3)) * Parameters!$B$4,0))),0)"),90000.0)</f>
        <v>90000</v>
      </c>
      <c r="AC1339" s="32">
        <f>IFERROR(__xludf.DUMMYFUNCTION("IFERROR(FILTER($AF:$AF,$C:$C = $C1339,$A:$A = $A1339 - 1,$B:$B = 12),0)"),45000.0)</f>
        <v>45000</v>
      </c>
      <c r="AD1339" s="32">
        <f t="shared" si="23"/>
        <v>135474.9142</v>
      </c>
      <c r="AE1339" s="32">
        <f t="shared" si="2"/>
        <v>132874.9142</v>
      </c>
      <c r="AF1339" s="32"/>
    </row>
    <row r="1340">
      <c r="A1340" s="86">
        <v>2019.0</v>
      </c>
      <c r="B1340" s="87">
        <v>3.0</v>
      </c>
      <c r="C1340" s="88" t="s">
        <v>58</v>
      </c>
      <c r="D1340" s="32"/>
      <c r="E1340" s="93">
        <v>-11300.0</v>
      </c>
      <c r="F1340" s="32"/>
      <c r="G1340" s="93">
        <v>-2747.95</v>
      </c>
      <c r="H1340" s="93">
        <v>15682.01</v>
      </c>
      <c r="I1340" s="32"/>
      <c r="J1340" s="93">
        <v>153541.43</v>
      </c>
      <c r="K1340" s="32"/>
      <c r="L1340" s="32"/>
      <c r="M1340" s="32"/>
      <c r="N1340" s="32"/>
      <c r="O1340" s="93">
        <v>2015690.0</v>
      </c>
      <c r="P1340" s="91">
        <f>IFERROR(__xludf.DUMMYFUNCTION("IFERROR(sum(FILTER($D:$N,$C:$C = $C1340,$A:$A &lt; $A1340,$B:$B = 12)),0) + sum($D1340:$N1340)"),2015689.94)</f>
        <v>2015689.94</v>
      </c>
      <c r="Q1340" s="92">
        <f t="shared" si="1"/>
        <v>0.06000000006</v>
      </c>
      <c r="R1340" s="91">
        <f t="array" ref="R1340">IFERROR(INDEX('Fund YTD Target Values'!$1:$1000, MATCH($C1340,'Fund YTD Target Values'!$A:$A,0), MATCH($A1340,'Fund YTD Target Values'!$1:$1,0)),0)</f>
        <v>2085975.586</v>
      </c>
      <c r="S1340" s="91">
        <f>IFERROR(__xludf.DUMMYFUNCTION("IFERROR(sum(FILTER('Fund Investment Data'!$V:$V, 'Fund Investment Data'!$C:$C = $C1340, 'Fund Investment Data'!$A:$A &lt; $A1340)),0) + IFERROR(sum(FILTER('Fund Investment Data'!$V:$V, 'Fund Investment Data'!$C:$C = $C1340, 'Fund Investment Data'!$A:$A = $A1"&amp;"340, 'Fund Investment Data'!$B:$B &lt;= $B1340)),0)"),2000000.0)</f>
        <v>2000000</v>
      </c>
      <c r="T1340" s="93">
        <v>2000000.0</v>
      </c>
      <c r="U1340" s="32">
        <f t="shared" si="41"/>
        <v>0</v>
      </c>
      <c r="V1340" s="32">
        <f>IFERROR(__xludf.DUMMYFUNCTION("$D1340 - IFERROR(FILTER($D:$D,$C:$C = $C1340, $A:$A = $A1340, $B:$B = $B1340 - 1),0)"),0.0)</f>
        <v>0</v>
      </c>
      <c r="W1340" s="93">
        <f>IFERROR(__xludf.DUMMYFUNCTION("$E1340 - IFERROR(FILTER($E:$E,$C:$C = $C1340, $A:$A = $A1340, $B:$B = $B1340 - 1),0)"),-11300.0)</f>
        <v>-11300</v>
      </c>
      <c r="X1340" s="91">
        <f>IFERROR(__xludf.DUMMYFUNCTION("iFERROR((FILTER('Fund Investment Data'!$Z:$Z, 'Fund Investment Data'!$C:$C = $C1340, 'Fund Investment Data'!$A:$A = $A1340 - 1, 'Fund Investment Data'!$B:$B = 12) + FILTER('Fund Investment Data'!$AB:$AB, 'Fund Investment Data'!$C:$C = $C1340, 'Fund Invest"&amp;"ment Data'!$A:$A = $A1340 - 1, 'Fund Investment Data'!$B:$B = 12)) * (1 + AVERAGE(FILTER('Inflation Data'!$C:$C,'Inflation Data'!$A:$A = ($A1340 - 2)))) * Parameters!$A$4,0)"),0.0)</f>
        <v>0</v>
      </c>
      <c r="Y1340" s="91">
        <f>IFERROR(__xludf.DUMMYFUNCTION("IFERROR((IFERROR(FILTER('Fund Investment Data'!$P:$P,'Fund Investment Data'!$C:$C = $C1340,'Fund Investment Data'!$A:$A = ($A1340 - 2), 'Fund Investment Data'!$B:$B = 12),0) - SUM(FILTER('Fund Investment Data'!$V:$V, 'Fund Investment Data'!$C:$C = $C1340,"&amp;" 'Fund Investment Data'!$A:$A = ($A1340 - 2), 'Fund Investment Data'!$B:$B &gt; 3)))  * Parameters!$B$4 * (1 - Parameters!$A$4),0)"),474.91420500000106)</f>
        <v>474.914205</v>
      </c>
      <c r="Z1340" s="91">
        <f t="shared" si="24"/>
        <v>474.914205</v>
      </c>
      <c r="AA1340" s="91">
        <f>IFERROR(__xludf.DUMMYFUNCTION("((IFERROR((SUM(FILTER('Fund Investment Data'!$V:$V, 'Fund Investment Data'!$C:$C = $C1340, 'Fund Investment Data'!$A:$A = $A1340 - 1, 'Fund Investment Data'!$B:$B &gt;= 4, 'Fund Investment Data'!$B:$B &lt;= ($B1340 + 5))) / 12) * ($B1340 - 3) * Parameters!$B$4,"&amp;" 0) + IF($B1340 &gt;= 9, IFERROR(SUM(FILTER('Fund Investment Data'!$V:$V, 'Fund Investment Data'!$C:$C = $C1340, 'Fund Investment Data'!$A:$A = $A1340, 'Fund Investment Data'!$B:$B &lt;= 3)) * Parameters!$B$4, 0),0)))"),0.0)</f>
        <v>0</v>
      </c>
      <c r="AB1340" s="32">
        <f>IFERROR(__xludf.DUMMYFUNCTION("IFERROR(((IFERROR(SUM(FILTER('Fund Investment Data'!$V:$V, 'Fund Investment Data'!$C:$C = $C1340, 'Fund Investment Data'!$A:$A = $A1340 - 2, 'Fund Investment Data'!$B:$B &gt;= 4)) * Parameters!$B$4,0) + IFERROR(SUM(FILTER('Fund Investment Data'!$V:$V, 'Fund "&amp;"Investment Data'!$C:$C = $C1340, 'Fund Investment Data'!$A:$A = $A1340 - 1, 'Fund Investment Data'!$B:$B &lt;= 3)) * Parameters!$B$4,0))),0)"),90000.0)</f>
        <v>90000</v>
      </c>
      <c r="AC1340" s="32">
        <f>IFERROR(__xludf.DUMMYFUNCTION("IFERROR(FILTER($AF:$AF,$C:$C = $C1340,$A:$A = $A1340 - 1,$B:$B = 12),0)"),25000.0)</f>
        <v>25000</v>
      </c>
      <c r="AD1340" s="32">
        <f t="shared" si="23"/>
        <v>115474.9142</v>
      </c>
      <c r="AE1340" s="32">
        <f t="shared" si="2"/>
        <v>104174.9142</v>
      </c>
      <c r="AF1340" s="32"/>
    </row>
    <row r="1341">
      <c r="A1341" s="86">
        <v>2019.0</v>
      </c>
      <c r="B1341" s="87">
        <v>4.0</v>
      </c>
      <c r="C1341" s="88" t="s">
        <v>26</v>
      </c>
      <c r="D1341" s="93">
        <v>7128.0</v>
      </c>
      <c r="E1341" s="32"/>
      <c r="F1341" s="32"/>
      <c r="G1341" s="93">
        <v>-620.49</v>
      </c>
      <c r="H1341" s="93">
        <v>3482.81</v>
      </c>
      <c r="I1341" s="32"/>
      <c r="J1341" s="93">
        <v>32478.16</v>
      </c>
      <c r="K1341" s="32"/>
      <c r="L1341" s="32"/>
      <c r="M1341" s="32"/>
      <c r="N1341" s="32"/>
      <c r="O1341" s="93">
        <v>351297.0</v>
      </c>
      <c r="P1341" s="91">
        <f>IFERROR(__xludf.DUMMYFUNCTION("IFERROR(sum(FILTER($D:$N,$C:$C = $C1341,$A:$A &lt; $A1341,$B:$B = 12)),0) + sum($D1341:$N1341)"),351295.87999999995)</f>
        <v>351295.88</v>
      </c>
      <c r="Q1341" s="92">
        <f t="shared" si="1"/>
        <v>1.12</v>
      </c>
      <c r="R1341" s="91">
        <f t="array" ref="R1341">IFERROR(INDEX('Fund YTD Target Values'!$1:$1000, MATCH($C1341,'Fund YTD Target Values'!$A:$A,0), MATCH($A1341,'Fund YTD Target Values'!$1:$1,0)),0)</f>
        <v>392089.6861</v>
      </c>
      <c r="S1341" s="91">
        <f>IFERROR(__xludf.DUMMYFUNCTION("IFERROR(sum(FILTER('Fund Investment Data'!$V:$V, 'Fund Investment Data'!$C:$C = $C1341, 'Fund Investment Data'!$A:$A &lt; $A1341)),0) + IFERROR(sum(FILTER('Fund Investment Data'!$V:$V, 'Fund Investment Data'!$C:$C = $C1341, 'Fund Investment Data'!$A:$A = $A1"&amp;"341, 'Fund Investment Data'!$B:$B &lt;= $B1341)),0)"),317377.0)</f>
        <v>317377</v>
      </c>
      <c r="T1341" s="32"/>
      <c r="U1341" s="32"/>
      <c r="V1341" s="32">
        <f>IFERROR(__xludf.DUMMYFUNCTION("$D1341 - IFERROR(FILTER($D:$D,$C:$C = $C1341, $A:$A = $A1341, $B:$B = $B1341 - 1),0)"),0.0)</f>
        <v>0</v>
      </c>
      <c r="W1341" s="93">
        <f>IFERROR(__xludf.DUMMYFUNCTION("$E1341 - IFERROR(FILTER($E:$E,$C:$C = $C1341, $A:$A = $A1341, $B:$B = $B1341 - 1),0)"),0.0)</f>
        <v>0</v>
      </c>
      <c r="X1341" s="91">
        <f>IFERROR(__xludf.DUMMYFUNCTION("iFERROR((FILTER('Fund Investment Data'!$Z:$Z, 'Fund Investment Data'!$C:$C = $C1341, 'Fund Investment Data'!$A:$A = $A1341 - 1, 'Fund Investment Data'!$B:$B = 12) + FILTER('Fund Investment Data'!$AB:$AB, 'Fund Investment Data'!$C:$C = $C1341, 'Fund Invest"&amp;"ment Data'!$A:$A = $A1341 - 1, 'Fund Investment Data'!$B:$B = 12)) * (1 + AVERAGE(FILTER('Inflation Data'!$C:$C,'Inflation Data'!$A:$A = ($A1341 - 2)))) * Parameters!$A$4,0)"),11342.657736026731)</f>
        <v>11342.65774</v>
      </c>
      <c r="Y1341" s="91">
        <f>IFERROR(__xludf.DUMMYFUNCTION("IFERROR((IFERROR(FILTER('Fund Investment Data'!$P:$P,'Fund Investment Data'!$C:$C = $C1341,'Fund Investment Data'!$A:$A = ($A1341 - 2), 'Fund Investment Data'!$B:$B = 12),0) - SUM(FILTER('Fund Investment Data'!$V:$V, 'Fund Investment Data'!$C:$C = $C1341,"&amp;" 'Fund Investment Data'!$A:$A = ($A1341 - 2), 'Fund Investment Data'!$B:$B &gt; 3)))  * Parameters!$B$4 * (1 - Parameters!$A$4),0)"),4477.69296)</f>
        <v>4477.69296</v>
      </c>
      <c r="Z1341" s="91">
        <f t="shared" si="24"/>
        <v>15820.3507</v>
      </c>
      <c r="AA1341" s="91">
        <f>IFERROR(__xludf.DUMMYFUNCTION("((IFERROR((SUM(FILTER('Fund Investment Data'!$V:$V, 'Fund Investment Data'!$C:$C = $C1341, 'Fund Investment Data'!$A:$A = $A1341 - 1, 'Fund Investment Data'!$B:$B &gt;= 4, 'Fund Investment Data'!$B:$B &lt;= ($B1341 + 5))) / 12) * ($B1341 - 3) * Parameters!$B$4,"&amp;" 0) + IF($B1341 &gt;= 9, IFERROR(SUM(FILTER('Fund Investment Data'!$V:$V, 'Fund Investment Data'!$C:$C = $C1341, 'Fund Investment Data'!$A:$A = $A1341, 'Fund Investment Data'!$B:$B &lt;= 3)) * Parameters!$B$4, 0),0)))"),0.0)</f>
        <v>0</v>
      </c>
      <c r="AB1341" s="32">
        <f>IFERROR(__xludf.DUMMYFUNCTION("IFERROR(((IFERROR(SUM(FILTER('Fund Investment Data'!$V:$V, 'Fund Investment Data'!$C:$C = $C1341, 'Fund Investment Data'!$A:$A = $A1341 - 2, 'Fund Investment Data'!$B:$B &gt;= 4)) * Parameters!$B$4,0) + IFERROR(SUM(FILTER('Fund Investment Data'!$V:$V, 'Fund "&amp;"Investment Data'!$C:$C = $C1341, 'Fund Investment Data'!$A:$A = $A1341 - 1, 'Fund Investment Data'!$B:$B &lt;= 3)) * Parameters!$B$4,0))),0)"),829.755)</f>
        <v>829.755</v>
      </c>
      <c r="AC1341" s="32">
        <f>IFERROR(__xludf.DUMMYFUNCTION("IFERROR(FILTER($AF:$AF,$C:$C = $C1341,$A:$A = $A1341 - 1,$B:$B = 12),0)"),0.0)</f>
        <v>0</v>
      </c>
      <c r="AD1341" s="32">
        <f t="shared" si="23"/>
        <v>16650.1057</v>
      </c>
      <c r="AE1341" s="32">
        <f t="shared" si="2"/>
        <v>16650.1057</v>
      </c>
      <c r="AF1341" s="32"/>
    </row>
    <row r="1342">
      <c r="A1342" s="86">
        <v>2019.0</v>
      </c>
      <c r="B1342" s="87">
        <v>4.0</v>
      </c>
      <c r="C1342" s="88" t="s">
        <v>27</v>
      </c>
      <c r="D1342" s="32"/>
      <c r="E1342" s="32"/>
      <c r="F1342" s="32"/>
      <c r="G1342" s="93">
        <v>-538.38</v>
      </c>
      <c r="H1342" s="93">
        <v>3039.26</v>
      </c>
      <c r="I1342" s="32"/>
      <c r="J1342" s="93">
        <v>28468.24</v>
      </c>
      <c r="K1342" s="32"/>
      <c r="L1342" s="32"/>
      <c r="M1342" s="32"/>
      <c r="N1342" s="32"/>
      <c r="O1342" s="93">
        <v>301853.0</v>
      </c>
      <c r="P1342" s="91">
        <f>IFERROR(__xludf.DUMMYFUNCTION("IFERROR(sum(FILTER($D:$N,$C:$C = $C1342,$A:$A &lt; $A1342,$B:$B = 12)),0) + sum($D1342:$N1342)"),301852.93000000005)</f>
        <v>301852.93</v>
      </c>
      <c r="Q1342" s="92">
        <f t="shared" si="1"/>
        <v>0.06999999995</v>
      </c>
      <c r="R1342" s="91">
        <f t="array" ref="R1342">IFERROR(INDEX('Fund YTD Target Values'!$1:$1000, MATCH($C1342,'Fund YTD Target Values'!$A:$A,0), MATCH($A1342,'Fund YTD Target Values'!$1:$1,0)),0)</f>
        <v>400423.4941</v>
      </c>
      <c r="S1342" s="91">
        <f>IFERROR(__xludf.DUMMYFUNCTION("IFERROR(sum(FILTER('Fund Investment Data'!$V:$V, 'Fund Investment Data'!$C:$C = $C1342, 'Fund Investment Data'!$A:$A &lt; $A1342)),0) + IFERROR(sum(FILTER('Fund Investment Data'!$V:$V, 'Fund Investment Data'!$C:$C = $C1342, 'Fund Investment Data'!$A:$A = $A1"&amp;"342, 'Fund Investment Data'!$B:$B &lt;= $B1342)),0)"),276213.69999999995)</f>
        <v>276213.7</v>
      </c>
      <c r="T1342" s="32"/>
      <c r="U1342" s="32"/>
      <c r="V1342" s="32">
        <f>IFERROR(__xludf.DUMMYFUNCTION("$D1342 - IFERROR(FILTER($D:$D,$C:$C = $C1342, $A:$A = $A1342, $B:$B = $B1342 - 1),0)"),0.0)</f>
        <v>0</v>
      </c>
      <c r="W1342" s="93">
        <f>IFERROR(__xludf.DUMMYFUNCTION("$E1342 - IFERROR(FILTER($E:$E,$C:$C = $C1342, $A:$A = $A1342, $B:$B = $B1342 - 1),0)"),0.0)</f>
        <v>0</v>
      </c>
      <c r="X1342" s="91">
        <f>IFERROR(__xludf.DUMMYFUNCTION("iFERROR((FILTER('Fund Investment Data'!$Z:$Z, 'Fund Investment Data'!$C:$C = $C1342, 'Fund Investment Data'!$A:$A = $A1342 - 1, 'Fund Investment Data'!$B:$B = 12) + FILTER('Fund Investment Data'!$AB:$AB, 'Fund Investment Data'!$C:$C = $C1342, 'Fund Invest"&amp;"ment Data'!$A:$A = $A1342 - 1, 'Fund Investment Data'!$B:$B = 12)) * (1 + AVERAGE(FILTER('Inflation Data'!$C:$C,'Inflation Data'!$A:$A = ($A1342 - 2)))) * Parameters!$A$4,0)"),9924.42530607715)</f>
        <v>9924.425306</v>
      </c>
      <c r="Y1342" s="91">
        <f>IFERROR(__xludf.DUMMYFUNCTION("IFERROR((IFERROR(FILTER('Fund Investment Data'!$P:$P,'Fund Investment Data'!$C:$C = $C1342,'Fund Investment Data'!$A:$A = ($A1342 - 2), 'Fund Investment Data'!$B:$B = 12),0) - SUM(FILTER('Fund Investment Data'!$V:$V, 'Fund Investment Data'!$C:$C = $C1342,"&amp;" 'Fund Investment Data'!$A:$A = ($A1342 - 2), 'Fund Investment Data'!$B:$B &gt; 3)))  * Parameters!$B$4 * (1 - Parameters!$A$4),0)"),4164.5529000000015)</f>
        <v>4164.5529</v>
      </c>
      <c r="Z1342" s="91">
        <f t="shared" si="24"/>
        <v>14088.97821</v>
      </c>
      <c r="AA1342" s="91">
        <f>IFERROR(__xludf.DUMMYFUNCTION("((IFERROR((SUM(FILTER('Fund Investment Data'!$V:$V, 'Fund Investment Data'!$C:$C = $C1342, 'Fund Investment Data'!$A:$A = $A1342 - 1, 'Fund Investment Data'!$B:$B &gt;= 4, 'Fund Investment Data'!$B:$B &lt;= ($B1342 + 5))) / 12) * ($B1342 - 3) * Parameters!$B$4,"&amp;" 0) + IF($B1342 &gt;= 9, IFERROR(SUM(FILTER('Fund Investment Data'!$V:$V, 'Fund Investment Data'!$C:$C = $C1342, 'Fund Investment Data'!$A:$A = $A1342, 'Fund Investment Data'!$B:$B &lt;= 3)) * Parameters!$B$4, 0),0)))"),0.0)</f>
        <v>0</v>
      </c>
      <c r="AB1342" s="32">
        <f>IFERROR(__xludf.DUMMYFUNCTION("IFERROR(((IFERROR(SUM(FILTER('Fund Investment Data'!$V:$V, 'Fund Investment Data'!$C:$C = $C1342, 'Fund Investment Data'!$A:$A = $A1342 - 2, 'Fund Investment Data'!$B:$B &gt;= 4)) * Parameters!$B$4,0) + IFERROR(SUM(FILTER('Fund Investment Data'!$V:$V, 'Fund "&amp;"Investment Data'!$C:$C = $C1342, 'Fund Investment Data'!$A:$A = $A1342 - 1, 'Fund Investment Data'!$B:$B &lt;= 3)) * Parameters!$B$4,0))),0)"),0.0)</f>
        <v>0</v>
      </c>
      <c r="AC1342" s="32">
        <f>IFERROR(__xludf.DUMMYFUNCTION("IFERROR(FILTER($AF:$AF,$C:$C = $C1342,$A:$A = $A1342 - 1,$B:$B = 12),0)"),0.0)</f>
        <v>0</v>
      </c>
      <c r="AD1342" s="32">
        <f t="shared" si="23"/>
        <v>14088.97821</v>
      </c>
      <c r="AE1342" s="32">
        <f t="shared" si="2"/>
        <v>14088.97821</v>
      </c>
      <c r="AF1342" s="32"/>
    </row>
    <row r="1343">
      <c r="A1343" s="86">
        <v>2019.0</v>
      </c>
      <c r="B1343" s="87">
        <v>4.0</v>
      </c>
      <c r="C1343" s="88" t="s">
        <v>28</v>
      </c>
      <c r="D1343" s="32"/>
      <c r="E1343" s="93">
        <v>-39000.0</v>
      </c>
      <c r="F1343" s="32"/>
      <c r="G1343" s="93">
        <v>-5750.07</v>
      </c>
      <c r="H1343" s="93">
        <v>32520.46</v>
      </c>
      <c r="I1343" s="93">
        <v>2798.19</v>
      </c>
      <c r="J1343" s="93">
        <v>302046.97</v>
      </c>
      <c r="K1343" s="32"/>
      <c r="L1343" s="32"/>
      <c r="M1343" s="32"/>
      <c r="N1343" s="32"/>
      <c r="O1343" s="93">
        <v>3194856.0</v>
      </c>
      <c r="P1343" s="91">
        <f>IFERROR(__xludf.DUMMYFUNCTION("IFERROR(sum(FILTER($D:$N,$C:$C = $C1343,$A:$A &lt; $A1343,$B:$B = 12)),0) + sum($D1343:$N1343)"),3194854.9899999998)</f>
        <v>3194854.99</v>
      </c>
      <c r="Q1343" s="92">
        <f t="shared" si="1"/>
        <v>1.01</v>
      </c>
      <c r="R1343" s="91">
        <f t="array" ref="R1343">IFERROR(INDEX('Fund YTD Target Values'!$1:$1000, MATCH($C1343,'Fund YTD Target Values'!$A:$A,0), MATCH($A1343,'Fund YTD Target Values'!$1:$1,0)),0)</f>
        <v>3910070.897</v>
      </c>
      <c r="S1343" s="91">
        <f>IFERROR(__xludf.DUMMYFUNCTION("IFERROR(sum(FILTER('Fund Investment Data'!$V:$V, 'Fund Investment Data'!$C:$C = $C1343, 'Fund Investment Data'!$A:$A &lt; $A1343)),0) + IFERROR(sum(FILTER('Fund Investment Data'!$V:$V, 'Fund Investment Data'!$C:$C = $C1343, 'Fund Investment Data'!$A:$A = $A1"&amp;"343, 'Fund Investment Data'!$B:$B &lt;= $B1343)),0)"),2960091.25)</f>
        <v>2960091.25</v>
      </c>
      <c r="T1343" s="32"/>
      <c r="U1343" s="32"/>
      <c r="V1343" s="32">
        <f>IFERROR(__xludf.DUMMYFUNCTION("$D1343 - IFERROR(FILTER($D:$D,$C:$C = $C1343, $A:$A = $A1343, $B:$B = $B1343 - 1),0)"),0.0)</f>
        <v>0</v>
      </c>
      <c r="W1343" s="93">
        <f>IFERROR(__xludf.DUMMYFUNCTION("$E1343 - IFERROR(FILTER($E:$E,$C:$C = $C1343, $A:$A = $A1343, $B:$B = $B1343 - 1),0)"),0.0)</f>
        <v>0</v>
      </c>
      <c r="X1343" s="91">
        <f>IFERROR(__xludf.DUMMYFUNCTION("iFERROR((FILTER('Fund Investment Data'!$Z:$Z, 'Fund Investment Data'!$C:$C = $C1343, 'Fund Investment Data'!$A:$A = $A1343 - 1, 'Fund Investment Data'!$B:$B = 12) + FILTER('Fund Investment Data'!$AB:$AB, 'Fund Investment Data'!$C:$C = $C1343, 'Fund Invest"&amp;"ment Data'!$A:$A = $A1343 - 1, 'Fund Investment Data'!$B:$B = 12)) * (1 + AVERAGE(FILTER('Inflation Data'!$C:$C,'Inflation Data'!$A:$A = ($A1343 - 2)))) * Parameters!$A$4,0)"),106462.6298445185)</f>
        <v>106462.6298</v>
      </c>
      <c r="Y1343" s="91">
        <f>IFERROR(__xludf.DUMMYFUNCTION("IFERROR((IFERROR(FILTER('Fund Investment Data'!$P:$P,'Fund Investment Data'!$C:$C = $C1343,'Fund Investment Data'!$A:$A = ($A1343 - 2), 'Fund Investment Data'!$B:$B = 12),0) - SUM(FILTER('Fund Investment Data'!$V:$V, 'Fund Investment Data'!$C:$C = $C1343,"&amp;" 'Fund Investment Data'!$A:$A = ($A1343 - 2), 'Fund Investment Data'!$B:$B &gt; 3)))  * Parameters!$B$4 * (1 - Parameters!$A$4),0)"),44674.55194500001)</f>
        <v>44674.55195</v>
      </c>
      <c r="Z1343" s="91">
        <f t="shared" si="24"/>
        <v>151137.1818</v>
      </c>
      <c r="AA1343" s="91">
        <f>IFERROR(__xludf.DUMMYFUNCTION("((IFERROR((SUM(FILTER('Fund Investment Data'!$V:$V, 'Fund Investment Data'!$C:$C = $C1343, 'Fund Investment Data'!$A:$A = $A1343 - 1, 'Fund Investment Data'!$B:$B &gt;= 4, 'Fund Investment Data'!$B:$B &lt;= ($B1343 + 5))) / 12) * ($B1343 - 3) * Parameters!$B$4,"&amp;" 0) + IF($B1343 &gt;= 9, IFERROR(SUM(FILTER('Fund Investment Data'!$V:$V, 'Fund Investment Data'!$C:$C = $C1343, 'Fund Investment Data'!$A:$A = $A1343, 'Fund Investment Data'!$B:$B &lt;= 3)) * Parameters!$B$4, 0),0)))"),0.0)</f>
        <v>0</v>
      </c>
      <c r="AB1343" s="32">
        <f>IFERROR(__xludf.DUMMYFUNCTION("IFERROR(((IFERROR(SUM(FILTER('Fund Investment Data'!$V:$V, 'Fund Investment Data'!$C:$C = $C1343, 'Fund Investment Data'!$A:$A = $A1343 - 2, 'Fund Investment Data'!$B:$B &gt;= 4)) * Parameters!$B$4,0) + IFERROR(SUM(FILTER('Fund Investment Data'!$V:$V, 'Fund "&amp;"Investment Data'!$C:$C = $C1343, 'Fund Investment Data'!$A:$A = $A1343 - 1, 'Fund Investment Data'!$B:$B &lt;= 3)) * Parameters!$B$4,0))),0)"),0.0)</f>
        <v>0</v>
      </c>
      <c r="AC1343" s="32">
        <f>IFERROR(__xludf.DUMMYFUNCTION("IFERROR(FILTER($AF:$AF,$C:$C = $C1343,$A:$A = $A1343 - 1,$B:$B = 12),0)"),0.0)</f>
        <v>0</v>
      </c>
      <c r="AD1343" s="32">
        <f t="shared" si="23"/>
        <v>151137.1818</v>
      </c>
      <c r="AE1343" s="32">
        <f t="shared" si="2"/>
        <v>112137.1818</v>
      </c>
      <c r="AF1343" s="32"/>
    </row>
    <row r="1344">
      <c r="A1344" s="86">
        <v>2019.0</v>
      </c>
      <c r="B1344" s="87">
        <v>4.0</v>
      </c>
      <c r="C1344" s="88" t="s">
        <v>46</v>
      </c>
      <c r="D1344" s="32"/>
      <c r="E1344" s="93">
        <v>-15000.0</v>
      </c>
      <c r="F1344" s="32"/>
      <c r="G1344" s="93">
        <v>-665.5</v>
      </c>
      <c r="H1344" s="93">
        <v>3753.45</v>
      </c>
      <c r="I1344" s="93">
        <v>4007.36</v>
      </c>
      <c r="J1344" s="93">
        <v>31022.93</v>
      </c>
      <c r="K1344" s="32"/>
      <c r="L1344" s="32"/>
      <c r="M1344" s="32"/>
      <c r="N1344" s="32"/>
      <c r="O1344" s="93">
        <v>357909.0</v>
      </c>
      <c r="P1344" s="91">
        <f>IFERROR(__xludf.DUMMYFUNCTION("IFERROR(sum(FILTER($D:$N,$C:$C = $C1344,$A:$A &lt; $A1344,$B:$B = 12)),0) + sum($D1344:$N1344)"),357909.62)</f>
        <v>357909.62</v>
      </c>
      <c r="Q1344" s="92">
        <f t="shared" si="1"/>
        <v>-0.62</v>
      </c>
      <c r="R1344" s="91">
        <f t="array" ref="R1344">IFERROR(INDEX('Fund YTD Target Values'!$1:$1000, MATCH($C1344,'Fund YTD Target Values'!$A:$A,0), MATCH($A1344,'Fund YTD Target Values'!$1:$1,0)),0)</f>
        <v>464818.8536</v>
      </c>
      <c r="S1344" s="91">
        <f>IFERROR(__xludf.DUMMYFUNCTION("IFERROR(sum(FILTER('Fund Investment Data'!$V:$V, 'Fund Investment Data'!$C:$C = $C1344, 'Fund Investment Data'!$A:$A &lt; $A1344)),0) + IFERROR(sum(FILTER('Fund Investment Data'!$V:$V, 'Fund Investment Data'!$C:$C = $C1344, 'Fund Investment Data'!$A:$A = $A1"&amp;"344, 'Fund Investment Data'!$B:$B &lt;= $B1344)),0)"),366400.0)</f>
        <v>366400</v>
      </c>
      <c r="T1344" s="93">
        <v>366400.0</v>
      </c>
      <c r="U1344" s="32">
        <f>S1344-T1344</f>
        <v>0</v>
      </c>
      <c r="V1344" s="32">
        <f>IFERROR(__xludf.DUMMYFUNCTION("$D1344 - IFERROR(FILTER($D:$D,$C:$C = $C1344, $A:$A = $A1344, $B:$B = $B1344 - 1),0)"),0.0)</f>
        <v>0</v>
      </c>
      <c r="W1344" s="93">
        <f>IFERROR(__xludf.DUMMYFUNCTION("$E1344 - IFERROR(FILTER($E:$E,$C:$C = $C1344, $A:$A = $A1344, $B:$B = $B1344 - 1),0)"),-15000.0)</f>
        <v>-15000</v>
      </c>
      <c r="X1344" s="91">
        <f>IFERROR(__xludf.DUMMYFUNCTION("iFERROR((FILTER('Fund Investment Data'!$Z:$Z, 'Fund Investment Data'!$C:$C = $C1344, 'Fund Investment Data'!$A:$A = $A1344 - 1, 'Fund Investment Data'!$B:$B = 12) + FILTER('Fund Investment Data'!$AB:$AB, 'Fund Investment Data'!$C:$C = $C1344, 'Fund Invest"&amp;"ment Data'!$A:$A = $A1344 - 1, 'Fund Investment Data'!$B:$B = 12)) * (1 + AVERAGE(FILTER('Inflation Data'!$C:$C,'Inflation Data'!$A:$A = ($A1344 - 2)))) * Parameters!$A$4,0)"),12659.715432364716)</f>
        <v>12659.71543</v>
      </c>
      <c r="Y1344" s="91">
        <f>IFERROR(__xludf.DUMMYFUNCTION("IFERROR((IFERROR(FILTER('Fund Investment Data'!$P:$P,'Fund Investment Data'!$C:$C = $C1344,'Fund Investment Data'!$A:$A = ($A1344 - 2), 'Fund Investment Data'!$B:$B = 12),0) - SUM(FILTER('Fund Investment Data'!$V:$V, 'Fund Investment Data'!$C:$C = $C1344,"&amp;" 'Fund Investment Data'!$A:$A = ($A1344 - 2), 'Fund Investment Data'!$B:$B &gt; 3)))  * Parameters!$B$4 * (1 - Parameters!$A$4),0)"),5312.3534100000015)</f>
        <v>5312.35341</v>
      </c>
      <c r="Z1344" s="91">
        <f t="shared" si="24"/>
        <v>17972.06884</v>
      </c>
      <c r="AA1344" s="91">
        <f>IFERROR(__xludf.DUMMYFUNCTION("((IFERROR((SUM(FILTER('Fund Investment Data'!$V:$V, 'Fund Investment Data'!$C:$C = $C1344, 'Fund Investment Data'!$A:$A = $A1344 - 1, 'Fund Investment Data'!$B:$B &gt;= 4, 'Fund Investment Data'!$B:$B &lt;= ($B1344 + 5))) / 12) * ($B1344 - 3) * Parameters!$B$4,"&amp;" 0) + IF($B1344 &gt;= 9, IFERROR(SUM(FILTER('Fund Investment Data'!$V:$V, 'Fund Investment Data'!$C:$C = $C1344, 'Fund Investment Data'!$A:$A = $A1344, 'Fund Investment Data'!$B:$B &lt;= 3)) * Parameters!$B$4, 0),0)))"),0.0)</f>
        <v>0</v>
      </c>
      <c r="AB1344" s="32">
        <f>IFERROR(__xludf.DUMMYFUNCTION("IFERROR(((IFERROR(SUM(FILTER('Fund Investment Data'!$V:$V, 'Fund Investment Data'!$C:$C = $C1344, 'Fund Investment Data'!$A:$A = $A1344 - 2, 'Fund Investment Data'!$B:$B &gt;= 4)) * Parameters!$B$4,0) + IFERROR(SUM(FILTER('Fund Investment Data'!$V:$V, 'Fund "&amp;"Investment Data'!$C:$C = $C1344, 'Fund Investment Data'!$A:$A = $A1344 - 1, 'Fund Investment Data'!$B:$B &lt;= 3)) * Parameters!$B$4,0))),0)"),0.0)</f>
        <v>0</v>
      </c>
      <c r="AC1344" s="32">
        <f>IFERROR(__xludf.DUMMYFUNCTION("IFERROR(FILTER($AF:$AF,$C:$C = $C1344,$A:$A = $A1344 - 1,$B:$B = 12),0)"),0.0)</f>
        <v>0</v>
      </c>
      <c r="AD1344" s="32">
        <f t="shared" si="23"/>
        <v>17972.06884</v>
      </c>
      <c r="AE1344" s="32">
        <f t="shared" si="2"/>
        <v>2972.068842</v>
      </c>
      <c r="AF1344" s="32"/>
    </row>
    <row r="1345">
      <c r="A1345" s="86">
        <v>2019.0</v>
      </c>
      <c r="B1345" s="87">
        <v>4.0</v>
      </c>
      <c r="C1345" s="88" t="s">
        <v>36</v>
      </c>
      <c r="D1345" s="32"/>
      <c r="E1345" s="93">
        <v>-10000.0</v>
      </c>
      <c r="F1345" s="32"/>
      <c r="G1345" s="93">
        <v>-778.29</v>
      </c>
      <c r="H1345" s="93">
        <v>4402.57</v>
      </c>
      <c r="I1345" s="93">
        <v>1929.6</v>
      </c>
      <c r="J1345" s="93">
        <v>39357.85</v>
      </c>
      <c r="K1345" s="32"/>
      <c r="L1345" s="32"/>
      <c r="M1345" s="32"/>
      <c r="N1345" s="32"/>
      <c r="O1345" s="93">
        <v>428843.0</v>
      </c>
      <c r="P1345" s="91">
        <f>IFERROR(__xludf.DUMMYFUNCTION("IFERROR(sum(FILTER($D:$N,$C:$C = $C1345,$A:$A &lt; $A1345,$B:$B = 12)),0) + sum($D1345:$N1345)"),428842.47)</f>
        <v>428842.47</v>
      </c>
      <c r="Q1345" s="92">
        <f t="shared" si="1"/>
        <v>0.53</v>
      </c>
      <c r="R1345" s="91">
        <f t="array" ref="R1345">IFERROR(INDEX('Fund YTD Target Values'!$1:$1000, MATCH($C1345,'Fund YTD Target Values'!$A:$A,0), MATCH($A1345,'Fund YTD Target Values'!$1:$1,0)),0)</f>
        <v>647000.627</v>
      </c>
      <c r="S1345" s="91">
        <f>IFERROR(__xludf.DUMMYFUNCTION("IFERROR(sum(FILTER('Fund Investment Data'!$V:$V, 'Fund Investment Data'!$C:$C = $C1345, 'Fund Investment Data'!$A:$A &lt; $A1345)),0) + IFERROR(sum(FILTER('Fund Investment Data'!$V:$V, 'Fund Investment Data'!$C:$C = $C1345, 'Fund Investment Data'!$A:$A = $A1"&amp;"345, 'Fund Investment Data'!$B:$B &lt;= $B1345)),0)"),429067.24)</f>
        <v>429067.24</v>
      </c>
      <c r="T1345" s="32"/>
      <c r="U1345" s="32"/>
      <c r="V1345" s="32">
        <f>IFERROR(__xludf.DUMMYFUNCTION("$D1345 - IFERROR(FILTER($D:$D,$C:$C = $C1345, $A:$A = $A1345, $B:$B = $B1345 - 1),0)"),0.0)</f>
        <v>0</v>
      </c>
      <c r="W1345" s="93">
        <f>IFERROR(__xludf.DUMMYFUNCTION("$E1345 - IFERROR(FILTER($E:$E,$C:$C = $C1345, $A:$A = $A1345, $B:$B = $B1345 - 1),0)"),0.0)</f>
        <v>0</v>
      </c>
      <c r="X1345" s="91">
        <f>IFERROR(__xludf.DUMMYFUNCTION("iFERROR((FILTER('Fund Investment Data'!$Z:$Z, 'Fund Investment Data'!$C:$C = $C1345, 'Fund Investment Data'!$A:$A = $A1345 - 1, 'Fund Investment Data'!$B:$B = 12) + FILTER('Fund Investment Data'!$AB:$AB, 'Fund Investment Data'!$C:$C = $C1345, 'Fund Invest"&amp;"ment Data'!$A:$A = $A1345 - 1, 'Fund Investment Data'!$B:$B = 12)) * (1 + AVERAGE(FILTER('Inflation Data'!$C:$C,'Inflation Data'!$A:$A = ($A1345 - 2)))) * Parameters!$A$4,0)"),14501.42849435059)</f>
        <v>14501.42849</v>
      </c>
      <c r="Y1345" s="91">
        <f>IFERROR(__xludf.DUMMYFUNCTION("IFERROR((IFERROR(FILTER('Fund Investment Data'!$P:$P,'Fund Investment Data'!$C:$C = $C1345,'Fund Investment Data'!$A:$A = ($A1345 - 2), 'Fund Investment Data'!$B:$B = 12),0) - SUM(FILTER('Fund Investment Data'!$V:$V, 'Fund Investment Data'!$C:$C = $C1345,"&amp;" 'Fund Investment Data'!$A:$A = ($A1345 - 2), 'Fund Investment Data'!$B:$B &gt; 3)))  * Parameters!$B$4 * (1 - Parameters!$A$4),0)"),6085.1852100000015)</f>
        <v>6085.18521</v>
      </c>
      <c r="Z1345" s="91">
        <f t="shared" si="24"/>
        <v>20586.6137</v>
      </c>
      <c r="AA1345" s="91">
        <f>IFERROR(__xludf.DUMMYFUNCTION("((IFERROR((SUM(FILTER('Fund Investment Data'!$V:$V, 'Fund Investment Data'!$C:$C = $C1345, 'Fund Investment Data'!$A:$A = $A1345 - 1, 'Fund Investment Data'!$B:$B &gt;= 4, 'Fund Investment Data'!$B:$B &lt;= ($B1345 + 5))) / 12) * ($B1345 - 3) * Parameters!$B$4,"&amp;" 0) + IF($B1345 &gt;= 9, IFERROR(SUM(FILTER('Fund Investment Data'!$V:$V, 'Fund Investment Data'!$C:$C = $C1345, 'Fund Investment Data'!$A:$A = $A1345, 'Fund Investment Data'!$B:$B &lt;= 3)) * Parameters!$B$4, 0),0)))"),0.0)</f>
        <v>0</v>
      </c>
      <c r="AB1345" s="32">
        <f>IFERROR(__xludf.DUMMYFUNCTION("IFERROR(((IFERROR(SUM(FILTER('Fund Investment Data'!$V:$V, 'Fund Investment Data'!$C:$C = $C1345, 'Fund Investment Data'!$A:$A = $A1345 - 2, 'Fund Investment Data'!$B:$B &gt;= 4)) * Parameters!$B$4,0) + IFERROR(SUM(FILTER('Fund Investment Data'!$V:$V, 'Fund "&amp;"Investment Data'!$C:$C = $C1345, 'Fund Investment Data'!$A:$A = $A1345 - 1, 'Fund Investment Data'!$B:$B &lt;= 3)) * Parameters!$B$4,0))),0)"),0.0)</f>
        <v>0</v>
      </c>
      <c r="AC1345" s="32">
        <f>IFERROR(__xludf.DUMMYFUNCTION("IFERROR(FILTER($AF:$AF,$C:$C = $C1345,$A:$A = $A1345 - 1,$B:$B = 12),0)"),0.0)</f>
        <v>0</v>
      </c>
      <c r="AD1345" s="32">
        <f t="shared" si="23"/>
        <v>20586.6137</v>
      </c>
      <c r="AE1345" s="32">
        <f t="shared" si="2"/>
        <v>10586.6137</v>
      </c>
      <c r="AF1345" s="32"/>
    </row>
    <row r="1346">
      <c r="A1346" s="86">
        <v>2019.0</v>
      </c>
      <c r="B1346" s="87">
        <v>4.0</v>
      </c>
      <c r="C1346" s="88" t="s">
        <v>37</v>
      </c>
      <c r="D1346" s="32"/>
      <c r="E1346" s="93">
        <v>-10000.0</v>
      </c>
      <c r="F1346" s="32"/>
      <c r="G1346" s="93">
        <v>-1432.33</v>
      </c>
      <c r="H1346" s="93">
        <v>8100.88</v>
      </c>
      <c r="I1346" s="93">
        <v>602.44</v>
      </c>
      <c r="J1346" s="93">
        <v>75335.98</v>
      </c>
      <c r="K1346" s="32"/>
      <c r="L1346" s="32"/>
      <c r="M1346" s="32"/>
      <c r="N1346" s="32"/>
      <c r="O1346" s="93">
        <v>795621.0</v>
      </c>
      <c r="P1346" s="91">
        <f>IFERROR(__xludf.DUMMYFUNCTION("IFERROR(sum(FILTER($D:$N,$C:$C = $C1346,$A:$A &lt; $A1346,$B:$B = 12)),0) + sum($D1346:$N1346)"),795621.0799999998)</f>
        <v>795621.08</v>
      </c>
      <c r="Q1346" s="92">
        <f t="shared" si="1"/>
        <v>-0.07999999984</v>
      </c>
      <c r="R1346" s="91">
        <f t="array" ref="R1346">IFERROR(INDEX('Fund YTD Target Values'!$1:$1000, MATCH($C1346,'Fund YTD Target Values'!$A:$A,0), MATCH($A1346,'Fund YTD Target Values'!$1:$1,0)),0)</f>
        <v>860942.6464</v>
      </c>
      <c r="S1346" s="91">
        <f>IFERROR(__xludf.DUMMYFUNCTION("IFERROR(sum(FILTER('Fund Investment Data'!$V:$V, 'Fund Investment Data'!$C:$C = $C1346, 'Fund Investment Data'!$A:$A &lt; $A1346)),0) + IFERROR(sum(FILTER('Fund Investment Data'!$V:$V, 'Fund Investment Data'!$C:$C = $C1346, 'Fund Investment Data'!$A:$A = $A1"&amp;"346, 'Fund Investment Data'!$B:$B &lt;= $B1346)),0)"),758137.86)</f>
        <v>758137.86</v>
      </c>
      <c r="T1346" s="32"/>
      <c r="U1346" s="32"/>
      <c r="V1346" s="32">
        <f>IFERROR(__xludf.DUMMYFUNCTION("$D1346 - IFERROR(FILTER($D:$D,$C:$C = $C1346, $A:$A = $A1346, $B:$B = $B1346 - 1),0)"),0.0)</f>
        <v>0</v>
      </c>
      <c r="W1346" s="93">
        <f>IFERROR(__xludf.DUMMYFUNCTION("$E1346 - IFERROR(FILTER($E:$E,$C:$C = $C1346, $A:$A = $A1346, $B:$B = $B1346 - 1),0)"),0.0)</f>
        <v>0</v>
      </c>
      <c r="X1346" s="91">
        <f>IFERROR(__xludf.DUMMYFUNCTION("iFERROR((FILTER('Fund Investment Data'!$Z:$Z, 'Fund Investment Data'!$C:$C = $C1346, 'Fund Investment Data'!$A:$A = $A1346 - 1, 'Fund Investment Data'!$B:$B = 12) + FILTER('Fund Investment Data'!$AB:$AB, 'Fund Investment Data'!$C:$C = $C1346, 'Fund Invest"&amp;"ment Data'!$A:$A = $A1346 - 1, 'Fund Investment Data'!$B:$B = 12)) * (1 + AVERAGE(FILTER('Inflation Data'!$C:$C,'Inflation Data'!$A:$A = ($A1346 - 2)))) * Parameters!$A$4,0)"),26487.702642294462)</f>
        <v>26487.70264</v>
      </c>
      <c r="Y1346" s="91">
        <f>IFERROR(__xludf.DUMMYFUNCTION("IFERROR((IFERROR(FILTER('Fund Investment Data'!$P:$P,'Fund Investment Data'!$C:$C = $C1346,'Fund Investment Data'!$A:$A = ($A1346 - 2), 'Fund Investment Data'!$B:$B = 12),0) - SUM(FILTER('Fund Investment Data'!$V:$V, 'Fund Investment Data'!$C:$C = $C1346,"&amp;" 'Fund Investment Data'!$A:$A = ($A1346 - 2), 'Fund Investment Data'!$B:$B &gt; 3)))  * Parameters!$B$4 * (1 - Parameters!$A$4),0)"),11114.94474)</f>
        <v>11114.94474</v>
      </c>
      <c r="Z1346" s="91">
        <f t="shared" si="24"/>
        <v>37602.64738</v>
      </c>
      <c r="AA1346" s="91">
        <f>IFERROR(__xludf.DUMMYFUNCTION("((IFERROR((SUM(FILTER('Fund Investment Data'!$V:$V, 'Fund Investment Data'!$C:$C = $C1346, 'Fund Investment Data'!$A:$A = $A1346 - 1, 'Fund Investment Data'!$B:$B &gt;= 4, 'Fund Investment Data'!$B:$B &lt;= ($B1346 + 5))) / 12) * ($B1346 - 3) * Parameters!$B$4,"&amp;" 0) + IF($B1346 &gt;= 9, IFERROR(SUM(FILTER('Fund Investment Data'!$V:$V, 'Fund Investment Data'!$C:$C = $C1346, 'Fund Investment Data'!$A:$A = $A1346, 'Fund Investment Data'!$B:$B &lt;= 3)) * Parameters!$B$4, 0),0)))"),0.0)</f>
        <v>0</v>
      </c>
      <c r="AB1346" s="32">
        <f>IFERROR(__xludf.DUMMYFUNCTION("IFERROR(((IFERROR(SUM(FILTER('Fund Investment Data'!$V:$V, 'Fund Investment Data'!$C:$C = $C1346, 'Fund Investment Data'!$A:$A = $A1346 - 2, 'Fund Investment Data'!$B:$B &gt;= 4)) * Parameters!$B$4,0) + IFERROR(SUM(FILTER('Fund Investment Data'!$V:$V, 'Fund "&amp;"Investment Data'!$C:$C = $C1346, 'Fund Investment Data'!$A:$A = $A1346 - 1, 'Fund Investment Data'!$B:$B &lt;= 3)) * Parameters!$B$4,0))),0)"),0.0)</f>
        <v>0</v>
      </c>
      <c r="AC1346" s="32">
        <f>IFERROR(__xludf.DUMMYFUNCTION("IFERROR(FILTER($AF:$AF,$C:$C = $C1346,$A:$A = $A1346 - 1,$B:$B = 12),0)"),0.0)</f>
        <v>0</v>
      </c>
      <c r="AD1346" s="32">
        <f t="shared" si="23"/>
        <v>37602.64738</v>
      </c>
      <c r="AE1346" s="32">
        <f t="shared" si="2"/>
        <v>27602.64738</v>
      </c>
      <c r="AF1346" s="32"/>
    </row>
    <row r="1347">
      <c r="A1347" s="86">
        <v>2019.0</v>
      </c>
      <c r="B1347" s="87">
        <v>4.0</v>
      </c>
      <c r="C1347" s="88" t="s">
        <v>29</v>
      </c>
      <c r="D1347" s="32"/>
      <c r="E1347" s="32"/>
      <c r="F1347" s="32"/>
      <c r="G1347" s="93">
        <v>-106.69</v>
      </c>
      <c r="H1347" s="93">
        <v>599.88</v>
      </c>
      <c r="I1347" s="32"/>
      <c r="J1347" s="93">
        <v>5563.46</v>
      </c>
      <c r="K1347" s="32"/>
      <c r="L1347" s="32"/>
      <c r="M1347" s="32"/>
      <c r="N1347" s="32"/>
      <c r="O1347" s="93">
        <v>59784.0</v>
      </c>
      <c r="P1347" s="91">
        <f>IFERROR(__xludf.DUMMYFUNCTION("IFERROR(sum(FILTER($D:$N,$C:$C = $C1347,$A:$A &lt; $A1347,$B:$B = 12)),0) + sum($D1347:$N1347)"),59784.03999999992)</f>
        <v>59784.04</v>
      </c>
      <c r="Q1347" s="92">
        <f t="shared" si="1"/>
        <v>-0.03999999992</v>
      </c>
      <c r="R1347" s="91">
        <f t="array" ref="R1347">IFERROR(INDEX('Fund YTD Target Values'!$1:$1000, MATCH($C1347,'Fund YTD Target Values'!$A:$A,0), MATCH($A1347,'Fund YTD Target Values'!$1:$1,0)),0)</f>
        <v>78452.06886</v>
      </c>
      <c r="S1347" s="91">
        <f>IFERROR(__xludf.DUMMYFUNCTION("IFERROR(sum(FILTER('Fund Investment Data'!$V:$V, 'Fund Investment Data'!$C:$C = $C1347, 'Fund Investment Data'!$A:$A &lt; $A1347)),0) + IFERROR(sum(FILTER('Fund Investment Data'!$V:$V, 'Fund Investment Data'!$C:$C = $C1347, 'Fund Investment Data'!$A:$A = $A1"&amp;"347, 'Fund Investment Data'!$B:$B &lt;= $B1347)),0)"),50000.0)</f>
        <v>50000</v>
      </c>
      <c r="T1347" s="93">
        <v>50000.0</v>
      </c>
      <c r="U1347" s="32">
        <f>S1347-T1347</f>
        <v>0</v>
      </c>
      <c r="V1347" s="32">
        <f>IFERROR(__xludf.DUMMYFUNCTION("$D1347 - IFERROR(FILTER($D:$D,$C:$C = $C1347, $A:$A = $A1347, $B:$B = $B1347 - 1),0)"),0.0)</f>
        <v>0</v>
      </c>
      <c r="W1347" s="93">
        <f>IFERROR(__xludf.DUMMYFUNCTION("$E1347 - IFERROR(FILTER($E:$E,$C:$C = $C1347, $A:$A = $A1347, $B:$B = $B1347 - 1),0)"),0.0)</f>
        <v>0</v>
      </c>
      <c r="X1347" s="91">
        <f>IFERROR(__xludf.DUMMYFUNCTION("iFERROR((FILTER('Fund Investment Data'!$Z:$Z, 'Fund Investment Data'!$C:$C = $C1347, 'Fund Investment Data'!$A:$A = $A1347 - 1, 'Fund Investment Data'!$B:$B = 12) + FILTER('Fund Investment Data'!$AB:$AB, 'Fund Investment Data'!$C:$C = $C1347, 'Fund Invest"&amp;"ment Data'!$A:$A = $A1347 - 1, 'Fund Investment Data'!$B:$B = 12)) * (1 + AVERAGE(FILTER('Inflation Data'!$C:$C,'Inflation Data'!$A:$A = ($A1347 - 2)))) * Parameters!$A$4,0)"),1871.1341826828661)</f>
        <v>1871.134183</v>
      </c>
      <c r="Y1347" s="91">
        <f>IFERROR(__xludf.DUMMYFUNCTION("IFERROR((IFERROR(FILTER('Fund Investment Data'!$P:$P,'Fund Investment Data'!$C:$C = $C1347,'Fund Investment Data'!$A:$A = ($A1347 - 2), 'Fund Investment Data'!$B:$B = 12),0) - SUM(FILTER('Fund Investment Data'!$V:$V, 'Fund Investment Data'!$C:$C = $C1347,"&amp;" 'Fund Investment Data'!$A:$A = ($A1347 - 2), 'Fund Investment Data'!$B:$B &gt; 3)))  * Parameters!$B$4 * (1 - Parameters!$A$4),0)"),785.1776849999991)</f>
        <v>785.177685</v>
      </c>
      <c r="Z1347" s="91">
        <f t="shared" si="24"/>
        <v>2656.311868</v>
      </c>
      <c r="AA1347" s="91">
        <f>IFERROR(__xludf.DUMMYFUNCTION("((IFERROR((SUM(FILTER('Fund Investment Data'!$V:$V, 'Fund Investment Data'!$C:$C = $C1347, 'Fund Investment Data'!$A:$A = $A1347 - 1, 'Fund Investment Data'!$B:$B &gt;= 4, 'Fund Investment Data'!$B:$B &lt;= ($B1347 + 5))) / 12) * ($B1347 - 3) * Parameters!$B$4,"&amp;" 0) + IF($B1347 &gt;= 9, IFERROR(SUM(FILTER('Fund Investment Data'!$V:$V, 'Fund Investment Data'!$C:$C = $C1347, 'Fund Investment Data'!$A:$A = $A1347, 'Fund Investment Data'!$B:$B &lt;= 3)) * Parameters!$B$4, 0),0)))"),0.0)</f>
        <v>0</v>
      </c>
      <c r="AB1347" s="32">
        <f>IFERROR(__xludf.DUMMYFUNCTION("IFERROR(((IFERROR(SUM(FILTER('Fund Investment Data'!$V:$V, 'Fund Investment Data'!$C:$C = $C1347, 'Fund Investment Data'!$A:$A = $A1347 - 2, 'Fund Investment Data'!$B:$B &gt;= 4)) * Parameters!$B$4,0) + IFERROR(SUM(FILTER('Fund Investment Data'!$V:$V, 'Fund "&amp;"Investment Data'!$C:$C = $C1347, 'Fund Investment Data'!$A:$A = $A1347 - 1, 'Fund Investment Data'!$B:$B &lt;= 3)) * Parameters!$B$4,0))),0)"),0.0)</f>
        <v>0</v>
      </c>
      <c r="AC1347" s="32">
        <f>IFERROR(__xludf.DUMMYFUNCTION("IFERROR(FILTER($AF:$AF,$C:$C = $C1347,$A:$A = $A1347 - 1,$B:$B = 12),0)"),0.0)</f>
        <v>0</v>
      </c>
      <c r="AD1347" s="32">
        <f t="shared" si="23"/>
        <v>2656.311868</v>
      </c>
      <c r="AE1347" s="32">
        <f t="shared" si="2"/>
        <v>2656.311868</v>
      </c>
      <c r="AF1347" s="32"/>
    </row>
    <row r="1348">
      <c r="A1348" s="86">
        <v>2019.0</v>
      </c>
      <c r="B1348" s="87">
        <v>4.0</v>
      </c>
      <c r="C1348" s="88" t="s">
        <v>38</v>
      </c>
      <c r="D1348" s="32"/>
      <c r="E1348" s="32"/>
      <c r="F1348" s="32"/>
      <c r="G1348" s="93">
        <v>-1434.83</v>
      </c>
      <c r="H1348" s="93">
        <v>8105.5</v>
      </c>
      <c r="I1348" s="32"/>
      <c r="J1348" s="93">
        <v>76054.01</v>
      </c>
      <c r="K1348" s="32"/>
      <c r="L1348" s="32"/>
      <c r="M1348" s="32"/>
      <c r="N1348" s="32"/>
      <c r="O1348" s="93">
        <v>804536.0</v>
      </c>
      <c r="P1348" s="91">
        <f>IFERROR(__xludf.DUMMYFUNCTION("IFERROR(sum(FILTER($D:$N,$C:$C = $C1348,$A:$A &lt; $A1348,$B:$B = 12)),0) + sum($D1348:$N1348)"),804534.8400000001)</f>
        <v>804534.84</v>
      </c>
      <c r="Q1348" s="92">
        <f t="shared" si="1"/>
        <v>1.16</v>
      </c>
      <c r="R1348" s="91">
        <f t="array" ref="R1348">IFERROR(INDEX('Fund YTD Target Values'!$1:$1000, MATCH($C1348,'Fund YTD Target Values'!$A:$A,0), MATCH($A1348,'Fund YTD Target Values'!$1:$1,0)),0)</f>
        <v>715243.4084</v>
      </c>
      <c r="S1348" s="91">
        <f>IFERROR(__xludf.DUMMYFUNCTION("IFERROR(sum(FILTER('Fund Investment Data'!$V:$V, 'Fund Investment Data'!$C:$C = $C1348, 'Fund Investment Data'!$A:$A &lt; $A1348)),0) + IFERROR(sum(FILTER('Fund Investment Data'!$V:$V, 'Fund Investment Data'!$C:$C = $C1348, 'Fund Investment Data'!$A:$A = $A1"&amp;"348, 'Fund Investment Data'!$B:$B &lt;= $B1348)),0)"),556601.64)</f>
        <v>556601.64</v>
      </c>
      <c r="T1348" s="32"/>
      <c r="U1348" s="32"/>
      <c r="V1348" s="32">
        <f>IFERROR(__xludf.DUMMYFUNCTION("$D1348 - IFERROR(FILTER($D:$D,$C:$C = $C1348, $A:$A = $A1348, $B:$B = $B1348 - 1),0)"),0.0)</f>
        <v>0</v>
      </c>
      <c r="W1348" s="93">
        <f>IFERROR(__xludf.DUMMYFUNCTION("$E1348 - IFERROR(FILTER($E:$E,$C:$C = $C1348, $A:$A = $A1348, $B:$B = $B1348 - 1),0)"),0.0)</f>
        <v>0</v>
      </c>
      <c r="X1348" s="91">
        <f>IFERROR(__xludf.DUMMYFUNCTION("iFERROR((FILTER('Fund Investment Data'!$Z:$Z, 'Fund Investment Data'!$C:$C = $C1348, 'Fund Investment Data'!$A:$A = $A1348 - 1, 'Fund Investment Data'!$B:$B = 12) + FILTER('Fund Investment Data'!$AB:$AB, 'Fund Investment Data'!$C:$C = $C1348, 'Fund Invest"&amp;"ment Data'!$A:$A = $A1348 - 1, 'Fund Investment Data'!$B:$B = 12)) * (1 + AVERAGE(FILTER('Inflation Data'!$C:$C,'Inflation Data'!$A:$A = ($A1348 - 2)))) * Parameters!$A$4,0)"),22062.02597097784)</f>
        <v>22062.02597</v>
      </c>
      <c r="Y1348" s="91">
        <f>IFERROR(__xludf.DUMMYFUNCTION("IFERROR((IFERROR(FILTER('Fund Investment Data'!$P:$P,'Fund Investment Data'!$C:$C = $C1348,'Fund Investment Data'!$A:$A = ($A1348 - 2), 'Fund Investment Data'!$B:$B = 12),0) - SUM(FILTER('Fund Investment Data'!$V:$V, 'Fund Investment Data'!$C:$C = $C1348,"&amp;" 'Fund Investment Data'!$A:$A = ($A1348 - 2), 'Fund Investment Data'!$B:$B &gt; 3)))  * Parameters!$B$4 * (1 - Parameters!$A$4),0)"),11008.00989)</f>
        <v>11008.00989</v>
      </c>
      <c r="Z1348" s="91">
        <f t="shared" si="24"/>
        <v>33070.03586</v>
      </c>
      <c r="AA1348" s="91">
        <f>IFERROR(__xludf.DUMMYFUNCTION("((IFERROR((SUM(FILTER('Fund Investment Data'!$V:$V, 'Fund Investment Data'!$C:$C = $C1348, 'Fund Investment Data'!$A:$A = $A1348 - 1, 'Fund Investment Data'!$B:$B &gt;= 4, 'Fund Investment Data'!$B:$B &lt;= ($B1348 + 5))) / 12) * ($B1348 - 3) * Parameters!$B$4,"&amp;" 0) + IF($B1348 &gt;= 9, IFERROR(SUM(FILTER('Fund Investment Data'!$V:$V, 'Fund Investment Data'!$C:$C = $C1348, 'Fund Investment Data'!$A:$A = $A1348, 'Fund Investment Data'!$B:$B &lt;= 3)) * Parameters!$B$4, 0),0)))"),0.0)</f>
        <v>0</v>
      </c>
      <c r="AB1348" s="32">
        <f>IFERROR(__xludf.DUMMYFUNCTION("IFERROR(((IFERROR(SUM(FILTER('Fund Investment Data'!$V:$V, 'Fund Investment Data'!$C:$C = $C1348, 'Fund Investment Data'!$A:$A = $A1348 - 2, 'Fund Investment Data'!$B:$B &gt;= 4)) * Parameters!$B$4,0) + IFERROR(SUM(FILTER('Fund Investment Data'!$V:$V, 'Fund "&amp;"Investment Data'!$C:$C = $C1348, 'Fund Investment Data'!$A:$A = $A1348 - 1, 'Fund Investment Data'!$B:$B &lt;= 3)) * Parameters!$B$4,0))),0)"),0.0)</f>
        <v>0</v>
      </c>
      <c r="AC1348" s="32">
        <f>IFERROR(__xludf.DUMMYFUNCTION("IFERROR(FILTER($AF:$AF,$C:$C = $C1348,$A:$A = $A1348 - 1,$B:$B = 12),0)"),0.0)</f>
        <v>0</v>
      </c>
      <c r="AD1348" s="32">
        <f t="shared" si="23"/>
        <v>33070.03586</v>
      </c>
      <c r="AE1348" s="32">
        <f t="shared" si="2"/>
        <v>33070.03586</v>
      </c>
      <c r="AF1348" s="32"/>
    </row>
    <row r="1349">
      <c r="A1349" s="86">
        <v>2019.0</v>
      </c>
      <c r="B1349" s="87">
        <v>4.0</v>
      </c>
      <c r="C1349" s="88" t="s">
        <v>30</v>
      </c>
      <c r="D1349" s="32"/>
      <c r="E1349" s="32"/>
      <c r="F1349" s="32"/>
      <c r="G1349" s="93">
        <v>-31.85</v>
      </c>
      <c r="H1349" s="93">
        <v>179.07</v>
      </c>
      <c r="I1349" s="32"/>
      <c r="J1349" s="93">
        <v>1660.78</v>
      </c>
      <c r="K1349" s="32"/>
      <c r="L1349" s="32"/>
      <c r="M1349" s="32"/>
      <c r="N1349" s="32"/>
      <c r="O1349" s="93">
        <v>17849.0</v>
      </c>
      <c r="P1349" s="91">
        <f>IFERROR(__xludf.DUMMYFUNCTION("IFERROR(sum(FILTER($D:$N,$C:$C = $C1349,$A:$A &lt; $A1349,$B:$B = 12)),0) + sum($D1349:$N1349)"),17847.079999999987)</f>
        <v>17847.08</v>
      </c>
      <c r="Q1349" s="92">
        <f t="shared" si="1"/>
        <v>1.92</v>
      </c>
      <c r="R1349" s="91">
        <f t="array" ref="R1349">IFERROR(INDEX('Fund YTD Target Values'!$1:$1000, MATCH($C1349,'Fund YTD Target Values'!$A:$A,0), MATCH($A1349,'Fund YTD Target Values'!$1:$1,0)),0)</f>
        <v>18819.48136</v>
      </c>
      <c r="S1349" s="91">
        <f>IFERROR(__xludf.DUMMYFUNCTION("IFERROR(sum(FILTER('Fund Investment Data'!$V:$V, 'Fund Investment Data'!$C:$C = $C1349, 'Fund Investment Data'!$A:$A &lt; $A1349)),0) + IFERROR(sum(FILTER('Fund Investment Data'!$V:$V, 'Fund Investment Data'!$C:$C = $C1349, 'Fund Investment Data'!$A:$A = $A1"&amp;"349, 'Fund Investment Data'!$B:$B &lt;= $B1349)),0)"),11540.75)</f>
        <v>11540.75</v>
      </c>
      <c r="T1349" s="32"/>
      <c r="U1349" s="32"/>
      <c r="V1349" s="32">
        <f>IFERROR(__xludf.DUMMYFUNCTION("$D1349 - IFERROR(FILTER($D:$D,$C:$C = $C1349, $A:$A = $A1349, $B:$B = $B1349 - 1),0)"),0.0)</f>
        <v>0</v>
      </c>
      <c r="W1349" s="93">
        <f>IFERROR(__xludf.DUMMYFUNCTION("$E1349 - IFERROR(FILTER($E:$E,$C:$C = $C1349, $A:$A = $A1349, $B:$B = $B1349 - 1),0)"),0.0)</f>
        <v>0</v>
      </c>
      <c r="X1349" s="91">
        <f>IFERROR(__xludf.DUMMYFUNCTION("iFERROR((FILTER('Fund Investment Data'!$Z:$Z, 'Fund Investment Data'!$C:$C = $C1349, 'Fund Investment Data'!$A:$A = $A1349 - 1, 'Fund Investment Data'!$B:$B = 12) + FILTER('Fund Investment Data'!$AB:$AB, 'Fund Investment Data'!$C:$C = $C1349, 'Fund Invest"&amp;"ment Data'!$A:$A = $A1349 - 1, 'Fund Investment Data'!$B:$B = 12)) * (1 + AVERAGE(FILTER('Inflation Data'!$C:$C,'Inflation Data'!$A:$A = ($A1349 - 2)))) * Parameters!$A$4,0)"),558.7349135648467)</f>
        <v>558.7349136</v>
      </c>
      <c r="Y1349" s="91">
        <f>IFERROR(__xludf.DUMMYFUNCTION("IFERROR((IFERROR(FILTER('Fund Investment Data'!$P:$P,'Fund Investment Data'!$C:$C = $C1349,'Fund Investment Data'!$A:$A = ($A1349 - 2), 'Fund Investment Data'!$B:$B = 12),0) - SUM(FILTER('Fund Investment Data'!$V:$V, 'Fund Investment Data'!$C:$C = $C1349,"&amp;" 'Fund Investment Data'!$A:$A = ($A1349 - 2), 'Fund Investment Data'!$B:$B &gt; 3)))  * Parameters!$B$4 * (1 - Parameters!$A$4),0)"),234.46003499999986)</f>
        <v>234.460035</v>
      </c>
      <c r="Z1349" s="91">
        <f t="shared" si="24"/>
        <v>793.1949486</v>
      </c>
      <c r="AA1349" s="91">
        <f>IFERROR(__xludf.DUMMYFUNCTION("((IFERROR((SUM(FILTER('Fund Investment Data'!$V:$V, 'Fund Investment Data'!$C:$C = $C1349, 'Fund Investment Data'!$A:$A = $A1349 - 1, 'Fund Investment Data'!$B:$B &gt;= 4, 'Fund Investment Data'!$B:$B &lt;= ($B1349 + 5))) / 12) * ($B1349 - 3) * Parameters!$B$4,"&amp;" 0) + IF($B1349 &gt;= 9, IFERROR(SUM(FILTER('Fund Investment Data'!$V:$V, 'Fund Investment Data'!$C:$C = $C1349, 'Fund Investment Data'!$A:$A = $A1349, 'Fund Investment Data'!$B:$B &lt;= 3)) * Parameters!$B$4, 0),0)))"),0.0)</f>
        <v>0</v>
      </c>
      <c r="AB1349" s="32">
        <f>IFERROR(__xludf.DUMMYFUNCTION("IFERROR(((IFERROR(SUM(FILTER('Fund Investment Data'!$V:$V, 'Fund Investment Data'!$C:$C = $C1349, 'Fund Investment Data'!$A:$A = $A1349 - 2, 'Fund Investment Data'!$B:$B &gt;= 4)) * Parameters!$B$4,0) + IFERROR(SUM(FILTER('Fund Investment Data'!$V:$V, 'Fund "&amp;"Investment Data'!$C:$C = $C1349, 'Fund Investment Data'!$A:$A = $A1349 - 1, 'Fund Investment Data'!$B:$B &lt;= 3)) * Parameters!$B$4,0))),0)"),0.0)</f>
        <v>0</v>
      </c>
      <c r="AC1349" s="32">
        <f>IFERROR(__xludf.DUMMYFUNCTION("IFERROR(FILTER($AF:$AF,$C:$C = $C1349,$A:$A = $A1349 - 1,$B:$B = 12),0)"),0.0)</f>
        <v>0</v>
      </c>
      <c r="AD1349" s="32">
        <f t="shared" si="23"/>
        <v>793.1949486</v>
      </c>
      <c r="AE1349" s="32">
        <f t="shared" si="2"/>
        <v>793.1949486</v>
      </c>
      <c r="AF1349" s="32"/>
    </row>
    <row r="1350">
      <c r="A1350" s="86">
        <v>2019.0</v>
      </c>
      <c r="B1350" s="87">
        <v>4.0</v>
      </c>
      <c r="C1350" s="88" t="s">
        <v>47</v>
      </c>
      <c r="D1350" s="32"/>
      <c r="E1350" s="93">
        <v>-45000.0</v>
      </c>
      <c r="F1350" s="32"/>
      <c r="G1350" s="93">
        <v>-2639.36</v>
      </c>
      <c r="H1350" s="93">
        <v>14916.88</v>
      </c>
      <c r="I1350" s="93">
        <v>11122.08</v>
      </c>
      <c r="J1350" s="93">
        <v>128474.31</v>
      </c>
      <c r="K1350" s="32"/>
      <c r="L1350" s="32"/>
      <c r="M1350" s="32"/>
      <c r="N1350" s="32"/>
      <c r="O1350" s="93">
        <v>1438172.0</v>
      </c>
      <c r="P1350" s="91">
        <f>IFERROR(__xludf.DUMMYFUNCTION("IFERROR(sum(FILTER($D:$N,$C:$C = $C1350,$A:$A &lt; $A1350,$B:$B = 12)),0) + sum($D1350:$N1350)"),1438171.8699999996)</f>
        <v>1438171.87</v>
      </c>
      <c r="Q1350" s="92">
        <f t="shared" si="1"/>
        <v>0.1300000004</v>
      </c>
      <c r="R1350" s="91">
        <f t="array" ref="R1350">IFERROR(INDEX('Fund YTD Target Values'!$1:$1000, MATCH($C1350,'Fund YTD Target Values'!$A:$A,0), MATCH($A1350,'Fund YTD Target Values'!$1:$1,0)),0)</f>
        <v>2034942.933</v>
      </c>
      <c r="S1350" s="91">
        <f>IFERROR(__xludf.DUMMYFUNCTION("IFERROR(sum(FILTER('Fund Investment Data'!$V:$V, 'Fund Investment Data'!$C:$C = $C1350, 'Fund Investment Data'!$A:$A &lt; $A1350)),0) + IFERROR(sum(FILTER('Fund Investment Data'!$V:$V, 'Fund Investment Data'!$C:$C = $C1350, 'Fund Investment Data'!$A:$A = $A1"&amp;"350, 'Fund Investment Data'!$B:$B &lt;= $B1350)),0)"),1456367.46)</f>
        <v>1456367.46</v>
      </c>
      <c r="T1350" s="32"/>
      <c r="U1350" s="32"/>
      <c r="V1350" s="32">
        <f>IFERROR(__xludf.DUMMYFUNCTION("$D1350 - IFERROR(FILTER($D:$D,$C:$C = $C1350, $A:$A = $A1350, $B:$B = $B1350 - 1),0)"),0.0)</f>
        <v>0</v>
      </c>
      <c r="W1350" s="93">
        <f>IFERROR(__xludf.DUMMYFUNCTION("$E1350 - IFERROR(FILTER($E:$E,$C:$C = $C1350, $A:$A = $A1350, $B:$B = $B1350 - 1),0)"),-30000.0)</f>
        <v>-30000</v>
      </c>
      <c r="X1350" s="91">
        <f>IFERROR(__xludf.DUMMYFUNCTION("iFERROR((FILTER('Fund Investment Data'!$Z:$Z, 'Fund Investment Data'!$C:$C = $C1350, 'Fund Investment Data'!$A:$A = $A1350 - 1, 'Fund Investment Data'!$B:$B = 12) + FILTER('Fund Investment Data'!$AB:$AB, 'Fund Investment Data'!$C:$C = $C1350, 'Fund Invest"&amp;"ment Data'!$A:$A = $A1350 - 1, 'Fund Investment Data'!$B:$B = 12)) * (1 + AVERAGE(FILTER('Inflation Data'!$C:$C,'Inflation Data'!$A:$A = ($A1350 - 2)))) * Parameters!$A$4,0)"),48393.90516981818)</f>
        <v>48393.90517</v>
      </c>
      <c r="Y1350" s="91">
        <f>IFERROR(__xludf.DUMMYFUNCTION("IFERROR((IFERROR(FILTER('Fund Investment Data'!$P:$P,'Fund Investment Data'!$C:$C = $C1350,'Fund Investment Data'!$A:$A = ($A1350 - 2), 'Fund Investment Data'!$B:$B = 12),0) - SUM(FILTER('Fund Investment Data'!$V:$V, 'Fund Investment Data'!$C:$C = $C1350,"&amp;" 'Fund Investment Data'!$A:$A = ($A1350 - 2), 'Fund Investment Data'!$B:$B &gt; 3)))  * Parameters!$B$4 * (1 - Parameters!$A$4),0)"),20307.37014)</f>
        <v>20307.37014</v>
      </c>
      <c r="Z1350" s="91">
        <f t="shared" si="24"/>
        <v>68701.27531</v>
      </c>
      <c r="AA1350" s="91">
        <f>IFERROR(__xludf.DUMMYFUNCTION("((IFERROR((SUM(FILTER('Fund Investment Data'!$V:$V, 'Fund Investment Data'!$C:$C = $C1350, 'Fund Investment Data'!$A:$A = $A1350 - 1, 'Fund Investment Data'!$B:$B &gt;= 4, 'Fund Investment Data'!$B:$B &lt;= ($B1350 + 5))) / 12) * ($B1350 - 3) * Parameters!$B$4,"&amp;" 0) + IF($B1350 &gt;= 9, IFERROR(SUM(FILTER('Fund Investment Data'!$V:$V, 'Fund Investment Data'!$C:$C = $C1350, 'Fund Investment Data'!$A:$A = $A1350, 'Fund Investment Data'!$B:$B &lt;= 3)) * Parameters!$B$4, 0),0)))"),0.0)</f>
        <v>0</v>
      </c>
      <c r="AB1350" s="32">
        <f>IFERROR(__xludf.DUMMYFUNCTION("IFERROR(((IFERROR(SUM(FILTER('Fund Investment Data'!$V:$V, 'Fund Investment Data'!$C:$C = $C1350, 'Fund Investment Data'!$A:$A = $A1350 - 2, 'Fund Investment Data'!$B:$B &gt;= 4)) * Parameters!$B$4,0) + IFERROR(SUM(FILTER('Fund Investment Data'!$V:$V, 'Fund "&amp;"Investment Data'!$C:$C = $C1350, 'Fund Investment Data'!$A:$A = $A1350 - 1, 'Fund Investment Data'!$B:$B &lt;= 3)) * Parameters!$B$4,0))),0)"),450.0)</f>
        <v>450</v>
      </c>
      <c r="AC1350" s="32">
        <f>IFERROR(__xludf.DUMMYFUNCTION("IFERROR(FILTER($AF:$AF,$C:$C = $C1350,$A:$A = $A1350 - 1,$B:$B = 12),0)"),0.0)</f>
        <v>0</v>
      </c>
      <c r="AD1350" s="32">
        <f t="shared" si="23"/>
        <v>69151.27531</v>
      </c>
      <c r="AE1350" s="32">
        <f t="shared" si="2"/>
        <v>24151.27531</v>
      </c>
      <c r="AF1350" s="32"/>
    </row>
    <row r="1351">
      <c r="A1351" s="86">
        <v>2019.0</v>
      </c>
      <c r="B1351" s="87">
        <v>4.0</v>
      </c>
      <c r="C1351" s="88" t="s">
        <v>31</v>
      </c>
      <c r="D1351" s="32"/>
      <c r="E1351" s="32"/>
      <c r="F1351" s="32"/>
      <c r="G1351" s="93">
        <v>-329.13</v>
      </c>
      <c r="H1351" s="93">
        <v>1857.74</v>
      </c>
      <c r="I1351" s="32"/>
      <c r="J1351" s="93">
        <v>17396.62</v>
      </c>
      <c r="K1351" s="32"/>
      <c r="L1351" s="32"/>
      <c r="M1351" s="32"/>
      <c r="N1351" s="32"/>
      <c r="O1351" s="93">
        <v>184523.0</v>
      </c>
      <c r="P1351" s="91">
        <f>IFERROR(__xludf.DUMMYFUNCTION("IFERROR(sum(FILTER($D:$N,$C:$C = $C1351,$A:$A &lt; $A1351,$B:$B = 12)),0) + sum($D1351:$N1351)"),184522.95)</f>
        <v>184522.95</v>
      </c>
      <c r="Q1351" s="92">
        <f t="shared" si="1"/>
        <v>0.04999999999</v>
      </c>
      <c r="R1351" s="91">
        <f t="array" ref="R1351">IFERROR(INDEX('Fund YTD Target Values'!$1:$1000, MATCH($C1351,'Fund YTD Target Values'!$A:$A,0), MATCH($A1351,'Fund YTD Target Values'!$1:$1,0)),0)</f>
        <v>214470.0821</v>
      </c>
      <c r="S1351" s="91">
        <f>IFERROR(__xludf.DUMMYFUNCTION("IFERROR(sum(FILTER('Fund Investment Data'!$V:$V, 'Fund Investment Data'!$C:$C = $C1351, 'Fund Investment Data'!$A:$A &lt; $A1351)),0) + IFERROR(sum(FILTER('Fund Investment Data'!$V:$V, 'Fund Investment Data'!$C:$C = $C1351, 'Fund Investment Data'!$A:$A = $A1"&amp;"351, 'Fund Investment Data'!$B:$B &lt;= $B1351)),0)"),158100.0)</f>
        <v>158100</v>
      </c>
      <c r="T1351" s="32"/>
      <c r="U1351" s="32"/>
      <c r="V1351" s="32">
        <f>IFERROR(__xludf.DUMMYFUNCTION("$D1351 - IFERROR(FILTER($D:$D,$C:$C = $C1351, $A:$A = $A1351, $B:$B = $B1351 - 1),0)"),0.0)</f>
        <v>0</v>
      </c>
      <c r="W1351" s="93">
        <f>IFERROR(__xludf.DUMMYFUNCTION("$E1351 - IFERROR(FILTER($E:$E,$C:$C = $C1351, $A:$A = $A1351, $B:$B = $B1351 - 1),0)"),0.0)</f>
        <v>0</v>
      </c>
      <c r="X1351" s="91">
        <f>IFERROR(__xludf.DUMMYFUNCTION("iFERROR((FILTER('Fund Investment Data'!$Z:$Z, 'Fund Investment Data'!$C:$C = $C1351, 'Fund Investment Data'!$A:$A = $A1351 - 1, 'Fund Investment Data'!$B:$B = 12) + FILTER('Fund Investment Data'!$AB:$AB, 'Fund Investment Data'!$C:$C = $C1351, 'Fund Invest"&amp;"ment Data'!$A:$A = $A1351 - 1, 'Fund Investment Data'!$B:$B = 12)) * (1 + AVERAGE(FILTER('Inflation Data'!$C:$C,'Inflation Data'!$A:$A = ($A1351 - 2)))) * Parameters!$A$4,0)"),6185.263738478203)</f>
        <v>6185.263738</v>
      </c>
      <c r="Y1351" s="91">
        <f>IFERROR(__xludf.DUMMYFUNCTION("IFERROR((IFERROR(FILTER('Fund Investment Data'!$P:$P,'Fund Investment Data'!$C:$C = $C1351,'Fund Investment Data'!$A:$A = ($A1351 - 2), 'Fund Investment Data'!$B:$B = 12),0) - SUM(FILTER('Fund Investment Data'!$V:$V, 'Fund Investment Data'!$C:$C = $C1351,"&amp;" 'Fund Investment Data'!$A:$A = ($A1351 - 2), 'Fund Investment Data'!$B:$B &gt; 3)))  * Parameters!$B$4 * (1 - Parameters!$A$4),0)"),2555.001225000001)</f>
        <v>2555.001225</v>
      </c>
      <c r="Z1351" s="91">
        <f t="shared" si="24"/>
        <v>8740.264963</v>
      </c>
      <c r="AA1351" s="91">
        <f>IFERROR(__xludf.DUMMYFUNCTION("((IFERROR((SUM(FILTER('Fund Investment Data'!$V:$V, 'Fund Investment Data'!$C:$C = $C1351, 'Fund Investment Data'!$A:$A = $A1351 - 1, 'Fund Investment Data'!$B:$B &gt;= 4, 'Fund Investment Data'!$B:$B &lt;= ($B1351 + 5))) / 12) * ($B1351 - 3) * Parameters!$B$4,"&amp;" 0) + IF($B1351 &gt;= 9, IFERROR(SUM(FILTER('Fund Investment Data'!$V:$V, 'Fund Investment Data'!$C:$C = $C1351, 'Fund Investment Data'!$A:$A = $A1351, 'Fund Investment Data'!$B:$B &lt;= 3)) * Parameters!$B$4, 0),0)))"),0.0)</f>
        <v>0</v>
      </c>
      <c r="AB1351" s="32">
        <f>IFERROR(__xludf.DUMMYFUNCTION("IFERROR(((IFERROR(SUM(FILTER('Fund Investment Data'!$V:$V, 'Fund Investment Data'!$C:$C = $C1351, 'Fund Investment Data'!$A:$A = $A1351 - 2, 'Fund Investment Data'!$B:$B &gt;= 4)) * Parameters!$B$4,0) + IFERROR(SUM(FILTER('Fund Investment Data'!$V:$V, 'Fund "&amp;"Investment Data'!$C:$C = $C1351, 'Fund Investment Data'!$A:$A = $A1351 - 1, 'Fund Investment Data'!$B:$B &lt;= 3)) * Parameters!$B$4,0))),0)"),0.0)</f>
        <v>0</v>
      </c>
      <c r="AC1351" s="32">
        <f>IFERROR(__xludf.DUMMYFUNCTION("IFERROR(FILTER($AF:$AF,$C:$C = $C1351,$A:$A = $A1351 - 1,$B:$B = 12),0)"),0.0)</f>
        <v>0</v>
      </c>
      <c r="AD1351" s="32">
        <f t="shared" si="23"/>
        <v>8740.264963</v>
      </c>
      <c r="AE1351" s="32">
        <f t="shared" si="2"/>
        <v>8740.264963</v>
      </c>
      <c r="AF1351" s="32"/>
    </row>
    <row r="1352">
      <c r="A1352" s="86">
        <v>2019.0</v>
      </c>
      <c r="B1352" s="87">
        <v>4.0</v>
      </c>
      <c r="C1352" s="88" t="s">
        <v>39</v>
      </c>
      <c r="D1352" s="32"/>
      <c r="E1352" s="32"/>
      <c r="F1352" s="32"/>
      <c r="G1352" s="93">
        <v>-339.55</v>
      </c>
      <c r="H1352" s="93">
        <v>1917.82</v>
      </c>
      <c r="I1352" s="32"/>
      <c r="J1352" s="93">
        <v>17987.43</v>
      </c>
      <c r="K1352" s="32"/>
      <c r="L1352" s="32"/>
      <c r="M1352" s="32"/>
      <c r="N1352" s="32"/>
      <c r="O1352" s="93">
        <v>190386.0</v>
      </c>
      <c r="P1352" s="91">
        <f>IFERROR(__xludf.DUMMYFUNCTION("IFERROR(sum(FILTER($D:$N,$C:$C = $C1352,$A:$A &lt; $A1352,$B:$B = 12)),0) + sum($D1352:$N1352)"),190385.96000000005)</f>
        <v>190385.96</v>
      </c>
      <c r="Q1352" s="92">
        <f t="shared" si="1"/>
        <v>0.03999999995</v>
      </c>
      <c r="R1352" s="91">
        <f t="array" ref="R1352">IFERROR(INDEX('Fund YTD Target Values'!$1:$1000, MATCH($C1352,'Fund YTD Target Values'!$A:$A,0), MATCH($A1352,'Fund YTD Target Values'!$1:$1,0)),0)</f>
        <v>203233.3066</v>
      </c>
      <c r="S1352" s="91">
        <f>IFERROR(__xludf.DUMMYFUNCTION("IFERROR(sum(FILTER('Fund Investment Data'!$V:$V, 'Fund Investment Data'!$C:$C = $C1352, 'Fund Investment Data'!$A:$A &lt; $A1352)),0) + IFERROR(sum(FILTER('Fund Investment Data'!$V:$V, 'Fund Investment Data'!$C:$C = $C1352, 'Fund Investment Data'!$A:$A = $A1"&amp;"352, 'Fund Investment Data'!$B:$B &lt;= $B1352)),0)"),170000.0)</f>
        <v>170000</v>
      </c>
      <c r="T1352" s="32"/>
      <c r="U1352" s="32"/>
      <c r="V1352" s="32">
        <f>IFERROR(__xludf.DUMMYFUNCTION("$D1352 - IFERROR(FILTER($D:$D,$C:$C = $C1352, $A:$A = $A1352, $B:$B = $B1352 - 1),0)"),0.0)</f>
        <v>0</v>
      </c>
      <c r="W1352" s="93">
        <f>IFERROR(__xludf.DUMMYFUNCTION("$E1352 - IFERROR(FILTER($E:$E,$C:$C = $C1352, $A:$A = $A1352, $B:$B = $B1352 - 1),0)"),0.0)</f>
        <v>0</v>
      </c>
      <c r="X1352" s="91">
        <f>IFERROR(__xludf.DUMMYFUNCTION("iFERROR((FILTER('Fund Investment Data'!$Z:$Z, 'Fund Investment Data'!$C:$C = $C1352, 'Fund Investment Data'!$A:$A = $A1352 - 1, 'Fund Investment Data'!$B:$B = 12) + FILTER('Fund Investment Data'!$AB:$AB, 'Fund Investment Data'!$C:$C = $C1352, 'Fund Invest"&amp;"ment Data'!$A:$A = $A1352 - 1, 'Fund Investment Data'!$B:$B = 12)) * (1 + AVERAGE(FILTER('Inflation Data'!$C:$C,'Inflation Data'!$A:$A = ($A1352 - 2)))) * Parameters!$A$4,0)"),5335.081378121052)</f>
        <v>5335.081378</v>
      </c>
      <c r="Y1352" s="91">
        <f>IFERROR(__xludf.DUMMYFUNCTION("IFERROR((IFERROR(FILTER('Fund Investment Data'!$P:$P,'Fund Investment Data'!$C:$C = $C1352,'Fund Investment Data'!$A:$A = ($A1352 - 2), 'Fund Investment Data'!$B:$B = 12),0) - SUM(FILTER('Fund Investment Data'!$V:$V, 'Fund Investment Data'!$C:$C = $C1352,"&amp;" 'Fund Investment Data'!$A:$A = ($A1352 - 2), 'Fund Investment Data'!$B:$B &gt; 3)))  * Parameters!$B$4 * (1 - Parameters!$A$4),0)"),2223.764010000001)</f>
        <v>2223.76401</v>
      </c>
      <c r="Z1352" s="91">
        <f t="shared" si="24"/>
        <v>7558.845388</v>
      </c>
      <c r="AA1352" s="91">
        <f>IFERROR(__xludf.DUMMYFUNCTION("((IFERROR((SUM(FILTER('Fund Investment Data'!$V:$V, 'Fund Investment Data'!$C:$C = $C1352, 'Fund Investment Data'!$A:$A = $A1352 - 1, 'Fund Investment Data'!$B:$B &gt;= 4, 'Fund Investment Data'!$B:$B &lt;= ($B1352 + 5))) / 12) * ($B1352 - 3) * Parameters!$B$4,"&amp;" 0) + IF($B1352 &gt;= 9, IFERROR(SUM(FILTER('Fund Investment Data'!$V:$V, 'Fund Investment Data'!$C:$C = $C1352, 'Fund Investment Data'!$A:$A = $A1352, 'Fund Investment Data'!$B:$B &lt;= 3)) * Parameters!$B$4, 0),0)))"),56.25)</f>
        <v>56.25</v>
      </c>
      <c r="AB1352" s="32">
        <f>IFERROR(__xludf.DUMMYFUNCTION("IFERROR(((IFERROR(SUM(FILTER('Fund Investment Data'!$V:$V, 'Fund Investment Data'!$C:$C = $C1352, 'Fund Investment Data'!$A:$A = $A1352 - 2, 'Fund Investment Data'!$B:$B &gt;= 4)) * Parameters!$B$4,0) + IFERROR(SUM(FILTER('Fund Investment Data'!$V:$V, 'Fund "&amp;"Investment Data'!$C:$C = $C1352, 'Fund Investment Data'!$A:$A = $A1352 - 1, 'Fund Investment Data'!$B:$B &lt;= 3)) * Parameters!$B$4,0))),0)"),675.0)</f>
        <v>675</v>
      </c>
      <c r="AC1352" s="32">
        <f>IFERROR(__xludf.DUMMYFUNCTION("IFERROR(FILTER($AF:$AF,$C:$C = $C1352,$A:$A = $A1352 - 1,$B:$B = 12),0)"),0.0)</f>
        <v>0</v>
      </c>
      <c r="AD1352" s="32">
        <f t="shared" si="23"/>
        <v>8290.095388</v>
      </c>
      <c r="AE1352" s="32">
        <f t="shared" si="2"/>
        <v>8290.095388</v>
      </c>
      <c r="AF1352" s="32"/>
    </row>
    <row r="1353">
      <c r="A1353" s="86">
        <v>2019.0</v>
      </c>
      <c r="B1353" s="87">
        <v>4.0</v>
      </c>
      <c r="C1353" s="88" t="s">
        <v>50</v>
      </c>
      <c r="D1353" s="32"/>
      <c r="E1353" s="32"/>
      <c r="F1353" s="32"/>
      <c r="G1353" s="93">
        <v>-376.73</v>
      </c>
      <c r="H1353" s="93">
        <v>2126.75</v>
      </c>
      <c r="I1353" s="32"/>
      <c r="J1353" s="93">
        <v>19921.03</v>
      </c>
      <c r="K1353" s="32"/>
      <c r="L1353" s="32"/>
      <c r="M1353" s="32"/>
      <c r="N1353" s="32"/>
      <c r="O1353" s="93">
        <v>211225.0</v>
      </c>
      <c r="P1353" s="91">
        <f>IFERROR(__xludf.DUMMYFUNCTION("IFERROR(sum(FILTER($D:$N,$C:$C = $C1353,$A:$A &lt; $A1353,$B:$B = 12)),0) + sum($D1353:$N1353)"),211224.88)</f>
        <v>211224.88</v>
      </c>
      <c r="Q1353" s="92">
        <f t="shared" si="1"/>
        <v>0.12</v>
      </c>
      <c r="R1353" s="91">
        <f t="array" ref="R1353">IFERROR(INDEX('Fund YTD Target Values'!$1:$1000, MATCH($C1353,'Fund YTD Target Values'!$A:$A,0), MATCH($A1353,'Fund YTD Target Values'!$1:$1,0)),0)</f>
        <v>221607.3864</v>
      </c>
      <c r="S1353" s="91">
        <f>IFERROR(__xludf.DUMMYFUNCTION("IFERROR(sum(FILTER('Fund Investment Data'!$V:$V, 'Fund Investment Data'!$C:$C = $C1353, 'Fund Investment Data'!$A:$A &lt; $A1353)),0) + IFERROR(sum(FILTER('Fund Investment Data'!$V:$V, 'Fund Investment Data'!$C:$C = $C1353, 'Fund Investment Data'!$A:$A = $A1"&amp;"353, 'Fund Investment Data'!$B:$B &lt;= $B1353)),0)"),185189.56)</f>
        <v>185189.56</v>
      </c>
      <c r="T1353" s="93"/>
      <c r="U1353" s="32"/>
      <c r="V1353" s="32">
        <f>IFERROR(__xludf.DUMMYFUNCTION("$D1353 - IFERROR(FILTER($D:$D,$C:$C = $C1353, $A:$A = $A1353, $B:$B = $B1353 - 1),0)"),0.0)</f>
        <v>0</v>
      </c>
      <c r="W1353" s="93">
        <f>IFERROR(__xludf.DUMMYFUNCTION("$E1353 - IFERROR(FILTER($E:$E,$C:$C = $C1353, $A:$A = $A1353, $B:$B = $B1353 - 1),0)"),0.0)</f>
        <v>0</v>
      </c>
      <c r="X1353" s="91">
        <f>IFERROR(__xludf.DUMMYFUNCTION("iFERROR((FILTER('Fund Investment Data'!$Z:$Z, 'Fund Investment Data'!$C:$C = $C1353, 'Fund Investment Data'!$A:$A = $A1353 - 1, 'Fund Investment Data'!$B:$B = 12) + FILTER('Fund Investment Data'!$AB:$AB, 'Fund Investment Data'!$C:$C = $C1353, 'Fund Invest"&amp;"ment Data'!$A:$A = $A1353 - 1, 'Fund Investment Data'!$B:$B = 12)) * (1 + AVERAGE(FILTER('Inflation Data'!$C:$C,'Inflation Data'!$A:$A = ($A1353 - 2)))) * Parameters!$A$4,0)"),7479.015292624062)</f>
        <v>7479.015293</v>
      </c>
      <c r="Y1353" s="91">
        <f>IFERROR(__xludf.DUMMYFUNCTION("IFERROR((IFERROR(FILTER('Fund Investment Data'!$P:$P,'Fund Investment Data'!$C:$C = $C1353,'Fund Investment Data'!$A:$A = ($A1353 - 2), 'Fund Investment Data'!$B:$B = 12),0) - SUM(FILTER('Fund Investment Data'!$V:$V, 'Fund Investment Data'!$C:$C = $C1353,"&amp;" 'Fund Investment Data'!$A:$A = ($A1353 - 2), 'Fund Investment Data'!$B:$B &gt; 3)))  * Parameters!$B$4 * (1 - Parameters!$A$4),0)"),2908.7654850000004)</f>
        <v>2908.765485</v>
      </c>
      <c r="Z1353" s="91">
        <f t="shared" si="24"/>
        <v>10387.78078</v>
      </c>
      <c r="AA1353" s="91">
        <f>IFERROR(__xludf.DUMMYFUNCTION("((IFERROR((SUM(FILTER('Fund Investment Data'!$V:$V, 'Fund Investment Data'!$C:$C = $C1353, 'Fund Investment Data'!$A:$A = $A1353 - 1, 'Fund Investment Data'!$B:$B &gt;= 4, 'Fund Investment Data'!$B:$B &lt;= ($B1353 + 5))) / 12) * ($B1353 - 3) * Parameters!$B$4,"&amp;" 0) + IF($B1353 &gt;= 9, IFERROR(SUM(FILTER('Fund Investment Data'!$V:$V, 'Fund Investment Data'!$C:$C = $C1353, 'Fund Investment Data'!$A:$A = $A1353, 'Fund Investment Data'!$B:$B &lt;= 3)) * Parameters!$B$4, 0),0)))"),0.0)</f>
        <v>0</v>
      </c>
      <c r="AB1353" s="32">
        <f>IFERROR(__xludf.DUMMYFUNCTION("IFERROR(((IFERROR(SUM(FILTER('Fund Investment Data'!$V:$V, 'Fund Investment Data'!$C:$C = $C1353, 'Fund Investment Data'!$A:$A = $A1353 - 2, 'Fund Investment Data'!$B:$B &gt;= 4)) * Parameters!$B$4,0) + IFERROR(SUM(FILTER('Fund Investment Data'!$V:$V, 'Fund "&amp;"Investment Data'!$C:$C = $C1353, 'Fund Investment Data'!$A:$A = $A1353 - 1, 'Fund Investment Data'!$B:$B &lt;= 3)) * Parameters!$B$4,0))),0)"),0.0)</f>
        <v>0</v>
      </c>
      <c r="AC1353" s="32">
        <f>IFERROR(__xludf.DUMMYFUNCTION("IFERROR(FILTER($AF:$AF,$C:$C = $C1353,$A:$A = $A1353 - 1,$B:$B = 12),0)"),0.0)</f>
        <v>0</v>
      </c>
      <c r="AD1353" s="32">
        <f t="shared" si="23"/>
        <v>10387.78078</v>
      </c>
      <c r="AE1353" s="32">
        <f t="shared" si="2"/>
        <v>10387.78078</v>
      </c>
      <c r="AF1353" s="32"/>
    </row>
    <row r="1354">
      <c r="A1354" s="86">
        <v>2019.0</v>
      </c>
      <c r="B1354" s="87">
        <v>4.0</v>
      </c>
      <c r="C1354" s="88" t="s">
        <v>32</v>
      </c>
      <c r="D1354" s="32"/>
      <c r="E1354" s="32"/>
      <c r="F1354" s="32"/>
      <c r="G1354" s="93">
        <v>-94.3</v>
      </c>
      <c r="H1354" s="93">
        <v>532.3</v>
      </c>
      <c r="I1354" s="32"/>
      <c r="J1354" s="93">
        <v>4984.82</v>
      </c>
      <c r="K1354" s="32"/>
      <c r="L1354" s="32"/>
      <c r="M1354" s="32"/>
      <c r="N1354" s="32"/>
      <c r="O1354" s="93">
        <v>52873.0</v>
      </c>
      <c r="P1354" s="91">
        <f>IFERROR(__xludf.DUMMYFUNCTION("IFERROR(sum(FILTER($D:$N,$C:$C = $C1354,$A:$A &lt; $A1354,$B:$B = 12)),0) + sum($D1354:$N1354)"),52872.97000000002)</f>
        <v>52872.97</v>
      </c>
      <c r="Q1354" s="92">
        <f t="shared" si="1"/>
        <v>0.02999999998</v>
      </c>
      <c r="R1354" s="91">
        <f t="array" ref="R1354">IFERROR(INDEX('Fund YTD Target Values'!$1:$1000, MATCH($C1354,'Fund YTD Target Values'!$A:$A,0), MATCH($A1354,'Fund YTD Target Values'!$1:$1,0)),0)</f>
        <v>80613.71135</v>
      </c>
      <c r="S1354" s="91">
        <f>IFERROR(__xludf.DUMMYFUNCTION("IFERROR(sum(FILTER('Fund Investment Data'!$V:$V, 'Fund Investment Data'!$C:$C = $C1354, 'Fund Investment Data'!$A:$A &lt; $A1354)),0) + IFERROR(sum(FILTER('Fund Investment Data'!$V:$V, 'Fund Investment Data'!$C:$C = $C1354, 'Fund Investment Data'!$A:$A = $A1"&amp;"354, 'Fund Investment Data'!$B:$B &lt;= $B1354)),0)"),49449.04)</f>
        <v>49449.04</v>
      </c>
      <c r="T1354" s="32"/>
      <c r="U1354" s="32"/>
      <c r="V1354" s="32">
        <f>IFERROR(__xludf.DUMMYFUNCTION("$D1354 - IFERROR(FILTER($D:$D,$C:$C = $C1354, $A:$A = $A1354, $B:$B = $B1354 - 1),0)"),0.0)</f>
        <v>0</v>
      </c>
      <c r="W1354" s="93">
        <f>IFERROR(__xludf.DUMMYFUNCTION("$E1354 - IFERROR(FILTER($E:$E,$C:$C = $C1354, $A:$A = $A1354, $B:$B = $B1354 - 1),0)"),0.0)</f>
        <v>0</v>
      </c>
      <c r="X1354" s="91">
        <f>IFERROR(__xludf.DUMMYFUNCTION("iFERROR((FILTER('Fund Investment Data'!$Z:$Z, 'Fund Investment Data'!$C:$C = $C1354, 'Fund Investment Data'!$A:$A = $A1354 - 1, 'Fund Investment Data'!$B:$B = 12) + FILTER('Fund Investment Data'!$AB:$AB, 'Fund Investment Data'!$C:$C = $C1354, 'Fund Invest"&amp;"ment Data'!$A:$A = $A1354 - 1, 'Fund Investment Data'!$B:$B = 12)) * (1 + AVERAGE(FILTER('Inflation Data'!$C:$C,'Inflation Data'!$A:$A = ($A1354 - 2)))) * Parameters!$A$4,0)"),1718.9474190106023)</f>
        <v>1718.947419</v>
      </c>
      <c r="Y1354" s="91">
        <f>IFERROR(__xludf.DUMMYFUNCTION("IFERROR((IFERROR(FILTER('Fund Investment Data'!$P:$P,'Fund Investment Data'!$C:$C = $C1354,'Fund Investment Data'!$A:$A = ($A1354 - 2), 'Fund Investment Data'!$B:$B = 12),0) - SUM(FILTER('Fund Investment Data'!$V:$V, 'Fund Investment Data'!$C:$C = $C1354,"&amp;" 'Fund Investment Data'!$A:$A = ($A1354 - 2), 'Fund Investment Data'!$B:$B &gt; 3)))  * Parameters!$B$4 * (1 - Parameters!$A$4),0)"),721.3160700000005)</f>
        <v>721.31607</v>
      </c>
      <c r="Z1354" s="91">
        <f t="shared" si="24"/>
        <v>2440.263489</v>
      </c>
      <c r="AA1354" s="91">
        <f>IFERROR(__xludf.DUMMYFUNCTION("((IFERROR((SUM(FILTER('Fund Investment Data'!$V:$V, 'Fund Investment Data'!$C:$C = $C1354, 'Fund Investment Data'!$A:$A = $A1354 - 1, 'Fund Investment Data'!$B:$B &gt;= 4, 'Fund Investment Data'!$B:$B &lt;= ($B1354 + 5))) / 12) * ($B1354 - 3) * Parameters!$B$4,"&amp;" 0) + IF($B1354 &gt;= 9, IFERROR(SUM(FILTER('Fund Investment Data'!$V:$V, 'Fund Investment Data'!$C:$C = $C1354, 'Fund Investment Data'!$A:$A = $A1354, 'Fund Investment Data'!$B:$B &lt;= 3)) * Parameters!$B$4, 0),0)))"),0.0)</f>
        <v>0</v>
      </c>
      <c r="AB1354" s="32">
        <f>IFERROR(__xludf.DUMMYFUNCTION("IFERROR(((IFERROR(SUM(FILTER('Fund Investment Data'!$V:$V, 'Fund Investment Data'!$C:$C = $C1354, 'Fund Investment Data'!$A:$A = $A1354 - 2, 'Fund Investment Data'!$B:$B &gt;= 4)) * Parameters!$B$4,0) + IFERROR(SUM(FILTER('Fund Investment Data'!$V:$V, 'Fund "&amp;"Investment Data'!$C:$C = $C1354, 'Fund Investment Data'!$A:$A = $A1354 - 1, 'Fund Investment Data'!$B:$B &lt;= 3)) * Parameters!$B$4,0))),0)"),0.0)</f>
        <v>0</v>
      </c>
      <c r="AC1354" s="32">
        <f>IFERROR(__xludf.DUMMYFUNCTION("IFERROR(FILTER($AF:$AF,$C:$C = $C1354,$A:$A = $A1354 - 1,$B:$B = 12),0)"),0.0)</f>
        <v>0</v>
      </c>
      <c r="AD1354" s="32">
        <f t="shared" si="23"/>
        <v>2440.263489</v>
      </c>
      <c r="AE1354" s="32">
        <f t="shared" si="2"/>
        <v>2440.263489</v>
      </c>
      <c r="AF1354" s="32"/>
    </row>
    <row r="1355">
      <c r="A1355" s="86">
        <v>2019.0</v>
      </c>
      <c r="B1355" s="87">
        <v>4.0</v>
      </c>
      <c r="C1355" s="88" t="s">
        <v>40</v>
      </c>
      <c r="D1355" s="32"/>
      <c r="E1355" s="32"/>
      <c r="F1355" s="32"/>
      <c r="G1355" s="93">
        <v>-271.19</v>
      </c>
      <c r="H1355" s="93">
        <v>1530.89</v>
      </c>
      <c r="I1355" s="32"/>
      <c r="J1355" s="93">
        <v>14339.55</v>
      </c>
      <c r="K1355" s="32"/>
      <c r="L1355" s="32"/>
      <c r="M1355" s="32"/>
      <c r="N1355" s="32"/>
      <c r="O1355" s="93">
        <v>152044.0</v>
      </c>
      <c r="P1355" s="91">
        <f>IFERROR(__xludf.DUMMYFUNCTION("IFERROR(sum(FILTER($D:$N,$C:$C = $C1355,$A:$A &lt; $A1355,$B:$B = 12)),0) + sum($D1355:$N1355)"),152044.35999999993)</f>
        <v>152044.36</v>
      </c>
      <c r="Q1355" s="92">
        <f t="shared" si="1"/>
        <v>-0.3599999999</v>
      </c>
      <c r="R1355" s="91">
        <f t="array" ref="R1355">IFERROR(INDEX('Fund YTD Target Values'!$1:$1000, MATCH($C1355,'Fund YTD Target Values'!$A:$A,0), MATCH($A1355,'Fund YTD Target Values'!$1:$1,0)),0)</f>
        <v>164286.6043</v>
      </c>
      <c r="S1355" s="91">
        <f>IFERROR(__xludf.DUMMYFUNCTION("IFERROR(sum(FILTER('Fund Investment Data'!$V:$V, 'Fund Investment Data'!$C:$C = $C1355, 'Fund Investment Data'!$A:$A &lt; $A1355)),0) + IFERROR(sum(FILTER('Fund Investment Data'!$V:$V, 'Fund Investment Data'!$C:$C = $C1355, 'Fund Investment Data'!$A:$A = $A1"&amp;"355, 'Fund Investment Data'!$B:$B &lt;= $B1355)),0)"),129703.74)</f>
        <v>129703.74</v>
      </c>
      <c r="T1355" s="32"/>
      <c r="U1355" s="32"/>
      <c r="V1355" s="32">
        <f>IFERROR(__xludf.DUMMYFUNCTION("$D1355 - IFERROR(FILTER($D:$D,$C:$C = $C1355, $A:$A = $A1355, $B:$B = $B1355 - 1),0)"),0.0)</f>
        <v>0</v>
      </c>
      <c r="W1355" s="93">
        <f>IFERROR(__xludf.DUMMYFUNCTION("$E1355 - IFERROR(FILTER($E:$E,$C:$C = $C1355, $A:$A = $A1355, $B:$B = $B1355 - 1),0)"),0.0)</f>
        <v>0</v>
      </c>
      <c r="X1355" s="91">
        <f>IFERROR(__xludf.DUMMYFUNCTION("iFERROR((FILTER('Fund Investment Data'!$Z:$Z, 'Fund Investment Data'!$C:$C = $C1355, 'Fund Investment Data'!$A:$A = $A1355 - 1, 'Fund Investment Data'!$B:$B = 12) + FILTER('Fund Investment Data'!$AB:$AB, 'Fund Investment Data'!$C:$C = $C1355, 'Fund Invest"&amp;"ment Data'!$A:$A = $A1355 - 1, 'Fund Investment Data'!$B:$B = 12)) * (1 + AVERAGE(FILTER('Inflation Data'!$C:$C,'Inflation Data'!$A:$A = ($A1355 - 2)))) * Parameters!$A$4,0)"),4980.550706212943)</f>
        <v>4980.550706</v>
      </c>
      <c r="Y1355" s="91">
        <f>IFERROR(__xludf.DUMMYFUNCTION("IFERROR((IFERROR(FILTER('Fund Investment Data'!$P:$P,'Fund Investment Data'!$C:$C = $C1355,'Fund Investment Data'!$A:$A = ($A1355 - 2), 'Fund Investment Data'!$B:$B = 12),0) - SUM(FILTER('Fund Investment Data'!$V:$V, 'Fund Investment Data'!$C:$C = $C1355,"&amp;" 'Fund Investment Data'!$A:$A = ($A1355 - 2), 'Fund Investment Data'!$B:$B &gt; 3)))  * Parameters!$B$4 * (1 - Parameters!$A$4),0)"),2089.971585)</f>
        <v>2089.971585</v>
      </c>
      <c r="Z1355" s="91">
        <f t="shared" si="24"/>
        <v>7070.522291</v>
      </c>
      <c r="AA1355" s="91">
        <f>IFERROR(__xludf.DUMMYFUNCTION("((IFERROR((SUM(FILTER('Fund Investment Data'!$V:$V, 'Fund Investment Data'!$C:$C = $C1355, 'Fund Investment Data'!$A:$A = $A1355 - 1, 'Fund Investment Data'!$B:$B &gt;= 4, 'Fund Investment Data'!$B:$B &lt;= ($B1355 + 5))) / 12) * ($B1355 - 3) * Parameters!$B$4,"&amp;" 0) + IF($B1355 &gt;= 9, IFERROR(SUM(FILTER('Fund Investment Data'!$V:$V, 'Fund Investment Data'!$C:$C = $C1355, 'Fund Investment Data'!$A:$A = $A1355, 'Fund Investment Data'!$B:$B &lt;= 3)) * Parameters!$B$4, 0),0)))"),0.0)</f>
        <v>0</v>
      </c>
      <c r="AB1355" s="32">
        <f>IFERROR(__xludf.DUMMYFUNCTION("IFERROR(((IFERROR(SUM(FILTER('Fund Investment Data'!$V:$V, 'Fund Investment Data'!$C:$C = $C1355, 'Fund Investment Data'!$A:$A = $A1355 - 2, 'Fund Investment Data'!$B:$B &gt;= 4)) * Parameters!$B$4,0) + IFERROR(SUM(FILTER('Fund Investment Data'!$V:$V, 'Fund "&amp;"Investment Data'!$C:$C = $C1355, 'Fund Investment Data'!$A:$A = $A1355 - 1, 'Fund Investment Data'!$B:$B &lt;= 3)) * Parameters!$B$4,0))),0)"),0.0)</f>
        <v>0</v>
      </c>
      <c r="AC1355" s="32">
        <f>IFERROR(__xludf.DUMMYFUNCTION("IFERROR(FILTER($AF:$AF,$C:$C = $C1355,$A:$A = $A1355 - 1,$B:$B = 12),0)"),0.0)</f>
        <v>0</v>
      </c>
      <c r="AD1355" s="32">
        <f t="shared" si="23"/>
        <v>7070.522291</v>
      </c>
      <c r="AE1355" s="32">
        <f t="shared" si="2"/>
        <v>7070.522291</v>
      </c>
      <c r="AF1355" s="32"/>
    </row>
    <row r="1356">
      <c r="A1356" s="86">
        <v>2019.0</v>
      </c>
      <c r="B1356" s="87">
        <v>4.0</v>
      </c>
      <c r="C1356" s="88" t="s">
        <v>51</v>
      </c>
      <c r="D1356" s="32"/>
      <c r="E1356" s="32"/>
      <c r="F1356" s="32"/>
      <c r="G1356" s="93">
        <v>-876.87</v>
      </c>
      <c r="H1356" s="93">
        <v>4877.13</v>
      </c>
      <c r="I1356" s="32"/>
      <c r="J1356" s="93">
        <v>44672.1</v>
      </c>
      <c r="K1356" s="32"/>
      <c r="L1356" s="32"/>
      <c r="M1356" s="32"/>
      <c r="N1356" s="32"/>
      <c r="O1356" s="93">
        <v>490802.0</v>
      </c>
      <c r="P1356" s="91">
        <f>IFERROR(__xludf.DUMMYFUNCTION("IFERROR(sum(FILTER($D:$N,$C:$C = $C1356,$A:$A &lt; $A1356,$B:$B = 12)),0) + sum($D1356:$N1356)"),490802.37000000005)</f>
        <v>490802.37</v>
      </c>
      <c r="Q1356" s="92">
        <f t="shared" si="1"/>
        <v>-0.3700000001</v>
      </c>
      <c r="R1356" s="91">
        <f t="array" ref="R1356">IFERROR(INDEX('Fund YTD Target Values'!$1:$1000, MATCH($C1356,'Fund YTD Target Values'!$A:$A,0), MATCH($A1356,'Fund YTD Target Values'!$1:$1,0)),0)</f>
        <v>460355.013</v>
      </c>
      <c r="S1356" s="91">
        <f>IFERROR(__xludf.DUMMYFUNCTION("IFERROR(sum(FILTER('Fund Investment Data'!$V:$V, 'Fund Investment Data'!$C:$C = $C1356, 'Fund Investment Data'!$A:$A &lt; $A1356)),0) + IFERROR(sum(FILTER('Fund Investment Data'!$V:$V, 'Fund Investment Data'!$C:$C = $C1356, 'Fund Investment Data'!$A:$A = $A1"&amp;"356, 'Fund Investment Data'!$B:$B &lt;= $B1356)),0)"),419073.55)</f>
        <v>419073.55</v>
      </c>
      <c r="T1356" s="32"/>
      <c r="U1356" s="32"/>
      <c r="V1356" s="32">
        <f>IFERROR(__xludf.DUMMYFUNCTION("$D1356 - IFERROR(FILTER($D:$D,$C:$C = $C1356, $A:$A = $A1356, $B:$B = $B1356 - 1),0)"),0.0)</f>
        <v>0</v>
      </c>
      <c r="W1356" s="93">
        <f>IFERROR(__xludf.DUMMYFUNCTION("$E1356 - IFERROR(FILTER($E:$E,$C:$C = $C1356, $A:$A = $A1356, $B:$B = $B1356 - 1),0)"),0.0)</f>
        <v>0</v>
      </c>
      <c r="X1356" s="91">
        <f>IFERROR(__xludf.DUMMYFUNCTION("iFERROR((FILTER('Fund Investment Data'!$Z:$Z, 'Fund Investment Data'!$C:$C = $C1356, 'Fund Investment Data'!$A:$A = $A1356 - 1, 'Fund Investment Data'!$B:$B = 12) + FILTER('Fund Investment Data'!$AB:$AB, 'Fund Investment Data'!$C:$C = $C1356, 'Fund Invest"&amp;"ment Data'!$A:$A = $A1356 - 1, 'Fund Investment Data'!$B:$B = 12)) * (1 + AVERAGE(FILTER('Inflation Data'!$C:$C,'Inflation Data'!$A:$A = ($A1356 - 2)))) * Parameters!$A$4,0)"),14060.066994776611)</f>
        <v>14060.06699</v>
      </c>
      <c r="Y1356" s="91">
        <f>IFERROR(__xludf.DUMMYFUNCTION("IFERROR((IFERROR(FILTER('Fund Investment Data'!$P:$P,'Fund Investment Data'!$C:$C = $C1356,'Fund Investment Data'!$A:$A = ($A1356 - 2), 'Fund Investment Data'!$B:$B = 12),0) - SUM(FILTER('Fund Investment Data'!$V:$V, 'Fund Investment Data'!$C:$C = $C1356,"&amp;" 'Fund Investment Data'!$A:$A = ($A1356 - 2), 'Fund Investment Data'!$B:$B &gt; 3)))  * Parameters!$B$4 * (1 - Parameters!$A$4),0)"),6507.701055)</f>
        <v>6507.701055</v>
      </c>
      <c r="Z1356" s="91">
        <f t="shared" si="24"/>
        <v>20567.76805</v>
      </c>
      <c r="AA1356" s="91">
        <f>IFERROR(__xludf.DUMMYFUNCTION("((IFERROR((SUM(FILTER('Fund Investment Data'!$V:$V, 'Fund Investment Data'!$C:$C = $C1356, 'Fund Investment Data'!$A:$A = $A1356 - 1, 'Fund Investment Data'!$B:$B &gt;= 4, 'Fund Investment Data'!$B:$B &lt;= ($B1356 + 5))) / 12) * ($B1356 - 3) * Parameters!$B$4,"&amp;" 0) + IF($B1356 &gt;= 9, IFERROR(SUM(FILTER('Fund Investment Data'!$V:$V, 'Fund Investment Data'!$C:$C = $C1356, 'Fund Investment Data'!$A:$A = $A1356, 'Fund Investment Data'!$B:$B &lt;= 3)) * Parameters!$B$4, 0),0)))"),9.5625)</f>
        <v>9.5625</v>
      </c>
      <c r="AB1356" s="32">
        <f>IFERROR(__xludf.DUMMYFUNCTION("IFERROR(((IFERROR(SUM(FILTER('Fund Investment Data'!$V:$V, 'Fund Investment Data'!$C:$C = $C1356, 'Fund Investment Data'!$A:$A = $A1356 - 2, 'Fund Investment Data'!$B:$B &gt;= 4)) * Parameters!$B$4,0) + IFERROR(SUM(FILTER('Fund Investment Data'!$V:$V, 'Fund "&amp;"Investment Data'!$C:$C = $C1356, 'Fund Investment Data'!$A:$A = $A1356 - 1, 'Fund Investment Data'!$B:$B &lt;= 3)) * Parameters!$B$4,0))),0)"),153.0)</f>
        <v>153</v>
      </c>
      <c r="AC1356" s="32">
        <f>IFERROR(__xludf.DUMMYFUNCTION("IFERROR(FILTER($AF:$AF,$C:$C = $C1356,$A:$A = $A1356 - 1,$B:$B = 12),0)"),14700.0)</f>
        <v>14700</v>
      </c>
      <c r="AD1356" s="32">
        <f t="shared" si="23"/>
        <v>35430.33055</v>
      </c>
      <c r="AE1356" s="32">
        <f t="shared" si="2"/>
        <v>35430.33055</v>
      </c>
      <c r="AF1356" s="32"/>
    </row>
    <row r="1357">
      <c r="A1357" s="86">
        <v>2019.0</v>
      </c>
      <c r="B1357" s="87">
        <v>4.0</v>
      </c>
      <c r="C1357" s="88" t="s">
        <v>48</v>
      </c>
      <c r="D1357" s="32"/>
      <c r="E1357" s="93">
        <v>-23000.0</v>
      </c>
      <c r="F1357" s="32"/>
      <c r="G1357" s="93">
        <v>-2168.46</v>
      </c>
      <c r="H1357" s="93">
        <v>12261.31</v>
      </c>
      <c r="I1357" s="93">
        <v>4652.33</v>
      </c>
      <c r="J1357" s="93">
        <v>110285.67</v>
      </c>
      <c r="K1357" s="32"/>
      <c r="L1357" s="32"/>
      <c r="M1357" s="32"/>
      <c r="N1357" s="32"/>
      <c r="O1357" s="93">
        <v>1195246.0</v>
      </c>
      <c r="P1357" s="91">
        <f>IFERROR(__xludf.DUMMYFUNCTION("IFERROR(sum(FILTER($D:$N,$C:$C = $C1357,$A:$A &lt; $A1357,$B:$B = 12)),0) + sum($D1357:$N1357)"),1195244.2399999998)</f>
        <v>1195244.24</v>
      </c>
      <c r="Q1357" s="92">
        <f t="shared" si="1"/>
        <v>1.76</v>
      </c>
      <c r="R1357" s="91">
        <f t="array" ref="R1357">IFERROR(INDEX('Fund YTD Target Values'!$1:$1000, MATCH($C1357,'Fund YTD Target Values'!$A:$A,0), MATCH($A1357,'Fund YTD Target Values'!$1:$1,0)),0)</f>
        <v>1930631.639</v>
      </c>
      <c r="S1357" s="91">
        <f>IFERROR(__xludf.DUMMYFUNCTION("IFERROR(sum(FILTER('Fund Investment Data'!$V:$V, 'Fund Investment Data'!$C:$C = $C1357, 'Fund Investment Data'!$A:$A &lt; $A1357)),0) + IFERROR(sum(FILTER('Fund Investment Data'!$V:$V, 'Fund Investment Data'!$C:$C = $C1357, 'Fund Investment Data'!$A:$A = $A1"&amp;"357, 'Fund Investment Data'!$B:$B &lt;= $B1357)),0)"),1183929.39)</f>
        <v>1183929.39</v>
      </c>
      <c r="T1357" s="32"/>
      <c r="U1357" s="32"/>
      <c r="V1357" s="32">
        <f>IFERROR(__xludf.DUMMYFUNCTION("$D1357 - IFERROR(FILTER($D:$D,$C:$C = $C1357, $A:$A = $A1357, $B:$B = $B1357 - 1),0)"),0.0)</f>
        <v>0</v>
      </c>
      <c r="W1357" s="93">
        <f>IFERROR(__xludf.DUMMYFUNCTION("$E1357 - IFERROR(FILTER($E:$E,$C:$C = $C1357, $A:$A = $A1357, $B:$B = $B1357 - 1),0)"),-13000.0)</f>
        <v>-13000</v>
      </c>
      <c r="X1357" s="91">
        <f>IFERROR(__xludf.DUMMYFUNCTION("iFERROR((FILTER('Fund Investment Data'!$Z:$Z, 'Fund Investment Data'!$C:$C = $C1357, 'Fund Investment Data'!$A:$A = $A1357 - 1, 'Fund Investment Data'!$B:$B = 12) + FILTER('Fund Investment Data'!$AB:$AB, 'Fund Investment Data'!$C:$C = $C1357, 'Fund Invest"&amp;"ment Data'!$A:$A = $A1357 - 1, 'Fund Investment Data'!$B:$B = 12)) * (1 + AVERAGE(FILTER('Inflation Data'!$C:$C,'Inflation Data'!$A:$A = ($A1357 - 2)))) * Parameters!$A$4,0)"),40170.623919220896)</f>
        <v>40170.62392</v>
      </c>
      <c r="Y1357" s="91">
        <f>IFERROR(__xludf.DUMMYFUNCTION("IFERROR((IFERROR(FILTER('Fund Investment Data'!$P:$P,'Fund Investment Data'!$C:$C = $C1357,'Fund Investment Data'!$A:$A = ($A1357 - 2), 'Fund Investment Data'!$B:$B = 12),0) - SUM(FILTER('Fund Investment Data'!$V:$V, 'Fund Investment Data'!$C:$C = $C1357,"&amp;" 'Fund Investment Data'!$A:$A = ($A1357 - 2), 'Fund Investment Data'!$B:$B &gt; 3)))  * Parameters!$B$4 * (1 - Parameters!$A$4),0)"),16856.662545)</f>
        <v>16856.66255</v>
      </c>
      <c r="Z1357" s="91">
        <f t="shared" si="24"/>
        <v>57027.28646</v>
      </c>
      <c r="AA1357" s="91">
        <f>IFERROR(__xludf.DUMMYFUNCTION("((IFERROR((SUM(FILTER('Fund Investment Data'!$V:$V, 'Fund Investment Data'!$C:$C = $C1357, 'Fund Investment Data'!$A:$A = $A1357 - 1, 'Fund Investment Data'!$B:$B &gt;= 4, 'Fund Investment Data'!$B:$B &lt;= ($B1357 + 5))) / 12) * ($B1357 - 3) * Parameters!$B$4,"&amp;" 0) + IF($B1357 &gt;= 9, IFERROR(SUM(FILTER('Fund Investment Data'!$V:$V, 'Fund Investment Data'!$C:$C = $C1357, 'Fund Investment Data'!$A:$A = $A1357, 'Fund Investment Data'!$B:$B &lt;= 3)) * Parameters!$B$4, 0),0)))"),0.0)</f>
        <v>0</v>
      </c>
      <c r="AB1357" s="32">
        <f>IFERROR(__xludf.DUMMYFUNCTION("IFERROR(((IFERROR(SUM(FILTER('Fund Investment Data'!$V:$V, 'Fund Investment Data'!$C:$C = $C1357, 'Fund Investment Data'!$A:$A = $A1357 - 2, 'Fund Investment Data'!$B:$B &gt;= 4)) * Parameters!$B$4,0) + IFERROR(SUM(FILTER('Fund Investment Data'!$V:$V, 'Fund "&amp;"Investment Data'!$C:$C = $C1357, 'Fund Investment Data'!$A:$A = $A1357 - 1, 'Fund Investment Data'!$B:$B &lt;= 3)) * Parameters!$B$4,0))),0)"),0.0)</f>
        <v>0</v>
      </c>
      <c r="AC1357" s="32">
        <f>IFERROR(__xludf.DUMMYFUNCTION("IFERROR(FILTER($AF:$AF,$C:$C = $C1357,$A:$A = $A1357 - 1,$B:$B = 12),0)"),0.0)</f>
        <v>0</v>
      </c>
      <c r="AD1357" s="32">
        <f t="shared" si="23"/>
        <v>57027.28646</v>
      </c>
      <c r="AE1357" s="32">
        <f t="shared" si="2"/>
        <v>34027.28646</v>
      </c>
      <c r="AF1357" s="32"/>
    </row>
    <row r="1358">
      <c r="A1358" s="86">
        <v>2019.0</v>
      </c>
      <c r="B1358" s="87">
        <v>4.0</v>
      </c>
      <c r="C1358" s="88" t="s">
        <v>49</v>
      </c>
      <c r="D1358" s="32"/>
      <c r="E1358" s="93">
        <v>-10000.0</v>
      </c>
      <c r="F1358" s="32"/>
      <c r="G1358" s="93">
        <v>-938.0</v>
      </c>
      <c r="H1358" s="93">
        <v>5307.47</v>
      </c>
      <c r="I1358" s="93">
        <v>2052.01</v>
      </c>
      <c r="J1358" s="93">
        <v>47796.18</v>
      </c>
      <c r="K1358" s="32"/>
      <c r="L1358" s="32"/>
      <c r="M1358" s="32"/>
      <c r="N1358" s="32"/>
      <c r="O1358" s="93">
        <v>518452.0</v>
      </c>
      <c r="P1358" s="91">
        <f>IFERROR(__xludf.DUMMYFUNCTION("IFERROR(sum(FILTER($D:$N,$C:$C = $C1358,$A:$A &lt; $A1358,$B:$B = 12)),0) + sum($D1358:$N1358)"),518451.97999999986)</f>
        <v>518451.98</v>
      </c>
      <c r="Q1358" s="92">
        <f t="shared" si="1"/>
        <v>0.02000000014</v>
      </c>
      <c r="R1358" s="91">
        <f t="array" ref="R1358">IFERROR(INDEX('Fund YTD Target Values'!$1:$1000, MATCH($C1358,'Fund YTD Target Values'!$A:$A,0), MATCH($A1358,'Fund YTD Target Values'!$1:$1,0)),0)</f>
        <v>714091.1961</v>
      </c>
      <c r="S1358" s="91">
        <f>IFERROR(__xludf.DUMMYFUNCTION("IFERROR(sum(FILTER('Fund Investment Data'!$V:$V, 'Fund Investment Data'!$C:$C = $C1358, 'Fund Investment Data'!$A:$A &lt; $A1358)),0) + IFERROR(sum(FILTER('Fund Investment Data'!$V:$V, 'Fund Investment Data'!$C:$C = $C1358, 'Fund Investment Data'!$A:$A = $A1"&amp;"358, 'Fund Investment Data'!$B:$B &lt;= $B1358)),0)"),500000.0)</f>
        <v>500000</v>
      </c>
      <c r="T1358" s="93">
        <v>500000.0</v>
      </c>
      <c r="U1358" s="32">
        <f>S1358-T1358</f>
        <v>0</v>
      </c>
      <c r="V1358" s="32">
        <f>IFERROR(__xludf.DUMMYFUNCTION("$D1358 - IFERROR(FILTER($D:$D,$C:$C = $C1358, $A:$A = $A1358, $B:$B = $B1358 - 1),0)"),0.0)</f>
        <v>0</v>
      </c>
      <c r="W1358" s="93">
        <f>IFERROR(__xludf.DUMMYFUNCTION("$E1358 - IFERROR(FILTER($E:$E,$C:$C = $C1358, $A:$A = $A1358, $B:$B = $B1358 - 1),0)"),0.0)</f>
        <v>0</v>
      </c>
      <c r="X1358" s="91">
        <f>IFERROR(__xludf.DUMMYFUNCTION("iFERROR((FILTER('Fund Investment Data'!$Z:$Z, 'Fund Investment Data'!$C:$C = $C1358, 'Fund Investment Data'!$A:$A = $A1358 - 1, 'Fund Investment Data'!$B:$B = 12) + FILTER('Fund Investment Data'!$AB:$AB, 'Fund Investment Data'!$C:$C = $C1358, 'Fund Invest"&amp;"ment Data'!$A:$A = $A1358 - 1, 'Fund Investment Data'!$B:$B = 12)) * (1 + AVERAGE(FILTER('Inflation Data'!$C:$C,'Inflation Data'!$A:$A = ($A1358 - 2)))) * Parameters!$A$4,0)"),17620.730663710416)</f>
        <v>17620.73066</v>
      </c>
      <c r="Y1358" s="91">
        <f>IFERROR(__xludf.DUMMYFUNCTION("IFERROR((IFERROR(FILTER('Fund Investment Data'!$P:$P,'Fund Investment Data'!$C:$C = $C1358,'Fund Investment Data'!$A:$A = ($A1358 - 2), 'Fund Investment Data'!$B:$B = 12),0) - SUM(FILTER('Fund Investment Data'!$V:$V, 'Fund Investment Data'!$C:$C = $C1358,"&amp;" 'Fund Investment Data'!$A:$A = ($A1358 - 2), 'Fund Investment Data'!$B:$B &gt; 3)))  * Parameters!$B$4 * (1 - Parameters!$A$4),0)"),7394.127389999999)</f>
        <v>7394.12739</v>
      </c>
      <c r="Z1358" s="91">
        <f t="shared" si="24"/>
        <v>25014.85805</v>
      </c>
      <c r="AA1358" s="91">
        <f>IFERROR(__xludf.DUMMYFUNCTION("((IFERROR((SUM(FILTER('Fund Investment Data'!$V:$V, 'Fund Investment Data'!$C:$C = $C1358, 'Fund Investment Data'!$A:$A = $A1358 - 1, 'Fund Investment Data'!$B:$B &gt;= 4, 'Fund Investment Data'!$B:$B &lt;= ($B1358 + 5))) / 12) * ($B1358 - 3) * Parameters!$B$4,"&amp;" 0) + IF($B1358 &gt;= 9, IFERROR(SUM(FILTER('Fund Investment Data'!$V:$V, 'Fund Investment Data'!$C:$C = $C1358, 'Fund Investment Data'!$A:$A = $A1358, 'Fund Investment Data'!$B:$B &lt;= 3)) * Parameters!$B$4, 0),0)))"),0.0)</f>
        <v>0</v>
      </c>
      <c r="AB1358" s="32">
        <f>IFERROR(__xludf.DUMMYFUNCTION("IFERROR(((IFERROR(SUM(FILTER('Fund Investment Data'!$V:$V, 'Fund Investment Data'!$C:$C = $C1358, 'Fund Investment Data'!$A:$A = $A1358 - 2, 'Fund Investment Data'!$B:$B &gt;= 4)) * Parameters!$B$4,0) + IFERROR(SUM(FILTER('Fund Investment Data'!$V:$V, 'Fund "&amp;"Investment Data'!$C:$C = $C1358, 'Fund Investment Data'!$A:$A = $A1358 - 1, 'Fund Investment Data'!$B:$B &lt;= 3)) * Parameters!$B$4,0))),0)"),0.0)</f>
        <v>0</v>
      </c>
      <c r="AC1358" s="32">
        <f>IFERROR(__xludf.DUMMYFUNCTION("IFERROR(FILTER($AF:$AF,$C:$C = $C1358,$A:$A = $A1358 - 1,$B:$B = 12),0)"),0.0)</f>
        <v>0</v>
      </c>
      <c r="AD1358" s="32">
        <f t="shared" si="23"/>
        <v>25014.85805</v>
      </c>
      <c r="AE1358" s="32">
        <f t="shared" si="2"/>
        <v>15014.85805</v>
      </c>
      <c r="AF1358" s="32"/>
    </row>
    <row r="1359">
      <c r="A1359" s="86">
        <v>2019.0</v>
      </c>
      <c r="B1359" s="87">
        <v>4.0</v>
      </c>
      <c r="C1359" s="88" t="s">
        <v>41</v>
      </c>
      <c r="D1359" s="32"/>
      <c r="E1359" s="32"/>
      <c r="F1359" s="32"/>
      <c r="G1359" s="93">
        <v>-1159.21</v>
      </c>
      <c r="H1359" s="93">
        <v>6547.3</v>
      </c>
      <c r="I1359" s="32"/>
      <c r="J1359" s="93">
        <v>61405.63</v>
      </c>
      <c r="K1359" s="32"/>
      <c r="L1359" s="32"/>
      <c r="M1359" s="32"/>
      <c r="N1359" s="32"/>
      <c r="O1359" s="93">
        <v>649971.0</v>
      </c>
      <c r="P1359" s="91">
        <f>IFERROR(__xludf.DUMMYFUNCTION("IFERROR(sum(FILTER($D:$N,$C:$C = $C1359,$A:$A &lt; $A1359,$B:$B = 12)),0) + sum($D1359:$N1359)"),649972.04)</f>
        <v>649972.04</v>
      </c>
      <c r="Q1359" s="92">
        <f t="shared" si="1"/>
        <v>-1.04</v>
      </c>
      <c r="R1359" s="91">
        <f t="array" ref="R1359">IFERROR(INDEX('Fund YTD Target Values'!$1:$1000, MATCH($C1359,'Fund YTD Target Values'!$A:$A,0), MATCH($A1359,'Fund YTD Target Values'!$1:$1,0)),0)</f>
        <v>598621.3568</v>
      </c>
      <c r="S1359" s="91">
        <f>IFERROR(__xludf.DUMMYFUNCTION("IFERROR(sum(FILTER('Fund Investment Data'!$V:$V, 'Fund Investment Data'!$C:$C = $C1359, 'Fund Investment Data'!$A:$A &lt; $A1359)),0) + IFERROR(sum(FILTER('Fund Investment Data'!$V:$V, 'Fund Investment Data'!$C:$C = $C1359, 'Fund Investment Data'!$A:$A = $A1"&amp;"359, 'Fund Investment Data'!$B:$B &lt;= $B1359)),0)"),433755.86)</f>
        <v>433755.86</v>
      </c>
      <c r="T1359" s="32"/>
      <c r="U1359" s="32"/>
      <c r="V1359" s="32">
        <f>IFERROR(__xludf.DUMMYFUNCTION("$D1359 - IFERROR(FILTER($D:$D,$C:$C = $C1359, $A:$A = $A1359, $B:$B = $B1359 - 1),0)"),0.0)</f>
        <v>0</v>
      </c>
      <c r="W1359" s="93">
        <f>IFERROR(__xludf.DUMMYFUNCTION("$E1359 - IFERROR(FILTER($E:$E,$C:$C = $C1359, $A:$A = $A1359, $B:$B = $B1359 - 1),0)"),0.0)</f>
        <v>0</v>
      </c>
      <c r="X1359" s="91">
        <f>IFERROR(__xludf.DUMMYFUNCTION("iFERROR((FILTER('Fund Investment Data'!$Z:$Z, 'Fund Investment Data'!$C:$C = $C1359, 'Fund Investment Data'!$A:$A = $A1359 - 1, 'Fund Investment Data'!$B:$B = 12) + FILTER('Fund Investment Data'!$AB:$AB, 'Fund Investment Data'!$C:$C = $C1359, 'Fund Invest"&amp;"ment Data'!$A:$A = $A1359 - 1, 'Fund Investment Data'!$B:$B = 12)) * (1 + AVERAGE(FILTER('Inflation Data'!$C:$C,'Inflation Data'!$A:$A = ($A1359 - 2)))) * Parameters!$A$4,0)"),18464.76285534869)</f>
        <v>18464.76286</v>
      </c>
      <c r="Y1359" s="91">
        <f>IFERROR(__xludf.DUMMYFUNCTION("IFERROR((IFERROR(FILTER('Fund Investment Data'!$P:$P,'Fund Investment Data'!$C:$C = $C1359,'Fund Investment Data'!$A:$A = ($A1359 - 2), 'Fund Investment Data'!$B:$B = 12),0) - SUM(FILTER('Fund Investment Data'!$V:$V, 'Fund Investment Data'!$C:$C = $C1359,"&amp;" 'Fund Investment Data'!$A:$A = ($A1359 - 2), 'Fund Investment Data'!$B:$B &gt; 3)))  * Parameters!$B$4 * (1 - Parameters!$A$4),0)"),8817.111225000002)</f>
        <v>8817.111225</v>
      </c>
      <c r="Z1359" s="91">
        <f t="shared" si="24"/>
        <v>27281.87408</v>
      </c>
      <c r="AA1359" s="91">
        <f>IFERROR(__xludf.DUMMYFUNCTION("((IFERROR((SUM(FILTER('Fund Investment Data'!$V:$V, 'Fund Investment Data'!$C:$C = $C1359, 'Fund Investment Data'!$A:$A = $A1359 - 1, 'Fund Investment Data'!$B:$B &gt;= 4, 'Fund Investment Data'!$B:$B &lt;= ($B1359 + 5))) / 12) * ($B1359 - 3) * Parameters!$B$4,"&amp;" 0) + IF($B1359 &gt;= 9, IFERROR(SUM(FILTER('Fund Investment Data'!$V:$V, 'Fund Investment Data'!$C:$C = $C1359, 'Fund Investment Data'!$A:$A = $A1359, 'Fund Investment Data'!$B:$B &lt;= 3)) * Parameters!$B$4, 0),0)))"),0.0)</f>
        <v>0</v>
      </c>
      <c r="AB1359" s="32">
        <f>IFERROR(__xludf.DUMMYFUNCTION("IFERROR(((IFERROR(SUM(FILTER('Fund Investment Data'!$V:$V, 'Fund Investment Data'!$C:$C = $C1359, 'Fund Investment Data'!$A:$A = $A1359 - 2, 'Fund Investment Data'!$B:$B &gt;= 4)) * Parameters!$B$4,0) + IFERROR(SUM(FILTER('Fund Investment Data'!$V:$V, 'Fund "&amp;"Investment Data'!$C:$C = $C1359, 'Fund Investment Data'!$A:$A = $A1359 - 1, 'Fund Investment Data'!$B:$B &lt;= 3)) * Parameters!$B$4,0))),0)"),0.0)</f>
        <v>0</v>
      </c>
      <c r="AC1359" s="32">
        <f>IFERROR(__xludf.DUMMYFUNCTION("IFERROR(FILTER($AF:$AF,$C:$C = $C1359,$A:$A = $A1359 - 1,$B:$B = 12),0)"),0.0)</f>
        <v>0</v>
      </c>
      <c r="AD1359" s="32">
        <f t="shared" si="23"/>
        <v>27281.87408</v>
      </c>
      <c r="AE1359" s="32">
        <f t="shared" si="2"/>
        <v>27281.87408</v>
      </c>
      <c r="AF1359" s="32"/>
    </row>
    <row r="1360">
      <c r="A1360" s="86">
        <v>2019.0</v>
      </c>
      <c r="B1360" s="87">
        <v>4.0</v>
      </c>
      <c r="C1360" s="88" t="s">
        <v>25</v>
      </c>
      <c r="D1360" s="32"/>
      <c r="E1360" s="32"/>
      <c r="F1360" s="32"/>
      <c r="G1360" s="93">
        <v>-148.73</v>
      </c>
      <c r="H1360" s="93">
        <v>839.56</v>
      </c>
      <c r="I1360" s="32"/>
      <c r="J1360" s="93">
        <v>7861.85</v>
      </c>
      <c r="K1360" s="32"/>
      <c r="L1360" s="32"/>
      <c r="M1360" s="32"/>
      <c r="N1360" s="32"/>
      <c r="O1360" s="93">
        <v>83391.0</v>
      </c>
      <c r="P1360" s="91">
        <f>IFERROR(__xludf.DUMMYFUNCTION("IFERROR(sum(FILTER($D:$N,$C:$C = $C1360,$A:$A &lt; $A1360,$B:$B = 12)),0) + sum($D1360:$N1360)"),83390.65)</f>
        <v>83390.65</v>
      </c>
      <c r="Q1360" s="92">
        <f t="shared" si="1"/>
        <v>0.35</v>
      </c>
      <c r="R1360" s="91">
        <f t="array" ref="R1360">IFERROR(INDEX('Fund YTD Target Values'!$1:$1000, MATCH($C1360,'Fund YTD Target Values'!$A:$A,0), MATCH($A1360,'Fund YTD Target Values'!$1:$1,0)),0)</f>
        <v>111153.3247</v>
      </c>
      <c r="S1360" s="91">
        <f>IFERROR(__xludf.DUMMYFUNCTION("IFERROR(sum(FILTER('Fund Investment Data'!$V:$V, 'Fund Investment Data'!$C:$C = $C1360, 'Fund Investment Data'!$A:$A &lt; $A1360)),0) + IFERROR(sum(FILTER('Fund Investment Data'!$V:$V, 'Fund Investment Data'!$C:$C = $C1360, 'Fund Investment Data'!$A:$A = $A1"&amp;"360, 'Fund Investment Data'!$B:$B &lt;= $B1360)),0)"),81000.0)</f>
        <v>81000</v>
      </c>
      <c r="T1360" s="93">
        <v>81000.0</v>
      </c>
      <c r="U1360" s="32">
        <f t="shared" ref="U1360:U1362" si="42">S1360-T1360</f>
        <v>0</v>
      </c>
      <c r="V1360" s="32">
        <f>IFERROR(__xludf.DUMMYFUNCTION("$D1360 - IFERROR(FILTER($D:$D,$C:$C = $C1360, $A:$A = $A1360, $B:$B = $B1360 - 1),0)"),0.0)</f>
        <v>0</v>
      </c>
      <c r="W1360" s="93">
        <f>IFERROR(__xludf.DUMMYFUNCTION("$E1360 - IFERROR(FILTER($E:$E,$C:$C = $C1360, $A:$A = $A1360, $B:$B = $B1360 - 1),0)"),0.0)</f>
        <v>0</v>
      </c>
      <c r="X1360" s="91">
        <f>IFERROR(__xludf.DUMMYFUNCTION("iFERROR((FILTER('Fund Investment Data'!$Z:$Z, 'Fund Investment Data'!$C:$C = $C1360, 'Fund Investment Data'!$A:$A = $A1360 - 1, 'Fund Investment Data'!$B:$B = 12) + FILTER('Fund Investment Data'!$AB:$AB, 'Fund Investment Data'!$C:$C = $C1360, 'Fund Invest"&amp;"ment Data'!$A:$A = $A1360 - 1, 'Fund Investment Data'!$B:$B = 12)) * (1 + AVERAGE(FILTER('Inflation Data'!$C:$C,'Inflation Data'!$A:$A = ($A1360 - 2)))) * Parameters!$A$4,0)"),3251.4512616945367)</f>
        <v>3251.451262</v>
      </c>
      <c r="Y1360" s="91">
        <f>IFERROR(__xludf.DUMMYFUNCTION("IFERROR((IFERROR(FILTER('Fund Investment Data'!$P:$P,'Fund Investment Data'!$C:$C = $C1360,'Fund Investment Data'!$A:$A = ($A1360 - 2), 'Fund Investment Data'!$B:$B = 12),0) - SUM(FILTER('Fund Investment Data'!$V:$V, 'Fund Investment Data'!$C:$C = $C1360,"&amp;" 'Fund Investment Data'!$A:$A = ($A1360 - 2), 'Fund Investment Data'!$B:$B &gt; 3)))  * Parameters!$B$4 * (1 - Parameters!$A$4),0)"),1364.3954549999999)</f>
        <v>1364.395455</v>
      </c>
      <c r="Z1360" s="91">
        <f t="shared" si="24"/>
        <v>4615.846717</v>
      </c>
      <c r="AA1360" s="91">
        <f>IFERROR(__xludf.DUMMYFUNCTION("((IFERROR((SUM(FILTER('Fund Investment Data'!$V:$V, 'Fund Investment Data'!$C:$C = $C1360, 'Fund Investment Data'!$A:$A = $A1360 - 1, 'Fund Investment Data'!$B:$B &gt;= 4, 'Fund Investment Data'!$B:$B &lt;= ($B1360 + 5))) / 12) * ($B1360 - 3) * Parameters!$B$4,"&amp;" 0) + IF($B1360 &gt;= 9, IFERROR(SUM(FILTER('Fund Investment Data'!$V:$V, 'Fund Investment Data'!$C:$C = $C1360, 'Fund Investment Data'!$A:$A = $A1360, 'Fund Investment Data'!$B:$B &lt;= 3)) * Parameters!$B$4, 0),0)))"),0.0)</f>
        <v>0</v>
      </c>
      <c r="AB1360" s="32">
        <f>IFERROR(__xludf.DUMMYFUNCTION("IFERROR(((IFERROR(SUM(FILTER('Fund Investment Data'!$V:$V, 'Fund Investment Data'!$C:$C = $C1360, 'Fund Investment Data'!$A:$A = $A1360 - 2, 'Fund Investment Data'!$B:$B &gt;= 4)) * Parameters!$B$4,0) + IFERROR(SUM(FILTER('Fund Investment Data'!$V:$V, 'Fund "&amp;"Investment Data'!$C:$C = $C1360, 'Fund Investment Data'!$A:$A = $A1360 - 1, 'Fund Investment Data'!$B:$B &lt;= 3)) * Parameters!$B$4,0))),0)"),0.0)</f>
        <v>0</v>
      </c>
      <c r="AC1360" s="32">
        <f>IFERROR(__xludf.DUMMYFUNCTION("IFERROR(FILTER($AF:$AF,$C:$C = $C1360,$A:$A = $A1360 - 1,$B:$B = 12),0)"),0.0)</f>
        <v>0</v>
      </c>
      <c r="AD1360" s="32">
        <f t="shared" si="23"/>
        <v>4615.846717</v>
      </c>
      <c r="AE1360" s="32">
        <f t="shared" si="2"/>
        <v>4615.846717</v>
      </c>
      <c r="AF1360" s="32"/>
    </row>
    <row r="1361">
      <c r="A1361" s="86">
        <v>2019.0</v>
      </c>
      <c r="B1361" s="87">
        <v>4.0</v>
      </c>
      <c r="C1361" s="88" t="s">
        <v>42</v>
      </c>
      <c r="D1361" s="32"/>
      <c r="E1361" s="32"/>
      <c r="F1361" s="32"/>
      <c r="G1361" s="93">
        <v>-538.25</v>
      </c>
      <c r="H1361" s="93">
        <v>3034.74</v>
      </c>
      <c r="I1361" s="32"/>
      <c r="J1361" s="93">
        <v>28342.55</v>
      </c>
      <c r="K1361" s="32"/>
      <c r="L1361" s="32"/>
      <c r="M1361" s="32"/>
      <c r="N1361" s="32"/>
      <c r="O1361" s="93">
        <v>301716.0</v>
      </c>
      <c r="P1361" s="91">
        <f>IFERROR(__xludf.DUMMYFUNCTION("IFERROR(sum(FILTER($D:$N,$C:$C = $C1361,$A:$A &lt; $A1361,$B:$B = 12)),0) + sum($D1361:$N1361)"),301715.01000000007)</f>
        <v>301715.01</v>
      </c>
      <c r="Q1361" s="92">
        <f t="shared" si="1"/>
        <v>0.9899999999</v>
      </c>
      <c r="R1361" s="91">
        <f t="array" ref="R1361">IFERROR(INDEX('Fund YTD Target Values'!$1:$1000, MATCH($C1361,'Fund YTD Target Values'!$A:$A,0), MATCH($A1361,'Fund YTD Target Values'!$1:$1,0)),0)</f>
        <v>244537.4928</v>
      </c>
      <c r="S1361" s="91">
        <f>IFERROR(__xludf.DUMMYFUNCTION("IFERROR(sum(FILTER('Fund Investment Data'!$V:$V, 'Fund Investment Data'!$C:$C = $C1361, 'Fund Investment Data'!$A:$A &lt; $A1361)),0) + IFERROR(sum(FILTER('Fund Investment Data'!$V:$V, 'Fund Investment Data'!$C:$C = $C1361, 'Fund Investment Data'!$A:$A = $A1"&amp;"361, 'Fund Investment Data'!$B:$B &lt;= $B1361)),0)"),194469.0)</f>
        <v>194469</v>
      </c>
      <c r="T1361" s="93">
        <v>194469.0</v>
      </c>
      <c r="U1361" s="32">
        <f t="shared" si="42"/>
        <v>0</v>
      </c>
      <c r="V1361" s="32">
        <f>IFERROR(__xludf.DUMMYFUNCTION("$D1361 - IFERROR(FILTER($D:$D,$C:$C = $C1361, $A:$A = $A1361, $B:$B = $B1361 - 1),0)"),0.0)</f>
        <v>0</v>
      </c>
      <c r="W1361" s="93">
        <f>IFERROR(__xludf.DUMMYFUNCTION("$E1361 - IFERROR(FILTER($E:$E,$C:$C = $C1361, $A:$A = $A1361, $B:$B = $B1361 - 1),0)"),0.0)</f>
        <v>0</v>
      </c>
      <c r="X1361" s="91">
        <f>IFERROR(__xludf.DUMMYFUNCTION("iFERROR((FILTER('Fund Investment Data'!$Z:$Z, 'Fund Investment Data'!$C:$C = $C1361, 'Fund Investment Data'!$A:$A = $A1361 - 1, 'Fund Investment Data'!$B:$B = 12) + FILTER('Fund Investment Data'!$AB:$AB, 'Fund Investment Data'!$C:$C = $C1361, 'Fund Invest"&amp;"ment Data'!$A:$A = $A1361 - 1, 'Fund Investment Data'!$B:$B = 12)) * (1 + AVERAGE(FILTER('Inflation Data'!$C:$C,'Inflation Data'!$A:$A = ($A1361 - 2)))) * Parameters!$A$4,0)"),7542.876247032937)</f>
        <v>7542.876247</v>
      </c>
      <c r="Y1361" s="91">
        <f>IFERROR(__xludf.DUMMYFUNCTION("IFERROR((IFERROR(FILTER('Fund Investment Data'!$P:$P,'Fund Investment Data'!$C:$C = $C1361,'Fund Investment Data'!$A:$A = ($A1361 - 2), 'Fund Investment Data'!$B:$B = 12),0) - SUM(FILTER('Fund Investment Data'!$V:$V, 'Fund Investment Data'!$C:$C = $C1361,"&amp;" 'Fund Investment Data'!$A:$A = ($A1361 - 2), 'Fund Investment Data'!$B:$B &gt; 3)))  * Parameters!$B$4 * (1 - Parameters!$A$4),0)"),4042.544760000002)</f>
        <v>4042.54476</v>
      </c>
      <c r="Z1361" s="91">
        <f t="shared" si="24"/>
        <v>11585.42101</v>
      </c>
      <c r="AA1361" s="91">
        <f>IFERROR(__xludf.DUMMYFUNCTION("((IFERROR((SUM(FILTER('Fund Investment Data'!$V:$V, 'Fund Investment Data'!$C:$C = $C1361, 'Fund Investment Data'!$A:$A = $A1361 - 1, 'Fund Investment Data'!$B:$B &gt;= 4, 'Fund Investment Data'!$B:$B &lt;= ($B1361 + 5))) / 12) * ($B1361 - 3) * Parameters!$B$4,"&amp;" 0) + IF($B1361 &gt;= 9, IFERROR(SUM(FILTER('Fund Investment Data'!$V:$V, 'Fund Investment Data'!$C:$C = $C1361, 'Fund Investment Data'!$A:$A = $A1361, 'Fund Investment Data'!$B:$B &lt;= 3)) * Parameters!$B$4, 0),0)))"),0.0)</f>
        <v>0</v>
      </c>
      <c r="AB1361" s="32">
        <f>IFERROR(__xludf.DUMMYFUNCTION("IFERROR(((IFERROR(SUM(FILTER('Fund Investment Data'!$V:$V, 'Fund Investment Data'!$C:$C = $C1361, 'Fund Investment Data'!$A:$A = $A1361 - 2, 'Fund Investment Data'!$B:$B &gt;= 4)) * Parameters!$B$4,0) + IFERROR(SUM(FILTER('Fund Investment Data'!$V:$V, 'Fund "&amp;"Investment Data'!$C:$C = $C1361, 'Fund Investment Data'!$A:$A = $A1361 - 1, 'Fund Investment Data'!$B:$B &lt;= 3)) * Parameters!$B$4,0))),0)"),0.0)</f>
        <v>0</v>
      </c>
      <c r="AC1361" s="32">
        <f>IFERROR(__xludf.DUMMYFUNCTION("IFERROR(FILTER($AF:$AF,$C:$C = $C1361,$A:$A = $A1361 - 1,$B:$B = 12),0)"),0.0)</f>
        <v>0</v>
      </c>
      <c r="AD1361" s="32">
        <f t="shared" si="23"/>
        <v>11585.42101</v>
      </c>
      <c r="AE1361" s="32">
        <f t="shared" si="2"/>
        <v>11585.42101</v>
      </c>
      <c r="AF1361" s="32"/>
    </row>
    <row r="1362">
      <c r="A1362" s="86">
        <v>2019.0</v>
      </c>
      <c r="B1362" s="87">
        <v>4.0</v>
      </c>
      <c r="C1362" s="88" t="s">
        <v>43</v>
      </c>
      <c r="D1362" s="32"/>
      <c r="E1362" s="32"/>
      <c r="F1362" s="32"/>
      <c r="G1362" s="93">
        <v>-219.24</v>
      </c>
      <c r="H1362" s="93">
        <v>1237.52</v>
      </c>
      <c r="I1362" s="32"/>
      <c r="J1362" s="93">
        <v>11591.69</v>
      </c>
      <c r="K1362" s="32"/>
      <c r="L1362" s="32"/>
      <c r="M1362" s="32"/>
      <c r="N1362" s="32"/>
      <c r="O1362" s="93">
        <v>122908.0</v>
      </c>
      <c r="P1362" s="91">
        <f>IFERROR(__xludf.DUMMYFUNCTION("IFERROR(sum(FILTER($D:$N,$C:$C = $C1362,$A:$A &lt; $A1362,$B:$B = 12)),0) + sum($D1362:$N1362)"),122907.45000000003)</f>
        <v>122907.45</v>
      </c>
      <c r="Q1362" s="92">
        <f t="shared" si="1"/>
        <v>0.55</v>
      </c>
      <c r="R1362" s="91">
        <f t="array" ref="R1362">IFERROR(INDEX('Fund YTD Target Values'!$1:$1000, MATCH($C1362,'Fund YTD Target Values'!$A:$A,0), MATCH($A1362,'Fund YTD Target Values'!$1:$1,0)),0)</f>
        <v>133065.1141</v>
      </c>
      <c r="S1362" s="91">
        <f>IFERROR(__xludf.DUMMYFUNCTION("IFERROR(sum(FILTER('Fund Investment Data'!$V:$V, 'Fund Investment Data'!$C:$C = $C1362, 'Fund Investment Data'!$A:$A &lt; $A1362)),0) + IFERROR(sum(FILTER('Fund Investment Data'!$V:$V, 'Fund Investment Data'!$C:$C = $C1362, 'Fund Investment Data'!$A:$A = $A1"&amp;"362, 'Fund Investment Data'!$B:$B &lt;= $B1362)),0)"),100000.0)</f>
        <v>100000</v>
      </c>
      <c r="T1362" s="93">
        <v>100000.0</v>
      </c>
      <c r="U1362" s="32">
        <f t="shared" si="42"/>
        <v>0</v>
      </c>
      <c r="V1362" s="32">
        <f>IFERROR(__xludf.DUMMYFUNCTION("$D1362 - IFERROR(FILTER($D:$D,$C:$C = $C1362, $A:$A = $A1362, $B:$B = $B1362 - 1),0)"),0.0)</f>
        <v>0</v>
      </c>
      <c r="W1362" s="93">
        <f>IFERROR(__xludf.DUMMYFUNCTION("$E1362 - IFERROR(FILTER($E:$E,$C:$C = $C1362, $A:$A = $A1362, $B:$B = $B1362 - 1),0)"),0.0)</f>
        <v>0</v>
      </c>
      <c r="X1362" s="91">
        <f>IFERROR(__xludf.DUMMYFUNCTION("iFERROR((FILTER('Fund Investment Data'!$Z:$Z, 'Fund Investment Data'!$C:$C = $C1362, 'Fund Investment Data'!$A:$A = $A1362 - 1, 'Fund Investment Data'!$B:$B = 12) + FILTER('Fund Investment Data'!$AB:$AB, 'Fund Investment Data'!$C:$C = $C1362, 'Fund Invest"&amp;"ment Data'!$A:$A = $A1362 - 1, 'Fund Investment Data'!$B:$B = 12)) * (1 + AVERAGE(FILTER('Inflation Data'!$C:$C,'Inflation Data'!$A:$A = ($A1362 - 2)))) * Parameters!$A$4,0)"),4037.921818829265)</f>
        <v>4037.921819</v>
      </c>
      <c r="Y1362" s="91">
        <f>IFERROR(__xludf.DUMMYFUNCTION("IFERROR((IFERROR(FILTER('Fund Investment Data'!$P:$P,'Fund Investment Data'!$C:$C = $C1362,'Fund Investment Data'!$A:$A = ($A1362 - 2), 'Fund Investment Data'!$B:$B = 12),0) - SUM(FILTER('Fund Investment Data'!$V:$V, 'Fund Investment Data'!$C:$C = $C1362,"&amp;" 'Fund Investment Data'!$A:$A = ($A1362 - 2), 'Fund Investment Data'!$B:$B &gt; 3)))  * Parameters!$B$4 * (1 - Parameters!$A$4),0)"),1694.4194250000005)</f>
        <v>1694.419425</v>
      </c>
      <c r="Z1362" s="91">
        <f t="shared" si="24"/>
        <v>5732.341244</v>
      </c>
      <c r="AA1362" s="91">
        <f>IFERROR(__xludf.DUMMYFUNCTION("((IFERROR((SUM(FILTER('Fund Investment Data'!$V:$V, 'Fund Investment Data'!$C:$C = $C1362, 'Fund Investment Data'!$A:$A = $A1362 - 1, 'Fund Investment Data'!$B:$B &gt;= 4, 'Fund Investment Data'!$B:$B &lt;= ($B1362 + 5))) / 12) * ($B1362 - 3) * Parameters!$B$4,"&amp;" 0) + IF($B1362 &gt;= 9, IFERROR(SUM(FILTER('Fund Investment Data'!$V:$V, 'Fund Investment Data'!$C:$C = $C1362, 'Fund Investment Data'!$A:$A = $A1362, 'Fund Investment Data'!$B:$B &lt;= 3)) * Parameters!$B$4, 0),0)))"),0.0)</f>
        <v>0</v>
      </c>
      <c r="AB1362" s="32">
        <f>IFERROR(__xludf.DUMMYFUNCTION("IFERROR(((IFERROR(SUM(FILTER('Fund Investment Data'!$V:$V, 'Fund Investment Data'!$C:$C = $C1362, 'Fund Investment Data'!$A:$A = $A1362 - 2, 'Fund Investment Data'!$B:$B &gt;= 4)) * Parameters!$B$4,0) + IFERROR(SUM(FILTER('Fund Investment Data'!$V:$V, 'Fund "&amp;"Investment Data'!$C:$C = $C1362, 'Fund Investment Data'!$A:$A = $A1362 - 1, 'Fund Investment Data'!$B:$B &lt;= 3)) * Parameters!$B$4,0))),0)"),0.0)</f>
        <v>0</v>
      </c>
      <c r="AC1362" s="32">
        <f>IFERROR(__xludf.DUMMYFUNCTION("IFERROR(FILTER($AF:$AF,$C:$C = $C1362,$A:$A = $A1362 - 1,$B:$B = 12),0)"),0.0)</f>
        <v>0</v>
      </c>
      <c r="AD1362" s="32">
        <f t="shared" si="23"/>
        <v>5732.341244</v>
      </c>
      <c r="AE1362" s="32">
        <f t="shared" si="2"/>
        <v>5732.341244</v>
      </c>
      <c r="AF1362" s="32"/>
    </row>
    <row r="1363">
      <c r="A1363" s="86">
        <v>2019.0</v>
      </c>
      <c r="B1363" s="87">
        <v>4.0</v>
      </c>
      <c r="C1363" s="88" t="s">
        <v>52</v>
      </c>
      <c r="D1363" s="93">
        <v>1000.0</v>
      </c>
      <c r="E1363" s="93">
        <v>-16500.0</v>
      </c>
      <c r="F1363" s="32"/>
      <c r="G1363" s="93">
        <v>-2165.04</v>
      </c>
      <c r="H1363" s="93">
        <v>12244.81</v>
      </c>
      <c r="I1363" s="32"/>
      <c r="J1363" s="93">
        <v>114813.01</v>
      </c>
      <c r="K1363" s="32"/>
      <c r="L1363" s="93">
        <v>-19.35</v>
      </c>
      <c r="M1363" s="32"/>
      <c r="N1363" s="32"/>
      <c r="O1363" s="93">
        <v>1200914.0</v>
      </c>
      <c r="P1363" s="91">
        <f>IFERROR(__xludf.DUMMYFUNCTION("IFERROR(sum(FILTER($D:$N,$C:$C = $C1363,$A:$A &lt; $A1363,$B:$B = 12)),0) + sum($D1363:$N1363)"),1200913.4599999997)</f>
        <v>1200913.46</v>
      </c>
      <c r="Q1363" s="92">
        <f t="shared" si="1"/>
        <v>0.5400000003</v>
      </c>
      <c r="R1363" s="91">
        <f t="array" ref="R1363">IFERROR(INDEX('Fund YTD Target Values'!$1:$1000, MATCH($C1363,'Fund YTD Target Values'!$A:$A,0), MATCH($A1363,'Fund YTD Target Values'!$1:$1,0)),0)</f>
        <v>1170797.015</v>
      </c>
      <c r="S1363" s="91">
        <f>IFERROR(__xludf.DUMMYFUNCTION("IFERROR(sum(FILTER('Fund Investment Data'!$V:$V, 'Fund Investment Data'!$C:$C = $C1363, 'Fund Investment Data'!$A:$A &lt; $A1363)),0) + IFERROR(sum(FILTER('Fund Investment Data'!$V:$V, 'Fund Investment Data'!$C:$C = $C1363, 'Fund Investment Data'!$A:$A = $A1"&amp;"363, 'Fund Investment Data'!$B:$B &lt;= $B1363)),0)"),1081136.0)</f>
        <v>1081136</v>
      </c>
      <c r="T1363" s="32"/>
      <c r="U1363" s="32"/>
      <c r="V1363" s="32">
        <f>IFERROR(__xludf.DUMMYFUNCTION("$D1363 - IFERROR(FILTER($D:$D,$C:$C = $C1363, $A:$A = $A1363, $B:$B = $B1363 - 1),0)"),0.0)</f>
        <v>0</v>
      </c>
      <c r="W1363" s="93">
        <f>IFERROR(__xludf.DUMMYFUNCTION("$E1363 - IFERROR(FILTER($E:$E,$C:$C = $C1363, $A:$A = $A1363, $B:$B = $B1363 - 1),0)"),-3800.0)</f>
        <v>-3800</v>
      </c>
      <c r="X1363" s="91">
        <f>IFERROR(__xludf.DUMMYFUNCTION("iFERROR((FILTER('Fund Investment Data'!$Z:$Z, 'Fund Investment Data'!$C:$C = $C1363, 'Fund Investment Data'!$A:$A = $A1363 - 1, 'Fund Investment Data'!$B:$B = 12) + FILTER('Fund Investment Data'!$AB:$AB, 'Fund Investment Data'!$C:$C = $C1363, 'Fund Invest"&amp;"ment Data'!$A:$A = $A1363 - 1, 'Fund Investment Data'!$B:$B = 12)) * (1 + AVERAGE(FILTER('Inflation Data'!$C:$C,'Inflation Data'!$A:$A = ($A1363 - 2)))) * Parameters!$A$4,0)"),33647.195102028425)</f>
        <v>33647.1951</v>
      </c>
      <c r="Y1363" s="91">
        <f>IFERROR(__xludf.DUMMYFUNCTION("IFERROR((IFERROR(FILTER('Fund Investment Data'!$P:$P,'Fund Investment Data'!$C:$C = $C1363,'Fund Investment Data'!$A:$A = ($A1363 - 2), 'Fund Investment Data'!$B:$B = 12),0) - SUM(FILTER('Fund Investment Data'!$V:$V, 'Fund Investment Data'!$C:$C = $C1363,"&amp;" 'Fund Investment Data'!$A:$A = ($A1363 - 2), 'Fund Investment Data'!$B:$B &gt; 3)))  * Parameters!$B$4 * (1 - Parameters!$A$4),0)"),15672.907755)</f>
        <v>15672.90776</v>
      </c>
      <c r="Z1363" s="91">
        <f t="shared" si="24"/>
        <v>49320.10286</v>
      </c>
      <c r="AA1363" s="91">
        <f>IFERROR(__xludf.DUMMYFUNCTION("((IFERROR((SUM(FILTER('Fund Investment Data'!$V:$V, 'Fund Investment Data'!$C:$C = $C1363, 'Fund Investment Data'!$A:$A = $A1363 - 1, 'Fund Investment Data'!$B:$B &gt;= 4, 'Fund Investment Data'!$B:$B &lt;= ($B1363 + 5))) / 12) * ($B1363 - 3) * Parameters!$B$4,"&amp;" 0) + IF($B1363 &gt;= 9, IFERROR(SUM(FILTER('Fund Investment Data'!$V:$V, 'Fund Investment Data'!$C:$C = $C1363, 'Fund Investment Data'!$A:$A = $A1363, 'Fund Investment Data'!$B:$B &lt;= 3)) * Parameters!$B$4, 0),0)))"),0.0)</f>
        <v>0</v>
      </c>
      <c r="AB1363" s="32">
        <f>IFERROR(__xludf.DUMMYFUNCTION("IFERROR(((IFERROR(SUM(FILTER('Fund Investment Data'!$V:$V, 'Fund Investment Data'!$C:$C = $C1363, 'Fund Investment Data'!$A:$A = $A1363 - 2, 'Fund Investment Data'!$B:$B &gt;= 4)) * Parameters!$B$4,0) + IFERROR(SUM(FILTER('Fund Investment Data'!$V:$V, 'Fund "&amp;"Investment Data'!$C:$C = $C1363, 'Fund Investment Data'!$A:$A = $A1363 - 1, 'Fund Investment Data'!$B:$B &lt;= 3)) * Parameters!$B$4,0))),0)"),3532.5)</f>
        <v>3532.5</v>
      </c>
      <c r="AC1363" s="32">
        <f>IFERROR(__xludf.DUMMYFUNCTION("IFERROR(FILTER($AF:$AF,$C:$C = $C1363,$A:$A = $A1363 - 1,$B:$B = 12),0)"),0.0)</f>
        <v>0</v>
      </c>
      <c r="AD1363" s="32">
        <f t="shared" si="23"/>
        <v>52852.60286</v>
      </c>
      <c r="AE1363" s="32">
        <f t="shared" si="2"/>
        <v>36352.60286</v>
      </c>
      <c r="AF1363" s="32"/>
    </row>
    <row r="1364">
      <c r="A1364" s="86">
        <v>2019.0</v>
      </c>
      <c r="B1364" s="87">
        <v>4.0</v>
      </c>
      <c r="C1364" s="88" t="s">
        <v>33</v>
      </c>
      <c r="D1364" s="32"/>
      <c r="E1364" s="32"/>
      <c r="F1364" s="32"/>
      <c r="G1364" s="93">
        <v>-621.99</v>
      </c>
      <c r="H1364" s="93">
        <v>3511.18</v>
      </c>
      <c r="I1364" s="32"/>
      <c r="J1364" s="93">
        <v>32888.64</v>
      </c>
      <c r="K1364" s="32"/>
      <c r="L1364" s="32"/>
      <c r="M1364" s="32"/>
      <c r="N1364" s="32"/>
      <c r="O1364" s="93">
        <v>348723.0</v>
      </c>
      <c r="P1364" s="91">
        <f>IFERROR(__xludf.DUMMYFUNCTION("IFERROR(sum(FILTER($D:$N,$C:$C = $C1364,$A:$A &lt; $A1364,$B:$B = 12)),0) + sum($D1364:$N1364)"),348723.00999999983)</f>
        <v>348723.01</v>
      </c>
      <c r="Q1364" s="92">
        <f t="shared" si="1"/>
        <v>-0.009999999835</v>
      </c>
      <c r="R1364" s="91">
        <f t="array" ref="R1364">IFERROR(INDEX('Fund YTD Target Values'!$1:$1000, MATCH($C1364,'Fund YTD Target Values'!$A:$A,0), MATCH($A1364,'Fund YTD Target Values'!$1:$1,0)),0)</f>
        <v>522221.9976</v>
      </c>
      <c r="S1364" s="91">
        <f>IFERROR(__xludf.DUMMYFUNCTION("IFERROR(sum(FILTER('Fund Investment Data'!$V:$V, 'Fund Investment Data'!$C:$C = $C1364, 'Fund Investment Data'!$A:$A &lt; $A1364)),0) + IFERROR(sum(FILTER('Fund Investment Data'!$V:$V, 'Fund Investment Data'!$C:$C = $C1364, 'Fund Investment Data'!$A:$A = $A1"&amp;"364, 'Fund Investment Data'!$B:$B &lt;= $B1364)),0)"),325871.6399999999)</f>
        <v>325871.64</v>
      </c>
      <c r="T1364" s="93">
        <v>326032.0</v>
      </c>
      <c r="U1364" s="32">
        <f t="shared" ref="U1364:U1365" si="43">S1364-T1364</f>
        <v>-160.36</v>
      </c>
      <c r="V1364" s="32">
        <f>IFERROR(__xludf.DUMMYFUNCTION("$D1364 - IFERROR(FILTER($D:$D,$C:$C = $C1364, $A:$A = $A1364, $B:$B = $B1364 - 1),0)"),0.0)</f>
        <v>0</v>
      </c>
      <c r="W1364" s="93">
        <f>IFERROR(__xludf.DUMMYFUNCTION("$E1364 - IFERROR(FILTER($E:$E,$C:$C = $C1364, $A:$A = $A1364, $B:$B = $B1364 - 1),0)"),0.0)</f>
        <v>0</v>
      </c>
      <c r="X1364" s="91">
        <f>IFERROR(__xludf.DUMMYFUNCTION("iFERROR((FILTER('Fund Investment Data'!$Z:$Z, 'Fund Investment Data'!$C:$C = $C1364, 'Fund Investment Data'!$A:$A = $A1364 - 1, 'Fund Investment Data'!$B:$B = 12) + FILTER('Fund Investment Data'!$AB:$AB, 'Fund Investment Data'!$C:$C = $C1364, 'Fund Invest"&amp;"ment Data'!$A:$A = $A1364 - 1, 'Fund Investment Data'!$B:$B = 12)) * (1 + AVERAGE(FILTER('Inflation Data'!$C:$C,'Inflation Data'!$A:$A = ($A1364 - 2)))) * Parameters!$A$4,0)"),11487.702435867292)</f>
        <v>11487.70244</v>
      </c>
      <c r="Y1364" s="91">
        <f>IFERROR(__xludf.DUMMYFUNCTION("IFERROR((IFERROR(FILTER('Fund Investment Data'!$P:$P,'Fund Investment Data'!$C:$C = $C1364,'Fund Investment Data'!$A:$A = ($A1364 - 2), 'Fund Investment Data'!$B:$B = 12),0) - SUM(FILTER('Fund Investment Data'!$V:$V, 'Fund Investment Data'!$C:$C = $C1364,"&amp;" 'Fund Investment Data'!$A:$A = ($A1364 - 2), 'Fund Investment Data'!$B:$B &gt; 3)))  * Parameters!$B$4 * (1 - Parameters!$A$4),0)"),4820.5455749999965)</f>
        <v>4820.545575</v>
      </c>
      <c r="Z1364" s="91">
        <f t="shared" si="24"/>
        <v>16308.24801</v>
      </c>
      <c r="AA1364" s="91">
        <f>IFERROR(__xludf.DUMMYFUNCTION("((IFERROR((SUM(FILTER('Fund Investment Data'!$V:$V, 'Fund Investment Data'!$C:$C = $C1364, 'Fund Investment Data'!$A:$A = $A1364 - 1, 'Fund Investment Data'!$B:$B &gt;= 4, 'Fund Investment Data'!$B:$B &lt;= ($B1364 + 5))) / 12) * ($B1364 - 3) * Parameters!$B$4,"&amp;" 0) + IF($B1364 &gt;= 9, IFERROR(SUM(FILTER('Fund Investment Data'!$V:$V, 'Fund Investment Data'!$C:$C = $C1364, 'Fund Investment Data'!$A:$A = $A1364, 'Fund Investment Data'!$B:$B &lt;= 3)) * Parameters!$B$4, 0),0)))"),0.0)</f>
        <v>0</v>
      </c>
      <c r="AB1364" s="32">
        <f>IFERROR(__xludf.DUMMYFUNCTION("IFERROR(((IFERROR(SUM(FILTER('Fund Investment Data'!$V:$V, 'Fund Investment Data'!$C:$C = $C1364, 'Fund Investment Data'!$A:$A = $A1364 - 2, 'Fund Investment Data'!$B:$B &gt;= 4)) * Parameters!$B$4,0) + IFERROR(SUM(FILTER('Fund Investment Data'!$V:$V, 'Fund "&amp;"Investment Data'!$C:$C = $C1364, 'Fund Investment Data'!$A:$A = $A1364 - 1, 'Fund Investment Data'!$B:$B &lt;= 3)) * Parameters!$B$4,0))),0)"),0.0)</f>
        <v>0</v>
      </c>
      <c r="AC1364" s="32">
        <f>IFERROR(__xludf.DUMMYFUNCTION("IFERROR(FILTER($AF:$AF,$C:$C = $C1364,$A:$A = $A1364 - 1,$B:$B = 12),0)"),0.0)</f>
        <v>0</v>
      </c>
      <c r="AD1364" s="32">
        <f t="shared" si="23"/>
        <v>16308.24801</v>
      </c>
      <c r="AE1364" s="32">
        <f t="shared" si="2"/>
        <v>16308.24801</v>
      </c>
      <c r="AF1364" s="32"/>
    </row>
    <row r="1365">
      <c r="A1365" s="86">
        <v>2019.0</v>
      </c>
      <c r="B1365" s="87">
        <v>4.0</v>
      </c>
      <c r="C1365" s="88" t="s">
        <v>53</v>
      </c>
      <c r="D1365" s="32"/>
      <c r="E1365" s="93">
        <v>-28200.0</v>
      </c>
      <c r="F1365" s="32"/>
      <c r="G1365" s="93">
        <v>-4055.42</v>
      </c>
      <c r="H1365" s="93">
        <v>22724.4</v>
      </c>
      <c r="I1365" s="32"/>
      <c r="J1365" s="93">
        <v>210506.99</v>
      </c>
      <c r="K1365" s="32"/>
      <c r="L1365" s="32"/>
      <c r="M1365" s="32"/>
      <c r="N1365" s="32"/>
      <c r="O1365" s="93">
        <v>2247511.0</v>
      </c>
      <c r="P1365" s="91">
        <f>IFERROR(__xludf.DUMMYFUNCTION("IFERROR(sum(FILTER($D:$N,$C:$C = $C1365,$A:$A &lt; $A1365,$B:$B = 12)),0) + sum($D1365:$N1365)"),2247510.85)</f>
        <v>2247510.85</v>
      </c>
      <c r="Q1365" s="92">
        <f t="shared" si="1"/>
        <v>0.1499999999</v>
      </c>
      <c r="R1365" s="91">
        <f t="array" ref="R1365">IFERROR(INDEX('Fund YTD Target Values'!$1:$1000, MATCH($C1365,'Fund YTD Target Values'!$A:$A,0), MATCH($A1365,'Fund YTD Target Values'!$1:$1,0)),0)</f>
        <v>2265063.703</v>
      </c>
      <c r="S1365" s="91">
        <f>IFERROR(__xludf.DUMMYFUNCTION("IFERROR(sum(FILTER('Fund Investment Data'!$V:$V, 'Fund Investment Data'!$C:$C = $C1365, 'Fund Investment Data'!$A:$A &lt; $A1365)),0) + IFERROR(sum(FILTER('Fund Investment Data'!$V:$V, 'Fund Investment Data'!$C:$C = $C1365, 'Fund Investment Data'!$A:$A = $A1"&amp;"365, 'Fund Investment Data'!$B:$B &lt;= $B1365)),0)"),2005500.0)</f>
        <v>2005500</v>
      </c>
      <c r="T1365" s="93">
        <v>2005500.0</v>
      </c>
      <c r="U1365" s="32">
        <f t="shared" si="43"/>
        <v>0</v>
      </c>
      <c r="V1365" s="32">
        <f>IFERROR(__xludf.DUMMYFUNCTION("$D1365 - IFERROR(FILTER($D:$D,$C:$C = $C1365, $A:$A = $A1365, $B:$B = $B1365 - 1),0)"),0.0)</f>
        <v>0</v>
      </c>
      <c r="W1365" s="93">
        <f>IFERROR(__xludf.DUMMYFUNCTION("$E1365 - IFERROR(FILTER($E:$E,$C:$C = $C1365, $A:$A = $A1365, $B:$B = $B1365 - 1),0)"),-12500.0)</f>
        <v>-12500</v>
      </c>
      <c r="X1365" s="91">
        <f>IFERROR(__xludf.DUMMYFUNCTION("iFERROR((FILTER('Fund Investment Data'!$Z:$Z, 'Fund Investment Data'!$C:$C = $C1365, 'Fund Investment Data'!$A:$A = $A1365 - 1, 'Fund Investment Data'!$B:$B = 12) + FILTER('Fund Investment Data'!$AB:$AB, 'Fund Investment Data'!$C:$C = $C1365, 'Fund Invest"&amp;"ment Data'!$A:$A = $A1365 - 1, 'Fund Investment Data'!$B:$B = 12)) * (1 + AVERAGE(FILTER('Inflation Data'!$C:$C,'Inflation Data'!$A:$A = ($A1365 - 2)))) * Parameters!$A$4,0)"),69866.97627398264)</f>
        <v>69866.97627</v>
      </c>
      <c r="Y1365" s="91">
        <f>IFERROR(__xludf.DUMMYFUNCTION("IFERROR((IFERROR(FILTER('Fund Investment Data'!$P:$P,'Fund Investment Data'!$C:$C = $C1365,'Fund Investment Data'!$A:$A = ($A1365 - 2), 'Fund Investment Data'!$B:$B = 12),0) - SUM(FILTER('Fund Investment Data'!$V:$V, 'Fund Investment Data'!$C:$C = $C1365,"&amp;" 'Fund Investment Data'!$A:$A = ($A1365 - 2), 'Fund Investment Data'!$B:$B &gt; 3)))  * Parameters!$B$4 * (1 - Parameters!$A$4),0)"),30716.748180000002)</f>
        <v>30716.74818</v>
      </c>
      <c r="Z1365" s="91">
        <f t="shared" si="24"/>
        <v>100583.7245</v>
      </c>
      <c r="AA1365" s="91">
        <f>IFERROR(__xludf.DUMMYFUNCTION("((IFERROR((SUM(FILTER('Fund Investment Data'!$V:$V, 'Fund Investment Data'!$C:$C = $C1365, 'Fund Investment Data'!$A:$A = $A1365 - 1, 'Fund Investment Data'!$B:$B &gt;= 4, 'Fund Investment Data'!$B:$B &lt;= ($B1365 + 5))) / 12) * ($B1365 - 3) * Parameters!$B$4,"&amp;" 0) + IF($B1365 &gt;= 9, IFERROR(SUM(FILTER('Fund Investment Data'!$V:$V, 'Fund Investment Data'!$C:$C = $C1365, 'Fund Investment Data'!$A:$A = $A1365, 'Fund Investment Data'!$B:$B &lt;= 3)) * Parameters!$B$4, 0),0)))"),0.0)</f>
        <v>0</v>
      </c>
      <c r="AB1365" s="32">
        <f>IFERROR(__xludf.DUMMYFUNCTION("IFERROR(((IFERROR(SUM(FILTER('Fund Investment Data'!$V:$V, 'Fund Investment Data'!$C:$C = $C1365, 'Fund Investment Data'!$A:$A = $A1365 - 2, 'Fund Investment Data'!$B:$B &gt;= 4)) * Parameters!$B$4,0) + IFERROR(SUM(FILTER('Fund Investment Data'!$V:$V, 'Fund "&amp;"Investment Data'!$C:$C = $C1365, 'Fund Investment Data'!$A:$A = $A1365 - 1, 'Fund Investment Data'!$B:$B &lt;= 3)) * Parameters!$B$4,0))),0)"),0.0)</f>
        <v>0</v>
      </c>
      <c r="AC1365" s="32">
        <f>IFERROR(__xludf.DUMMYFUNCTION("IFERROR(FILTER($AF:$AF,$C:$C = $C1365,$A:$A = $A1365 - 1,$B:$B = 12),0)"),43500.0)</f>
        <v>43500</v>
      </c>
      <c r="AD1365" s="32">
        <f t="shared" si="23"/>
        <v>144083.7245</v>
      </c>
      <c r="AE1365" s="32">
        <f t="shared" si="2"/>
        <v>115883.7245</v>
      </c>
      <c r="AF1365" s="32"/>
    </row>
    <row r="1366">
      <c r="A1366" s="86">
        <v>2019.0</v>
      </c>
      <c r="B1366" s="87">
        <v>4.0</v>
      </c>
      <c r="C1366" s="88" t="s">
        <v>34</v>
      </c>
      <c r="D1366" s="32"/>
      <c r="E1366" s="32"/>
      <c r="F1366" s="32"/>
      <c r="G1366" s="93">
        <v>-261.24</v>
      </c>
      <c r="H1366" s="93">
        <v>1474.78</v>
      </c>
      <c r="I1366" s="32"/>
      <c r="J1366" s="93">
        <v>13814.95</v>
      </c>
      <c r="K1366" s="32"/>
      <c r="L1366" s="32"/>
      <c r="M1366" s="32"/>
      <c r="N1366" s="32"/>
      <c r="O1366" s="93">
        <v>146468.0</v>
      </c>
      <c r="P1366" s="91">
        <f>IFERROR(__xludf.DUMMYFUNCTION("IFERROR(sum(FILTER($D:$N,$C:$C = $C1366,$A:$A &lt; $A1366,$B:$B = 12)),0) + sum($D1366:$N1366)"),146467.75999999995)</f>
        <v>146467.76</v>
      </c>
      <c r="Q1366" s="92">
        <f t="shared" si="1"/>
        <v>0.24</v>
      </c>
      <c r="R1366" s="91">
        <f t="array" ref="R1366">IFERROR(INDEX('Fund YTD Target Values'!$1:$1000, MATCH($C1366,'Fund YTD Target Values'!$A:$A,0), MATCH($A1366,'Fund YTD Target Values'!$1:$1,0)),0)</f>
        <v>137779.5763</v>
      </c>
      <c r="S1366" s="91">
        <f>IFERROR(__xludf.DUMMYFUNCTION("IFERROR(sum(FILTER('Fund Investment Data'!$V:$V, 'Fund Investment Data'!$C:$C = $C1366, 'Fund Investment Data'!$A:$A &lt; $A1366)),0) + IFERROR(sum(FILTER('Fund Investment Data'!$V:$V, 'Fund Investment Data'!$C:$C = $C1366, 'Fund Investment Data'!$A:$A = $A1"&amp;"366, 'Fund Investment Data'!$B:$B &lt;= $B1366)),0)"),125000.0)</f>
        <v>125000</v>
      </c>
      <c r="T1366" s="32"/>
      <c r="U1366" s="32"/>
      <c r="V1366" s="32">
        <f>IFERROR(__xludf.DUMMYFUNCTION("$D1366 - IFERROR(FILTER($D:$D,$C:$C = $C1366, $A:$A = $A1366, $B:$B = $B1366 - 1),0)"),0.0)</f>
        <v>0</v>
      </c>
      <c r="W1366" s="93">
        <f>IFERROR(__xludf.DUMMYFUNCTION("$E1366 - IFERROR(FILTER($E:$E,$C:$C = $C1366, $A:$A = $A1366, $B:$B = $B1366 - 1),0)"),0.0)</f>
        <v>0</v>
      </c>
      <c r="X1366" s="91">
        <f>IFERROR(__xludf.DUMMYFUNCTION("iFERROR((FILTER('Fund Investment Data'!$Z:$Z, 'Fund Investment Data'!$C:$C = $C1366, 'Fund Investment Data'!$A:$A = $A1366 - 1, 'Fund Investment Data'!$B:$B = 12) + FILTER('Fund Investment Data'!$AB:$AB, 'Fund Investment Data'!$C:$C = $C1366, 'Fund Invest"&amp;"ment Data'!$A:$A = $A1366 - 1, 'Fund Investment Data'!$B:$B = 12)) * (1 + AVERAGE(FILTER('Inflation Data'!$C:$C,'Inflation Data'!$A:$A = ($A1366 - 2)))) * Parameters!$A$4,0)"),4414.569951711041)</f>
        <v>4414.569952</v>
      </c>
      <c r="Y1366" s="91">
        <f>IFERROR(__xludf.DUMMYFUNCTION("IFERROR((IFERROR(FILTER('Fund Investment Data'!$P:$P,'Fund Investment Data'!$C:$C = $C1366,'Fund Investment Data'!$A:$A = ($A1366 - 2), 'Fund Investment Data'!$B:$B = 12),0) - SUM(FILTER('Fund Investment Data'!$V:$V, 'Fund Investment Data'!$C:$C = $C1366,"&amp;" 'Fund Investment Data'!$A:$A = ($A1366 - 2), 'Fund Investment Data'!$B:$B &gt; 3)))  * Parameters!$B$4 * (1 - Parameters!$A$4),0)"),1947.8901600000004)</f>
        <v>1947.89016</v>
      </c>
      <c r="Z1366" s="91">
        <f t="shared" si="24"/>
        <v>6362.460112</v>
      </c>
      <c r="AA1366" s="91">
        <f>IFERROR(__xludf.DUMMYFUNCTION("((IFERROR((SUM(FILTER('Fund Investment Data'!$V:$V, 'Fund Investment Data'!$C:$C = $C1366, 'Fund Investment Data'!$A:$A = $A1366 - 1, 'Fund Investment Data'!$B:$B &gt;= 4, 'Fund Investment Data'!$B:$B &lt;= ($B1366 + 5))) / 12) * ($B1366 - 3) * Parameters!$B$4,"&amp;" 0) + IF($B1366 &gt;= 9, IFERROR(SUM(FILTER('Fund Investment Data'!$V:$V, 'Fund Investment Data'!$C:$C = $C1366, 'Fund Investment Data'!$A:$A = $A1366, 'Fund Investment Data'!$B:$B &lt;= 3)) * Parameters!$B$4, 0),0)))"),0.0)</f>
        <v>0</v>
      </c>
      <c r="AB1366" s="32">
        <f>IFERROR(__xludf.DUMMYFUNCTION("IFERROR(((IFERROR(SUM(FILTER('Fund Investment Data'!$V:$V, 'Fund Investment Data'!$C:$C = $C1366, 'Fund Investment Data'!$A:$A = $A1366 - 2, 'Fund Investment Data'!$B:$B &gt;= 4)) * Parameters!$B$4,0) + IFERROR(SUM(FILTER('Fund Investment Data'!$V:$V, 'Fund "&amp;"Investment Data'!$C:$C = $C1366, 'Fund Investment Data'!$A:$A = $A1366 - 1, 'Fund Investment Data'!$B:$B &lt;= 3)) * Parameters!$B$4,0))),0)"),0.0)</f>
        <v>0</v>
      </c>
      <c r="AC1366" s="32">
        <f>IFERROR(__xludf.DUMMYFUNCTION("IFERROR(FILTER($AF:$AF,$C:$C = $C1366,$A:$A = $A1366 - 1,$B:$B = 12),0)"),0.0)</f>
        <v>0</v>
      </c>
      <c r="AD1366" s="32">
        <f t="shared" si="23"/>
        <v>6362.460112</v>
      </c>
      <c r="AE1366" s="32">
        <f t="shared" si="2"/>
        <v>6362.460112</v>
      </c>
      <c r="AF1366" s="32"/>
    </row>
    <row r="1367">
      <c r="A1367" s="86">
        <v>2019.0</v>
      </c>
      <c r="B1367" s="87">
        <v>4.0</v>
      </c>
      <c r="C1367" s="88" t="s">
        <v>54</v>
      </c>
      <c r="D1367" s="93">
        <v>156.0</v>
      </c>
      <c r="E1367" s="32"/>
      <c r="F1367" s="32"/>
      <c r="G1367" s="93">
        <v>-308.09</v>
      </c>
      <c r="H1367" s="93">
        <v>1737.22</v>
      </c>
      <c r="I1367" s="32"/>
      <c r="J1367" s="93">
        <v>16231.92</v>
      </c>
      <c r="K1367" s="32"/>
      <c r="L1367" s="32"/>
      <c r="M1367" s="32"/>
      <c r="N1367" s="32"/>
      <c r="O1367" s="93">
        <v>172783.0</v>
      </c>
      <c r="P1367" s="91">
        <f>IFERROR(__xludf.DUMMYFUNCTION("IFERROR(sum(FILTER($D:$N,$C:$C = $C1367,$A:$A &lt; $A1367,$B:$B = 12)),0) + sum($D1367:$N1367)"),172784.09999999995)</f>
        <v>172784.1</v>
      </c>
      <c r="Q1367" s="92">
        <f t="shared" si="1"/>
        <v>-1.1</v>
      </c>
      <c r="R1367" s="91">
        <f t="array" ref="R1367">IFERROR(INDEX('Fund YTD Target Values'!$1:$1000, MATCH($C1367,'Fund YTD Target Values'!$A:$A,0), MATCH($A1367,'Fund YTD Target Values'!$1:$1,0)),0)</f>
        <v>158496.8702</v>
      </c>
      <c r="S1367" s="91">
        <f>IFERROR(__xludf.DUMMYFUNCTION("IFERROR(sum(FILTER('Fund Investment Data'!$V:$V, 'Fund Investment Data'!$C:$C = $C1367, 'Fund Investment Data'!$A:$A &lt; $A1367)),0) + IFERROR(sum(FILTER('Fund Investment Data'!$V:$V, 'Fund Investment Data'!$C:$C = $C1367, 'Fund Investment Data'!$A:$A = $A1"&amp;"367, 'Fund Investment Data'!$B:$B &lt;= $B1367)),0)"),112623.10999999999)</f>
        <v>112623.11</v>
      </c>
      <c r="T1367" s="32"/>
      <c r="U1367" s="32"/>
      <c r="V1367" s="32">
        <f>IFERROR(__xludf.DUMMYFUNCTION("$D1367 - IFERROR(FILTER($D:$D,$C:$C = $C1367, $A:$A = $A1367, $B:$B = $B1367 - 1),0)"),56.0)</f>
        <v>56</v>
      </c>
      <c r="W1367" s="93">
        <f>IFERROR(__xludf.DUMMYFUNCTION("$E1367 - IFERROR(FILTER($E:$E,$C:$C = $C1367, $A:$A = $A1367, $B:$B = $B1367 - 1),0)"),0.0)</f>
        <v>0</v>
      </c>
      <c r="X1367" s="91">
        <f>IFERROR(__xludf.DUMMYFUNCTION("iFERROR((FILTER('Fund Investment Data'!$Z:$Z, 'Fund Investment Data'!$C:$C = $C1367, 'Fund Investment Data'!$A:$A = $A1367 - 1, 'Fund Investment Data'!$B:$B = 12) + FILTER('Fund Investment Data'!$AB:$AB, 'Fund Investment Data'!$C:$C = $C1367, 'Fund Invest"&amp;"ment Data'!$A:$A = $A1367 - 1, 'Fund Investment Data'!$B:$B = 12)) * (1 + AVERAGE(FILTER('Inflation Data'!$C:$C,'Inflation Data'!$A:$A = ($A1367 - 2)))) * Parameters!$A$4,0)"),5306.102894924851)</f>
        <v>5306.102895</v>
      </c>
      <c r="Y1367" s="91">
        <f>IFERROR(__xludf.DUMMYFUNCTION("IFERROR((IFERROR(FILTER('Fund Investment Data'!$P:$P,'Fund Investment Data'!$C:$C = $C1367,'Fund Investment Data'!$A:$A = ($A1367 - 2), 'Fund Investment Data'!$B:$B = 12),0) - SUM(FILTER('Fund Investment Data'!$V:$V, 'Fund Investment Data'!$C:$C = $C1367,"&amp;" 'Fund Investment Data'!$A:$A = ($A1367 - 2), 'Fund Investment Data'!$B:$B &gt; 3)))  * Parameters!$B$4 * (1 - Parameters!$A$4),0)"),2330.059095)</f>
        <v>2330.059095</v>
      </c>
      <c r="Z1367" s="91">
        <f t="shared" si="24"/>
        <v>7636.16199</v>
      </c>
      <c r="AA1367" s="91">
        <f>IFERROR(__xludf.DUMMYFUNCTION("((IFERROR((SUM(FILTER('Fund Investment Data'!$V:$V, 'Fund Investment Data'!$C:$C = $C1367, 'Fund Investment Data'!$A:$A = $A1367 - 1, 'Fund Investment Data'!$B:$B &gt;= 4, 'Fund Investment Data'!$B:$B &lt;= ($B1367 + 5))) / 12) * ($B1367 - 3) * Parameters!$B$4,"&amp;" 0) + IF($B1367 &gt;= 9, IFERROR(SUM(FILTER('Fund Investment Data'!$V:$V, 'Fund Investment Data'!$C:$C = $C1367, 'Fund Investment Data'!$A:$A = $A1367, 'Fund Investment Data'!$B:$B &lt;= 3)) * Parameters!$B$4, 0),0)))"),0.13124999999999998)</f>
        <v>0.13125</v>
      </c>
      <c r="AB1367" s="32">
        <f>IFERROR(__xludf.DUMMYFUNCTION("IFERROR(((IFERROR(SUM(FILTER('Fund Investment Data'!$V:$V, 'Fund Investment Data'!$C:$C = $C1367, 'Fund Investment Data'!$A:$A = $A1367 - 2, 'Fund Investment Data'!$B:$B &gt;= 4)) * Parameters!$B$4,0) + IFERROR(SUM(FILTER('Fund Investment Data'!$V:$V, 'Fund "&amp;"Investment Data'!$C:$C = $C1367, 'Fund Investment Data'!$A:$A = $A1367 - 1, 'Fund Investment Data'!$B:$B &lt;= 3)) * Parameters!$B$4,0))),0)"),13.32)</f>
        <v>13.32</v>
      </c>
      <c r="AC1367" s="32">
        <f>IFERROR(__xludf.DUMMYFUNCTION("IFERROR(FILTER($AF:$AF,$C:$C = $C1367,$A:$A = $A1367 - 1,$B:$B = 12),0)"),0.0)</f>
        <v>0</v>
      </c>
      <c r="AD1367" s="32">
        <f t="shared" si="23"/>
        <v>7649.61324</v>
      </c>
      <c r="AE1367" s="32">
        <f t="shared" si="2"/>
        <v>7649.61324</v>
      </c>
      <c r="AF1367" s="32"/>
    </row>
    <row r="1368">
      <c r="A1368" s="86">
        <v>2019.0</v>
      </c>
      <c r="B1368" s="87">
        <v>4.0</v>
      </c>
      <c r="C1368" s="88" t="s">
        <v>55</v>
      </c>
      <c r="D1368" s="32"/>
      <c r="E1368" s="32"/>
      <c r="F1368" s="32"/>
      <c r="G1368" s="93">
        <v>-543.55</v>
      </c>
      <c r="H1368" s="93">
        <v>2829.11</v>
      </c>
      <c r="I1368" s="32"/>
      <c r="J1368" s="93">
        <v>21338.68</v>
      </c>
      <c r="K1368" s="32"/>
      <c r="L1368" s="32"/>
      <c r="M1368" s="32"/>
      <c r="N1368" s="32"/>
      <c r="O1368" s="93">
        <v>301155.0</v>
      </c>
      <c r="P1368" s="91">
        <f>IFERROR(__xludf.DUMMYFUNCTION("IFERROR(sum(FILTER($D:$N,$C:$C = $C1368,$A:$A &lt; $A1368,$B:$B = 12)),0) + sum($D1368:$N1368)"),301155.17999999993)</f>
        <v>301155.18</v>
      </c>
      <c r="Q1368" s="92">
        <f t="shared" si="1"/>
        <v>-0.1799999999</v>
      </c>
      <c r="R1368" s="91">
        <f t="array" ref="R1368">IFERROR(INDEX('Fund YTD Target Values'!$1:$1000, MATCH($C1368,'Fund YTD Target Values'!$A:$A,0), MATCH($A1368,'Fund YTD Target Values'!$1:$1,0)),0)</f>
        <v>364349.1694</v>
      </c>
      <c r="S1368" s="91">
        <f>IFERROR(__xludf.DUMMYFUNCTION("IFERROR(sum(FILTER('Fund Investment Data'!$V:$V, 'Fund Investment Data'!$C:$C = $C1368, 'Fund Investment Data'!$A:$A &lt; $A1368)),0) + IFERROR(sum(FILTER('Fund Investment Data'!$V:$V, 'Fund Investment Data'!$C:$C = $C1368, 'Fund Investment Data'!$A:$A = $A1"&amp;"368, 'Fund Investment Data'!$B:$B &lt;= $B1368)),0)"),280000.0)</f>
        <v>280000</v>
      </c>
      <c r="T1368" s="32"/>
      <c r="U1368" s="32"/>
      <c r="V1368" s="32">
        <f>IFERROR(__xludf.DUMMYFUNCTION("$D1368 - IFERROR(FILTER($D:$D,$C:$C = $C1368, $A:$A = $A1368, $B:$B = $B1368 - 1),0)"),0.0)</f>
        <v>0</v>
      </c>
      <c r="W1368" s="93">
        <f>IFERROR(__xludf.DUMMYFUNCTION("$E1368 - IFERROR(FILTER($E:$E,$C:$C = $C1368, $A:$A = $A1368, $B:$B = $B1368 - 1),0)"),0.0)</f>
        <v>0</v>
      </c>
      <c r="X1368" s="91">
        <f>IFERROR(__xludf.DUMMYFUNCTION("iFERROR((FILTER('Fund Investment Data'!$Z:$Z, 'Fund Investment Data'!$C:$C = $C1368, 'Fund Investment Data'!$A:$A = $A1368 - 1, 'Fund Investment Data'!$B:$B = 12) + FILTER('Fund Investment Data'!$AB:$AB, 'Fund Investment Data'!$C:$C = $C1368, 'Fund Invest"&amp;"ment Data'!$A:$A = $A1368 - 1, 'Fund Investment Data'!$B:$B = 12)) * (1 + AVERAGE(FILTER('Inflation Data'!$C:$C,'Inflation Data'!$A:$A = ($A1368 - 2)))) * Parameters!$A$4,0)"),6881.036839036868)</f>
        <v>6881.036839</v>
      </c>
      <c r="Y1368" s="91">
        <f>IFERROR(__xludf.DUMMYFUNCTION("IFERROR((IFERROR(FILTER('Fund Investment Data'!$P:$P,'Fund Investment Data'!$C:$C = $C1368,'Fund Investment Data'!$A:$A = ($A1368 - 2), 'Fund Investment Data'!$B:$B = 12),0) - SUM(FILTER('Fund Investment Data'!$V:$V, 'Fund Investment Data'!$C:$C = $C1368,"&amp;" 'Fund Investment Data'!$A:$A = ($A1368 - 2), 'Fund Investment Data'!$B:$B &gt; 3)))  * Parameters!$B$4 * (1 - Parameters!$A$4),0)"),2147.3742599999996)</f>
        <v>2147.37426</v>
      </c>
      <c r="Z1368" s="91">
        <f t="shared" si="24"/>
        <v>9028.411099</v>
      </c>
      <c r="AA1368" s="91">
        <f>IFERROR(__xludf.DUMMYFUNCTION("((IFERROR((SUM(FILTER('Fund Investment Data'!$V:$V, 'Fund Investment Data'!$C:$C = $C1368, 'Fund Investment Data'!$A:$A = $A1368 - 1, 'Fund Investment Data'!$B:$B &gt;= 4, 'Fund Investment Data'!$B:$B &lt;= ($B1368 + 5))) / 12) * ($B1368 - 3) * Parameters!$B$4,"&amp;" 0) + IF($B1368 &gt;= 9, IFERROR(SUM(FILTER('Fund Investment Data'!$V:$V, 'Fund Investment Data'!$C:$C = $C1368, 'Fund Investment Data'!$A:$A = $A1368, 'Fund Investment Data'!$B:$B &lt;= 3)) * Parameters!$B$4, 0),0)))"),0.0)</f>
        <v>0</v>
      </c>
      <c r="AB1368" s="32">
        <f>IFERROR(__xludf.DUMMYFUNCTION("IFERROR(((IFERROR(SUM(FILTER('Fund Investment Data'!$V:$V, 'Fund Investment Data'!$C:$C = $C1368, 'Fund Investment Data'!$A:$A = $A1368 - 2, 'Fund Investment Data'!$B:$B &gt;= 4)) * Parameters!$B$4,0) + IFERROR(SUM(FILTER('Fund Investment Data'!$V:$V, 'Fund "&amp;"Investment Data'!$C:$C = $C1368, 'Fund Investment Data'!$A:$A = $A1368 - 1, 'Fund Investment Data'!$B:$B &lt;= 3)) * Parameters!$B$4,0))),0)"),3150.0)</f>
        <v>3150</v>
      </c>
      <c r="AC1368" s="32">
        <f>IFERROR(__xludf.DUMMYFUNCTION("IFERROR(FILTER($AF:$AF,$C:$C = $C1368,$A:$A = $A1368 - 1,$B:$B = 12),0)"),5000.0)</f>
        <v>5000</v>
      </c>
      <c r="AD1368" s="32">
        <f t="shared" si="23"/>
        <v>17178.4111</v>
      </c>
      <c r="AE1368" s="32">
        <f t="shared" si="2"/>
        <v>17178.4111</v>
      </c>
      <c r="AF1368" s="32"/>
    </row>
    <row r="1369">
      <c r="A1369" s="86">
        <v>2019.0</v>
      </c>
      <c r="B1369" s="87">
        <v>4.0</v>
      </c>
      <c r="C1369" s="88" t="s">
        <v>44</v>
      </c>
      <c r="D1369" s="32"/>
      <c r="E1369" s="32"/>
      <c r="F1369" s="32"/>
      <c r="G1369" s="93">
        <v>-498.3</v>
      </c>
      <c r="H1369" s="93">
        <v>2812.99</v>
      </c>
      <c r="I1369" s="32"/>
      <c r="J1369" s="93">
        <v>26348.97</v>
      </c>
      <c r="K1369" s="32"/>
      <c r="L1369" s="32"/>
      <c r="M1369" s="32"/>
      <c r="N1369" s="32"/>
      <c r="O1369" s="93">
        <v>279382.0</v>
      </c>
      <c r="P1369" s="91">
        <f>IFERROR(__xludf.DUMMYFUNCTION("IFERROR(sum(FILTER($D:$N,$C:$C = $C1369,$A:$A &lt; $A1369,$B:$B = 12)),0) + sum($D1369:$N1369)"),279382.59)</f>
        <v>279382.59</v>
      </c>
      <c r="Q1369" s="92">
        <f t="shared" si="1"/>
        <v>-0.59</v>
      </c>
      <c r="R1369" s="91">
        <f t="array" ref="R1369">IFERROR(INDEX('Fund YTD Target Values'!$1:$1000, MATCH($C1369,'Fund YTD Target Values'!$A:$A,0), MATCH($A1369,'Fund YTD Target Values'!$1:$1,0)),0)</f>
        <v>327413.1867</v>
      </c>
      <c r="S1369" s="91">
        <f>IFERROR(__xludf.DUMMYFUNCTION("IFERROR(sum(FILTER('Fund Investment Data'!$V:$V, 'Fund Investment Data'!$C:$C = $C1369, 'Fund Investment Data'!$A:$A &lt; $A1369)),0) + IFERROR(sum(FILTER('Fund Investment Data'!$V:$V, 'Fund Investment Data'!$C:$C = $C1369, 'Fund Investment Data'!$A:$A = $A1"&amp;"369, 'Fund Investment Data'!$B:$B &lt;= $B1369)),0)"),250000.0)</f>
        <v>250000</v>
      </c>
      <c r="T1369" s="93">
        <v>250000.0</v>
      </c>
      <c r="U1369" s="32">
        <f t="shared" ref="U1369:U1370" si="44">S1369-T1369</f>
        <v>0</v>
      </c>
      <c r="V1369" s="32">
        <f>IFERROR(__xludf.DUMMYFUNCTION("$D1369 - IFERROR(FILTER($D:$D,$C:$C = $C1369, $A:$A = $A1369, $B:$B = $B1369 - 1),0)"),0.0)</f>
        <v>0</v>
      </c>
      <c r="W1369" s="93">
        <f>IFERROR(__xludf.DUMMYFUNCTION("$E1369 - IFERROR(FILTER($E:$E,$C:$C = $C1369, $A:$A = $A1369, $B:$B = $B1369 - 1),0)"),0.0)</f>
        <v>0</v>
      </c>
      <c r="X1369" s="91">
        <f>IFERROR(__xludf.DUMMYFUNCTION("iFERROR((FILTER('Fund Investment Data'!$Z:$Z, 'Fund Investment Data'!$C:$C = $C1369, 'Fund Investment Data'!$A:$A = $A1369 - 1, 'Fund Investment Data'!$B:$B = 12) + FILTER('Fund Investment Data'!$AB:$AB, 'Fund Investment Data'!$C:$C = $C1369, 'Fund Invest"&amp;"ment Data'!$A:$A = $A1369 - 1, 'Fund Investment Data'!$B:$B = 12)) * (1 + AVERAGE(FILTER('Inflation Data'!$C:$C,'Inflation Data'!$A:$A = ($A1369 - 2)))) * Parameters!$A$4,0)"),9221.513356912916)</f>
        <v>9221.513357</v>
      </c>
      <c r="Y1369" s="91">
        <f>IFERROR(__xludf.DUMMYFUNCTION("IFERROR((IFERROR(FILTER('Fund Investment Data'!$P:$P,'Fund Investment Data'!$C:$C = $C1369,'Fund Investment Data'!$A:$A = ($A1369 - 2), 'Fund Investment Data'!$B:$B = 12),0) - SUM(FILTER('Fund Investment Data'!$V:$V, 'Fund Investment Data'!$C:$C = $C1369,"&amp;" 'Fund Investment Data'!$A:$A = ($A1369 - 2), 'Fund Investment Data'!$B:$B &gt; 3)))  * Parameters!$B$4 * (1 - Parameters!$A$4),0)"),3869.5923450000028)</f>
        <v>3869.592345</v>
      </c>
      <c r="Z1369" s="91">
        <f t="shared" si="24"/>
        <v>13091.1057</v>
      </c>
      <c r="AA1369" s="91">
        <f>IFERROR(__xludf.DUMMYFUNCTION("((IFERROR((SUM(FILTER('Fund Investment Data'!$V:$V, 'Fund Investment Data'!$C:$C = $C1369, 'Fund Investment Data'!$A:$A = $A1369 - 1, 'Fund Investment Data'!$B:$B &gt;= 4, 'Fund Investment Data'!$B:$B &lt;= ($B1369 + 5))) / 12) * ($B1369 - 3) * Parameters!$B$4,"&amp;" 0) + IF($B1369 &gt;= 9, IFERROR(SUM(FILTER('Fund Investment Data'!$V:$V, 'Fund Investment Data'!$C:$C = $C1369, 'Fund Investment Data'!$A:$A = $A1369, 'Fund Investment Data'!$B:$B &lt;= 3)) * Parameters!$B$4, 0),0)))"),0.0)</f>
        <v>0</v>
      </c>
      <c r="AB1369" s="32">
        <f>IFERROR(__xludf.DUMMYFUNCTION("IFERROR(((IFERROR(SUM(FILTER('Fund Investment Data'!$V:$V, 'Fund Investment Data'!$C:$C = $C1369, 'Fund Investment Data'!$A:$A = $A1369 - 2, 'Fund Investment Data'!$B:$B &gt;= 4)) * Parameters!$B$4,0) + IFERROR(SUM(FILTER('Fund Investment Data'!$V:$V, 'Fund "&amp;"Investment Data'!$C:$C = $C1369, 'Fund Investment Data'!$A:$A = $A1369 - 1, 'Fund Investment Data'!$B:$B &lt;= 3)) * Parameters!$B$4,0))),0)"),0.0)</f>
        <v>0</v>
      </c>
      <c r="AC1369" s="32">
        <f>IFERROR(__xludf.DUMMYFUNCTION("IFERROR(FILTER($AF:$AF,$C:$C = $C1369,$A:$A = $A1369 - 1,$B:$B = 12),0)"),0.0)</f>
        <v>0</v>
      </c>
      <c r="AD1369" s="32">
        <f t="shared" si="23"/>
        <v>13091.1057</v>
      </c>
      <c r="AE1369" s="32">
        <f t="shared" si="2"/>
        <v>13091.1057</v>
      </c>
      <c r="AF1369" s="32"/>
    </row>
    <row r="1370">
      <c r="A1370" s="86">
        <v>2019.0</v>
      </c>
      <c r="B1370" s="87">
        <v>4.0</v>
      </c>
      <c r="C1370" s="88" t="s">
        <v>45</v>
      </c>
      <c r="D1370" s="32"/>
      <c r="E1370" s="32"/>
      <c r="F1370" s="32"/>
      <c r="G1370" s="93">
        <v>-263.03</v>
      </c>
      <c r="H1370" s="93">
        <v>1484.78</v>
      </c>
      <c r="I1370" s="32"/>
      <c r="J1370" s="93">
        <v>13907.69</v>
      </c>
      <c r="K1370" s="32"/>
      <c r="L1370" s="32"/>
      <c r="M1370" s="32"/>
      <c r="N1370" s="32"/>
      <c r="O1370" s="93">
        <v>147465.0</v>
      </c>
      <c r="P1370" s="91">
        <f>IFERROR(__xludf.DUMMYFUNCTION("IFERROR(sum(FILTER($D:$N,$C:$C = $C1370,$A:$A &lt; $A1370,$B:$B = 12)),0) + sum($D1370:$N1370)"),147465.55999999997)</f>
        <v>147465.56</v>
      </c>
      <c r="Q1370" s="92">
        <f t="shared" si="1"/>
        <v>-0.56</v>
      </c>
      <c r="R1370" s="91">
        <f t="array" ref="R1370">IFERROR(INDEX('Fund YTD Target Values'!$1:$1000, MATCH($C1370,'Fund YTD Target Values'!$A:$A,0), MATCH($A1370,'Fund YTD Target Values'!$1:$1,0)),0)</f>
        <v>123438.8442</v>
      </c>
      <c r="S1370" s="91">
        <f>IFERROR(__xludf.DUMMYFUNCTION("IFERROR(sum(FILTER('Fund Investment Data'!$V:$V, 'Fund Investment Data'!$C:$C = $C1370, 'Fund Investment Data'!$A:$A &lt; $A1370)),0) + IFERROR(sum(FILTER('Fund Investment Data'!$V:$V, 'Fund Investment Data'!$C:$C = $C1370, 'Fund Investment Data'!$A:$A = $A1"&amp;"370, 'Fund Investment Data'!$B:$B &lt;= $B1370)),0)"),100000.0)</f>
        <v>100000</v>
      </c>
      <c r="T1370" s="93">
        <v>100000.0</v>
      </c>
      <c r="U1370" s="32">
        <f t="shared" si="44"/>
        <v>0</v>
      </c>
      <c r="V1370" s="32">
        <f>IFERROR(__xludf.DUMMYFUNCTION("$D1370 - IFERROR(FILTER($D:$D,$C:$C = $C1370, $A:$A = $A1370, $B:$B = $B1370 - 1),0)"),0.0)</f>
        <v>0</v>
      </c>
      <c r="W1370" s="93">
        <f>IFERROR(__xludf.DUMMYFUNCTION("$E1370 - IFERROR(FILTER($E:$E,$C:$C = $C1370, $A:$A = $A1370, $B:$B = $B1370 - 1),0)"),0.0)</f>
        <v>0</v>
      </c>
      <c r="X1370" s="91">
        <f>IFERROR(__xludf.DUMMYFUNCTION("iFERROR((FILTER('Fund Investment Data'!$Z:$Z, 'Fund Investment Data'!$C:$C = $C1370, 'Fund Investment Data'!$A:$A = $A1370 - 1, 'Fund Investment Data'!$B:$B = 12) + FILTER('Fund Investment Data'!$AB:$AB, 'Fund Investment Data'!$C:$C = $C1370, 'Fund Invest"&amp;"ment Data'!$A:$A = $A1370 - 1, 'Fund Investment Data'!$B:$B = 12)) * (1 + AVERAGE(FILTER('Inflation Data'!$C:$C,'Inflation Data'!$A:$A = ($A1370 - 2)))) * Parameters!$A$4,0)"),3807.5303509611413)</f>
        <v>3807.530351</v>
      </c>
      <c r="Y1370" s="91">
        <f>IFERROR(__xludf.DUMMYFUNCTION("IFERROR((IFERROR(FILTER('Fund Investment Data'!$P:$P,'Fund Investment Data'!$C:$C = $C1370,'Fund Investment Data'!$A:$A = ($A1370 - 2), 'Fund Investment Data'!$B:$B = 12),0) - SUM(FILTER('Fund Investment Data'!$V:$V, 'Fund Investment Data'!$C:$C = $C1370,"&amp;" 'Fund Investment Data'!$A:$A = ($A1370 - 2), 'Fund Investment Data'!$B:$B &gt; 3)))  * Parameters!$B$4 * (1 - Parameters!$A$4),0)"),2003.430915)</f>
        <v>2003.430915</v>
      </c>
      <c r="Z1370" s="91">
        <f t="shared" si="24"/>
        <v>5810.961266</v>
      </c>
      <c r="AA1370" s="91">
        <f>IFERROR(__xludf.DUMMYFUNCTION("((IFERROR((SUM(FILTER('Fund Investment Data'!$V:$V, 'Fund Investment Data'!$C:$C = $C1370, 'Fund Investment Data'!$A:$A = $A1370 - 1, 'Fund Investment Data'!$B:$B &gt;= 4, 'Fund Investment Data'!$B:$B &lt;= ($B1370 + 5))) / 12) * ($B1370 - 3) * Parameters!$B$4,"&amp;" 0) + IF($B1370 &gt;= 9, IFERROR(SUM(FILTER('Fund Investment Data'!$V:$V, 'Fund Investment Data'!$C:$C = $C1370, 'Fund Investment Data'!$A:$A = $A1370, 'Fund Investment Data'!$B:$B &lt;= 3)) * Parameters!$B$4, 0),0)))"),0.0)</f>
        <v>0</v>
      </c>
      <c r="AB1370" s="32">
        <f>IFERROR(__xludf.DUMMYFUNCTION("IFERROR(((IFERROR(SUM(FILTER('Fund Investment Data'!$V:$V, 'Fund Investment Data'!$C:$C = $C1370, 'Fund Investment Data'!$A:$A = $A1370 - 2, 'Fund Investment Data'!$B:$B &gt;= 4)) * Parameters!$B$4,0) + IFERROR(SUM(FILTER('Fund Investment Data'!$V:$V, 'Fund "&amp;"Investment Data'!$C:$C = $C1370, 'Fund Investment Data'!$A:$A = $A1370 - 1, 'Fund Investment Data'!$B:$B &lt;= 3)) * Parameters!$B$4,0))),0)"),0.0)</f>
        <v>0</v>
      </c>
      <c r="AC1370" s="32">
        <f>IFERROR(__xludf.DUMMYFUNCTION("IFERROR(FILTER($AF:$AF,$C:$C = $C1370,$A:$A = $A1370 - 1,$B:$B = 12),0)"),0.0)</f>
        <v>0</v>
      </c>
      <c r="AD1370" s="32">
        <f t="shared" si="23"/>
        <v>5810.961266</v>
      </c>
      <c r="AE1370" s="32">
        <f t="shared" si="2"/>
        <v>5810.961266</v>
      </c>
      <c r="AF1370" s="32"/>
    </row>
    <row r="1371">
      <c r="A1371" s="86">
        <v>2019.0</v>
      </c>
      <c r="B1371" s="87">
        <v>4.0</v>
      </c>
      <c r="C1371" s="88" t="s">
        <v>35</v>
      </c>
      <c r="D1371" s="32"/>
      <c r="E1371" s="93">
        <v>-9600.0</v>
      </c>
      <c r="F1371" s="32"/>
      <c r="G1371" s="93">
        <v>-2568.76</v>
      </c>
      <c r="H1371" s="93">
        <v>14513.67</v>
      </c>
      <c r="I1371" s="32"/>
      <c r="J1371" s="93">
        <v>135990.28</v>
      </c>
      <c r="K1371" s="32"/>
      <c r="L1371" s="32"/>
      <c r="M1371" s="32"/>
      <c r="N1371" s="32"/>
      <c r="O1371" s="93">
        <v>1432322.0</v>
      </c>
      <c r="P1371" s="91">
        <f>IFERROR(__xludf.DUMMYFUNCTION("IFERROR(sum(FILTER($D:$N,$C:$C = $C1371,$A:$A &lt; $A1371,$B:$B = 12)),0) + sum($D1371:$N1371)"),1432321.2600000005)</f>
        <v>1432321.26</v>
      </c>
      <c r="Q1371" s="92">
        <f t="shared" si="1"/>
        <v>0.7399999995</v>
      </c>
      <c r="R1371" s="91">
        <f t="array" ref="R1371">IFERROR(INDEX('Fund YTD Target Values'!$1:$1000, MATCH($C1371,'Fund YTD Target Values'!$A:$A,0), MATCH($A1371,'Fund YTD Target Values'!$1:$1,0)),0)</f>
        <v>1607860.761</v>
      </c>
      <c r="S1371" s="91">
        <f>IFERROR(__xludf.DUMMYFUNCTION("IFERROR(sum(FILTER('Fund Investment Data'!$V:$V, 'Fund Investment Data'!$C:$C = $C1371, 'Fund Investment Data'!$A:$A &lt; $A1371)),0) + IFERROR(sum(FILTER('Fund Investment Data'!$V:$V, 'Fund Investment Data'!$C:$C = $C1371, 'Fund Investment Data'!$A:$A = $A1"&amp;"371, 'Fund Investment Data'!$B:$B &lt;= $B1371)),0)"),1086625.0)</f>
        <v>1086625</v>
      </c>
      <c r="T1371" s="32"/>
      <c r="U1371" s="32"/>
      <c r="V1371" s="32">
        <f>IFERROR(__xludf.DUMMYFUNCTION("$D1371 - IFERROR(FILTER($D:$D,$C:$C = $C1371, $A:$A = $A1371, $B:$B = $B1371 - 1),0)"),0.0)</f>
        <v>0</v>
      </c>
      <c r="W1371" s="93">
        <f>IFERROR(__xludf.DUMMYFUNCTION("$E1371 - IFERROR(FILTER($E:$E,$C:$C = $C1371, $A:$A = $A1371, $B:$B = $B1371 - 1),0)"),-3000.0)</f>
        <v>-3000</v>
      </c>
      <c r="X1371" s="91">
        <f>IFERROR(__xludf.DUMMYFUNCTION("iFERROR((FILTER('Fund Investment Data'!$Z:$Z, 'Fund Investment Data'!$C:$C = $C1371, 'Fund Investment Data'!$A:$A = $A1371 - 1, 'Fund Investment Data'!$B:$B = 12) + FILTER('Fund Investment Data'!$AB:$AB, 'Fund Investment Data'!$C:$C = $C1371, 'Fund Invest"&amp;"ment Data'!$A:$A = $A1371 - 1, 'Fund Investment Data'!$B:$B = 12)) * (1 + AVERAGE(FILTER('Inflation Data'!$C:$C,'Inflation Data'!$A:$A = ($A1371 - 2)))) * Parameters!$A$4,0)"),47167.912647909514)</f>
        <v>47167.91265</v>
      </c>
      <c r="Y1371" s="91">
        <f>IFERROR(__xludf.DUMMYFUNCTION("IFERROR((IFERROR(FILTER('Fund Investment Data'!$P:$P,'Fund Investment Data'!$C:$C = $C1371,'Fund Investment Data'!$A:$A = ($A1371 - 2), 'Fund Investment Data'!$B:$B = 12),0) - SUM(FILTER('Fund Investment Data'!$V:$V, 'Fund Investment Data'!$C:$C = $C1371,"&amp;" 'Fund Investment Data'!$A:$A = ($A1371 - 2), 'Fund Investment Data'!$B:$B &gt; 3)))  * Parameters!$B$4 * (1 - Parameters!$A$4),0)"),19792.911060000006)</f>
        <v>19792.91106</v>
      </c>
      <c r="Z1371" s="91">
        <f t="shared" si="24"/>
        <v>66960.82371</v>
      </c>
      <c r="AA1371" s="91">
        <f>IFERROR(__xludf.DUMMYFUNCTION("((IFERROR((SUM(FILTER('Fund Investment Data'!$V:$V, 'Fund Investment Data'!$C:$C = $C1371, 'Fund Investment Data'!$A:$A = $A1371 - 1, 'Fund Investment Data'!$B:$B &gt;= 4, 'Fund Investment Data'!$B:$B &lt;= ($B1371 + 5))) / 12) * ($B1371 - 3) * Parameters!$B$4,"&amp;" 0) + IF($B1371 &gt;= 9, IFERROR(SUM(FILTER('Fund Investment Data'!$V:$V, 'Fund Investment Data'!$C:$C = $C1371, 'Fund Investment Data'!$A:$A = $A1371, 'Fund Investment Data'!$B:$B &lt;= 3)) * Parameters!$B$4, 0),0)))"),0.0)</f>
        <v>0</v>
      </c>
      <c r="AB1371" s="32">
        <f>IFERROR(__xludf.DUMMYFUNCTION("IFERROR(((IFERROR(SUM(FILTER('Fund Investment Data'!$V:$V, 'Fund Investment Data'!$C:$C = $C1371, 'Fund Investment Data'!$A:$A = $A1371 - 2, 'Fund Investment Data'!$B:$B &gt;= 4)) * Parameters!$B$4,0) + IFERROR(SUM(FILTER('Fund Investment Data'!$V:$V, 'Fund "&amp;"Investment Data'!$C:$C = $C1371, 'Fund Investment Data'!$A:$A = $A1371 - 1, 'Fund Investment Data'!$B:$B &lt;= 3)) * Parameters!$B$4,0))),0)"),0.0)</f>
        <v>0</v>
      </c>
      <c r="AC1371" s="32">
        <f>IFERROR(__xludf.DUMMYFUNCTION("IFERROR(FILTER($AF:$AF,$C:$C = $C1371,$A:$A = $A1371 - 1,$B:$B = 12),0)"),0.0)</f>
        <v>0</v>
      </c>
      <c r="AD1371" s="32">
        <f t="shared" si="23"/>
        <v>66960.82371</v>
      </c>
      <c r="AE1371" s="32">
        <f t="shared" si="2"/>
        <v>57360.82371</v>
      </c>
      <c r="AF1371" s="32"/>
    </row>
    <row r="1372">
      <c r="A1372" s="86">
        <v>2019.0</v>
      </c>
      <c r="B1372" s="87">
        <v>4.0</v>
      </c>
      <c r="C1372" s="88" t="s">
        <v>56</v>
      </c>
      <c r="D1372" s="32"/>
      <c r="E1372" s="32"/>
      <c r="F1372" s="32"/>
      <c r="G1372" s="93">
        <v>-1986.35</v>
      </c>
      <c r="H1372" s="93">
        <v>11213.22</v>
      </c>
      <c r="I1372" s="32"/>
      <c r="J1372" s="93">
        <v>105032.3</v>
      </c>
      <c r="K1372" s="32"/>
      <c r="L1372" s="32"/>
      <c r="M1372" s="32"/>
      <c r="N1372" s="32"/>
      <c r="O1372" s="93">
        <v>1113672.0</v>
      </c>
      <c r="P1372" s="91">
        <f>IFERROR(__xludf.DUMMYFUNCTION("IFERROR(sum(FILTER($D:$N,$C:$C = $C1372,$A:$A &lt; $A1372,$B:$B = 12)),0) + sum($D1372:$N1372)"),1113671.88)</f>
        <v>1113671.88</v>
      </c>
      <c r="Q1372" s="92">
        <f t="shared" si="1"/>
        <v>0.1200000001</v>
      </c>
      <c r="R1372" s="91">
        <f t="array" ref="R1372">IFERROR(INDEX('Fund YTD Target Values'!$1:$1000, MATCH($C1372,'Fund YTD Target Values'!$A:$A,0), MATCH($A1372,'Fund YTD Target Values'!$1:$1,0)),0)</f>
        <v>1079944.217</v>
      </c>
      <c r="S1372" s="91">
        <f>IFERROR(__xludf.DUMMYFUNCTION("IFERROR(sum(FILTER('Fund Investment Data'!$V:$V, 'Fund Investment Data'!$C:$C = $C1372, 'Fund Investment Data'!$A:$A &lt; $A1372)),0) + IFERROR(sum(FILTER('Fund Investment Data'!$V:$V, 'Fund Investment Data'!$C:$C = $C1372, 'Fund Investment Data'!$A:$A = $A1"&amp;"372, 'Fund Investment Data'!$B:$B &lt;= $B1372)),0)"),1000000.0)</f>
        <v>1000000</v>
      </c>
      <c r="T1372" s="93">
        <v>1000000.0</v>
      </c>
      <c r="U1372" s="32">
        <f t="shared" ref="U1372:U1374" si="45">S1372-T1372</f>
        <v>0</v>
      </c>
      <c r="V1372" s="32">
        <f>IFERROR(__xludf.DUMMYFUNCTION("$D1372 - IFERROR(FILTER($D:$D,$C:$C = $C1372, $A:$A = $A1372, $B:$B = $B1372 - 1),0)"),0.0)</f>
        <v>0</v>
      </c>
      <c r="W1372" s="93">
        <f>IFERROR(__xludf.DUMMYFUNCTION("$E1372 - IFERROR(FILTER($E:$E,$C:$C = $C1372, $A:$A = $A1372, $B:$B = $B1372 - 1),0)"),0.0)</f>
        <v>0</v>
      </c>
      <c r="X1372" s="91">
        <f>IFERROR(__xludf.DUMMYFUNCTION("iFERROR((FILTER('Fund Investment Data'!$Z:$Z, 'Fund Investment Data'!$C:$C = $C1372, 'Fund Investment Data'!$A:$A = $A1372 - 1, 'Fund Investment Data'!$B:$B = 12) + FILTER('Fund Investment Data'!$AB:$AB, 'Fund Investment Data'!$C:$C = $C1372, 'Fund Invest"&amp;"ment Data'!$A:$A = $A1372 - 1, 'Fund Investment Data'!$B:$B = 12)) * (1 + AVERAGE(FILTER('Inflation Data'!$C:$C,'Inflation Data'!$A:$A = ($A1372 - 2)))) * Parameters!$A$4,0)"),33311.397321480836)</f>
        <v>33311.39732</v>
      </c>
      <c r="Y1372" s="91">
        <f>IFERROR(__xludf.DUMMYFUNCTION("IFERROR((IFERROR(FILTER('Fund Investment Data'!$P:$P,'Fund Investment Data'!$C:$C = $C1372,'Fund Investment Data'!$A:$A = ($A1372 - 2), 'Fund Investment Data'!$B:$B = 12),0) - SUM(FILTER('Fund Investment Data'!$V:$V, 'Fund Investment Data'!$C:$C = $C1372,"&amp;" 'Fund Investment Data'!$A:$A = ($A1372 - 2), 'Fund Investment Data'!$B:$B &gt; 3)))  * Parameters!$B$4 * (1 - Parameters!$A$4),0)"),15295.200705)</f>
        <v>15295.20071</v>
      </c>
      <c r="Z1372" s="91">
        <f t="shared" si="24"/>
        <v>48606.59803</v>
      </c>
      <c r="AA1372" s="91">
        <f>IFERROR(__xludf.DUMMYFUNCTION("((IFERROR((SUM(FILTER('Fund Investment Data'!$V:$V, 'Fund Investment Data'!$C:$C = $C1372, 'Fund Investment Data'!$A:$A = $A1372 - 1, 'Fund Investment Data'!$B:$B &gt;= 4, 'Fund Investment Data'!$B:$B &lt;= ($B1372 + 5))) / 12) * ($B1372 - 3) * Parameters!$B$4,"&amp;" 0) + IF($B1372 &gt;= 9, IFERROR(SUM(FILTER('Fund Investment Data'!$V:$V, 'Fund Investment Data'!$C:$C = $C1372, 'Fund Investment Data'!$A:$A = $A1372, 'Fund Investment Data'!$B:$B &lt;= 3)) * Parameters!$B$4, 0),0)))"),0.0)</f>
        <v>0</v>
      </c>
      <c r="AB1372" s="32">
        <f>IFERROR(__xludf.DUMMYFUNCTION("IFERROR(((IFERROR(SUM(FILTER('Fund Investment Data'!$V:$V, 'Fund Investment Data'!$C:$C = $C1372, 'Fund Investment Data'!$A:$A = $A1372 - 2, 'Fund Investment Data'!$B:$B &gt;= 4)) * Parameters!$B$4,0) + IFERROR(SUM(FILTER('Fund Investment Data'!$V:$V, 'Fund "&amp;"Investment Data'!$C:$C = $C1372, 'Fund Investment Data'!$A:$A = $A1372 - 1, 'Fund Investment Data'!$B:$B &lt;= 3)) * Parameters!$B$4,0))),0)"),0.0)</f>
        <v>0</v>
      </c>
      <c r="AC1372" s="32">
        <f>IFERROR(__xludf.DUMMYFUNCTION("IFERROR(FILTER($AF:$AF,$C:$C = $C1372,$A:$A = $A1372 - 1,$B:$B = 12),0)"),0.0)</f>
        <v>0</v>
      </c>
      <c r="AD1372" s="32">
        <f t="shared" si="23"/>
        <v>48606.59803</v>
      </c>
      <c r="AE1372" s="32">
        <f t="shared" si="2"/>
        <v>48606.59803</v>
      </c>
      <c r="AF1372" s="32"/>
    </row>
    <row r="1373">
      <c r="A1373" s="86">
        <v>2019.0</v>
      </c>
      <c r="B1373" s="87">
        <v>4.0</v>
      </c>
      <c r="C1373" s="88" t="s">
        <v>57</v>
      </c>
      <c r="D1373" s="32"/>
      <c r="E1373" s="93">
        <v>-6100.0</v>
      </c>
      <c r="F1373" s="32"/>
      <c r="G1373" s="93">
        <v>-3732.01</v>
      </c>
      <c r="H1373" s="93">
        <v>20884.23</v>
      </c>
      <c r="I1373" s="32"/>
      <c r="J1373" s="93">
        <v>193501.15</v>
      </c>
      <c r="K1373" s="32"/>
      <c r="L1373" s="32"/>
      <c r="M1373" s="32"/>
      <c r="N1373" s="32"/>
      <c r="O1373" s="93">
        <v>2085068.0</v>
      </c>
      <c r="P1373" s="91">
        <f>IFERROR(__xludf.DUMMYFUNCTION("IFERROR(sum(FILTER($D:$N,$C:$C = $C1373,$A:$A &lt; $A1373,$B:$B = 12)),0) + sum($D1373:$N1373)"),2085067.8399999999)</f>
        <v>2085067.84</v>
      </c>
      <c r="Q1373" s="92">
        <f t="shared" si="1"/>
        <v>0.1600000001</v>
      </c>
      <c r="R1373" s="91">
        <f t="array" ref="R1373">IFERROR(INDEX('Fund YTD Target Values'!$1:$1000, MATCH($C1373,'Fund YTD Target Values'!$A:$A,0), MATCH($A1373,'Fund YTD Target Values'!$1:$1,0)),0)</f>
        <v>2085975.586</v>
      </c>
      <c r="S1373" s="91">
        <f>IFERROR(__xludf.DUMMYFUNCTION("IFERROR(sum(FILTER('Fund Investment Data'!$V:$V, 'Fund Investment Data'!$C:$C = $C1373, 'Fund Investment Data'!$A:$A &lt; $A1373)),0) + IFERROR(sum(FILTER('Fund Investment Data'!$V:$V, 'Fund Investment Data'!$C:$C = $C1373, 'Fund Investment Data'!$A:$A = $A1"&amp;"373, 'Fund Investment Data'!$B:$B &lt;= $B1373)),0)"),2000000.0)</f>
        <v>2000000</v>
      </c>
      <c r="T1373" s="93">
        <v>2000000.0</v>
      </c>
      <c r="U1373" s="32">
        <f t="shared" si="45"/>
        <v>0</v>
      </c>
      <c r="V1373" s="32">
        <f>IFERROR(__xludf.DUMMYFUNCTION("$D1373 - IFERROR(FILTER($D:$D,$C:$C = $C1373, $A:$A = $A1373, $B:$B = $B1373 - 1),0)"),0.0)</f>
        <v>0</v>
      </c>
      <c r="W1373" s="93">
        <f>IFERROR(__xludf.DUMMYFUNCTION("$E1373 - IFERROR(FILTER($E:$E,$C:$C = $C1373, $A:$A = $A1373, $B:$B = $B1373 - 1),0)"),-3500.0)</f>
        <v>-3500</v>
      </c>
      <c r="X1373" s="91">
        <f>IFERROR(__xludf.DUMMYFUNCTION("iFERROR((FILTER('Fund Investment Data'!$Z:$Z, 'Fund Investment Data'!$C:$C = $C1373, 'Fund Investment Data'!$A:$A = $A1373 - 1, 'Fund Investment Data'!$B:$B = 12) + FILTER('Fund Investment Data'!$AB:$AB, 'Fund Investment Data'!$C:$C = $C1373, 'Fund Invest"&amp;"ment Data'!$A:$A = $A1373 - 1, 'Fund Investment Data'!$B:$B = 12)) * (1 + AVERAGE(FILTER('Inflation Data'!$C:$C,'Inflation Data'!$A:$A = ($A1373 - 2)))) * Parameters!$A$4,0)"),0.0)</f>
        <v>0</v>
      </c>
      <c r="Y1373" s="91">
        <f>IFERROR(__xludf.DUMMYFUNCTION("IFERROR((IFERROR(FILTER('Fund Investment Data'!$P:$P,'Fund Investment Data'!$C:$C = $C1373,'Fund Investment Data'!$A:$A = ($A1373 - 2), 'Fund Investment Data'!$B:$B = 12),0) - SUM(FILTER('Fund Investment Data'!$V:$V, 'Fund Investment Data'!$C:$C = $C1373,"&amp;" 'Fund Investment Data'!$A:$A = ($A1373 - 2), 'Fund Investment Data'!$B:$B &gt; 3)))  * Parameters!$B$4 * (1 - Parameters!$A$4),0)"),474.91420500000106)</f>
        <v>474.914205</v>
      </c>
      <c r="Z1373" s="91">
        <f t="shared" si="24"/>
        <v>474.914205</v>
      </c>
      <c r="AA1373" s="91">
        <f>IFERROR(__xludf.DUMMYFUNCTION("((IFERROR((SUM(FILTER('Fund Investment Data'!$V:$V, 'Fund Investment Data'!$C:$C = $C1373, 'Fund Investment Data'!$A:$A = $A1373 - 1, 'Fund Investment Data'!$B:$B &gt;= 4, 'Fund Investment Data'!$B:$B &lt;= ($B1373 + 5))) / 12) * ($B1373 - 3) * Parameters!$B$4,"&amp;" 0) + IF($B1373 &gt;= 9, IFERROR(SUM(FILTER('Fund Investment Data'!$V:$V, 'Fund Investment Data'!$C:$C = $C1373, 'Fund Investment Data'!$A:$A = $A1373, 'Fund Investment Data'!$B:$B &lt;= 3)) * Parameters!$B$4, 0),0)))"),0.0)</f>
        <v>0</v>
      </c>
      <c r="AB1373" s="32">
        <f>IFERROR(__xludf.DUMMYFUNCTION("IFERROR(((IFERROR(SUM(FILTER('Fund Investment Data'!$V:$V, 'Fund Investment Data'!$C:$C = $C1373, 'Fund Investment Data'!$A:$A = $A1373 - 2, 'Fund Investment Data'!$B:$B &gt;= 4)) * Parameters!$B$4,0) + IFERROR(SUM(FILTER('Fund Investment Data'!$V:$V, 'Fund "&amp;"Investment Data'!$C:$C = $C1373, 'Fund Investment Data'!$A:$A = $A1373 - 1, 'Fund Investment Data'!$B:$B &lt;= 3)) * Parameters!$B$4,0))),0)"),90000.0)</f>
        <v>90000</v>
      </c>
      <c r="AC1373" s="32">
        <f>IFERROR(__xludf.DUMMYFUNCTION("IFERROR(FILTER($AF:$AF,$C:$C = $C1373,$A:$A = $A1373 - 1,$B:$B = 12),0)"),45000.0)</f>
        <v>45000</v>
      </c>
      <c r="AD1373" s="32">
        <f t="shared" si="23"/>
        <v>135474.9142</v>
      </c>
      <c r="AE1373" s="32">
        <f t="shared" si="2"/>
        <v>129374.9142</v>
      </c>
      <c r="AF1373" s="32"/>
    </row>
    <row r="1374">
      <c r="A1374" s="86">
        <v>2019.0</v>
      </c>
      <c r="B1374" s="87">
        <v>4.0</v>
      </c>
      <c r="C1374" s="88" t="s">
        <v>58</v>
      </c>
      <c r="D1374" s="32"/>
      <c r="E1374" s="93">
        <v>-16100.0</v>
      </c>
      <c r="F1374" s="32"/>
      <c r="G1374" s="93">
        <v>-3690.41</v>
      </c>
      <c r="H1374" s="93">
        <v>20757.87</v>
      </c>
      <c r="I1374" s="32"/>
      <c r="J1374" s="93">
        <v>193501.15</v>
      </c>
      <c r="K1374" s="32"/>
      <c r="L1374" s="32"/>
      <c r="M1374" s="32"/>
      <c r="N1374" s="32"/>
      <c r="O1374" s="93">
        <v>2054983.0</v>
      </c>
      <c r="P1374" s="91">
        <f>IFERROR(__xludf.DUMMYFUNCTION("IFERROR(sum(FILTER($D:$N,$C:$C = $C1374,$A:$A &lt; $A1374,$B:$B = 12)),0) + sum($D1374:$N1374)"),2054983.06)</f>
        <v>2054983.06</v>
      </c>
      <c r="Q1374" s="92">
        <f t="shared" si="1"/>
        <v>-0.06000000006</v>
      </c>
      <c r="R1374" s="91">
        <f t="array" ref="R1374">IFERROR(INDEX('Fund YTD Target Values'!$1:$1000, MATCH($C1374,'Fund YTD Target Values'!$A:$A,0), MATCH($A1374,'Fund YTD Target Values'!$1:$1,0)),0)</f>
        <v>2085975.586</v>
      </c>
      <c r="S1374" s="91">
        <f>IFERROR(__xludf.DUMMYFUNCTION("IFERROR(sum(FILTER('Fund Investment Data'!$V:$V, 'Fund Investment Data'!$C:$C = $C1374, 'Fund Investment Data'!$A:$A &lt; $A1374)),0) + IFERROR(sum(FILTER('Fund Investment Data'!$V:$V, 'Fund Investment Data'!$C:$C = $C1374, 'Fund Investment Data'!$A:$A = $A1"&amp;"374, 'Fund Investment Data'!$B:$B &lt;= $B1374)),0)"),2000000.0)</f>
        <v>2000000</v>
      </c>
      <c r="T1374" s="93">
        <v>2000000.0</v>
      </c>
      <c r="U1374" s="32">
        <f t="shared" si="45"/>
        <v>0</v>
      </c>
      <c r="V1374" s="32">
        <f>IFERROR(__xludf.DUMMYFUNCTION("$D1374 - IFERROR(FILTER($D:$D,$C:$C = $C1374, $A:$A = $A1374, $B:$B = $B1374 - 1),0)"),0.0)</f>
        <v>0</v>
      </c>
      <c r="W1374" s="93">
        <f>IFERROR(__xludf.DUMMYFUNCTION("$E1374 - IFERROR(FILTER($E:$E,$C:$C = $C1374, $A:$A = $A1374, $B:$B = $B1374 - 1),0)"),-4800.0)</f>
        <v>-4800</v>
      </c>
      <c r="X1374" s="91">
        <f>IFERROR(__xludf.DUMMYFUNCTION("iFERROR((FILTER('Fund Investment Data'!$Z:$Z, 'Fund Investment Data'!$C:$C = $C1374, 'Fund Investment Data'!$A:$A = $A1374 - 1, 'Fund Investment Data'!$B:$B = 12) + FILTER('Fund Investment Data'!$AB:$AB, 'Fund Investment Data'!$C:$C = $C1374, 'Fund Invest"&amp;"ment Data'!$A:$A = $A1374 - 1, 'Fund Investment Data'!$B:$B = 12)) * (1 + AVERAGE(FILTER('Inflation Data'!$C:$C,'Inflation Data'!$A:$A = ($A1374 - 2)))) * Parameters!$A$4,0)"),0.0)</f>
        <v>0</v>
      </c>
      <c r="Y1374" s="91">
        <f>IFERROR(__xludf.DUMMYFUNCTION("IFERROR((IFERROR(FILTER('Fund Investment Data'!$P:$P,'Fund Investment Data'!$C:$C = $C1374,'Fund Investment Data'!$A:$A = ($A1374 - 2), 'Fund Investment Data'!$B:$B = 12),0) - SUM(FILTER('Fund Investment Data'!$V:$V, 'Fund Investment Data'!$C:$C = $C1374,"&amp;" 'Fund Investment Data'!$A:$A = ($A1374 - 2), 'Fund Investment Data'!$B:$B &gt; 3)))  * Parameters!$B$4 * (1 - Parameters!$A$4),0)"),474.91420500000106)</f>
        <v>474.914205</v>
      </c>
      <c r="Z1374" s="91">
        <f t="shared" si="24"/>
        <v>474.914205</v>
      </c>
      <c r="AA1374" s="91">
        <f>IFERROR(__xludf.DUMMYFUNCTION("((IFERROR((SUM(FILTER('Fund Investment Data'!$V:$V, 'Fund Investment Data'!$C:$C = $C1374, 'Fund Investment Data'!$A:$A = $A1374 - 1, 'Fund Investment Data'!$B:$B &gt;= 4, 'Fund Investment Data'!$B:$B &lt;= ($B1374 + 5))) / 12) * ($B1374 - 3) * Parameters!$B$4,"&amp;" 0) + IF($B1374 &gt;= 9, IFERROR(SUM(FILTER('Fund Investment Data'!$V:$V, 'Fund Investment Data'!$C:$C = $C1374, 'Fund Investment Data'!$A:$A = $A1374, 'Fund Investment Data'!$B:$B &lt;= 3)) * Parameters!$B$4, 0),0)))"),0.0)</f>
        <v>0</v>
      </c>
      <c r="AB1374" s="32">
        <f>IFERROR(__xludf.DUMMYFUNCTION("IFERROR(((IFERROR(SUM(FILTER('Fund Investment Data'!$V:$V, 'Fund Investment Data'!$C:$C = $C1374, 'Fund Investment Data'!$A:$A = $A1374 - 2, 'Fund Investment Data'!$B:$B &gt;= 4)) * Parameters!$B$4,0) + IFERROR(SUM(FILTER('Fund Investment Data'!$V:$V, 'Fund "&amp;"Investment Data'!$C:$C = $C1374, 'Fund Investment Data'!$A:$A = $A1374 - 1, 'Fund Investment Data'!$B:$B &lt;= 3)) * Parameters!$B$4,0))),0)"),90000.0)</f>
        <v>90000</v>
      </c>
      <c r="AC1374" s="32">
        <f>IFERROR(__xludf.DUMMYFUNCTION("IFERROR(FILTER($AF:$AF,$C:$C = $C1374,$A:$A = $A1374 - 1,$B:$B = 12),0)"),25000.0)</f>
        <v>25000</v>
      </c>
      <c r="AD1374" s="32">
        <f t="shared" si="23"/>
        <v>115474.9142</v>
      </c>
      <c r="AE1374" s="32">
        <f t="shared" si="2"/>
        <v>99374.91421</v>
      </c>
      <c r="AF1374" s="32"/>
    </row>
    <row r="1375">
      <c r="A1375" s="86">
        <v>2019.0</v>
      </c>
      <c r="B1375" s="87">
        <v>5.0</v>
      </c>
      <c r="C1375" s="88" t="s">
        <v>26</v>
      </c>
      <c r="D1375" s="93">
        <v>7128.0</v>
      </c>
      <c r="E1375" s="32"/>
      <c r="F1375" s="32"/>
      <c r="G1375" s="93">
        <v>-784.47</v>
      </c>
      <c r="H1375" s="93">
        <v>3790.66</v>
      </c>
      <c r="I1375" s="32"/>
      <c r="J1375" s="93">
        <v>19330.59</v>
      </c>
      <c r="K1375" s="32"/>
      <c r="L1375" s="32"/>
      <c r="M1375" s="32"/>
      <c r="N1375" s="32"/>
      <c r="O1375" s="93">
        <v>338293.65</v>
      </c>
      <c r="P1375" s="91">
        <f>IFERROR(__xludf.DUMMYFUNCTION("IFERROR(sum(FILTER($D:$N,$C:$C = $C1375,$A:$A &lt; $A1375,$B:$B = 12)),0) + sum($D1375:$N1375)"),338292.17999999993)</f>
        <v>338292.18</v>
      </c>
      <c r="Q1375" s="92">
        <f t="shared" si="1"/>
        <v>1.47</v>
      </c>
      <c r="R1375" s="91">
        <f t="array" ref="R1375">IFERROR(INDEX('Fund YTD Target Values'!$1:$1000, MATCH($C1375,'Fund YTD Target Values'!$A:$A,0), MATCH($A1375,'Fund YTD Target Values'!$1:$1,0)),0)</f>
        <v>392089.6861</v>
      </c>
      <c r="S1375" s="91">
        <f>IFERROR(__xludf.DUMMYFUNCTION("IFERROR(sum(FILTER('Fund Investment Data'!$V:$V, 'Fund Investment Data'!$C:$C = $C1375, 'Fund Investment Data'!$A:$A &lt; $A1375)),0) + IFERROR(sum(FILTER('Fund Investment Data'!$V:$V, 'Fund Investment Data'!$C:$C = $C1375, 'Fund Investment Data'!$A:$A = $A1"&amp;"375, 'Fund Investment Data'!$B:$B &lt;= $B1375)),0)"),317377.0)</f>
        <v>317377</v>
      </c>
      <c r="T1375" s="32"/>
      <c r="U1375" s="32"/>
      <c r="V1375" s="32">
        <f>IFERROR(__xludf.DUMMYFUNCTION("$D1375 - IFERROR(FILTER($D:$D,$C:$C = $C1375, $A:$A = $A1375, $B:$B = $B1375 - 1),0)"),0.0)</f>
        <v>0</v>
      </c>
      <c r="W1375" s="93">
        <f>IFERROR(__xludf.DUMMYFUNCTION("$E1375 - IFERROR(FILTER($E:$E,$C:$C = $C1375, $A:$A = $A1375, $B:$B = $B1375 - 1),0)"),0.0)</f>
        <v>0</v>
      </c>
      <c r="X1375" s="91">
        <f>IFERROR(__xludf.DUMMYFUNCTION("iFERROR((FILTER('Fund Investment Data'!$Z:$Z, 'Fund Investment Data'!$C:$C = $C1375, 'Fund Investment Data'!$A:$A = $A1375 - 1, 'Fund Investment Data'!$B:$B = 12) + FILTER('Fund Investment Data'!$AB:$AB, 'Fund Investment Data'!$C:$C = $C1375, 'Fund Invest"&amp;"ment Data'!$A:$A = $A1375 - 1, 'Fund Investment Data'!$B:$B = 12)) * (1 + AVERAGE(FILTER('Inflation Data'!$C:$C,'Inflation Data'!$A:$A = ($A1375 - 2)))) * Parameters!$A$4,0)"),11342.657736026731)</f>
        <v>11342.65774</v>
      </c>
      <c r="Y1375" s="91">
        <f>IFERROR(__xludf.DUMMYFUNCTION("IFERROR((IFERROR(FILTER('Fund Investment Data'!$P:$P,'Fund Investment Data'!$C:$C = $C1375,'Fund Investment Data'!$A:$A = ($A1375 - 2), 'Fund Investment Data'!$B:$B = 12),0) - SUM(FILTER('Fund Investment Data'!$V:$V, 'Fund Investment Data'!$C:$C = $C1375,"&amp;" 'Fund Investment Data'!$A:$A = ($A1375 - 2), 'Fund Investment Data'!$B:$B &gt; 3)))  * Parameters!$B$4 * (1 - Parameters!$A$4),0)"),4477.69296)</f>
        <v>4477.69296</v>
      </c>
      <c r="Z1375" s="91">
        <f t="shared" si="24"/>
        <v>15820.3507</v>
      </c>
      <c r="AA1375" s="91">
        <f>IFERROR(__xludf.DUMMYFUNCTION("((IFERROR((SUM(FILTER('Fund Investment Data'!$V:$V, 'Fund Investment Data'!$C:$C = $C1375, 'Fund Investment Data'!$A:$A = $A1375 - 1, 'Fund Investment Data'!$B:$B &gt;= 4, 'Fund Investment Data'!$B:$B &lt;= ($B1375 + 5))) / 12) * ($B1375 - 3) * Parameters!$B$4,"&amp;" 0) + IF($B1375 &gt;= 9, IFERROR(SUM(FILTER('Fund Investment Data'!$V:$V, 'Fund Investment Data'!$C:$C = $C1375, 'Fund Investment Data'!$A:$A = $A1375, 'Fund Investment Data'!$B:$B &lt;= 3)) * Parameters!$B$4, 0),0)))"),0.0)</f>
        <v>0</v>
      </c>
      <c r="AB1375" s="32">
        <f>IFERROR(__xludf.DUMMYFUNCTION("IFERROR(((IFERROR(SUM(FILTER('Fund Investment Data'!$V:$V, 'Fund Investment Data'!$C:$C = $C1375, 'Fund Investment Data'!$A:$A = $A1375 - 2, 'Fund Investment Data'!$B:$B &gt;= 4)) * Parameters!$B$4,0) + IFERROR(SUM(FILTER('Fund Investment Data'!$V:$V, 'Fund "&amp;"Investment Data'!$C:$C = $C1375, 'Fund Investment Data'!$A:$A = $A1375 - 1, 'Fund Investment Data'!$B:$B &lt;= 3)) * Parameters!$B$4,0))),0)"),829.755)</f>
        <v>829.755</v>
      </c>
      <c r="AC1375" s="32">
        <f>IFERROR(__xludf.DUMMYFUNCTION("IFERROR(FILTER($AF:$AF,$C:$C = $C1375,$A:$A = $A1375 - 1,$B:$B = 12),0)"),0.0)</f>
        <v>0</v>
      </c>
      <c r="AD1375" s="32">
        <f t="shared" si="23"/>
        <v>16650.1057</v>
      </c>
      <c r="AE1375" s="32">
        <f t="shared" si="2"/>
        <v>16650.1057</v>
      </c>
      <c r="AF1375" s="32"/>
    </row>
    <row r="1376">
      <c r="A1376" s="86">
        <v>2019.0</v>
      </c>
      <c r="B1376" s="87">
        <v>5.0</v>
      </c>
      <c r="C1376" s="88" t="s">
        <v>27</v>
      </c>
      <c r="D1376" s="32"/>
      <c r="E1376" s="32"/>
      <c r="F1376" s="32"/>
      <c r="G1376" s="93">
        <v>-679.28</v>
      </c>
      <c r="H1376" s="93">
        <v>3297.59</v>
      </c>
      <c r="I1376" s="32"/>
      <c r="J1376" s="93">
        <v>16943.93</v>
      </c>
      <c r="K1376" s="32"/>
      <c r="L1376" s="32"/>
      <c r="M1376" s="32"/>
      <c r="N1376" s="32"/>
      <c r="O1376" s="93">
        <v>290445.71</v>
      </c>
      <c r="P1376" s="91">
        <f>IFERROR(__xludf.DUMMYFUNCTION("IFERROR(sum(FILTER($D:$N,$C:$C = $C1376,$A:$A &lt; $A1376,$B:$B = 12)),0) + sum($D1376:$N1376)"),290446.05000000005)</f>
        <v>290446.05</v>
      </c>
      <c r="Q1376" s="92">
        <f t="shared" si="1"/>
        <v>-0.34</v>
      </c>
      <c r="R1376" s="91">
        <f t="array" ref="R1376">IFERROR(INDEX('Fund YTD Target Values'!$1:$1000, MATCH($C1376,'Fund YTD Target Values'!$A:$A,0), MATCH($A1376,'Fund YTD Target Values'!$1:$1,0)),0)</f>
        <v>400423.4941</v>
      </c>
      <c r="S1376" s="91">
        <f>IFERROR(__xludf.DUMMYFUNCTION("IFERROR(sum(FILTER('Fund Investment Data'!$V:$V, 'Fund Investment Data'!$C:$C = $C1376, 'Fund Investment Data'!$A:$A &lt; $A1376)),0) + IFERROR(sum(FILTER('Fund Investment Data'!$V:$V, 'Fund Investment Data'!$C:$C = $C1376, 'Fund Investment Data'!$A:$A = $A1"&amp;"376, 'Fund Investment Data'!$B:$B &lt;= $B1376)),0)"),276213.69999999995)</f>
        <v>276213.7</v>
      </c>
      <c r="T1376" s="32"/>
      <c r="U1376" s="32"/>
      <c r="V1376" s="32">
        <f>IFERROR(__xludf.DUMMYFUNCTION("$D1376 - IFERROR(FILTER($D:$D,$C:$C = $C1376, $A:$A = $A1376, $B:$B = $B1376 - 1),0)"),0.0)</f>
        <v>0</v>
      </c>
      <c r="W1376" s="93">
        <f>IFERROR(__xludf.DUMMYFUNCTION("$E1376 - IFERROR(FILTER($E:$E,$C:$C = $C1376, $A:$A = $A1376, $B:$B = $B1376 - 1),0)"),0.0)</f>
        <v>0</v>
      </c>
      <c r="X1376" s="91">
        <f>IFERROR(__xludf.DUMMYFUNCTION("iFERROR((FILTER('Fund Investment Data'!$Z:$Z, 'Fund Investment Data'!$C:$C = $C1376, 'Fund Investment Data'!$A:$A = $A1376 - 1, 'Fund Investment Data'!$B:$B = 12) + FILTER('Fund Investment Data'!$AB:$AB, 'Fund Investment Data'!$C:$C = $C1376, 'Fund Invest"&amp;"ment Data'!$A:$A = $A1376 - 1, 'Fund Investment Data'!$B:$B = 12)) * (1 + AVERAGE(FILTER('Inflation Data'!$C:$C,'Inflation Data'!$A:$A = ($A1376 - 2)))) * Parameters!$A$4,0)"),9924.42530607715)</f>
        <v>9924.425306</v>
      </c>
      <c r="Y1376" s="91">
        <f>IFERROR(__xludf.DUMMYFUNCTION("IFERROR((IFERROR(FILTER('Fund Investment Data'!$P:$P,'Fund Investment Data'!$C:$C = $C1376,'Fund Investment Data'!$A:$A = ($A1376 - 2), 'Fund Investment Data'!$B:$B = 12),0) - SUM(FILTER('Fund Investment Data'!$V:$V, 'Fund Investment Data'!$C:$C = $C1376,"&amp;" 'Fund Investment Data'!$A:$A = ($A1376 - 2), 'Fund Investment Data'!$B:$B &gt; 3)))  * Parameters!$B$4 * (1 - Parameters!$A$4),0)"),4164.5529000000015)</f>
        <v>4164.5529</v>
      </c>
      <c r="Z1376" s="91">
        <f t="shared" si="24"/>
        <v>14088.97821</v>
      </c>
      <c r="AA1376" s="91">
        <f>IFERROR(__xludf.DUMMYFUNCTION("((IFERROR((SUM(FILTER('Fund Investment Data'!$V:$V, 'Fund Investment Data'!$C:$C = $C1376, 'Fund Investment Data'!$A:$A = $A1376 - 1, 'Fund Investment Data'!$B:$B &gt;= 4, 'Fund Investment Data'!$B:$B &lt;= ($B1376 + 5))) / 12) * ($B1376 - 3) * Parameters!$B$4,"&amp;" 0) + IF($B1376 &gt;= 9, IFERROR(SUM(FILTER('Fund Investment Data'!$V:$V, 'Fund Investment Data'!$C:$C = $C1376, 'Fund Investment Data'!$A:$A = $A1376, 'Fund Investment Data'!$B:$B &lt;= 3)) * Parameters!$B$4, 0),0)))"),0.0)</f>
        <v>0</v>
      </c>
      <c r="AB1376" s="32">
        <f>IFERROR(__xludf.DUMMYFUNCTION("IFERROR(((IFERROR(SUM(FILTER('Fund Investment Data'!$V:$V, 'Fund Investment Data'!$C:$C = $C1376, 'Fund Investment Data'!$A:$A = $A1376 - 2, 'Fund Investment Data'!$B:$B &gt;= 4)) * Parameters!$B$4,0) + IFERROR(SUM(FILTER('Fund Investment Data'!$V:$V, 'Fund "&amp;"Investment Data'!$C:$C = $C1376, 'Fund Investment Data'!$A:$A = $A1376 - 1, 'Fund Investment Data'!$B:$B &lt;= 3)) * Parameters!$B$4,0))),0)"),0.0)</f>
        <v>0</v>
      </c>
      <c r="AC1376" s="32">
        <f>IFERROR(__xludf.DUMMYFUNCTION("IFERROR(FILTER($AF:$AF,$C:$C = $C1376,$A:$A = $A1376 - 1,$B:$B = 12),0)"),0.0)</f>
        <v>0</v>
      </c>
      <c r="AD1376" s="32">
        <f t="shared" si="23"/>
        <v>14088.97821</v>
      </c>
      <c r="AE1376" s="32">
        <f t="shared" si="2"/>
        <v>14088.97821</v>
      </c>
      <c r="AF1376" s="32"/>
    </row>
    <row r="1377">
      <c r="A1377" s="86">
        <v>2019.0</v>
      </c>
      <c r="B1377" s="87">
        <v>5.0</v>
      </c>
      <c r="C1377" s="88" t="s">
        <v>28</v>
      </c>
      <c r="D1377" s="32"/>
      <c r="E1377" s="93">
        <v>-79500.0</v>
      </c>
      <c r="F1377" s="32"/>
      <c r="G1377" s="93">
        <v>-7241.38</v>
      </c>
      <c r="H1377" s="93">
        <v>35207.18</v>
      </c>
      <c r="I1377" s="93">
        <v>14001.05</v>
      </c>
      <c r="J1377" s="93">
        <v>168973.44</v>
      </c>
      <c r="K1377" s="32"/>
      <c r="L1377" s="32"/>
      <c r="M1377" s="32"/>
      <c r="N1377" s="32"/>
      <c r="O1377" s="93">
        <v>3033680.66</v>
      </c>
      <c r="P1377" s="91">
        <f>IFERROR(__xludf.DUMMYFUNCTION("IFERROR(sum(FILTER($D:$N,$C:$C = $C1377,$A:$A &lt; $A1377,$B:$B = 12)),0) + sum($D1377:$N1377)"),3033679.73)</f>
        <v>3033679.73</v>
      </c>
      <c r="Q1377" s="92">
        <f t="shared" si="1"/>
        <v>0.9300000002</v>
      </c>
      <c r="R1377" s="91">
        <f t="array" ref="R1377">IFERROR(INDEX('Fund YTD Target Values'!$1:$1000, MATCH($C1377,'Fund YTD Target Values'!$A:$A,0), MATCH($A1377,'Fund YTD Target Values'!$1:$1,0)),0)</f>
        <v>3910070.897</v>
      </c>
      <c r="S1377" s="91">
        <f>IFERROR(__xludf.DUMMYFUNCTION("IFERROR(sum(FILTER('Fund Investment Data'!$V:$V, 'Fund Investment Data'!$C:$C = $C1377, 'Fund Investment Data'!$A:$A &lt; $A1377)),0) + IFERROR(sum(FILTER('Fund Investment Data'!$V:$V, 'Fund Investment Data'!$C:$C = $C1377, 'Fund Investment Data'!$A:$A = $A1"&amp;"377, 'Fund Investment Data'!$B:$B &lt;= $B1377)),0)"),2960091.25)</f>
        <v>2960091.25</v>
      </c>
      <c r="T1377" s="32"/>
      <c r="U1377" s="32"/>
      <c r="V1377" s="32">
        <f>IFERROR(__xludf.DUMMYFUNCTION("$D1377 - IFERROR(FILTER($D:$D,$C:$C = $C1377, $A:$A = $A1377, $B:$B = $B1377 - 1),0)"),0.0)</f>
        <v>0</v>
      </c>
      <c r="W1377" s="93">
        <f>IFERROR(__xludf.DUMMYFUNCTION("$E1377 - IFERROR(FILTER($E:$E,$C:$C = $C1377, $A:$A = $A1377, $B:$B = $B1377 - 1),0)"),-40500.0)</f>
        <v>-40500</v>
      </c>
      <c r="X1377" s="91">
        <f>IFERROR(__xludf.DUMMYFUNCTION("iFERROR((FILTER('Fund Investment Data'!$Z:$Z, 'Fund Investment Data'!$C:$C = $C1377, 'Fund Investment Data'!$A:$A = $A1377 - 1, 'Fund Investment Data'!$B:$B = 12) + FILTER('Fund Investment Data'!$AB:$AB, 'Fund Investment Data'!$C:$C = $C1377, 'Fund Invest"&amp;"ment Data'!$A:$A = $A1377 - 1, 'Fund Investment Data'!$B:$B = 12)) * (1 + AVERAGE(FILTER('Inflation Data'!$C:$C,'Inflation Data'!$A:$A = ($A1377 - 2)))) * Parameters!$A$4,0)"),106462.6298445185)</f>
        <v>106462.6298</v>
      </c>
      <c r="Y1377" s="91">
        <f>IFERROR(__xludf.DUMMYFUNCTION("IFERROR((IFERROR(FILTER('Fund Investment Data'!$P:$P,'Fund Investment Data'!$C:$C = $C1377,'Fund Investment Data'!$A:$A = ($A1377 - 2), 'Fund Investment Data'!$B:$B = 12),0) - SUM(FILTER('Fund Investment Data'!$V:$V, 'Fund Investment Data'!$C:$C = $C1377,"&amp;" 'Fund Investment Data'!$A:$A = ($A1377 - 2), 'Fund Investment Data'!$B:$B &gt; 3)))  * Parameters!$B$4 * (1 - Parameters!$A$4),0)"),44674.55194500001)</f>
        <v>44674.55195</v>
      </c>
      <c r="Z1377" s="91">
        <f t="shared" si="24"/>
        <v>151137.1818</v>
      </c>
      <c r="AA1377" s="91">
        <f>IFERROR(__xludf.DUMMYFUNCTION("((IFERROR((SUM(FILTER('Fund Investment Data'!$V:$V, 'Fund Investment Data'!$C:$C = $C1377, 'Fund Investment Data'!$A:$A = $A1377 - 1, 'Fund Investment Data'!$B:$B &gt;= 4, 'Fund Investment Data'!$B:$B &lt;= ($B1377 + 5))) / 12) * ($B1377 - 3) * Parameters!$B$4,"&amp;" 0) + IF($B1377 &gt;= 9, IFERROR(SUM(FILTER('Fund Investment Data'!$V:$V, 'Fund Investment Data'!$C:$C = $C1377, 'Fund Investment Data'!$A:$A = $A1377, 'Fund Investment Data'!$B:$B &lt;= 3)) * Parameters!$B$4, 0),0)))"),0.0)</f>
        <v>0</v>
      </c>
      <c r="AB1377" s="32">
        <f>IFERROR(__xludf.DUMMYFUNCTION("IFERROR(((IFERROR(SUM(FILTER('Fund Investment Data'!$V:$V, 'Fund Investment Data'!$C:$C = $C1377, 'Fund Investment Data'!$A:$A = $A1377 - 2, 'Fund Investment Data'!$B:$B &gt;= 4)) * Parameters!$B$4,0) + IFERROR(SUM(FILTER('Fund Investment Data'!$V:$V, 'Fund "&amp;"Investment Data'!$C:$C = $C1377, 'Fund Investment Data'!$A:$A = $A1377 - 1, 'Fund Investment Data'!$B:$B &lt;= 3)) * Parameters!$B$4,0))),0)"),0.0)</f>
        <v>0</v>
      </c>
      <c r="AC1377" s="32">
        <f>IFERROR(__xludf.DUMMYFUNCTION("IFERROR(FILTER($AF:$AF,$C:$C = $C1377,$A:$A = $A1377 - 1,$B:$B = 12),0)"),0.0)</f>
        <v>0</v>
      </c>
      <c r="AD1377" s="32">
        <f t="shared" si="23"/>
        <v>151137.1818</v>
      </c>
      <c r="AE1377" s="32">
        <f t="shared" si="2"/>
        <v>71637.18179</v>
      </c>
      <c r="AF1377" s="32"/>
    </row>
    <row r="1378">
      <c r="A1378" s="86">
        <v>2019.0</v>
      </c>
      <c r="B1378" s="87">
        <v>5.0</v>
      </c>
      <c r="C1378" s="88" t="s">
        <v>46</v>
      </c>
      <c r="D1378" s="32"/>
      <c r="E1378" s="93">
        <v>-15000.0</v>
      </c>
      <c r="F1378" s="32"/>
      <c r="G1378" s="93">
        <v>-832.56</v>
      </c>
      <c r="H1378" s="93">
        <v>4057.38</v>
      </c>
      <c r="I1378" s="93">
        <v>4007.36</v>
      </c>
      <c r="J1378" s="93">
        <v>17223.51</v>
      </c>
      <c r="K1378" s="32"/>
      <c r="L1378" s="32"/>
      <c r="M1378" s="32"/>
      <c r="N1378" s="32"/>
      <c r="O1378" s="93">
        <v>344246.65</v>
      </c>
      <c r="P1378" s="91">
        <f>IFERROR(__xludf.DUMMYFUNCTION("IFERROR(sum(FILTER($D:$N,$C:$C = $C1378,$A:$A &lt; $A1378,$B:$B = 12)),0) + sum($D1378:$N1378)"),344247.07)</f>
        <v>344247.07</v>
      </c>
      <c r="Q1378" s="92">
        <f t="shared" si="1"/>
        <v>-0.42</v>
      </c>
      <c r="R1378" s="91">
        <f t="array" ref="R1378">IFERROR(INDEX('Fund YTD Target Values'!$1:$1000, MATCH($C1378,'Fund YTD Target Values'!$A:$A,0), MATCH($A1378,'Fund YTD Target Values'!$1:$1,0)),0)</f>
        <v>464818.8536</v>
      </c>
      <c r="S1378" s="91">
        <f>IFERROR(__xludf.DUMMYFUNCTION("IFERROR(sum(FILTER('Fund Investment Data'!$V:$V, 'Fund Investment Data'!$C:$C = $C1378, 'Fund Investment Data'!$A:$A &lt; $A1378)),0) + IFERROR(sum(FILTER('Fund Investment Data'!$V:$V, 'Fund Investment Data'!$C:$C = $C1378, 'Fund Investment Data'!$A:$A = $A1"&amp;"378, 'Fund Investment Data'!$B:$B &lt;= $B1378)),0)"),366400.0)</f>
        <v>366400</v>
      </c>
      <c r="T1378" s="93">
        <v>366400.0</v>
      </c>
      <c r="U1378" s="32">
        <f>S1378-T1378</f>
        <v>0</v>
      </c>
      <c r="V1378" s="32">
        <f>IFERROR(__xludf.DUMMYFUNCTION("$D1378 - IFERROR(FILTER($D:$D,$C:$C = $C1378, $A:$A = $A1378, $B:$B = $B1378 - 1),0)"),0.0)</f>
        <v>0</v>
      </c>
      <c r="W1378" s="93">
        <f>IFERROR(__xludf.DUMMYFUNCTION("$E1378 - IFERROR(FILTER($E:$E,$C:$C = $C1378, $A:$A = $A1378, $B:$B = $B1378 - 1),0)"),0.0)</f>
        <v>0</v>
      </c>
      <c r="X1378" s="91">
        <f>IFERROR(__xludf.DUMMYFUNCTION("iFERROR((FILTER('Fund Investment Data'!$Z:$Z, 'Fund Investment Data'!$C:$C = $C1378, 'Fund Investment Data'!$A:$A = $A1378 - 1, 'Fund Investment Data'!$B:$B = 12) + FILTER('Fund Investment Data'!$AB:$AB, 'Fund Investment Data'!$C:$C = $C1378, 'Fund Invest"&amp;"ment Data'!$A:$A = $A1378 - 1, 'Fund Investment Data'!$B:$B = 12)) * (1 + AVERAGE(FILTER('Inflation Data'!$C:$C,'Inflation Data'!$A:$A = ($A1378 - 2)))) * Parameters!$A$4,0)"),12659.715432364716)</f>
        <v>12659.71543</v>
      </c>
      <c r="Y1378" s="91">
        <f>IFERROR(__xludf.DUMMYFUNCTION("IFERROR((IFERROR(FILTER('Fund Investment Data'!$P:$P,'Fund Investment Data'!$C:$C = $C1378,'Fund Investment Data'!$A:$A = ($A1378 - 2), 'Fund Investment Data'!$B:$B = 12),0) - SUM(FILTER('Fund Investment Data'!$V:$V, 'Fund Investment Data'!$C:$C = $C1378,"&amp;" 'Fund Investment Data'!$A:$A = ($A1378 - 2), 'Fund Investment Data'!$B:$B &gt; 3)))  * Parameters!$B$4 * (1 - Parameters!$A$4),0)"),5312.3534100000015)</f>
        <v>5312.35341</v>
      </c>
      <c r="Z1378" s="91">
        <f t="shared" si="24"/>
        <v>17972.06884</v>
      </c>
      <c r="AA1378" s="91">
        <f>IFERROR(__xludf.DUMMYFUNCTION("((IFERROR((SUM(FILTER('Fund Investment Data'!$V:$V, 'Fund Investment Data'!$C:$C = $C1378, 'Fund Investment Data'!$A:$A = $A1378 - 1, 'Fund Investment Data'!$B:$B &gt;= 4, 'Fund Investment Data'!$B:$B &lt;= ($B1378 + 5))) / 12) * ($B1378 - 3) * Parameters!$B$4,"&amp;" 0) + IF($B1378 &gt;= 9, IFERROR(SUM(FILTER('Fund Investment Data'!$V:$V, 'Fund Investment Data'!$C:$C = $C1378, 'Fund Investment Data'!$A:$A = $A1378, 'Fund Investment Data'!$B:$B &lt;= 3)) * Parameters!$B$4, 0),0)))"),0.0)</f>
        <v>0</v>
      </c>
      <c r="AB1378" s="32">
        <f>IFERROR(__xludf.DUMMYFUNCTION("IFERROR(((IFERROR(SUM(FILTER('Fund Investment Data'!$V:$V, 'Fund Investment Data'!$C:$C = $C1378, 'Fund Investment Data'!$A:$A = $A1378 - 2, 'Fund Investment Data'!$B:$B &gt;= 4)) * Parameters!$B$4,0) + IFERROR(SUM(FILTER('Fund Investment Data'!$V:$V, 'Fund "&amp;"Investment Data'!$C:$C = $C1378, 'Fund Investment Data'!$A:$A = $A1378 - 1, 'Fund Investment Data'!$B:$B &lt;= 3)) * Parameters!$B$4,0))),0)"),0.0)</f>
        <v>0</v>
      </c>
      <c r="AC1378" s="32">
        <f>IFERROR(__xludf.DUMMYFUNCTION("IFERROR(FILTER($AF:$AF,$C:$C = $C1378,$A:$A = $A1378 - 1,$B:$B = 12),0)"),0.0)</f>
        <v>0</v>
      </c>
      <c r="AD1378" s="32">
        <f t="shared" si="23"/>
        <v>17972.06884</v>
      </c>
      <c r="AE1378" s="32">
        <f t="shared" si="2"/>
        <v>2972.068842</v>
      </c>
      <c r="AF1378" s="32"/>
    </row>
    <row r="1379">
      <c r="A1379" s="86">
        <v>2019.0</v>
      </c>
      <c r="B1379" s="87">
        <v>5.0</v>
      </c>
      <c r="C1379" s="88" t="s">
        <v>36</v>
      </c>
      <c r="D1379" s="32"/>
      <c r="E1379" s="93">
        <v>-10000.0</v>
      </c>
      <c r="F1379" s="32"/>
      <c r="G1379" s="93">
        <v>-978.47</v>
      </c>
      <c r="H1379" s="93">
        <v>4765.33</v>
      </c>
      <c r="I1379" s="93">
        <v>1929.6</v>
      </c>
      <c r="J1379" s="93">
        <v>22829.42</v>
      </c>
      <c r="K1379" s="32"/>
      <c r="L1379" s="32"/>
      <c r="M1379" s="32"/>
      <c r="N1379" s="32"/>
      <c r="O1379" s="93">
        <v>412477.07</v>
      </c>
      <c r="P1379" s="91">
        <f>IFERROR(__xludf.DUMMYFUNCTION("IFERROR(sum(FILTER($D:$N,$C:$C = $C1379,$A:$A &lt; $A1379,$B:$B = 12)),0) + sum($D1379:$N1379)"),412476.62)</f>
        <v>412476.62</v>
      </c>
      <c r="Q1379" s="92">
        <f t="shared" si="1"/>
        <v>0.45</v>
      </c>
      <c r="R1379" s="91">
        <f t="array" ref="R1379">IFERROR(INDEX('Fund YTD Target Values'!$1:$1000, MATCH($C1379,'Fund YTD Target Values'!$A:$A,0), MATCH($A1379,'Fund YTD Target Values'!$1:$1,0)),0)</f>
        <v>647000.627</v>
      </c>
      <c r="S1379" s="91">
        <f>IFERROR(__xludf.DUMMYFUNCTION("IFERROR(sum(FILTER('Fund Investment Data'!$V:$V, 'Fund Investment Data'!$C:$C = $C1379, 'Fund Investment Data'!$A:$A &lt; $A1379)),0) + IFERROR(sum(FILTER('Fund Investment Data'!$V:$V, 'Fund Investment Data'!$C:$C = $C1379, 'Fund Investment Data'!$A:$A = $A1"&amp;"379, 'Fund Investment Data'!$B:$B &lt;= $B1379)),0)"),429067.24)</f>
        <v>429067.24</v>
      </c>
      <c r="T1379" s="32"/>
      <c r="U1379" s="32"/>
      <c r="V1379" s="32">
        <f>IFERROR(__xludf.DUMMYFUNCTION("$D1379 - IFERROR(FILTER($D:$D,$C:$C = $C1379, $A:$A = $A1379, $B:$B = $B1379 - 1),0)"),0.0)</f>
        <v>0</v>
      </c>
      <c r="W1379" s="93">
        <f>IFERROR(__xludf.DUMMYFUNCTION("$E1379 - IFERROR(FILTER($E:$E,$C:$C = $C1379, $A:$A = $A1379, $B:$B = $B1379 - 1),0)"),0.0)</f>
        <v>0</v>
      </c>
      <c r="X1379" s="91">
        <f>IFERROR(__xludf.DUMMYFUNCTION("iFERROR((FILTER('Fund Investment Data'!$Z:$Z, 'Fund Investment Data'!$C:$C = $C1379, 'Fund Investment Data'!$A:$A = $A1379 - 1, 'Fund Investment Data'!$B:$B = 12) + FILTER('Fund Investment Data'!$AB:$AB, 'Fund Investment Data'!$C:$C = $C1379, 'Fund Invest"&amp;"ment Data'!$A:$A = $A1379 - 1, 'Fund Investment Data'!$B:$B = 12)) * (1 + AVERAGE(FILTER('Inflation Data'!$C:$C,'Inflation Data'!$A:$A = ($A1379 - 2)))) * Parameters!$A$4,0)"),14501.42849435059)</f>
        <v>14501.42849</v>
      </c>
      <c r="Y1379" s="91">
        <f>IFERROR(__xludf.DUMMYFUNCTION("IFERROR((IFERROR(FILTER('Fund Investment Data'!$P:$P,'Fund Investment Data'!$C:$C = $C1379,'Fund Investment Data'!$A:$A = ($A1379 - 2), 'Fund Investment Data'!$B:$B = 12),0) - SUM(FILTER('Fund Investment Data'!$V:$V, 'Fund Investment Data'!$C:$C = $C1379,"&amp;" 'Fund Investment Data'!$A:$A = ($A1379 - 2), 'Fund Investment Data'!$B:$B &gt; 3)))  * Parameters!$B$4 * (1 - Parameters!$A$4),0)"),6085.1852100000015)</f>
        <v>6085.18521</v>
      </c>
      <c r="Z1379" s="91">
        <f t="shared" si="24"/>
        <v>20586.6137</v>
      </c>
      <c r="AA1379" s="91">
        <f>IFERROR(__xludf.DUMMYFUNCTION("((IFERROR((SUM(FILTER('Fund Investment Data'!$V:$V, 'Fund Investment Data'!$C:$C = $C1379, 'Fund Investment Data'!$A:$A = $A1379 - 1, 'Fund Investment Data'!$B:$B &gt;= 4, 'Fund Investment Data'!$B:$B &lt;= ($B1379 + 5))) / 12) * ($B1379 - 3) * Parameters!$B$4,"&amp;" 0) + IF($B1379 &gt;= 9, IFERROR(SUM(FILTER('Fund Investment Data'!$V:$V, 'Fund Investment Data'!$C:$C = $C1379, 'Fund Investment Data'!$A:$A = $A1379, 'Fund Investment Data'!$B:$B &lt;= 3)) * Parameters!$B$4, 0),0)))"),0.0)</f>
        <v>0</v>
      </c>
      <c r="AB1379" s="32">
        <f>IFERROR(__xludf.DUMMYFUNCTION("IFERROR(((IFERROR(SUM(FILTER('Fund Investment Data'!$V:$V, 'Fund Investment Data'!$C:$C = $C1379, 'Fund Investment Data'!$A:$A = $A1379 - 2, 'Fund Investment Data'!$B:$B &gt;= 4)) * Parameters!$B$4,0) + IFERROR(SUM(FILTER('Fund Investment Data'!$V:$V, 'Fund "&amp;"Investment Data'!$C:$C = $C1379, 'Fund Investment Data'!$A:$A = $A1379 - 1, 'Fund Investment Data'!$B:$B &lt;= 3)) * Parameters!$B$4,0))),0)"),0.0)</f>
        <v>0</v>
      </c>
      <c r="AC1379" s="32">
        <f>IFERROR(__xludf.DUMMYFUNCTION("IFERROR(FILTER($AF:$AF,$C:$C = $C1379,$A:$A = $A1379 - 1,$B:$B = 12),0)"),0.0)</f>
        <v>0</v>
      </c>
      <c r="AD1379" s="32">
        <f t="shared" si="23"/>
        <v>20586.6137</v>
      </c>
      <c r="AE1379" s="32">
        <f t="shared" si="2"/>
        <v>10586.6137</v>
      </c>
      <c r="AF1379" s="32"/>
    </row>
    <row r="1380">
      <c r="A1380" s="86">
        <v>2019.0</v>
      </c>
      <c r="B1380" s="87">
        <v>5.0</v>
      </c>
      <c r="C1380" s="88" t="s">
        <v>37</v>
      </c>
      <c r="D1380" s="32"/>
      <c r="E1380" s="93">
        <v>-10000.0</v>
      </c>
      <c r="F1380" s="32"/>
      <c r="G1380" s="93">
        <v>-1803.71</v>
      </c>
      <c r="H1380" s="93">
        <v>8773.89</v>
      </c>
      <c r="I1380" s="93">
        <v>602.44</v>
      </c>
      <c r="J1380" s="93">
        <v>44671.05</v>
      </c>
      <c r="K1380" s="32"/>
      <c r="L1380" s="32"/>
      <c r="M1380" s="32"/>
      <c r="N1380" s="32"/>
      <c r="O1380" s="93">
        <v>765257.78</v>
      </c>
      <c r="P1380" s="91">
        <f>IFERROR(__xludf.DUMMYFUNCTION("IFERROR(sum(FILTER($D:$N,$C:$C = $C1380,$A:$A &lt; $A1380,$B:$B = 12)),0) + sum($D1380:$N1380)"),765257.7799999999)</f>
        <v>765257.78</v>
      </c>
      <c r="Q1380" s="92">
        <f t="shared" si="1"/>
        <v>0.0000000001164153218</v>
      </c>
      <c r="R1380" s="91">
        <f t="array" ref="R1380">IFERROR(INDEX('Fund YTD Target Values'!$1:$1000, MATCH($C1380,'Fund YTD Target Values'!$A:$A,0), MATCH($A1380,'Fund YTD Target Values'!$1:$1,0)),0)</f>
        <v>860942.6464</v>
      </c>
      <c r="S1380" s="91">
        <f>IFERROR(__xludf.DUMMYFUNCTION("IFERROR(sum(FILTER('Fund Investment Data'!$V:$V, 'Fund Investment Data'!$C:$C = $C1380, 'Fund Investment Data'!$A:$A &lt; $A1380)),0) + IFERROR(sum(FILTER('Fund Investment Data'!$V:$V, 'Fund Investment Data'!$C:$C = $C1380, 'Fund Investment Data'!$A:$A = $A1"&amp;"380, 'Fund Investment Data'!$B:$B &lt;= $B1380)),0)"),758137.86)</f>
        <v>758137.86</v>
      </c>
      <c r="T1380" s="32"/>
      <c r="U1380" s="32"/>
      <c r="V1380" s="32">
        <f>IFERROR(__xludf.DUMMYFUNCTION("$D1380 - IFERROR(FILTER($D:$D,$C:$C = $C1380, $A:$A = $A1380, $B:$B = $B1380 - 1),0)"),0.0)</f>
        <v>0</v>
      </c>
      <c r="W1380" s="93">
        <f>IFERROR(__xludf.DUMMYFUNCTION("$E1380 - IFERROR(FILTER($E:$E,$C:$C = $C1380, $A:$A = $A1380, $B:$B = $B1380 - 1),0)"),0.0)</f>
        <v>0</v>
      </c>
      <c r="X1380" s="91">
        <f>IFERROR(__xludf.DUMMYFUNCTION("iFERROR((FILTER('Fund Investment Data'!$Z:$Z, 'Fund Investment Data'!$C:$C = $C1380, 'Fund Investment Data'!$A:$A = $A1380 - 1, 'Fund Investment Data'!$B:$B = 12) + FILTER('Fund Investment Data'!$AB:$AB, 'Fund Investment Data'!$C:$C = $C1380, 'Fund Invest"&amp;"ment Data'!$A:$A = $A1380 - 1, 'Fund Investment Data'!$B:$B = 12)) * (1 + AVERAGE(FILTER('Inflation Data'!$C:$C,'Inflation Data'!$A:$A = ($A1380 - 2)))) * Parameters!$A$4,0)"),26487.702642294462)</f>
        <v>26487.70264</v>
      </c>
      <c r="Y1380" s="91">
        <f>IFERROR(__xludf.DUMMYFUNCTION("IFERROR((IFERROR(FILTER('Fund Investment Data'!$P:$P,'Fund Investment Data'!$C:$C = $C1380,'Fund Investment Data'!$A:$A = ($A1380 - 2), 'Fund Investment Data'!$B:$B = 12),0) - SUM(FILTER('Fund Investment Data'!$V:$V, 'Fund Investment Data'!$C:$C = $C1380,"&amp;" 'Fund Investment Data'!$A:$A = ($A1380 - 2), 'Fund Investment Data'!$B:$B &gt; 3)))  * Parameters!$B$4 * (1 - Parameters!$A$4),0)"),11114.94474)</f>
        <v>11114.94474</v>
      </c>
      <c r="Z1380" s="91">
        <f t="shared" si="24"/>
        <v>37602.64738</v>
      </c>
      <c r="AA1380" s="91">
        <f>IFERROR(__xludf.DUMMYFUNCTION("((IFERROR((SUM(FILTER('Fund Investment Data'!$V:$V, 'Fund Investment Data'!$C:$C = $C1380, 'Fund Investment Data'!$A:$A = $A1380 - 1, 'Fund Investment Data'!$B:$B &gt;= 4, 'Fund Investment Data'!$B:$B &lt;= ($B1380 + 5))) / 12) * ($B1380 - 3) * Parameters!$B$4,"&amp;" 0) + IF($B1380 &gt;= 9, IFERROR(SUM(FILTER('Fund Investment Data'!$V:$V, 'Fund Investment Data'!$C:$C = $C1380, 'Fund Investment Data'!$A:$A = $A1380, 'Fund Investment Data'!$B:$B &lt;= 3)) * Parameters!$B$4, 0),0)))"),0.0)</f>
        <v>0</v>
      </c>
      <c r="AB1380" s="32">
        <f>IFERROR(__xludf.DUMMYFUNCTION("IFERROR(((IFERROR(SUM(FILTER('Fund Investment Data'!$V:$V, 'Fund Investment Data'!$C:$C = $C1380, 'Fund Investment Data'!$A:$A = $A1380 - 2, 'Fund Investment Data'!$B:$B &gt;= 4)) * Parameters!$B$4,0) + IFERROR(SUM(FILTER('Fund Investment Data'!$V:$V, 'Fund "&amp;"Investment Data'!$C:$C = $C1380, 'Fund Investment Data'!$A:$A = $A1380 - 1, 'Fund Investment Data'!$B:$B &lt;= 3)) * Parameters!$B$4,0))),0)"),0.0)</f>
        <v>0</v>
      </c>
      <c r="AC1380" s="32">
        <f>IFERROR(__xludf.DUMMYFUNCTION("IFERROR(FILTER($AF:$AF,$C:$C = $C1380,$A:$A = $A1380 - 1,$B:$B = 12),0)"),0.0)</f>
        <v>0</v>
      </c>
      <c r="AD1380" s="32">
        <f t="shared" si="23"/>
        <v>37602.64738</v>
      </c>
      <c r="AE1380" s="32">
        <f t="shared" si="2"/>
        <v>27602.64738</v>
      </c>
      <c r="AF1380" s="32"/>
    </row>
    <row r="1381">
      <c r="A1381" s="86">
        <v>2019.0</v>
      </c>
      <c r="B1381" s="87">
        <v>5.0</v>
      </c>
      <c r="C1381" s="88" t="s">
        <v>29</v>
      </c>
      <c r="D1381" s="32"/>
      <c r="E1381" s="32"/>
      <c r="F1381" s="32"/>
      <c r="G1381" s="93">
        <v>-134.6</v>
      </c>
      <c r="H1381" s="93">
        <v>651.87</v>
      </c>
      <c r="I1381" s="32"/>
      <c r="J1381" s="93">
        <v>3311.3</v>
      </c>
      <c r="K1381" s="32"/>
      <c r="L1381" s="32"/>
      <c r="M1381" s="32"/>
      <c r="N1381" s="32"/>
      <c r="O1381" s="93">
        <v>57555.93</v>
      </c>
      <c r="P1381" s="91">
        <f>IFERROR(__xludf.DUMMYFUNCTION("IFERROR(sum(FILTER($D:$N,$C:$C = $C1381,$A:$A &lt; $A1381,$B:$B = 12)),0) + sum($D1381:$N1381)"),57555.95999999992)</f>
        <v>57555.96</v>
      </c>
      <c r="Q1381" s="92">
        <f t="shared" si="1"/>
        <v>-0.02999999992</v>
      </c>
      <c r="R1381" s="91">
        <f t="array" ref="R1381">IFERROR(INDEX('Fund YTD Target Values'!$1:$1000, MATCH($C1381,'Fund YTD Target Values'!$A:$A,0), MATCH($A1381,'Fund YTD Target Values'!$1:$1,0)),0)</f>
        <v>78452.06886</v>
      </c>
      <c r="S1381" s="91">
        <f>IFERROR(__xludf.DUMMYFUNCTION("IFERROR(sum(FILTER('Fund Investment Data'!$V:$V, 'Fund Investment Data'!$C:$C = $C1381, 'Fund Investment Data'!$A:$A &lt; $A1381)),0) + IFERROR(sum(FILTER('Fund Investment Data'!$V:$V, 'Fund Investment Data'!$C:$C = $C1381, 'Fund Investment Data'!$A:$A = $A1"&amp;"381, 'Fund Investment Data'!$B:$B &lt;= $B1381)),0)"),50000.0)</f>
        <v>50000</v>
      </c>
      <c r="T1381" s="93">
        <v>50000.0</v>
      </c>
      <c r="U1381" s="32">
        <f>S1381-T1381</f>
        <v>0</v>
      </c>
      <c r="V1381" s="32">
        <f>IFERROR(__xludf.DUMMYFUNCTION("$D1381 - IFERROR(FILTER($D:$D,$C:$C = $C1381, $A:$A = $A1381, $B:$B = $B1381 - 1),0)"),0.0)</f>
        <v>0</v>
      </c>
      <c r="W1381" s="93">
        <f>IFERROR(__xludf.DUMMYFUNCTION("$E1381 - IFERROR(FILTER($E:$E,$C:$C = $C1381, $A:$A = $A1381, $B:$B = $B1381 - 1),0)"),0.0)</f>
        <v>0</v>
      </c>
      <c r="X1381" s="91">
        <f>IFERROR(__xludf.DUMMYFUNCTION("iFERROR((FILTER('Fund Investment Data'!$Z:$Z, 'Fund Investment Data'!$C:$C = $C1381, 'Fund Investment Data'!$A:$A = $A1381 - 1, 'Fund Investment Data'!$B:$B = 12) + FILTER('Fund Investment Data'!$AB:$AB, 'Fund Investment Data'!$C:$C = $C1381, 'Fund Invest"&amp;"ment Data'!$A:$A = $A1381 - 1, 'Fund Investment Data'!$B:$B = 12)) * (1 + AVERAGE(FILTER('Inflation Data'!$C:$C,'Inflation Data'!$A:$A = ($A1381 - 2)))) * Parameters!$A$4,0)"),1871.1341826828661)</f>
        <v>1871.134183</v>
      </c>
      <c r="Y1381" s="91">
        <f>IFERROR(__xludf.DUMMYFUNCTION("IFERROR((IFERROR(FILTER('Fund Investment Data'!$P:$P,'Fund Investment Data'!$C:$C = $C1381,'Fund Investment Data'!$A:$A = ($A1381 - 2), 'Fund Investment Data'!$B:$B = 12),0) - SUM(FILTER('Fund Investment Data'!$V:$V, 'Fund Investment Data'!$C:$C = $C1381,"&amp;" 'Fund Investment Data'!$A:$A = ($A1381 - 2), 'Fund Investment Data'!$B:$B &gt; 3)))  * Parameters!$B$4 * (1 - Parameters!$A$4),0)"),785.1776849999991)</f>
        <v>785.177685</v>
      </c>
      <c r="Z1381" s="91">
        <f t="shared" si="24"/>
        <v>2656.311868</v>
      </c>
      <c r="AA1381" s="91">
        <f>IFERROR(__xludf.DUMMYFUNCTION("((IFERROR((SUM(FILTER('Fund Investment Data'!$V:$V, 'Fund Investment Data'!$C:$C = $C1381, 'Fund Investment Data'!$A:$A = $A1381 - 1, 'Fund Investment Data'!$B:$B &gt;= 4, 'Fund Investment Data'!$B:$B &lt;= ($B1381 + 5))) / 12) * ($B1381 - 3) * Parameters!$B$4,"&amp;" 0) + IF($B1381 &gt;= 9, IFERROR(SUM(FILTER('Fund Investment Data'!$V:$V, 'Fund Investment Data'!$C:$C = $C1381, 'Fund Investment Data'!$A:$A = $A1381, 'Fund Investment Data'!$B:$B &lt;= 3)) * Parameters!$B$4, 0),0)))"),0.0)</f>
        <v>0</v>
      </c>
      <c r="AB1381" s="32">
        <f>IFERROR(__xludf.DUMMYFUNCTION("IFERROR(((IFERROR(SUM(FILTER('Fund Investment Data'!$V:$V, 'Fund Investment Data'!$C:$C = $C1381, 'Fund Investment Data'!$A:$A = $A1381 - 2, 'Fund Investment Data'!$B:$B &gt;= 4)) * Parameters!$B$4,0) + IFERROR(SUM(FILTER('Fund Investment Data'!$V:$V, 'Fund "&amp;"Investment Data'!$C:$C = $C1381, 'Fund Investment Data'!$A:$A = $A1381 - 1, 'Fund Investment Data'!$B:$B &lt;= 3)) * Parameters!$B$4,0))),0)"),0.0)</f>
        <v>0</v>
      </c>
      <c r="AC1381" s="32">
        <f>IFERROR(__xludf.DUMMYFUNCTION("IFERROR(FILTER($AF:$AF,$C:$C = $C1381,$A:$A = $A1381 - 1,$B:$B = 12),0)"),0.0)</f>
        <v>0</v>
      </c>
      <c r="AD1381" s="32">
        <f t="shared" si="23"/>
        <v>2656.311868</v>
      </c>
      <c r="AE1381" s="32">
        <f t="shared" si="2"/>
        <v>2656.311868</v>
      </c>
      <c r="AF1381" s="32"/>
    </row>
    <row r="1382">
      <c r="A1382" s="86">
        <v>2019.0</v>
      </c>
      <c r="B1382" s="87">
        <v>5.0</v>
      </c>
      <c r="C1382" s="88" t="s">
        <v>38</v>
      </c>
      <c r="D1382" s="32"/>
      <c r="E1382" s="32"/>
      <c r="F1382" s="32"/>
      <c r="G1382" s="93">
        <v>-1810.37</v>
      </c>
      <c r="H1382" s="93">
        <v>8792.08</v>
      </c>
      <c r="I1382" s="32"/>
      <c r="J1382" s="93">
        <v>45266.38</v>
      </c>
      <c r="K1382" s="32"/>
      <c r="L1382" s="32"/>
      <c r="M1382" s="32"/>
      <c r="N1382" s="32"/>
      <c r="O1382" s="93">
        <v>774059.29</v>
      </c>
      <c r="P1382" s="91">
        <f>IFERROR(__xludf.DUMMYFUNCTION("IFERROR(sum(FILTER($D:$N,$C:$C = $C1382,$A:$A &lt; $A1382,$B:$B = 12)),0) + sum($D1382:$N1382)"),774058.25)</f>
        <v>774058.25</v>
      </c>
      <c r="Q1382" s="92">
        <f t="shared" si="1"/>
        <v>1.04</v>
      </c>
      <c r="R1382" s="91">
        <f t="array" ref="R1382">IFERROR(INDEX('Fund YTD Target Values'!$1:$1000, MATCH($C1382,'Fund YTD Target Values'!$A:$A,0), MATCH($A1382,'Fund YTD Target Values'!$1:$1,0)),0)</f>
        <v>715243.4084</v>
      </c>
      <c r="S1382" s="91">
        <f>IFERROR(__xludf.DUMMYFUNCTION("IFERROR(sum(FILTER('Fund Investment Data'!$V:$V, 'Fund Investment Data'!$C:$C = $C1382, 'Fund Investment Data'!$A:$A &lt; $A1382)),0) + IFERROR(sum(FILTER('Fund Investment Data'!$V:$V, 'Fund Investment Data'!$C:$C = $C1382, 'Fund Investment Data'!$A:$A = $A1"&amp;"382, 'Fund Investment Data'!$B:$B &lt;= $B1382)),0)"),556601.64)</f>
        <v>556601.64</v>
      </c>
      <c r="T1382" s="32"/>
      <c r="U1382" s="32"/>
      <c r="V1382" s="32">
        <f>IFERROR(__xludf.DUMMYFUNCTION("$D1382 - IFERROR(FILTER($D:$D,$C:$C = $C1382, $A:$A = $A1382, $B:$B = $B1382 - 1),0)"),0.0)</f>
        <v>0</v>
      </c>
      <c r="W1382" s="93">
        <f>IFERROR(__xludf.DUMMYFUNCTION("$E1382 - IFERROR(FILTER($E:$E,$C:$C = $C1382, $A:$A = $A1382, $B:$B = $B1382 - 1),0)"),0.0)</f>
        <v>0</v>
      </c>
      <c r="X1382" s="91">
        <f>IFERROR(__xludf.DUMMYFUNCTION("iFERROR((FILTER('Fund Investment Data'!$Z:$Z, 'Fund Investment Data'!$C:$C = $C1382, 'Fund Investment Data'!$A:$A = $A1382 - 1, 'Fund Investment Data'!$B:$B = 12) + FILTER('Fund Investment Data'!$AB:$AB, 'Fund Investment Data'!$C:$C = $C1382, 'Fund Invest"&amp;"ment Data'!$A:$A = $A1382 - 1, 'Fund Investment Data'!$B:$B = 12)) * (1 + AVERAGE(FILTER('Inflation Data'!$C:$C,'Inflation Data'!$A:$A = ($A1382 - 2)))) * Parameters!$A$4,0)"),22062.02597097784)</f>
        <v>22062.02597</v>
      </c>
      <c r="Y1382" s="91">
        <f>IFERROR(__xludf.DUMMYFUNCTION("IFERROR((IFERROR(FILTER('Fund Investment Data'!$P:$P,'Fund Investment Data'!$C:$C = $C1382,'Fund Investment Data'!$A:$A = ($A1382 - 2), 'Fund Investment Data'!$B:$B = 12),0) - SUM(FILTER('Fund Investment Data'!$V:$V, 'Fund Investment Data'!$C:$C = $C1382,"&amp;" 'Fund Investment Data'!$A:$A = ($A1382 - 2), 'Fund Investment Data'!$B:$B &gt; 3)))  * Parameters!$B$4 * (1 - Parameters!$A$4),0)"),11008.00989)</f>
        <v>11008.00989</v>
      </c>
      <c r="Z1382" s="91">
        <f t="shared" si="24"/>
        <v>33070.03586</v>
      </c>
      <c r="AA1382" s="91">
        <f>IFERROR(__xludf.DUMMYFUNCTION("((IFERROR((SUM(FILTER('Fund Investment Data'!$V:$V, 'Fund Investment Data'!$C:$C = $C1382, 'Fund Investment Data'!$A:$A = $A1382 - 1, 'Fund Investment Data'!$B:$B &gt;= 4, 'Fund Investment Data'!$B:$B &lt;= ($B1382 + 5))) / 12) * ($B1382 - 3) * Parameters!$B$4,"&amp;" 0) + IF($B1382 &gt;= 9, IFERROR(SUM(FILTER('Fund Investment Data'!$V:$V, 'Fund Investment Data'!$C:$C = $C1382, 'Fund Investment Data'!$A:$A = $A1382, 'Fund Investment Data'!$B:$B &lt;= 3)) * Parameters!$B$4, 0),0)))"),0.0)</f>
        <v>0</v>
      </c>
      <c r="AB1382" s="32">
        <f>IFERROR(__xludf.DUMMYFUNCTION("IFERROR(((IFERROR(SUM(FILTER('Fund Investment Data'!$V:$V, 'Fund Investment Data'!$C:$C = $C1382, 'Fund Investment Data'!$A:$A = $A1382 - 2, 'Fund Investment Data'!$B:$B &gt;= 4)) * Parameters!$B$4,0) + IFERROR(SUM(FILTER('Fund Investment Data'!$V:$V, 'Fund "&amp;"Investment Data'!$C:$C = $C1382, 'Fund Investment Data'!$A:$A = $A1382 - 1, 'Fund Investment Data'!$B:$B &lt;= 3)) * Parameters!$B$4,0))),0)"),0.0)</f>
        <v>0</v>
      </c>
      <c r="AC1382" s="32">
        <f>IFERROR(__xludf.DUMMYFUNCTION("IFERROR(FILTER($AF:$AF,$C:$C = $C1382,$A:$A = $A1382 - 1,$B:$B = 12),0)"),0.0)</f>
        <v>0</v>
      </c>
      <c r="AD1382" s="32">
        <f t="shared" si="23"/>
        <v>33070.03586</v>
      </c>
      <c r="AE1382" s="32">
        <f t="shared" si="2"/>
        <v>33070.03586</v>
      </c>
      <c r="AF1382" s="32"/>
    </row>
    <row r="1383">
      <c r="A1383" s="86">
        <v>2019.0</v>
      </c>
      <c r="B1383" s="87">
        <v>5.0</v>
      </c>
      <c r="C1383" s="88" t="s">
        <v>30</v>
      </c>
      <c r="D1383" s="32"/>
      <c r="E1383" s="32"/>
      <c r="F1383" s="32"/>
      <c r="G1383" s="93">
        <v>-40.18</v>
      </c>
      <c r="H1383" s="93">
        <v>194.6</v>
      </c>
      <c r="I1383" s="32"/>
      <c r="J1383" s="93">
        <v>988.48</v>
      </c>
      <c r="K1383" s="32"/>
      <c r="L1383" s="32"/>
      <c r="M1383" s="32"/>
      <c r="N1383" s="32"/>
      <c r="O1383" s="93">
        <v>17183.61</v>
      </c>
      <c r="P1383" s="91">
        <f>IFERROR(__xludf.DUMMYFUNCTION("IFERROR(sum(FILTER($D:$N,$C:$C = $C1383,$A:$A &lt; $A1383,$B:$B = 12)),0) + sum($D1383:$N1383)"),17181.979999999985)</f>
        <v>17181.98</v>
      </c>
      <c r="Q1383" s="92">
        <f t="shared" si="1"/>
        <v>1.63</v>
      </c>
      <c r="R1383" s="91">
        <f t="array" ref="R1383">IFERROR(INDEX('Fund YTD Target Values'!$1:$1000, MATCH($C1383,'Fund YTD Target Values'!$A:$A,0), MATCH($A1383,'Fund YTD Target Values'!$1:$1,0)),0)</f>
        <v>18819.48136</v>
      </c>
      <c r="S1383" s="91">
        <f>IFERROR(__xludf.DUMMYFUNCTION("IFERROR(sum(FILTER('Fund Investment Data'!$V:$V, 'Fund Investment Data'!$C:$C = $C1383, 'Fund Investment Data'!$A:$A &lt; $A1383)),0) + IFERROR(sum(FILTER('Fund Investment Data'!$V:$V, 'Fund Investment Data'!$C:$C = $C1383, 'Fund Investment Data'!$A:$A = $A1"&amp;"383, 'Fund Investment Data'!$B:$B &lt;= $B1383)),0)"),11540.75)</f>
        <v>11540.75</v>
      </c>
      <c r="T1383" s="32"/>
      <c r="U1383" s="32"/>
      <c r="V1383" s="32">
        <f>IFERROR(__xludf.DUMMYFUNCTION("$D1383 - IFERROR(FILTER($D:$D,$C:$C = $C1383, $A:$A = $A1383, $B:$B = $B1383 - 1),0)"),0.0)</f>
        <v>0</v>
      </c>
      <c r="W1383" s="93">
        <f>IFERROR(__xludf.DUMMYFUNCTION("$E1383 - IFERROR(FILTER($E:$E,$C:$C = $C1383, $A:$A = $A1383, $B:$B = $B1383 - 1),0)"),0.0)</f>
        <v>0</v>
      </c>
      <c r="X1383" s="91">
        <f>IFERROR(__xludf.DUMMYFUNCTION("iFERROR((FILTER('Fund Investment Data'!$Z:$Z, 'Fund Investment Data'!$C:$C = $C1383, 'Fund Investment Data'!$A:$A = $A1383 - 1, 'Fund Investment Data'!$B:$B = 12) + FILTER('Fund Investment Data'!$AB:$AB, 'Fund Investment Data'!$C:$C = $C1383, 'Fund Invest"&amp;"ment Data'!$A:$A = $A1383 - 1, 'Fund Investment Data'!$B:$B = 12)) * (1 + AVERAGE(FILTER('Inflation Data'!$C:$C,'Inflation Data'!$A:$A = ($A1383 - 2)))) * Parameters!$A$4,0)"),558.7349135648467)</f>
        <v>558.7349136</v>
      </c>
      <c r="Y1383" s="91">
        <f>IFERROR(__xludf.DUMMYFUNCTION("IFERROR((IFERROR(FILTER('Fund Investment Data'!$P:$P,'Fund Investment Data'!$C:$C = $C1383,'Fund Investment Data'!$A:$A = ($A1383 - 2), 'Fund Investment Data'!$B:$B = 12),0) - SUM(FILTER('Fund Investment Data'!$V:$V, 'Fund Investment Data'!$C:$C = $C1383,"&amp;" 'Fund Investment Data'!$A:$A = ($A1383 - 2), 'Fund Investment Data'!$B:$B &gt; 3)))  * Parameters!$B$4 * (1 - Parameters!$A$4),0)"),234.46003499999986)</f>
        <v>234.460035</v>
      </c>
      <c r="Z1383" s="91">
        <f t="shared" si="24"/>
        <v>793.1949486</v>
      </c>
      <c r="AA1383" s="91">
        <f>IFERROR(__xludf.DUMMYFUNCTION("((IFERROR((SUM(FILTER('Fund Investment Data'!$V:$V, 'Fund Investment Data'!$C:$C = $C1383, 'Fund Investment Data'!$A:$A = $A1383 - 1, 'Fund Investment Data'!$B:$B &gt;= 4, 'Fund Investment Data'!$B:$B &lt;= ($B1383 + 5))) / 12) * ($B1383 - 3) * Parameters!$B$4,"&amp;" 0) + IF($B1383 &gt;= 9, IFERROR(SUM(FILTER('Fund Investment Data'!$V:$V, 'Fund Investment Data'!$C:$C = $C1383, 'Fund Investment Data'!$A:$A = $A1383, 'Fund Investment Data'!$B:$B &lt;= 3)) * Parameters!$B$4, 0),0)))"),0.0)</f>
        <v>0</v>
      </c>
      <c r="AB1383" s="32">
        <f>IFERROR(__xludf.DUMMYFUNCTION("IFERROR(((IFERROR(SUM(FILTER('Fund Investment Data'!$V:$V, 'Fund Investment Data'!$C:$C = $C1383, 'Fund Investment Data'!$A:$A = $A1383 - 2, 'Fund Investment Data'!$B:$B &gt;= 4)) * Parameters!$B$4,0) + IFERROR(SUM(FILTER('Fund Investment Data'!$V:$V, 'Fund "&amp;"Investment Data'!$C:$C = $C1383, 'Fund Investment Data'!$A:$A = $A1383 - 1, 'Fund Investment Data'!$B:$B &lt;= 3)) * Parameters!$B$4,0))),0)"),0.0)</f>
        <v>0</v>
      </c>
      <c r="AC1383" s="32">
        <f>IFERROR(__xludf.DUMMYFUNCTION("IFERROR(FILTER($AF:$AF,$C:$C = $C1383,$A:$A = $A1383 - 1,$B:$B = 12),0)"),0.0)</f>
        <v>0</v>
      </c>
      <c r="AD1383" s="32">
        <f t="shared" si="23"/>
        <v>793.1949486</v>
      </c>
      <c r="AE1383" s="32">
        <f t="shared" si="2"/>
        <v>793.1949486</v>
      </c>
      <c r="AF1383" s="32"/>
    </row>
    <row r="1384">
      <c r="A1384" s="86">
        <v>2019.0</v>
      </c>
      <c r="B1384" s="87">
        <v>5.0</v>
      </c>
      <c r="C1384" s="88" t="s">
        <v>47</v>
      </c>
      <c r="D1384" s="32"/>
      <c r="E1384" s="93">
        <v>-45000.0</v>
      </c>
      <c r="F1384" s="32"/>
      <c r="G1384" s="93">
        <v>-3310.68</v>
      </c>
      <c r="H1384" s="93">
        <v>16134.86</v>
      </c>
      <c r="I1384" s="93">
        <v>11122.08</v>
      </c>
      <c r="J1384" s="93">
        <v>73023.4</v>
      </c>
      <c r="K1384" s="32"/>
      <c r="L1384" s="32"/>
      <c r="M1384" s="32"/>
      <c r="N1384" s="32"/>
      <c r="O1384" s="93">
        <v>1383267.97</v>
      </c>
      <c r="P1384" s="91">
        <f>IFERROR(__xludf.DUMMYFUNCTION("IFERROR(sum(FILTER($D:$N,$C:$C = $C1384,$A:$A &lt; $A1384,$B:$B = 12)),0) + sum($D1384:$N1384)"),1383267.6199999996)</f>
        <v>1383267.62</v>
      </c>
      <c r="Q1384" s="92">
        <f t="shared" si="1"/>
        <v>0.3500000003</v>
      </c>
      <c r="R1384" s="91">
        <f t="array" ref="R1384">IFERROR(INDEX('Fund YTD Target Values'!$1:$1000, MATCH($C1384,'Fund YTD Target Values'!$A:$A,0), MATCH($A1384,'Fund YTD Target Values'!$1:$1,0)),0)</f>
        <v>2034942.933</v>
      </c>
      <c r="S1384" s="91">
        <f>IFERROR(__xludf.DUMMYFUNCTION("IFERROR(sum(FILTER('Fund Investment Data'!$V:$V, 'Fund Investment Data'!$C:$C = $C1384, 'Fund Investment Data'!$A:$A &lt; $A1384)),0) + IFERROR(sum(FILTER('Fund Investment Data'!$V:$V, 'Fund Investment Data'!$C:$C = $C1384, 'Fund Investment Data'!$A:$A = $A1"&amp;"384, 'Fund Investment Data'!$B:$B &lt;= $B1384)),0)"),1456367.46)</f>
        <v>1456367.46</v>
      </c>
      <c r="T1384" s="32"/>
      <c r="U1384" s="32"/>
      <c r="V1384" s="32">
        <f>IFERROR(__xludf.DUMMYFUNCTION("$D1384 - IFERROR(FILTER($D:$D,$C:$C = $C1384, $A:$A = $A1384, $B:$B = $B1384 - 1),0)"),0.0)</f>
        <v>0</v>
      </c>
      <c r="W1384" s="93">
        <f>IFERROR(__xludf.DUMMYFUNCTION("$E1384 - IFERROR(FILTER($E:$E,$C:$C = $C1384, $A:$A = $A1384, $B:$B = $B1384 - 1),0)"),0.0)</f>
        <v>0</v>
      </c>
      <c r="X1384" s="91">
        <f>IFERROR(__xludf.DUMMYFUNCTION("iFERROR((FILTER('Fund Investment Data'!$Z:$Z, 'Fund Investment Data'!$C:$C = $C1384, 'Fund Investment Data'!$A:$A = $A1384 - 1, 'Fund Investment Data'!$B:$B = 12) + FILTER('Fund Investment Data'!$AB:$AB, 'Fund Investment Data'!$C:$C = $C1384, 'Fund Invest"&amp;"ment Data'!$A:$A = $A1384 - 1, 'Fund Investment Data'!$B:$B = 12)) * (1 + AVERAGE(FILTER('Inflation Data'!$C:$C,'Inflation Data'!$A:$A = ($A1384 - 2)))) * Parameters!$A$4,0)"),48393.90516981818)</f>
        <v>48393.90517</v>
      </c>
      <c r="Y1384" s="91">
        <f>IFERROR(__xludf.DUMMYFUNCTION("IFERROR((IFERROR(FILTER('Fund Investment Data'!$P:$P,'Fund Investment Data'!$C:$C = $C1384,'Fund Investment Data'!$A:$A = ($A1384 - 2), 'Fund Investment Data'!$B:$B = 12),0) - SUM(FILTER('Fund Investment Data'!$V:$V, 'Fund Investment Data'!$C:$C = $C1384,"&amp;" 'Fund Investment Data'!$A:$A = ($A1384 - 2), 'Fund Investment Data'!$B:$B &gt; 3)))  * Parameters!$B$4 * (1 - Parameters!$A$4),0)"),20307.37014)</f>
        <v>20307.37014</v>
      </c>
      <c r="Z1384" s="91">
        <f t="shared" si="24"/>
        <v>68701.27531</v>
      </c>
      <c r="AA1384" s="91">
        <f>IFERROR(__xludf.DUMMYFUNCTION("((IFERROR((SUM(FILTER('Fund Investment Data'!$V:$V, 'Fund Investment Data'!$C:$C = $C1384, 'Fund Investment Data'!$A:$A = $A1384 - 1, 'Fund Investment Data'!$B:$B &gt;= 4, 'Fund Investment Data'!$B:$B &lt;= ($B1384 + 5))) / 12) * ($B1384 - 3) * Parameters!$B$4,"&amp;" 0) + IF($B1384 &gt;= 9, IFERROR(SUM(FILTER('Fund Investment Data'!$V:$V, 'Fund Investment Data'!$C:$C = $C1384, 'Fund Investment Data'!$A:$A = $A1384, 'Fund Investment Data'!$B:$B &lt;= 3)) * Parameters!$B$4, 0),0)))"),0.0)</f>
        <v>0</v>
      </c>
      <c r="AB1384" s="32">
        <f>IFERROR(__xludf.DUMMYFUNCTION("IFERROR(((IFERROR(SUM(FILTER('Fund Investment Data'!$V:$V, 'Fund Investment Data'!$C:$C = $C1384, 'Fund Investment Data'!$A:$A = $A1384 - 2, 'Fund Investment Data'!$B:$B &gt;= 4)) * Parameters!$B$4,0) + IFERROR(SUM(FILTER('Fund Investment Data'!$V:$V, 'Fund "&amp;"Investment Data'!$C:$C = $C1384, 'Fund Investment Data'!$A:$A = $A1384 - 1, 'Fund Investment Data'!$B:$B &lt;= 3)) * Parameters!$B$4,0))),0)"),450.0)</f>
        <v>450</v>
      </c>
      <c r="AC1384" s="32">
        <f>IFERROR(__xludf.DUMMYFUNCTION("IFERROR(FILTER($AF:$AF,$C:$C = $C1384,$A:$A = $A1384 - 1,$B:$B = 12),0)"),0.0)</f>
        <v>0</v>
      </c>
      <c r="AD1384" s="32">
        <f t="shared" si="23"/>
        <v>69151.27531</v>
      </c>
      <c r="AE1384" s="32">
        <f t="shared" si="2"/>
        <v>24151.27531</v>
      </c>
      <c r="AF1384" s="32"/>
    </row>
    <row r="1385">
      <c r="A1385" s="86">
        <v>2019.0</v>
      </c>
      <c r="B1385" s="87">
        <v>5.0</v>
      </c>
      <c r="C1385" s="88" t="s">
        <v>31</v>
      </c>
      <c r="D1385" s="32"/>
      <c r="E1385" s="32"/>
      <c r="F1385" s="32"/>
      <c r="G1385" s="93">
        <v>-415.26</v>
      </c>
      <c r="H1385" s="93">
        <v>2015.72</v>
      </c>
      <c r="I1385" s="32"/>
      <c r="J1385" s="93">
        <v>10354.24</v>
      </c>
      <c r="K1385" s="32"/>
      <c r="L1385" s="32"/>
      <c r="M1385" s="32"/>
      <c r="N1385" s="32"/>
      <c r="O1385" s="93">
        <v>177552.41</v>
      </c>
      <c r="P1385" s="91">
        <f>IFERROR(__xludf.DUMMYFUNCTION("IFERROR(sum(FILTER($D:$N,$C:$C = $C1385,$A:$A &lt; $A1385,$B:$B = 12)),0) + sum($D1385:$N1385)"),177552.42)</f>
        <v>177552.42</v>
      </c>
      <c r="Q1385" s="92">
        <f t="shared" si="1"/>
        <v>-0.01000000001</v>
      </c>
      <c r="R1385" s="91">
        <f t="array" ref="R1385">IFERROR(INDEX('Fund YTD Target Values'!$1:$1000, MATCH($C1385,'Fund YTD Target Values'!$A:$A,0), MATCH($A1385,'Fund YTD Target Values'!$1:$1,0)),0)</f>
        <v>214470.0821</v>
      </c>
      <c r="S1385" s="91">
        <f>IFERROR(__xludf.DUMMYFUNCTION("IFERROR(sum(FILTER('Fund Investment Data'!$V:$V, 'Fund Investment Data'!$C:$C = $C1385, 'Fund Investment Data'!$A:$A &lt; $A1385)),0) + IFERROR(sum(FILTER('Fund Investment Data'!$V:$V, 'Fund Investment Data'!$C:$C = $C1385, 'Fund Investment Data'!$A:$A = $A1"&amp;"385, 'Fund Investment Data'!$B:$B &lt;= $B1385)),0)"),158100.0)</f>
        <v>158100</v>
      </c>
      <c r="T1385" s="32"/>
      <c r="U1385" s="32"/>
      <c r="V1385" s="32">
        <f>IFERROR(__xludf.DUMMYFUNCTION("$D1385 - IFERROR(FILTER($D:$D,$C:$C = $C1385, $A:$A = $A1385, $B:$B = $B1385 - 1),0)"),0.0)</f>
        <v>0</v>
      </c>
      <c r="W1385" s="93">
        <f>IFERROR(__xludf.DUMMYFUNCTION("$E1385 - IFERROR(FILTER($E:$E,$C:$C = $C1385, $A:$A = $A1385, $B:$B = $B1385 - 1),0)"),0.0)</f>
        <v>0</v>
      </c>
      <c r="X1385" s="91">
        <f>IFERROR(__xludf.DUMMYFUNCTION("iFERROR((FILTER('Fund Investment Data'!$Z:$Z, 'Fund Investment Data'!$C:$C = $C1385, 'Fund Investment Data'!$A:$A = $A1385 - 1, 'Fund Investment Data'!$B:$B = 12) + FILTER('Fund Investment Data'!$AB:$AB, 'Fund Investment Data'!$C:$C = $C1385, 'Fund Invest"&amp;"ment Data'!$A:$A = $A1385 - 1, 'Fund Investment Data'!$B:$B = 12)) * (1 + AVERAGE(FILTER('Inflation Data'!$C:$C,'Inflation Data'!$A:$A = ($A1385 - 2)))) * Parameters!$A$4,0)"),6185.263738478203)</f>
        <v>6185.263738</v>
      </c>
      <c r="Y1385" s="91">
        <f>IFERROR(__xludf.DUMMYFUNCTION("IFERROR((IFERROR(FILTER('Fund Investment Data'!$P:$P,'Fund Investment Data'!$C:$C = $C1385,'Fund Investment Data'!$A:$A = ($A1385 - 2), 'Fund Investment Data'!$B:$B = 12),0) - SUM(FILTER('Fund Investment Data'!$V:$V, 'Fund Investment Data'!$C:$C = $C1385,"&amp;" 'Fund Investment Data'!$A:$A = ($A1385 - 2), 'Fund Investment Data'!$B:$B &gt; 3)))  * Parameters!$B$4 * (1 - Parameters!$A$4),0)"),2555.001225000001)</f>
        <v>2555.001225</v>
      </c>
      <c r="Z1385" s="91">
        <f t="shared" si="24"/>
        <v>8740.264963</v>
      </c>
      <c r="AA1385" s="91">
        <f>IFERROR(__xludf.DUMMYFUNCTION("((IFERROR((SUM(FILTER('Fund Investment Data'!$V:$V, 'Fund Investment Data'!$C:$C = $C1385, 'Fund Investment Data'!$A:$A = $A1385 - 1, 'Fund Investment Data'!$B:$B &gt;= 4, 'Fund Investment Data'!$B:$B &lt;= ($B1385 + 5))) / 12) * ($B1385 - 3) * Parameters!$B$4,"&amp;" 0) + IF($B1385 &gt;= 9, IFERROR(SUM(FILTER('Fund Investment Data'!$V:$V, 'Fund Investment Data'!$C:$C = $C1385, 'Fund Investment Data'!$A:$A = $A1385, 'Fund Investment Data'!$B:$B &lt;= 3)) * Parameters!$B$4, 0),0)))"),0.0)</f>
        <v>0</v>
      </c>
      <c r="AB1385" s="32">
        <f>IFERROR(__xludf.DUMMYFUNCTION("IFERROR(((IFERROR(SUM(FILTER('Fund Investment Data'!$V:$V, 'Fund Investment Data'!$C:$C = $C1385, 'Fund Investment Data'!$A:$A = $A1385 - 2, 'Fund Investment Data'!$B:$B &gt;= 4)) * Parameters!$B$4,0) + IFERROR(SUM(FILTER('Fund Investment Data'!$V:$V, 'Fund "&amp;"Investment Data'!$C:$C = $C1385, 'Fund Investment Data'!$A:$A = $A1385 - 1, 'Fund Investment Data'!$B:$B &lt;= 3)) * Parameters!$B$4,0))),0)"),0.0)</f>
        <v>0</v>
      </c>
      <c r="AC1385" s="32">
        <f>IFERROR(__xludf.DUMMYFUNCTION("IFERROR(FILTER($AF:$AF,$C:$C = $C1385,$A:$A = $A1385 - 1,$B:$B = 12),0)"),0.0)</f>
        <v>0</v>
      </c>
      <c r="AD1385" s="32">
        <f t="shared" si="23"/>
        <v>8740.264963</v>
      </c>
      <c r="AE1385" s="32">
        <f t="shared" si="2"/>
        <v>8740.264963</v>
      </c>
      <c r="AF1385" s="32"/>
    </row>
    <row r="1386">
      <c r="A1386" s="86">
        <v>2019.0</v>
      </c>
      <c r="B1386" s="87">
        <v>5.0</v>
      </c>
      <c r="C1386" s="88" t="s">
        <v>39</v>
      </c>
      <c r="D1386" s="32"/>
      <c r="E1386" s="93">
        <v>-8700.0</v>
      </c>
      <c r="F1386" s="32"/>
      <c r="G1386" s="93">
        <v>-428.42</v>
      </c>
      <c r="H1386" s="93">
        <v>2077.14</v>
      </c>
      <c r="I1386" s="32"/>
      <c r="J1386" s="93">
        <v>11152.79</v>
      </c>
      <c r="K1386" s="32"/>
      <c r="L1386" s="93">
        <v>-184.92</v>
      </c>
      <c r="M1386" s="32"/>
      <c r="N1386" s="32"/>
      <c r="O1386" s="93">
        <v>174736.85</v>
      </c>
      <c r="P1386" s="91">
        <f>IFERROR(__xludf.DUMMYFUNCTION("IFERROR(sum(FILTER($D:$N,$C:$C = $C1386,$A:$A &lt; $A1386,$B:$B = 12)),0) + sum($D1386:$N1386)"),174736.85000000003)</f>
        <v>174736.85</v>
      </c>
      <c r="Q1386" s="92">
        <f t="shared" si="1"/>
        <v>0</v>
      </c>
      <c r="R1386" s="91">
        <f t="array" ref="R1386">IFERROR(INDEX('Fund YTD Target Values'!$1:$1000, MATCH($C1386,'Fund YTD Target Values'!$A:$A,0), MATCH($A1386,'Fund YTD Target Values'!$1:$1,0)),0)</f>
        <v>203233.3066</v>
      </c>
      <c r="S1386" s="91">
        <f>IFERROR(__xludf.DUMMYFUNCTION("IFERROR(sum(FILTER('Fund Investment Data'!$V:$V, 'Fund Investment Data'!$C:$C = $C1386, 'Fund Investment Data'!$A:$A &lt; $A1386)),0) + IFERROR(sum(FILTER('Fund Investment Data'!$V:$V, 'Fund Investment Data'!$C:$C = $C1386, 'Fund Investment Data'!$A:$A = $A1"&amp;"386, 'Fund Investment Data'!$B:$B &lt;= $B1386)),0)"),170000.0)</f>
        <v>170000</v>
      </c>
      <c r="T1386" s="32"/>
      <c r="U1386" s="32"/>
      <c r="V1386" s="32">
        <f>IFERROR(__xludf.DUMMYFUNCTION("$D1386 - IFERROR(FILTER($D:$D,$C:$C = $C1386, $A:$A = $A1386, $B:$B = $B1386 - 1),0)"),0.0)</f>
        <v>0</v>
      </c>
      <c r="W1386" s="93">
        <f>IFERROR(__xludf.DUMMYFUNCTION("$E1386 - IFERROR(FILTER($E:$E,$C:$C = $C1386, $A:$A = $A1386, $B:$B = $B1386 - 1),0)"),-8700.0)</f>
        <v>-8700</v>
      </c>
      <c r="X1386" s="91">
        <f>IFERROR(__xludf.DUMMYFUNCTION("iFERROR((FILTER('Fund Investment Data'!$Z:$Z, 'Fund Investment Data'!$C:$C = $C1386, 'Fund Investment Data'!$A:$A = $A1386 - 1, 'Fund Investment Data'!$B:$B = 12) + FILTER('Fund Investment Data'!$AB:$AB, 'Fund Investment Data'!$C:$C = $C1386, 'Fund Invest"&amp;"ment Data'!$A:$A = $A1386 - 1, 'Fund Investment Data'!$B:$B = 12)) * (1 + AVERAGE(FILTER('Inflation Data'!$C:$C,'Inflation Data'!$A:$A = ($A1386 - 2)))) * Parameters!$A$4,0)"),5335.081378121052)</f>
        <v>5335.081378</v>
      </c>
      <c r="Y1386" s="91">
        <f>IFERROR(__xludf.DUMMYFUNCTION("IFERROR((IFERROR(FILTER('Fund Investment Data'!$P:$P,'Fund Investment Data'!$C:$C = $C1386,'Fund Investment Data'!$A:$A = ($A1386 - 2), 'Fund Investment Data'!$B:$B = 12),0) - SUM(FILTER('Fund Investment Data'!$V:$V, 'Fund Investment Data'!$C:$C = $C1386,"&amp;" 'Fund Investment Data'!$A:$A = ($A1386 - 2), 'Fund Investment Data'!$B:$B &gt; 3)))  * Parameters!$B$4 * (1 - Parameters!$A$4),0)"),2223.764010000001)</f>
        <v>2223.76401</v>
      </c>
      <c r="Z1386" s="91">
        <f t="shared" si="24"/>
        <v>7558.845388</v>
      </c>
      <c r="AA1386" s="91">
        <f>IFERROR(__xludf.DUMMYFUNCTION("((IFERROR((SUM(FILTER('Fund Investment Data'!$V:$V, 'Fund Investment Data'!$C:$C = $C1386, 'Fund Investment Data'!$A:$A = $A1386 - 1, 'Fund Investment Data'!$B:$B &gt;= 4, 'Fund Investment Data'!$B:$B &lt;= ($B1386 + 5))) / 12) * ($B1386 - 3) * Parameters!$B$4,"&amp;" 0) + IF($B1386 &gt;= 9, IFERROR(SUM(FILTER('Fund Investment Data'!$V:$V, 'Fund Investment Data'!$C:$C = $C1386, 'Fund Investment Data'!$A:$A = $A1386, 'Fund Investment Data'!$B:$B &lt;= 3)) * Parameters!$B$4, 0),0)))"),112.5)</f>
        <v>112.5</v>
      </c>
      <c r="AB1386" s="32">
        <f>IFERROR(__xludf.DUMMYFUNCTION("IFERROR(((IFERROR(SUM(FILTER('Fund Investment Data'!$V:$V, 'Fund Investment Data'!$C:$C = $C1386, 'Fund Investment Data'!$A:$A = $A1386 - 2, 'Fund Investment Data'!$B:$B &gt;= 4)) * Parameters!$B$4,0) + IFERROR(SUM(FILTER('Fund Investment Data'!$V:$V, 'Fund "&amp;"Investment Data'!$C:$C = $C1386, 'Fund Investment Data'!$A:$A = $A1386 - 1, 'Fund Investment Data'!$B:$B &lt;= 3)) * Parameters!$B$4,0))),0)"),675.0)</f>
        <v>675</v>
      </c>
      <c r="AC1386" s="32">
        <f>IFERROR(__xludf.DUMMYFUNCTION("IFERROR(FILTER($AF:$AF,$C:$C = $C1386,$A:$A = $A1386 - 1,$B:$B = 12),0)"),0.0)</f>
        <v>0</v>
      </c>
      <c r="AD1386" s="32">
        <f t="shared" si="23"/>
        <v>8346.345388</v>
      </c>
      <c r="AE1386" s="32">
        <f t="shared" si="2"/>
        <v>-353.6546119</v>
      </c>
      <c r="AF1386" s="32"/>
    </row>
    <row r="1387">
      <c r="A1387" s="86">
        <v>2019.0</v>
      </c>
      <c r="B1387" s="87">
        <v>5.0</v>
      </c>
      <c r="C1387" s="88" t="s">
        <v>50</v>
      </c>
      <c r="D1387" s="32"/>
      <c r="E1387" s="32"/>
      <c r="F1387" s="32"/>
      <c r="G1387" s="93">
        <v>-475.33</v>
      </c>
      <c r="H1387" s="93">
        <v>2307.52</v>
      </c>
      <c r="I1387" s="32"/>
      <c r="J1387" s="93">
        <v>11856.74</v>
      </c>
      <c r="K1387" s="32"/>
      <c r="L1387" s="32"/>
      <c r="M1387" s="32"/>
      <c r="N1387" s="32"/>
      <c r="O1387" s="93">
        <v>203243.29</v>
      </c>
      <c r="P1387" s="91">
        <f>IFERROR(__xludf.DUMMYFUNCTION("IFERROR(sum(FILTER($D:$N,$C:$C = $C1387,$A:$A &lt; $A1387,$B:$B = 12)),0) + sum($D1387:$N1387)"),203242.76)</f>
        <v>203242.76</v>
      </c>
      <c r="Q1387" s="92">
        <f t="shared" si="1"/>
        <v>0.53</v>
      </c>
      <c r="R1387" s="91">
        <f t="array" ref="R1387">IFERROR(INDEX('Fund YTD Target Values'!$1:$1000, MATCH($C1387,'Fund YTD Target Values'!$A:$A,0), MATCH($A1387,'Fund YTD Target Values'!$1:$1,0)),0)</f>
        <v>221607.3864</v>
      </c>
      <c r="S1387" s="91">
        <f>IFERROR(__xludf.DUMMYFUNCTION("IFERROR(sum(FILTER('Fund Investment Data'!$V:$V, 'Fund Investment Data'!$C:$C = $C1387, 'Fund Investment Data'!$A:$A &lt; $A1387)),0) + IFERROR(sum(FILTER('Fund Investment Data'!$V:$V, 'Fund Investment Data'!$C:$C = $C1387, 'Fund Investment Data'!$A:$A = $A1"&amp;"387, 'Fund Investment Data'!$B:$B &lt;= $B1387)),0)"),185189.56)</f>
        <v>185189.56</v>
      </c>
      <c r="T1387" s="93"/>
      <c r="U1387" s="32"/>
      <c r="V1387" s="32">
        <f>IFERROR(__xludf.DUMMYFUNCTION("$D1387 - IFERROR(FILTER($D:$D,$C:$C = $C1387, $A:$A = $A1387, $B:$B = $B1387 - 1),0)"),0.0)</f>
        <v>0</v>
      </c>
      <c r="W1387" s="93">
        <f>IFERROR(__xludf.DUMMYFUNCTION("$E1387 - IFERROR(FILTER($E:$E,$C:$C = $C1387, $A:$A = $A1387, $B:$B = $B1387 - 1),0)"),0.0)</f>
        <v>0</v>
      </c>
      <c r="X1387" s="91">
        <f>IFERROR(__xludf.DUMMYFUNCTION("iFERROR((FILTER('Fund Investment Data'!$Z:$Z, 'Fund Investment Data'!$C:$C = $C1387, 'Fund Investment Data'!$A:$A = $A1387 - 1, 'Fund Investment Data'!$B:$B = 12) + FILTER('Fund Investment Data'!$AB:$AB, 'Fund Investment Data'!$C:$C = $C1387, 'Fund Invest"&amp;"ment Data'!$A:$A = $A1387 - 1, 'Fund Investment Data'!$B:$B = 12)) * (1 + AVERAGE(FILTER('Inflation Data'!$C:$C,'Inflation Data'!$A:$A = ($A1387 - 2)))) * Parameters!$A$4,0)"),7479.015292624062)</f>
        <v>7479.015293</v>
      </c>
      <c r="Y1387" s="91">
        <f>IFERROR(__xludf.DUMMYFUNCTION("IFERROR((IFERROR(FILTER('Fund Investment Data'!$P:$P,'Fund Investment Data'!$C:$C = $C1387,'Fund Investment Data'!$A:$A = ($A1387 - 2), 'Fund Investment Data'!$B:$B = 12),0) - SUM(FILTER('Fund Investment Data'!$V:$V, 'Fund Investment Data'!$C:$C = $C1387,"&amp;" 'Fund Investment Data'!$A:$A = ($A1387 - 2), 'Fund Investment Data'!$B:$B &gt; 3)))  * Parameters!$B$4 * (1 - Parameters!$A$4),0)"),2908.7654850000004)</f>
        <v>2908.765485</v>
      </c>
      <c r="Z1387" s="91">
        <f t="shared" si="24"/>
        <v>10387.78078</v>
      </c>
      <c r="AA1387" s="91">
        <f>IFERROR(__xludf.DUMMYFUNCTION("((IFERROR((SUM(FILTER('Fund Investment Data'!$V:$V, 'Fund Investment Data'!$C:$C = $C1387, 'Fund Investment Data'!$A:$A = $A1387 - 1, 'Fund Investment Data'!$B:$B &gt;= 4, 'Fund Investment Data'!$B:$B &lt;= ($B1387 + 5))) / 12) * ($B1387 - 3) * Parameters!$B$4,"&amp;" 0) + IF($B1387 &gt;= 9, IFERROR(SUM(FILTER('Fund Investment Data'!$V:$V, 'Fund Investment Data'!$C:$C = $C1387, 'Fund Investment Data'!$A:$A = $A1387, 'Fund Investment Data'!$B:$B &lt;= 3)) * Parameters!$B$4, 0),0)))"),0.0)</f>
        <v>0</v>
      </c>
      <c r="AB1387" s="32">
        <f>IFERROR(__xludf.DUMMYFUNCTION("IFERROR(((IFERROR(SUM(FILTER('Fund Investment Data'!$V:$V, 'Fund Investment Data'!$C:$C = $C1387, 'Fund Investment Data'!$A:$A = $A1387 - 2, 'Fund Investment Data'!$B:$B &gt;= 4)) * Parameters!$B$4,0) + IFERROR(SUM(FILTER('Fund Investment Data'!$V:$V, 'Fund "&amp;"Investment Data'!$C:$C = $C1387, 'Fund Investment Data'!$A:$A = $A1387 - 1, 'Fund Investment Data'!$B:$B &lt;= 3)) * Parameters!$B$4,0))),0)"),0.0)</f>
        <v>0</v>
      </c>
      <c r="AC1387" s="32">
        <f>IFERROR(__xludf.DUMMYFUNCTION("IFERROR(FILTER($AF:$AF,$C:$C = $C1387,$A:$A = $A1387 - 1,$B:$B = 12),0)"),0.0)</f>
        <v>0</v>
      </c>
      <c r="AD1387" s="32">
        <f t="shared" si="23"/>
        <v>10387.78078</v>
      </c>
      <c r="AE1387" s="32">
        <f t="shared" si="2"/>
        <v>10387.78078</v>
      </c>
      <c r="AF1387" s="32"/>
    </row>
    <row r="1388">
      <c r="A1388" s="86">
        <v>2019.0</v>
      </c>
      <c r="B1388" s="87">
        <v>5.0</v>
      </c>
      <c r="C1388" s="88" t="s">
        <v>32</v>
      </c>
      <c r="D1388" s="32"/>
      <c r="E1388" s="32"/>
      <c r="F1388" s="32"/>
      <c r="G1388" s="93">
        <v>-118.98</v>
      </c>
      <c r="H1388" s="93">
        <v>577.57</v>
      </c>
      <c r="I1388" s="32"/>
      <c r="J1388" s="93">
        <v>2966.9</v>
      </c>
      <c r="K1388" s="32"/>
      <c r="L1388" s="32"/>
      <c r="M1388" s="32"/>
      <c r="N1388" s="32"/>
      <c r="O1388" s="93">
        <v>50876.04</v>
      </c>
      <c r="P1388" s="91">
        <f>IFERROR(__xludf.DUMMYFUNCTION("IFERROR(sum(FILTER($D:$N,$C:$C = $C1388,$A:$A &lt; $A1388,$B:$B = 12)),0) + sum($D1388:$N1388)"),50875.64000000002)</f>
        <v>50875.64</v>
      </c>
      <c r="Q1388" s="92">
        <f t="shared" si="1"/>
        <v>0.4</v>
      </c>
      <c r="R1388" s="91">
        <f t="array" ref="R1388">IFERROR(INDEX('Fund YTD Target Values'!$1:$1000, MATCH($C1388,'Fund YTD Target Values'!$A:$A,0), MATCH($A1388,'Fund YTD Target Values'!$1:$1,0)),0)</f>
        <v>80613.71135</v>
      </c>
      <c r="S1388" s="91">
        <f>IFERROR(__xludf.DUMMYFUNCTION("IFERROR(sum(FILTER('Fund Investment Data'!$V:$V, 'Fund Investment Data'!$C:$C = $C1388, 'Fund Investment Data'!$A:$A &lt; $A1388)),0) + IFERROR(sum(FILTER('Fund Investment Data'!$V:$V, 'Fund Investment Data'!$C:$C = $C1388, 'Fund Investment Data'!$A:$A = $A1"&amp;"388, 'Fund Investment Data'!$B:$B &lt;= $B1388)),0)"),49449.04)</f>
        <v>49449.04</v>
      </c>
      <c r="T1388" s="32"/>
      <c r="U1388" s="32"/>
      <c r="V1388" s="32">
        <f>IFERROR(__xludf.DUMMYFUNCTION("$D1388 - IFERROR(FILTER($D:$D,$C:$C = $C1388, $A:$A = $A1388, $B:$B = $B1388 - 1),0)"),0.0)</f>
        <v>0</v>
      </c>
      <c r="W1388" s="93">
        <f>IFERROR(__xludf.DUMMYFUNCTION("$E1388 - IFERROR(FILTER($E:$E,$C:$C = $C1388, $A:$A = $A1388, $B:$B = $B1388 - 1),0)"),0.0)</f>
        <v>0</v>
      </c>
      <c r="X1388" s="91">
        <f>IFERROR(__xludf.DUMMYFUNCTION("iFERROR((FILTER('Fund Investment Data'!$Z:$Z, 'Fund Investment Data'!$C:$C = $C1388, 'Fund Investment Data'!$A:$A = $A1388 - 1, 'Fund Investment Data'!$B:$B = 12) + FILTER('Fund Investment Data'!$AB:$AB, 'Fund Investment Data'!$C:$C = $C1388, 'Fund Invest"&amp;"ment Data'!$A:$A = $A1388 - 1, 'Fund Investment Data'!$B:$B = 12)) * (1 + AVERAGE(FILTER('Inflation Data'!$C:$C,'Inflation Data'!$A:$A = ($A1388 - 2)))) * Parameters!$A$4,0)"),1718.9474190106023)</f>
        <v>1718.947419</v>
      </c>
      <c r="Y1388" s="91">
        <f>IFERROR(__xludf.DUMMYFUNCTION("IFERROR((IFERROR(FILTER('Fund Investment Data'!$P:$P,'Fund Investment Data'!$C:$C = $C1388,'Fund Investment Data'!$A:$A = ($A1388 - 2), 'Fund Investment Data'!$B:$B = 12),0) - SUM(FILTER('Fund Investment Data'!$V:$V, 'Fund Investment Data'!$C:$C = $C1388,"&amp;" 'Fund Investment Data'!$A:$A = ($A1388 - 2), 'Fund Investment Data'!$B:$B &gt; 3)))  * Parameters!$B$4 * (1 - Parameters!$A$4),0)"),721.3160700000005)</f>
        <v>721.31607</v>
      </c>
      <c r="Z1388" s="91">
        <f t="shared" si="24"/>
        <v>2440.263489</v>
      </c>
      <c r="AA1388" s="91">
        <f>IFERROR(__xludf.DUMMYFUNCTION("((IFERROR((SUM(FILTER('Fund Investment Data'!$V:$V, 'Fund Investment Data'!$C:$C = $C1388, 'Fund Investment Data'!$A:$A = $A1388 - 1, 'Fund Investment Data'!$B:$B &gt;= 4, 'Fund Investment Data'!$B:$B &lt;= ($B1388 + 5))) / 12) * ($B1388 - 3) * Parameters!$B$4,"&amp;" 0) + IF($B1388 &gt;= 9, IFERROR(SUM(FILTER('Fund Investment Data'!$V:$V, 'Fund Investment Data'!$C:$C = $C1388, 'Fund Investment Data'!$A:$A = $A1388, 'Fund Investment Data'!$B:$B &lt;= 3)) * Parameters!$B$4, 0),0)))"),0.0)</f>
        <v>0</v>
      </c>
      <c r="AB1388" s="32">
        <f>IFERROR(__xludf.DUMMYFUNCTION("IFERROR(((IFERROR(SUM(FILTER('Fund Investment Data'!$V:$V, 'Fund Investment Data'!$C:$C = $C1388, 'Fund Investment Data'!$A:$A = $A1388 - 2, 'Fund Investment Data'!$B:$B &gt;= 4)) * Parameters!$B$4,0) + IFERROR(SUM(FILTER('Fund Investment Data'!$V:$V, 'Fund "&amp;"Investment Data'!$C:$C = $C1388, 'Fund Investment Data'!$A:$A = $A1388 - 1, 'Fund Investment Data'!$B:$B &lt;= 3)) * Parameters!$B$4,0))),0)"),0.0)</f>
        <v>0</v>
      </c>
      <c r="AC1388" s="32">
        <f>IFERROR(__xludf.DUMMYFUNCTION("IFERROR(FILTER($AF:$AF,$C:$C = $C1388,$A:$A = $A1388 - 1,$B:$B = 12),0)"),0.0)</f>
        <v>0</v>
      </c>
      <c r="AD1388" s="32">
        <f t="shared" si="23"/>
        <v>2440.263489</v>
      </c>
      <c r="AE1388" s="32">
        <f t="shared" si="2"/>
        <v>2440.263489</v>
      </c>
      <c r="AF1388" s="32"/>
    </row>
    <row r="1389">
      <c r="A1389" s="86">
        <v>2019.0</v>
      </c>
      <c r="B1389" s="87">
        <v>5.0</v>
      </c>
      <c r="C1389" s="88" t="s">
        <v>40</v>
      </c>
      <c r="D1389" s="32"/>
      <c r="E1389" s="93">
        <v>-7000.0</v>
      </c>
      <c r="F1389" s="32"/>
      <c r="G1389" s="93">
        <v>-342.17</v>
      </c>
      <c r="H1389" s="93">
        <v>1658.5</v>
      </c>
      <c r="I1389" s="93">
        <v>1434.63</v>
      </c>
      <c r="J1389" s="93">
        <v>7301.03</v>
      </c>
      <c r="K1389" s="32"/>
      <c r="L1389" s="32"/>
      <c r="M1389" s="32"/>
      <c r="N1389" s="32"/>
      <c r="O1389" s="93">
        <v>139497.14</v>
      </c>
      <c r="P1389" s="91">
        <f>IFERROR(__xludf.DUMMYFUNCTION("IFERROR(sum(FILTER($D:$N,$C:$C = $C1389,$A:$A &lt; $A1389,$B:$B = 12)),0) + sum($D1389:$N1389)"),139497.09999999992)</f>
        <v>139497.1</v>
      </c>
      <c r="Q1389" s="92">
        <f t="shared" si="1"/>
        <v>0.0400000001</v>
      </c>
      <c r="R1389" s="91">
        <f t="array" ref="R1389">IFERROR(INDEX('Fund YTD Target Values'!$1:$1000, MATCH($C1389,'Fund YTD Target Values'!$A:$A,0), MATCH($A1389,'Fund YTD Target Values'!$1:$1,0)),0)</f>
        <v>164286.6043</v>
      </c>
      <c r="S1389" s="91">
        <f>IFERROR(__xludf.DUMMYFUNCTION("IFERROR(sum(FILTER('Fund Investment Data'!$V:$V, 'Fund Investment Data'!$C:$C = $C1389, 'Fund Investment Data'!$A:$A &lt; $A1389)),0) + IFERROR(sum(FILTER('Fund Investment Data'!$V:$V, 'Fund Investment Data'!$C:$C = $C1389, 'Fund Investment Data'!$A:$A = $A1"&amp;"389, 'Fund Investment Data'!$B:$B &lt;= $B1389)),0)"),129703.74)</f>
        <v>129703.74</v>
      </c>
      <c r="T1389" s="32"/>
      <c r="U1389" s="32"/>
      <c r="V1389" s="32">
        <f>IFERROR(__xludf.DUMMYFUNCTION("$D1389 - IFERROR(FILTER($D:$D,$C:$C = $C1389, $A:$A = $A1389, $B:$B = $B1389 - 1),0)"),0.0)</f>
        <v>0</v>
      </c>
      <c r="W1389" s="93">
        <f>IFERROR(__xludf.DUMMYFUNCTION("$E1389 - IFERROR(FILTER($E:$E,$C:$C = $C1389, $A:$A = $A1389, $B:$B = $B1389 - 1),0)"),-7000.0)</f>
        <v>-7000</v>
      </c>
      <c r="X1389" s="91">
        <f>IFERROR(__xludf.DUMMYFUNCTION("iFERROR((FILTER('Fund Investment Data'!$Z:$Z, 'Fund Investment Data'!$C:$C = $C1389, 'Fund Investment Data'!$A:$A = $A1389 - 1, 'Fund Investment Data'!$B:$B = 12) + FILTER('Fund Investment Data'!$AB:$AB, 'Fund Investment Data'!$C:$C = $C1389, 'Fund Invest"&amp;"ment Data'!$A:$A = $A1389 - 1, 'Fund Investment Data'!$B:$B = 12)) * (1 + AVERAGE(FILTER('Inflation Data'!$C:$C,'Inflation Data'!$A:$A = ($A1389 - 2)))) * Parameters!$A$4,0)"),4980.550706212943)</f>
        <v>4980.550706</v>
      </c>
      <c r="Y1389" s="91">
        <f>IFERROR(__xludf.DUMMYFUNCTION("IFERROR((IFERROR(FILTER('Fund Investment Data'!$P:$P,'Fund Investment Data'!$C:$C = $C1389,'Fund Investment Data'!$A:$A = ($A1389 - 2), 'Fund Investment Data'!$B:$B = 12),0) - SUM(FILTER('Fund Investment Data'!$V:$V, 'Fund Investment Data'!$C:$C = $C1389,"&amp;" 'Fund Investment Data'!$A:$A = ($A1389 - 2), 'Fund Investment Data'!$B:$B &gt; 3)))  * Parameters!$B$4 * (1 - Parameters!$A$4),0)"),2089.971585)</f>
        <v>2089.971585</v>
      </c>
      <c r="Z1389" s="91">
        <f t="shared" si="24"/>
        <v>7070.522291</v>
      </c>
      <c r="AA1389" s="91">
        <f>IFERROR(__xludf.DUMMYFUNCTION("((IFERROR((SUM(FILTER('Fund Investment Data'!$V:$V, 'Fund Investment Data'!$C:$C = $C1389, 'Fund Investment Data'!$A:$A = $A1389 - 1, 'Fund Investment Data'!$B:$B &gt;= 4, 'Fund Investment Data'!$B:$B &lt;= ($B1389 + 5))) / 12) * ($B1389 - 3) * Parameters!$B$4,"&amp;" 0) + IF($B1389 &gt;= 9, IFERROR(SUM(FILTER('Fund Investment Data'!$V:$V, 'Fund Investment Data'!$C:$C = $C1389, 'Fund Investment Data'!$A:$A = $A1389, 'Fund Investment Data'!$B:$B &lt;= 3)) * Parameters!$B$4, 0),0)))"),0.0)</f>
        <v>0</v>
      </c>
      <c r="AB1389" s="32">
        <f>IFERROR(__xludf.DUMMYFUNCTION("IFERROR(((IFERROR(SUM(FILTER('Fund Investment Data'!$V:$V, 'Fund Investment Data'!$C:$C = $C1389, 'Fund Investment Data'!$A:$A = $A1389 - 2, 'Fund Investment Data'!$B:$B &gt;= 4)) * Parameters!$B$4,0) + IFERROR(SUM(FILTER('Fund Investment Data'!$V:$V, 'Fund "&amp;"Investment Data'!$C:$C = $C1389, 'Fund Investment Data'!$A:$A = $A1389 - 1, 'Fund Investment Data'!$B:$B &lt;= 3)) * Parameters!$B$4,0))),0)"),0.0)</f>
        <v>0</v>
      </c>
      <c r="AC1389" s="32">
        <f>IFERROR(__xludf.DUMMYFUNCTION("IFERROR(FILTER($AF:$AF,$C:$C = $C1389,$A:$A = $A1389 - 1,$B:$B = 12),0)"),0.0)</f>
        <v>0</v>
      </c>
      <c r="AD1389" s="32">
        <f t="shared" si="23"/>
        <v>7070.522291</v>
      </c>
      <c r="AE1389" s="32">
        <f t="shared" si="2"/>
        <v>70.52229121</v>
      </c>
      <c r="AF1389" s="32"/>
    </row>
    <row r="1390">
      <c r="A1390" s="86">
        <v>2019.0</v>
      </c>
      <c r="B1390" s="87">
        <v>5.0</v>
      </c>
      <c r="C1390" s="88" t="s">
        <v>51</v>
      </c>
      <c r="D1390" s="93">
        <v>1000.0</v>
      </c>
      <c r="E1390" s="32"/>
      <c r="F1390" s="32"/>
      <c r="G1390" s="93">
        <v>-1105.97</v>
      </c>
      <c r="H1390" s="93">
        <v>5315.0</v>
      </c>
      <c r="I1390" s="32"/>
      <c r="J1390" s="93">
        <v>26588.27</v>
      </c>
      <c r="K1390" s="32"/>
      <c r="L1390" s="32"/>
      <c r="M1390" s="32"/>
      <c r="N1390" s="32"/>
      <c r="O1390" s="93">
        <v>473927.33</v>
      </c>
      <c r="P1390" s="91">
        <f>IFERROR(__xludf.DUMMYFUNCTION("IFERROR(sum(FILTER($D:$N,$C:$C = $C1390,$A:$A &lt; $A1390,$B:$B = 12)),0) + sum($D1390:$N1390)"),473927.31000000006)</f>
        <v>473927.31</v>
      </c>
      <c r="Q1390" s="92">
        <f t="shared" si="1"/>
        <v>0.01999999996</v>
      </c>
      <c r="R1390" s="91">
        <f t="array" ref="R1390">IFERROR(INDEX('Fund YTD Target Values'!$1:$1000, MATCH($C1390,'Fund YTD Target Values'!$A:$A,0), MATCH($A1390,'Fund YTD Target Values'!$1:$1,0)),0)</f>
        <v>460355.013</v>
      </c>
      <c r="S1390" s="91">
        <f>IFERROR(__xludf.DUMMYFUNCTION("IFERROR(sum(FILTER('Fund Investment Data'!$V:$V, 'Fund Investment Data'!$C:$C = $C1390, 'Fund Investment Data'!$A:$A &lt; $A1390)),0) + IFERROR(sum(FILTER('Fund Investment Data'!$V:$V, 'Fund Investment Data'!$C:$C = $C1390, 'Fund Investment Data'!$A:$A = $A1"&amp;"390, 'Fund Investment Data'!$B:$B &lt;= $B1390)),0)"),420073.55)</f>
        <v>420073.55</v>
      </c>
      <c r="T1390" s="32"/>
      <c r="U1390" s="32"/>
      <c r="V1390" s="32">
        <f>IFERROR(__xludf.DUMMYFUNCTION("$D1390 - IFERROR(FILTER($D:$D,$C:$C = $C1390, $A:$A = $A1390, $B:$B = $B1390 - 1),0)"),1000.0)</f>
        <v>1000</v>
      </c>
      <c r="W1390" s="93">
        <f>IFERROR(__xludf.DUMMYFUNCTION("$E1390 - IFERROR(FILTER($E:$E,$C:$C = $C1390, $A:$A = $A1390, $B:$B = $B1390 - 1),0)"),0.0)</f>
        <v>0</v>
      </c>
      <c r="X1390" s="91">
        <f>IFERROR(__xludf.DUMMYFUNCTION("iFERROR((FILTER('Fund Investment Data'!$Z:$Z, 'Fund Investment Data'!$C:$C = $C1390, 'Fund Investment Data'!$A:$A = $A1390 - 1, 'Fund Investment Data'!$B:$B = 12) + FILTER('Fund Investment Data'!$AB:$AB, 'Fund Investment Data'!$C:$C = $C1390, 'Fund Invest"&amp;"ment Data'!$A:$A = $A1390 - 1, 'Fund Investment Data'!$B:$B = 12)) * (1 + AVERAGE(FILTER('Inflation Data'!$C:$C,'Inflation Data'!$A:$A = ($A1390 - 2)))) * Parameters!$A$4,0)"),14060.066994776611)</f>
        <v>14060.06699</v>
      </c>
      <c r="Y1390" s="91">
        <f>IFERROR(__xludf.DUMMYFUNCTION("IFERROR((IFERROR(FILTER('Fund Investment Data'!$P:$P,'Fund Investment Data'!$C:$C = $C1390,'Fund Investment Data'!$A:$A = ($A1390 - 2), 'Fund Investment Data'!$B:$B = 12),0) - SUM(FILTER('Fund Investment Data'!$V:$V, 'Fund Investment Data'!$C:$C = $C1390,"&amp;" 'Fund Investment Data'!$A:$A = ($A1390 - 2), 'Fund Investment Data'!$B:$B &gt; 3)))  * Parameters!$B$4 * (1 - Parameters!$A$4),0)"),6507.701055)</f>
        <v>6507.701055</v>
      </c>
      <c r="Z1390" s="91">
        <f t="shared" si="24"/>
        <v>20567.76805</v>
      </c>
      <c r="AA1390" s="91">
        <f>IFERROR(__xludf.DUMMYFUNCTION("((IFERROR((SUM(FILTER('Fund Investment Data'!$V:$V, 'Fund Investment Data'!$C:$C = $C1390, 'Fund Investment Data'!$A:$A = $A1390 - 1, 'Fund Investment Data'!$B:$B &gt;= 4, 'Fund Investment Data'!$B:$B &lt;= ($B1390 + 5))) / 12) * ($B1390 - 3) * Parameters!$B$4,"&amp;" 0) + IF($B1390 &gt;= 9, IFERROR(SUM(FILTER('Fund Investment Data'!$V:$V, 'Fund Investment Data'!$C:$C = $C1390, 'Fund Investment Data'!$A:$A = $A1390, 'Fund Investment Data'!$B:$B &lt;= 3)) * Parameters!$B$4, 0),0)))"),19.125)</f>
        <v>19.125</v>
      </c>
      <c r="AB1390" s="32">
        <f>IFERROR(__xludf.DUMMYFUNCTION("IFERROR(((IFERROR(SUM(FILTER('Fund Investment Data'!$V:$V, 'Fund Investment Data'!$C:$C = $C1390, 'Fund Investment Data'!$A:$A = $A1390 - 2, 'Fund Investment Data'!$B:$B &gt;= 4)) * Parameters!$B$4,0) + IFERROR(SUM(FILTER('Fund Investment Data'!$V:$V, 'Fund "&amp;"Investment Data'!$C:$C = $C1390, 'Fund Investment Data'!$A:$A = $A1390 - 1, 'Fund Investment Data'!$B:$B &lt;= 3)) * Parameters!$B$4,0))),0)"),153.0)</f>
        <v>153</v>
      </c>
      <c r="AC1390" s="32">
        <f>IFERROR(__xludf.DUMMYFUNCTION("IFERROR(FILTER($AF:$AF,$C:$C = $C1390,$A:$A = $A1390 - 1,$B:$B = 12),0)"),14700.0)</f>
        <v>14700</v>
      </c>
      <c r="AD1390" s="32">
        <f t="shared" si="23"/>
        <v>35439.89305</v>
      </c>
      <c r="AE1390" s="32">
        <f t="shared" si="2"/>
        <v>35439.89305</v>
      </c>
      <c r="AF1390" s="32"/>
    </row>
    <row r="1391">
      <c r="A1391" s="86">
        <v>2019.0</v>
      </c>
      <c r="B1391" s="87">
        <v>5.0</v>
      </c>
      <c r="C1391" s="88" t="s">
        <v>48</v>
      </c>
      <c r="D1391" s="32"/>
      <c r="E1391" s="93">
        <v>-23000.0</v>
      </c>
      <c r="F1391" s="32"/>
      <c r="G1391" s="93">
        <v>-2726.38</v>
      </c>
      <c r="H1391" s="93">
        <v>13272.76</v>
      </c>
      <c r="I1391" s="93">
        <v>4652.33</v>
      </c>
      <c r="J1391" s="93">
        <v>64200.42</v>
      </c>
      <c r="K1391" s="32"/>
      <c r="L1391" s="32"/>
      <c r="M1391" s="32"/>
      <c r="N1391" s="32"/>
      <c r="O1391" s="93">
        <v>1149613.84</v>
      </c>
      <c r="P1391" s="91">
        <f>IFERROR(__xludf.DUMMYFUNCTION("IFERROR(sum(FILTER($D:$N,$C:$C = $C1391,$A:$A &lt; $A1391,$B:$B = 12)),0) + sum($D1391:$N1391)"),1149612.5199999996)</f>
        <v>1149612.52</v>
      </c>
      <c r="Q1391" s="92">
        <f t="shared" si="1"/>
        <v>1.320000001</v>
      </c>
      <c r="R1391" s="91">
        <f t="array" ref="R1391">IFERROR(INDEX('Fund YTD Target Values'!$1:$1000, MATCH($C1391,'Fund YTD Target Values'!$A:$A,0), MATCH($A1391,'Fund YTD Target Values'!$1:$1,0)),0)</f>
        <v>1930631.639</v>
      </c>
      <c r="S1391" s="91">
        <f>IFERROR(__xludf.DUMMYFUNCTION("IFERROR(sum(FILTER('Fund Investment Data'!$V:$V, 'Fund Investment Data'!$C:$C = $C1391, 'Fund Investment Data'!$A:$A &lt; $A1391)),0) + IFERROR(sum(FILTER('Fund Investment Data'!$V:$V, 'Fund Investment Data'!$C:$C = $C1391, 'Fund Investment Data'!$A:$A = $A1"&amp;"391, 'Fund Investment Data'!$B:$B &lt;= $B1391)),0)"),1183929.39)</f>
        <v>1183929.39</v>
      </c>
      <c r="T1391" s="32"/>
      <c r="U1391" s="32"/>
      <c r="V1391" s="32">
        <f>IFERROR(__xludf.DUMMYFUNCTION("$D1391 - IFERROR(FILTER($D:$D,$C:$C = $C1391, $A:$A = $A1391, $B:$B = $B1391 - 1),0)"),0.0)</f>
        <v>0</v>
      </c>
      <c r="W1391" s="93">
        <f>IFERROR(__xludf.DUMMYFUNCTION("$E1391 - IFERROR(FILTER($E:$E,$C:$C = $C1391, $A:$A = $A1391, $B:$B = $B1391 - 1),0)"),0.0)</f>
        <v>0</v>
      </c>
      <c r="X1391" s="91">
        <f>IFERROR(__xludf.DUMMYFUNCTION("iFERROR((FILTER('Fund Investment Data'!$Z:$Z, 'Fund Investment Data'!$C:$C = $C1391, 'Fund Investment Data'!$A:$A = $A1391 - 1, 'Fund Investment Data'!$B:$B = 12) + FILTER('Fund Investment Data'!$AB:$AB, 'Fund Investment Data'!$C:$C = $C1391, 'Fund Invest"&amp;"ment Data'!$A:$A = $A1391 - 1, 'Fund Investment Data'!$B:$B = 12)) * (1 + AVERAGE(FILTER('Inflation Data'!$C:$C,'Inflation Data'!$A:$A = ($A1391 - 2)))) * Parameters!$A$4,0)"),40170.623919220896)</f>
        <v>40170.62392</v>
      </c>
      <c r="Y1391" s="91">
        <f>IFERROR(__xludf.DUMMYFUNCTION("IFERROR((IFERROR(FILTER('Fund Investment Data'!$P:$P,'Fund Investment Data'!$C:$C = $C1391,'Fund Investment Data'!$A:$A = ($A1391 - 2), 'Fund Investment Data'!$B:$B = 12),0) - SUM(FILTER('Fund Investment Data'!$V:$V, 'Fund Investment Data'!$C:$C = $C1391,"&amp;" 'Fund Investment Data'!$A:$A = ($A1391 - 2), 'Fund Investment Data'!$B:$B &gt; 3)))  * Parameters!$B$4 * (1 - Parameters!$A$4),0)"),16856.662545)</f>
        <v>16856.66255</v>
      </c>
      <c r="Z1391" s="91">
        <f t="shared" si="24"/>
        <v>57027.28646</v>
      </c>
      <c r="AA1391" s="91">
        <f>IFERROR(__xludf.DUMMYFUNCTION("((IFERROR((SUM(FILTER('Fund Investment Data'!$V:$V, 'Fund Investment Data'!$C:$C = $C1391, 'Fund Investment Data'!$A:$A = $A1391 - 1, 'Fund Investment Data'!$B:$B &gt;= 4, 'Fund Investment Data'!$B:$B &lt;= ($B1391 + 5))) / 12) * ($B1391 - 3) * Parameters!$B$4,"&amp;" 0) + IF($B1391 &gt;= 9, IFERROR(SUM(FILTER('Fund Investment Data'!$V:$V, 'Fund Investment Data'!$C:$C = $C1391, 'Fund Investment Data'!$A:$A = $A1391, 'Fund Investment Data'!$B:$B &lt;= 3)) * Parameters!$B$4, 0),0)))"),0.0)</f>
        <v>0</v>
      </c>
      <c r="AB1391" s="32">
        <f>IFERROR(__xludf.DUMMYFUNCTION("IFERROR(((IFERROR(SUM(FILTER('Fund Investment Data'!$V:$V, 'Fund Investment Data'!$C:$C = $C1391, 'Fund Investment Data'!$A:$A = $A1391 - 2, 'Fund Investment Data'!$B:$B &gt;= 4)) * Parameters!$B$4,0) + IFERROR(SUM(FILTER('Fund Investment Data'!$V:$V, 'Fund "&amp;"Investment Data'!$C:$C = $C1391, 'Fund Investment Data'!$A:$A = $A1391 - 1, 'Fund Investment Data'!$B:$B &lt;= 3)) * Parameters!$B$4,0))),0)"),0.0)</f>
        <v>0</v>
      </c>
      <c r="AC1391" s="32">
        <f>IFERROR(__xludf.DUMMYFUNCTION("IFERROR(FILTER($AF:$AF,$C:$C = $C1391,$A:$A = $A1391 - 1,$B:$B = 12),0)"),0.0)</f>
        <v>0</v>
      </c>
      <c r="AD1391" s="32">
        <f t="shared" si="23"/>
        <v>57027.28646</v>
      </c>
      <c r="AE1391" s="32">
        <f t="shared" si="2"/>
        <v>34027.28646</v>
      </c>
      <c r="AF1391" s="32"/>
    </row>
    <row r="1392">
      <c r="A1392" s="86">
        <v>2019.0</v>
      </c>
      <c r="B1392" s="87">
        <v>5.0</v>
      </c>
      <c r="C1392" s="88" t="s">
        <v>49</v>
      </c>
      <c r="D1392" s="32"/>
      <c r="E1392" s="93">
        <v>-10000.0</v>
      </c>
      <c r="F1392" s="32"/>
      <c r="G1392" s="93">
        <v>-1180.01</v>
      </c>
      <c r="H1392" s="93">
        <v>5746.03</v>
      </c>
      <c r="I1392" s="93">
        <v>2052.01</v>
      </c>
      <c r="J1392" s="93">
        <v>27814.0</v>
      </c>
      <c r="K1392" s="32"/>
      <c r="L1392" s="32"/>
      <c r="M1392" s="32"/>
      <c r="N1392" s="32"/>
      <c r="O1392" s="93">
        <v>498666.05</v>
      </c>
      <c r="P1392" s="91">
        <f>IFERROR(__xludf.DUMMYFUNCTION("IFERROR(sum(FILTER($D:$N,$C:$C = $C1392,$A:$A &lt; $A1392,$B:$B = 12)),0) + sum($D1392:$N1392)"),498666.34999999986)</f>
        <v>498666.35</v>
      </c>
      <c r="Q1392" s="92">
        <f t="shared" si="1"/>
        <v>-0.2999999999</v>
      </c>
      <c r="R1392" s="91">
        <f t="array" ref="R1392">IFERROR(INDEX('Fund YTD Target Values'!$1:$1000, MATCH($C1392,'Fund YTD Target Values'!$A:$A,0), MATCH($A1392,'Fund YTD Target Values'!$1:$1,0)),0)</f>
        <v>714091.1961</v>
      </c>
      <c r="S1392" s="91">
        <f>IFERROR(__xludf.DUMMYFUNCTION("IFERROR(sum(FILTER('Fund Investment Data'!$V:$V, 'Fund Investment Data'!$C:$C = $C1392, 'Fund Investment Data'!$A:$A &lt; $A1392)),0) + IFERROR(sum(FILTER('Fund Investment Data'!$V:$V, 'Fund Investment Data'!$C:$C = $C1392, 'Fund Investment Data'!$A:$A = $A1"&amp;"392, 'Fund Investment Data'!$B:$B &lt;= $B1392)),0)"),500000.0)</f>
        <v>500000</v>
      </c>
      <c r="T1392" s="93">
        <v>500000.0</v>
      </c>
      <c r="U1392" s="32">
        <f>S1392-T1392</f>
        <v>0</v>
      </c>
      <c r="V1392" s="32">
        <f>IFERROR(__xludf.DUMMYFUNCTION("$D1392 - IFERROR(FILTER($D:$D,$C:$C = $C1392, $A:$A = $A1392, $B:$B = $B1392 - 1),0)"),0.0)</f>
        <v>0</v>
      </c>
      <c r="W1392" s="93">
        <f>IFERROR(__xludf.DUMMYFUNCTION("$E1392 - IFERROR(FILTER($E:$E,$C:$C = $C1392, $A:$A = $A1392, $B:$B = $B1392 - 1),0)"),0.0)</f>
        <v>0</v>
      </c>
      <c r="X1392" s="91">
        <f>IFERROR(__xludf.DUMMYFUNCTION("iFERROR((FILTER('Fund Investment Data'!$Z:$Z, 'Fund Investment Data'!$C:$C = $C1392, 'Fund Investment Data'!$A:$A = $A1392 - 1, 'Fund Investment Data'!$B:$B = 12) + FILTER('Fund Investment Data'!$AB:$AB, 'Fund Investment Data'!$C:$C = $C1392, 'Fund Invest"&amp;"ment Data'!$A:$A = $A1392 - 1, 'Fund Investment Data'!$B:$B = 12)) * (1 + AVERAGE(FILTER('Inflation Data'!$C:$C,'Inflation Data'!$A:$A = ($A1392 - 2)))) * Parameters!$A$4,0)"),17620.730663710416)</f>
        <v>17620.73066</v>
      </c>
      <c r="Y1392" s="91">
        <f>IFERROR(__xludf.DUMMYFUNCTION("IFERROR((IFERROR(FILTER('Fund Investment Data'!$P:$P,'Fund Investment Data'!$C:$C = $C1392,'Fund Investment Data'!$A:$A = ($A1392 - 2), 'Fund Investment Data'!$B:$B = 12),0) - SUM(FILTER('Fund Investment Data'!$V:$V, 'Fund Investment Data'!$C:$C = $C1392,"&amp;" 'Fund Investment Data'!$A:$A = ($A1392 - 2), 'Fund Investment Data'!$B:$B &gt; 3)))  * Parameters!$B$4 * (1 - Parameters!$A$4),0)"),7394.127389999999)</f>
        <v>7394.12739</v>
      </c>
      <c r="Z1392" s="91">
        <f t="shared" si="24"/>
        <v>25014.85805</v>
      </c>
      <c r="AA1392" s="91">
        <f>IFERROR(__xludf.DUMMYFUNCTION("((IFERROR((SUM(FILTER('Fund Investment Data'!$V:$V, 'Fund Investment Data'!$C:$C = $C1392, 'Fund Investment Data'!$A:$A = $A1392 - 1, 'Fund Investment Data'!$B:$B &gt;= 4, 'Fund Investment Data'!$B:$B &lt;= ($B1392 + 5))) / 12) * ($B1392 - 3) * Parameters!$B$4,"&amp;" 0) + IF($B1392 &gt;= 9, IFERROR(SUM(FILTER('Fund Investment Data'!$V:$V, 'Fund Investment Data'!$C:$C = $C1392, 'Fund Investment Data'!$A:$A = $A1392, 'Fund Investment Data'!$B:$B &lt;= 3)) * Parameters!$B$4, 0),0)))"),0.0)</f>
        <v>0</v>
      </c>
      <c r="AB1392" s="32">
        <f>IFERROR(__xludf.DUMMYFUNCTION("IFERROR(((IFERROR(SUM(FILTER('Fund Investment Data'!$V:$V, 'Fund Investment Data'!$C:$C = $C1392, 'Fund Investment Data'!$A:$A = $A1392 - 2, 'Fund Investment Data'!$B:$B &gt;= 4)) * Parameters!$B$4,0) + IFERROR(SUM(FILTER('Fund Investment Data'!$V:$V, 'Fund "&amp;"Investment Data'!$C:$C = $C1392, 'Fund Investment Data'!$A:$A = $A1392 - 1, 'Fund Investment Data'!$B:$B &lt;= 3)) * Parameters!$B$4,0))),0)"),0.0)</f>
        <v>0</v>
      </c>
      <c r="AC1392" s="32">
        <f>IFERROR(__xludf.DUMMYFUNCTION("IFERROR(FILTER($AF:$AF,$C:$C = $C1392,$A:$A = $A1392 - 1,$B:$B = 12),0)"),0.0)</f>
        <v>0</v>
      </c>
      <c r="AD1392" s="32">
        <f t="shared" si="23"/>
        <v>25014.85805</v>
      </c>
      <c r="AE1392" s="32">
        <f t="shared" si="2"/>
        <v>15014.85805</v>
      </c>
      <c r="AF1392" s="32"/>
    </row>
    <row r="1393">
      <c r="A1393" s="86">
        <v>2019.0</v>
      </c>
      <c r="B1393" s="87">
        <v>5.0</v>
      </c>
      <c r="C1393" s="88" t="s">
        <v>41</v>
      </c>
      <c r="D1393" s="32"/>
      <c r="E1393" s="93">
        <v>-4475.0</v>
      </c>
      <c r="F1393" s="32"/>
      <c r="G1393" s="93">
        <v>-1462.6</v>
      </c>
      <c r="H1393" s="93">
        <v>7102.39</v>
      </c>
      <c r="I1393" s="32"/>
      <c r="J1393" s="93">
        <v>36547.85</v>
      </c>
      <c r="K1393" s="32"/>
      <c r="L1393" s="32"/>
      <c r="M1393" s="32"/>
      <c r="N1393" s="32"/>
      <c r="O1393" s="93">
        <v>620890.11</v>
      </c>
      <c r="P1393" s="91">
        <f>IFERROR(__xludf.DUMMYFUNCTION("IFERROR(sum(FILTER($D:$N,$C:$C = $C1393,$A:$A &lt; $A1393,$B:$B = 12)),0) + sum($D1393:$N1393)"),620890.9600000001)</f>
        <v>620890.96</v>
      </c>
      <c r="Q1393" s="92">
        <f t="shared" si="1"/>
        <v>-0.8500000001</v>
      </c>
      <c r="R1393" s="91">
        <f t="array" ref="R1393">IFERROR(INDEX('Fund YTD Target Values'!$1:$1000, MATCH($C1393,'Fund YTD Target Values'!$A:$A,0), MATCH($A1393,'Fund YTD Target Values'!$1:$1,0)),0)</f>
        <v>598621.3568</v>
      </c>
      <c r="S1393" s="91">
        <f>IFERROR(__xludf.DUMMYFUNCTION("IFERROR(sum(FILTER('Fund Investment Data'!$V:$V, 'Fund Investment Data'!$C:$C = $C1393, 'Fund Investment Data'!$A:$A &lt; $A1393)),0) + IFERROR(sum(FILTER('Fund Investment Data'!$V:$V, 'Fund Investment Data'!$C:$C = $C1393, 'Fund Investment Data'!$A:$A = $A1"&amp;"393, 'Fund Investment Data'!$B:$B &lt;= $B1393)),0)"),433755.86)</f>
        <v>433755.86</v>
      </c>
      <c r="T1393" s="32"/>
      <c r="U1393" s="32"/>
      <c r="V1393" s="32">
        <f>IFERROR(__xludf.DUMMYFUNCTION("$D1393 - IFERROR(FILTER($D:$D,$C:$C = $C1393, $A:$A = $A1393, $B:$B = $B1393 - 1),0)"),0.0)</f>
        <v>0</v>
      </c>
      <c r="W1393" s="93">
        <f>IFERROR(__xludf.DUMMYFUNCTION("$E1393 - IFERROR(FILTER($E:$E,$C:$C = $C1393, $A:$A = $A1393, $B:$B = $B1393 - 1),0)"),-4475.0)</f>
        <v>-4475</v>
      </c>
      <c r="X1393" s="91">
        <f>IFERROR(__xludf.DUMMYFUNCTION("iFERROR((FILTER('Fund Investment Data'!$Z:$Z, 'Fund Investment Data'!$C:$C = $C1393, 'Fund Investment Data'!$A:$A = $A1393 - 1, 'Fund Investment Data'!$B:$B = 12) + FILTER('Fund Investment Data'!$AB:$AB, 'Fund Investment Data'!$C:$C = $C1393, 'Fund Invest"&amp;"ment Data'!$A:$A = $A1393 - 1, 'Fund Investment Data'!$B:$B = 12)) * (1 + AVERAGE(FILTER('Inflation Data'!$C:$C,'Inflation Data'!$A:$A = ($A1393 - 2)))) * Parameters!$A$4,0)"),18464.76285534869)</f>
        <v>18464.76286</v>
      </c>
      <c r="Y1393" s="91">
        <f>IFERROR(__xludf.DUMMYFUNCTION("IFERROR((IFERROR(FILTER('Fund Investment Data'!$P:$P,'Fund Investment Data'!$C:$C = $C1393,'Fund Investment Data'!$A:$A = ($A1393 - 2), 'Fund Investment Data'!$B:$B = 12),0) - SUM(FILTER('Fund Investment Data'!$V:$V, 'Fund Investment Data'!$C:$C = $C1393,"&amp;" 'Fund Investment Data'!$A:$A = ($A1393 - 2), 'Fund Investment Data'!$B:$B &gt; 3)))  * Parameters!$B$4 * (1 - Parameters!$A$4),0)"),8817.111225000002)</f>
        <v>8817.111225</v>
      </c>
      <c r="Z1393" s="91">
        <f t="shared" si="24"/>
        <v>27281.87408</v>
      </c>
      <c r="AA1393" s="91">
        <f>IFERROR(__xludf.DUMMYFUNCTION("((IFERROR((SUM(FILTER('Fund Investment Data'!$V:$V, 'Fund Investment Data'!$C:$C = $C1393, 'Fund Investment Data'!$A:$A = $A1393 - 1, 'Fund Investment Data'!$B:$B &gt;= 4, 'Fund Investment Data'!$B:$B &lt;= ($B1393 + 5))) / 12) * ($B1393 - 3) * Parameters!$B$4,"&amp;" 0) + IF($B1393 &gt;= 9, IFERROR(SUM(FILTER('Fund Investment Data'!$V:$V, 'Fund Investment Data'!$C:$C = $C1393, 'Fund Investment Data'!$A:$A = $A1393, 'Fund Investment Data'!$B:$B &lt;= 3)) * Parameters!$B$4, 0),0)))"),0.0)</f>
        <v>0</v>
      </c>
      <c r="AB1393" s="32">
        <f>IFERROR(__xludf.DUMMYFUNCTION("IFERROR(((IFERROR(SUM(FILTER('Fund Investment Data'!$V:$V, 'Fund Investment Data'!$C:$C = $C1393, 'Fund Investment Data'!$A:$A = $A1393 - 2, 'Fund Investment Data'!$B:$B &gt;= 4)) * Parameters!$B$4,0) + IFERROR(SUM(FILTER('Fund Investment Data'!$V:$V, 'Fund "&amp;"Investment Data'!$C:$C = $C1393, 'Fund Investment Data'!$A:$A = $A1393 - 1, 'Fund Investment Data'!$B:$B &lt;= 3)) * Parameters!$B$4,0))),0)"),0.0)</f>
        <v>0</v>
      </c>
      <c r="AC1393" s="32">
        <f>IFERROR(__xludf.DUMMYFUNCTION("IFERROR(FILTER($AF:$AF,$C:$C = $C1393,$A:$A = $A1393 - 1,$B:$B = 12),0)"),0.0)</f>
        <v>0</v>
      </c>
      <c r="AD1393" s="32">
        <f t="shared" si="23"/>
        <v>27281.87408</v>
      </c>
      <c r="AE1393" s="32">
        <f t="shared" si="2"/>
        <v>22806.87408</v>
      </c>
      <c r="AF1393" s="32"/>
    </row>
    <row r="1394">
      <c r="A1394" s="86">
        <v>2019.0</v>
      </c>
      <c r="B1394" s="87">
        <v>5.0</v>
      </c>
      <c r="C1394" s="88" t="s">
        <v>25</v>
      </c>
      <c r="D1394" s="32"/>
      <c r="E1394" s="32"/>
      <c r="F1394" s="32"/>
      <c r="G1394" s="93">
        <v>-187.65</v>
      </c>
      <c r="H1394" s="93">
        <v>910.96</v>
      </c>
      <c r="I1394" s="32"/>
      <c r="J1394" s="93">
        <v>4679.27</v>
      </c>
      <c r="K1394" s="32"/>
      <c r="L1394" s="32"/>
      <c r="M1394" s="32"/>
      <c r="N1394" s="32"/>
      <c r="O1394" s="93">
        <v>80240.56</v>
      </c>
      <c r="P1394" s="91">
        <f>IFERROR(__xludf.DUMMYFUNCTION("IFERROR(sum(FILTER($D:$N,$C:$C = $C1394,$A:$A &lt; $A1394,$B:$B = 12)),0) + sum($D1394:$N1394)"),80240.55)</f>
        <v>80240.55</v>
      </c>
      <c r="Q1394" s="92">
        <f t="shared" si="1"/>
        <v>0.009999999995</v>
      </c>
      <c r="R1394" s="91">
        <f t="array" ref="R1394">IFERROR(INDEX('Fund YTD Target Values'!$1:$1000, MATCH($C1394,'Fund YTD Target Values'!$A:$A,0), MATCH($A1394,'Fund YTD Target Values'!$1:$1,0)),0)</f>
        <v>111153.3247</v>
      </c>
      <c r="S1394" s="91">
        <f>IFERROR(__xludf.DUMMYFUNCTION("IFERROR(sum(FILTER('Fund Investment Data'!$V:$V, 'Fund Investment Data'!$C:$C = $C1394, 'Fund Investment Data'!$A:$A &lt; $A1394)),0) + IFERROR(sum(FILTER('Fund Investment Data'!$V:$V, 'Fund Investment Data'!$C:$C = $C1394, 'Fund Investment Data'!$A:$A = $A1"&amp;"394, 'Fund Investment Data'!$B:$B &lt;= $B1394)),0)"),81000.0)</f>
        <v>81000</v>
      </c>
      <c r="T1394" s="93">
        <v>81000.0</v>
      </c>
      <c r="U1394" s="32">
        <f t="shared" ref="U1394:U1396" si="46">S1394-T1394</f>
        <v>0</v>
      </c>
      <c r="V1394" s="32">
        <f>IFERROR(__xludf.DUMMYFUNCTION("$D1394 - IFERROR(FILTER($D:$D,$C:$C = $C1394, $A:$A = $A1394, $B:$B = $B1394 - 1),0)"),0.0)</f>
        <v>0</v>
      </c>
      <c r="W1394" s="93">
        <f>IFERROR(__xludf.DUMMYFUNCTION("$E1394 - IFERROR(FILTER($E:$E,$C:$C = $C1394, $A:$A = $A1394, $B:$B = $B1394 - 1),0)"),0.0)</f>
        <v>0</v>
      </c>
      <c r="X1394" s="91">
        <f>IFERROR(__xludf.DUMMYFUNCTION("iFERROR((FILTER('Fund Investment Data'!$Z:$Z, 'Fund Investment Data'!$C:$C = $C1394, 'Fund Investment Data'!$A:$A = $A1394 - 1, 'Fund Investment Data'!$B:$B = 12) + FILTER('Fund Investment Data'!$AB:$AB, 'Fund Investment Data'!$C:$C = $C1394, 'Fund Invest"&amp;"ment Data'!$A:$A = $A1394 - 1, 'Fund Investment Data'!$B:$B = 12)) * (1 + AVERAGE(FILTER('Inflation Data'!$C:$C,'Inflation Data'!$A:$A = ($A1394 - 2)))) * Parameters!$A$4,0)"),3251.4512616945367)</f>
        <v>3251.451262</v>
      </c>
      <c r="Y1394" s="91">
        <f>IFERROR(__xludf.DUMMYFUNCTION("IFERROR((IFERROR(FILTER('Fund Investment Data'!$P:$P,'Fund Investment Data'!$C:$C = $C1394,'Fund Investment Data'!$A:$A = ($A1394 - 2), 'Fund Investment Data'!$B:$B = 12),0) - SUM(FILTER('Fund Investment Data'!$V:$V, 'Fund Investment Data'!$C:$C = $C1394,"&amp;" 'Fund Investment Data'!$A:$A = ($A1394 - 2), 'Fund Investment Data'!$B:$B &gt; 3)))  * Parameters!$B$4 * (1 - Parameters!$A$4),0)"),1364.3954549999999)</f>
        <v>1364.395455</v>
      </c>
      <c r="Z1394" s="91">
        <f t="shared" si="24"/>
        <v>4615.846717</v>
      </c>
      <c r="AA1394" s="91">
        <f>IFERROR(__xludf.DUMMYFUNCTION("((IFERROR((SUM(FILTER('Fund Investment Data'!$V:$V, 'Fund Investment Data'!$C:$C = $C1394, 'Fund Investment Data'!$A:$A = $A1394 - 1, 'Fund Investment Data'!$B:$B &gt;= 4, 'Fund Investment Data'!$B:$B &lt;= ($B1394 + 5))) / 12) * ($B1394 - 3) * Parameters!$B$4,"&amp;" 0) + IF($B1394 &gt;= 9, IFERROR(SUM(FILTER('Fund Investment Data'!$V:$V, 'Fund Investment Data'!$C:$C = $C1394, 'Fund Investment Data'!$A:$A = $A1394, 'Fund Investment Data'!$B:$B &lt;= 3)) * Parameters!$B$4, 0),0)))"),0.0)</f>
        <v>0</v>
      </c>
      <c r="AB1394" s="32">
        <f>IFERROR(__xludf.DUMMYFUNCTION("IFERROR(((IFERROR(SUM(FILTER('Fund Investment Data'!$V:$V, 'Fund Investment Data'!$C:$C = $C1394, 'Fund Investment Data'!$A:$A = $A1394 - 2, 'Fund Investment Data'!$B:$B &gt;= 4)) * Parameters!$B$4,0) + IFERROR(SUM(FILTER('Fund Investment Data'!$V:$V, 'Fund "&amp;"Investment Data'!$C:$C = $C1394, 'Fund Investment Data'!$A:$A = $A1394 - 1, 'Fund Investment Data'!$B:$B &lt;= 3)) * Parameters!$B$4,0))),0)"),0.0)</f>
        <v>0</v>
      </c>
      <c r="AC1394" s="32">
        <f>IFERROR(__xludf.DUMMYFUNCTION("IFERROR(FILTER($AF:$AF,$C:$C = $C1394,$A:$A = $A1394 - 1,$B:$B = 12),0)"),0.0)</f>
        <v>0</v>
      </c>
      <c r="AD1394" s="32">
        <f t="shared" si="23"/>
        <v>4615.846717</v>
      </c>
      <c r="AE1394" s="32">
        <f t="shared" si="2"/>
        <v>4615.846717</v>
      </c>
      <c r="AF1394" s="32"/>
    </row>
    <row r="1395">
      <c r="A1395" s="86">
        <v>2019.0</v>
      </c>
      <c r="B1395" s="87">
        <v>5.0</v>
      </c>
      <c r="C1395" s="88" t="s">
        <v>42</v>
      </c>
      <c r="D1395" s="32"/>
      <c r="E1395" s="32"/>
      <c r="F1395" s="32"/>
      <c r="G1395" s="93">
        <v>-679.08</v>
      </c>
      <c r="H1395" s="93">
        <v>3294.2</v>
      </c>
      <c r="I1395" s="32"/>
      <c r="J1395" s="93">
        <v>16869.13</v>
      </c>
      <c r="K1395" s="32"/>
      <c r="L1395" s="32"/>
      <c r="M1395" s="32"/>
      <c r="N1395" s="32"/>
      <c r="O1395" s="93">
        <v>290360.75</v>
      </c>
      <c r="P1395" s="91">
        <f>IFERROR(__xludf.DUMMYFUNCTION("IFERROR(sum(FILTER($D:$N,$C:$C = $C1395,$A:$A &lt; $A1395,$B:$B = 12)),0) + sum($D1395:$N1395)"),290360.2200000001)</f>
        <v>290360.22</v>
      </c>
      <c r="Q1395" s="92">
        <f t="shared" si="1"/>
        <v>0.5299999999</v>
      </c>
      <c r="R1395" s="91">
        <f t="array" ref="R1395">IFERROR(INDEX('Fund YTD Target Values'!$1:$1000, MATCH($C1395,'Fund YTD Target Values'!$A:$A,0), MATCH($A1395,'Fund YTD Target Values'!$1:$1,0)),0)</f>
        <v>244537.4928</v>
      </c>
      <c r="S1395" s="91">
        <f>IFERROR(__xludf.DUMMYFUNCTION("IFERROR(sum(FILTER('Fund Investment Data'!$V:$V, 'Fund Investment Data'!$C:$C = $C1395, 'Fund Investment Data'!$A:$A &lt; $A1395)),0) + IFERROR(sum(FILTER('Fund Investment Data'!$V:$V, 'Fund Investment Data'!$C:$C = $C1395, 'Fund Investment Data'!$A:$A = $A1"&amp;"395, 'Fund Investment Data'!$B:$B &lt;= $B1395)),0)"),194469.0)</f>
        <v>194469</v>
      </c>
      <c r="T1395" s="93">
        <v>194469.0</v>
      </c>
      <c r="U1395" s="32">
        <f t="shared" si="46"/>
        <v>0</v>
      </c>
      <c r="V1395" s="32">
        <f>IFERROR(__xludf.DUMMYFUNCTION("$D1395 - IFERROR(FILTER($D:$D,$C:$C = $C1395, $A:$A = $A1395, $B:$B = $B1395 - 1),0)"),0.0)</f>
        <v>0</v>
      </c>
      <c r="W1395" s="93">
        <f>IFERROR(__xludf.DUMMYFUNCTION("$E1395 - IFERROR(FILTER($E:$E,$C:$C = $C1395, $A:$A = $A1395, $B:$B = $B1395 - 1),0)"),0.0)</f>
        <v>0</v>
      </c>
      <c r="X1395" s="91">
        <f>IFERROR(__xludf.DUMMYFUNCTION("iFERROR((FILTER('Fund Investment Data'!$Z:$Z, 'Fund Investment Data'!$C:$C = $C1395, 'Fund Investment Data'!$A:$A = $A1395 - 1, 'Fund Investment Data'!$B:$B = 12) + FILTER('Fund Investment Data'!$AB:$AB, 'Fund Investment Data'!$C:$C = $C1395, 'Fund Invest"&amp;"ment Data'!$A:$A = $A1395 - 1, 'Fund Investment Data'!$B:$B = 12)) * (1 + AVERAGE(FILTER('Inflation Data'!$C:$C,'Inflation Data'!$A:$A = ($A1395 - 2)))) * Parameters!$A$4,0)"),7542.876247032937)</f>
        <v>7542.876247</v>
      </c>
      <c r="Y1395" s="91">
        <f>IFERROR(__xludf.DUMMYFUNCTION("IFERROR((IFERROR(FILTER('Fund Investment Data'!$P:$P,'Fund Investment Data'!$C:$C = $C1395,'Fund Investment Data'!$A:$A = ($A1395 - 2), 'Fund Investment Data'!$B:$B = 12),0) - SUM(FILTER('Fund Investment Data'!$V:$V, 'Fund Investment Data'!$C:$C = $C1395,"&amp;" 'Fund Investment Data'!$A:$A = ($A1395 - 2), 'Fund Investment Data'!$B:$B &gt; 3)))  * Parameters!$B$4 * (1 - Parameters!$A$4),0)"),4042.544760000002)</f>
        <v>4042.54476</v>
      </c>
      <c r="Z1395" s="91">
        <f t="shared" si="24"/>
        <v>11585.42101</v>
      </c>
      <c r="AA1395" s="91">
        <f>IFERROR(__xludf.DUMMYFUNCTION("((IFERROR((SUM(FILTER('Fund Investment Data'!$V:$V, 'Fund Investment Data'!$C:$C = $C1395, 'Fund Investment Data'!$A:$A = $A1395 - 1, 'Fund Investment Data'!$B:$B &gt;= 4, 'Fund Investment Data'!$B:$B &lt;= ($B1395 + 5))) / 12) * ($B1395 - 3) * Parameters!$B$4,"&amp;" 0) + IF($B1395 &gt;= 9, IFERROR(SUM(FILTER('Fund Investment Data'!$V:$V, 'Fund Investment Data'!$C:$C = $C1395, 'Fund Investment Data'!$A:$A = $A1395, 'Fund Investment Data'!$B:$B &lt;= 3)) * Parameters!$B$4, 0),0)))"),0.0)</f>
        <v>0</v>
      </c>
      <c r="AB1395" s="32">
        <f>IFERROR(__xludf.DUMMYFUNCTION("IFERROR(((IFERROR(SUM(FILTER('Fund Investment Data'!$V:$V, 'Fund Investment Data'!$C:$C = $C1395, 'Fund Investment Data'!$A:$A = $A1395 - 2, 'Fund Investment Data'!$B:$B &gt;= 4)) * Parameters!$B$4,0) + IFERROR(SUM(FILTER('Fund Investment Data'!$V:$V, 'Fund "&amp;"Investment Data'!$C:$C = $C1395, 'Fund Investment Data'!$A:$A = $A1395 - 1, 'Fund Investment Data'!$B:$B &lt;= 3)) * Parameters!$B$4,0))),0)"),0.0)</f>
        <v>0</v>
      </c>
      <c r="AC1395" s="32">
        <f>IFERROR(__xludf.DUMMYFUNCTION("IFERROR(FILTER($AF:$AF,$C:$C = $C1395,$A:$A = $A1395 - 1,$B:$B = 12),0)"),0.0)</f>
        <v>0</v>
      </c>
      <c r="AD1395" s="32">
        <f t="shared" si="23"/>
        <v>11585.42101</v>
      </c>
      <c r="AE1395" s="32">
        <f t="shared" si="2"/>
        <v>11585.42101</v>
      </c>
      <c r="AF1395" s="32"/>
    </row>
    <row r="1396">
      <c r="A1396" s="86">
        <v>2019.0</v>
      </c>
      <c r="B1396" s="87">
        <v>5.0</v>
      </c>
      <c r="C1396" s="88" t="s">
        <v>43</v>
      </c>
      <c r="D1396" s="32"/>
      <c r="E1396" s="93">
        <v>-5000.0</v>
      </c>
      <c r="F1396" s="32"/>
      <c r="G1396" s="93">
        <v>-276.61</v>
      </c>
      <c r="H1396" s="93">
        <v>1341.0</v>
      </c>
      <c r="I1396" s="93">
        <v>1212.1</v>
      </c>
      <c r="J1396" s="93">
        <v>5824.12</v>
      </c>
      <c r="K1396" s="32"/>
      <c r="L1396" s="32"/>
      <c r="M1396" s="32"/>
      <c r="N1396" s="32"/>
      <c r="O1396" s="93">
        <v>113398.83</v>
      </c>
      <c r="P1396" s="91">
        <f>IFERROR(__xludf.DUMMYFUNCTION("IFERROR(sum(FILTER($D:$N,$C:$C = $C1396,$A:$A &lt; $A1396,$B:$B = 12)),0) + sum($D1396:$N1396)"),113398.09000000003)</f>
        <v>113398.09</v>
      </c>
      <c r="Q1396" s="92">
        <f t="shared" si="1"/>
        <v>0.74</v>
      </c>
      <c r="R1396" s="91">
        <f t="array" ref="R1396">IFERROR(INDEX('Fund YTD Target Values'!$1:$1000, MATCH($C1396,'Fund YTD Target Values'!$A:$A,0), MATCH($A1396,'Fund YTD Target Values'!$1:$1,0)),0)</f>
        <v>133065.1141</v>
      </c>
      <c r="S1396" s="91">
        <f>IFERROR(__xludf.DUMMYFUNCTION("IFERROR(sum(FILTER('Fund Investment Data'!$V:$V, 'Fund Investment Data'!$C:$C = $C1396, 'Fund Investment Data'!$A:$A &lt; $A1396)),0) + IFERROR(sum(FILTER('Fund Investment Data'!$V:$V, 'Fund Investment Data'!$C:$C = $C1396, 'Fund Investment Data'!$A:$A = $A1"&amp;"396, 'Fund Investment Data'!$B:$B &lt;= $B1396)),0)"),100000.0)</f>
        <v>100000</v>
      </c>
      <c r="T1396" s="93">
        <v>100000.0</v>
      </c>
      <c r="U1396" s="32">
        <f t="shared" si="46"/>
        <v>0</v>
      </c>
      <c r="V1396" s="32">
        <f>IFERROR(__xludf.DUMMYFUNCTION("$D1396 - IFERROR(FILTER($D:$D,$C:$C = $C1396, $A:$A = $A1396, $B:$B = $B1396 - 1),0)"),0.0)</f>
        <v>0</v>
      </c>
      <c r="W1396" s="93">
        <f>IFERROR(__xludf.DUMMYFUNCTION("$E1396 - IFERROR(FILTER($E:$E,$C:$C = $C1396, $A:$A = $A1396, $B:$B = $B1396 - 1),0)"),-5000.0)</f>
        <v>-5000</v>
      </c>
      <c r="X1396" s="91">
        <f>IFERROR(__xludf.DUMMYFUNCTION("iFERROR((FILTER('Fund Investment Data'!$Z:$Z, 'Fund Investment Data'!$C:$C = $C1396, 'Fund Investment Data'!$A:$A = $A1396 - 1, 'Fund Investment Data'!$B:$B = 12) + FILTER('Fund Investment Data'!$AB:$AB, 'Fund Investment Data'!$C:$C = $C1396, 'Fund Invest"&amp;"ment Data'!$A:$A = $A1396 - 1, 'Fund Investment Data'!$B:$B = 12)) * (1 + AVERAGE(FILTER('Inflation Data'!$C:$C,'Inflation Data'!$A:$A = ($A1396 - 2)))) * Parameters!$A$4,0)"),4037.921818829265)</f>
        <v>4037.921819</v>
      </c>
      <c r="Y1396" s="91">
        <f>IFERROR(__xludf.DUMMYFUNCTION("IFERROR((IFERROR(FILTER('Fund Investment Data'!$P:$P,'Fund Investment Data'!$C:$C = $C1396,'Fund Investment Data'!$A:$A = ($A1396 - 2), 'Fund Investment Data'!$B:$B = 12),0) - SUM(FILTER('Fund Investment Data'!$V:$V, 'Fund Investment Data'!$C:$C = $C1396,"&amp;" 'Fund Investment Data'!$A:$A = ($A1396 - 2), 'Fund Investment Data'!$B:$B &gt; 3)))  * Parameters!$B$4 * (1 - Parameters!$A$4),0)"),1694.4194250000005)</f>
        <v>1694.419425</v>
      </c>
      <c r="Z1396" s="91">
        <f t="shared" si="24"/>
        <v>5732.341244</v>
      </c>
      <c r="AA1396" s="91">
        <f>IFERROR(__xludf.DUMMYFUNCTION("((IFERROR((SUM(FILTER('Fund Investment Data'!$V:$V, 'Fund Investment Data'!$C:$C = $C1396, 'Fund Investment Data'!$A:$A = $A1396 - 1, 'Fund Investment Data'!$B:$B &gt;= 4, 'Fund Investment Data'!$B:$B &lt;= ($B1396 + 5))) / 12) * ($B1396 - 3) * Parameters!$B$4,"&amp;" 0) + IF($B1396 &gt;= 9, IFERROR(SUM(FILTER('Fund Investment Data'!$V:$V, 'Fund Investment Data'!$C:$C = $C1396, 'Fund Investment Data'!$A:$A = $A1396, 'Fund Investment Data'!$B:$B &lt;= 3)) * Parameters!$B$4, 0),0)))"),0.0)</f>
        <v>0</v>
      </c>
      <c r="AB1396" s="32">
        <f>IFERROR(__xludf.DUMMYFUNCTION("IFERROR(((IFERROR(SUM(FILTER('Fund Investment Data'!$V:$V, 'Fund Investment Data'!$C:$C = $C1396, 'Fund Investment Data'!$A:$A = $A1396 - 2, 'Fund Investment Data'!$B:$B &gt;= 4)) * Parameters!$B$4,0) + IFERROR(SUM(FILTER('Fund Investment Data'!$V:$V, 'Fund "&amp;"Investment Data'!$C:$C = $C1396, 'Fund Investment Data'!$A:$A = $A1396 - 1, 'Fund Investment Data'!$B:$B &lt;= 3)) * Parameters!$B$4,0))),0)"),0.0)</f>
        <v>0</v>
      </c>
      <c r="AC1396" s="32">
        <f>IFERROR(__xludf.DUMMYFUNCTION("IFERROR(FILTER($AF:$AF,$C:$C = $C1396,$A:$A = $A1396 - 1,$B:$B = 12),0)"),0.0)</f>
        <v>0</v>
      </c>
      <c r="AD1396" s="32">
        <f t="shared" si="23"/>
        <v>5732.341244</v>
      </c>
      <c r="AE1396" s="32">
        <f t="shared" si="2"/>
        <v>732.3412438</v>
      </c>
      <c r="AF1396" s="32"/>
    </row>
    <row r="1397">
      <c r="A1397" s="86">
        <v>2019.0</v>
      </c>
      <c r="B1397" s="87">
        <v>5.0</v>
      </c>
      <c r="C1397" s="88" t="s">
        <v>52</v>
      </c>
      <c r="D1397" s="93">
        <v>1000.0</v>
      </c>
      <c r="E1397" s="93">
        <v>-18500.0</v>
      </c>
      <c r="F1397" s="32"/>
      <c r="G1397" s="93">
        <v>-2725.61</v>
      </c>
      <c r="H1397" s="93">
        <v>13259.84</v>
      </c>
      <c r="I1397" s="32"/>
      <c r="J1397" s="93">
        <v>68485.43</v>
      </c>
      <c r="K1397" s="32"/>
      <c r="L1397" s="93">
        <v>-12.62</v>
      </c>
      <c r="M1397" s="32"/>
      <c r="N1397" s="32"/>
      <c r="O1397" s="93">
        <v>1153047.39</v>
      </c>
      <c r="P1397" s="91">
        <f>IFERROR(__xludf.DUMMYFUNCTION("IFERROR(sum(FILTER($D:$N,$C:$C = $C1397,$A:$A &lt; $A1397,$B:$B = 12)),0) + sum($D1397:$N1397)"),1153047.0699999998)</f>
        <v>1153047.07</v>
      </c>
      <c r="Q1397" s="92">
        <f t="shared" si="1"/>
        <v>0.3200000001</v>
      </c>
      <c r="R1397" s="91">
        <f t="array" ref="R1397">IFERROR(INDEX('Fund YTD Target Values'!$1:$1000, MATCH($C1397,'Fund YTD Target Values'!$A:$A,0), MATCH($A1397,'Fund YTD Target Values'!$1:$1,0)),0)</f>
        <v>1170797.015</v>
      </c>
      <c r="S1397" s="91">
        <f>IFERROR(__xludf.DUMMYFUNCTION("IFERROR(sum(FILTER('Fund Investment Data'!$V:$V, 'Fund Investment Data'!$C:$C = $C1397, 'Fund Investment Data'!$A:$A &lt; $A1397)),0) + IFERROR(sum(FILTER('Fund Investment Data'!$V:$V, 'Fund Investment Data'!$C:$C = $C1397, 'Fund Investment Data'!$A:$A = $A1"&amp;"397, 'Fund Investment Data'!$B:$B &lt;= $B1397)),0)"),1081136.0)</f>
        <v>1081136</v>
      </c>
      <c r="T1397" s="32"/>
      <c r="U1397" s="32"/>
      <c r="V1397" s="32">
        <f>IFERROR(__xludf.DUMMYFUNCTION("$D1397 - IFERROR(FILTER($D:$D,$C:$C = $C1397, $A:$A = $A1397, $B:$B = $B1397 - 1),0)"),0.0)</f>
        <v>0</v>
      </c>
      <c r="W1397" s="93">
        <f>IFERROR(__xludf.DUMMYFUNCTION("$E1397 - IFERROR(FILTER($E:$E,$C:$C = $C1397, $A:$A = $A1397, $B:$B = $B1397 - 1),0)"),-2000.0)</f>
        <v>-2000</v>
      </c>
      <c r="X1397" s="91">
        <f>IFERROR(__xludf.DUMMYFUNCTION("iFERROR((FILTER('Fund Investment Data'!$Z:$Z, 'Fund Investment Data'!$C:$C = $C1397, 'Fund Investment Data'!$A:$A = $A1397 - 1, 'Fund Investment Data'!$B:$B = 12) + FILTER('Fund Investment Data'!$AB:$AB, 'Fund Investment Data'!$C:$C = $C1397, 'Fund Invest"&amp;"ment Data'!$A:$A = $A1397 - 1, 'Fund Investment Data'!$B:$B = 12)) * (1 + AVERAGE(FILTER('Inflation Data'!$C:$C,'Inflation Data'!$A:$A = ($A1397 - 2)))) * Parameters!$A$4,0)"),33647.195102028425)</f>
        <v>33647.1951</v>
      </c>
      <c r="Y1397" s="91">
        <f>IFERROR(__xludf.DUMMYFUNCTION("IFERROR((IFERROR(FILTER('Fund Investment Data'!$P:$P,'Fund Investment Data'!$C:$C = $C1397,'Fund Investment Data'!$A:$A = ($A1397 - 2), 'Fund Investment Data'!$B:$B = 12),0) - SUM(FILTER('Fund Investment Data'!$V:$V, 'Fund Investment Data'!$C:$C = $C1397,"&amp;" 'Fund Investment Data'!$A:$A = ($A1397 - 2), 'Fund Investment Data'!$B:$B &gt; 3)))  * Parameters!$B$4 * (1 - Parameters!$A$4),0)"),15672.907755)</f>
        <v>15672.90776</v>
      </c>
      <c r="Z1397" s="91">
        <f t="shared" si="24"/>
        <v>49320.10286</v>
      </c>
      <c r="AA1397" s="91">
        <f>IFERROR(__xludf.DUMMYFUNCTION("((IFERROR((SUM(FILTER('Fund Investment Data'!$V:$V, 'Fund Investment Data'!$C:$C = $C1397, 'Fund Investment Data'!$A:$A = $A1397 - 1, 'Fund Investment Data'!$B:$B &gt;= 4, 'Fund Investment Data'!$B:$B &lt;= ($B1397 + 5))) / 12) * ($B1397 - 3) * Parameters!$B$4,"&amp;" 0) + IF($B1397 &gt;= 9, IFERROR(SUM(FILTER('Fund Investment Data'!$V:$V, 'Fund Investment Data'!$C:$C = $C1397, 'Fund Investment Data'!$A:$A = $A1397, 'Fund Investment Data'!$B:$B &lt;= 3)) * Parameters!$B$4, 0),0)))"),0.0)</f>
        <v>0</v>
      </c>
      <c r="AB1397" s="32">
        <f>IFERROR(__xludf.DUMMYFUNCTION("IFERROR(((IFERROR(SUM(FILTER('Fund Investment Data'!$V:$V, 'Fund Investment Data'!$C:$C = $C1397, 'Fund Investment Data'!$A:$A = $A1397 - 2, 'Fund Investment Data'!$B:$B &gt;= 4)) * Parameters!$B$4,0) + IFERROR(SUM(FILTER('Fund Investment Data'!$V:$V, 'Fund "&amp;"Investment Data'!$C:$C = $C1397, 'Fund Investment Data'!$A:$A = $A1397 - 1, 'Fund Investment Data'!$B:$B &lt;= 3)) * Parameters!$B$4,0))),0)"),3532.5)</f>
        <v>3532.5</v>
      </c>
      <c r="AC1397" s="32">
        <f>IFERROR(__xludf.DUMMYFUNCTION("IFERROR(FILTER($AF:$AF,$C:$C = $C1397,$A:$A = $A1397 - 1,$B:$B = 12),0)"),0.0)</f>
        <v>0</v>
      </c>
      <c r="AD1397" s="32">
        <f t="shared" si="23"/>
        <v>52852.60286</v>
      </c>
      <c r="AE1397" s="32">
        <f t="shared" si="2"/>
        <v>34352.60286</v>
      </c>
      <c r="AF1397" s="32"/>
    </row>
    <row r="1398">
      <c r="A1398" s="86">
        <v>2019.0</v>
      </c>
      <c r="B1398" s="87">
        <v>5.0</v>
      </c>
      <c r="C1398" s="88" t="s">
        <v>33</v>
      </c>
      <c r="D1398" s="32"/>
      <c r="E1398" s="32"/>
      <c r="F1398" s="32"/>
      <c r="G1398" s="93">
        <v>-784.77</v>
      </c>
      <c r="H1398" s="93">
        <v>3809.62</v>
      </c>
      <c r="I1398" s="32"/>
      <c r="J1398" s="93">
        <v>19574.9</v>
      </c>
      <c r="K1398" s="32"/>
      <c r="L1398" s="32"/>
      <c r="M1398" s="32"/>
      <c r="N1398" s="32"/>
      <c r="O1398" s="93">
        <v>335544.71</v>
      </c>
      <c r="P1398" s="91">
        <f>IFERROR(__xludf.DUMMYFUNCTION("IFERROR(sum(FILTER($D:$N,$C:$C = $C1398,$A:$A &lt; $A1398,$B:$B = 12)),0) + sum($D1398:$N1398)"),335544.9299999998)</f>
        <v>335544.93</v>
      </c>
      <c r="Q1398" s="92">
        <f t="shared" si="1"/>
        <v>-0.2199999998</v>
      </c>
      <c r="R1398" s="91">
        <f t="array" ref="R1398">IFERROR(INDEX('Fund YTD Target Values'!$1:$1000, MATCH($C1398,'Fund YTD Target Values'!$A:$A,0), MATCH($A1398,'Fund YTD Target Values'!$1:$1,0)),0)</f>
        <v>522221.9976</v>
      </c>
      <c r="S1398" s="91">
        <f>IFERROR(__xludf.DUMMYFUNCTION("IFERROR(sum(FILTER('Fund Investment Data'!$V:$V, 'Fund Investment Data'!$C:$C = $C1398, 'Fund Investment Data'!$A:$A &lt; $A1398)),0) + IFERROR(sum(FILTER('Fund Investment Data'!$V:$V, 'Fund Investment Data'!$C:$C = $C1398, 'Fund Investment Data'!$A:$A = $A1"&amp;"398, 'Fund Investment Data'!$B:$B &lt;= $B1398)),0)"),325871.6399999999)</f>
        <v>325871.64</v>
      </c>
      <c r="T1398" s="93">
        <v>326032.0</v>
      </c>
      <c r="U1398" s="32">
        <f t="shared" ref="U1398:U1399" si="47">S1398-T1398</f>
        <v>-160.36</v>
      </c>
      <c r="V1398" s="32">
        <f>IFERROR(__xludf.DUMMYFUNCTION("$D1398 - IFERROR(FILTER($D:$D,$C:$C = $C1398, $A:$A = $A1398, $B:$B = $B1398 - 1),0)"),0.0)</f>
        <v>0</v>
      </c>
      <c r="W1398" s="93">
        <f>IFERROR(__xludf.DUMMYFUNCTION("$E1398 - IFERROR(FILTER($E:$E,$C:$C = $C1398, $A:$A = $A1398, $B:$B = $B1398 - 1),0)"),0.0)</f>
        <v>0</v>
      </c>
      <c r="X1398" s="91">
        <f>IFERROR(__xludf.DUMMYFUNCTION("iFERROR((FILTER('Fund Investment Data'!$Z:$Z, 'Fund Investment Data'!$C:$C = $C1398, 'Fund Investment Data'!$A:$A = $A1398 - 1, 'Fund Investment Data'!$B:$B = 12) + FILTER('Fund Investment Data'!$AB:$AB, 'Fund Investment Data'!$C:$C = $C1398, 'Fund Invest"&amp;"ment Data'!$A:$A = $A1398 - 1, 'Fund Investment Data'!$B:$B = 12)) * (1 + AVERAGE(FILTER('Inflation Data'!$C:$C,'Inflation Data'!$A:$A = ($A1398 - 2)))) * Parameters!$A$4,0)"),11487.702435867292)</f>
        <v>11487.70244</v>
      </c>
      <c r="Y1398" s="91">
        <f>IFERROR(__xludf.DUMMYFUNCTION("IFERROR((IFERROR(FILTER('Fund Investment Data'!$P:$P,'Fund Investment Data'!$C:$C = $C1398,'Fund Investment Data'!$A:$A = ($A1398 - 2), 'Fund Investment Data'!$B:$B = 12),0) - SUM(FILTER('Fund Investment Data'!$V:$V, 'Fund Investment Data'!$C:$C = $C1398,"&amp;" 'Fund Investment Data'!$A:$A = ($A1398 - 2), 'Fund Investment Data'!$B:$B &gt; 3)))  * Parameters!$B$4 * (1 - Parameters!$A$4),0)"),4820.5455749999965)</f>
        <v>4820.545575</v>
      </c>
      <c r="Z1398" s="91">
        <f t="shared" si="24"/>
        <v>16308.24801</v>
      </c>
      <c r="AA1398" s="91">
        <f>IFERROR(__xludf.DUMMYFUNCTION("((IFERROR((SUM(FILTER('Fund Investment Data'!$V:$V, 'Fund Investment Data'!$C:$C = $C1398, 'Fund Investment Data'!$A:$A = $A1398 - 1, 'Fund Investment Data'!$B:$B &gt;= 4, 'Fund Investment Data'!$B:$B &lt;= ($B1398 + 5))) / 12) * ($B1398 - 3) * Parameters!$B$4,"&amp;" 0) + IF($B1398 &gt;= 9, IFERROR(SUM(FILTER('Fund Investment Data'!$V:$V, 'Fund Investment Data'!$C:$C = $C1398, 'Fund Investment Data'!$A:$A = $A1398, 'Fund Investment Data'!$B:$B &lt;= 3)) * Parameters!$B$4, 0),0)))"),0.0)</f>
        <v>0</v>
      </c>
      <c r="AB1398" s="32">
        <f>IFERROR(__xludf.DUMMYFUNCTION("IFERROR(((IFERROR(SUM(FILTER('Fund Investment Data'!$V:$V, 'Fund Investment Data'!$C:$C = $C1398, 'Fund Investment Data'!$A:$A = $A1398 - 2, 'Fund Investment Data'!$B:$B &gt;= 4)) * Parameters!$B$4,0) + IFERROR(SUM(FILTER('Fund Investment Data'!$V:$V, 'Fund "&amp;"Investment Data'!$C:$C = $C1398, 'Fund Investment Data'!$A:$A = $A1398 - 1, 'Fund Investment Data'!$B:$B &lt;= 3)) * Parameters!$B$4,0))),0)"),0.0)</f>
        <v>0</v>
      </c>
      <c r="AC1398" s="32">
        <f>IFERROR(__xludf.DUMMYFUNCTION("IFERROR(FILTER($AF:$AF,$C:$C = $C1398,$A:$A = $A1398 - 1,$B:$B = 12),0)"),0.0)</f>
        <v>0</v>
      </c>
      <c r="AD1398" s="32">
        <f t="shared" si="23"/>
        <v>16308.24801</v>
      </c>
      <c r="AE1398" s="32">
        <f t="shared" si="2"/>
        <v>16308.24801</v>
      </c>
      <c r="AF1398" s="32"/>
    </row>
    <row r="1399">
      <c r="A1399" s="86">
        <v>2019.0</v>
      </c>
      <c r="B1399" s="87">
        <v>5.0</v>
      </c>
      <c r="C1399" s="88" t="s">
        <v>53</v>
      </c>
      <c r="D1399" s="32"/>
      <c r="E1399" s="93">
        <v>-32700.0</v>
      </c>
      <c r="F1399" s="32"/>
      <c r="G1399" s="93">
        <v>-5104.53</v>
      </c>
      <c r="H1399" s="93">
        <v>24677.37</v>
      </c>
      <c r="I1399" s="32"/>
      <c r="J1399" s="93">
        <v>125291.07</v>
      </c>
      <c r="K1399" s="32"/>
      <c r="L1399" s="32"/>
      <c r="M1399" s="32"/>
      <c r="N1399" s="32"/>
      <c r="O1399" s="93">
        <v>2158698.79</v>
      </c>
      <c r="P1399" s="91">
        <f>IFERROR(__xludf.DUMMYFUNCTION("IFERROR(sum(FILTER($D:$N,$C:$C = $C1399,$A:$A &lt; $A1399,$B:$B = 12)),0) + sum($D1399:$N1399)"),2158698.79)</f>
        <v>2158698.79</v>
      </c>
      <c r="Q1399" s="92">
        <f t="shared" si="1"/>
        <v>0</v>
      </c>
      <c r="R1399" s="91">
        <f t="array" ref="R1399">IFERROR(INDEX('Fund YTD Target Values'!$1:$1000, MATCH($C1399,'Fund YTD Target Values'!$A:$A,0), MATCH($A1399,'Fund YTD Target Values'!$1:$1,0)),0)</f>
        <v>2265063.703</v>
      </c>
      <c r="S1399" s="91">
        <f>IFERROR(__xludf.DUMMYFUNCTION("IFERROR(sum(FILTER('Fund Investment Data'!$V:$V, 'Fund Investment Data'!$C:$C = $C1399, 'Fund Investment Data'!$A:$A &lt; $A1399)),0) + IFERROR(sum(FILTER('Fund Investment Data'!$V:$V, 'Fund Investment Data'!$C:$C = $C1399, 'Fund Investment Data'!$A:$A = $A1"&amp;"399, 'Fund Investment Data'!$B:$B &lt;= $B1399)),0)"),2005500.0)</f>
        <v>2005500</v>
      </c>
      <c r="T1399" s="93">
        <v>2005500.0</v>
      </c>
      <c r="U1399" s="32">
        <f t="shared" si="47"/>
        <v>0</v>
      </c>
      <c r="V1399" s="32">
        <f>IFERROR(__xludf.DUMMYFUNCTION("$D1399 - IFERROR(FILTER($D:$D,$C:$C = $C1399, $A:$A = $A1399, $B:$B = $B1399 - 1),0)"),0.0)</f>
        <v>0</v>
      </c>
      <c r="W1399" s="93">
        <f>IFERROR(__xludf.DUMMYFUNCTION("$E1399 - IFERROR(FILTER($E:$E,$C:$C = $C1399, $A:$A = $A1399, $B:$B = $B1399 - 1),0)"),-4500.0)</f>
        <v>-4500</v>
      </c>
      <c r="X1399" s="91">
        <f>IFERROR(__xludf.DUMMYFUNCTION("iFERROR((FILTER('Fund Investment Data'!$Z:$Z, 'Fund Investment Data'!$C:$C = $C1399, 'Fund Investment Data'!$A:$A = $A1399 - 1, 'Fund Investment Data'!$B:$B = 12) + FILTER('Fund Investment Data'!$AB:$AB, 'Fund Investment Data'!$C:$C = $C1399, 'Fund Invest"&amp;"ment Data'!$A:$A = $A1399 - 1, 'Fund Investment Data'!$B:$B = 12)) * (1 + AVERAGE(FILTER('Inflation Data'!$C:$C,'Inflation Data'!$A:$A = ($A1399 - 2)))) * Parameters!$A$4,0)"),69866.97627398264)</f>
        <v>69866.97627</v>
      </c>
      <c r="Y1399" s="91">
        <f>IFERROR(__xludf.DUMMYFUNCTION("IFERROR((IFERROR(FILTER('Fund Investment Data'!$P:$P,'Fund Investment Data'!$C:$C = $C1399,'Fund Investment Data'!$A:$A = ($A1399 - 2), 'Fund Investment Data'!$B:$B = 12),0) - SUM(FILTER('Fund Investment Data'!$V:$V, 'Fund Investment Data'!$C:$C = $C1399,"&amp;" 'Fund Investment Data'!$A:$A = ($A1399 - 2), 'Fund Investment Data'!$B:$B &gt; 3)))  * Parameters!$B$4 * (1 - Parameters!$A$4),0)"),30716.748180000002)</f>
        <v>30716.74818</v>
      </c>
      <c r="Z1399" s="91">
        <f t="shared" si="24"/>
        <v>100583.7245</v>
      </c>
      <c r="AA1399" s="91">
        <f>IFERROR(__xludf.DUMMYFUNCTION("((IFERROR((SUM(FILTER('Fund Investment Data'!$V:$V, 'Fund Investment Data'!$C:$C = $C1399, 'Fund Investment Data'!$A:$A = $A1399 - 1, 'Fund Investment Data'!$B:$B &gt;= 4, 'Fund Investment Data'!$B:$B &lt;= ($B1399 + 5))) / 12) * ($B1399 - 3) * Parameters!$B$4,"&amp;" 0) + IF($B1399 &gt;= 9, IFERROR(SUM(FILTER('Fund Investment Data'!$V:$V, 'Fund Investment Data'!$C:$C = $C1399, 'Fund Investment Data'!$A:$A = $A1399, 'Fund Investment Data'!$B:$B &lt;= 3)) * Parameters!$B$4, 0),0)))"),0.0)</f>
        <v>0</v>
      </c>
      <c r="AB1399" s="32">
        <f>IFERROR(__xludf.DUMMYFUNCTION("IFERROR(((IFERROR(SUM(FILTER('Fund Investment Data'!$V:$V, 'Fund Investment Data'!$C:$C = $C1399, 'Fund Investment Data'!$A:$A = $A1399 - 2, 'Fund Investment Data'!$B:$B &gt;= 4)) * Parameters!$B$4,0) + IFERROR(SUM(FILTER('Fund Investment Data'!$V:$V, 'Fund "&amp;"Investment Data'!$C:$C = $C1399, 'Fund Investment Data'!$A:$A = $A1399 - 1, 'Fund Investment Data'!$B:$B &lt;= 3)) * Parameters!$B$4,0))),0)"),0.0)</f>
        <v>0</v>
      </c>
      <c r="AC1399" s="32">
        <f>IFERROR(__xludf.DUMMYFUNCTION("IFERROR(FILTER($AF:$AF,$C:$C = $C1399,$A:$A = $A1399 - 1,$B:$B = 12),0)"),43500.0)</f>
        <v>43500</v>
      </c>
      <c r="AD1399" s="32">
        <f t="shared" si="23"/>
        <v>144083.7245</v>
      </c>
      <c r="AE1399" s="32">
        <f t="shared" si="2"/>
        <v>111383.7245</v>
      </c>
      <c r="AF1399" s="32"/>
    </row>
    <row r="1400">
      <c r="A1400" s="86">
        <v>2019.0</v>
      </c>
      <c r="B1400" s="87">
        <v>5.0</v>
      </c>
      <c r="C1400" s="88" t="s">
        <v>34</v>
      </c>
      <c r="D1400" s="32"/>
      <c r="E1400" s="32"/>
      <c r="F1400" s="32"/>
      <c r="G1400" s="93">
        <v>-329.61</v>
      </c>
      <c r="H1400" s="93">
        <v>1600.12</v>
      </c>
      <c r="I1400" s="32"/>
      <c r="J1400" s="93">
        <v>8222.48</v>
      </c>
      <c r="K1400" s="32"/>
      <c r="L1400" s="32"/>
      <c r="M1400" s="32"/>
      <c r="N1400" s="32"/>
      <c r="O1400" s="93">
        <v>140932.26</v>
      </c>
      <c r="P1400" s="91">
        <f>IFERROR(__xludf.DUMMYFUNCTION("IFERROR(sum(FILTER($D:$N,$C:$C = $C1400,$A:$A &lt; $A1400,$B:$B = 12)),0) + sum($D1400:$N1400)"),140932.25999999995)</f>
        <v>140932.26</v>
      </c>
      <c r="Q1400" s="92">
        <f t="shared" si="1"/>
        <v>0</v>
      </c>
      <c r="R1400" s="91">
        <f t="array" ref="R1400">IFERROR(INDEX('Fund YTD Target Values'!$1:$1000, MATCH($C1400,'Fund YTD Target Values'!$A:$A,0), MATCH($A1400,'Fund YTD Target Values'!$1:$1,0)),0)</f>
        <v>137779.5763</v>
      </c>
      <c r="S1400" s="91">
        <f>IFERROR(__xludf.DUMMYFUNCTION("IFERROR(sum(FILTER('Fund Investment Data'!$V:$V, 'Fund Investment Data'!$C:$C = $C1400, 'Fund Investment Data'!$A:$A &lt; $A1400)),0) + IFERROR(sum(FILTER('Fund Investment Data'!$V:$V, 'Fund Investment Data'!$C:$C = $C1400, 'Fund Investment Data'!$A:$A = $A1"&amp;"400, 'Fund Investment Data'!$B:$B &lt;= $B1400)),0)"),125000.0)</f>
        <v>125000</v>
      </c>
      <c r="T1400" s="32"/>
      <c r="U1400" s="32"/>
      <c r="V1400" s="32">
        <f>IFERROR(__xludf.DUMMYFUNCTION("$D1400 - IFERROR(FILTER($D:$D,$C:$C = $C1400, $A:$A = $A1400, $B:$B = $B1400 - 1),0)"),0.0)</f>
        <v>0</v>
      </c>
      <c r="W1400" s="93">
        <f>IFERROR(__xludf.DUMMYFUNCTION("$E1400 - IFERROR(FILTER($E:$E,$C:$C = $C1400, $A:$A = $A1400, $B:$B = $B1400 - 1),0)"),0.0)</f>
        <v>0</v>
      </c>
      <c r="X1400" s="91">
        <f>IFERROR(__xludf.DUMMYFUNCTION("iFERROR((FILTER('Fund Investment Data'!$Z:$Z, 'Fund Investment Data'!$C:$C = $C1400, 'Fund Investment Data'!$A:$A = $A1400 - 1, 'Fund Investment Data'!$B:$B = 12) + FILTER('Fund Investment Data'!$AB:$AB, 'Fund Investment Data'!$C:$C = $C1400, 'Fund Invest"&amp;"ment Data'!$A:$A = $A1400 - 1, 'Fund Investment Data'!$B:$B = 12)) * (1 + AVERAGE(FILTER('Inflation Data'!$C:$C,'Inflation Data'!$A:$A = ($A1400 - 2)))) * Parameters!$A$4,0)"),4414.569951711041)</f>
        <v>4414.569952</v>
      </c>
      <c r="Y1400" s="91">
        <f>IFERROR(__xludf.DUMMYFUNCTION("IFERROR((IFERROR(FILTER('Fund Investment Data'!$P:$P,'Fund Investment Data'!$C:$C = $C1400,'Fund Investment Data'!$A:$A = ($A1400 - 2), 'Fund Investment Data'!$B:$B = 12),0) - SUM(FILTER('Fund Investment Data'!$V:$V, 'Fund Investment Data'!$C:$C = $C1400,"&amp;" 'Fund Investment Data'!$A:$A = ($A1400 - 2), 'Fund Investment Data'!$B:$B &gt; 3)))  * Parameters!$B$4 * (1 - Parameters!$A$4),0)"),1947.8901600000004)</f>
        <v>1947.89016</v>
      </c>
      <c r="Z1400" s="91">
        <f t="shared" si="24"/>
        <v>6362.460112</v>
      </c>
      <c r="AA1400" s="91">
        <f>IFERROR(__xludf.DUMMYFUNCTION("((IFERROR((SUM(FILTER('Fund Investment Data'!$V:$V, 'Fund Investment Data'!$C:$C = $C1400, 'Fund Investment Data'!$A:$A = $A1400 - 1, 'Fund Investment Data'!$B:$B &gt;= 4, 'Fund Investment Data'!$B:$B &lt;= ($B1400 + 5))) / 12) * ($B1400 - 3) * Parameters!$B$4,"&amp;" 0) + IF($B1400 &gt;= 9, IFERROR(SUM(FILTER('Fund Investment Data'!$V:$V, 'Fund Investment Data'!$C:$C = $C1400, 'Fund Investment Data'!$A:$A = $A1400, 'Fund Investment Data'!$B:$B &lt;= 3)) * Parameters!$B$4, 0),0)))"),37.5)</f>
        <v>37.5</v>
      </c>
      <c r="AB1400" s="32">
        <f>IFERROR(__xludf.DUMMYFUNCTION("IFERROR(((IFERROR(SUM(FILTER('Fund Investment Data'!$V:$V, 'Fund Investment Data'!$C:$C = $C1400, 'Fund Investment Data'!$A:$A = $A1400 - 2, 'Fund Investment Data'!$B:$B &gt;= 4)) * Parameters!$B$4,0) + IFERROR(SUM(FILTER('Fund Investment Data'!$V:$V, 'Fund "&amp;"Investment Data'!$C:$C = $C1400, 'Fund Investment Data'!$A:$A = $A1400 - 1, 'Fund Investment Data'!$B:$B &lt;= 3)) * Parameters!$B$4,0))),0)"),0.0)</f>
        <v>0</v>
      </c>
      <c r="AC1400" s="32">
        <f>IFERROR(__xludf.DUMMYFUNCTION("IFERROR(FILTER($AF:$AF,$C:$C = $C1400,$A:$A = $A1400 - 1,$B:$B = 12),0)"),0.0)</f>
        <v>0</v>
      </c>
      <c r="AD1400" s="32">
        <f t="shared" si="23"/>
        <v>6399.960112</v>
      </c>
      <c r="AE1400" s="32">
        <f t="shared" si="2"/>
        <v>6399.960112</v>
      </c>
      <c r="AF1400" s="32"/>
    </row>
    <row r="1401">
      <c r="A1401" s="86">
        <v>2019.0</v>
      </c>
      <c r="B1401" s="87">
        <v>5.0</v>
      </c>
      <c r="C1401" s="88" t="s">
        <v>54</v>
      </c>
      <c r="D1401" s="93">
        <v>156.0</v>
      </c>
      <c r="E1401" s="93">
        <v>-2500.0</v>
      </c>
      <c r="F1401" s="32"/>
      <c r="G1401" s="93">
        <v>-388.74</v>
      </c>
      <c r="H1401" s="93">
        <v>1885.74</v>
      </c>
      <c r="I1401" s="32"/>
      <c r="J1401" s="93">
        <v>9661.03</v>
      </c>
      <c r="K1401" s="32"/>
      <c r="L1401" s="32"/>
      <c r="M1401" s="32"/>
      <c r="N1401" s="32"/>
      <c r="O1401" s="93">
        <v>163780.11</v>
      </c>
      <c r="P1401" s="91">
        <f>IFERROR(__xludf.DUMMYFUNCTION("IFERROR(sum(FILTER($D:$N,$C:$C = $C1401,$A:$A &lt; $A1401,$B:$B = 12)),0) + sum($D1401:$N1401)"),163781.07999999996)</f>
        <v>163781.08</v>
      </c>
      <c r="Q1401" s="92">
        <f t="shared" si="1"/>
        <v>-0.97</v>
      </c>
      <c r="R1401" s="91">
        <f t="array" ref="R1401">IFERROR(INDEX('Fund YTD Target Values'!$1:$1000, MATCH($C1401,'Fund YTD Target Values'!$A:$A,0), MATCH($A1401,'Fund YTD Target Values'!$1:$1,0)),0)</f>
        <v>158496.8702</v>
      </c>
      <c r="S1401" s="91">
        <f>IFERROR(__xludf.DUMMYFUNCTION("IFERROR(sum(FILTER('Fund Investment Data'!$V:$V, 'Fund Investment Data'!$C:$C = $C1401, 'Fund Investment Data'!$A:$A &lt; $A1401)),0) + IFERROR(sum(FILTER('Fund Investment Data'!$V:$V, 'Fund Investment Data'!$C:$C = $C1401, 'Fund Investment Data'!$A:$A = $A1"&amp;"401, 'Fund Investment Data'!$B:$B &lt;= $B1401)),0)"),112623.10999999999)</f>
        <v>112623.11</v>
      </c>
      <c r="T1401" s="32"/>
      <c r="U1401" s="32"/>
      <c r="V1401" s="32">
        <f>IFERROR(__xludf.DUMMYFUNCTION("$D1401 - IFERROR(FILTER($D:$D,$C:$C = $C1401, $A:$A = $A1401, $B:$B = $B1401 - 1),0)"),0.0)</f>
        <v>0</v>
      </c>
      <c r="W1401" s="93">
        <f>IFERROR(__xludf.DUMMYFUNCTION("$E1401 - IFERROR(FILTER($E:$E,$C:$C = $C1401, $A:$A = $A1401, $B:$B = $B1401 - 1),0)"),-2500.0)</f>
        <v>-2500</v>
      </c>
      <c r="X1401" s="91">
        <f>IFERROR(__xludf.DUMMYFUNCTION("iFERROR((FILTER('Fund Investment Data'!$Z:$Z, 'Fund Investment Data'!$C:$C = $C1401, 'Fund Investment Data'!$A:$A = $A1401 - 1, 'Fund Investment Data'!$B:$B = 12) + FILTER('Fund Investment Data'!$AB:$AB, 'Fund Investment Data'!$C:$C = $C1401, 'Fund Invest"&amp;"ment Data'!$A:$A = $A1401 - 1, 'Fund Investment Data'!$B:$B = 12)) * (1 + AVERAGE(FILTER('Inflation Data'!$C:$C,'Inflation Data'!$A:$A = ($A1401 - 2)))) * Parameters!$A$4,0)"),5306.102894924851)</f>
        <v>5306.102895</v>
      </c>
      <c r="Y1401" s="91">
        <f>IFERROR(__xludf.DUMMYFUNCTION("IFERROR((IFERROR(FILTER('Fund Investment Data'!$P:$P,'Fund Investment Data'!$C:$C = $C1401,'Fund Investment Data'!$A:$A = ($A1401 - 2), 'Fund Investment Data'!$B:$B = 12),0) - SUM(FILTER('Fund Investment Data'!$V:$V, 'Fund Investment Data'!$C:$C = $C1401,"&amp;" 'Fund Investment Data'!$A:$A = ($A1401 - 2), 'Fund Investment Data'!$B:$B &gt; 3)))  * Parameters!$B$4 * (1 - Parameters!$A$4),0)"),2330.059095)</f>
        <v>2330.059095</v>
      </c>
      <c r="Z1401" s="91">
        <f t="shared" si="24"/>
        <v>7636.16199</v>
      </c>
      <c r="AA1401" s="91">
        <f>IFERROR(__xludf.DUMMYFUNCTION("((IFERROR((SUM(FILTER('Fund Investment Data'!$V:$V, 'Fund Investment Data'!$C:$C = $C1401, 'Fund Investment Data'!$A:$A = $A1401 - 1, 'Fund Investment Data'!$B:$B &gt;= 4, 'Fund Investment Data'!$B:$B &lt;= ($B1401 + 5))) / 12) * ($B1401 - 3) * Parameters!$B$4,"&amp;" 0) + IF($B1401 &gt;= 9, IFERROR(SUM(FILTER('Fund Investment Data'!$V:$V, 'Fund Investment Data'!$C:$C = $C1401, 'Fund Investment Data'!$A:$A = $A1401, 'Fund Investment Data'!$B:$B &lt;= 3)) * Parameters!$B$4, 0),0)))"),0.26249999999999996)</f>
        <v>0.2625</v>
      </c>
      <c r="AB1401" s="32">
        <f>IFERROR(__xludf.DUMMYFUNCTION("IFERROR(((IFERROR(SUM(FILTER('Fund Investment Data'!$V:$V, 'Fund Investment Data'!$C:$C = $C1401, 'Fund Investment Data'!$A:$A = $A1401 - 2, 'Fund Investment Data'!$B:$B &gt;= 4)) * Parameters!$B$4,0) + IFERROR(SUM(FILTER('Fund Investment Data'!$V:$V, 'Fund "&amp;"Investment Data'!$C:$C = $C1401, 'Fund Investment Data'!$A:$A = $A1401 - 1, 'Fund Investment Data'!$B:$B &lt;= 3)) * Parameters!$B$4,0))),0)"),13.32)</f>
        <v>13.32</v>
      </c>
      <c r="AC1401" s="32">
        <f>IFERROR(__xludf.DUMMYFUNCTION("IFERROR(FILTER($AF:$AF,$C:$C = $C1401,$A:$A = $A1401 - 1,$B:$B = 12),0)"),0.0)</f>
        <v>0</v>
      </c>
      <c r="AD1401" s="32">
        <f t="shared" si="23"/>
        <v>7649.74449</v>
      </c>
      <c r="AE1401" s="32">
        <f t="shared" si="2"/>
        <v>5149.74449</v>
      </c>
      <c r="AF1401" s="32"/>
    </row>
    <row r="1402">
      <c r="A1402" s="86">
        <v>2019.0</v>
      </c>
      <c r="B1402" s="87">
        <v>5.0</v>
      </c>
      <c r="C1402" s="88" t="s">
        <v>55</v>
      </c>
      <c r="D1402" s="32"/>
      <c r="E1402" s="32"/>
      <c r="F1402" s="32"/>
      <c r="G1402" s="93">
        <v>-684.13</v>
      </c>
      <c r="H1402" s="93">
        <v>3164.8</v>
      </c>
      <c r="I1402" s="32"/>
      <c r="J1402" s="93">
        <v>12700.51</v>
      </c>
      <c r="K1402" s="32"/>
      <c r="L1402" s="32"/>
      <c r="M1402" s="32"/>
      <c r="N1402" s="32"/>
      <c r="O1402" s="93">
        <v>292712.12</v>
      </c>
      <c r="P1402" s="91">
        <f>IFERROR(__xludf.DUMMYFUNCTION("IFERROR(sum(FILTER($D:$N,$C:$C = $C1402,$A:$A &lt; $A1402,$B:$B = 12)),0) + sum($D1402:$N1402)"),292712.11999999994)</f>
        <v>292712.12</v>
      </c>
      <c r="Q1402" s="92">
        <f t="shared" si="1"/>
        <v>0</v>
      </c>
      <c r="R1402" s="91">
        <f t="array" ref="R1402">IFERROR(INDEX('Fund YTD Target Values'!$1:$1000, MATCH($C1402,'Fund YTD Target Values'!$A:$A,0), MATCH($A1402,'Fund YTD Target Values'!$1:$1,0)),0)</f>
        <v>364349.1694</v>
      </c>
      <c r="S1402" s="91">
        <f>IFERROR(__xludf.DUMMYFUNCTION("IFERROR(sum(FILTER('Fund Investment Data'!$V:$V, 'Fund Investment Data'!$C:$C = $C1402, 'Fund Investment Data'!$A:$A &lt; $A1402)),0) + IFERROR(sum(FILTER('Fund Investment Data'!$V:$V, 'Fund Investment Data'!$C:$C = $C1402, 'Fund Investment Data'!$A:$A = $A1"&amp;"402, 'Fund Investment Data'!$B:$B &lt;= $B1402)),0)"),280000.0)</f>
        <v>280000</v>
      </c>
      <c r="T1402" s="32"/>
      <c r="U1402" s="32"/>
      <c r="V1402" s="32">
        <f>IFERROR(__xludf.DUMMYFUNCTION("$D1402 - IFERROR(FILTER($D:$D,$C:$C = $C1402, $A:$A = $A1402, $B:$B = $B1402 - 1),0)"),0.0)</f>
        <v>0</v>
      </c>
      <c r="W1402" s="93">
        <f>IFERROR(__xludf.DUMMYFUNCTION("$E1402 - IFERROR(FILTER($E:$E,$C:$C = $C1402, $A:$A = $A1402, $B:$B = $B1402 - 1),0)"),0.0)</f>
        <v>0</v>
      </c>
      <c r="X1402" s="91">
        <f>IFERROR(__xludf.DUMMYFUNCTION("iFERROR((FILTER('Fund Investment Data'!$Z:$Z, 'Fund Investment Data'!$C:$C = $C1402, 'Fund Investment Data'!$A:$A = $A1402 - 1, 'Fund Investment Data'!$B:$B = 12) + FILTER('Fund Investment Data'!$AB:$AB, 'Fund Investment Data'!$C:$C = $C1402, 'Fund Invest"&amp;"ment Data'!$A:$A = $A1402 - 1, 'Fund Investment Data'!$B:$B = 12)) * (1 + AVERAGE(FILTER('Inflation Data'!$C:$C,'Inflation Data'!$A:$A = ($A1402 - 2)))) * Parameters!$A$4,0)"),6881.036839036868)</f>
        <v>6881.036839</v>
      </c>
      <c r="Y1402" s="91">
        <f>IFERROR(__xludf.DUMMYFUNCTION("IFERROR((IFERROR(FILTER('Fund Investment Data'!$P:$P,'Fund Investment Data'!$C:$C = $C1402,'Fund Investment Data'!$A:$A = ($A1402 - 2), 'Fund Investment Data'!$B:$B = 12),0) - SUM(FILTER('Fund Investment Data'!$V:$V, 'Fund Investment Data'!$C:$C = $C1402,"&amp;" 'Fund Investment Data'!$A:$A = ($A1402 - 2), 'Fund Investment Data'!$B:$B &gt; 3)))  * Parameters!$B$4 * (1 - Parameters!$A$4),0)"),2147.3742599999996)</f>
        <v>2147.37426</v>
      </c>
      <c r="Z1402" s="91">
        <f t="shared" si="24"/>
        <v>9028.411099</v>
      </c>
      <c r="AA1402" s="91">
        <f>IFERROR(__xludf.DUMMYFUNCTION("((IFERROR((SUM(FILTER('Fund Investment Data'!$V:$V, 'Fund Investment Data'!$C:$C = $C1402, 'Fund Investment Data'!$A:$A = $A1402 - 1, 'Fund Investment Data'!$B:$B &gt;= 4, 'Fund Investment Data'!$B:$B &lt;= ($B1402 + 5))) / 12) * ($B1402 - 3) * Parameters!$B$4,"&amp;" 0) + IF($B1402 &gt;= 9, IFERROR(SUM(FILTER('Fund Investment Data'!$V:$V, 'Fund Investment Data'!$C:$C = $C1402, 'Fund Investment Data'!$A:$A = $A1402, 'Fund Investment Data'!$B:$B &lt;= 3)) * Parameters!$B$4, 0),0)))"),0.0)</f>
        <v>0</v>
      </c>
      <c r="AB1402" s="32">
        <f>IFERROR(__xludf.DUMMYFUNCTION("IFERROR(((IFERROR(SUM(FILTER('Fund Investment Data'!$V:$V, 'Fund Investment Data'!$C:$C = $C1402, 'Fund Investment Data'!$A:$A = $A1402 - 2, 'Fund Investment Data'!$B:$B &gt;= 4)) * Parameters!$B$4,0) + IFERROR(SUM(FILTER('Fund Investment Data'!$V:$V, 'Fund "&amp;"Investment Data'!$C:$C = $C1402, 'Fund Investment Data'!$A:$A = $A1402 - 1, 'Fund Investment Data'!$B:$B &lt;= 3)) * Parameters!$B$4,0))),0)"),3150.0)</f>
        <v>3150</v>
      </c>
      <c r="AC1402" s="32">
        <f>IFERROR(__xludf.DUMMYFUNCTION("IFERROR(FILTER($AF:$AF,$C:$C = $C1402,$A:$A = $A1402 - 1,$B:$B = 12),0)"),5000.0)</f>
        <v>5000</v>
      </c>
      <c r="AD1402" s="32">
        <f t="shared" si="23"/>
        <v>17178.4111</v>
      </c>
      <c r="AE1402" s="32">
        <f t="shared" si="2"/>
        <v>17178.4111</v>
      </c>
      <c r="AF1402" s="32"/>
    </row>
    <row r="1403">
      <c r="A1403" s="86">
        <v>2019.0</v>
      </c>
      <c r="B1403" s="87">
        <v>5.0</v>
      </c>
      <c r="C1403" s="88" t="s">
        <v>44</v>
      </c>
      <c r="D1403" s="32"/>
      <c r="E1403" s="93">
        <v>-13000.0</v>
      </c>
      <c r="F1403" s="32"/>
      <c r="G1403" s="93">
        <v>-628.71</v>
      </c>
      <c r="H1403" s="93">
        <v>3047.41</v>
      </c>
      <c r="I1403" s="93">
        <v>3314.76</v>
      </c>
      <c r="J1403" s="93">
        <v>12742.37</v>
      </c>
      <c r="K1403" s="32"/>
      <c r="L1403" s="32"/>
      <c r="M1403" s="32"/>
      <c r="N1403" s="32"/>
      <c r="O1403" s="93">
        <v>256193.87</v>
      </c>
      <c r="P1403" s="91">
        <f>IFERROR(__xludf.DUMMYFUNCTION("IFERROR(sum(FILTER($D:$N,$C:$C = $C1403,$A:$A &lt; $A1403,$B:$B = 12)),0) + sum($D1403:$N1403)"),256194.76000000007)</f>
        <v>256194.76</v>
      </c>
      <c r="Q1403" s="92">
        <f t="shared" si="1"/>
        <v>-0.8900000001</v>
      </c>
      <c r="R1403" s="91">
        <f t="array" ref="R1403">IFERROR(INDEX('Fund YTD Target Values'!$1:$1000, MATCH($C1403,'Fund YTD Target Values'!$A:$A,0), MATCH($A1403,'Fund YTD Target Values'!$1:$1,0)),0)</f>
        <v>327413.1867</v>
      </c>
      <c r="S1403" s="91">
        <f>IFERROR(__xludf.DUMMYFUNCTION("IFERROR(sum(FILTER('Fund Investment Data'!$V:$V, 'Fund Investment Data'!$C:$C = $C1403, 'Fund Investment Data'!$A:$A &lt; $A1403)),0) + IFERROR(sum(FILTER('Fund Investment Data'!$V:$V, 'Fund Investment Data'!$C:$C = $C1403, 'Fund Investment Data'!$A:$A = $A1"&amp;"403, 'Fund Investment Data'!$B:$B &lt;= $B1403)),0)"),250000.0)</f>
        <v>250000</v>
      </c>
      <c r="T1403" s="93">
        <v>250000.0</v>
      </c>
      <c r="U1403" s="32">
        <f t="shared" ref="U1403:U1404" si="48">S1403-T1403</f>
        <v>0</v>
      </c>
      <c r="V1403" s="32">
        <f>IFERROR(__xludf.DUMMYFUNCTION("$D1403 - IFERROR(FILTER($D:$D,$C:$C = $C1403, $A:$A = $A1403, $B:$B = $B1403 - 1),0)"),0.0)</f>
        <v>0</v>
      </c>
      <c r="W1403" s="93">
        <f>IFERROR(__xludf.DUMMYFUNCTION("$E1403 - IFERROR(FILTER($E:$E,$C:$C = $C1403, $A:$A = $A1403, $B:$B = $B1403 - 1),0)"),-13000.0)</f>
        <v>-13000</v>
      </c>
      <c r="X1403" s="91">
        <f>IFERROR(__xludf.DUMMYFUNCTION("iFERROR((FILTER('Fund Investment Data'!$Z:$Z, 'Fund Investment Data'!$C:$C = $C1403, 'Fund Investment Data'!$A:$A = $A1403 - 1, 'Fund Investment Data'!$B:$B = 12) + FILTER('Fund Investment Data'!$AB:$AB, 'Fund Investment Data'!$C:$C = $C1403, 'Fund Invest"&amp;"ment Data'!$A:$A = $A1403 - 1, 'Fund Investment Data'!$B:$B = 12)) * (1 + AVERAGE(FILTER('Inflation Data'!$C:$C,'Inflation Data'!$A:$A = ($A1403 - 2)))) * Parameters!$A$4,0)"),9221.513356912916)</f>
        <v>9221.513357</v>
      </c>
      <c r="Y1403" s="91">
        <f>IFERROR(__xludf.DUMMYFUNCTION("IFERROR((IFERROR(FILTER('Fund Investment Data'!$P:$P,'Fund Investment Data'!$C:$C = $C1403,'Fund Investment Data'!$A:$A = ($A1403 - 2), 'Fund Investment Data'!$B:$B = 12),0) - SUM(FILTER('Fund Investment Data'!$V:$V, 'Fund Investment Data'!$C:$C = $C1403,"&amp;" 'Fund Investment Data'!$A:$A = ($A1403 - 2), 'Fund Investment Data'!$B:$B &gt; 3)))  * Parameters!$B$4 * (1 - Parameters!$A$4),0)"),3869.5923450000028)</f>
        <v>3869.592345</v>
      </c>
      <c r="Z1403" s="91">
        <f t="shared" si="24"/>
        <v>13091.1057</v>
      </c>
      <c r="AA1403" s="91">
        <f>IFERROR(__xludf.DUMMYFUNCTION("((IFERROR((SUM(FILTER('Fund Investment Data'!$V:$V, 'Fund Investment Data'!$C:$C = $C1403, 'Fund Investment Data'!$A:$A = $A1403 - 1, 'Fund Investment Data'!$B:$B &gt;= 4, 'Fund Investment Data'!$B:$B &lt;= ($B1403 + 5))) / 12) * ($B1403 - 3) * Parameters!$B$4,"&amp;" 0) + IF($B1403 &gt;= 9, IFERROR(SUM(FILTER('Fund Investment Data'!$V:$V, 'Fund Investment Data'!$C:$C = $C1403, 'Fund Investment Data'!$A:$A = $A1403, 'Fund Investment Data'!$B:$B &lt;= 3)) * Parameters!$B$4, 0),0)))"),0.0)</f>
        <v>0</v>
      </c>
      <c r="AB1403" s="32">
        <f>IFERROR(__xludf.DUMMYFUNCTION("IFERROR(((IFERROR(SUM(FILTER('Fund Investment Data'!$V:$V, 'Fund Investment Data'!$C:$C = $C1403, 'Fund Investment Data'!$A:$A = $A1403 - 2, 'Fund Investment Data'!$B:$B &gt;= 4)) * Parameters!$B$4,0) + IFERROR(SUM(FILTER('Fund Investment Data'!$V:$V, 'Fund "&amp;"Investment Data'!$C:$C = $C1403, 'Fund Investment Data'!$A:$A = $A1403 - 1, 'Fund Investment Data'!$B:$B &lt;= 3)) * Parameters!$B$4,0))),0)"),0.0)</f>
        <v>0</v>
      </c>
      <c r="AC1403" s="32">
        <f>IFERROR(__xludf.DUMMYFUNCTION("IFERROR(FILTER($AF:$AF,$C:$C = $C1403,$A:$A = $A1403 - 1,$B:$B = 12),0)"),0.0)</f>
        <v>0</v>
      </c>
      <c r="AD1403" s="32">
        <f t="shared" si="23"/>
        <v>13091.1057</v>
      </c>
      <c r="AE1403" s="32">
        <f t="shared" si="2"/>
        <v>91.10570191</v>
      </c>
      <c r="AF1403" s="32"/>
    </row>
    <row r="1404">
      <c r="A1404" s="86">
        <v>2019.0</v>
      </c>
      <c r="B1404" s="87">
        <v>5.0</v>
      </c>
      <c r="C1404" s="88" t="s">
        <v>45</v>
      </c>
      <c r="D1404" s="32"/>
      <c r="E1404" s="32"/>
      <c r="F1404" s="32"/>
      <c r="G1404" s="93">
        <v>-331.87</v>
      </c>
      <c r="H1404" s="93">
        <v>1610.99</v>
      </c>
      <c r="I1404" s="32"/>
      <c r="J1404" s="93">
        <v>8277.68</v>
      </c>
      <c r="K1404" s="32"/>
      <c r="L1404" s="32"/>
      <c r="M1404" s="32"/>
      <c r="N1404" s="32"/>
      <c r="O1404" s="93">
        <v>141892.71</v>
      </c>
      <c r="P1404" s="91">
        <f>IFERROR(__xludf.DUMMYFUNCTION("IFERROR(sum(FILTER($D:$N,$C:$C = $C1404,$A:$A &lt; $A1404,$B:$B = 12)),0) + sum($D1404:$N1404)"),141892.91999999995)</f>
        <v>141892.92</v>
      </c>
      <c r="Q1404" s="92">
        <f t="shared" si="1"/>
        <v>-0.21</v>
      </c>
      <c r="R1404" s="91">
        <f t="array" ref="R1404">IFERROR(INDEX('Fund YTD Target Values'!$1:$1000, MATCH($C1404,'Fund YTD Target Values'!$A:$A,0), MATCH($A1404,'Fund YTD Target Values'!$1:$1,0)),0)</f>
        <v>123438.8442</v>
      </c>
      <c r="S1404" s="91">
        <f>IFERROR(__xludf.DUMMYFUNCTION("IFERROR(sum(FILTER('Fund Investment Data'!$V:$V, 'Fund Investment Data'!$C:$C = $C1404, 'Fund Investment Data'!$A:$A &lt; $A1404)),0) + IFERROR(sum(FILTER('Fund Investment Data'!$V:$V, 'Fund Investment Data'!$C:$C = $C1404, 'Fund Investment Data'!$A:$A = $A1"&amp;"404, 'Fund Investment Data'!$B:$B &lt;= $B1404)),0)"),100000.0)</f>
        <v>100000</v>
      </c>
      <c r="T1404" s="93">
        <v>100000.0</v>
      </c>
      <c r="U1404" s="32">
        <f t="shared" si="48"/>
        <v>0</v>
      </c>
      <c r="V1404" s="32">
        <f>IFERROR(__xludf.DUMMYFUNCTION("$D1404 - IFERROR(FILTER($D:$D,$C:$C = $C1404, $A:$A = $A1404, $B:$B = $B1404 - 1),0)"),0.0)</f>
        <v>0</v>
      </c>
      <c r="W1404" s="93">
        <f>IFERROR(__xludf.DUMMYFUNCTION("$E1404 - IFERROR(FILTER($E:$E,$C:$C = $C1404, $A:$A = $A1404, $B:$B = $B1404 - 1),0)"),0.0)</f>
        <v>0</v>
      </c>
      <c r="X1404" s="91">
        <f>IFERROR(__xludf.DUMMYFUNCTION("iFERROR((FILTER('Fund Investment Data'!$Z:$Z, 'Fund Investment Data'!$C:$C = $C1404, 'Fund Investment Data'!$A:$A = $A1404 - 1, 'Fund Investment Data'!$B:$B = 12) + FILTER('Fund Investment Data'!$AB:$AB, 'Fund Investment Data'!$C:$C = $C1404, 'Fund Invest"&amp;"ment Data'!$A:$A = $A1404 - 1, 'Fund Investment Data'!$B:$B = 12)) * (1 + AVERAGE(FILTER('Inflation Data'!$C:$C,'Inflation Data'!$A:$A = ($A1404 - 2)))) * Parameters!$A$4,0)"),3807.5303509611413)</f>
        <v>3807.530351</v>
      </c>
      <c r="Y1404" s="91">
        <f>IFERROR(__xludf.DUMMYFUNCTION("IFERROR((IFERROR(FILTER('Fund Investment Data'!$P:$P,'Fund Investment Data'!$C:$C = $C1404,'Fund Investment Data'!$A:$A = ($A1404 - 2), 'Fund Investment Data'!$B:$B = 12),0) - SUM(FILTER('Fund Investment Data'!$V:$V, 'Fund Investment Data'!$C:$C = $C1404,"&amp;" 'Fund Investment Data'!$A:$A = ($A1404 - 2), 'Fund Investment Data'!$B:$B &gt; 3)))  * Parameters!$B$4 * (1 - Parameters!$A$4),0)"),2003.430915)</f>
        <v>2003.430915</v>
      </c>
      <c r="Z1404" s="91">
        <f t="shared" si="24"/>
        <v>5810.961266</v>
      </c>
      <c r="AA1404" s="91">
        <f>IFERROR(__xludf.DUMMYFUNCTION("((IFERROR((SUM(FILTER('Fund Investment Data'!$V:$V, 'Fund Investment Data'!$C:$C = $C1404, 'Fund Investment Data'!$A:$A = $A1404 - 1, 'Fund Investment Data'!$B:$B &gt;= 4, 'Fund Investment Data'!$B:$B &lt;= ($B1404 + 5))) / 12) * ($B1404 - 3) * Parameters!$B$4,"&amp;" 0) + IF($B1404 &gt;= 9, IFERROR(SUM(FILTER('Fund Investment Data'!$V:$V, 'Fund Investment Data'!$C:$C = $C1404, 'Fund Investment Data'!$A:$A = $A1404, 'Fund Investment Data'!$B:$B &lt;= 3)) * Parameters!$B$4, 0),0)))"),0.0)</f>
        <v>0</v>
      </c>
      <c r="AB1404" s="32">
        <f>IFERROR(__xludf.DUMMYFUNCTION("IFERROR(((IFERROR(SUM(FILTER('Fund Investment Data'!$V:$V, 'Fund Investment Data'!$C:$C = $C1404, 'Fund Investment Data'!$A:$A = $A1404 - 2, 'Fund Investment Data'!$B:$B &gt;= 4)) * Parameters!$B$4,0) + IFERROR(SUM(FILTER('Fund Investment Data'!$V:$V, 'Fund "&amp;"Investment Data'!$C:$C = $C1404, 'Fund Investment Data'!$A:$A = $A1404 - 1, 'Fund Investment Data'!$B:$B &lt;= 3)) * Parameters!$B$4,0))),0)"),0.0)</f>
        <v>0</v>
      </c>
      <c r="AC1404" s="32">
        <f>IFERROR(__xludf.DUMMYFUNCTION("IFERROR(FILTER($AF:$AF,$C:$C = $C1404,$A:$A = $A1404 - 1,$B:$B = 12),0)"),0.0)</f>
        <v>0</v>
      </c>
      <c r="AD1404" s="32">
        <f t="shared" si="23"/>
        <v>5810.961266</v>
      </c>
      <c r="AE1404" s="32">
        <f t="shared" si="2"/>
        <v>5810.961266</v>
      </c>
      <c r="AF1404" s="32"/>
    </row>
    <row r="1405">
      <c r="A1405" s="86">
        <v>2019.0</v>
      </c>
      <c r="B1405" s="87">
        <v>5.0</v>
      </c>
      <c r="C1405" s="88" t="s">
        <v>35</v>
      </c>
      <c r="D1405" s="32"/>
      <c r="E1405" s="93">
        <v>-15600.0</v>
      </c>
      <c r="F1405" s="32"/>
      <c r="G1405" s="93">
        <v>-3237.35</v>
      </c>
      <c r="H1405" s="93">
        <v>15732.7</v>
      </c>
      <c r="I1405" s="32"/>
      <c r="J1405" s="93">
        <v>80939.68</v>
      </c>
      <c r="K1405" s="32"/>
      <c r="L1405" s="32"/>
      <c r="M1405" s="32"/>
      <c r="N1405" s="32"/>
      <c r="O1405" s="93">
        <v>1371821.87</v>
      </c>
      <c r="P1405" s="91">
        <f>IFERROR(__xludf.DUMMYFUNCTION("IFERROR(sum(FILTER($D:$N,$C:$C = $C1405,$A:$A &lt; $A1405,$B:$B = 12)),0) + sum($D1405:$N1405)"),1371821.1000000006)</f>
        <v>1371821.1</v>
      </c>
      <c r="Q1405" s="92">
        <f t="shared" si="1"/>
        <v>0.7699999996</v>
      </c>
      <c r="R1405" s="91">
        <f t="array" ref="R1405">IFERROR(INDEX('Fund YTD Target Values'!$1:$1000, MATCH($C1405,'Fund YTD Target Values'!$A:$A,0), MATCH($A1405,'Fund YTD Target Values'!$1:$1,0)),0)</f>
        <v>1607860.761</v>
      </c>
      <c r="S1405" s="91">
        <f>IFERROR(__xludf.DUMMYFUNCTION("IFERROR(sum(FILTER('Fund Investment Data'!$V:$V, 'Fund Investment Data'!$C:$C = $C1405, 'Fund Investment Data'!$A:$A &lt; $A1405)),0) + IFERROR(sum(FILTER('Fund Investment Data'!$V:$V, 'Fund Investment Data'!$C:$C = $C1405, 'Fund Investment Data'!$A:$A = $A1"&amp;"405, 'Fund Investment Data'!$B:$B &lt;= $B1405)),0)"),1086625.0)</f>
        <v>1086625</v>
      </c>
      <c r="T1405" s="32"/>
      <c r="U1405" s="32"/>
      <c r="V1405" s="32">
        <f>IFERROR(__xludf.DUMMYFUNCTION("$D1405 - IFERROR(FILTER($D:$D,$C:$C = $C1405, $A:$A = $A1405, $B:$B = $B1405 - 1),0)"),0.0)</f>
        <v>0</v>
      </c>
      <c r="W1405" s="93">
        <f>IFERROR(__xludf.DUMMYFUNCTION("$E1405 - IFERROR(FILTER($E:$E,$C:$C = $C1405, $A:$A = $A1405, $B:$B = $B1405 - 1),0)"),-6000.0)</f>
        <v>-6000</v>
      </c>
      <c r="X1405" s="91">
        <f>IFERROR(__xludf.DUMMYFUNCTION("iFERROR((FILTER('Fund Investment Data'!$Z:$Z, 'Fund Investment Data'!$C:$C = $C1405, 'Fund Investment Data'!$A:$A = $A1405 - 1, 'Fund Investment Data'!$B:$B = 12) + FILTER('Fund Investment Data'!$AB:$AB, 'Fund Investment Data'!$C:$C = $C1405, 'Fund Invest"&amp;"ment Data'!$A:$A = $A1405 - 1, 'Fund Investment Data'!$B:$B = 12)) * (1 + AVERAGE(FILTER('Inflation Data'!$C:$C,'Inflation Data'!$A:$A = ($A1405 - 2)))) * Parameters!$A$4,0)"),47167.912647909514)</f>
        <v>47167.91265</v>
      </c>
      <c r="Y1405" s="91">
        <f>IFERROR(__xludf.DUMMYFUNCTION("IFERROR((IFERROR(FILTER('Fund Investment Data'!$P:$P,'Fund Investment Data'!$C:$C = $C1405,'Fund Investment Data'!$A:$A = ($A1405 - 2), 'Fund Investment Data'!$B:$B = 12),0) - SUM(FILTER('Fund Investment Data'!$V:$V, 'Fund Investment Data'!$C:$C = $C1405,"&amp;" 'Fund Investment Data'!$A:$A = ($A1405 - 2), 'Fund Investment Data'!$B:$B &gt; 3)))  * Parameters!$B$4 * (1 - Parameters!$A$4),0)"),19792.911060000006)</f>
        <v>19792.91106</v>
      </c>
      <c r="Z1405" s="91">
        <f t="shared" si="24"/>
        <v>66960.82371</v>
      </c>
      <c r="AA1405" s="91">
        <f>IFERROR(__xludf.DUMMYFUNCTION("((IFERROR((SUM(FILTER('Fund Investment Data'!$V:$V, 'Fund Investment Data'!$C:$C = $C1405, 'Fund Investment Data'!$A:$A = $A1405 - 1, 'Fund Investment Data'!$B:$B &gt;= 4, 'Fund Investment Data'!$B:$B &lt;= ($B1405 + 5))) / 12) * ($B1405 - 3) * Parameters!$B$4,"&amp;" 0) + IF($B1405 &gt;= 9, IFERROR(SUM(FILTER('Fund Investment Data'!$V:$V, 'Fund Investment Data'!$C:$C = $C1405, 'Fund Investment Data'!$A:$A = $A1405, 'Fund Investment Data'!$B:$B &lt;= 3)) * Parameters!$B$4, 0),0)))"),0.0)</f>
        <v>0</v>
      </c>
      <c r="AB1405" s="32">
        <f>IFERROR(__xludf.DUMMYFUNCTION("IFERROR(((IFERROR(SUM(FILTER('Fund Investment Data'!$V:$V, 'Fund Investment Data'!$C:$C = $C1405, 'Fund Investment Data'!$A:$A = $A1405 - 2, 'Fund Investment Data'!$B:$B &gt;= 4)) * Parameters!$B$4,0) + IFERROR(SUM(FILTER('Fund Investment Data'!$V:$V, 'Fund "&amp;"Investment Data'!$C:$C = $C1405, 'Fund Investment Data'!$A:$A = $A1405 - 1, 'Fund Investment Data'!$B:$B &lt;= 3)) * Parameters!$B$4,0))),0)"),0.0)</f>
        <v>0</v>
      </c>
      <c r="AC1405" s="32">
        <f>IFERROR(__xludf.DUMMYFUNCTION("IFERROR(FILTER($AF:$AF,$C:$C = $C1405,$A:$A = $A1405 - 1,$B:$B = 12),0)"),0.0)</f>
        <v>0</v>
      </c>
      <c r="AD1405" s="32">
        <f t="shared" si="23"/>
        <v>66960.82371</v>
      </c>
      <c r="AE1405" s="32">
        <f t="shared" si="2"/>
        <v>51360.82371</v>
      </c>
      <c r="AF1405" s="32"/>
    </row>
    <row r="1406">
      <c r="A1406" s="86">
        <v>2019.0</v>
      </c>
      <c r="B1406" s="87">
        <v>5.0</v>
      </c>
      <c r="C1406" s="88" t="s">
        <v>56</v>
      </c>
      <c r="D1406" s="32"/>
      <c r="E1406" s="32"/>
      <c r="F1406" s="32"/>
      <c r="G1406" s="93">
        <v>-2506.19</v>
      </c>
      <c r="H1406" s="93">
        <v>12166.31</v>
      </c>
      <c r="I1406" s="32"/>
      <c r="J1406" s="93">
        <v>62513.88</v>
      </c>
      <c r="K1406" s="32"/>
      <c r="L1406" s="32"/>
      <c r="M1406" s="32"/>
      <c r="N1406" s="32"/>
      <c r="O1406" s="93">
        <v>1071586.71</v>
      </c>
      <c r="P1406" s="91">
        <f>IFERROR(__xludf.DUMMYFUNCTION("IFERROR(sum(FILTER($D:$N,$C:$C = $C1406,$A:$A &lt; $A1406,$B:$B = 12)),0) + sum($D1406:$N1406)"),1071586.71)</f>
        <v>1071586.71</v>
      </c>
      <c r="Q1406" s="92">
        <f t="shared" si="1"/>
        <v>0</v>
      </c>
      <c r="R1406" s="91">
        <f t="array" ref="R1406">IFERROR(INDEX('Fund YTD Target Values'!$1:$1000, MATCH($C1406,'Fund YTD Target Values'!$A:$A,0), MATCH($A1406,'Fund YTD Target Values'!$1:$1,0)),0)</f>
        <v>1079944.217</v>
      </c>
      <c r="S1406" s="91">
        <f>IFERROR(__xludf.DUMMYFUNCTION("IFERROR(sum(FILTER('Fund Investment Data'!$V:$V, 'Fund Investment Data'!$C:$C = $C1406, 'Fund Investment Data'!$A:$A &lt; $A1406)),0) + IFERROR(sum(FILTER('Fund Investment Data'!$V:$V, 'Fund Investment Data'!$C:$C = $C1406, 'Fund Investment Data'!$A:$A = $A1"&amp;"406, 'Fund Investment Data'!$B:$B &lt;= $B1406)),0)"),1000000.0)</f>
        <v>1000000</v>
      </c>
      <c r="T1406" s="93">
        <v>1000000.0</v>
      </c>
      <c r="U1406" s="32">
        <f t="shared" ref="U1406:U1408" si="49">S1406-T1406</f>
        <v>0</v>
      </c>
      <c r="V1406" s="32">
        <f>IFERROR(__xludf.DUMMYFUNCTION("$D1406 - IFERROR(FILTER($D:$D,$C:$C = $C1406, $A:$A = $A1406, $B:$B = $B1406 - 1),0)"),0.0)</f>
        <v>0</v>
      </c>
      <c r="W1406" s="93">
        <f>IFERROR(__xludf.DUMMYFUNCTION("$E1406 - IFERROR(FILTER($E:$E,$C:$C = $C1406, $A:$A = $A1406, $B:$B = $B1406 - 1),0)"),0.0)</f>
        <v>0</v>
      </c>
      <c r="X1406" s="91">
        <f>IFERROR(__xludf.DUMMYFUNCTION("iFERROR((FILTER('Fund Investment Data'!$Z:$Z, 'Fund Investment Data'!$C:$C = $C1406, 'Fund Investment Data'!$A:$A = $A1406 - 1, 'Fund Investment Data'!$B:$B = 12) + FILTER('Fund Investment Data'!$AB:$AB, 'Fund Investment Data'!$C:$C = $C1406, 'Fund Invest"&amp;"ment Data'!$A:$A = $A1406 - 1, 'Fund Investment Data'!$B:$B = 12)) * (1 + AVERAGE(FILTER('Inflation Data'!$C:$C,'Inflation Data'!$A:$A = ($A1406 - 2)))) * Parameters!$A$4,0)"),33311.397321480836)</f>
        <v>33311.39732</v>
      </c>
      <c r="Y1406" s="91">
        <f>IFERROR(__xludf.DUMMYFUNCTION("IFERROR((IFERROR(FILTER('Fund Investment Data'!$P:$P,'Fund Investment Data'!$C:$C = $C1406,'Fund Investment Data'!$A:$A = ($A1406 - 2), 'Fund Investment Data'!$B:$B = 12),0) - SUM(FILTER('Fund Investment Data'!$V:$V, 'Fund Investment Data'!$C:$C = $C1406,"&amp;" 'Fund Investment Data'!$A:$A = ($A1406 - 2), 'Fund Investment Data'!$B:$B &gt; 3)))  * Parameters!$B$4 * (1 - Parameters!$A$4),0)"),15295.200705)</f>
        <v>15295.20071</v>
      </c>
      <c r="Z1406" s="91">
        <f t="shared" si="24"/>
        <v>48606.59803</v>
      </c>
      <c r="AA1406" s="91">
        <f>IFERROR(__xludf.DUMMYFUNCTION("((IFERROR((SUM(FILTER('Fund Investment Data'!$V:$V, 'Fund Investment Data'!$C:$C = $C1406, 'Fund Investment Data'!$A:$A = $A1406 - 1, 'Fund Investment Data'!$B:$B &gt;= 4, 'Fund Investment Data'!$B:$B &lt;= ($B1406 + 5))) / 12) * ($B1406 - 3) * Parameters!$B$4,"&amp;" 0) + IF($B1406 &gt;= 9, IFERROR(SUM(FILTER('Fund Investment Data'!$V:$V, 'Fund Investment Data'!$C:$C = $C1406, 'Fund Investment Data'!$A:$A = $A1406, 'Fund Investment Data'!$B:$B &lt;= 3)) * Parameters!$B$4, 0),0)))"),0.0)</f>
        <v>0</v>
      </c>
      <c r="AB1406" s="32">
        <f>IFERROR(__xludf.DUMMYFUNCTION("IFERROR(((IFERROR(SUM(FILTER('Fund Investment Data'!$V:$V, 'Fund Investment Data'!$C:$C = $C1406, 'Fund Investment Data'!$A:$A = $A1406 - 2, 'Fund Investment Data'!$B:$B &gt;= 4)) * Parameters!$B$4,0) + IFERROR(SUM(FILTER('Fund Investment Data'!$V:$V, 'Fund "&amp;"Investment Data'!$C:$C = $C1406, 'Fund Investment Data'!$A:$A = $A1406 - 1, 'Fund Investment Data'!$B:$B &lt;= 3)) * Parameters!$B$4,0))),0)"),0.0)</f>
        <v>0</v>
      </c>
      <c r="AC1406" s="32">
        <f>IFERROR(__xludf.DUMMYFUNCTION("IFERROR(FILTER($AF:$AF,$C:$C = $C1406,$A:$A = $A1406 - 1,$B:$B = 12),0)"),0.0)</f>
        <v>0</v>
      </c>
      <c r="AD1406" s="32">
        <f t="shared" si="23"/>
        <v>48606.59803</v>
      </c>
      <c r="AE1406" s="32">
        <f t="shared" si="2"/>
        <v>48606.59803</v>
      </c>
      <c r="AF1406" s="32"/>
    </row>
    <row r="1407">
      <c r="A1407" s="86">
        <v>2019.0</v>
      </c>
      <c r="B1407" s="87">
        <v>5.0</v>
      </c>
      <c r="C1407" s="88" t="s">
        <v>57</v>
      </c>
      <c r="D1407" s="32"/>
      <c r="E1407" s="93">
        <v>-12100.0</v>
      </c>
      <c r="F1407" s="32"/>
      <c r="G1407" s="93">
        <v>-4705.29</v>
      </c>
      <c r="H1407" s="93">
        <v>22707.11</v>
      </c>
      <c r="I1407" s="32"/>
      <c r="J1407" s="93">
        <v>115169.41</v>
      </c>
      <c r="K1407" s="32"/>
      <c r="L1407" s="32"/>
      <c r="M1407" s="32"/>
      <c r="N1407" s="32"/>
      <c r="O1407" s="93">
        <v>2001585.7</v>
      </c>
      <c r="P1407" s="91">
        <f>IFERROR(__xludf.DUMMYFUNCTION("IFERROR(sum(FILTER($D:$N,$C:$C = $C1407,$A:$A &lt; $A1407,$B:$B = 12)),0) + sum($D1407:$N1407)"),2001585.7)</f>
        <v>2001585.7</v>
      </c>
      <c r="Q1407" s="92">
        <f t="shared" si="1"/>
        <v>0</v>
      </c>
      <c r="R1407" s="91">
        <f t="array" ref="R1407">IFERROR(INDEX('Fund YTD Target Values'!$1:$1000, MATCH($C1407,'Fund YTD Target Values'!$A:$A,0), MATCH($A1407,'Fund YTD Target Values'!$1:$1,0)),0)</f>
        <v>2085975.586</v>
      </c>
      <c r="S1407" s="91">
        <f>IFERROR(__xludf.DUMMYFUNCTION("IFERROR(sum(FILTER('Fund Investment Data'!$V:$V, 'Fund Investment Data'!$C:$C = $C1407, 'Fund Investment Data'!$A:$A &lt; $A1407)),0) + IFERROR(sum(FILTER('Fund Investment Data'!$V:$V, 'Fund Investment Data'!$C:$C = $C1407, 'Fund Investment Data'!$A:$A = $A1"&amp;"407, 'Fund Investment Data'!$B:$B &lt;= $B1407)),0)"),2000000.0)</f>
        <v>2000000</v>
      </c>
      <c r="T1407" s="93">
        <v>2000000.0</v>
      </c>
      <c r="U1407" s="32">
        <f t="shared" si="49"/>
        <v>0</v>
      </c>
      <c r="V1407" s="32">
        <f>IFERROR(__xludf.DUMMYFUNCTION("$D1407 - IFERROR(FILTER($D:$D,$C:$C = $C1407, $A:$A = $A1407, $B:$B = $B1407 - 1),0)"),0.0)</f>
        <v>0</v>
      </c>
      <c r="W1407" s="93">
        <f>IFERROR(__xludf.DUMMYFUNCTION("$E1407 - IFERROR(FILTER($E:$E,$C:$C = $C1407, $A:$A = $A1407, $B:$B = $B1407 - 1),0)"),-6000.0)</f>
        <v>-6000</v>
      </c>
      <c r="X1407" s="91">
        <f>IFERROR(__xludf.DUMMYFUNCTION("iFERROR((FILTER('Fund Investment Data'!$Z:$Z, 'Fund Investment Data'!$C:$C = $C1407, 'Fund Investment Data'!$A:$A = $A1407 - 1, 'Fund Investment Data'!$B:$B = 12) + FILTER('Fund Investment Data'!$AB:$AB, 'Fund Investment Data'!$C:$C = $C1407, 'Fund Invest"&amp;"ment Data'!$A:$A = $A1407 - 1, 'Fund Investment Data'!$B:$B = 12)) * (1 + AVERAGE(FILTER('Inflation Data'!$C:$C,'Inflation Data'!$A:$A = ($A1407 - 2)))) * Parameters!$A$4,0)"),0.0)</f>
        <v>0</v>
      </c>
      <c r="Y1407" s="91">
        <f>IFERROR(__xludf.DUMMYFUNCTION("IFERROR((IFERROR(FILTER('Fund Investment Data'!$P:$P,'Fund Investment Data'!$C:$C = $C1407,'Fund Investment Data'!$A:$A = ($A1407 - 2), 'Fund Investment Data'!$B:$B = 12),0) - SUM(FILTER('Fund Investment Data'!$V:$V, 'Fund Investment Data'!$C:$C = $C1407,"&amp;" 'Fund Investment Data'!$A:$A = ($A1407 - 2), 'Fund Investment Data'!$B:$B &gt; 3)))  * Parameters!$B$4 * (1 - Parameters!$A$4),0)"),474.91420500000106)</f>
        <v>474.914205</v>
      </c>
      <c r="Z1407" s="91">
        <f t="shared" si="24"/>
        <v>474.914205</v>
      </c>
      <c r="AA1407" s="91">
        <f>IFERROR(__xludf.DUMMYFUNCTION("((IFERROR((SUM(FILTER('Fund Investment Data'!$V:$V, 'Fund Investment Data'!$C:$C = $C1407, 'Fund Investment Data'!$A:$A = $A1407 - 1, 'Fund Investment Data'!$B:$B &gt;= 4, 'Fund Investment Data'!$B:$B &lt;= ($B1407 + 5))) / 12) * ($B1407 - 3) * Parameters!$B$4,"&amp;" 0) + IF($B1407 &gt;= 9, IFERROR(SUM(FILTER('Fund Investment Data'!$V:$V, 'Fund Investment Data'!$C:$C = $C1407, 'Fund Investment Data'!$A:$A = $A1407, 'Fund Investment Data'!$B:$B &lt;= 3)) * Parameters!$B$4, 0),0)))"),0.0)</f>
        <v>0</v>
      </c>
      <c r="AB1407" s="32">
        <f>IFERROR(__xludf.DUMMYFUNCTION("IFERROR(((IFERROR(SUM(FILTER('Fund Investment Data'!$V:$V, 'Fund Investment Data'!$C:$C = $C1407, 'Fund Investment Data'!$A:$A = $A1407 - 2, 'Fund Investment Data'!$B:$B &gt;= 4)) * Parameters!$B$4,0) + IFERROR(SUM(FILTER('Fund Investment Data'!$V:$V, 'Fund "&amp;"Investment Data'!$C:$C = $C1407, 'Fund Investment Data'!$A:$A = $A1407 - 1, 'Fund Investment Data'!$B:$B &lt;= 3)) * Parameters!$B$4,0))),0)"),90000.0)</f>
        <v>90000</v>
      </c>
      <c r="AC1407" s="32">
        <f>IFERROR(__xludf.DUMMYFUNCTION("IFERROR(FILTER($AF:$AF,$C:$C = $C1407,$A:$A = $A1407 - 1,$B:$B = 12),0)"),45000.0)</f>
        <v>45000</v>
      </c>
      <c r="AD1407" s="32">
        <f t="shared" si="23"/>
        <v>135474.9142</v>
      </c>
      <c r="AE1407" s="32">
        <f t="shared" si="2"/>
        <v>123374.9142</v>
      </c>
      <c r="AF1407" s="32"/>
    </row>
    <row r="1408">
      <c r="A1408" s="86">
        <v>2019.0</v>
      </c>
      <c r="B1408" s="87">
        <v>5.0</v>
      </c>
      <c r="C1408" s="88" t="s">
        <v>58</v>
      </c>
      <c r="D1408" s="32"/>
      <c r="E1408" s="93">
        <v>-18100.0</v>
      </c>
      <c r="F1408" s="32"/>
      <c r="G1408" s="93">
        <v>-4649.64</v>
      </c>
      <c r="H1408" s="93">
        <v>22525.09</v>
      </c>
      <c r="I1408" s="32"/>
      <c r="J1408" s="93">
        <v>115169.41</v>
      </c>
      <c r="K1408" s="32"/>
      <c r="L1408" s="32"/>
      <c r="M1408" s="32"/>
      <c r="N1408" s="32"/>
      <c r="O1408" s="93">
        <v>1975459.31</v>
      </c>
      <c r="P1408" s="91">
        <f>IFERROR(__xludf.DUMMYFUNCTION("IFERROR(sum(FILTER($D:$N,$C:$C = $C1408,$A:$A &lt; $A1408,$B:$B = 12)),0) + sum($D1408:$N1408)"),1975459.31)</f>
        <v>1975459.31</v>
      </c>
      <c r="Q1408" s="92">
        <f t="shared" si="1"/>
        <v>0</v>
      </c>
      <c r="R1408" s="91">
        <f t="array" ref="R1408">IFERROR(INDEX('Fund YTD Target Values'!$1:$1000, MATCH($C1408,'Fund YTD Target Values'!$A:$A,0), MATCH($A1408,'Fund YTD Target Values'!$1:$1,0)),0)</f>
        <v>2085975.586</v>
      </c>
      <c r="S1408" s="91">
        <f>IFERROR(__xludf.DUMMYFUNCTION("IFERROR(sum(FILTER('Fund Investment Data'!$V:$V, 'Fund Investment Data'!$C:$C = $C1408, 'Fund Investment Data'!$A:$A &lt; $A1408)),0) + IFERROR(sum(FILTER('Fund Investment Data'!$V:$V, 'Fund Investment Data'!$C:$C = $C1408, 'Fund Investment Data'!$A:$A = $A1"&amp;"408, 'Fund Investment Data'!$B:$B &lt;= $B1408)),0)"),2000000.0)</f>
        <v>2000000</v>
      </c>
      <c r="T1408" s="93">
        <v>2000000.0</v>
      </c>
      <c r="U1408" s="32">
        <f t="shared" si="49"/>
        <v>0</v>
      </c>
      <c r="V1408" s="32">
        <f>IFERROR(__xludf.DUMMYFUNCTION("$D1408 - IFERROR(FILTER($D:$D,$C:$C = $C1408, $A:$A = $A1408, $B:$B = $B1408 - 1),0)"),0.0)</f>
        <v>0</v>
      </c>
      <c r="W1408" s="93">
        <f>IFERROR(__xludf.DUMMYFUNCTION("$E1408 - IFERROR(FILTER($E:$E,$C:$C = $C1408, $A:$A = $A1408, $B:$B = $B1408 - 1),0)"),-2000.0)</f>
        <v>-2000</v>
      </c>
      <c r="X1408" s="91">
        <f>IFERROR(__xludf.DUMMYFUNCTION("iFERROR((FILTER('Fund Investment Data'!$Z:$Z, 'Fund Investment Data'!$C:$C = $C1408, 'Fund Investment Data'!$A:$A = $A1408 - 1, 'Fund Investment Data'!$B:$B = 12) + FILTER('Fund Investment Data'!$AB:$AB, 'Fund Investment Data'!$C:$C = $C1408, 'Fund Invest"&amp;"ment Data'!$A:$A = $A1408 - 1, 'Fund Investment Data'!$B:$B = 12)) * (1 + AVERAGE(FILTER('Inflation Data'!$C:$C,'Inflation Data'!$A:$A = ($A1408 - 2)))) * Parameters!$A$4,0)"),0.0)</f>
        <v>0</v>
      </c>
      <c r="Y1408" s="91">
        <f>IFERROR(__xludf.DUMMYFUNCTION("IFERROR((IFERROR(FILTER('Fund Investment Data'!$P:$P,'Fund Investment Data'!$C:$C = $C1408,'Fund Investment Data'!$A:$A = ($A1408 - 2), 'Fund Investment Data'!$B:$B = 12),0) - SUM(FILTER('Fund Investment Data'!$V:$V, 'Fund Investment Data'!$C:$C = $C1408,"&amp;" 'Fund Investment Data'!$A:$A = ($A1408 - 2), 'Fund Investment Data'!$B:$B &gt; 3)))  * Parameters!$B$4 * (1 - Parameters!$A$4),0)"),474.91420500000106)</f>
        <v>474.914205</v>
      </c>
      <c r="Z1408" s="91">
        <f t="shared" si="24"/>
        <v>474.914205</v>
      </c>
      <c r="AA1408" s="91">
        <f>IFERROR(__xludf.DUMMYFUNCTION("((IFERROR((SUM(FILTER('Fund Investment Data'!$V:$V, 'Fund Investment Data'!$C:$C = $C1408, 'Fund Investment Data'!$A:$A = $A1408 - 1, 'Fund Investment Data'!$B:$B &gt;= 4, 'Fund Investment Data'!$B:$B &lt;= ($B1408 + 5))) / 12) * ($B1408 - 3) * Parameters!$B$4,"&amp;" 0) + IF($B1408 &gt;= 9, IFERROR(SUM(FILTER('Fund Investment Data'!$V:$V, 'Fund Investment Data'!$C:$C = $C1408, 'Fund Investment Data'!$A:$A = $A1408, 'Fund Investment Data'!$B:$B &lt;= 3)) * Parameters!$B$4, 0),0)))"),0.0)</f>
        <v>0</v>
      </c>
      <c r="AB1408" s="32">
        <f>IFERROR(__xludf.DUMMYFUNCTION("IFERROR(((IFERROR(SUM(FILTER('Fund Investment Data'!$V:$V, 'Fund Investment Data'!$C:$C = $C1408, 'Fund Investment Data'!$A:$A = $A1408 - 2, 'Fund Investment Data'!$B:$B &gt;= 4)) * Parameters!$B$4,0) + IFERROR(SUM(FILTER('Fund Investment Data'!$V:$V, 'Fund "&amp;"Investment Data'!$C:$C = $C1408, 'Fund Investment Data'!$A:$A = $A1408 - 1, 'Fund Investment Data'!$B:$B &lt;= 3)) * Parameters!$B$4,0))),0)"),90000.0)</f>
        <v>90000</v>
      </c>
      <c r="AC1408" s="32">
        <f>IFERROR(__xludf.DUMMYFUNCTION("IFERROR(FILTER($AF:$AF,$C:$C = $C1408,$A:$A = $A1408 - 1,$B:$B = 12),0)"),25000.0)</f>
        <v>25000</v>
      </c>
      <c r="AD1408" s="32">
        <f t="shared" si="23"/>
        <v>115474.9142</v>
      </c>
      <c r="AE1408" s="32">
        <f t="shared" si="2"/>
        <v>97374.91421</v>
      </c>
      <c r="AF1408" s="32"/>
    </row>
    <row r="1409">
      <c r="A1409" s="86">
        <v>2019.0</v>
      </c>
      <c r="B1409" s="87">
        <v>6.0</v>
      </c>
      <c r="C1409" s="88" t="s">
        <v>26</v>
      </c>
      <c r="D1409" s="93">
        <v>7128.0</v>
      </c>
      <c r="E1409" s="93">
        <v>-16000.0</v>
      </c>
      <c r="F1409" s="32"/>
      <c r="G1409" s="93">
        <v>-944.21</v>
      </c>
      <c r="H1409" s="93">
        <v>4165.29</v>
      </c>
      <c r="I1409" s="32"/>
      <c r="J1409" s="93">
        <v>32362.79</v>
      </c>
      <c r="K1409" s="32"/>
      <c r="L1409" s="93">
        <v>-85.34</v>
      </c>
      <c r="M1409" s="32"/>
      <c r="N1409" s="32"/>
      <c r="O1409" s="93">
        <v>335455.4</v>
      </c>
      <c r="P1409" s="91">
        <f>IFERROR(__xludf.DUMMYFUNCTION("IFERROR(sum(FILTER($D:$N,$C:$C = $C1409,$A:$A &lt; $A1409,$B:$B = 12)),0) + sum($D1409:$N1409)"),335453.93)</f>
        <v>335453.93</v>
      </c>
      <c r="Q1409" s="92">
        <f t="shared" si="1"/>
        <v>1.47</v>
      </c>
      <c r="R1409" s="91">
        <f t="array" ref="R1409">IFERROR(INDEX('Fund YTD Target Values'!$1:$1000, MATCH($C1409,'Fund YTD Target Values'!$A:$A,0), MATCH($A1409,'Fund YTD Target Values'!$1:$1,0)),0)</f>
        <v>392089.6861</v>
      </c>
      <c r="S1409" s="91">
        <f>IFERROR(__xludf.DUMMYFUNCTION("IFERROR(sum(FILTER('Fund Investment Data'!$V:$V, 'Fund Investment Data'!$C:$C = $C1409, 'Fund Investment Data'!$A:$A &lt; $A1409)),0) + IFERROR(sum(FILTER('Fund Investment Data'!$V:$V, 'Fund Investment Data'!$C:$C = $C1409, 'Fund Investment Data'!$A:$A = $A1"&amp;"409, 'Fund Investment Data'!$B:$B &lt;= $B1409)),0)"),317377.0)</f>
        <v>317377</v>
      </c>
      <c r="T1409" s="32"/>
      <c r="U1409" s="32"/>
      <c r="V1409" s="32">
        <f>IFERROR(__xludf.DUMMYFUNCTION("$D1409 - IFERROR(FILTER($D:$D,$C:$C = $C1409, $A:$A = $A1409, $B:$B = $B1409 - 1),0)"),0.0)</f>
        <v>0</v>
      </c>
      <c r="W1409" s="93">
        <f>IFERROR(__xludf.DUMMYFUNCTION("$E1409 - IFERROR(FILTER($E:$E,$C:$C = $C1409, $A:$A = $A1409, $B:$B = $B1409 - 1),0)"),-16000.0)</f>
        <v>-16000</v>
      </c>
      <c r="X1409" s="91">
        <f>IFERROR(__xludf.DUMMYFUNCTION("iFERROR((FILTER('Fund Investment Data'!$Z:$Z, 'Fund Investment Data'!$C:$C = $C1409, 'Fund Investment Data'!$A:$A = $A1409 - 1, 'Fund Investment Data'!$B:$B = 12) + FILTER('Fund Investment Data'!$AB:$AB, 'Fund Investment Data'!$C:$C = $C1409, 'Fund Invest"&amp;"ment Data'!$A:$A = $A1409 - 1, 'Fund Investment Data'!$B:$B = 12)) * (1 + AVERAGE(FILTER('Inflation Data'!$C:$C,'Inflation Data'!$A:$A = ($A1409 - 2)))) * Parameters!$A$4,0)"),11342.657736026731)</f>
        <v>11342.65774</v>
      </c>
      <c r="Y1409" s="91">
        <f>IFERROR(__xludf.DUMMYFUNCTION("IFERROR((IFERROR(FILTER('Fund Investment Data'!$P:$P,'Fund Investment Data'!$C:$C = $C1409,'Fund Investment Data'!$A:$A = ($A1409 - 2), 'Fund Investment Data'!$B:$B = 12),0) - SUM(FILTER('Fund Investment Data'!$V:$V, 'Fund Investment Data'!$C:$C = $C1409,"&amp;" 'Fund Investment Data'!$A:$A = ($A1409 - 2), 'Fund Investment Data'!$B:$B &gt; 3)))  * Parameters!$B$4 * (1 - Parameters!$A$4),0)"),4477.69296)</f>
        <v>4477.69296</v>
      </c>
      <c r="Z1409" s="91">
        <f t="shared" si="24"/>
        <v>15820.3507</v>
      </c>
      <c r="AA1409" s="91">
        <f>IFERROR(__xludf.DUMMYFUNCTION("((IFERROR((SUM(FILTER('Fund Investment Data'!$V:$V, 'Fund Investment Data'!$C:$C = $C1409, 'Fund Investment Data'!$A:$A = $A1409 - 1, 'Fund Investment Data'!$B:$B &gt;= 4, 'Fund Investment Data'!$B:$B &lt;= ($B1409 + 5))) / 12) * ($B1409 - 3) * Parameters!$B$4,"&amp;" 0) + IF($B1409 &gt;= 9, IFERROR(SUM(FILTER('Fund Investment Data'!$V:$V, 'Fund Investment Data'!$C:$C = $C1409, 'Fund Investment Data'!$A:$A = $A1409, 'Fund Investment Data'!$B:$B &lt;= 3)) * Parameters!$B$4, 0),0)))"),0.0)</f>
        <v>0</v>
      </c>
      <c r="AB1409" s="32">
        <f>IFERROR(__xludf.DUMMYFUNCTION("IFERROR(((IFERROR(SUM(FILTER('Fund Investment Data'!$V:$V, 'Fund Investment Data'!$C:$C = $C1409, 'Fund Investment Data'!$A:$A = $A1409 - 2, 'Fund Investment Data'!$B:$B &gt;= 4)) * Parameters!$B$4,0) + IFERROR(SUM(FILTER('Fund Investment Data'!$V:$V, 'Fund "&amp;"Investment Data'!$C:$C = $C1409, 'Fund Investment Data'!$A:$A = $A1409 - 1, 'Fund Investment Data'!$B:$B &lt;= 3)) * Parameters!$B$4,0))),0)"),829.755)</f>
        <v>829.755</v>
      </c>
      <c r="AC1409" s="32">
        <f>IFERROR(__xludf.DUMMYFUNCTION("IFERROR(FILTER($AF:$AF,$C:$C = $C1409,$A:$A = $A1409 - 1,$B:$B = 12),0)"),0.0)</f>
        <v>0</v>
      </c>
      <c r="AD1409" s="32">
        <f t="shared" si="23"/>
        <v>16650.1057</v>
      </c>
      <c r="AE1409" s="32">
        <f t="shared" si="2"/>
        <v>650.105696</v>
      </c>
      <c r="AF1409" s="32"/>
    </row>
    <row r="1410">
      <c r="A1410" s="86">
        <v>2019.0</v>
      </c>
      <c r="B1410" s="87">
        <v>6.0</v>
      </c>
      <c r="C1410" s="88" t="s">
        <v>27</v>
      </c>
      <c r="D1410" s="32"/>
      <c r="E1410" s="93">
        <v>-14000.0</v>
      </c>
      <c r="F1410" s="32"/>
      <c r="G1410" s="93">
        <v>-816.43</v>
      </c>
      <c r="H1410" s="93">
        <v>3614.17</v>
      </c>
      <c r="I1410" s="93">
        <v>3403.93</v>
      </c>
      <c r="J1410" s="93">
        <v>24803.76</v>
      </c>
      <c r="K1410" s="32"/>
      <c r="L1410" s="32"/>
      <c r="M1410" s="32"/>
      <c r="N1410" s="32"/>
      <c r="O1410" s="93">
        <v>287888.9</v>
      </c>
      <c r="P1410" s="91">
        <f>IFERROR(__xludf.DUMMYFUNCTION("IFERROR(sum(FILTER($D:$N,$C:$C = $C1410,$A:$A &lt; $A1410,$B:$B = 12)),0) + sum($D1410:$N1410)"),287889.24000000005)</f>
        <v>287889.24</v>
      </c>
      <c r="Q1410" s="92">
        <f t="shared" si="1"/>
        <v>-0.34</v>
      </c>
      <c r="R1410" s="91">
        <f t="array" ref="R1410">IFERROR(INDEX('Fund YTD Target Values'!$1:$1000, MATCH($C1410,'Fund YTD Target Values'!$A:$A,0), MATCH($A1410,'Fund YTD Target Values'!$1:$1,0)),0)</f>
        <v>400423.4941</v>
      </c>
      <c r="S1410" s="91">
        <f>IFERROR(__xludf.DUMMYFUNCTION("IFERROR(sum(FILTER('Fund Investment Data'!$V:$V, 'Fund Investment Data'!$C:$C = $C1410, 'Fund Investment Data'!$A:$A &lt; $A1410)),0) + IFERROR(sum(FILTER('Fund Investment Data'!$V:$V, 'Fund Investment Data'!$C:$C = $C1410, 'Fund Investment Data'!$A:$A = $A1"&amp;"410, 'Fund Investment Data'!$B:$B &lt;= $B1410)),0)"),276213.69999999995)</f>
        <v>276213.7</v>
      </c>
      <c r="T1410" s="32"/>
      <c r="U1410" s="32"/>
      <c r="V1410" s="32">
        <f>IFERROR(__xludf.DUMMYFUNCTION("$D1410 - IFERROR(FILTER($D:$D,$C:$C = $C1410, $A:$A = $A1410, $B:$B = $B1410 - 1),0)"),0.0)</f>
        <v>0</v>
      </c>
      <c r="W1410" s="93">
        <f>IFERROR(__xludf.DUMMYFUNCTION("$E1410 - IFERROR(FILTER($E:$E,$C:$C = $C1410, $A:$A = $A1410, $B:$B = $B1410 - 1),0)"),-14000.0)</f>
        <v>-14000</v>
      </c>
      <c r="X1410" s="91">
        <f>IFERROR(__xludf.DUMMYFUNCTION("iFERROR((FILTER('Fund Investment Data'!$Z:$Z, 'Fund Investment Data'!$C:$C = $C1410, 'Fund Investment Data'!$A:$A = $A1410 - 1, 'Fund Investment Data'!$B:$B = 12) + FILTER('Fund Investment Data'!$AB:$AB, 'Fund Investment Data'!$C:$C = $C1410, 'Fund Invest"&amp;"ment Data'!$A:$A = $A1410 - 1, 'Fund Investment Data'!$B:$B = 12)) * (1 + AVERAGE(FILTER('Inflation Data'!$C:$C,'Inflation Data'!$A:$A = ($A1410 - 2)))) * Parameters!$A$4,0)"),9924.42530607715)</f>
        <v>9924.425306</v>
      </c>
      <c r="Y1410" s="91">
        <f>IFERROR(__xludf.DUMMYFUNCTION("IFERROR((IFERROR(FILTER('Fund Investment Data'!$P:$P,'Fund Investment Data'!$C:$C = $C1410,'Fund Investment Data'!$A:$A = ($A1410 - 2), 'Fund Investment Data'!$B:$B = 12),0) - SUM(FILTER('Fund Investment Data'!$V:$V, 'Fund Investment Data'!$C:$C = $C1410,"&amp;" 'Fund Investment Data'!$A:$A = ($A1410 - 2), 'Fund Investment Data'!$B:$B &gt; 3)))  * Parameters!$B$4 * (1 - Parameters!$A$4),0)"),4164.5529000000015)</f>
        <v>4164.5529</v>
      </c>
      <c r="Z1410" s="91">
        <f t="shared" si="24"/>
        <v>14088.97821</v>
      </c>
      <c r="AA1410" s="91">
        <f>IFERROR(__xludf.DUMMYFUNCTION("((IFERROR((SUM(FILTER('Fund Investment Data'!$V:$V, 'Fund Investment Data'!$C:$C = $C1410, 'Fund Investment Data'!$A:$A = $A1410 - 1, 'Fund Investment Data'!$B:$B &gt;= 4, 'Fund Investment Data'!$B:$B &lt;= ($B1410 + 5))) / 12) * ($B1410 - 3) * Parameters!$B$4,"&amp;" 0) + IF($B1410 &gt;= 9, IFERROR(SUM(FILTER('Fund Investment Data'!$V:$V, 'Fund Investment Data'!$C:$C = $C1410, 'Fund Investment Data'!$A:$A = $A1410, 'Fund Investment Data'!$B:$B &lt;= 3)) * Parameters!$B$4, 0),0)))"),0.0)</f>
        <v>0</v>
      </c>
      <c r="AB1410" s="32">
        <f>IFERROR(__xludf.DUMMYFUNCTION("IFERROR(((IFERROR(SUM(FILTER('Fund Investment Data'!$V:$V, 'Fund Investment Data'!$C:$C = $C1410, 'Fund Investment Data'!$A:$A = $A1410 - 2, 'Fund Investment Data'!$B:$B &gt;= 4)) * Parameters!$B$4,0) + IFERROR(SUM(FILTER('Fund Investment Data'!$V:$V, 'Fund "&amp;"Investment Data'!$C:$C = $C1410, 'Fund Investment Data'!$A:$A = $A1410 - 1, 'Fund Investment Data'!$B:$B &lt;= 3)) * Parameters!$B$4,0))),0)"),0.0)</f>
        <v>0</v>
      </c>
      <c r="AC1410" s="32">
        <f>IFERROR(__xludf.DUMMYFUNCTION("IFERROR(FILTER($AF:$AF,$C:$C = $C1410,$A:$A = $A1410 - 1,$B:$B = 12),0)"),0.0)</f>
        <v>0</v>
      </c>
      <c r="AD1410" s="32">
        <f t="shared" si="23"/>
        <v>14088.97821</v>
      </c>
      <c r="AE1410" s="32">
        <f t="shared" si="2"/>
        <v>88.97820608</v>
      </c>
      <c r="AF1410" s="32"/>
    </row>
    <row r="1411">
      <c r="A1411" s="86">
        <v>2019.0</v>
      </c>
      <c r="B1411" s="87">
        <v>6.0</v>
      </c>
      <c r="C1411" s="88" t="s">
        <v>28</v>
      </c>
      <c r="D1411" s="32"/>
      <c r="E1411" s="93">
        <v>-122500.0</v>
      </c>
      <c r="F1411" s="32"/>
      <c r="G1411" s="93">
        <v>-8673.84</v>
      </c>
      <c r="H1411" s="93">
        <v>38484.72</v>
      </c>
      <c r="I1411" s="93">
        <v>27665.93</v>
      </c>
      <c r="J1411" s="93">
        <v>275360.62</v>
      </c>
      <c r="K1411" s="32"/>
      <c r="L1411" s="32"/>
      <c r="M1411" s="32"/>
      <c r="N1411" s="32"/>
      <c r="O1411" s="93">
        <v>3112577.8</v>
      </c>
      <c r="P1411" s="91">
        <f>IFERROR(__xludf.DUMMYFUNCTION("IFERROR(sum(FILTER($D:$N,$C:$C = $C1411,$A:$A &lt; $A1411,$B:$B = 12)),0) + sum($D1411:$N1411)"),3112576.87)</f>
        <v>3112576.87</v>
      </c>
      <c r="Q1411" s="92">
        <f t="shared" si="1"/>
        <v>0.9299999997</v>
      </c>
      <c r="R1411" s="91">
        <f t="array" ref="R1411">IFERROR(INDEX('Fund YTD Target Values'!$1:$1000, MATCH($C1411,'Fund YTD Target Values'!$A:$A,0), MATCH($A1411,'Fund YTD Target Values'!$1:$1,0)),0)</f>
        <v>3910070.897</v>
      </c>
      <c r="S1411" s="91">
        <f>IFERROR(__xludf.DUMMYFUNCTION("IFERROR(sum(FILTER('Fund Investment Data'!$V:$V, 'Fund Investment Data'!$C:$C = $C1411, 'Fund Investment Data'!$A:$A &lt; $A1411)),0) + IFERROR(sum(FILTER('Fund Investment Data'!$V:$V, 'Fund Investment Data'!$C:$C = $C1411, 'Fund Investment Data'!$A:$A = $A1"&amp;"411, 'Fund Investment Data'!$B:$B &lt;= $B1411)),0)"),2960091.25)</f>
        <v>2960091.25</v>
      </c>
      <c r="T1411" s="32"/>
      <c r="U1411" s="32"/>
      <c r="V1411" s="32">
        <f>IFERROR(__xludf.DUMMYFUNCTION("$D1411 - IFERROR(FILTER($D:$D,$C:$C = $C1411, $A:$A = $A1411, $B:$B = $B1411 - 1),0)"),0.0)</f>
        <v>0</v>
      </c>
      <c r="W1411" s="93">
        <f>IFERROR(__xludf.DUMMYFUNCTION("$E1411 - IFERROR(FILTER($E:$E,$C:$C = $C1411, $A:$A = $A1411, $B:$B = $B1411 - 1),0)"),-43000.0)</f>
        <v>-43000</v>
      </c>
      <c r="X1411" s="91">
        <f>IFERROR(__xludf.DUMMYFUNCTION("iFERROR((FILTER('Fund Investment Data'!$Z:$Z, 'Fund Investment Data'!$C:$C = $C1411, 'Fund Investment Data'!$A:$A = $A1411 - 1, 'Fund Investment Data'!$B:$B = 12) + FILTER('Fund Investment Data'!$AB:$AB, 'Fund Investment Data'!$C:$C = $C1411, 'Fund Invest"&amp;"ment Data'!$A:$A = $A1411 - 1, 'Fund Investment Data'!$B:$B = 12)) * (1 + AVERAGE(FILTER('Inflation Data'!$C:$C,'Inflation Data'!$A:$A = ($A1411 - 2)))) * Parameters!$A$4,0)"),106462.6298445185)</f>
        <v>106462.6298</v>
      </c>
      <c r="Y1411" s="91">
        <f>IFERROR(__xludf.DUMMYFUNCTION("IFERROR((IFERROR(FILTER('Fund Investment Data'!$P:$P,'Fund Investment Data'!$C:$C = $C1411,'Fund Investment Data'!$A:$A = ($A1411 - 2), 'Fund Investment Data'!$B:$B = 12),0) - SUM(FILTER('Fund Investment Data'!$V:$V, 'Fund Investment Data'!$C:$C = $C1411,"&amp;" 'Fund Investment Data'!$A:$A = ($A1411 - 2), 'Fund Investment Data'!$B:$B &gt; 3)))  * Parameters!$B$4 * (1 - Parameters!$A$4),0)"),44674.55194500001)</f>
        <v>44674.55195</v>
      </c>
      <c r="Z1411" s="91">
        <f t="shared" si="24"/>
        <v>151137.1818</v>
      </c>
      <c r="AA1411" s="91">
        <f>IFERROR(__xludf.DUMMYFUNCTION("((IFERROR((SUM(FILTER('Fund Investment Data'!$V:$V, 'Fund Investment Data'!$C:$C = $C1411, 'Fund Investment Data'!$A:$A = $A1411 - 1, 'Fund Investment Data'!$B:$B &gt;= 4, 'Fund Investment Data'!$B:$B &lt;= ($B1411 + 5))) / 12) * ($B1411 - 3) * Parameters!$B$4,"&amp;" 0) + IF($B1411 &gt;= 9, IFERROR(SUM(FILTER('Fund Investment Data'!$V:$V, 'Fund Investment Data'!$C:$C = $C1411, 'Fund Investment Data'!$A:$A = $A1411, 'Fund Investment Data'!$B:$B &lt;= 3)) * Parameters!$B$4, 0),0)))"),0.0)</f>
        <v>0</v>
      </c>
      <c r="AB1411" s="32">
        <f>IFERROR(__xludf.DUMMYFUNCTION("IFERROR(((IFERROR(SUM(FILTER('Fund Investment Data'!$V:$V, 'Fund Investment Data'!$C:$C = $C1411, 'Fund Investment Data'!$A:$A = $A1411 - 2, 'Fund Investment Data'!$B:$B &gt;= 4)) * Parameters!$B$4,0) + IFERROR(SUM(FILTER('Fund Investment Data'!$V:$V, 'Fund "&amp;"Investment Data'!$C:$C = $C1411, 'Fund Investment Data'!$A:$A = $A1411 - 1, 'Fund Investment Data'!$B:$B &lt;= 3)) * Parameters!$B$4,0))),0)"),0.0)</f>
        <v>0</v>
      </c>
      <c r="AC1411" s="32">
        <f>IFERROR(__xludf.DUMMYFUNCTION("IFERROR(FILTER($AF:$AF,$C:$C = $C1411,$A:$A = $A1411 - 1,$B:$B = 12),0)"),0.0)</f>
        <v>0</v>
      </c>
      <c r="AD1411" s="32">
        <f t="shared" si="23"/>
        <v>151137.1818</v>
      </c>
      <c r="AE1411" s="32">
        <f t="shared" si="2"/>
        <v>28637.18179</v>
      </c>
      <c r="AF1411" s="32"/>
    </row>
    <row r="1412">
      <c r="A1412" s="86">
        <v>2019.0</v>
      </c>
      <c r="B1412" s="87">
        <v>6.0</v>
      </c>
      <c r="C1412" s="88" t="s">
        <v>46</v>
      </c>
      <c r="D1412" s="32"/>
      <c r="E1412" s="93">
        <v>-15000.0</v>
      </c>
      <c r="F1412" s="32"/>
      <c r="G1412" s="93">
        <v>-995.11</v>
      </c>
      <c r="H1412" s="93">
        <v>4429.59</v>
      </c>
      <c r="I1412" s="93">
        <v>4007.36</v>
      </c>
      <c r="J1412" s="93">
        <v>30881.9</v>
      </c>
      <c r="K1412" s="32"/>
      <c r="L1412" s="32"/>
      <c r="M1412" s="32"/>
      <c r="N1412" s="32"/>
      <c r="O1412" s="93">
        <v>358114.7</v>
      </c>
      <c r="P1412" s="91">
        <f>IFERROR(__xludf.DUMMYFUNCTION("IFERROR(sum(FILTER($D:$N,$C:$C = $C1412,$A:$A &lt; $A1412,$B:$B = 12)),0) + sum($D1412:$N1412)"),358115.12)</f>
        <v>358115.12</v>
      </c>
      <c r="Q1412" s="92">
        <f t="shared" si="1"/>
        <v>-0.42</v>
      </c>
      <c r="R1412" s="91">
        <f t="array" ref="R1412">IFERROR(INDEX('Fund YTD Target Values'!$1:$1000, MATCH($C1412,'Fund YTD Target Values'!$A:$A,0), MATCH($A1412,'Fund YTD Target Values'!$1:$1,0)),0)</f>
        <v>464818.8536</v>
      </c>
      <c r="S1412" s="91">
        <f>IFERROR(__xludf.DUMMYFUNCTION("IFERROR(sum(FILTER('Fund Investment Data'!$V:$V, 'Fund Investment Data'!$C:$C = $C1412, 'Fund Investment Data'!$A:$A &lt; $A1412)),0) + IFERROR(sum(FILTER('Fund Investment Data'!$V:$V, 'Fund Investment Data'!$C:$C = $C1412, 'Fund Investment Data'!$A:$A = $A1"&amp;"412, 'Fund Investment Data'!$B:$B &lt;= $B1412)),0)"),366400.0)</f>
        <v>366400</v>
      </c>
      <c r="T1412" s="93">
        <v>366400.0</v>
      </c>
      <c r="U1412" s="32">
        <f>S1412-T1412</f>
        <v>0</v>
      </c>
      <c r="V1412" s="32">
        <f>IFERROR(__xludf.DUMMYFUNCTION("$D1412 - IFERROR(FILTER($D:$D,$C:$C = $C1412, $A:$A = $A1412, $B:$B = $B1412 - 1),0)"),0.0)</f>
        <v>0</v>
      </c>
      <c r="W1412" s="93">
        <f>IFERROR(__xludf.DUMMYFUNCTION("$E1412 - IFERROR(FILTER($E:$E,$C:$C = $C1412, $A:$A = $A1412, $B:$B = $B1412 - 1),0)"),0.0)</f>
        <v>0</v>
      </c>
      <c r="X1412" s="91">
        <f>IFERROR(__xludf.DUMMYFUNCTION("iFERROR((FILTER('Fund Investment Data'!$Z:$Z, 'Fund Investment Data'!$C:$C = $C1412, 'Fund Investment Data'!$A:$A = $A1412 - 1, 'Fund Investment Data'!$B:$B = 12) + FILTER('Fund Investment Data'!$AB:$AB, 'Fund Investment Data'!$C:$C = $C1412, 'Fund Invest"&amp;"ment Data'!$A:$A = $A1412 - 1, 'Fund Investment Data'!$B:$B = 12)) * (1 + AVERAGE(FILTER('Inflation Data'!$C:$C,'Inflation Data'!$A:$A = ($A1412 - 2)))) * Parameters!$A$4,0)"),12659.715432364716)</f>
        <v>12659.71543</v>
      </c>
      <c r="Y1412" s="91">
        <f>IFERROR(__xludf.DUMMYFUNCTION("IFERROR((IFERROR(FILTER('Fund Investment Data'!$P:$P,'Fund Investment Data'!$C:$C = $C1412,'Fund Investment Data'!$A:$A = ($A1412 - 2), 'Fund Investment Data'!$B:$B = 12),0) - SUM(FILTER('Fund Investment Data'!$V:$V, 'Fund Investment Data'!$C:$C = $C1412,"&amp;" 'Fund Investment Data'!$A:$A = ($A1412 - 2), 'Fund Investment Data'!$B:$B &gt; 3)))  * Parameters!$B$4 * (1 - Parameters!$A$4),0)"),5312.3534100000015)</f>
        <v>5312.35341</v>
      </c>
      <c r="Z1412" s="91">
        <f t="shared" si="24"/>
        <v>17972.06884</v>
      </c>
      <c r="AA1412" s="91">
        <f>IFERROR(__xludf.DUMMYFUNCTION("((IFERROR((SUM(FILTER('Fund Investment Data'!$V:$V, 'Fund Investment Data'!$C:$C = $C1412, 'Fund Investment Data'!$A:$A = $A1412 - 1, 'Fund Investment Data'!$B:$B &gt;= 4, 'Fund Investment Data'!$B:$B &lt;= ($B1412 + 5))) / 12) * ($B1412 - 3) * Parameters!$B$4,"&amp;" 0) + IF($B1412 &gt;= 9, IFERROR(SUM(FILTER('Fund Investment Data'!$V:$V, 'Fund Investment Data'!$C:$C = $C1412, 'Fund Investment Data'!$A:$A = $A1412, 'Fund Investment Data'!$B:$B &lt;= 3)) * Parameters!$B$4, 0),0)))"),0.0)</f>
        <v>0</v>
      </c>
      <c r="AB1412" s="32">
        <f>IFERROR(__xludf.DUMMYFUNCTION("IFERROR(((IFERROR(SUM(FILTER('Fund Investment Data'!$V:$V, 'Fund Investment Data'!$C:$C = $C1412, 'Fund Investment Data'!$A:$A = $A1412 - 2, 'Fund Investment Data'!$B:$B &gt;= 4)) * Parameters!$B$4,0) + IFERROR(SUM(FILTER('Fund Investment Data'!$V:$V, 'Fund "&amp;"Investment Data'!$C:$C = $C1412, 'Fund Investment Data'!$A:$A = $A1412 - 1, 'Fund Investment Data'!$B:$B &lt;= 3)) * Parameters!$B$4,0))),0)"),0.0)</f>
        <v>0</v>
      </c>
      <c r="AC1412" s="32">
        <f>IFERROR(__xludf.DUMMYFUNCTION("IFERROR(FILTER($AF:$AF,$C:$C = $C1412,$A:$A = $A1412 - 1,$B:$B = 12),0)"),0.0)</f>
        <v>0</v>
      </c>
      <c r="AD1412" s="32">
        <f t="shared" si="23"/>
        <v>17972.06884</v>
      </c>
      <c r="AE1412" s="32">
        <f t="shared" si="2"/>
        <v>2972.068842</v>
      </c>
      <c r="AF1412" s="32"/>
    </row>
    <row r="1413">
      <c r="A1413" s="86">
        <v>2019.0</v>
      </c>
      <c r="B1413" s="87">
        <v>6.0</v>
      </c>
      <c r="C1413" s="88" t="s">
        <v>36</v>
      </c>
      <c r="D1413" s="32"/>
      <c r="E1413" s="93">
        <v>-20000.0</v>
      </c>
      <c r="F1413" s="32"/>
      <c r="G1413" s="93">
        <v>-1173.23</v>
      </c>
      <c r="H1413" s="93">
        <v>5211.45</v>
      </c>
      <c r="I1413" s="93">
        <v>4822.06</v>
      </c>
      <c r="J1413" s="93">
        <v>36175.16</v>
      </c>
      <c r="K1413" s="32"/>
      <c r="L1413" s="32"/>
      <c r="M1413" s="32"/>
      <c r="N1413" s="32"/>
      <c r="O1413" s="93">
        <v>418966.63</v>
      </c>
      <c r="P1413" s="91">
        <f>IFERROR(__xludf.DUMMYFUNCTION("IFERROR(sum(FILTER($D:$N,$C:$C = $C1413,$A:$A &lt; $A1413,$B:$B = 12)),0) + sum($D1413:$N1413)"),418966.18)</f>
        <v>418966.18</v>
      </c>
      <c r="Q1413" s="92">
        <f t="shared" si="1"/>
        <v>0.45</v>
      </c>
      <c r="R1413" s="91">
        <f t="array" ref="R1413">IFERROR(INDEX('Fund YTD Target Values'!$1:$1000, MATCH($C1413,'Fund YTD Target Values'!$A:$A,0), MATCH($A1413,'Fund YTD Target Values'!$1:$1,0)),0)</f>
        <v>647000.627</v>
      </c>
      <c r="S1413" s="91">
        <f>IFERROR(__xludf.DUMMYFUNCTION("IFERROR(sum(FILTER('Fund Investment Data'!$V:$V, 'Fund Investment Data'!$C:$C = $C1413, 'Fund Investment Data'!$A:$A &lt; $A1413)),0) + IFERROR(sum(FILTER('Fund Investment Data'!$V:$V, 'Fund Investment Data'!$C:$C = $C1413, 'Fund Investment Data'!$A:$A = $A1"&amp;"413, 'Fund Investment Data'!$B:$B &lt;= $B1413)),0)"),429067.24)</f>
        <v>429067.24</v>
      </c>
      <c r="T1413" s="32"/>
      <c r="U1413" s="32"/>
      <c r="V1413" s="32">
        <f>IFERROR(__xludf.DUMMYFUNCTION("$D1413 - IFERROR(FILTER($D:$D,$C:$C = $C1413, $A:$A = $A1413, $B:$B = $B1413 - 1),0)"),0.0)</f>
        <v>0</v>
      </c>
      <c r="W1413" s="93">
        <f>IFERROR(__xludf.DUMMYFUNCTION("$E1413 - IFERROR(FILTER($E:$E,$C:$C = $C1413, $A:$A = $A1413, $B:$B = $B1413 - 1),0)"),-10000.0)</f>
        <v>-10000</v>
      </c>
      <c r="X1413" s="91">
        <f>IFERROR(__xludf.DUMMYFUNCTION("iFERROR((FILTER('Fund Investment Data'!$Z:$Z, 'Fund Investment Data'!$C:$C = $C1413, 'Fund Investment Data'!$A:$A = $A1413 - 1, 'Fund Investment Data'!$B:$B = 12) + FILTER('Fund Investment Data'!$AB:$AB, 'Fund Investment Data'!$C:$C = $C1413, 'Fund Invest"&amp;"ment Data'!$A:$A = $A1413 - 1, 'Fund Investment Data'!$B:$B = 12)) * (1 + AVERAGE(FILTER('Inflation Data'!$C:$C,'Inflation Data'!$A:$A = ($A1413 - 2)))) * Parameters!$A$4,0)"),14501.42849435059)</f>
        <v>14501.42849</v>
      </c>
      <c r="Y1413" s="91">
        <f>IFERROR(__xludf.DUMMYFUNCTION("IFERROR((IFERROR(FILTER('Fund Investment Data'!$P:$P,'Fund Investment Data'!$C:$C = $C1413,'Fund Investment Data'!$A:$A = ($A1413 - 2), 'Fund Investment Data'!$B:$B = 12),0) - SUM(FILTER('Fund Investment Data'!$V:$V, 'Fund Investment Data'!$C:$C = $C1413,"&amp;" 'Fund Investment Data'!$A:$A = ($A1413 - 2), 'Fund Investment Data'!$B:$B &gt; 3)))  * Parameters!$B$4 * (1 - Parameters!$A$4),0)"),6085.1852100000015)</f>
        <v>6085.18521</v>
      </c>
      <c r="Z1413" s="91">
        <f t="shared" si="24"/>
        <v>20586.6137</v>
      </c>
      <c r="AA1413" s="91">
        <f>IFERROR(__xludf.DUMMYFUNCTION("((IFERROR((SUM(FILTER('Fund Investment Data'!$V:$V, 'Fund Investment Data'!$C:$C = $C1413, 'Fund Investment Data'!$A:$A = $A1413 - 1, 'Fund Investment Data'!$B:$B &gt;= 4, 'Fund Investment Data'!$B:$B &lt;= ($B1413 + 5))) / 12) * ($B1413 - 3) * Parameters!$B$4,"&amp;" 0) + IF($B1413 &gt;= 9, IFERROR(SUM(FILTER('Fund Investment Data'!$V:$V, 'Fund Investment Data'!$C:$C = $C1413, 'Fund Investment Data'!$A:$A = $A1413, 'Fund Investment Data'!$B:$B &lt;= 3)) * Parameters!$B$4, 0),0)))"),0.0)</f>
        <v>0</v>
      </c>
      <c r="AB1413" s="32">
        <f>IFERROR(__xludf.DUMMYFUNCTION("IFERROR(((IFERROR(SUM(FILTER('Fund Investment Data'!$V:$V, 'Fund Investment Data'!$C:$C = $C1413, 'Fund Investment Data'!$A:$A = $A1413 - 2, 'Fund Investment Data'!$B:$B &gt;= 4)) * Parameters!$B$4,0) + IFERROR(SUM(FILTER('Fund Investment Data'!$V:$V, 'Fund "&amp;"Investment Data'!$C:$C = $C1413, 'Fund Investment Data'!$A:$A = $A1413 - 1, 'Fund Investment Data'!$B:$B &lt;= 3)) * Parameters!$B$4,0))),0)"),0.0)</f>
        <v>0</v>
      </c>
      <c r="AC1413" s="32">
        <f>IFERROR(__xludf.DUMMYFUNCTION("IFERROR(FILTER($AF:$AF,$C:$C = $C1413,$A:$A = $A1413 - 1,$B:$B = 12),0)"),0.0)</f>
        <v>0</v>
      </c>
      <c r="AD1413" s="32">
        <f t="shared" si="23"/>
        <v>20586.6137</v>
      </c>
      <c r="AE1413" s="32">
        <f t="shared" si="2"/>
        <v>586.6137044</v>
      </c>
      <c r="AF1413" s="32"/>
    </row>
    <row r="1414">
      <c r="A1414" s="86">
        <v>2019.0</v>
      </c>
      <c r="B1414" s="87">
        <v>6.0</v>
      </c>
      <c r="C1414" s="88" t="s">
        <v>37</v>
      </c>
      <c r="D1414" s="32"/>
      <c r="E1414" s="93">
        <v>-37000.0</v>
      </c>
      <c r="F1414" s="32"/>
      <c r="G1414" s="93">
        <v>-2165.06</v>
      </c>
      <c r="H1414" s="93">
        <v>9601.54</v>
      </c>
      <c r="I1414" s="93">
        <v>6859.8</v>
      </c>
      <c r="J1414" s="93">
        <v>68422.31</v>
      </c>
      <c r="K1414" s="32"/>
      <c r="L1414" s="32"/>
      <c r="M1414" s="32"/>
      <c r="N1414" s="32"/>
      <c r="O1414" s="93">
        <v>768732.7</v>
      </c>
      <c r="P1414" s="91">
        <f>IFERROR(__xludf.DUMMYFUNCTION("IFERROR(sum(FILTER($D:$N,$C:$C = $C1414,$A:$A &lt; $A1414,$B:$B = 12)),0) + sum($D1414:$N1414)"),768732.6999999998)</f>
        <v>768732.7</v>
      </c>
      <c r="Q1414" s="92">
        <f t="shared" si="1"/>
        <v>0.0000000001164153218</v>
      </c>
      <c r="R1414" s="91">
        <f t="array" ref="R1414">IFERROR(INDEX('Fund YTD Target Values'!$1:$1000, MATCH($C1414,'Fund YTD Target Values'!$A:$A,0), MATCH($A1414,'Fund YTD Target Values'!$1:$1,0)),0)</f>
        <v>860942.6464</v>
      </c>
      <c r="S1414" s="91">
        <f>IFERROR(__xludf.DUMMYFUNCTION("IFERROR(sum(FILTER('Fund Investment Data'!$V:$V, 'Fund Investment Data'!$C:$C = $C1414, 'Fund Investment Data'!$A:$A &lt; $A1414)),0) + IFERROR(sum(FILTER('Fund Investment Data'!$V:$V, 'Fund Investment Data'!$C:$C = $C1414, 'Fund Investment Data'!$A:$A = $A1"&amp;"414, 'Fund Investment Data'!$B:$B &lt;= $B1414)),0)"),758137.86)</f>
        <v>758137.86</v>
      </c>
      <c r="T1414" s="32"/>
      <c r="U1414" s="32"/>
      <c r="V1414" s="32">
        <f>IFERROR(__xludf.DUMMYFUNCTION("$D1414 - IFERROR(FILTER($D:$D,$C:$C = $C1414, $A:$A = $A1414, $B:$B = $B1414 - 1),0)"),0.0)</f>
        <v>0</v>
      </c>
      <c r="W1414" s="93">
        <f>IFERROR(__xludf.DUMMYFUNCTION("$E1414 - IFERROR(FILTER($E:$E,$C:$C = $C1414, $A:$A = $A1414, $B:$B = $B1414 - 1),0)"),-27000.0)</f>
        <v>-27000</v>
      </c>
      <c r="X1414" s="91">
        <f>IFERROR(__xludf.DUMMYFUNCTION("iFERROR((FILTER('Fund Investment Data'!$Z:$Z, 'Fund Investment Data'!$C:$C = $C1414, 'Fund Investment Data'!$A:$A = $A1414 - 1, 'Fund Investment Data'!$B:$B = 12) + FILTER('Fund Investment Data'!$AB:$AB, 'Fund Investment Data'!$C:$C = $C1414, 'Fund Invest"&amp;"ment Data'!$A:$A = $A1414 - 1, 'Fund Investment Data'!$B:$B = 12)) * (1 + AVERAGE(FILTER('Inflation Data'!$C:$C,'Inflation Data'!$A:$A = ($A1414 - 2)))) * Parameters!$A$4,0)"),26487.702642294462)</f>
        <v>26487.70264</v>
      </c>
      <c r="Y1414" s="91">
        <f>IFERROR(__xludf.DUMMYFUNCTION("IFERROR((IFERROR(FILTER('Fund Investment Data'!$P:$P,'Fund Investment Data'!$C:$C = $C1414,'Fund Investment Data'!$A:$A = ($A1414 - 2), 'Fund Investment Data'!$B:$B = 12),0) - SUM(FILTER('Fund Investment Data'!$V:$V, 'Fund Investment Data'!$C:$C = $C1414,"&amp;" 'Fund Investment Data'!$A:$A = ($A1414 - 2), 'Fund Investment Data'!$B:$B &gt; 3)))  * Parameters!$B$4 * (1 - Parameters!$A$4),0)"),11114.94474)</f>
        <v>11114.94474</v>
      </c>
      <c r="Z1414" s="91">
        <f t="shared" si="24"/>
        <v>37602.64738</v>
      </c>
      <c r="AA1414" s="91">
        <f>IFERROR(__xludf.DUMMYFUNCTION("((IFERROR((SUM(FILTER('Fund Investment Data'!$V:$V, 'Fund Investment Data'!$C:$C = $C1414, 'Fund Investment Data'!$A:$A = $A1414 - 1, 'Fund Investment Data'!$B:$B &gt;= 4, 'Fund Investment Data'!$B:$B &lt;= ($B1414 + 5))) / 12) * ($B1414 - 3) * Parameters!$B$4,"&amp;" 0) + IF($B1414 &gt;= 9, IFERROR(SUM(FILTER('Fund Investment Data'!$V:$V, 'Fund Investment Data'!$C:$C = $C1414, 'Fund Investment Data'!$A:$A = $A1414, 'Fund Investment Data'!$B:$B &lt;= 3)) * Parameters!$B$4, 0),0)))"),0.0)</f>
        <v>0</v>
      </c>
      <c r="AB1414" s="32">
        <f>IFERROR(__xludf.DUMMYFUNCTION("IFERROR(((IFERROR(SUM(FILTER('Fund Investment Data'!$V:$V, 'Fund Investment Data'!$C:$C = $C1414, 'Fund Investment Data'!$A:$A = $A1414 - 2, 'Fund Investment Data'!$B:$B &gt;= 4)) * Parameters!$B$4,0) + IFERROR(SUM(FILTER('Fund Investment Data'!$V:$V, 'Fund "&amp;"Investment Data'!$C:$C = $C1414, 'Fund Investment Data'!$A:$A = $A1414 - 1, 'Fund Investment Data'!$B:$B &lt;= 3)) * Parameters!$B$4,0))),0)"),0.0)</f>
        <v>0</v>
      </c>
      <c r="AC1414" s="32">
        <f>IFERROR(__xludf.DUMMYFUNCTION("IFERROR(FILTER($AF:$AF,$C:$C = $C1414,$A:$A = $A1414 - 1,$B:$B = 12),0)"),0.0)</f>
        <v>0</v>
      </c>
      <c r="AD1414" s="32">
        <f t="shared" si="23"/>
        <v>37602.64738</v>
      </c>
      <c r="AE1414" s="32">
        <f t="shared" si="2"/>
        <v>602.6473823</v>
      </c>
      <c r="AF1414" s="32"/>
    </row>
    <row r="1415">
      <c r="A1415" s="86">
        <v>2019.0</v>
      </c>
      <c r="B1415" s="87">
        <v>6.0</v>
      </c>
      <c r="C1415" s="88" t="s">
        <v>29</v>
      </c>
      <c r="D1415" s="32"/>
      <c r="E1415" s="93">
        <v>-2600.0</v>
      </c>
      <c r="F1415" s="32"/>
      <c r="G1415" s="93">
        <v>-161.77</v>
      </c>
      <c r="H1415" s="93">
        <v>715.28</v>
      </c>
      <c r="I1415" s="93">
        <v>355.19</v>
      </c>
      <c r="J1415" s="93">
        <v>5170.36</v>
      </c>
      <c r="K1415" s="32"/>
      <c r="L1415" s="32"/>
      <c r="M1415" s="32"/>
      <c r="N1415" s="32"/>
      <c r="O1415" s="93">
        <v>57206.42</v>
      </c>
      <c r="P1415" s="91">
        <f>IFERROR(__xludf.DUMMYFUNCTION("IFERROR(sum(FILTER($D:$N,$C:$C = $C1415,$A:$A &lt; $A1415,$B:$B = 12)),0) + sum($D1415:$N1415)"),57206.44999999992)</f>
        <v>57206.45</v>
      </c>
      <c r="Q1415" s="92">
        <f t="shared" si="1"/>
        <v>-0.02999999992</v>
      </c>
      <c r="R1415" s="91">
        <f t="array" ref="R1415">IFERROR(INDEX('Fund YTD Target Values'!$1:$1000, MATCH($C1415,'Fund YTD Target Values'!$A:$A,0), MATCH($A1415,'Fund YTD Target Values'!$1:$1,0)),0)</f>
        <v>78452.06886</v>
      </c>
      <c r="S1415" s="91">
        <f>IFERROR(__xludf.DUMMYFUNCTION("IFERROR(sum(FILTER('Fund Investment Data'!$V:$V, 'Fund Investment Data'!$C:$C = $C1415, 'Fund Investment Data'!$A:$A &lt; $A1415)),0) + IFERROR(sum(FILTER('Fund Investment Data'!$V:$V, 'Fund Investment Data'!$C:$C = $C1415, 'Fund Investment Data'!$A:$A = $A1"&amp;"415, 'Fund Investment Data'!$B:$B &lt;= $B1415)),0)"),50000.0)</f>
        <v>50000</v>
      </c>
      <c r="T1415" s="93">
        <v>50000.0</v>
      </c>
      <c r="U1415" s="32">
        <f>S1415-T1415</f>
        <v>0</v>
      </c>
      <c r="V1415" s="32">
        <f>IFERROR(__xludf.DUMMYFUNCTION("$D1415 - IFERROR(FILTER($D:$D,$C:$C = $C1415, $A:$A = $A1415, $B:$B = $B1415 - 1),0)"),0.0)</f>
        <v>0</v>
      </c>
      <c r="W1415" s="93">
        <f>IFERROR(__xludf.DUMMYFUNCTION("$E1415 - IFERROR(FILTER($E:$E,$C:$C = $C1415, $A:$A = $A1415, $B:$B = $B1415 - 1),0)"),-2600.0)</f>
        <v>-2600</v>
      </c>
      <c r="X1415" s="91">
        <f>IFERROR(__xludf.DUMMYFUNCTION("iFERROR((FILTER('Fund Investment Data'!$Z:$Z, 'Fund Investment Data'!$C:$C = $C1415, 'Fund Investment Data'!$A:$A = $A1415 - 1, 'Fund Investment Data'!$B:$B = 12) + FILTER('Fund Investment Data'!$AB:$AB, 'Fund Investment Data'!$C:$C = $C1415, 'Fund Invest"&amp;"ment Data'!$A:$A = $A1415 - 1, 'Fund Investment Data'!$B:$B = 12)) * (1 + AVERAGE(FILTER('Inflation Data'!$C:$C,'Inflation Data'!$A:$A = ($A1415 - 2)))) * Parameters!$A$4,0)"),1871.1341826828661)</f>
        <v>1871.134183</v>
      </c>
      <c r="Y1415" s="91">
        <f>IFERROR(__xludf.DUMMYFUNCTION("IFERROR((IFERROR(FILTER('Fund Investment Data'!$P:$P,'Fund Investment Data'!$C:$C = $C1415,'Fund Investment Data'!$A:$A = ($A1415 - 2), 'Fund Investment Data'!$B:$B = 12),0) - SUM(FILTER('Fund Investment Data'!$V:$V, 'Fund Investment Data'!$C:$C = $C1415,"&amp;" 'Fund Investment Data'!$A:$A = ($A1415 - 2), 'Fund Investment Data'!$B:$B &gt; 3)))  * Parameters!$B$4 * (1 - Parameters!$A$4),0)"),785.1776849999991)</f>
        <v>785.177685</v>
      </c>
      <c r="Z1415" s="91">
        <f t="shared" si="24"/>
        <v>2656.311868</v>
      </c>
      <c r="AA1415" s="91">
        <f>IFERROR(__xludf.DUMMYFUNCTION("((IFERROR((SUM(FILTER('Fund Investment Data'!$V:$V, 'Fund Investment Data'!$C:$C = $C1415, 'Fund Investment Data'!$A:$A = $A1415 - 1, 'Fund Investment Data'!$B:$B &gt;= 4, 'Fund Investment Data'!$B:$B &lt;= ($B1415 + 5))) / 12) * ($B1415 - 3) * Parameters!$B$4,"&amp;" 0) + IF($B1415 &gt;= 9, IFERROR(SUM(FILTER('Fund Investment Data'!$V:$V, 'Fund Investment Data'!$C:$C = $C1415, 'Fund Investment Data'!$A:$A = $A1415, 'Fund Investment Data'!$B:$B &lt;= 3)) * Parameters!$B$4, 0),0)))"),0.0)</f>
        <v>0</v>
      </c>
      <c r="AB1415" s="32">
        <f>IFERROR(__xludf.DUMMYFUNCTION("IFERROR(((IFERROR(SUM(FILTER('Fund Investment Data'!$V:$V, 'Fund Investment Data'!$C:$C = $C1415, 'Fund Investment Data'!$A:$A = $A1415 - 2, 'Fund Investment Data'!$B:$B &gt;= 4)) * Parameters!$B$4,0) + IFERROR(SUM(FILTER('Fund Investment Data'!$V:$V, 'Fund "&amp;"Investment Data'!$C:$C = $C1415, 'Fund Investment Data'!$A:$A = $A1415 - 1, 'Fund Investment Data'!$B:$B &lt;= 3)) * Parameters!$B$4,0))),0)"),0.0)</f>
        <v>0</v>
      </c>
      <c r="AC1415" s="32">
        <f>IFERROR(__xludf.DUMMYFUNCTION("IFERROR(FILTER($AF:$AF,$C:$C = $C1415,$A:$A = $A1415 - 1,$B:$B = 12),0)"),0.0)</f>
        <v>0</v>
      </c>
      <c r="AD1415" s="32">
        <f t="shared" si="23"/>
        <v>2656.311868</v>
      </c>
      <c r="AE1415" s="32">
        <f t="shared" si="2"/>
        <v>56.31186768</v>
      </c>
      <c r="AF1415" s="32"/>
    </row>
    <row r="1416">
      <c r="A1416" s="86">
        <v>2019.0</v>
      </c>
      <c r="B1416" s="87">
        <v>6.0</v>
      </c>
      <c r="C1416" s="88" t="s">
        <v>38</v>
      </c>
      <c r="D1416" s="32"/>
      <c r="E1416" s="93">
        <v>-1625.0</v>
      </c>
      <c r="F1416" s="32"/>
      <c r="G1416" s="93">
        <v>-2175.87</v>
      </c>
      <c r="H1416" s="93">
        <v>9634.19</v>
      </c>
      <c r="I1416" s="32"/>
      <c r="J1416" s="93">
        <v>75739.37</v>
      </c>
      <c r="K1416" s="32"/>
      <c r="L1416" s="32"/>
      <c r="M1416" s="32"/>
      <c r="N1416" s="32"/>
      <c r="O1416" s="93">
        <v>803383.89</v>
      </c>
      <c r="P1416" s="91">
        <f>IFERROR(__xludf.DUMMYFUNCTION("IFERROR(sum(FILTER($D:$N,$C:$C = $C1416,$A:$A &lt; $A1416,$B:$B = 12)),0) + sum($D1416:$N1416)"),803382.8500000001)</f>
        <v>803382.85</v>
      </c>
      <c r="Q1416" s="92">
        <f t="shared" si="1"/>
        <v>1.04</v>
      </c>
      <c r="R1416" s="91">
        <f t="array" ref="R1416">IFERROR(INDEX('Fund YTD Target Values'!$1:$1000, MATCH($C1416,'Fund YTD Target Values'!$A:$A,0), MATCH($A1416,'Fund YTD Target Values'!$1:$1,0)),0)</f>
        <v>715243.4084</v>
      </c>
      <c r="S1416" s="91">
        <f>IFERROR(__xludf.DUMMYFUNCTION("IFERROR(sum(FILTER('Fund Investment Data'!$V:$V, 'Fund Investment Data'!$C:$C = $C1416, 'Fund Investment Data'!$A:$A &lt; $A1416)),0) + IFERROR(sum(FILTER('Fund Investment Data'!$V:$V, 'Fund Investment Data'!$C:$C = $C1416, 'Fund Investment Data'!$A:$A = $A1"&amp;"416, 'Fund Investment Data'!$B:$B &lt;= $B1416)),0)"),556601.64)</f>
        <v>556601.64</v>
      </c>
      <c r="T1416" s="32"/>
      <c r="U1416" s="32"/>
      <c r="V1416" s="32">
        <f>IFERROR(__xludf.DUMMYFUNCTION("$D1416 - IFERROR(FILTER($D:$D,$C:$C = $C1416, $A:$A = $A1416, $B:$B = $B1416 - 1),0)"),0.0)</f>
        <v>0</v>
      </c>
      <c r="W1416" s="93">
        <f>IFERROR(__xludf.DUMMYFUNCTION("$E1416 - IFERROR(FILTER($E:$E,$C:$C = $C1416, $A:$A = $A1416, $B:$B = $B1416 - 1),0)"),-1625.0)</f>
        <v>-1625</v>
      </c>
      <c r="X1416" s="91">
        <f>IFERROR(__xludf.DUMMYFUNCTION("iFERROR((FILTER('Fund Investment Data'!$Z:$Z, 'Fund Investment Data'!$C:$C = $C1416, 'Fund Investment Data'!$A:$A = $A1416 - 1, 'Fund Investment Data'!$B:$B = 12) + FILTER('Fund Investment Data'!$AB:$AB, 'Fund Investment Data'!$C:$C = $C1416, 'Fund Invest"&amp;"ment Data'!$A:$A = $A1416 - 1, 'Fund Investment Data'!$B:$B = 12)) * (1 + AVERAGE(FILTER('Inflation Data'!$C:$C,'Inflation Data'!$A:$A = ($A1416 - 2)))) * Parameters!$A$4,0)"),22062.02597097784)</f>
        <v>22062.02597</v>
      </c>
      <c r="Y1416" s="91">
        <f>IFERROR(__xludf.DUMMYFUNCTION("IFERROR((IFERROR(FILTER('Fund Investment Data'!$P:$P,'Fund Investment Data'!$C:$C = $C1416,'Fund Investment Data'!$A:$A = ($A1416 - 2), 'Fund Investment Data'!$B:$B = 12),0) - SUM(FILTER('Fund Investment Data'!$V:$V, 'Fund Investment Data'!$C:$C = $C1416,"&amp;" 'Fund Investment Data'!$A:$A = ($A1416 - 2), 'Fund Investment Data'!$B:$B &gt; 3)))  * Parameters!$B$4 * (1 - Parameters!$A$4),0)"),11008.00989)</f>
        <v>11008.00989</v>
      </c>
      <c r="Z1416" s="91">
        <f t="shared" si="24"/>
        <v>33070.03586</v>
      </c>
      <c r="AA1416" s="91">
        <f>IFERROR(__xludf.DUMMYFUNCTION("((IFERROR((SUM(FILTER('Fund Investment Data'!$V:$V, 'Fund Investment Data'!$C:$C = $C1416, 'Fund Investment Data'!$A:$A = $A1416 - 1, 'Fund Investment Data'!$B:$B &gt;= 4, 'Fund Investment Data'!$B:$B &lt;= ($B1416 + 5))) / 12) * ($B1416 - 3) * Parameters!$B$4,"&amp;" 0) + IF($B1416 &gt;= 9, IFERROR(SUM(FILTER('Fund Investment Data'!$V:$V, 'Fund Investment Data'!$C:$C = $C1416, 'Fund Investment Data'!$A:$A = $A1416, 'Fund Investment Data'!$B:$B &lt;= 3)) * Parameters!$B$4, 0),0)))"),0.0)</f>
        <v>0</v>
      </c>
      <c r="AB1416" s="32">
        <f>IFERROR(__xludf.DUMMYFUNCTION("IFERROR(((IFERROR(SUM(FILTER('Fund Investment Data'!$V:$V, 'Fund Investment Data'!$C:$C = $C1416, 'Fund Investment Data'!$A:$A = $A1416 - 2, 'Fund Investment Data'!$B:$B &gt;= 4)) * Parameters!$B$4,0) + IFERROR(SUM(FILTER('Fund Investment Data'!$V:$V, 'Fund "&amp;"Investment Data'!$C:$C = $C1416, 'Fund Investment Data'!$A:$A = $A1416 - 1, 'Fund Investment Data'!$B:$B &lt;= 3)) * Parameters!$B$4,0))),0)"),0.0)</f>
        <v>0</v>
      </c>
      <c r="AC1416" s="32">
        <f>IFERROR(__xludf.DUMMYFUNCTION("IFERROR(FILTER($AF:$AF,$C:$C = $C1416,$A:$A = $A1416 - 1,$B:$B = 12),0)"),0.0)</f>
        <v>0</v>
      </c>
      <c r="AD1416" s="32">
        <f t="shared" si="23"/>
        <v>33070.03586</v>
      </c>
      <c r="AE1416" s="32">
        <f t="shared" si="2"/>
        <v>31445.03586</v>
      </c>
      <c r="AF1416" s="32"/>
    </row>
    <row r="1417">
      <c r="A1417" s="86">
        <v>2019.0</v>
      </c>
      <c r="B1417" s="87">
        <v>6.0</v>
      </c>
      <c r="C1417" s="88" t="s">
        <v>30</v>
      </c>
      <c r="D1417" s="32"/>
      <c r="E1417" s="32"/>
      <c r="F1417" s="32"/>
      <c r="G1417" s="93">
        <v>-48.3</v>
      </c>
      <c r="H1417" s="93">
        <v>213.53</v>
      </c>
      <c r="I1417" s="32"/>
      <c r="J1417" s="93">
        <v>1653.91</v>
      </c>
      <c r="K1417" s="32"/>
      <c r="L1417" s="32"/>
      <c r="M1417" s="32"/>
      <c r="N1417" s="32"/>
      <c r="O1417" s="93">
        <v>17859.85</v>
      </c>
      <c r="P1417" s="91">
        <f>IFERROR(__xludf.DUMMYFUNCTION("IFERROR(sum(FILTER($D:$N,$C:$C = $C1417,$A:$A &lt; $A1417,$B:$B = 12)),0) + sum($D1417:$N1417)"),17858.219999999987)</f>
        <v>17858.22</v>
      </c>
      <c r="Q1417" s="92">
        <f t="shared" si="1"/>
        <v>1.63</v>
      </c>
      <c r="R1417" s="91">
        <f t="array" ref="R1417">IFERROR(INDEX('Fund YTD Target Values'!$1:$1000, MATCH($C1417,'Fund YTD Target Values'!$A:$A,0), MATCH($A1417,'Fund YTD Target Values'!$1:$1,0)),0)</f>
        <v>18819.48136</v>
      </c>
      <c r="S1417" s="91">
        <f>IFERROR(__xludf.DUMMYFUNCTION("IFERROR(sum(FILTER('Fund Investment Data'!$V:$V, 'Fund Investment Data'!$C:$C = $C1417, 'Fund Investment Data'!$A:$A &lt; $A1417)),0) + IFERROR(sum(FILTER('Fund Investment Data'!$V:$V, 'Fund Investment Data'!$C:$C = $C1417, 'Fund Investment Data'!$A:$A = $A1"&amp;"417, 'Fund Investment Data'!$B:$B &lt;= $B1417)),0)"),11540.75)</f>
        <v>11540.75</v>
      </c>
      <c r="T1417" s="32"/>
      <c r="U1417" s="32"/>
      <c r="V1417" s="32">
        <f>IFERROR(__xludf.DUMMYFUNCTION("$D1417 - IFERROR(FILTER($D:$D,$C:$C = $C1417, $A:$A = $A1417, $B:$B = $B1417 - 1),0)"),0.0)</f>
        <v>0</v>
      </c>
      <c r="W1417" s="93">
        <f>IFERROR(__xludf.DUMMYFUNCTION("$E1417 - IFERROR(FILTER($E:$E,$C:$C = $C1417, $A:$A = $A1417, $B:$B = $B1417 - 1),0)"),0.0)</f>
        <v>0</v>
      </c>
      <c r="X1417" s="91">
        <f>IFERROR(__xludf.DUMMYFUNCTION("iFERROR((FILTER('Fund Investment Data'!$Z:$Z, 'Fund Investment Data'!$C:$C = $C1417, 'Fund Investment Data'!$A:$A = $A1417 - 1, 'Fund Investment Data'!$B:$B = 12) + FILTER('Fund Investment Data'!$AB:$AB, 'Fund Investment Data'!$C:$C = $C1417, 'Fund Invest"&amp;"ment Data'!$A:$A = $A1417 - 1, 'Fund Investment Data'!$B:$B = 12)) * (1 + AVERAGE(FILTER('Inflation Data'!$C:$C,'Inflation Data'!$A:$A = ($A1417 - 2)))) * Parameters!$A$4,0)"),558.7349135648467)</f>
        <v>558.7349136</v>
      </c>
      <c r="Y1417" s="91">
        <f>IFERROR(__xludf.DUMMYFUNCTION("IFERROR((IFERROR(FILTER('Fund Investment Data'!$P:$P,'Fund Investment Data'!$C:$C = $C1417,'Fund Investment Data'!$A:$A = ($A1417 - 2), 'Fund Investment Data'!$B:$B = 12),0) - SUM(FILTER('Fund Investment Data'!$V:$V, 'Fund Investment Data'!$C:$C = $C1417,"&amp;" 'Fund Investment Data'!$A:$A = ($A1417 - 2), 'Fund Investment Data'!$B:$B &gt; 3)))  * Parameters!$B$4 * (1 - Parameters!$A$4),0)"),234.46003499999986)</f>
        <v>234.460035</v>
      </c>
      <c r="Z1417" s="91">
        <f t="shared" si="24"/>
        <v>793.1949486</v>
      </c>
      <c r="AA1417" s="91">
        <f>IFERROR(__xludf.DUMMYFUNCTION("((IFERROR((SUM(FILTER('Fund Investment Data'!$V:$V, 'Fund Investment Data'!$C:$C = $C1417, 'Fund Investment Data'!$A:$A = $A1417 - 1, 'Fund Investment Data'!$B:$B &gt;= 4, 'Fund Investment Data'!$B:$B &lt;= ($B1417 + 5))) / 12) * ($B1417 - 3) * Parameters!$B$4,"&amp;" 0) + IF($B1417 &gt;= 9, IFERROR(SUM(FILTER('Fund Investment Data'!$V:$V, 'Fund Investment Data'!$C:$C = $C1417, 'Fund Investment Data'!$A:$A = $A1417, 'Fund Investment Data'!$B:$B &lt;= 3)) * Parameters!$B$4, 0),0)))"),0.0)</f>
        <v>0</v>
      </c>
      <c r="AB1417" s="32">
        <f>IFERROR(__xludf.DUMMYFUNCTION("IFERROR(((IFERROR(SUM(FILTER('Fund Investment Data'!$V:$V, 'Fund Investment Data'!$C:$C = $C1417, 'Fund Investment Data'!$A:$A = $A1417 - 2, 'Fund Investment Data'!$B:$B &gt;= 4)) * Parameters!$B$4,0) + IFERROR(SUM(FILTER('Fund Investment Data'!$V:$V, 'Fund "&amp;"Investment Data'!$C:$C = $C1417, 'Fund Investment Data'!$A:$A = $A1417 - 1, 'Fund Investment Data'!$B:$B &lt;= 3)) * Parameters!$B$4,0))),0)"),0.0)</f>
        <v>0</v>
      </c>
      <c r="AC1417" s="32">
        <f>IFERROR(__xludf.DUMMYFUNCTION("IFERROR(FILTER($AF:$AF,$C:$C = $C1417,$A:$A = $A1417 - 1,$B:$B = 12),0)"),0.0)</f>
        <v>0</v>
      </c>
      <c r="AD1417" s="32">
        <f t="shared" si="23"/>
        <v>793.1949486</v>
      </c>
      <c r="AE1417" s="32">
        <f t="shared" si="2"/>
        <v>793.1949486</v>
      </c>
      <c r="AF1417" s="32"/>
    </row>
    <row r="1418">
      <c r="A1418" s="86">
        <v>2019.0</v>
      </c>
      <c r="B1418" s="87">
        <v>6.0</v>
      </c>
      <c r="C1418" s="88" t="s">
        <v>47</v>
      </c>
      <c r="D1418" s="32"/>
      <c r="E1418" s="93">
        <v>-45000.0</v>
      </c>
      <c r="F1418" s="32"/>
      <c r="G1418" s="93">
        <v>-3963.84</v>
      </c>
      <c r="H1418" s="93">
        <v>17630.46</v>
      </c>
      <c r="I1418" s="93">
        <v>11122.08</v>
      </c>
      <c r="J1418" s="93">
        <v>127907.62</v>
      </c>
      <c r="K1418" s="32"/>
      <c r="L1418" s="32"/>
      <c r="M1418" s="32"/>
      <c r="N1418" s="32"/>
      <c r="O1418" s="93">
        <v>1438994.63</v>
      </c>
      <c r="P1418" s="91">
        <f>IFERROR(__xludf.DUMMYFUNCTION("IFERROR(sum(FILTER($D:$N,$C:$C = $C1418,$A:$A &lt; $A1418,$B:$B = 12)),0) + sum($D1418:$N1418)"),1438994.2799999998)</f>
        <v>1438994.28</v>
      </c>
      <c r="Q1418" s="92">
        <f t="shared" si="1"/>
        <v>0.3500000001</v>
      </c>
      <c r="R1418" s="91">
        <f t="array" ref="R1418">IFERROR(INDEX('Fund YTD Target Values'!$1:$1000, MATCH($C1418,'Fund YTD Target Values'!$A:$A,0), MATCH($A1418,'Fund YTD Target Values'!$1:$1,0)),0)</f>
        <v>2034942.933</v>
      </c>
      <c r="S1418" s="91">
        <f>IFERROR(__xludf.DUMMYFUNCTION("IFERROR(sum(FILTER('Fund Investment Data'!$V:$V, 'Fund Investment Data'!$C:$C = $C1418, 'Fund Investment Data'!$A:$A &lt; $A1418)),0) + IFERROR(sum(FILTER('Fund Investment Data'!$V:$V, 'Fund Investment Data'!$C:$C = $C1418, 'Fund Investment Data'!$A:$A = $A1"&amp;"418, 'Fund Investment Data'!$B:$B &lt;= $B1418)),0)"),1456367.46)</f>
        <v>1456367.46</v>
      </c>
      <c r="T1418" s="32"/>
      <c r="U1418" s="32"/>
      <c r="V1418" s="32">
        <f>IFERROR(__xludf.DUMMYFUNCTION("$D1418 - IFERROR(FILTER($D:$D,$C:$C = $C1418, $A:$A = $A1418, $B:$B = $B1418 - 1),0)"),0.0)</f>
        <v>0</v>
      </c>
      <c r="W1418" s="93">
        <f>IFERROR(__xludf.DUMMYFUNCTION("$E1418 - IFERROR(FILTER($E:$E,$C:$C = $C1418, $A:$A = $A1418, $B:$B = $B1418 - 1),0)"),0.0)</f>
        <v>0</v>
      </c>
      <c r="X1418" s="91">
        <f>IFERROR(__xludf.DUMMYFUNCTION("iFERROR((FILTER('Fund Investment Data'!$Z:$Z, 'Fund Investment Data'!$C:$C = $C1418, 'Fund Investment Data'!$A:$A = $A1418 - 1, 'Fund Investment Data'!$B:$B = 12) + FILTER('Fund Investment Data'!$AB:$AB, 'Fund Investment Data'!$C:$C = $C1418, 'Fund Invest"&amp;"ment Data'!$A:$A = $A1418 - 1, 'Fund Investment Data'!$B:$B = 12)) * (1 + AVERAGE(FILTER('Inflation Data'!$C:$C,'Inflation Data'!$A:$A = ($A1418 - 2)))) * Parameters!$A$4,0)"),48393.90516981818)</f>
        <v>48393.90517</v>
      </c>
      <c r="Y1418" s="91">
        <f>IFERROR(__xludf.DUMMYFUNCTION("IFERROR((IFERROR(FILTER('Fund Investment Data'!$P:$P,'Fund Investment Data'!$C:$C = $C1418,'Fund Investment Data'!$A:$A = ($A1418 - 2), 'Fund Investment Data'!$B:$B = 12),0) - SUM(FILTER('Fund Investment Data'!$V:$V, 'Fund Investment Data'!$C:$C = $C1418,"&amp;" 'Fund Investment Data'!$A:$A = ($A1418 - 2), 'Fund Investment Data'!$B:$B &gt; 3)))  * Parameters!$B$4 * (1 - Parameters!$A$4),0)"),20307.37014)</f>
        <v>20307.37014</v>
      </c>
      <c r="Z1418" s="91">
        <f t="shared" si="24"/>
        <v>68701.27531</v>
      </c>
      <c r="AA1418" s="91">
        <f>IFERROR(__xludf.DUMMYFUNCTION("((IFERROR((SUM(FILTER('Fund Investment Data'!$V:$V, 'Fund Investment Data'!$C:$C = $C1418, 'Fund Investment Data'!$A:$A = $A1418 - 1, 'Fund Investment Data'!$B:$B &gt;= 4, 'Fund Investment Data'!$B:$B &lt;= ($B1418 + 5))) / 12) * ($B1418 - 3) * Parameters!$B$4,"&amp;" 0) + IF($B1418 &gt;= 9, IFERROR(SUM(FILTER('Fund Investment Data'!$V:$V, 'Fund Investment Data'!$C:$C = $C1418, 'Fund Investment Data'!$A:$A = $A1418, 'Fund Investment Data'!$B:$B &lt;= 3)) * Parameters!$B$4, 0),0)))"),0.0)</f>
        <v>0</v>
      </c>
      <c r="AB1418" s="32">
        <f>IFERROR(__xludf.DUMMYFUNCTION("IFERROR(((IFERROR(SUM(FILTER('Fund Investment Data'!$V:$V, 'Fund Investment Data'!$C:$C = $C1418, 'Fund Investment Data'!$A:$A = $A1418 - 2, 'Fund Investment Data'!$B:$B &gt;= 4)) * Parameters!$B$4,0) + IFERROR(SUM(FILTER('Fund Investment Data'!$V:$V, 'Fund "&amp;"Investment Data'!$C:$C = $C1418, 'Fund Investment Data'!$A:$A = $A1418 - 1, 'Fund Investment Data'!$B:$B &lt;= 3)) * Parameters!$B$4,0))),0)"),450.0)</f>
        <v>450</v>
      </c>
      <c r="AC1418" s="32">
        <f>IFERROR(__xludf.DUMMYFUNCTION("IFERROR(FILTER($AF:$AF,$C:$C = $C1418,$A:$A = $A1418 - 1,$B:$B = 12),0)"),0.0)</f>
        <v>0</v>
      </c>
      <c r="AD1418" s="32">
        <f t="shared" si="23"/>
        <v>69151.27531</v>
      </c>
      <c r="AE1418" s="32">
        <f t="shared" si="2"/>
        <v>24151.27531</v>
      </c>
      <c r="AF1418" s="32"/>
    </row>
    <row r="1419">
      <c r="A1419" s="86">
        <v>2019.0</v>
      </c>
      <c r="B1419" s="87">
        <v>6.0</v>
      </c>
      <c r="C1419" s="88" t="s">
        <v>31</v>
      </c>
      <c r="D1419" s="93">
        <v>100.0</v>
      </c>
      <c r="E1419" s="93">
        <v>-8700.0</v>
      </c>
      <c r="F1419" s="32"/>
      <c r="G1419" s="93">
        <v>-499.1</v>
      </c>
      <c r="H1419" s="93">
        <v>2209.3</v>
      </c>
      <c r="I1419" s="93">
        <v>2106.81</v>
      </c>
      <c r="J1419" s="93">
        <v>15129.47</v>
      </c>
      <c r="K1419" s="32"/>
      <c r="L1419" s="32"/>
      <c r="M1419" s="32"/>
      <c r="N1419" s="32"/>
      <c r="O1419" s="93">
        <v>175944.19</v>
      </c>
      <c r="P1419" s="91">
        <f>IFERROR(__xludf.DUMMYFUNCTION("IFERROR(sum(FILTER($D:$N,$C:$C = $C1419,$A:$A &lt; $A1419,$B:$B = 12)),0) + sum($D1419:$N1419)"),175944.2)</f>
        <v>175944.2</v>
      </c>
      <c r="Q1419" s="92">
        <f t="shared" si="1"/>
        <v>-0.01000000001</v>
      </c>
      <c r="R1419" s="91">
        <f t="array" ref="R1419">IFERROR(INDEX('Fund YTD Target Values'!$1:$1000, MATCH($C1419,'Fund YTD Target Values'!$A:$A,0), MATCH($A1419,'Fund YTD Target Values'!$1:$1,0)),0)</f>
        <v>214470.0821</v>
      </c>
      <c r="S1419" s="91">
        <f>IFERROR(__xludf.DUMMYFUNCTION("IFERROR(sum(FILTER('Fund Investment Data'!$V:$V, 'Fund Investment Data'!$C:$C = $C1419, 'Fund Investment Data'!$A:$A &lt; $A1419)),0) + IFERROR(sum(FILTER('Fund Investment Data'!$V:$V, 'Fund Investment Data'!$C:$C = $C1419, 'Fund Investment Data'!$A:$A = $A1"&amp;"419, 'Fund Investment Data'!$B:$B &lt;= $B1419)),0)"),158200.0)</f>
        <v>158200</v>
      </c>
      <c r="T1419" s="32"/>
      <c r="U1419" s="32"/>
      <c r="V1419" s="32">
        <f>IFERROR(__xludf.DUMMYFUNCTION("$D1419 - IFERROR(FILTER($D:$D,$C:$C = $C1419, $A:$A = $A1419, $B:$B = $B1419 - 1),0)"),100.0)</f>
        <v>100</v>
      </c>
      <c r="W1419" s="93">
        <f>IFERROR(__xludf.DUMMYFUNCTION("$E1419 - IFERROR(FILTER($E:$E,$C:$C = $C1419, $A:$A = $A1419, $B:$B = $B1419 - 1),0)"),-8700.0)</f>
        <v>-8700</v>
      </c>
      <c r="X1419" s="91">
        <f>IFERROR(__xludf.DUMMYFUNCTION("iFERROR((FILTER('Fund Investment Data'!$Z:$Z, 'Fund Investment Data'!$C:$C = $C1419, 'Fund Investment Data'!$A:$A = $A1419 - 1, 'Fund Investment Data'!$B:$B = 12) + FILTER('Fund Investment Data'!$AB:$AB, 'Fund Investment Data'!$C:$C = $C1419, 'Fund Invest"&amp;"ment Data'!$A:$A = $A1419 - 1, 'Fund Investment Data'!$B:$B = 12)) * (1 + AVERAGE(FILTER('Inflation Data'!$C:$C,'Inflation Data'!$A:$A = ($A1419 - 2)))) * Parameters!$A$4,0)"),6185.263738478203)</f>
        <v>6185.263738</v>
      </c>
      <c r="Y1419" s="91">
        <f>IFERROR(__xludf.DUMMYFUNCTION("IFERROR((IFERROR(FILTER('Fund Investment Data'!$P:$P,'Fund Investment Data'!$C:$C = $C1419,'Fund Investment Data'!$A:$A = ($A1419 - 2), 'Fund Investment Data'!$B:$B = 12),0) - SUM(FILTER('Fund Investment Data'!$V:$V, 'Fund Investment Data'!$C:$C = $C1419,"&amp;" 'Fund Investment Data'!$A:$A = ($A1419 - 2), 'Fund Investment Data'!$B:$B &gt; 3)))  * Parameters!$B$4 * (1 - Parameters!$A$4),0)"),2555.001225000001)</f>
        <v>2555.001225</v>
      </c>
      <c r="Z1419" s="91">
        <f t="shared" si="24"/>
        <v>8740.264963</v>
      </c>
      <c r="AA1419" s="91">
        <f>IFERROR(__xludf.DUMMYFUNCTION("((IFERROR((SUM(FILTER('Fund Investment Data'!$V:$V, 'Fund Investment Data'!$C:$C = $C1419, 'Fund Investment Data'!$A:$A = $A1419 - 1, 'Fund Investment Data'!$B:$B &gt;= 4, 'Fund Investment Data'!$B:$B &lt;= ($B1419 + 5))) / 12) * ($B1419 - 3) * Parameters!$B$4,"&amp;" 0) + IF($B1419 &gt;= 9, IFERROR(SUM(FILTER('Fund Investment Data'!$V:$V, 'Fund Investment Data'!$C:$C = $C1419, 'Fund Investment Data'!$A:$A = $A1419, 'Fund Investment Data'!$B:$B &lt;= 3)) * Parameters!$B$4, 0),0)))"),0.0)</f>
        <v>0</v>
      </c>
      <c r="AB1419" s="32">
        <f>IFERROR(__xludf.DUMMYFUNCTION("IFERROR(((IFERROR(SUM(FILTER('Fund Investment Data'!$V:$V, 'Fund Investment Data'!$C:$C = $C1419, 'Fund Investment Data'!$A:$A = $A1419 - 2, 'Fund Investment Data'!$B:$B &gt;= 4)) * Parameters!$B$4,0) + IFERROR(SUM(FILTER('Fund Investment Data'!$V:$V, 'Fund "&amp;"Investment Data'!$C:$C = $C1419, 'Fund Investment Data'!$A:$A = $A1419 - 1, 'Fund Investment Data'!$B:$B &lt;= 3)) * Parameters!$B$4,0))),0)"),0.0)</f>
        <v>0</v>
      </c>
      <c r="AC1419" s="32">
        <f>IFERROR(__xludf.DUMMYFUNCTION("IFERROR(FILTER($AF:$AF,$C:$C = $C1419,$A:$A = $A1419 - 1,$B:$B = 12),0)"),0.0)</f>
        <v>0</v>
      </c>
      <c r="AD1419" s="32">
        <f t="shared" si="23"/>
        <v>8740.264963</v>
      </c>
      <c r="AE1419" s="32">
        <f t="shared" si="2"/>
        <v>40.26496348</v>
      </c>
      <c r="AF1419" s="32"/>
    </row>
    <row r="1420">
      <c r="A1420" s="86">
        <v>2019.0</v>
      </c>
      <c r="B1420" s="87">
        <v>6.0</v>
      </c>
      <c r="C1420" s="88" t="s">
        <v>39</v>
      </c>
      <c r="D1420" s="32"/>
      <c r="E1420" s="93">
        <v>-8700.0</v>
      </c>
      <c r="F1420" s="32"/>
      <c r="G1420" s="93">
        <v>-510.93</v>
      </c>
      <c r="H1420" s="93">
        <v>2266.43</v>
      </c>
      <c r="I1420" s="32"/>
      <c r="J1420" s="93">
        <v>18100.61</v>
      </c>
      <c r="K1420" s="32"/>
      <c r="L1420" s="93">
        <v>-184.92</v>
      </c>
      <c r="M1420" s="32"/>
      <c r="N1420" s="32"/>
      <c r="O1420" s="93">
        <v>181791.45</v>
      </c>
      <c r="P1420" s="91">
        <f>IFERROR(__xludf.DUMMYFUNCTION("IFERROR(sum(FILTER($D:$N,$C:$C = $C1420,$A:$A &lt; $A1420,$B:$B = 12)),0) + sum($D1420:$N1420)"),181791.45000000004)</f>
        <v>181791.45</v>
      </c>
      <c r="Q1420" s="92">
        <f t="shared" si="1"/>
        <v>0</v>
      </c>
      <c r="R1420" s="91">
        <f t="array" ref="R1420">IFERROR(INDEX('Fund YTD Target Values'!$1:$1000, MATCH($C1420,'Fund YTD Target Values'!$A:$A,0), MATCH($A1420,'Fund YTD Target Values'!$1:$1,0)),0)</f>
        <v>203233.3066</v>
      </c>
      <c r="S1420" s="91">
        <f>IFERROR(__xludf.DUMMYFUNCTION("IFERROR(sum(FILTER('Fund Investment Data'!$V:$V, 'Fund Investment Data'!$C:$C = $C1420, 'Fund Investment Data'!$A:$A &lt; $A1420)),0) + IFERROR(sum(FILTER('Fund Investment Data'!$V:$V, 'Fund Investment Data'!$C:$C = $C1420, 'Fund Investment Data'!$A:$A = $A1"&amp;"420, 'Fund Investment Data'!$B:$B &lt;= $B1420)),0)"),170000.0)</f>
        <v>170000</v>
      </c>
      <c r="T1420" s="32"/>
      <c r="U1420" s="32"/>
      <c r="V1420" s="32">
        <f>IFERROR(__xludf.DUMMYFUNCTION("$D1420 - IFERROR(FILTER($D:$D,$C:$C = $C1420, $A:$A = $A1420, $B:$B = $B1420 - 1),0)"),0.0)</f>
        <v>0</v>
      </c>
      <c r="W1420" s="93">
        <f>IFERROR(__xludf.DUMMYFUNCTION("$E1420 - IFERROR(FILTER($E:$E,$C:$C = $C1420, $A:$A = $A1420, $B:$B = $B1420 - 1),0)"),0.0)</f>
        <v>0</v>
      </c>
      <c r="X1420" s="91">
        <f>IFERROR(__xludf.DUMMYFUNCTION("iFERROR((FILTER('Fund Investment Data'!$Z:$Z, 'Fund Investment Data'!$C:$C = $C1420, 'Fund Investment Data'!$A:$A = $A1420 - 1, 'Fund Investment Data'!$B:$B = 12) + FILTER('Fund Investment Data'!$AB:$AB, 'Fund Investment Data'!$C:$C = $C1420, 'Fund Invest"&amp;"ment Data'!$A:$A = $A1420 - 1, 'Fund Investment Data'!$B:$B = 12)) * (1 + AVERAGE(FILTER('Inflation Data'!$C:$C,'Inflation Data'!$A:$A = ($A1420 - 2)))) * Parameters!$A$4,0)"),5335.081378121052)</f>
        <v>5335.081378</v>
      </c>
      <c r="Y1420" s="91">
        <f>IFERROR(__xludf.DUMMYFUNCTION("IFERROR((IFERROR(FILTER('Fund Investment Data'!$P:$P,'Fund Investment Data'!$C:$C = $C1420,'Fund Investment Data'!$A:$A = ($A1420 - 2), 'Fund Investment Data'!$B:$B = 12),0) - SUM(FILTER('Fund Investment Data'!$V:$V, 'Fund Investment Data'!$C:$C = $C1420,"&amp;" 'Fund Investment Data'!$A:$A = ($A1420 - 2), 'Fund Investment Data'!$B:$B &gt; 3)))  * Parameters!$B$4 * (1 - Parameters!$A$4),0)"),2223.764010000001)</f>
        <v>2223.76401</v>
      </c>
      <c r="Z1420" s="91">
        <f t="shared" si="24"/>
        <v>7558.845388</v>
      </c>
      <c r="AA1420" s="91">
        <f>IFERROR(__xludf.DUMMYFUNCTION("((IFERROR((SUM(FILTER('Fund Investment Data'!$V:$V, 'Fund Investment Data'!$C:$C = $C1420, 'Fund Investment Data'!$A:$A = $A1420 - 1, 'Fund Investment Data'!$B:$B &gt;= 4, 'Fund Investment Data'!$B:$B &lt;= ($B1420 + 5))) / 12) * ($B1420 - 3) * Parameters!$B$4,"&amp;" 0) + IF($B1420 &gt;= 9, IFERROR(SUM(FILTER('Fund Investment Data'!$V:$V, 'Fund Investment Data'!$C:$C = $C1420, 'Fund Investment Data'!$A:$A = $A1420, 'Fund Investment Data'!$B:$B &lt;= 3)) * Parameters!$B$4, 0),0)))"),168.75)</f>
        <v>168.75</v>
      </c>
      <c r="AB1420" s="32">
        <f>IFERROR(__xludf.DUMMYFUNCTION("IFERROR(((IFERROR(SUM(FILTER('Fund Investment Data'!$V:$V, 'Fund Investment Data'!$C:$C = $C1420, 'Fund Investment Data'!$A:$A = $A1420 - 2, 'Fund Investment Data'!$B:$B &gt;= 4)) * Parameters!$B$4,0) + IFERROR(SUM(FILTER('Fund Investment Data'!$V:$V, 'Fund "&amp;"Investment Data'!$C:$C = $C1420, 'Fund Investment Data'!$A:$A = $A1420 - 1, 'Fund Investment Data'!$B:$B &lt;= 3)) * Parameters!$B$4,0))),0)"),675.0)</f>
        <v>675</v>
      </c>
      <c r="AC1420" s="32">
        <f>IFERROR(__xludf.DUMMYFUNCTION("IFERROR(FILTER($AF:$AF,$C:$C = $C1420,$A:$A = $A1420 - 1,$B:$B = 12),0)"),0.0)</f>
        <v>0</v>
      </c>
      <c r="AD1420" s="32">
        <f t="shared" si="23"/>
        <v>8402.595388</v>
      </c>
      <c r="AE1420" s="32">
        <f t="shared" si="2"/>
        <v>-297.4046119</v>
      </c>
      <c r="AF1420" s="32"/>
    </row>
    <row r="1421">
      <c r="A1421" s="86">
        <v>2019.0</v>
      </c>
      <c r="B1421" s="87">
        <v>6.0</v>
      </c>
      <c r="C1421" s="88" t="s">
        <v>50</v>
      </c>
      <c r="D1421" s="32"/>
      <c r="E1421" s="93">
        <v>-500.0</v>
      </c>
      <c r="F1421" s="32"/>
      <c r="G1421" s="93">
        <v>-571.3</v>
      </c>
      <c r="H1421" s="93">
        <v>2529.04</v>
      </c>
      <c r="I1421" s="32"/>
      <c r="J1421" s="93">
        <v>19838.62</v>
      </c>
      <c r="K1421" s="32"/>
      <c r="L1421" s="32"/>
      <c r="M1421" s="32"/>
      <c r="N1421" s="32"/>
      <c r="O1421" s="93">
        <v>210850.72</v>
      </c>
      <c r="P1421" s="91">
        <f>IFERROR(__xludf.DUMMYFUNCTION("IFERROR(sum(FILTER($D:$N,$C:$C = $C1421,$A:$A &lt; $A1421,$B:$B = 12)),0) + sum($D1421:$N1421)"),210850.19)</f>
        <v>210850.19</v>
      </c>
      <c r="Q1421" s="92">
        <f t="shared" si="1"/>
        <v>0.53</v>
      </c>
      <c r="R1421" s="91">
        <f t="array" ref="R1421">IFERROR(INDEX('Fund YTD Target Values'!$1:$1000, MATCH($C1421,'Fund YTD Target Values'!$A:$A,0), MATCH($A1421,'Fund YTD Target Values'!$1:$1,0)),0)</f>
        <v>221607.3864</v>
      </c>
      <c r="S1421" s="91">
        <f>IFERROR(__xludf.DUMMYFUNCTION("IFERROR(sum(FILTER('Fund Investment Data'!$V:$V, 'Fund Investment Data'!$C:$C = $C1421, 'Fund Investment Data'!$A:$A &lt; $A1421)),0) + IFERROR(sum(FILTER('Fund Investment Data'!$V:$V, 'Fund Investment Data'!$C:$C = $C1421, 'Fund Investment Data'!$A:$A = $A1"&amp;"421, 'Fund Investment Data'!$B:$B &lt;= $B1421)),0)"),185189.56)</f>
        <v>185189.56</v>
      </c>
      <c r="T1421" s="93"/>
      <c r="U1421" s="32"/>
      <c r="V1421" s="32">
        <f>IFERROR(__xludf.DUMMYFUNCTION("$D1421 - IFERROR(FILTER($D:$D,$C:$C = $C1421, $A:$A = $A1421, $B:$B = $B1421 - 1),0)"),0.0)</f>
        <v>0</v>
      </c>
      <c r="W1421" s="93">
        <f>IFERROR(__xludf.DUMMYFUNCTION("$E1421 - IFERROR(FILTER($E:$E,$C:$C = $C1421, $A:$A = $A1421, $B:$B = $B1421 - 1),0)"),-500.0)</f>
        <v>-500</v>
      </c>
      <c r="X1421" s="91">
        <f>IFERROR(__xludf.DUMMYFUNCTION("iFERROR((FILTER('Fund Investment Data'!$Z:$Z, 'Fund Investment Data'!$C:$C = $C1421, 'Fund Investment Data'!$A:$A = $A1421 - 1, 'Fund Investment Data'!$B:$B = 12) + FILTER('Fund Investment Data'!$AB:$AB, 'Fund Investment Data'!$C:$C = $C1421, 'Fund Invest"&amp;"ment Data'!$A:$A = $A1421 - 1, 'Fund Investment Data'!$B:$B = 12)) * (1 + AVERAGE(FILTER('Inflation Data'!$C:$C,'Inflation Data'!$A:$A = ($A1421 - 2)))) * Parameters!$A$4,0)"),7479.015292624062)</f>
        <v>7479.015293</v>
      </c>
      <c r="Y1421" s="91">
        <f>IFERROR(__xludf.DUMMYFUNCTION("IFERROR((IFERROR(FILTER('Fund Investment Data'!$P:$P,'Fund Investment Data'!$C:$C = $C1421,'Fund Investment Data'!$A:$A = ($A1421 - 2), 'Fund Investment Data'!$B:$B = 12),0) - SUM(FILTER('Fund Investment Data'!$V:$V, 'Fund Investment Data'!$C:$C = $C1421,"&amp;" 'Fund Investment Data'!$A:$A = ($A1421 - 2), 'Fund Investment Data'!$B:$B &gt; 3)))  * Parameters!$B$4 * (1 - Parameters!$A$4),0)"),2908.7654850000004)</f>
        <v>2908.765485</v>
      </c>
      <c r="Z1421" s="91">
        <f t="shared" si="24"/>
        <v>10387.78078</v>
      </c>
      <c r="AA1421" s="91">
        <f>IFERROR(__xludf.DUMMYFUNCTION("((IFERROR((SUM(FILTER('Fund Investment Data'!$V:$V, 'Fund Investment Data'!$C:$C = $C1421, 'Fund Investment Data'!$A:$A = $A1421 - 1, 'Fund Investment Data'!$B:$B &gt;= 4, 'Fund Investment Data'!$B:$B &lt;= ($B1421 + 5))) / 12) * ($B1421 - 3) * Parameters!$B$4,"&amp;" 0) + IF($B1421 &gt;= 9, IFERROR(SUM(FILTER('Fund Investment Data'!$V:$V, 'Fund Investment Data'!$C:$C = $C1421, 'Fund Investment Data'!$A:$A = $A1421, 'Fund Investment Data'!$B:$B &lt;= 3)) * Parameters!$B$4, 0),0)))"),0.0)</f>
        <v>0</v>
      </c>
      <c r="AB1421" s="32">
        <f>IFERROR(__xludf.DUMMYFUNCTION("IFERROR(((IFERROR(SUM(FILTER('Fund Investment Data'!$V:$V, 'Fund Investment Data'!$C:$C = $C1421, 'Fund Investment Data'!$A:$A = $A1421 - 2, 'Fund Investment Data'!$B:$B &gt;= 4)) * Parameters!$B$4,0) + IFERROR(SUM(FILTER('Fund Investment Data'!$V:$V, 'Fund "&amp;"Investment Data'!$C:$C = $C1421, 'Fund Investment Data'!$A:$A = $A1421 - 1, 'Fund Investment Data'!$B:$B &lt;= 3)) * Parameters!$B$4,0))),0)"),0.0)</f>
        <v>0</v>
      </c>
      <c r="AC1421" s="32">
        <f>IFERROR(__xludf.DUMMYFUNCTION("IFERROR(FILTER($AF:$AF,$C:$C = $C1421,$A:$A = $A1421 - 1,$B:$B = 12),0)"),0.0)</f>
        <v>0</v>
      </c>
      <c r="AD1421" s="32">
        <f t="shared" si="23"/>
        <v>10387.78078</v>
      </c>
      <c r="AE1421" s="32">
        <f t="shared" si="2"/>
        <v>9887.780778</v>
      </c>
      <c r="AF1421" s="32"/>
    </row>
    <row r="1422">
      <c r="A1422" s="86">
        <v>2019.0</v>
      </c>
      <c r="B1422" s="87">
        <v>6.0</v>
      </c>
      <c r="C1422" s="88" t="s">
        <v>32</v>
      </c>
      <c r="D1422" s="32"/>
      <c r="E1422" s="32"/>
      <c r="F1422" s="32"/>
      <c r="G1422" s="93">
        <v>-143.01</v>
      </c>
      <c r="H1422" s="93">
        <v>633.03</v>
      </c>
      <c r="I1422" s="32"/>
      <c r="J1422" s="93">
        <v>4964.19</v>
      </c>
      <c r="K1422" s="32"/>
      <c r="L1422" s="32"/>
      <c r="M1422" s="32"/>
      <c r="N1422" s="32"/>
      <c r="O1422" s="93">
        <v>52904.76</v>
      </c>
      <c r="P1422" s="91">
        <f>IFERROR(__xludf.DUMMYFUNCTION("IFERROR(sum(FILTER($D:$N,$C:$C = $C1422,$A:$A &lt; $A1422,$B:$B = 12)),0) + sum($D1422:$N1422)"),52904.36000000002)</f>
        <v>52904.36</v>
      </c>
      <c r="Q1422" s="92">
        <f t="shared" si="1"/>
        <v>0.4</v>
      </c>
      <c r="R1422" s="91">
        <f t="array" ref="R1422">IFERROR(INDEX('Fund YTD Target Values'!$1:$1000, MATCH($C1422,'Fund YTD Target Values'!$A:$A,0), MATCH($A1422,'Fund YTD Target Values'!$1:$1,0)),0)</f>
        <v>80613.71135</v>
      </c>
      <c r="S1422" s="91">
        <f>IFERROR(__xludf.DUMMYFUNCTION("IFERROR(sum(FILTER('Fund Investment Data'!$V:$V, 'Fund Investment Data'!$C:$C = $C1422, 'Fund Investment Data'!$A:$A &lt; $A1422)),0) + IFERROR(sum(FILTER('Fund Investment Data'!$V:$V, 'Fund Investment Data'!$C:$C = $C1422, 'Fund Investment Data'!$A:$A = $A1"&amp;"422, 'Fund Investment Data'!$B:$B &lt;= $B1422)),0)"),49449.04)</f>
        <v>49449.04</v>
      </c>
      <c r="T1422" s="32"/>
      <c r="U1422" s="32"/>
      <c r="V1422" s="32">
        <f>IFERROR(__xludf.DUMMYFUNCTION("$D1422 - IFERROR(FILTER($D:$D,$C:$C = $C1422, $A:$A = $A1422, $B:$B = $B1422 - 1),0)"),0.0)</f>
        <v>0</v>
      </c>
      <c r="W1422" s="93">
        <f>IFERROR(__xludf.DUMMYFUNCTION("$E1422 - IFERROR(FILTER($E:$E,$C:$C = $C1422, $A:$A = $A1422, $B:$B = $B1422 - 1),0)"),0.0)</f>
        <v>0</v>
      </c>
      <c r="X1422" s="91">
        <f>IFERROR(__xludf.DUMMYFUNCTION("iFERROR((FILTER('Fund Investment Data'!$Z:$Z, 'Fund Investment Data'!$C:$C = $C1422, 'Fund Investment Data'!$A:$A = $A1422 - 1, 'Fund Investment Data'!$B:$B = 12) + FILTER('Fund Investment Data'!$AB:$AB, 'Fund Investment Data'!$C:$C = $C1422, 'Fund Invest"&amp;"ment Data'!$A:$A = $A1422 - 1, 'Fund Investment Data'!$B:$B = 12)) * (1 + AVERAGE(FILTER('Inflation Data'!$C:$C,'Inflation Data'!$A:$A = ($A1422 - 2)))) * Parameters!$A$4,0)"),1718.9474190106023)</f>
        <v>1718.947419</v>
      </c>
      <c r="Y1422" s="91">
        <f>IFERROR(__xludf.DUMMYFUNCTION("IFERROR((IFERROR(FILTER('Fund Investment Data'!$P:$P,'Fund Investment Data'!$C:$C = $C1422,'Fund Investment Data'!$A:$A = ($A1422 - 2), 'Fund Investment Data'!$B:$B = 12),0) - SUM(FILTER('Fund Investment Data'!$V:$V, 'Fund Investment Data'!$C:$C = $C1422,"&amp;" 'Fund Investment Data'!$A:$A = ($A1422 - 2), 'Fund Investment Data'!$B:$B &gt; 3)))  * Parameters!$B$4 * (1 - Parameters!$A$4),0)"),721.3160700000005)</f>
        <v>721.31607</v>
      </c>
      <c r="Z1422" s="91">
        <f t="shared" si="24"/>
        <v>2440.263489</v>
      </c>
      <c r="AA1422" s="91">
        <f>IFERROR(__xludf.DUMMYFUNCTION("((IFERROR((SUM(FILTER('Fund Investment Data'!$V:$V, 'Fund Investment Data'!$C:$C = $C1422, 'Fund Investment Data'!$A:$A = $A1422 - 1, 'Fund Investment Data'!$B:$B &gt;= 4, 'Fund Investment Data'!$B:$B &lt;= ($B1422 + 5))) / 12) * ($B1422 - 3) * Parameters!$B$4,"&amp;" 0) + IF($B1422 &gt;= 9, IFERROR(SUM(FILTER('Fund Investment Data'!$V:$V, 'Fund Investment Data'!$C:$C = $C1422, 'Fund Investment Data'!$A:$A = $A1422, 'Fund Investment Data'!$B:$B &lt;= 3)) * Parameters!$B$4, 0),0)))"),0.0)</f>
        <v>0</v>
      </c>
      <c r="AB1422" s="32">
        <f>IFERROR(__xludf.DUMMYFUNCTION("IFERROR(((IFERROR(SUM(FILTER('Fund Investment Data'!$V:$V, 'Fund Investment Data'!$C:$C = $C1422, 'Fund Investment Data'!$A:$A = $A1422 - 2, 'Fund Investment Data'!$B:$B &gt;= 4)) * Parameters!$B$4,0) + IFERROR(SUM(FILTER('Fund Investment Data'!$V:$V, 'Fund "&amp;"Investment Data'!$C:$C = $C1422, 'Fund Investment Data'!$A:$A = $A1422 - 1, 'Fund Investment Data'!$B:$B &lt;= 3)) * Parameters!$B$4,0))),0)"),0.0)</f>
        <v>0</v>
      </c>
      <c r="AC1422" s="32">
        <f>IFERROR(__xludf.DUMMYFUNCTION("IFERROR(FILTER($AF:$AF,$C:$C = $C1422,$A:$A = $A1422 - 1,$B:$B = 12),0)"),0.0)</f>
        <v>0</v>
      </c>
      <c r="AD1422" s="32">
        <f t="shared" si="23"/>
        <v>2440.263489</v>
      </c>
      <c r="AE1422" s="32">
        <f t="shared" si="2"/>
        <v>2440.263489</v>
      </c>
      <c r="AF1422" s="32"/>
    </row>
    <row r="1423">
      <c r="A1423" s="86">
        <v>2019.0</v>
      </c>
      <c r="B1423" s="87">
        <v>6.0</v>
      </c>
      <c r="C1423" s="88" t="s">
        <v>40</v>
      </c>
      <c r="D1423" s="32"/>
      <c r="E1423" s="93">
        <v>-7000.0</v>
      </c>
      <c r="F1423" s="32"/>
      <c r="G1423" s="93">
        <v>-408.04</v>
      </c>
      <c r="H1423" s="93">
        <v>1809.63</v>
      </c>
      <c r="I1423" s="93">
        <v>1434.63</v>
      </c>
      <c r="J1423" s="93">
        <v>12847.65</v>
      </c>
      <c r="K1423" s="32"/>
      <c r="L1423" s="32"/>
      <c r="M1423" s="32"/>
      <c r="N1423" s="32"/>
      <c r="O1423" s="93">
        <v>145129.02</v>
      </c>
      <c r="P1423" s="91">
        <f>IFERROR(__xludf.DUMMYFUNCTION("IFERROR(sum(FILTER($D:$N,$C:$C = $C1423,$A:$A &lt; $A1423,$B:$B = 12)),0) + sum($D1423:$N1423)"),145128.97999999992)</f>
        <v>145128.98</v>
      </c>
      <c r="Q1423" s="92">
        <f t="shared" si="1"/>
        <v>0.04000000007</v>
      </c>
      <c r="R1423" s="91">
        <f t="array" ref="R1423">IFERROR(INDEX('Fund YTD Target Values'!$1:$1000, MATCH($C1423,'Fund YTD Target Values'!$A:$A,0), MATCH($A1423,'Fund YTD Target Values'!$1:$1,0)),0)</f>
        <v>164286.6043</v>
      </c>
      <c r="S1423" s="91">
        <f>IFERROR(__xludf.DUMMYFUNCTION("IFERROR(sum(FILTER('Fund Investment Data'!$V:$V, 'Fund Investment Data'!$C:$C = $C1423, 'Fund Investment Data'!$A:$A &lt; $A1423)),0) + IFERROR(sum(FILTER('Fund Investment Data'!$V:$V, 'Fund Investment Data'!$C:$C = $C1423, 'Fund Investment Data'!$A:$A = $A1"&amp;"423, 'Fund Investment Data'!$B:$B &lt;= $B1423)),0)"),129703.74)</f>
        <v>129703.74</v>
      </c>
      <c r="T1423" s="32"/>
      <c r="U1423" s="32"/>
      <c r="V1423" s="32">
        <f>IFERROR(__xludf.DUMMYFUNCTION("$D1423 - IFERROR(FILTER($D:$D,$C:$C = $C1423, $A:$A = $A1423, $B:$B = $B1423 - 1),0)"),0.0)</f>
        <v>0</v>
      </c>
      <c r="W1423" s="93">
        <f>IFERROR(__xludf.DUMMYFUNCTION("$E1423 - IFERROR(FILTER($E:$E,$C:$C = $C1423, $A:$A = $A1423, $B:$B = $B1423 - 1),0)"),0.0)</f>
        <v>0</v>
      </c>
      <c r="X1423" s="91">
        <f>IFERROR(__xludf.DUMMYFUNCTION("iFERROR((FILTER('Fund Investment Data'!$Z:$Z, 'Fund Investment Data'!$C:$C = $C1423, 'Fund Investment Data'!$A:$A = $A1423 - 1, 'Fund Investment Data'!$B:$B = 12) + FILTER('Fund Investment Data'!$AB:$AB, 'Fund Investment Data'!$C:$C = $C1423, 'Fund Invest"&amp;"ment Data'!$A:$A = $A1423 - 1, 'Fund Investment Data'!$B:$B = 12)) * (1 + AVERAGE(FILTER('Inflation Data'!$C:$C,'Inflation Data'!$A:$A = ($A1423 - 2)))) * Parameters!$A$4,0)"),4980.550706212943)</f>
        <v>4980.550706</v>
      </c>
      <c r="Y1423" s="91">
        <f>IFERROR(__xludf.DUMMYFUNCTION("IFERROR((IFERROR(FILTER('Fund Investment Data'!$P:$P,'Fund Investment Data'!$C:$C = $C1423,'Fund Investment Data'!$A:$A = ($A1423 - 2), 'Fund Investment Data'!$B:$B = 12),0) - SUM(FILTER('Fund Investment Data'!$V:$V, 'Fund Investment Data'!$C:$C = $C1423,"&amp;" 'Fund Investment Data'!$A:$A = ($A1423 - 2), 'Fund Investment Data'!$B:$B &gt; 3)))  * Parameters!$B$4 * (1 - Parameters!$A$4),0)"),2089.971585)</f>
        <v>2089.971585</v>
      </c>
      <c r="Z1423" s="91">
        <f t="shared" si="24"/>
        <v>7070.522291</v>
      </c>
      <c r="AA1423" s="91">
        <f>IFERROR(__xludf.DUMMYFUNCTION("((IFERROR((SUM(FILTER('Fund Investment Data'!$V:$V, 'Fund Investment Data'!$C:$C = $C1423, 'Fund Investment Data'!$A:$A = $A1423 - 1, 'Fund Investment Data'!$B:$B &gt;= 4, 'Fund Investment Data'!$B:$B &lt;= ($B1423 + 5))) / 12) * ($B1423 - 3) * Parameters!$B$4,"&amp;" 0) + IF($B1423 &gt;= 9, IFERROR(SUM(FILTER('Fund Investment Data'!$V:$V, 'Fund Investment Data'!$C:$C = $C1423, 'Fund Investment Data'!$A:$A = $A1423, 'Fund Investment Data'!$B:$B &lt;= 3)) * Parameters!$B$4, 0),0)))"),0.0)</f>
        <v>0</v>
      </c>
      <c r="AB1423" s="32">
        <f>IFERROR(__xludf.DUMMYFUNCTION("IFERROR(((IFERROR(SUM(FILTER('Fund Investment Data'!$V:$V, 'Fund Investment Data'!$C:$C = $C1423, 'Fund Investment Data'!$A:$A = $A1423 - 2, 'Fund Investment Data'!$B:$B &gt;= 4)) * Parameters!$B$4,0) + IFERROR(SUM(FILTER('Fund Investment Data'!$V:$V, 'Fund "&amp;"Investment Data'!$C:$C = $C1423, 'Fund Investment Data'!$A:$A = $A1423 - 1, 'Fund Investment Data'!$B:$B &lt;= 3)) * Parameters!$B$4,0))),0)"),0.0)</f>
        <v>0</v>
      </c>
      <c r="AC1423" s="32">
        <f>IFERROR(__xludf.DUMMYFUNCTION("IFERROR(FILTER($AF:$AF,$C:$C = $C1423,$A:$A = $A1423 - 1,$B:$B = 12),0)"),0.0)</f>
        <v>0</v>
      </c>
      <c r="AD1423" s="32">
        <f t="shared" si="23"/>
        <v>7070.522291</v>
      </c>
      <c r="AE1423" s="32">
        <f t="shared" si="2"/>
        <v>70.52229121</v>
      </c>
      <c r="AF1423" s="32"/>
    </row>
    <row r="1424">
      <c r="A1424" s="86">
        <v>2019.0</v>
      </c>
      <c r="B1424" s="87">
        <v>6.0</v>
      </c>
      <c r="C1424" s="88" t="s">
        <v>51</v>
      </c>
      <c r="D1424" s="93">
        <v>1000.0</v>
      </c>
      <c r="E1424" s="32"/>
      <c r="F1424" s="32"/>
      <c r="G1424" s="93">
        <v>-1329.75</v>
      </c>
      <c r="H1424" s="93">
        <v>5845.32</v>
      </c>
      <c r="I1424" s="32"/>
      <c r="J1424" s="93">
        <v>44487.29</v>
      </c>
      <c r="K1424" s="32"/>
      <c r="L1424" s="32"/>
      <c r="M1424" s="32"/>
      <c r="N1424" s="32"/>
      <c r="O1424" s="93">
        <v>492132.89</v>
      </c>
      <c r="P1424" s="91">
        <f>IFERROR(__xludf.DUMMYFUNCTION("IFERROR(sum(FILTER($D:$N,$C:$C = $C1424,$A:$A &lt; $A1424,$B:$B = 12)),0) + sum($D1424:$N1424)"),492132.87000000005)</f>
        <v>492132.87</v>
      </c>
      <c r="Q1424" s="92">
        <f t="shared" si="1"/>
        <v>0.01999999996</v>
      </c>
      <c r="R1424" s="91">
        <f t="array" ref="R1424">IFERROR(INDEX('Fund YTD Target Values'!$1:$1000, MATCH($C1424,'Fund YTD Target Values'!$A:$A,0), MATCH($A1424,'Fund YTD Target Values'!$1:$1,0)),0)</f>
        <v>460355.013</v>
      </c>
      <c r="S1424" s="91">
        <f>IFERROR(__xludf.DUMMYFUNCTION("IFERROR(sum(FILTER('Fund Investment Data'!$V:$V, 'Fund Investment Data'!$C:$C = $C1424, 'Fund Investment Data'!$A:$A &lt; $A1424)),0) + IFERROR(sum(FILTER('Fund Investment Data'!$V:$V, 'Fund Investment Data'!$C:$C = $C1424, 'Fund Investment Data'!$A:$A = $A1"&amp;"424, 'Fund Investment Data'!$B:$B &lt;= $B1424)),0)"),420073.55)</f>
        <v>420073.55</v>
      </c>
      <c r="T1424" s="32"/>
      <c r="U1424" s="32"/>
      <c r="V1424" s="32">
        <f>IFERROR(__xludf.DUMMYFUNCTION("$D1424 - IFERROR(FILTER($D:$D,$C:$C = $C1424, $A:$A = $A1424, $B:$B = $B1424 - 1),0)"),0.0)</f>
        <v>0</v>
      </c>
      <c r="W1424" s="93">
        <f>IFERROR(__xludf.DUMMYFUNCTION("$E1424 - IFERROR(FILTER($E:$E,$C:$C = $C1424, $A:$A = $A1424, $B:$B = $B1424 - 1),0)"),0.0)</f>
        <v>0</v>
      </c>
      <c r="X1424" s="91">
        <f>IFERROR(__xludf.DUMMYFUNCTION("iFERROR((FILTER('Fund Investment Data'!$Z:$Z, 'Fund Investment Data'!$C:$C = $C1424, 'Fund Investment Data'!$A:$A = $A1424 - 1, 'Fund Investment Data'!$B:$B = 12) + FILTER('Fund Investment Data'!$AB:$AB, 'Fund Investment Data'!$C:$C = $C1424, 'Fund Invest"&amp;"ment Data'!$A:$A = $A1424 - 1, 'Fund Investment Data'!$B:$B = 12)) * (1 + AVERAGE(FILTER('Inflation Data'!$C:$C,'Inflation Data'!$A:$A = ($A1424 - 2)))) * Parameters!$A$4,0)"),14060.066994776611)</f>
        <v>14060.06699</v>
      </c>
      <c r="Y1424" s="91">
        <f>IFERROR(__xludf.DUMMYFUNCTION("IFERROR((IFERROR(FILTER('Fund Investment Data'!$P:$P,'Fund Investment Data'!$C:$C = $C1424,'Fund Investment Data'!$A:$A = ($A1424 - 2), 'Fund Investment Data'!$B:$B = 12),0) - SUM(FILTER('Fund Investment Data'!$V:$V, 'Fund Investment Data'!$C:$C = $C1424,"&amp;" 'Fund Investment Data'!$A:$A = ($A1424 - 2), 'Fund Investment Data'!$B:$B &gt; 3)))  * Parameters!$B$4 * (1 - Parameters!$A$4),0)"),6507.701055)</f>
        <v>6507.701055</v>
      </c>
      <c r="Z1424" s="91">
        <f t="shared" si="24"/>
        <v>20567.76805</v>
      </c>
      <c r="AA1424" s="91">
        <f>IFERROR(__xludf.DUMMYFUNCTION("((IFERROR((SUM(FILTER('Fund Investment Data'!$V:$V, 'Fund Investment Data'!$C:$C = $C1424, 'Fund Investment Data'!$A:$A = $A1424 - 1, 'Fund Investment Data'!$B:$B &gt;= 4, 'Fund Investment Data'!$B:$B &lt;= ($B1424 + 5))) / 12) * ($B1424 - 3) * Parameters!$B$4,"&amp;" 0) + IF($B1424 &gt;= 9, IFERROR(SUM(FILTER('Fund Investment Data'!$V:$V, 'Fund Investment Data'!$C:$C = $C1424, 'Fund Investment Data'!$A:$A = $A1424, 'Fund Investment Data'!$B:$B &lt;= 3)) * Parameters!$B$4, 0),0)))"),28.6875)</f>
        <v>28.6875</v>
      </c>
      <c r="AB1424" s="32">
        <f>IFERROR(__xludf.DUMMYFUNCTION("IFERROR(((IFERROR(SUM(FILTER('Fund Investment Data'!$V:$V, 'Fund Investment Data'!$C:$C = $C1424, 'Fund Investment Data'!$A:$A = $A1424 - 2, 'Fund Investment Data'!$B:$B &gt;= 4)) * Parameters!$B$4,0) + IFERROR(SUM(FILTER('Fund Investment Data'!$V:$V, 'Fund "&amp;"Investment Data'!$C:$C = $C1424, 'Fund Investment Data'!$A:$A = $A1424 - 1, 'Fund Investment Data'!$B:$B &lt;= 3)) * Parameters!$B$4,0))),0)"),153.0)</f>
        <v>153</v>
      </c>
      <c r="AC1424" s="32">
        <f>IFERROR(__xludf.DUMMYFUNCTION("IFERROR(FILTER($AF:$AF,$C:$C = $C1424,$A:$A = $A1424 - 1,$B:$B = 12),0)"),14700.0)</f>
        <v>14700</v>
      </c>
      <c r="AD1424" s="32">
        <f t="shared" si="23"/>
        <v>35449.45555</v>
      </c>
      <c r="AE1424" s="32">
        <f t="shared" si="2"/>
        <v>35449.45555</v>
      </c>
      <c r="AF1424" s="32"/>
    </row>
    <row r="1425">
      <c r="A1425" s="86">
        <v>2019.0</v>
      </c>
      <c r="B1425" s="87">
        <v>6.0</v>
      </c>
      <c r="C1425" s="88" t="s">
        <v>48</v>
      </c>
      <c r="D1425" s="32"/>
      <c r="E1425" s="93">
        <v>-23000.0</v>
      </c>
      <c r="F1425" s="32"/>
      <c r="G1425" s="93">
        <v>-3269.21</v>
      </c>
      <c r="H1425" s="93">
        <v>14515.71</v>
      </c>
      <c r="I1425" s="93">
        <v>4652.33</v>
      </c>
      <c r="J1425" s="93">
        <v>109814.69</v>
      </c>
      <c r="K1425" s="32"/>
      <c r="L1425" s="32"/>
      <c r="M1425" s="32"/>
      <c r="N1425" s="32"/>
      <c r="O1425" s="93">
        <v>1195928.23</v>
      </c>
      <c r="P1425" s="91">
        <f>IFERROR(__xludf.DUMMYFUNCTION("IFERROR(sum(FILTER($D:$N,$C:$C = $C1425,$A:$A &lt; $A1425,$B:$B = 12)),0) + sum($D1425:$N1425)"),1195926.9099999997)</f>
        <v>1195926.91</v>
      </c>
      <c r="Q1425" s="92">
        <f t="shared" si="1"/>
        <v>1.32</v>
      </c>
      <c r="R1425" s="91">
        <f t="array" ref="R1425">IFERROR(INDEX('Fund YTD Target Values'!$1:$1000, MATCH($C1425,'Fund YTD Target Values'!$A:$A,0), MATCH($A1425,'Fund YTD Target Values'!$1:$1,0)),0)</f>
        <v>1930631.639</v>
      </c>
      <c r="S1425" s="91">
        <f>IFERROR(__xludf.DUMMYFUNCTION("IFERROR(sum(FILTER('Fund Investment Data'!$V:$V, 'Fund Investment Data'!$C:$C = $C1425, 'Fund Investment Data'!$A:$A &lt; $A1425)),0) + IFERROR(sum(FILTER('Fund Investment Data'!$V:$V, 'Fund Investment Data'!$C:$C = $C1425, 'Fund Investment Data'!$A:$A = $A1"&amp;"425, 'Fund Investment Data'!$B:$B &lt;= $B1425)),0)"),1183929.39)</f>
        <v>1183929.39</v>
      </c>
      <c r="T1425" s="32"/>
      <c r="U1425" s="32"/>
      <c r="V1425" s="32">
        <f>IFERROR(__xludf.DUMMYFUNCTION("$D1425 - IFERROR(FILTER($D:$D,$C:$C = $C1425, $A:$A = $A1425, $B:$B = $B1425 - 1),0)"),0.0)</f>
        <v>0</v>
      </c>
      <c r="W1425" s="93">
        <f>IFERROR(__xludf.DUMMYFUNCTION("$E1425 - IFERROR(FILTER($E:$E,$C:$C = $C1425, $A:$A = $A1425, $B:$B = $B1425 - 1),0)"),0.0)</f>
        <v>0</v>
      </c>
      <c r="X1425" s="91">
        <f>IFERROR(__xludf.DUMMYFUNCTION("iFERROR((FILTER('Fund Investment Data'!$Z:$Z, 'Fund Investment Data'!$C:$C = $C1425, 'Fund Investment Data'!$A:$A = $A1425 - 1, 'Fund Investment Data'!$B:$B = 12) + FILTER('Fund Investment Data'!$AB:$AB, 'Fund Investment Data'!$C:$C = $C1425, 'Fund Invest"&amp;"ment Data'!$A:$A = $A1425 - 1, 'Fund Investment Data'!$B:$B = 12)) * (1 + AVERAGE(FILTER('Inflation Data'!$C:$C,'Inflation Data'!$A:$A = ($A1425 - 2)))) * Parameters!$A$4,0)"),40170.623919220896)</f>
        <v>40170.62392</v>
      </c>
      <c r="Y1425" s="91">
        <f>IFERROR(__xludf.DUMMYFUNCTION("IFERROR((IFERROR(FILTER('Fund Investment Data'!$P:$P,'Fund Investment Data'!$C:$C = $C1425,'Fund Investment Data'!$A:$A = ($A1425 - 2), 'Fund Investment Data'!$B:$B = 12),0) - SUM(FILTER('Fund Investment Data'!$V:$V, 'Fund Investment Data'!$C:$C = $C1425,"&amp;" 'Fund Investment Data'!$A:$A = ($A1425 - 2), 'Fund Investment Data'!$B:$B &gt; 3)))  * Parameters!$B$4 * (1 - Parameters!$A$4),0)"),16856.662545)</f>
        <v>16856.66255</v>
      </c>
      <c r="Z1425" s="91">
        <f t="shared" si="24"/>
        <v>57027.28646</v>
      </c>
      <c r="AA1425" s="91">
        <f>IFERROR(__xludf.DUMMYFUNCTION("((IFERROR((SUM(FILTER('Fund Investment Data'!$V:$V, 'Fund Investment Data'!$C:$C = $C1425, 'Fund Investment Data'!$A:$A = $A1425 - 1, 'Fund Investment Data'!$B:$B &gt;= 4, 'Fund Investment Data'!$B:$B &lt;= ($B1425 + 5))) / 12) * ($B1425 - 3) * Parameters!$B$4,"&amp;" 0) + IF($B1425 &gt;= 9, IFERROR(SUM(FILTER('Fund Investment Data'!$V:$V, 'Fund Investment Data'!$C:$C = $C1425, 'Fund Investment Data'!$A:$A = $A1425, 'Fund Investment Data'!$B:$B &lt;= 3)) * Parameters!$B$4, 0),0)))"),0.0)</f>
        <v>0</v>
      </c>
      <c r="AB1425" s="32">
        <f>IFERROR(__xludf.DUMMYFUNCTION("IFERROR(((IFERROR(SUM(FILTER('Fund Investment Data'!$V:$V, 'Fund Investment Data'!$C:$C = $C1425, 'Fund Investment Data'!$A:$A = $A1425 - 2, 'Fund Investment Data'!$B:$B &gt;= 4)) * Parameters!$B$4,0) + IFERROR(SUM(FILTER('Fund Investment Data'!$V:$V, 'Fund "&amp;"Investment Data'!$C:$C = $C1425, 'Fund Investment Data'!$A:$A = $A1425 - 1, 'Fund Investment Data'!$B:$B &lt;= 3)) * Parameters!$B$4,0))),0)"),0.0)</f>
        <v>0</v>
      </c>
      <c r="AC1425" s="32">
        <f>IFERROR(__xludf.DUMMYFUNCTION("IFERROR(FILTER($AF:$AF,$C:$C = $C1425,$A:$A = $A1425 - 1,$B:$B = 12),0)"),0.0)</f>
        <v>0</v>
      </c>
      <c r="AD1425" s="32">
        <f t="shared" si="23"/>
        <v>57027.28646</v>
      </c>
      <c r="AE1425" s="32">
        <f t="shared" si="2"/>
        <v>34027.28646</v>
      </c>
      <c r="AF1425" s="32"/>
    </row>
    <row r="1426">
      <c r="A1426" s="86">
        <v>2019.0</v>
      </c>
      <c r="B1426" s="87">
        <v>6.0</v>
      </c>
      <c r="C1426" s="88" t="s">
        <v>49</v>
      </c>
      <c r="D1426" s="32"/>
      <c r="E1426" s="93">
        <v>-10000.0</v>
      </c>
      <c r="F1426" s="32"/>
      <c r="G1426" s="93">
        <v>-1415.47</v>
      </c>
      <c r="H1426" s="93">
        <v>6285.35</v>
      </c>
      <c r="I1426" s="93">
        <v>2052.01</v>
      </c>
      <c r="J1426" s="93">
        <v>47591.97</v>
      </c>
      <c r="K1426" s="32"/>
      <c r="L1426" s="32"/>
      <c r="M1426" s="32"/>
      <c r="N1426" s="32"/>
      <c r="O1426" s="93">
        <v>518747.88</v>
      </c>
      <c r="P1426" s="91">
        <f>IFERROR(__xludf.DUMMYFUNCTION("IFERROR(sum(FILTER($D:$N,$C:$C = $C1426,$A:$A &lt; $A1426,$B:$B = 12)),0) + sum($D1426:$N1426)"),518748.1799999998)</f>
        <v>518748.18</v>
      </c>
      <c r="Q1426" s="92">
        <f t="shared" si="1"/>
        <v>-0.2999999998</v>
      </c>
      <c r="R1426" s="91">
        <f t="array" ref="R1426">IFERROR(INDEX('Fund YTD Target Values'!$1:$1000, MATCH($C1426,'Fund YTD Target Values'!$A:$A,0), MATCH($A1426,'Fund YTD Target Values'!$1:$1,0)),0)</f>
        <v>714091.1961</v>
      </c>
      <c r="S1426" s="91">
        <f>IFERROR(__xludf.DUMMYFUNCTION("IFERROR(sum(FILTER('Fund Investment Data'!$V:$V, 'Fund Investment Data'!$C:$C = $C1426, 'Fund Investment Data'!$A:$A &lt; $A1426)),0) + IFERROR(sum(FILTER('Fund Investment Data'!$V:$V, 'Fund Investment Data'!$C:$C = $C1426, 'Fund Investment Data'!$A:$A = $A1"&amp;"426, 'Fund Investment Data'!$B:$B &lt;= $B1426)),0)"),500000.0)</f>
        <v>500000</v>
      </c>
      <c r="T1426" s="93">
        <v>500000.0</v>
      </c>
      <c r="U1426" s="32">
        <f>S1426-T1426</f>
        <v>0</v>
      </c>
      <c r="V1426" s="32">
        <f>IFERROR(__xludf.DUMMYFUNCTION("$D1426 - IFERROR(FILTER($D:$D,$C:$C = $C1426, $A:$A = $A1426, $B:$B = $B1426 - 1),0)"),0.0)</f>
        <v>0</v>
      </c>
      <c r="W1426" s="93">
        <f>IFERROR(__xludf.DUMMYFUNCTION("$E1426 - IFERROR(FILTER($E:$E,$C:$C = $C1426, $A:$A = $A1426, $B:$B = $B1426 - 1),0)"),0.0)</f>
        <v>0</v>
      </c>
      <c r="X1426" s="91">
        <f>IFERROR(__xludf.DUMMYFUNCTION("iFERROR((FILTER('Fund Investment Data'!$Z:$Z, 'Fund Investment Data'!$C:$C = $C1426, 'Fund Investment Data'!$A:$A = $A1426 - 1, 'Fund Investment Data'!$B:$B = 12) + FILTER('Fund Investment Data'!$AB:$AB, 'Fund Investment Data'!$C:$C = $C1426, 'Fund Invest"&amp;"ment Data'!$A:$A = $A1426 - 1, 'Fund Investment Data'!$B:$B = 12)) * (1 + AVERAGE(FILTER('Inflation Data'!$C:$C,'Inflation Data'!$A:$A = ($A1426 - 2)))) * Parameters!$A$4,0)"),17620.730663710416)</f>
        <v>17620.73066</v>
      </c>
      <c r="Y1426" s="91">
        <f>IFERROR(__xludf.DUMMYFUNCTION("IFERROR((IFERROR(FILTER('Fund Investment Data'!$P:$P,'Fund Investment Data'!$C:$C = $C1426,'Fund Investment Data'!$A:$A = ($A1426 - 2), 'Fund Investment Data'!$B:$B = 12),0) - SUM(FILTER('Fund Investment Data'!$V:$V, 'Fund Investment Data'!$C:$C = $C1426,"&amp;" 'Fund Investment Data'!$A:$A = ($A1426 - 2), 'Fund Investment Data'!$B:$B &gt; 3)))  * Parameters!$B$4 * (1 - Parameters!$A$4),0)"),7394.127389999999)</f>
        <v>7394.12739</v>
      </c>
      <c r="Z1426" s="91">
        <f t="shared" si="24"/>
        <v>25014.85805</v>
      </c>
      <c r="AA1426" s="91">
        <f>IFERROR(__xludf.DUMMYFUNCTION("((IFERROR((SUM(FILTER('Fund Investment Data'!$V:$V, 'Fund Investment Data'!$C:$C = $C1426, 'Fund Investment Data'!$A:$A = $A1426 - 1, 'Fund Investment Data'!$B:$B &gt;= 4, 'Fund Investment Data'!$B:$B &lt;= ($B1426 + 5))) / 12) * ($B1426 - 3) * Parameters!$B$4,"&amp;" 0) + IF($B1426 &gt;= 9, IFERROR(SUM(FILTER('Fund Investment Data'!$V:$V, 'Fund Investment Data'!$C:$C = $C1426, 'Fund Investment Data'!$A:$A = $A1426, 'Fund Investment Data'!$B:$B &lt;= 3)) * Parameters!$B$4, 0),0)))"),0.0)</f>
        <v>0</v>
      </c>
      <c r="AB1426" s="32">
        <f>IFERROR(__xludf.DUMMYFUNCTION("IFERROR(((IFERROR(SUM(FILTER('Fund Investment Data'!$V:$V, 'Fund Investment Data'!$C:$C = $C1426, 'Fund Investment Data'!$A:$A = $A1426 - 2, 'Fund Investment Data'!$B:$B &gt;= 4)) * Parameters!$B$4,0) + IFERROR(SUM(FILTER('Fund Investment Data'!$V:$V, 'Fund "&amp;"Investment Data'!$C:$C = $C1426, 'Fund Investment Data'!$A:$A = $A1426 - 1, 'Fund Investment Data'!$B:$B &lt;= 3)) * Parameters!$B$4,0))),0)"),0.0)</f>
        <v>0</v>
      </c>
      <c r="AC1426" s="32">
        <f>IFERROR(__xludf.DUMMYFUNCTION("IFERROR(FILTER($AF:$AF,$C:$C = $C1426,$A:$A = $A1426 - 1,$B:$B = 12),0)"),0.0)</f>
        <v>0</v>
      </c>
      <c r="AD1426" s="32">
        <f t="shared" si="23"/>
        <v>25014.85805</v>
      </c>
      <c r="AE1426" s="32">
        <f t="shared" si="2"/>
        <v>15014.85805</v>
      </c>
      <c r="AF1426" s="32"/>
    </row>
    <row r="1427">
      <c r="A1427" s="86">
        <v>2019.0</v>
      </c>
      <c r="B1427" s="87">
        <v>6.0</v>
      </c>
      <c r="C1427" s="88" t="s">
        <v>41</v>
      </c>
      <c r="D1427" s="32"/>
      <c r="E1427" s="93">
        <v>-4475.0</v>
      </c>
      <c r="F1427" s="32"/>
      <c r="G1427" s="93">
        <v>-1755.78</v>
      </c>
      <c r="H1427" s="93">
        <v>7774.96</v>
      </c>
      <c r="I1427" s="32"/>
      <c r="J1427" s="93">
        <v>61151.59</v>
      </c>
      <c r="K1427" s="32"/>
      <c r="L1427" s="32"/>
      <c r="M1427" s="32"/>
      <c r="N1427" s="32"/>
      <c r="O1427" s="93">
        <v>645873.24</v>
      </c>
      <c r="P1427" s="91">
        <f>IFERROR(__xludf.DUMMYFUNCTION("IFERROR(sum(FILTER($D:$N,$C:$C = $C1427,$A:$A &lt; $A1427,$B:$B = 12)),0) + sum($D1427:$N1427)"),645874.0900000001)</f>
        <v>645874.09</v>
      </c>
      <c r="Q1427" s="92">
        <f t="shared" si="1"/>
        <v>-0.8500000001</v>
      </c>
      <c r="R1427" s="91">
        <f t="array" ref="R1427">IFERROR(INDEX('Fund YTD Target Values'!$1:$1000, MATCH($C1427,'Fund YTD Target Values'!$A:$A,0), MATCH($A1427,'Fund YTD Target Values'!$1:$1,0)),0)</f>
        <v>598621.3568</v>
      </c>
      <c r="S1427" s="91">
        <f>IFERROR(__xludf.DUMMYFUNCTION("IFERROR(sum(FILTER('Fund Investment Data'!$V:$V, 'Fund Investment Data'!$C:$C = $C1427, 'Fund Investment Data'!$A:$A &lt; $A1427)),0) + IFERROR(sum(FILTER('Fund Investment Data'!$V:$V, 'Fund Investment Data'!$C:$C = $C1427, 'Fund Investment Data'!$A:$A = $A1"&amp;"427, 'Fund Investment Data'!$B:$B &lt;= $B1427)),0)"),433755.86)</f>
        <v>433755.86</v>
      </c>
      <c r="T1427" s="32"/>
      <c r="U1427" s="32"/>
      <c r="V1427" s="32">
        <f>IFERROR(__xludf.DUMMYFUNCTION("$D1427 - IFERROR(FILTER($D:$D,$C:$C = $C1427, $A:$A = $A1427, $B:$B = $B1427 - 1),0)"),0.0)</f>
        <v>0</v>
      </c>
      <c r="W1427" s="93">
        <f>IFERROR(__xludf.DUMMYFUNCTION("$E1427 - IFERROR(FILTER($E:$E,$C:$C = $C1427, $A:$A = $A1427, $B:$B = $B1427 - 1),0)"),0.0)</f>
        <v>0</v>
      </c>
      <c r="X1427" s="91">
        <f>IFERROR(__xludf.DUMMYFUNCTION("iFERROR((FILTER('Fund Investment Data'!$Z:$Z, 'Fund Investment Data'!$C:$C = $C1427, 'Fund Investment Data'!$A:$A = $A1427 - 1, 'Fund Investment Data'!$B:$B = 12) + FILTER('Fund Investment Data'!$AB:$AB, 'Fund Investment Data'!$C:$C = $C1427, 'Fund Invest"&amp;"ment Data'!$A:$A = $A1427 - 1, 'Fund Investment Data'!$B:$B = 12)) * (1 + AVERAGE(FILTER('Inflation Data'!$C:$C,'Inflation Data'!$A:$A = ($A1427 - 2)))) * Parameters!$A$4,0)"),18464.76285534869)</f>
        <v>18464.76286</v>
      </c>
      <c r="Y1427" s="91">
        <f>IFERROR(__xludf.DUMMYFUNCTION("IFERROR((IFERROR(FILTER('Fund Investment Data'!$P:$P,'Fund Investment Data'!$C:$C = $C1427,'Fund Investment Data'!$A:$A = ($A1427 - 2), 'Fund Investment Data'!$B:$B = 12),0) - SUM(FILTER('Fund Investment Data'!$V:$V, 'Fund Investment Data'!$C:$C = $C1427,"&amp;" 'Fund Investment Data'!$A:$A = ($A1427 - 2), 'Fund Investment Data'!$B:$B &gt; 3)))  * Parameters!$B$4 * (1 - Parameters!$A$4),0)"),8817.111225000002)</f>
        <v>8817.111225</v>
      </c>
      <c r="Z1427" s="91">
        <f t="shared" si="24"/>
        <v>27281.87408</v>
      </c>
      <c r="AA1427" s="91">
        <f>IFERROR(__xludf.DUMMYFUNCTION("((IFERROR((SUM(FILTER('Fund Investment Data'!$V:$V, 'Fund Investment Data'!$C:$C = $C1427, 'Fund Investment Data'!$A:$A = $A1427 - 1, 'Fund Investment Data'!$B:$B &gt;= 4, 'Fund Investment Data'!$B:$B &lt;= ($B1427 + 5))) / 12) * ($B1427 - 3) * Parameters!$B$4,"&amp;" 0) + IF($B1427 &gt;= 9, IFERROR(SUM(FILTER('Fund Investment Data'!$V:$V, 'Fund Investment Data'!$C:$C = $C1427, 'Fund Investment Data'!$A:$A = $A1427, 'Fund Investment Data'!$B:$B &lt;= 3)) * Parameters!$B$4, 0),0)))"),0.0)</f>
        <v>0</v>
      </c>
      <c r="AB1427" s="32">
        <f>IFERROR(__xludf.DUMMYFUNCTION("IFERROR(((IFERROR(SUM(FILTER('Fund Investment Data'!$V:$V, 'Fund Investment Data'!$C:$C = $C1427, 'Fund Investment Data'!$A:$A = $A1427 - 2, 'Fund Investment Data'!$B:$B &gt;= 4)) * Parameters!$B$4,0) + IFERROR(SUM(FILTER('Fund Investment Data'!$V:$V, 'Fund "&amp;"Investment Data'!$C:$C = $C1427, 'Fund Investment Data'!$A:$A = $A1427 - 1, 'Fund Investment Data'!$B:$B &lt;= 3)) * Parameters!$B$4,0))),0)"),0.0)</f>
        <v>0</v>
      </c>
      <c r="AC1427" s="32">
        <f>IFERROR(__xludf.DUMMYFUNCTION("IFERROR(FILTER($AF:$AF,$C:$C = $C1427,$A:$A = $A1427 - 1,$B:$B = 12),0)"),0.0)</f>
        <v>0</v>
      </c>
      <c r="AD1427" s="32">
        <f t="shared" si="23"/>
        <v>27281.87408</v>
      </c>
      <c r="AE1427" s="32">
        <f t="shared" si="2"/>
        <v>22806.87408</v>
      </c>
      <c r="AF1427" s="32"/>
    </row>
    <row r="1428">
      <c r="A1428" s="86">
        <v>2019.0</v>
      </c>
      <c r="B1428" s="87">
        <v>6.0</v>
      </c>
      <c r="C1428" s="88" t="s">
        <v>25</v>
      </c>
      <c r="D1428" s="32"/>
      <c r="E1428" s="32"/>
      <c r="F1428" s="32"/>
      <c r="G1428" s="93">
        <v>-225.54</v>
      </c>
      <c r="H1428" s="93">
        <v>998.44</v>
      </c>
      <c r="I1428" s="32"/>
      <c r="J1428" s="93">
        <v>7829.32</v>
      </c>
      <c r="K1428" s="32"/>
      <c r="L1428" s="32"/>
      <c r="M1428" s="32"/>
      <c r="N1428" s="32"/>
      <c r="O1428" s="93">
        <v>83440.2</v>
      </c>
      <c r="P1428" s="91">
        <f>IFERROR(__xludf.DUMMYFUNCTION("IFERROR(sum(FILTER($D:$N,$C:$C = $C1428,$A:$A &lt; $A1428,$B:$B = 12)),0) + sum($D1428:$N1428)"),83440.19)</f>
        <v>83440.19</v>
      </c>
      <c r="Q1428" s="92">
        <f t="shared" si="1"/>
        <v>0.009999999995</v>
      </c>
      <c r="R1428" s="91">
        <f t="array" ref="R1428">IFERROR(INDEX('Fund YTD Target Values'!$1:$1000, MATCH($C1428,'Fund YTD Target Values'!$A:$A,0), MATCH($A1428,'Fund YTD Target Values'!$1:$1,0)),0)</f>
        <v>111153.3247</v>
      </c>
      <c r="S1428" s="91">
        <f>IFERROR(__xludf.DUMMYFUNCTION("IFERROR(sum(FILTER('Fund Investment Data'!$V:$V, 'Fund Investment Data'!$C:$C = $C1428, 'Fund Investment Data'!$A:$A &lt; $A1428)),0) + IFERROR(sum(FILTER('Fund Investment Data'!$V:$V, 'Fund Investment Data'!$C:$C = $C1428, 'Fund Investment Data'!$A:$A = $A1"&amp;"428, 'Fund Investment Data'!$B:$B &lt;= $B1428)),0)"),81000.0)</f>
        <v>81000</v>
      </c>
      <c r="T1428" s="93">
        <v>81000.0</v>
      </c>
      <c r="U1428" s="32">
        <f t="shared" ref="U1428:U1430" si="50">S1428-T1428</f>
        <v>0</v>
      </c>
      <c r="V1428" s="32">
        <f>IFERROR(__xludf.DUMMYFUNCTION("$D1428 - IFERROR(FILTER($D:$D,$C:$C = $C1428, $A:$A = $A1428, $B:$B = $B1428 - 1),0)"),0.0)</f>
        <v>0</v>
      </c>
      <c r="W1428" s="93">
        <f>IFERROR(__xludf.DUMMYFUNCTION("$E1428 - IFERROR(FILTER($E:$E,$C:$C = $C1428, $A:$A = $A1428, $B:$B = $B1428 - 1),0)"),0.0)</f>
        <v>0</v>
      </c>
      <c r="X1428" s="91">
        <f>IFERROR(__xludf.DUMMYFUNCTION("iFERROR((FILTER('Fund Investment Data'!$Z:$Z, 'Fund Investment Data'!$C:$C = $C1428, 'Fund Investment Data'!$A:$A = $A1428 - 1, 'Fund Investment Data'!$B:$B = 12) + FILTER('Fund Investment Data'!$AB:$AB, 'Fund Investment Data'!$C:$C = $C1428, 'Fund Invest"&amp;"ment Data'!$A:$A = $A1428 - 1, 'Fund Investment Data'!$B:$B = 12)) * (1 + AVERAGE(FILTER('Inflation Data'!$C:$C,'Inflation Data'!$A:$A = ($A1428 - 2)))) * Parameters!$A$4,0)"),3251.4512616945367)</f>
        <v>3251.451262</v>
      </c>
      <c r="Y1428" s="91">
        <f>IFERROR(__xludf.DUMMYFUNCTION("IFERROR((IFERROR(FILTER('Fund Investment Data'!$P:$P,'Fund Investment Data'!$C:$C = $C1428,'Fund Investment Data'!$A:$A = ($A1428 - 2), 'Fund Investment Data'!$B:$B = 12),0) - SUM(FILTER('Fund Investment Data'!$V:$V, 'Fund Investment Data'!$C:$C = $C1428,"&amp;" 'Fund Investment Data'!$A:$A = ($A1428 - 2), 'Fund Investment Data'!$B:$B &gt; 3)))  * Parameters!$B$4 * (1 - Parameters!$A$4),0)"),1364.3954549999999)</f>
        <v>1364.395455</v>
      </c>
      <c r="Z1428" s="91">
        <f t="shared" si="24"/>
        <v>4615.846717</v>
      </c>
      <c r="AA1428" s="91">
        <f>IFERROR(__xludf.DUMMYFUNCTION("((IFERROR((SUM(FILTER('Fund Investment Data'!$V:$V, 'Fund Investment Data'!$C:$C = $C1428, 'Fund Investment Data'!$A:$A = $A1428 - 1, 'Fund Investment Data'!$B:$B &gt;= 4, 'Fund Investment Data'!$B:$B &lt;= ($B1428 + 5))) / 12) * ($B1428 - 3) * Parameters!$B$4,"&amp;" 0) + IF($B1428 &gt;= 9, IFERROR(SUM(FILTER('Fund Investment Data'!$V:$V, 'Fund Investment Data'!$C:$C = $C1428, 'Fund Investment Data'!$A:$A = $A1428, 'Fund Investment Data'!$B:$B &lt;= 3)) * Parameters!$B$4, 0),0)))"),0.0)</f>
        <v>0</v>
      </c>
      <c r="AB1428" s="32">
        <f>IFERROR(__xludf.DUMMYFUNCTION("IFERROR(((IFERROR(SUM(FILTER('Fund Investment Data'!$V:$V, 'Fund Investment Data'!$C:$C = $C1428, 'Fund Investment Data'!$A:$A = $A1428 - 2, 'Fund Investment Data'!$B:$B &gt;= 4)) * Parameters!$B$4,0) + IFERROR(SUM(FILTER('Fund Investment Data'!$V:$V, 'Fund "&amp;"Investment Data'!$C:$C = $C1428, 'Fund Investment Data'!$A:$A = $A1428 - 1, 'Fund Investment Data'!$B:$B &lt;= 3)) * Parameters!$B$4,0))),0)"),0.0)</f>
        <v>0</v>
      </c>
      <c r="AC1428" s="32">
        <f>IFERROR(__xludf.DUMMYFUNCTION("IFERROR(FILTER($AF:$AF,$C:$C = $C1428,$A:$A = $A1428 - 1,$B:$B = 12),0)"),0.0)</f>
        <v>0</v>
      </c>
      <c r="AD1428" s="32">
        <f t="shared" si="23"/>
        <v>4615.846717</v>
      </c>
      <c r="AE1428" s="32">
        <f t="shared" si="2"/>
        <v>4615.846717</v>
      </c>
      <c r="AF1428" s="32"/>
    </row>
    <row r="1429">
      <c r="A1429" s="86">
        <v>2019.0</v>
      </c>
      <c r="B1429" s="87">
        <v>6.0</v>
      </c>
      <c r="C1429" s="88" t="s">
        <v>42</v>
      </c>
      <c r="D1429" s="32"/>
      <c r="E1429" s="32"/>
      <c r="F1429" s="32"/>
      <c r="G1429" s="93">
        <v>-816.18</v>
      </c>
      <c r="H1429" s="93">
        <v>3611.7</v>
      </c>
      <c r="I1429" s="32"/>
      <c r="J1429" s="93">
        <v>28225.3</v>
      </c>
      <c r="K1429" s="32"/>
      <c r="L1429" s="32"/>
      <c r="M1429" s="32"/>
      <c r="N1429" s="32"/>
      <c r="O1429" s="93">
        <v>301897.32</v>
      </c>
      <c r="P1429" s="91">
        <f>IFERROR(__xludf.DUMMYFUNCTION("IFERROR(sum(FILTER($D:$N,$C:$C = $C1429,$A:$A &lt; $A1429,$B:$B = 12)),0) + sum($D1429:$N1429)"),301896.7900000001)</f>
        <v>301896.79</v>
      </c>
      <c r="Q1429" s="92">
        <f t="shared" si="1"/>
        <v>0.5299999999</v>
      </c>
      <c r="R1429" s="91">
        <f t="array" ref="R1429">IFERROR(INDEX('Fund YTD Target Values'!$1:$1000, MATCH($C1429,'Fund YTD Target Values'!$A:$A,0), MATCH($A1429,'Fund YTD Target Values'!$1:$1,0)),0)</f>
        <v>244537.4928</v>
      </c>
      <c r="S1429" s="91">
        <f>IFERROR(__xludf.DUMMYFUNCTION("IFERROR(sum(FILTER('Fund Investment Data'!$V:$V, 'Fund Investment Data'!$C:$C = $C1429, 'Fund Investment Data'!$A:$A &lt; $A1429)),0) + IFERROR(sum(FILTER('Fund Investment Data'!$V:$V, 'Fund Investment Data'!$C:$C = $C1429, 'Fund Investment Data'!$A:$A = $A1"&amp;"429, 'Fund Investment Data'!$B:$B &lt;= $B1429)),0)"),194469.0)</f>
        <v>194469</v>
      </c>
      <c r="T1429" s="93">
        <v>194469.0</v>
      </c>
      <c r="U1429" s="32">
        <f t="shared" si="50"/>
        <v>0</v>
      </c>
      <c r="V1429" s="32">
        <f>IFERROR(__xludf.DUMMYFUNCTION("$D1429 - IFERROR(FILTER($D:$D,$C:$C = $C1429, $A:$A = $A1429, $B:$B = $B1429 - 1),0)"),0.0)</f>
        <v>0</v>
      </c>
      <c r="W1429" s="93">
        <f>IFERROR(__xludf.DUMMYFUNCTION("$E1429 - IFERROR(FILTER($E:$E,$C:$C = $C1429, $A:$A = $A1429, $B:$B = $B1429 - 1),0)"),0.0)</f>
        <v>0</v>
      </c>
      <c r="X1429" s="91">
        <f>IFERROR(__xludf.DUMMYFUNCTION("iFERROR((FILTER('Fund Investment Data'!$Z:$Z, 'Fund Investment Data'!$C:$C = $C1429, 'Fund Investment Data'!$A:$A = $A1429 - 1, 'Fund Investment Data'!$B:$B = 12) + FILTER('Fund Investment Data'!$AB:$AB, 'Fund Investment Data'!$C:$C = $C1429, 'Fund Invest"&amp;"ment Data'!$A:$A = $A1429 - 1, 'Fund Investment Data'!$B:$B = 12)) * (1 + AVERAGE(FILTER('Inflation Data'!$C:$C,'Inflation Data'!$A:$A = ($A1429 - 2)))) * Parameters!$A$4,0)"),7542.876247032937)</f>
        <v>7542.876247</v>
      </c>
      <c r="Y1429" s="91">
        <f>IFERROR(__xludf.DUMMYFUNCTION("IFERROR((IFERROR(FILTER('Fund Investment Data'!$P:$P,'Fund Investment Data'!$C:$C = $C1429,'Fund Investment Data'!$A:$A = ($A1429 - 2), 'Fund Investment Data'!$B:$B = 12),0) - SUM(FILTER('Fund Investment Data'!$V:$V, 'Fund Investment Data'!$C:$C = $C1429,"&amp;" 'Fund Investment Data'!$A:$A = ($A1429 - 2), 'Fund Investment Data'!$B:$B &gt; 3)))  * Parameters!$B$4 * (1 - Parameters!$A$4),0)"),4042.544760000002)</f>
        <v>4042.54476</v>
      </c>
      <c r="Z1429" s="91">
        <f t="shared" si="24"/>
        <v>11585.42101</v>
      </c>
      <c r="AA1429" s="91">
        <f>IFERROR(__xludf.DUMMYFUNCTION("((IFERROR((SUM(FILTER('Fund Investment Data'!$V:$V, 'Fund Investment Data'!$C:$C = $C1429, 'Fund Investment Data'!$A:$A = $A1429 - 1, 'Fund Investment Data'!$B:$B &gt;= 4, 'Fund Investment Data'!$B:$B &lt;= ($B1429 + 5))) / 12) * ($B1429 - 3) * Parameters!$B$4,"&amp;" 0) + IF($B1429 &gt;= 9, IFERROR(SUM(FILTER('Fund Investment Data'!$V:$V, 'Fund Investment Data'!$C:$C = $C1429, 'Fund Investment Data'!$A:$A = $A1429, 'Fund Investment Data'!$B:$B &lt;= 3)) * Parameters!$B$4, 0),0)))"),0.0)</f>
        <v>0</v>
      </c>
      <c r="AB1429" s="32">
        <f>IFERROR(__xludf.DUMMYFUNCTION("IFERROR(((IFERROR(SUM(FILTER('Fund Investment Data'!$V:$V, 'Fund Investment Data'!$C:$C = $C1429, 'Fund Investment Data'!$A:$A = $A1429 - 2, 'Fund Investment Data'!$B:$B &gt;= 4)) * Parameters!$B$4,0) + IFERROR(SUM(FILTER('Fund Investment Data'!$V:$V, 'Fund "&amp;"Investment Data'!$C:$C = $C1429, 'Fund Investment Data'!$A:$A = $A1429 - 1, 'Fund Investment Data'!$B:$B &lt;= 3)) * Parameters!$B$4,0))),0)"),0.0)</f>
        <v>0</v>
      </c>
      <c r="AC1429" s="32">
        <f>IFERROR(__xludf.DUMMYFUNCTION("IFERROR(FILTER($AF:$AF,$C:$C = $C1429,$A:$A = $A1429 - 1,$B:$B = 12),0)"),0.0)</f>
        <v>0</v>
      </c>
      <c r="AD1429" s="32">
        <f t="shared" si="23"/>
        <v>11585.42101</v>
      </c>
      <c r="AE1429" s="32">
        <f t="shared" si="2"/>
        <v>11585.42101</v>
      </c>
      <c r="AF1429" s="32"/>
    </row>
    <row r="1430">
      <c r="A1430" s="86">
        <v>2019.0</v>
      </c>
      <c r="B1430" s="87">
        <v>6.0</v>
      </c>
      <c r="C1430" s="88" t="s">
        <v>43</v>
      </c>
      <c r="D1430" s="32"/>
      <c r="E1430" s="93">
        <v>-5000.0</v>
      </c>
      <c r="F1430" s="32"/>
      <c r="G1430" s="93">
        <v>-330.15</v>
      </c>
      <c r="H1430" s="93">
        <v>1463.81</v>
      </c>
      <c r="I1430" s="93">
        <v>1212.1</v>
      </c>
      <c r="J1430" s="93">
        <v>10333.03</v>
      </c>
      <c r="K1430" s="32"/>
      <c r="L1430" s="32"/>
      <c r="M1430" s="32"/>
      <c r="N1430" s="32"/>
      <c r="O1430" s="93">
        <v>117977.01</v>
      </c>
      <c r="P1430" s="91">
        <f>IFERROR(__xludf.DUMMYFUNCTION("IFERROR(sum(FILTER($D:$N,$C:$C = $C1430,$A:$A &lt; $A1430,$B:$B = 12)),0) + sum($D1430:$N1430)"),117976.27000000002)</f>
        <v>117976.27</v>
      </c>
      <c r="Q1430" s="92">
        <f t="shared" si="1"/>
        <v>0.74</v>
      </c>
      <c r="R1430" s="91">
        <f t="array" ref="R1430">IFERROR(INDEX('Fund YTD Target Values'!$1:$1000, MATCH($C1430,'Fund YTD Target Values'!$A:$A,0), MATCH($A1430,'Fund YTD Target Values'!$1:$1,0)),0)</f>
        <v>133065.1141</v>
      </c>
      <c r="S1430" s="91">
        <f>IFERROR(__xludf.DUMMYFUNCTION("IFERROR(sum(FILTER('Fund Investment Data'!$V:$V, 'Fund Investment Data'!$C:$C = $C1430, 'Fund Investment Data'!$A:$A &lt; $A1430)),0) + IFERROR(sum(FILTER('Fund Investment Data'!$V:$V, 'Fund Investment Data'!$C:$C = $C1430, 'Fund Investment Data'!$A:$A = $A1"&amp;"430, 'Fund Investment Data'!$B:$B &lt;= $B1430)),0)"),100000.0)</f>
        <v>100000</v>
      </c>
      <c r="T1430" s="93">
        <v>100000.0</v>
      </c>
      <c r="U1430" s="32">
        <f t="shared" si="50"/>
        <v>0</v>
      </c>
      <c r="V1430" s="32">
        <f>IFERROR(__xludf.DUMMYFUNCTION("$D1430 - IFERROR(FILTER($D:$D,$C:$C = $C1430, $A:$A = $A1430, $B:$B = $B1430 - 1),0)"),0.0)</f>
        <v>0</v>
      </c>
      <c r="W1430" s="93">
        <f>IFERROR(__xludf.DUMMYFUNCTION("$E1430 - IFERROR(FILTER($E:$E,$C:$C = $C1430, $A:$A = $A1430, $B:$B = $B1430 - 1),0)"),0.0)</f>
        <v>0</v>
      </c>
      <c r="X1430" s="91">
        <f>IFERROR(__xludf.DUMMYFUNCTION("iFERROR((FILTER('Fund Investment Data'!$Z:$Z, 'Fund Investment Data'!$C:$C = $C1430, 'Fund Investment Data'!$A:$A = $A1430 - 1, 'Fund Investment Data'!$B:$B = 12) + FILTER('Fund Investment Data'!$AB:$AB, 'Fund Investment Data'!$C:$C = $C1430, 'Fund Invest"&amp;"ment Data'!$A:$A = $A1430 - 1, 'Fund Investment Data'!$B:$B = 12)) * (1 + AVERAGE(FILTER('Inflation Data'!$C:$C,'Inflation Data'!$A:$A = ($A1430 - 2)))) * Parameters!$A$4,0)"),4037.921818829265)</f>
        <v>4037.921819</v>
      </c>
      <c r="Y1430" s="91">
        <f>IFERROR(__xludf.DUMMYFUNCTION("IFERROR((IFERROR(FILTER('Fund Investment Data'!$P:$P,'Fund Investment Data'!$C:$C = $C1430,'Fund Investment Data'!$A:$A = ($A1430 - 2), 'Fund Investment Data'!$B:$B = 12),0) - SUM(FILTER('Fund Investment Data'!$V:$V, 'Fund Investment Data'!$C:$C = $C1430,"&amp;" 'Fund Investment Data'!$A:$A = ($A1430 - 2), 'Fund Investment Data'!$B:$B &gt; 3)))  * Parameters!$B$4 * (1 - Parameters!$A$4),0)"),1694.4194250000005)</f>
        <v>1694.419425</v>
      </c>
      <c r="Z1430" s="91">
        <f t="shared" si="24"/>
        <v>5732.341244</v>
      </c>
      <c r="AA1430" s="91">
        <f>IFERROR(__xludf.DUMMYFUNCTION("((IFERROR((SUM(FILTER('Fund Investment Data'!$V:$V, 'Fund Investment Data'!$C:$C = $C1430, 'Fund Investment Data'!$A:$A = $A1430 - 1, 'Fund Investment Data'!$B:$B &gt;= 4, 'Fund Investment Data'!$B:$B &lt;= ($B1430 + 5))) / 12) * ($B1430 - 3) * Parameters!$B$4,"&amp;" 0) + IF($B1430 &gt;= 9, IFERROR(SUM(FILTER('Fund Investment Data'!$V:$V, 'Fund Investment Data'!$C:$C = $C1430, 'Fund Investment Data'!$A:$A = $A1430, 'Fund Investment Data'!$B:$B &lt;= 3)) * Parameters!$B$4, 0),0)))"),0.0)</f>
        <v>0</v>
      </c>
      <c r="AB1430" s="32">
        <f>IFERROR(__xludf.DUMMYFUNCTION("IFERROR(((IFERROR(SUM(FILTER('Fund Investment Data'!$V:$V, 'Fund Investment Data'!$C:$C = $C1430, 'Fund Investment Data'!$A:$A = $A1430 - 2, 'Fund Investment Data'!$B:$B &gt;= 4)) * Parameters!$B$4,0) + IFERROR(SUM(FILTER('Fund Investment Data'!$V:$V, 'Fund "&amp;"Investment Data'!$C:$C = $C1430, 'Fund Investment Data'!$A:$A = $A1430 - 1, 'Fund Investment Data'!$B:$B &lt;= 3)) * Parameters!$B$4,0))),0)"),0.0)</f>
        <v>0</v>
      </c>
      <c r="AC1430" s="32">
        <f>IFERROR(__xludf.DUMMYFUNCTION("IFERROR(FILTER($AF:$AF,$C:$C = $C1430,$A:$A = $A1430 - 1,$B:$B = 12),0)"),0.0)</f>
        <v>0</v>
      </c>
      <c r="AD1430" s="32">
        <f t="shared" si="23"/>
        <v>5732.341244</v>
      </c>
      <c r="AE1430" s="32">
        <f t="shared" si="2"/>
        <v>732.3412438</v>
      </c>
      <c r="AF1430" s="32"/>
    </row>
    <row r="1431">
      <c r="A1431" s="86">
        <v>2019.0</v>
      </c>
      <c r="B1431" s="87">
        <v>6.0</v>
      </c>
      <c r="C1431" s="88" t="s">
        <v>52</v>
      </c>
      <c r="D1431" s="93">
        <v>1000.0</v>
      </c>
      <c r="E1431" s="93">
        <v>-27600.0</v>
      </c>
      <c r="F1431" s="32"/>
      <c r="G1431" s="93">
        <v>-3270.07</v>
      </c>
      <c r="H1431" s="93">
        <v>14504.53</v>
      </c>
      <c r="I1431" s="32"/>
      <c r="J1431" s="93">
        <v>114307.16</v>
      </c>
      <c r="K1431" s="32"/>
      <c r="L1431" s="93">
        <v>-103.73</v>
      </c>
      <c r="M1431" s="32"/>
      <c r="N1431" s="32"/>
      <c r="O1431" s="93">
        <v>1190378.24</v>
      </c>
      <c r="P1431" s="91">
        <f>IFERROR(__xludf.DUMMYFUNCTION("IFERROR(sum(FILTER($D:$N,$C:$C = $C1431,$A:$A &lt; $A1431,$B:$B = 12)),0) + sum($D1431:$N1431)"),1190377.92)</f>
        <v>1190377.92</v>
      </c>
      <c r="Q1431" s="92">
        <f t="shared" si="1"/>
        <v>0.3200000001</v>
      </c>
      <c r="R1431" s="91">
        <f t="array" ref="R1431">IFERROR(INDEX('Fund YTD Target Values'!$1:$1000, MATCH($C1431,'Fund YTD Target Values'!$A:$A,0), MATCH($A1431,'Fund YTD Target Values'!$1:$1,0)),0)</f>
        <v>1170797.015</v>
      </c>
      <c r="S1431" s="91">
        <f>IFERROR(__xludf.DUMMYFUNCTION("IFERROR(sum(FILTER('Fund Investment Data'!$V:$V, 'Fund Investment Data'!$C:$C = $C1431, 'Fund Investment Data'!$A:$A &lt; $A1431)),0) + IFERROR(sum(FILTER('Fund Investment Data'!$V:$V, 'Fund Investment Data'!$C:$C = $C1431, 'Fund Investment Data'!$A:$A = $A1"&amp;"431, 'Fund Investment Data'!$B:$B &lt;= $B1431)),0)"),1081136.0)</f>
        <v>1081136</v>
      </c>
      <c r="T1431" s="32"/>
      <c r="U1431" s="32"/>
      <c r="V1431" s="32">
        <f>IFERROR(__xludf.DUMMYFUNCTION("$D1431 - IFERROR(FILTER($D:$D,$C:$C = $C1431, $A:$A = $A1431, $B:$B = $B1431 - 1),0)"),0.0)</f>
        <v>0</v>
      </c>
      <c r="W1431" s="93">
        <f>IFERROR(__xludf.DUMMYFUNCTION("$E1431 - IFERROR(FILTER($E:$E,$C:$C = $C1431, $A:$A = $A1431, $B:$B = $B1431 - 1),0)"),-9100.0)</f>
        <v>-9100</v>
      </c>
      <c r="X1431" s="91">
        <f>IFERROR(__xludf.DUMMYFUNCTION("iFERROR((FILTER('Fund Investment Data'!$Z:$Z, 'Fund Investment Data'!$C:$C = $C1431, 'Fund Investment Data'!$A:$A = $A1431 - 1, 'Fund Investment Data'!$B:$B = 12) + FILTER('Fund Investment Data'!$AB:$AB, 'Fund Investment Data'!$C:$C = $C1431, 'Fund Invest"&amp;"ment Data'!$A:$A = $A1431 - 1, 'Fund Investment Data'!$B:$B = 12)) * (1 + AVERAGE(FILTER('Inflation Data'!$C:$C,'Inflation Data'!$A:$A = ($A1431 - 2)))) * Parameters!$A$4,0)"),33647.195102028425)</f>
        <v>33647.1951</v>
      </c>
      <c r="Y1431" s="91">
        <f>IFERROR(__xludf.DUMMYFUNCTION("IFERROR((IFERROR(FILTER('Fund Investment Data'!$P:$P,'Fund Investment Data'!$C:$C = $C1431,'Fund Investment Data'!$A:$A = ($A1431 - 2), 'Fund Investment Data'!$B:$B = 12),0) - SUM(FILTER('Fund Investment Data'!$V:$V, 'Fund Investment Data'!$C:$C = $C1431,"&amp;" 'Fund Investment Data'!$A:$A = ($A1431 - 2), 'Fund Investment Data'!$B:$B &gt; 3)))  * Parameters!$B$4 * (1 - Parameters!$A$4),0)"),15672.907755)</f>
        <v>15672.90776</v>
      </c>
      <c r="Z1431" s="91">
        <f t="shared" si="24"/>
        <v>49320.10286</v>
      </c>
      <c r="AA1431" s="91">
        <f>IFERROR(__xludf.DUMMYFUNCTION("((IFERROR((SUM(FILTER('Fund Investment Data'!$V:$V, 'Fund Investment Data'!$C:$C = $C1431, 'Fund Investment Data'!$A:$A = $A1431 - 1, 'Fund Investment Data'!$B:$B &gt;= 4, 'Fund Investment Data'!$B:$B &lt;= ($B1431 + 5))) / 12) * ($B1431 - 3) * Parameters!$B$4,"&amp;" 0) + IF($B1431 &gt;= 9, IFERROR(SUM(FILTER('Fund Investment Data'!$V:$V, 'Fund Investment Data'!$C:$C = $C1431, 'Fund Investment Data'!$A:$A = $A1431, 'Fund Investment Data'!$B:$B &lt;= 3)) * Parameters!$B$4, 0),0)))"),0.0)</f>
        <v>0</v>
      </c>
      <c r="AB1431" s="32">
        <f>IFERROR(__xludf.DUMMYFUNCTION("IFERROR(((IFERROR(SUM(FILTER('Fund Investment Data'!$V:$V, 'Fund Investment Data'!$C:$C = $C1431, 'Fund Investment Data'!$A:$A = $A1431 - 2, 'Fund Investment Data'!$B:$B &gt;= 4)) * Parameters!$B$4,0) + IFERROR(SUM(FILTER('Fund Investment Data'!$V:$V, 'Fund "&amp;"Investment Data'!$C:$C = $C1431, 'Fund Investment Data'!$A:$A = $A1431 - 1, 'Fund Investment Data'!$B:$B &lt;= 3)) * Parameters!$B$4,0))),0)"),3532.5)</f>
        <v>3532.5</v>
      </c>
      <c r="AC1431" s="32">
        <f>IFERROR(__xludf.DUMMYFUNCTION("IFERROR(FILTER($AF:$AF,$C:$C = $C1431,$A:$A = $A1431 - 1,$B:$B = 12),0)"),0.0)</f>
        <v>0</v>
      </c>
      <c r="AD1431" s="32">
        <f t="shared" si="23"/>
        <v>52852.60286</v>
      </c>
      <c r="AE1431" s="32">
        <f t="shared" si="2"/>
        <v>25252.60286</v>
      </c>
      <c r="AF1431" s="32"/>
    </row>
    <row r="1432">
      <c r="A1432" s="86">
        <v>2019.0</v>
      </c>
      <c r="B1432" s="87">
        <v>6.0</v>
      </c>
      <c r="C1432" s="88" t="s">
        <v>33</v>
      </c>
      <c r="D1432" s="32"/>
      <c r="E1432" s="93">
        <v>-3500.0</v>
      </c>
      <c r="F1432" s="32"/>
      <c r="G1432" s="93">
        <v>-943.21</v>
      </c>
      <c r="H1432" s="93">
        <v>4175.35</v>
      </c>
      <c r="I1432" s="32"/>
      <c r="J1432" s="93">
        <v>32752.58</v>
      </c>
      <c r="K1432" s="32"/>
      <c r="L1432" s="32"/>
      <c r="M1432" s="32"/>
      <c r="N1432" s="32"/>
      <c r="O1432" s="93">
        <v>345429.68</v>
      </c>
      <c r="P1432" s="91">
        <f>IFERROR(__xludf.DUMMYFUNCTION("IFERROR(sum(FILTER($D:$N,$C:$C = $C1432,$A:$A &lt; $A1432,$B:$B = 12)),0) + sum($D1432:$N1432)"),345429.8999999998)</f>
        <v>345429.9</v>
      </c>
      <c r="Q1432" s="92">
        <f t="shared" si="1"/>
        <v>-0.2199999998</v>
      </c>
      <c r="R1432" s="91">
        <f t="array" ref="R1432">IFERROR(INDEX('Fund YTD Target Values'!$1:$1000, MATCH($C1432,'Fund YTD Target Values'!$A:$A,0), MATCH($A1432,'Fund YTD Target Values'!$1:$1,0)),0)</f>
        <v>522221.9976</v>
      </c>
      <c r="S1432" s="91">
        <f>IFERROR(__xludf.DUMMYFUNCTION("IFERROR(sum(FILTER('Fund Investment Data'!$V:$V, 'Fund Investment Data'!$C:$C = $C1432, 'Fund Investment Data'!$A:$A &lt; $A1432)),0) + IFERROR(sum(FILTER('Fund Investment Data'!$V:$V, 'Fund Investment Data'!$C:$C = $C1432, 'Fund Investment Data'!$A:$A = $A1"&amp;"432, 'Fund Investment Data'!$B:$B &lt;= $B1432)),0)"),325871.6399999999)</f>
        <v>325871.64</v>
      </c>
      <c r="T1432" s="93">
        <v>326032.0</v>
      </c>
      <c r="U1432" s="32">
        <f t="shared" ref="U1432:U1433" si="51">S1432-T1432</f>
        <v>-160.36</v>
      </c>
      <c r="V1432" s="32">
        <f>IFERROR(__xludf.DUMMYFUNCTION("$D1432 - IFERROR(FILTER($D:$D,$C:$C = $C1432, $A:$A = $A1432, $B:$B = $B1432 - 1),0)"),0.0)</f>
        <v>0</v>
      </c>
      <c r="W1432" s="93">
        <f>IFERROR(__xludf.DUMMYFUNCTION("$E1432 - IFERROR(FILTER($E:$E,$C:$C = $C1432, $A:$A = $A1432, $B:$B = $B1432 - 1),0)"),-3500.0)</f>
        <v>-3500</v>
      </c>
      <c r="X1432" s="91">
        <f>IFERROR(__xludf.DUMMYFUNCTION("iFERROR((FILTER('Fund Investment Data'!$Z:$Z, 'Fund Investment Data'!$C:$C = $C1432, 'Fund Investment Data'!$A:$A = $A1432 - 1, 'Fund Investment Data'!$B:$B = 12) + FILTER('Fund Investment Data'!$AB:$AB, 'Fund Investment Data'!$C:$C = $C1432, 'Fund Invest"&amp;"ment Data'!$A:$A = $A1432 - 1, 'Fund Investment Data'!$B:$B = 12)) * (1 + AVERAGE(FILTER('Inflation Data'!$C:$C,'Inflation Data'!$A:$A = ($A1432 - 2)))) * Parameters!$A$4,0)"),11487.702435867292)</f>
        <v>11487.70244</v>
      </c>
      <c r="Y1432" s="91">
        <f>IFERROR(__xludf.DUMMYFUNCTION("IFERROR((IFERROR(FILTER('Fund Investment Data'!$P:$P,'Fund Investment Data'!$C:$C = $C1432,'Fund Investment Data'!$A:$A = ($A1432 - 2), 'Fund Investment Data'!$B:$B = 12),0) - SUM(FILTER('Fund Investment Data'!$V:$V, 'Fund Investment Data'!$C:$C = $C1432,"&amp;" 'Fund Investment Data'!$A:$A = ($A1432 - 2), 'Fund Investment Data'!$B:$B &gt; 3)))  * Parameters!$B$4 * (1 - Parameters!$A$4),0)"),4820.5455749999965)</f>
        <v>4820.545575</v>
      </c>
      <c r="Z1432" s="91">
        <f t="shared" si="24"/>
        <v>16308.24801</v>
      </c>
      <c r="AA1432" s="91">
        <f>IFERROR(__xludf.DUMMYFUNCTION("((IFERROR((SUM(FILTER('Fund Investment Data'!$V:$V, 'Fund Investment Data'!$C:$C = $C1432, 'Fund Investment Data'!$A:$A = $A1432 - 1, 'Fund Investment Data'!$B:$B &gt;= 4, 'Fund Investment Data'!$B:$B &lt;= ($B1432 + 5))) / 12) * ($B1432 - 3) * Parameters!$B$4,"&amp;" 0) + IF($B1432 &gt;= 9, IFERROR(SUM(FILTER('Fund Investment Data'!$V:$V, 'Fund Investment Data'!$C:$C = $C1432, 'Fund Investment Data'!$A:$A = $A1432, 'Fund Investment Data'!$B:$B &lt;= 3)) * Parameters!$B$4, 0),0)))"),0.0)</f>
        <v>0</v>
      </c>
      <c r="AB1432" s="32">
        <f>IFERROR(__xludf.DUMMYFUNCTION("IFERROR(((IFERROR(SUM(FILTER('Fund Investment Data'!$V:$V, 'Fund Investment Data'!$C:$C = $C1432, 'Fund Investment Data'!$A:$A = $A1432 - 2, 'Fund Investment Data'!$B:$B &gt;= 4)) * Parameters!$B$4,0) + IFERROR(SUM(FILTER('Fund Investment Data'!$V:$V, 'Fund "&amp;"Investment Data'!$C:$C = $C1432, 'Fund Investment Data'!$A:$A = $A1432 - 1, 'Fund Investment Data'!$B:$B &lt;= 3)) * Parameters!$B$4,0))),0)"),0.0)</f>
        <v>0</v>
      </c>
      <c r="AC1432" s="32">
        <f>IFERROR(__xludf.DUMMYFUNCTION("IFERROR(FILTER($AF:$AF,$C:$C = $C1432,$A:$A = $A1432 - 1,$B:$B = 12),0)"),0.0)</f>
        <v>0</v>
      </c>
      <c r="AD1432" s="32">
        <f t="shared" si="23"/>
        <v>16308.24801</v>
      </c>
      <c r="AE1432" s="32">
        <f t="shared" si="2"/>
        <v>12808.24801</v>
      </c>
      <c r="AF1432" s="32"/>
    </row>
    <row r="1433">
      <c r="A1433" s="86">
        <v>2019.0</v>
      </c>
      <c r="B1433" s="87">
        <v>6.0</v>
      </c>
      <c r="C1433" s="88" t="s">
        <v>53</v>
      </c>
      <c r="D1433" s="32"/>
      <c r="E1433" s="93">
        <v>-68000.0</v>
      </c>
      <c r="F1433" s="32"/>
      <c r="G1433" s="93">
        <v>-6123.83</v>
      </c>
      <c r="H1433" s="93">
        <v>27040.21</v>
      </c>
      <c r="I1433" s="32"/>
      <c r="J1433" s="93">
        <v>209636.11</v>
      </c>
      <c r="K1433" s="32"/>
      <c r="L1433" s="32"/>
      <c r="M1433" s="32"/>
      <c r="N1433" s="32"/>
      <c r="O1433" s="93">
        <v>2209087.37</v>
      </c>
      <c r="P1433" s="91">
        <f>IFERROR(__xludf.DUMMYFUNCTION("IFERROR(sum(FILTER($D:$N,$C:$C = $C1433,$A:$A &lt; $A1433,$B:$B = 12)),0) + sum($D1433:$N1433)"),2209087.37)</f>
        <v>2209087.37</v>
      </c>
      <c r="Q1433" s="92">
        <f t="shared" si="1"/>
        <v>0</v>
      </c>
      <c r="R1433" s="91">
        <f t="array" ref="R1433">IFERROR(INDEX('Fund YTD Target Values'!$1:$1000, MATCH($C1433,'Fund YTD Target Values'!$A:$A,0), MATCH($A1433,'Fund YTD Target Values'!$1:$1,0)),0)</f>
        <v>2265063.703</v>
      </c>
      <c r="S1433" s="91">
        <f>IFERROR(__xludf.DUMMYFUNCTION("IFERROR(sum(FILTER('Fund Investment Data'!$V:$V, 'Fund Investment Data'!$C:$C = $C1433, 'Fund Investment Data'!$A:$A &lt; $A1433)),0) + IFERROR(sum(FILTER('Fund Investment Data'!$V:$V, 'Fund Investment Data'!$C:$C = $C1433, 'Fund Investment Data'!$A:$A = $A1"&amp;"433, 'Fund Investment Data'!$B:$B &lt;= $B1433)),0)"),2005500.0)</f>
        <v>2005500</v>
      </c>
      <c r="T1433" s="93">
        <v>2005500.0</v>
      </c>
      <c r="U1433" s="32">
        <f t="shared" si="51"/>
        <v>0</v>
      </c>
      <c r="V1433" s="32">
        <f>IFERROR(__xludf.DUMMYFUNCTION("$D1433 - IFERROR(FILTER($D:$D,$C:$C = $C1433, $A:$A = $A1433, $B:$B = $B1433 - 1),0)"),0.0)</f>
        <v>0</v>
      </c>
      <c r="W1433" s="93">
        <f>IFERROR(__xludf.DUMMYFUNCTION("$E1433 - IFERROR(FILTER($E:$E,$C:$C = $C1433, $A:$A = $A1433, $B:$B = $B1433 - 1),0)"),-35300.0)</f>
        <v>-35300</v>
      </c>
      <c r="X1433" s="91">
        <f>IFERROR(__xludf.DUMMYFUNCTION("iFERROR((FILTER('Fund Investment Data'!$Z:$Z, 'Fund Investment Data'!$C:$C = $C1433, 'Fund Investment Data'!$A:$A = $A1433 - 1, 'Fund Investment Data'!$B:$B = 12) + FILTER('Fund Investment Data'!$AB:$AB, 'Fund Investment Data'!$C:$C = $C1433, 'Fund Invest"&amp;"ment Data'!$A:$A = $A1433 - 1, 'Fund Investment Data'!$B:$B = 12)) * (1 + AVERAGE(FILTER('Inflation Data'!$C:$C,'Inflation Data'!$A:$A = ($A1433 - 2)))) * Parameters!$A$4,0)"),69866.97627398264)</f>
        <v>69866.97627</v>
      </c>
      <c r="Y1433" s="91">
        <f>IFERROR(__xludf.DUMMYFUNCTION("IFERROR((IFERROR(FILTER('Fund Investment Data'!$P:$P,'Fund Investment Data'!$C:$C = $C1433,'Fund Investment Data'!$A:$A = ($A1433 - 2), 'Fund Investment Data'!$B:$B = 12),0) - SUM(FILTER('Fund Investment Data'!$V:$V, 'Fund Investment Data'!$C:$C = $C1433,"&amp;" 'Fund Investment Data'!$A:$A = ($A1433 - 2), 'Fund Investment Data'!$B:$B &gt; 3)))  * Parameters!$B$4 * (1 - Parameters!$A$4),0)"),30716.748180000002)</f>
        <v>30716.74818</v>
      </c>
      <c r="Z1433" s="91">
        <f t="shared" si="24"/>
        <v>100583.7245</v>
      </c>
      <c r="AA1433" s="91">
        <f>IFERROR(__xludf.DUMMYFUNCTION("((IFERROR((SUM(FILTER('Fund Investment Data'!$V:$V, 'Fund Investment Data'!$C:$C = $C1433, 'Fund Investment Data'!$A:$A = $A1433 - 1, 'Fund Investment Data'!$B:$B &gt;= 4, 'Fund Investment Data'!$B:$B &lt;= ($B1433 + 5))) / 12) * ($B1433 - 3) * Parameters!$B$4,"&amp;" 0) + IF($B1433 &gt;= 9, IFERROR(SUM(FILTER('Fund Investment Data'!$V:$V, 'Fund Investment Data'!$C:$C = $C1433, 'Fund Investment Data'!$A:$A = $A1433, 'Fund Investment Data'!$B:$B &lt;= 3)) * Parameters!$B$4, 0),0)))"),0.0)</f>
        <v>0</v>
      </c>
      <c r="AB1433" s="32">
        <f>IFERROR(__xludf.DUMMYFUNCTION("IFERROR(((IFERROR(SUM(FILTER('Fund Investment Data'!$V:$V, 'Fund Investment Data'!$C:$C = $C1433, 'Fund Investment Data'!$A:$A = $A1433 - 2, 'Fund Investment Data'!$B:$B &gt;= 4)) * Parameters!$B$4,0) + IFERROR(SUM(FILTER('Fund Investment Data'!$V:$V, 'Fund "&amp;"Investment Data'!$C:$C = $C1433, 'Fund Investment Data'!$A:$A = $A1433 - 1, 'Fund Investment Data'!$B:$B &lt;= 3)) * Parameters!$B$4,0))),0)"),0.0)</f>
        <v>0</v>
      </c>
      <c r="AC1433" s="32">
        <f>IFERROR(__xludf.DUMMYFUNCTION("IFERROR(FILTER($AF:$AF,$C:$C = $C1433,$A:$A = $A1433 - 1,$B:$B = 12),0)"),43500.0)</f>
        <v>43500</v>
      </c>
      <c r="AD1433" s="32">
        <f t="shared" si="23"/>
        <v>144083.7245</v>
      </c>
      <c r="AE1433" s="32">
        <f t="shared" si="2"/>
        <v>76083.72445</v>
      </c>
      <c r="AF1433" s="32"/>
    </row>
    <row r="1434">
      <c r="A1434" s="86">
        <v>2019.0</v>
      </c>
      <c r="B1434" s="87">
        <v>6.0</v>
      </c>
      <c r="C1434" s="88" t="s">
        <v>34</v>
      </c>
      <c r="D1434" s="32"/>
      <c r="E1434" s="93">
        <v>-6400.0</v>
      </c>
      <c r="F1434" s="32"/>
      <c r="G1434" s="93">
        <v>-396.15</v>
      </c>
      <c r="H1434" s="93">
        <v>1753.72</v>
      </c>
      <c r="I1434" s="93">
        <v>28.92</v>
      </c>
      <c r="J1434" s="93">
        <v>13664.89</v>
      </c>
      <c r="K1434" s="32"/>
      <c r="L1434" s="32"/>
      <c r="M1434" s="32"/>
      <c r="N1434" s="32"/>
      <c r="O1434" s="93">
        <v>140090.65</v>
      </c>
      <c r="P1434" s="91">
        <f>IFERROR(__xludf.DUMMYFUNCTION("IFERROR(sum(FILTER($D:$N,$C:$C = $C1434,$A:$A &lt; $A1434,$B:$B = 12)),0) + sum($D1434:$N1434)"),140090.64999999997)</f>
        <v>140090.65</v>
      </c>
      <c r="Q1434" s="92">
        <f t="shared" si="1"/>
        <v>0</v>
      </c>
      <c r="R1434" s="91">
        <f t="array" ref="R1434">IFERROR(INDEX('Fund YTD Target Values'!$1:$1000, MATCH($C1434,'Fund YTD Target Values'!$A:$A,0), MATCH($A1434,'Fund YTD Target Values'!$1:$1,0)),0)</f>
        <v>137779.5763</v>
      </c>
      <c r="S1434" s="91">
        <f>IFERROR(__xludf.DUMMYFUNCTION("IFERROR(sum(FILTER('Fund Investment Data'!$V:$V, 'Fund Investment Data'!$C:$C = $C1434, 'Fund Investment Data'!$A:$A &lt; $A1434)),0) + IFERROR(sum(FILTER('Fund Investment Data'!$V:$V, 'Fund Investment Data'!$C:$C = $C1434, 'Fund Investment Data'!$A:$A = $A1"&amp;"434, 'Fund Investment Data'!$B:$B &lt;= $B1434)),0)"),125000.0)</f>
        <v>125000</v>
      </c>
      <c r="T1434" s="32"/>
      <c r="U1434" s="32"/>
      <c r="V1434" s="32">
        <f>IFERROR(__xludf.DUMMYFUNCTION("$D1434 - IFERROR(FILTER($D:$D,$C:$C = $C1434, $A:$A = $A1434, $B:$B = $B1434 - 1),0)"),0.0)</f>
        <v>0</v>
      </c>
      <c r="W1434" s="93">
        <f>IFERROR(__xludf.DUMMYFUNCTION("$E1434 - IFERROR(FILTER($E:$E,$C:$C = $C1434, $A:$A = $A1434, $B:$B = $B1434 - 1),0)"),-6400.0)</f>
        <v>-6400</v>
      </c>
      <c r="X1434" s="91">
        <f>IFERROR(__xludf.DUMMYFUNCTION("iFERROR((FILTER('Fund Investment Data'!$Z:$Z, 'Fund Investment Data'!$C:$C = $C1434, 'Fund Investment Data'!$A:$A = $A1434 - 1, 'Fund Investment Data'!$B:$B = 12) + FILTER('Fund Investment Data'!$AB:$AB, 'Fund Investment Data'!$C:$C = $C1434, 'Fund Invest"&amp;"ment Data'!$A:$A = $A1434 - 1, 'Fund Investment Data'!$B:$B = 12)) * (1 + AVERAGE(FILTER('Inflation Data'!$C:$C,'Inflation Data'!$A:$A = ($A1434 - 2)))) * Parameters!$A$4,0)"),4414.569951711041)</f>
        <v>4414.569952</v>
      </c>
      <c r="Y1434" s="91">
        <f>IFERROR(__xludf.DUMMYFUNCTION("IFERROR((IFERROR(FILTER('Fund Investment Data'!$P:$P,'Fund Investment Data'!$C:$C = $C1434,'Fund Investment Data'!$A:$A = ($A1434 - 2), 'Fund Investment Data'!$B:$B = 12),0) - SUM(FILTER('Fund Investment Data'!$V:$V, 'Fund Investment Data'!$C:$C = $C1434,"&amp;" 'Fund Investment Data'!$A:$A = ($A1434 - 2), 'Fund Investment Data'!$B:$B &gt; 3)))  * Parameters!$B$4 * (1 - Parameters!$A$4),0)"),1947.8901600000004)</f>
        <v>1947.89016</v>
      </c>
      <c r="Z1434" s="91">
        <f t="shared" si="24"/>
        <v>6362.460112</v>
      </c>
      <c r="AA1434" s="91">
        <f>IFERROR(__xludf.DUMMYFUNCTION("((IFERROR((SUM(FILTER('Fund Investment Data'!$V:$V, 'Fund Investment Data'!$C:$C = $C1434, 'Fund Investment Data'!$A:$A = $A1434 - 1, 'Fund Investment Data'!$B:$B &gt;= 4, 'Fund Investment Data'!$B:$B &lt;= ($B1434 + 5))) / 12) * ($B1434 - 3) * Parameters!$B$4,"&amp;" 0) + IF($B1434 &gt;= 9, IFERROR(SUM(FILTER('Fund Investment Data'!$V:$V, 'Fund Investment Data'!$C:$C = $C1434, 'Fund Investment Data'!$A:$A = $A1434, 'Fund Investment Data'!$B:$B &lt;= 3)) * Parameters!$B$4, 0),0)))"),56.25)</f>
        <v>56.25</v>
      </c>
      <c r="AB1434" s="32">
        <f>IFERROR(__xludf.DUMMYFUNCTION("IFERROR(((IFERROR(SUM(FILTER('Fund Investment Data'!$V:$V, 'Fund Investment Data'!$C:$C = $C1434, 'Fund Investment Data'!$A:$A = $A1434 - 2, 'Fund Investment Data'!$B:$B &gt;= 4)) * Parameters!$B$4,0) + IFERROR(SUM(FILTER('Fund Investment Data'!$V:$V, 'Fund "&amp;"Investment Data'!$C:$C = $C1434, 'Fund Investment Data'!$A:$A = $A1434 - 1, 'Fund Investment Data'!$B:$B &lt;= 3)) * Parameters!$B$4,0))),0)"),0.0)</f>
        <v>0</v>
      </c>
      <c r="AC1434" s="32">
        <f>IFERROR(__xludf.DUMMYFUNCTION("IFERROR(FILTER($AF:$AF,$C:$C = $C1434,$A:$A = $A1434 - 1,$B:$B = 12),0)"),0.0)</f>
        <v>0</v>
      </c>
      <c r="AD1434" s="32">
        <f t="shared" si="23"/>
        <v>6418.710112</v>
      </c>
      <c r="AE1434" s="32">
        <f t="shared" si="2"/>
        <v>18.71011171</v>
      </c>
      <c r="AF1434" s="32"/>
    </row>
    <row r="1435">
      <c r="A1435" s="86">
        <v>2019.0</v>
      </c>
      <c r="B1435" s="87">
        <v>6.0</v>
      </c>
      <c r="C1435" s="88" t="s">
        <v>54</v>
      </c>
      <c r="D1435" s="93">
        <v>156.0</v>
      </c>
      <c r="E1435" s="93">
        <v>-2500.0</v>
      </c>
      <c r="F1435" s="32"/>
      <c r="G1435" s="93">
        <v>-466.07</v>
      </c>
      <c r="H1435" s="93">
        <v>2063.02</v>
      </c>
      <c r="I1435" s="32"/>
      <c r="J1435" s="93">
        <v>16164.77</v>
      </c>
      <c r="K1435" s="32"/>
      <c r="L1435" s="32"/>
      <c r="M1435" s="32"/>
      <c r="N1435" s="32"/>
      <c r="O1435" s="93">
        <v>170383.8</v>
      </c>
      <c r="P1435" s="91">
        <f>IFERROR(__xludf.DUMMYFUNCTION("IFERROR(sum(FILTER($D:$N,$C:$C = $C1435,$A:$A &lt; $A1435,$B:$B = 12)),0) + sum($D1435:$N1435)"),170384.76999999996)</f>
        <v>170384.77</v>
      </c>
      <c r="Q1435" s="92">
        <f t="shared" si="1"/>
        <v>-0.97</v>
      </c>
      <c r="R1435" s="91">
        <f t="array" ref="R1435">IFERROR(INDEX('Fund YTD Target Values'!$1:$1000, MATCH($C1435,'Fund YTD Target Values'!$A:$A,0), MATCH($A1435,'Fund YTD Target Values'!$1:$1,0)),0)</f>
        <v>158496.8702</v>
      </c>
      <c r="S1435" s="91">
        <f>IFERROR(__xludf.DUMMYFUNCTION("IFERROR(sum(FILTER('Fund Investment Data'!$V:$V, 'Fund Investment Data'!$C:$C = $C1435, 'Fund Investment Data'!$A:$A &lt; $A1435)),0) + IFERROR(sum(FILTER('Fund Investment Data'!$V:$V, 'Fund Investment Data'!$C:$C = $C1435, 'Fund Investment Data'!$A:$A = $A1"&amp;"435, 'Fund Investment Data'!$B:$B &lt;= $B1435)),0)"),112623.10999999999)</f>
        <v>112623.11</v>
      </c>
      <c r="T1435" s="32"/>
      <c r="U1435" s="32"/>
      <c r="V1435" s="32">
        <f>IFERROR(__xludf.DUMMYFUNCTION("$D1435 - IFERROR(FILTER($D:$D,$C:$C = $C1435, $A:$A = $A1435, $B:$B = $B1435 - 1),0)"),0.0)</f>
        <v>0</v>
      </c>
      <c r="W1435" s="93">
        <f>IFERROR(__xludf.DUMMYFUNCTION("$E1435 - IFERROR(FILTER($E:$E,$C:$C = $C1435, $A:$A = $A1435, $B:$B = $B1435 - 1),0)"),0.0)</f>
        <v>0</v>
      </c>
      <c r="X1435" s="91">
        <f>IFERROR(__xludf.DUMMYFUNCTION("iFERROR((FILTER('Fund Investment Data'!$Z:$Z, 'Fund Investment Data'!$C:$C = $C1435, 'Fund Investment Data'!$A:$A = $A1435 - 1, 'Fund Investment Data'!$B:$B = 12) + FILTER('Fund Investment Data'!$AB:$AB, 'Fund Investment Data'!$C:$C = $C1435, 'Fund Invest"&amp;"ment Data'!$A:$A = $A1435 - 1, 'Fund Investment Data'!$B:$B = 12)) * (1 + AVERAGE(FILTER('Inflation Data'!$C:$C,'Inflation Data'!$A:$A = ($A1435 - 2)))) * Parameters!$A$4,0)"),5306.102894924851)</f>
        <v>5306.102895</v>
      </c>
      <c r="Y1435" s="91">
        <f>IFERROR(__xludf.DUMMYFUNCTION("IFERROR((IFERROR(FILTER('Fund Investment Data'!$P:$P,'Fund Investment Data'!$C:$C = $C1435,'Fund Investment Data'!$A:$A = ($A1435 - 2), 'Fund Investment Data'!$B:$B = 12),0) - SUM(FILTER('Fund Investment Data'!$V:$V, 'Fund Investment Data'!$C:$C = $C1435,"&amp;" 'Fund Investment Data'!$A:$A = ($A1435 - 2), 'Fund Investment Data'!$B:$B &gt; 3)))  * Parameters!$B$4 * (1 - Parameters!$A$4),0)"),2330.059095)</f>
        <v>2330.059095</v>
      </c>
      <c r="Z1435" s="91">
        <f t="shared" si="24"/>
        <v>7636.16199</v>
      </c>
      <c r="AA1435" s="91">
        <f>IFERROR(__xludf.DUMMYFUNCTION("((IFERROR((SUM(FILTER('Fund Investment Data'!$V:$V, 'Fund Investment Data'!$C:$C = $C1435, 'Fund Investment Data'!$A:$A = $A1435 - 1, 'Fund Investment Data'!$B:$B &gt;= 4, 'Fund Investment Data'!$B:$B &lt;= ($B1435 + 5))) / 12) * ($B1435 - 3) * Parameters!$B$4,"&amp;" 0) + IF($B1435 &gt;= 9, IFERROR(SUM(FILTER('Fund Investment Data'!$V:$V, 'Fund Investment Data'!$C:$C = $C1435, 'Fund Investment Data'!$A:$A = $A1435, 'Fund Investment Data'!$B:$B &lt;= 3)) * Parameters!$B$4, 0),0)))"),0.39375)</f>
        <v>0.39375</v>
      </c>
      <c r="AB1435" s="32">
        <f>IFERROR(__xludf.DUMMYFUNCTION("IFERROR(((IFERROR(SUM(FILTER('Fund Investment Data'!$V:$V, 'Fund Investment Data'!$C:$C = $C1435, 'Fund Investment Data'!$A:$A = $A1435 - 2, 'Fund Investment Data'!$B:$B &gt;= 4)) * Parameters!$B$4,0) + IFERROR(SUM(FILTER('Fund Investment Data'!$V:$V, 'Fund "&amp;"Investment Data'!$C:$C = $C1435, 'Fund Investment Data'!$A:$A = $A1435 - 1, 'Fund Investment Data'!$B:$B &lt;= 3)) * Parameters!$B$4,0))),0)"),13.32)</f>
        <v>13.32</v>
      </c>
      <c r="AC1435" s="32">
        <f>IFERROR(__xludf.DUMMYFUNCTION("IFERROR(FILTER($AF:$AF,$C:$C = $C1435,$A:$A = $A1435 - 1,$B:$B = 12),0)"),0.0)</f>
        <v>0</v>
      </c>
      <c r="AD1435" s="32">
        <f t="shared" si="23"/>
        <v>7649.87574</v>
      </c>
      <c r="AE1435" s="32">
        <f t="shared" si="2"/>
        <v>5149.87574</v>
      </c>
      <c r="AF1435" s="32"/>
    </row>
    <row r="1436">
      <c r="A1436" s="86">
        <v>2019.0</v>
      </c>
      <c r="B1436" s="87">
        <v>6.0</v>
      </c>
      <c r="C1436" s="88" t="s">
        <v>55</v>
      </c>
      <c r="D1436" s="32"/>
      <c r="E1436" s="32"/>
      <c r="F1436" s="32"/>
      <c r="G1436" s="93">
        <v>-822.35</v>
      </c>
      <c r="H1436" s="93">
        <v>3547.61</v>
      </c>
      <c r="I1436" s="32"/>
      <c r="J1436" s="93">
        <v>21250.4</v>
      </c>
      <c r="K1436" s="32"/>
      <c r="L1436" s="32"/>
      <c r="M1436" s="32"/>
      <c r="N1436" s="32"/>
      <c r="O1436" s="93">
        <v>301506.6</v>
      </c>
      <c r="P1436" s="91">
        <f>IFERROR(__xludf.DUMMYFUNCTION("IFERROR(sum(FILTER($D:$N,$C:$C = $C1436,$A:$A &lt; $A1436,$B:$B = 12)),0) + sum($D1436:$N1436)"),301506.6)</f>
        <v>301506.6</v>
      </c>
      <c r="Q1436" s="92">
        <f t="shared" si="1"/>
        <v>0</v>
      </c>
      <c r="R1436" s="91">
        <f t="array" ref="R1436">IFERROR(INDEX('Fund YTD Target Values'!$1:$1000, MATCH($C1436,'Fund YTD Target Values'!$A:$A,0), MATCH($A1436,'Fund YTD Target Values'!$1:$1,0)),0)</f>
        <v>364349.1694</v>
      </c>
      <c r="S1436" s="91">
        <f>IFERROR(__xludf.DUMMYFUNCTION("IFERROR(sum(FILTER('Fund Investment Data'!$V:$V, 'Fund Investment Data'!$C:$C = $C1436, 'Fund Investment Data'!$A:$A &lt; $A1436)),0) + IFERROR(sum(FILTER('Fund Investment Data'!$V:$V, 'Fund Investment Data'!$C:$C = $C1436, 'Fund Investment Data'!$A:$A = $A1"&amp;"436, 'Fund Investment Data'!$B:$B &lt;= $B1436)),0)"),280000.0)</f>
        <v>280000</v>
      </c>
      <c r="T1436" s="32"/>
      <c r="U1436" s="32"/>
      <c r="V1436" s="32">
        <f>IFERROR(__xludf.DUMMYFUNCTION("$D1436 - IFERROR(FILTER($D:$D,$C:$C = $C1436, $A:$A = $A1436, $B:$B = $B1436 - 1),0)"),0.0)</f>
        <v>0</v>
      </c>
      <c r="W1436" s="93">
        <f>IFERROR(__xludf.DUMMYFUNCTION("$E1436 - IFERROR(FILTER($E:$E,$C:$C = $C1436, $A:$A = $A1436, $B:$B = $B1436 - 1),0)"),0.0)</f>
        <v>0</v>
      </c>
      <c r="X1436" s="91">
        <f>IFERROR(__xludf.DUMMYFUNCTION("iFERROR((FILTER('Fund Investment Data'!$Z:$Z, 'Fund Investment Data'!$C:$C = $C1436, 'Fund Investment Data'!$A:$A = $A1436 - 1, 'Fund Investment Data'!$B:$B = 12) + FILTER('Fund Investment Data'!$AB:$AB, 'Fund Investment Data'!$C:$C = $C1436, 'Fund Invest"&amp;"ment Data'!$A:$A = $A1436 - 1, 'Fund Investment Data'!$B:$B = 12)) * (1 + AVERAGE(FILTER('Inflation Data'!$C:$C,'Inflation Data'!$A:$A = ($A1436 - 2)))) * Parameters!$A$4,0)"),6881.036839036868)</f>
        <v>6881.036839</v>
      </c>
      <c r="Y1436" s="91">
        <f>IFERROR(__xludf.DUMMYFUNCTION("IFERROR((IFERROR(FILTER('Fund Investment Data'!$P:$P,'Fund Investment Data'!$C:$C = $C1436,'Fund Investment Data'!$A:$A = ($A1436 - 2), 'Fund Investment Data'!$B:$B = 12),0) - SUM(FILTER('Fund Investment Data'!$V:$V, 'Fund Investment Data'!$C:$C = $C1436,"&amp;" 'Fund Investment Data'!$A:$A = ($A1436 - 2), 'Fund Investment Data'!$B:$B &gt; 3)))  * Parameters!$B$4 * (1 - Parameters!$A$4),0)"),2147.3742599999996)</f>
        <v>2147.37426</v>
      </c>
      <c r="Z1436" s="91">
        <f t="shared" si="24"/>
        <v>9028.411099</v>
      </c>
      <c r="AA1436" s="91">
        <f>IFERROR(__xludf.DUMMYFUNCTION("((IFERROR((SUM(FILTER('Fund Investment Data'!$V:$V, 'Fund Investment Data'!$C:$C = $C1436, 'Fund Investment Data'!$A:$A = $A1436 - 1, 'Fund Investment Data'!$B:$B &gt;= 4, 'Fund Investment Data'!$B:$B &lt;= ($B1436 + 5))) / 12) * ($B1436 - 3) * Parameters!$B$4,"&amp;" 0) + IF($B1436 &gt;= 9, IFERROR(SUM(FILTER('Fund Investment Data'!$V:$V, 'Fund Investment Data'!$C:$C = $C1436, 'Fund Investment Data'!$A:$A = $A1436, 'Fund Investment Data'!$B:$B &lt;= 3)) * Parameters!$B$4, 0),0)))"),787.5)</f>
        <v>787.5</v>
      </c>
      <c r="AB1436" s="32">
        <f>IFERROR(__xludf.DUMMYFUNCTION("IFERROR(((IFERROR(SUM(FILTER('Fund Investment Data'!$V:$V, 'Fund Investment Data'!$C:$C = $C1436, 'Fund Investment Data'!$A:$A = $A1436 - 2, 'Fund Investment Data'!$B:$B &gt;= 4)) * Parameters!$B$4,0) + IFERROR(SUM(FILTER('Fund Investment Data'!$V:$V, 'Fund "&amp;"Investment Data'!$C:$C = $C1436, 'Fund Investment Data'!$A:$A = $A1436 - 1, 'Fund Investment Data'!$B:$B &lt;= 3)) * Parameters!$B$4,0))),0)"),3150.0)</f>
        <v>3150</v>
      </c>
      <c r="AC1436" s="32">
        <f>IFERROR(__xludf.DUMMYFUNCTION("IFERROR(FILTER($AF:$AF,$C:$C = $C1436,$A:$A = $A1436 - 1,$B:$B = 12),0)"),5000.0)</f>
        <v>5000</v>
      </c>
      <c r="AD1436" s="32">
        <f t="shared" si="23"/>
        <v>17965.9111</v>
      </c>
      <c r="AE1436" s="32">
        <f t="shared" si="2"/>
        <v>17965.9111</v>
      </c>
      <c r="AF1436" s="32"/>
    </row>
    <row r="1437">
      <c r="A1437" s="86">
        <v>2019.0</v>
      </c>
      <c r="B1437" s="87">
        <v>6.0</v>
      </c>
      <c r="C1437" s="88" t="s">
        <v>44</v>
      </c>
      <c r="D1437" s="32"/>
      <c r="E1437" s="93">
        <v>-13000.0</v>
      </c>
      <c r="F1437" s="32"/>
      <c r="G1437" s="93">
        <v>-749.68</v>
      </c>
      <c r="H1437" s="93">
        <v>3324.97</v>
      </c>
      <c r="I1437" s="93">
        <v>3314.76</v>
      </c>
      <c r="J1437" s="93">
        <v>22929.03</v>
      </c>
      <c r="K1437" s="32"/>
      <c r="L1437" s="32"/>
      <c r="M1437" s="32"/>
      <c r="N1437" s="32"/>
      <c r="O1437" s="93">
        <v>266537.12</v>
      </c>
      <c r="P1437" s="91">
        <f>IFERROR(__xludf.DUMMYFUNCTION("IFERROR(sum(FILTER($D:$N,$C:$C = $C1437,$A:$A &lt; $A1437,$B:$B = 12)),0) + sum($D1437:$N1437)"),266538.01000000007)</f>
        <v>266538.01</v>
      </c>
      <c r="Q1437" s="92">
        <f t="shared" si="1"/>
        <v>-0.8900000001</v>
      </c>
      <c r="R1437" s="91">
        <f t="array" ref="R1437">IFERROR(INDEX('Fund YTD Target Values'!$1:$1000, MATCH($C1437,'Fund YTD Target Values'!$A:$A,0), MATCH($A1437,'Fund YTD Target Values'!$1:$1,0)),0)</f>
        <v>327413.1867</v>
      </c>
      <c r="S1437" s="91">
        <f>IFERROR(__xludf.DUMMYFUNCTION("IFERROR(sum(FILTER('Fund Investment Data'!$V:$V, 'Fund Investment Data'!$C:$C = $C1437, 'Fund Investment Data'!$A:$A &lt; $A1437)),0) + IFERROR(sum(FILTER('Fund Investment Data'!$V:$V, 'Fund Investment Data'!$C:$C = $C1437, 'Fund Investment Data'!$A:$A = $A1"&amp;"437, 'Fund Investment Data'!$B:$B &lt;= $B1437)),0)"),250000.0)</f>
        <v>250000</v>
      </c>
      <c r="T1437" s="93">
        <v>250000.0</v>
      </c>
      <c r="U1437" s="32">
        <f t="shared" ref="U1437:U1438" si="52">S1437-T1437</f>
        <v>0</v>
      </c>
      <c r="V1437" s="32">
        <f>IFERROR(__xludf.DUMMYFUNCTION("$D1437 - IFERROR(FILTER($D:$D,$C:$C = $C1437, $A:$A = $A1437, $B:$B = $B1437 - 1),0)"),0.0)</f>
        <v>0</v>
      </c>
      <c r="W1437" s="93">
        <f>IFERROR(__xludf.DUMMYFUNCTION("$E1437 - IFERROR(FILTER($E:$E,$C:$C = $C1437, $A:$A = $A1437, $B:$B = $B1437 - 1),0)"),0.0)</f>
        <v>0</v>
      </c>
      <c r="X1437" s="91">
        <f>IFERROR(__xludf.DUMMYFUNCTION("iFERROR((FILTER('Fund Investment Data'!$Z:$Z, 'Fund Investment Data'!$C:$C = $C1437, 'Fund Investment Data'!$A:$A = $A1437 - 1, 'Fund Investment Data'!$B:$B = 12) + FILTER('Fund Investment Data'!$AB:$AB, 'Fund Investment Data'!$C:$C = $C1437, 'Fund Invest"&amp;"ment Data'!$A:$A = $A1437 - 1, 'Fund Investment Data'!$B:$B = 12)) * (1 + AVERAGE(FILTER('Inflation Data'!$C:$C,'Inflation Data'!$A:$A = ($A1437 - 2)))) * Parameters!$A$4,0)"),9221.513356912916)</f>
        <v>9221.513357</v>
      </c>
      <c r="Y1437" s="91">
        <f>IFERROR(__xludf.DUMMYFUNCTION("IFERROR((IFERROR(FILTER('Fund Investment Data'!$P:$P,'Fund Investment Data'!$C:$C = $C1437,'Fund Investment Data'!$A:$A = ($A1437 - 2), 'Fund Investment Data'!$B:$B = 12),0) - SUM(FILTER('Fund Investment Data'!$V:$V, 'Fund Investment Data'!$C:$C = $C1437,"&amp;" 'Fund Investment Data'!$A:$A = ($A1437 - 2), 'Fund Investment Data'!$B:$B &gt; 3)))  * Parameters!$B$4 * (1 - Parameters!$A$4),0)"),3869.5923450000028)</f>
        <v>3869.592345</v>
      </c>
      <c r="Z1437" s="91">
        <f t="shared" si="24"/>
        <v>13091.1057</v>
      </c>
      <c r="AA1437" s="91">
        <f>IFERROR(__xludf.DUMMYFUNCTION("((IFERROR((SUM(FILTER('Fund Investment Data'!$V:$V, 'Fund Investment Data'!$C:$C = $C1437, 'Fund Investment Data'!$A:$A = $A1437 - 1, 'Fund Investment Data'!$B:$B &gt;= 4, 'Fund Investment Data'!$B:$B &lt;= ($B1437 + 5))) / 12) * ($B1437 - 3) * Parameters!$B$4,"&amp;" 0) + IF($B1437 &gt;= 9, IFERROR(SUM(FILTER('Fund Investment Data'!$V:$V, 'Fund Investment Data'!$C:$C = $C1437, 'Fund Investment Data'!$A:$A = $A1437, 'Fund Investment Data'!$B:$B &lt;= 3)) * Parameters!$B$4, 0),0)))"),0.0)</f>
        <v>0</v>
      </c>
      <c r="AB1437" s="32">
        <f>IFERROR(__xludf.DUMMYFUNCTION("IFERROR(((IFERROR(SUM(FILTER('Fund Investment Data'!$V:$V, 'Fund Investment Data'!$C:$C = $C1437, 'Fund Investment Data'!$A:$A = $A1437 - 2, 'Fund Investment Data'!$B:$B &gt;= 4)) * Parameters!$B$4,0) + IFERROR(SUM(FILTER('Fund Investment Data'!$V:$V, 'Fund "&amp;"Investment Data'!$C:$C = $C1437, 'Fund Investment Data'!$A:$A = $A1437 - 1, 'Fund Investment Data'!$B:$B &lt;= 3)) * Parameters!$B$4,0))),0)"),0.0)</f>
        <v>0</v>
      </c>
      <c r="AC1437" s="32">
        <f>IFERROR(__xludf.DUMMYFUNCTION("IFERROR(FILTER($AF:$AF,$C:$C = $C1437,$A:$A = $A1437 - 1,$B:$B = 12),0)"),0.0)</f>
        <v>0</v>
      </c>
      <c r="AD1437" s="32">
        <f t="shared" si="23"/>
        <v>13091.1057</v>
      </c>
      <c r="AE1437" s="32">
        <f t="shared" si="2"/>
        <v>91.10570191</v>
      </c>
      <c r="AF1437" s="32"/>
    </row>
    <row r="1438">
      <c r="A1438" s="86">
        <v>2019.0</v>
      </c>
      <c r="B1438" s="87">
        <v>6.0</v>
      </c>
      <c r="C1438" s="88" t="s">
        <v>45</v>
      </c>
      <c r="D1438" s="32"/>
      <c r="E1438" s="93">
        <v>-3500.0</v>
      </c>
      <c r="F1438" s="32"/>
      <c r="G1438" s="93">
        <v>-398.87</v>
      </c>
      <c r="H1438" s="93">
        <v>1765.65</v>
      </c>
      <c r="I1438" s="93">
        <v>218.26</v>
      </c>
      <c r="J1438" s="93">
        <v>13608.72</v>
      </c>
      <c r="K1438" s="32"/>
      <c r="L1438" s="32"/>
      <c r="M1438" s="32"/>
      <c r="N1438" s="32"/>
      <c r="O1438" s="93">
        <v>144029.67</v>
      </c>
      <c r="P1438" s="91">
        <f>IFERROR(__xludf.DUMMYFUNCTION("IFERROR(sum(FILTER($D:$N,$C:$C = $C1438,$A:$A &lt; $A1438,$B:$B = 12)),0) + sum($D1438:$N1438)"),144029.87999999998)</f>
        <v>144029.88</v>
      </c>
      <c r="Q1438" s="92">
        <f t="shared" si="1"/>
        <v>-0.21</v>
      </c>
      <c r="R1438" s="91">
        <f t="array" ref="R1438">IFERROR(INDEX('Fund YTD Target Values'!$1:$1000, MATCH($C1438,'Fund YTD Target Values'!$A:$A,0), MATCH($A1438,'Fund YTD Target Values'!$1:$1,0)),0)</f>
        <v>123438.8442</v>
      </c>
      <c r="S1438" s="91">
        <f>IFERROR(__xludf.DUMMYFUNCTION("IFERROR(sum(FILTER('Fund Investment Data'!$V:$V, 'Fund Investment Data'!$C:$C = $C1438, 'Fund Investment Data'!$A:$A &lt; $A1438)),0) + IFERROR(sum(FILTER('Fund Investment Data'!$V:$V, 'Fund Investment Data'!$C:$C = $C1438, 'Fund Investment Data'!$A:$A = $A1"&amp;"438, 'Fund Investment Data'!$B:$B &lt;= $B1438)),0)"),100000.0)</f>
        <v>100000</v>
      </c>
      <c r="T1438" s="93">
        <v>100000.0</v>
      </c>
      <c r="U1438" s="32">
        <f t="shared" si="52"/>
        <v>0</v>
      </c>
      <c r="V1438" s="32">
        <f>IFERROR(__xludf.DUMMYFUNCTION("$D1438 - IFERROR(FILTER($D:$D,$C:$C = $C1438, $A:$A = $A1438, $B:$B = $B1438 - 1),0)"),0.0)</f>
        <v>0</v>
      </c>
      <c r="W1438" s="93">
        <f>IFERROR(__xludf.DUMMYFUNCTION("$E1438 - IFERROR(FILTER($E:$E,$C:$C = $C1438, $A:$A = $A1438, $B:$B = $B1438 - 1),0)"),-3500.0)</f>
        <v>-3500</v>
      </c>
      <c r="X1438" s="91">
        <f>IFERROR(__xludf.DUMMYFUNCTION("iFERROR((FILTER('Fund Investment Data'!$Z:$Z, 'Fund Investment Data'!$C:$C = $C1438, 'Fund Investment Data'!$A:$A = $A1438 - 1, 'Fund Investment Data'!$B:$B = 12) + FILTER('Fund Investment Data'!$AB:$AB, 'Fund Investment Data'!$C:$C = $C1438, 'Fund Invest"&amp;"ment Data'!$A:$A = $A1438 - 1, 'Fund Investment Data'!$B:$B = 12)) * (1 + AVERAGE(FILTER('Inflation Data'!$C:$C,'Inflation Data'!$A:$A = ($A1438 - 2)))) * Parameters!$A$4,0)"),3807.5303509611413)</f>
        <v>3807.530351</v>
      </c>
      <c r="Y1438" s="91">
        <f>IFERROR(__xludf.DUMMYFUNCTION("IFERROR((IFERROR(FILTER('Fund Investment Data'!$P:$P,'Fund Investment Data'!$C:$C = $C1438,'Fund Investment Data'!$A:$A = ($A1438 - 2), 'Fund Investment Data'!$B:$B = 12),0) - SUM(FILTER('Fund Investment Data'!$V:$V, 'Fund Investment Data'!$C:$C = $C1438,"&amp;" 'Fund Investment Data'!$A:$A = ($A1438 - 2), 'Fund Investment Data'!$B:$B &gt; 3)))  * Parameters!$B$4 * (1 - Parameters!$A$4),0)"),2003.430915)</f>
        <v>2003.430915</v>
      </c>
      <c r="Z1438" s="91">
        <f t="shared" si="24"/>
        <v>5810.961266</v>
      </c>
      <c r="AA1438" s="91">
        <f>IFERROR(__xludf.DUMMYFUNCTION("((IFERROR((SUM(FILTER('Fund Investment Data'!$V:$V, 'Fund Investment Data'!$C:$C = $C1438, 'Fund Investment Data'!$A:$A = $A1438 - 1, 'Fund Investment Data'!$B:$B &gt;= 4, 'Fund Investment Data'!$B:$B &lt;= ($B1438 + 5))) / 12) * ($B1438 - 3) * Parameters!$B$4,"&amp;" 0) + IF($B1438 &gt;= 9, IFERROR(SUM(FILTER('Fund Investment Data'!$V:$V, 'Fund Investment Data'!$C:$C = $C1438, 'Fund Investment Data'!$A:$A = $A1438, 'Fund Investment Data'!$B:$B &lt;= 3)) * Parameters!$B$4, 0),0)))"),0.0)</f>
        <v>0</v>
      </c>
      <c r="AB1438" s="32">
        <f>IFERROR(__xludf.DUMMYFUNCTION("IFERROR(((IFERROR(SUM(FILTER('Fund Investment Data'!$V:$V, 'Fund Investment Data'!$C:$C = $C1438, 'Fund Investment Data'!$A:$A = $A1438 - 2, 'Fund Investment Data'!$B:$B &gt;= 4)) * Parameters!$B$4,0) + IFERROR(SUM(FILTER('Fund Investment Data'!$V:$V, 'Fund "&amp;"Investment Data'!$C:$C = $C1438, 'Fund Investment Data'!$A:$A = $A1438 - 1, 'Fund Investment Data'!$B:$B &lt;= 3)) * Parameters!$B$4,0))),0)"),0.0)</f>
        <v>0</v>
      </c>
      <c r="AC1438" s="32">
        <f>IFERROR(__xludf.DUMMYFUNCTION("IFERROR(FILTER($AF:$AF,$C:$C = $C1438,$A:$A = $A1438 - 1,$B:$B = 12),0)"),0.0)</f>
        <v>0</v>
      </c>
      <c r="AD1438" s="32">
        <f t="shared" si="23"/>
        <v>5810.961266</v>
      </c>
      <c r="AE1438" s="32">
        <f t="shared" si="2"/>
        <v>2310.961266</v>
      </c>
      <c r="AF1438" s="32"/>
    </row>
    <row r="1439">
      <c r="A1439" s="86">
        <v>2019.0</v>
      </c>
      <c r="B1439" s="87">
        <v>6.0</v>
      </c>
      <c r="C1439" s="88" t="s">
        <v>35</v>
      </c>
      <c r="D1439" s="32"/>
      <c r="E1439" s="93">
        <v>-15600.0</v>
      </c>
      <c r="F1439" s="32"/>
      <c r="G1439" s="93">
        <v>-3885.1</v>
      </c>
      <c r="H1439" s="93">
        <v>17215.43</v>
      </c>
      <c r="I1439" s="93">
        <v>7300.15</v>
      </c>
      <c r="J1439" s="93">
        <v>127821.35</v>
      </c>
      <c r="K1439" s="32"/>
      <c r="L1439" s="32"/>
      <c r="M1439" s="32"/>
      <c r="N1439" s="32"/>
      <c r="O1439" s="93">
        <v>1426838.67</v>
      </c>
      <c r="P1439" s="91">
        <f>IFERROR(__xludf.DUMMYFUNCTION("IFERROR(sum(FILTER($D:$N,$C:$C = $C1439,$A:$A &lt; $A1439,$B:$B = 12)),0) + sum($D1439:$N1439)"),1426837.9000000006)</f>
        <v>1426837.9</v>
      </c>
      <c r="Q1439" s="92">
        <f t="shared" si="1"/>
        <v>0.7699999993</v>
      </c>
      <c r="R1439" s="91">
        <f t="array" ref="R1439">IFERROR(INDEX('Fund YTD Target Values'!$1:$1000, MATCH($C1439,'Fund YTD Target Values'!$A:$A,0), MATCH($A1439,'Fund YTD Target Values'!$1:$1,0)),0)</f>
        <v>1607860.761</v>
      </c>
      <c r="S1439" s="91">
        <f>IFERROR(__xludf.DUMMYFUNCTION("IFERROR(sum(FILTER('Fund Investment Data'!$V:$V, 'Fund Investment Data'!$C:$C = $C1439, 'Fund Investment Data'!$A:$A &lt; $A1439)),0) + IFERROR(sum(FILTER('Fund Investment Data'!$V:$V, 'Fund Investment Data'!$C:$C = $C1439, 'Fund Investment Data'!$A:$A = $A1"&amp;"439, 'Fund Investment Data'!$B:$B &lt;= $B1439)),0)"),1086625.0)</f>
        <v>1086625</v>
      </c>
      <c r="T1439" s="32"/>
      <c r="U1439" s="32"/>
      <c r="V1439" s="32">
        <f>IFERROR(__xludf.DUMMYFUNCTION("$D1439 - IFERROR(FILTER($D:$D,$C:$C = $C1439, $A:$A = $A1439, $B:$B = $B1439 - 1),0)"),0.0)</f>
        <v>0</v>
      </c>
      <c r="W1439" s="93">
        <f>IFERROR(__xludf.DUMMYFUNCTION("$E1439 - IFERROR(FILTER($E:$E,$C:$C = $C1439, $A:$A = $A1439, $B:$B = $B1439 - 1),0)"),0.0)</f>
        <v>0</v>
      </c>
      <c r="X1439" s="91">
        <f>IFERROR(__xludf.DUMMYFUNCTION("iFERROR((FILTER('Fund Investment Data'!$Z:$Z, 'Fund Investment Data'!$C:$C = $C1439, 'Fund Investment Data'!$A:$A = $A1439 - 1, 'Fund Investment Data'!$B:$B = 12) + FILTER('Fund Investment Data'!$AB:$AB, 'Fund Investment Data'!$C:$C = $C1439, 'Fund Invest"&amp;"ment Data'!$A:$A = $A1439 - 1, 'Fund Investment Data'!$B:$B = 12)) * (1 + AVERAGE(FILTER('Inflation Data'!$C:$C,'Inflation Data'!$A:$A = ($A1439 - 2)))) * Parameters!$A$4,0)"),47167.912647909514)</f>
        <v>47167.91265</v>
      </c>
      <c r="Y1439" s="91">
        <f>IFERROR(__xludf.DUMMYFUNCTION("IFERROR((IFERROR(FILTER('Fund Investment Data'!$P:$P,'Fund Investment Data'!$C:$C = $C1439,'Fund Investment Data'!$A:$A = ($A1439 - 2), 'Fund Investment Data'!$B:$B = 12),0) - SUM(FILTER('Fund Investment Data'!$V:$V, 'Fund Investment Data'!$C:$C = $C1439,"&amp;" 'Fund Investment Data'!$A:$A = ($A1439 - 2), 'Fund Investment Data'!$B:$B &gt; 3)))  * Parameters!$B$4 * (1 - Parameters!$A$4),0)"),19792.911060000006)</f>
        <v>19792.91106</v>
      </c>
      <c r="Z1439" s="91">
        <f t="shared" si="24"/>
        <v>66960.82371</v>
      </c>
      <c r="AA1439" s="91">
        <f>IFERROR(__xludf.DUMMYFUNCTION("((IFERROR((SUM(FILTER('Fund Investment Data'!$V:$V, 'Fund Investment Data'!$C:$C = $C1439, 'Fund Investment Data'!$A:$A = $A1439 - 1, 'Fund Investment Data'!$B:$B &gt;= 4, 'Fund Investment Data'!$B:$B &lt;= ($B1439 + 5))) / 12) * ($B1439 - 3) * Parameters!$B$4,"&amp;" 0) + IF($B1439 &gt;= 9, IFERROR(SUM(FILTER('Fund Investment Data'!$V:$V, 'Fund Investment Data'!$C:$C = $C1439, 'Fund Investment Data'!$A:$A = $A1439, 'Fund Investment Data'!$B:$B &lt;= 3)) * Parameters!$B$4, 0),0)))"),0.0)</f>
        <v>0</v>
      </c>
      <c r="AB1439" s="32">
        <f>IFERROR(__xludf.DUMMYFUNCTION("IFERROR(((IFERROR(SUM(FILTER('Fund Investment Data'!$V:$V, 'Fund Investment Data'!$C:$C = $C1439, 'Fund Investment Data'!$A:$A = $A1439 - 2, 'Fund Investment Data'!$B:$B &gt;= 4)) * Parameters!$B$4,0) + IFERROR(SUM(FILTER('Fund Investment Data'!$V:$V, 'Fund "&amp;"Investment Data'!$C:$C = $C1439, 'Fund Investment Data'!$A:$A = $A1439 - 1, 'Fund Investment Data'!$B:$B &lt;= 3)) * Parameters!$B$4,0))),0)"),0.0)</f>
        <v>0</v>
      </c>
      <c r="AC1439" s="32">
        <f>IFERROR(__xludf.DUMMYFUNCTION("IFERROR(FILTER($AF:$AF,$C:$C = $C1439,$A:$A = $A1439 - 1,$B:$B = 12),0)"),0.0)</f>
        <v>0</v>
      </c>
      <c r="AD1439" s="32">
        <f t="shared" si="23"/>
        <v>66960.82371</v>
      </c>
      <c r="AE1439" s="32">
        <f t="shared" si="2"/>
        <v>51360.82371</v>
      </c>
      <c r="AF1439" s="32"/>
    </row>
    <row r="1440">
      <c r="A1440" s="86">
        <v>2019.0</v>
      </c>
      <c r="B1440" s="87">
        <v>6.0</v>
      </c>
      <c r="C1440" s="88" t="s">
        <v>56</v>
      </c>
      <c r="D1440" s="32"/>
      <c r="E1440" s="32"/>
      <c r="F1440" s="32"/>
      <c r="G1440" s="93">
        <v>-3012.17</v>
      </c>
      <c r="H1440" s="93">
        <v>13334.31</v>
      </c>
      <c r="I1440" s="32"/>
      <c r="J1440" s="93">
        <v>104597.78</v>
      </c>
      <c r="K1440" s="32"/>
      <c r="L1440" s="32"/>
      <c r="M1440" s="32"/>
      <c r="N1440" s="32"/>
      <c r="O1440" s="93">
        <v>1114332.63</v>
      </c>
      <c r="P1440" s="91">
        <f>IFERROR(__xludf.DUMMYFUNCTION("IFERROR(sum(FILTER($D:$N,$C:$C = $C1440,$A:$A &lt; $A1440,$B:$B = 12)),0) + sum($D1440:$N1440)"),1114332.63)</f>
        <v>1114332.63</v>
      </c>
      <c r="Q1440" s="92">
        <f t="shared" si="1"/>
        <v>0</v>
      </c>
      <c r="R1440" s="91">
        <f t="array" ref="R1440">IFERROR(INDEX('Fund YTD Target Values'!$1:$1000, MATCH($C1440,'Fund YTD Target Values'!$A:$A,0), MATCH($A1440,'Fund YTD Target Values'!$1:$1,0)),0)</f>
        <v>1079944.217</v>
      </c>
      <c r="S1440" s="91">
        <f>IFERROR(__xludf.DUMMYFUNCTION("IFERROR(sum(FILTER('Fund Investment Data'!$V:$V, 'Fund Investment Data'!$C:$C = $C1440, 'Fund Investment Data'!$A:$A &lt; $A1440)),0) + IFERROR(sum(FILTER('Fund Investment Data'!$V:$V, 'Fund Investment Data'!$C:$C = $C1440, 'Fund Investment Data'!$A:$A = $A1"&amp;"440, 'Fund Investment Data'!$B:$B &lt;= $B1440)),0)"),1000000.0)</f>
        <v>1000000</v>
      </c>
      <c r="T1440" s="93">
        <v>1000000.0</v>
      </c>
      <c r="U1440" s="32">
        <f t="shared" ref="U1440:U1442" si="53">S1440-T1440</f>
        <v>0</v>
      </c>
      <c r="V1440" s="32">
        <f>IFERROR(__xludf.DUMMYFUNCTION("$D1440 - IFERROR(FILTER($D:$D,$C:$C = $C1440, $A:$A = $A1440, $B:$B = $B1440 - 1),0)"),0.0)</f>
        <v>0</v>
      </c>
      <c r="W1440" s="93">
        <f>IFERROR(__xludf.DUMMYFUNCTION("$E1440 - IFERROR(FILTER($E:$E,$C:$C = $C1440, $A:$A = $A1440, $B:$B = $B1440 - 1),0)"),0.0)</f>
        <v>0</v>
      </c>
      <c r="X1440" s="91">
        <f>IFERROR(__xludf.DUMMYFUNCTION("iFERROR((FILTER('Fund Investment Data'!$Z:$Z, 'Fund Investment Data'!$C:$C = $C1440, 'Fund Investment Data'!$A:$A = $A1440 - 1, 'Fund Investment Data'!$B:$B = 12) + FILTER('Fund Investment Data'!$AB:$AB, 'Fund Investment Data'!$C:$C = $C1440, 'Fund Invest"&amp;"ment Data'!$A:$A = $A1440 - 1, 'Fund Investment Data'!$B:$B = 12)) * (1 + AVERAGE(FILTER('Inflation Data'!$C:$C,'Inflation Data'!$A:$A = ($A1440 - 2)))) * Parameters!$A$4,0)"),33311.397321480836)</f>
        <v>33311.39732</v>
      </c>
      <c r="Y1440" s="91">
        <f>IFERROR(__xludf.DUMMYFUNCTION("IFERROR((IFERROR(FILTER('Fund Investment Data'!$P:$P,'Fund Investment Data'!$C:$C = $C1440,'Fund Investment Data'!$A:$A = ($A1440 - 2), 'Fund Investment Data'!$B:$B = 12),0) - SUM(FILTER('Fund Investment Data'!$V:$V, 'Fund Investment Data'!$C:$C = $C1440,"&amp;" 'Fund Investment Data'!$A:$A = ($A1440 - 2), 'Fund Investment Data'!$B:$B &gt; 3)))  * Parameters!$B$4 * (1 - Parameters!$A$4),0)"),15295.200705)</f>
        <v>15295.20071</v>
      </c>
      <c r="Z1440" s="91">
        <f t="shared" si="24"/>
        <v>48606.59803</v>
      </c>
      <c r="AA1440" s="91">
        <f>IFERROR(__xludf.DUMMYFUNCTION("((IFERROR((SUM(FILTER('Fund Investment Data'!$V:$V, 'Fund Investment Data'!$C:$C = $C1440, 'Fund Investment Data'!$A:$A = $A1440 - 1, 'Fund Investment Data'!$B:$B &gt;= 4, 'Fund Investment Data'!$B:$B &lt;= ($B1440 + 5))) / 12) * ($B1440 - 3) * Parameters!$B$4,"&amp;" 0) + IF($B1440 &gt;= 9, IFERROR(SUM(FILTER('Fund Investment Data'!$V:$V, 'Fund Investment Data'!$C:$C = $C1440, 'Fund Investment Data'!$A:$A = $A1440, 'Fund Investment Data'!$B:$B &lt;= 3)) * Parameters!$B$4, 0),0)))"),0.0)</f>
        <v>0</v>
      </c>
      <c r="AB1440" s="32">
        <f>IFERROR(__xludf.DUMMYFUNCTION("IFERROR(((IFERROR(SUM(FILTER('Fund Investment Data'!$V:$V, 'Fund Investment Data'!$C:$C = $C1440, 'Fund Investment Data'!$A:$A = $A1440 - 2, 'Fund Investment Data'!$B:$B &gt;= 4)) * Parameters!$B$4,0) + IFERROR(SUM(FILTER('Fund Investment Data'!$V:$V, 'Fund "&amp;"Investment Data'!$C:$C = $C1440, 'Fund Investment Data'!$A:$A = $A1440 - 1, 'Fund Investment Data'!$B:$B &lt;= 3)) * Parameters!$B$4,0))),0)"),0.0)</f>
        <v>0</v>
      </c>
      <c r="AC1440" s="32">
        <f>IFERROR(__xludf.DUMMYFUNCTION("IFERROR(FILTER($AF:$AF,$C:$C = $C1440,$A:$A = $A1440 - 1,$B:$B = 12),0)"),0.0)</f>
        <v>0</v>
      </c>
      <c r="AD1440" s="32">
        <f t="shared" si="23"/>
        <v>48606.59803</v>
      </c>
      <c r="AE1440" s="32">
        <f t="shared" si="2"/>
        <v>48606.59803</v>
      </c>
      <c r="AF1440" s="32"/>
    </row>
    <row r="1441">
      <c r="A1441" s="86">
        <v>2019.0</v>
      </c>
      <c r="B1441" s="87">
        <v>6.0</v>
      </c>
      <c r="C1441" s="88" t="s">
        <v>57</v>
      </c>
      <c r="D1441" s="32"/>
      <c r="E1441" s="93">
        <v>-17000.0</v>
      </c>
      <c r="F1441" s="32"/>
      <c r="G1441" s="93">
        <v>-5650.41</v>
      </c>
      <c r="H1441" s="93">
        <v>24912.83</v>
      </c>
      <c r="I1441" s="32"/>
      <c r="J1441" s="93">
        <v>192700.63</v>
      </c>
      <c r="K1441" s="32"/>
      <c r="L1441" s="32"/>
      <c r="M1441" s="32"/>
      <c r="N1441" s="32"/>
      <c r="O1441" s="93">
        <v>2075477.52</v>
      </c>
      <c r="P1441" s="91">
        <f>IFERROR(__xludf.DUMMYFUNCTION("IFERROR(sum(FILTER($D:$N,$C:$C = $C1441,$A:$A &lt; $A1441,$B:$B = 12)),0) + sum($D1441:$N1441)"),2075477.52)</f>
        <v>2075477.52</v>
      </c>
      <c r="Q1441" s="92">
        <f t="shared" si="1"/>
        <v>0</v>
      </c>
      <c r="R1441" s="91">
        <f t="array" ref="R1441">IFERROR(INDEX('Fund YTD Target Values'!$1:$1000, MATCH($C1441,'Fund YTD Target Values'!$A:$A,0), MATCH($A1441,'Fund YTD Target Values'!$1:$1,0)),0)</f>
        <v>2085975.586</v>
      </c>
      <c r="S1441" s="91">
        <f>IFERROR(__xludf.DUMMYFUNCTION("IFERROR(sum(FILTER('Fund Investment Data'!$V:$V, 'Fund Investment Data'!$C:$C = $C1441, 'Fund Investment Data'!$A:$A &lt; $A1441)),0) + IFERROR(sum(FILTER('Fund Investment Data'!$V:$V, 'Fund Investment Data'!$C:$C = $C1441, 'Fund Investment Data'!$A:$A = $A1"&amp;"441, 'Fund Investment Data'!$B:$B &lt;= $B1441)),0)"),2000000.0)</f>
        <v>2000000</v>
      </c>
      <c r="T1441" s="93">
        <v>2000000.0</v>
      </c>
      <c r="U1441" s="32">
        <f t="shared" si="53"/>
        <v>0</v>
      </c>
      <c r="V1441" s="32">
        <f>IFERROR(__xludf.DUMMYFUNCTION("$D1441 - IFERROR(FILTER($D:$D,$C:$C = $C1441, $A:$A = $A1441, $B:$B = $B1441 - 1),0)"),0.0)</f>
        <v>0</v>
      </c>
      <c r="W1441" s="93">
        <f>IFERROR(__xludf.DUMMYFUNCTION("$E1441 - IFERROR(FILTER($E:$E,$C:$C = $C1441, $A:$A = $A1441, $B:$B = $B1441 - 1),0)"),-4900.0)</f>
        <v>-4900</v>
      </c>
      <c r="X1441" s="91">
        <f>IFERROR(__xludf.DUMMYFUNCTION("iFERROR((FILTER('Fund Investment Data'!$Z:$Z, 'Fund Investment Data'!$C:$C = $C1441, 'Fund Investment Data'!$A:$A = $A1441 - 1, 'Fund Investment Data'!$B:$B = 12) + FILTER('Fund Investment Data'!$AB:$AB, 'Fund Investment Data'!$C:$C = $C1441, 'Fund Invest"&amp;"ment Data'!$A:$A = $A1441 - 1, 'Fund Investment Data'!$B:$B = 12)) * (1 + AVERAGE(FILTER('Inflation Data'!$C:$C,'Inflation Data'!$A:$A = ($A1441 - 2)))) * Parameters!$A$4,0)"),0.0)</f>
        <v>0</v>
      </c>
      <c r="Y1441" s="91">
        <f>IFERROR(__xludf.DUMMYFUNCTION("IFERROR((IFERROR(FILTER('Fund Investment Data'!$P:$P,'Fund Investment Data'!$C:$C = $C1441,'Fund Investment Data'!$A:$A = ($A1441 - 2), 'Fund Investment Data'!$B:$B = 12),0) - SUM(FILTER('Fund Investment Data'!$V:$V, 'Fund Investment Data'!$C:$C = $C1441,"&amp;" 'Fund Investment Data'!$A:$A = ($A1441 - 2), 'Fund Investment Data'!$B:$B &gt; 3)))  * Parameters!$B$4 * (1 - Parameters!$A$4),0)"),474.91420500000106)</f>
        <v>474.914205</v>
      </c>
      <c r="Z1441" s="91">
        <f t="shared" si="24"/>
        <v>474.914205</v>
      </c>
      <c r="AA1441" s="91">
        <f>IFERROR(__xludf.DUMMYFUNCTION("((IFERROR((SUM(FILTER('Fund Investment Data'!$V:$V, 'Fund Investment Data'!$C:$C = $C1441, 'Fund Investment Data'!$A:$A = $A1441 - 1, 'Fund Investment Data'!$B:$B &gt;= 4, 'Fund Investment Data'!$B:$B &lt;= ($B1441 + 5))) / 12) * ($B1441 - 3) * Parameters!$B$4,"&amp;" 0) + IF($B1441 &gt;= 9, IFERROR(SUM(FILTER('Fund Investment Data'!$V:$V, 'Fund Investment Data'!$C:$C = $C1441, 'Fund Investment Data'!$A:$A = $A1441, 'Fund Investment Data'!$B:$B &lt;= 3)) * Parameters!$B$4, 0),0)))"),0.0)</f>
        <v>0</v>
      </c>
      <c r="AB1441" s="32">
        <f>IFERROR(__xludf.DUMMYFUNCTION("IFERROR(((IFERROR(SUM(FILTER('Fund Investment Data'!$V:$V, 'Fund Investment Data'!$C:$C = $C1441, 'Fund Investment Data'!$A:$A = $A1441 - 2, 'Fund Investment Data'!$B:$B &gt;= 4)) * Parameters!$B$4,0) + IFERROR(SUM(FILTER('Fund Investment Data'!$V:$V, 'Fund "&amp;"Investment Data'!$C:$C = $C1441, 'Fund Investment Data'!$A:$A = $A1441 - 1, 'Fund Investment Data'!$B:$B &lt;= 3)) * Parameters!$B$4,0))),0)"),90000.0)</f>
        <v>90000</v>
      </c>
      <c r="AC1441" s="32">
        <f>IFERROR(__xludf.DUMMYFUNCTION("IFERROR(FILTER($AF:$AF,$C:$C = $C1441,$A:$A = $A1441 - 1,$B:$B = 12),0)"),45000.0)</f>
        <v>45000</v>
      </c>
      <c r="AD1441" s="32">
        <f t="shared" si="23"/>
        <v>135474.9142</v>
      </c>
      <c r="AE1441" s="32">
        <f t="shared" si="2"/>
        <v>118474.9142</v>
      </c>
      <c r="AF1441" s="32"/>
    </row>
    <row r="1442">
      <c r="A1442" s="86">
        <v>2019.0</v>
      </c>
      <c r="B1442" s="87">
        <v>6.0</v>
      </c>
      <c r="C1442" s="88" t="s">
        <v>58</v>
      </c>
      <c r="D1442" s="32"/>
      <c r="E1442" s="93">
        <v>-23400.0</v>
      </c>
      <c r="F1442" s="32"/>
      <c r="G1442" s="93">
        <v>-5582.42</v>
      </c>
      <c r="H1442" s="93">
        <v>24679.61</v>
      </c>
      <c r="I1442" s="32"/>
      <c r="J1442" s="93">
        <v>192700.63</v>
      </c>
      <c r="K1442" s="32"/>
      <c r="L1442" s="32"/>
      <c r="M1442" s="32"/>
      <c r="N1442" s="32"/>
      <c r="O1442" s="93">
        <v>2048912.27</v>
      </c>
      <c r="P1442" s="91">
        <f>IFERROR(__xludf.DUMMYFUNCTION("IFERROR(sum(FILTER($D:$N,$C:$C = $C1442,$A:$A &lt; $A1442,$B:$B = 12)),0) + sum($D1442:$N1442)"),2048912.27)</f>
        <v>2048912.27</v>
      </c>
      <c r="Q1442" s="92">
        <f t="shared" si="1"/>
        <v>0</v>
      </c>
      <c r="R1442" s="91">
        <f t="array" ref="R1442">IFERROR(INDEX('Fund YTD Target Values'!$1:$1000, MATCH($C1442,'Fund YTD Target Values'!$A:$A,0), MATCH($A1442,'Fund YTD Target Values'!$1:$1,0)),0)</f>
        <v>2085975.586</v>
      </c>
      <c r="S1442" s="91">
        <f>IFERROR(__xludf.DUMMYFUNCTION("IFERROR(sum(FILTER('Fund Investment Data'!$V:$V, 'Fund Investment Data'!$C:$C = $C1442, 'Fund Investment Data'!$A:$A &lt; $A1442)),0) + IFERROR(sum(FILTER('Fund Investment Data'!$V:$V, 'Fund Investment Data'!$C:$C = $C1442, 'Fund Investment Data'!$A:$A = $A1"&amp;"442, 'Fund Investment Data'!$B:$B &lt;= $B1442)),0)"),2000000.0)</f>
        <v>2000000</v>
      </c>
      <c r="T1442" s="93">
        <v>2000000.0</v>
      </c>
      <c r="U1442" s="32">
        <f t="shared" si="53"/>
        <v>0</v>
      </c>
      <c r="V1442" s="32">
        <f>IFERROR(__xludf.DUMMYFUNCTION("$D1442 - IFERROR(FILTER($D:$D,$C:$C = $C1442, $A:$A = $A1442, $B:$B = $B1442 - 1),0)"),0.0)</f>
        <v>0</v>
      </c>
      <c r="W1442" s="93">
        <f>IFERROR(__xludf.DUMMYFUNCTION("$E1442 - IFERROR(FILTER($E:$E,$C:$C = $C1442, $A:$A = $A1442, $B:$B = $B1442 - 1),0)"),-5300.0)</f>
        <v>-5300</v>
      </c>
      <c r="X1442" s="91">
        <f>IFERROR(__xludf.DUMMYFUNCTION("iFERROR((FILTER('Fund Investment Data'!$Z:$Z, 'Fund Investment Data'!$C:$C = $C1442, 'Fund Investment Data'!$A:$A = $A1442 - 1, 'Fund Investment Data'!$B:$B = 12) + FILTER('Fund Investment Data'!$AB:$AB, 'Fund Investment Data'!$C:$C = $C1442, 'Fund Invest"&amp;"ment Data'!$A:$A = $A1442 - 1, 'Fund Investment Data'!$B:$B = 12)) * (1 + AVERAGE(FILTER('Inflation Data'!$C:$C,'Inflation Data'!$A:$A = ($A1442 - 2)))) * Parameters!$A$4,0)"),0.0)</f>
        <v>0</v>
      </c>
      <c r="Y1442" s="91">
        <f>IFERROR(__xludf.DUMMYFUNCTION("IFERROR((IFERROR(FILTER('Fund Investment Data'!$P:$P,'Fund Investment Data'!$C:$C = $C1442,'Fund Investment Data'!$A:$A = ($A1442 - 2), 'Fund Investment Data'!$B:$B = 12),0) - SUM(FILTER('Fund Investment Data'!$V:$V, 'Fund Investment Data'!$C:$C = $C1442,"&amp;" 'Fund Investment Data'!$A:$A = ($A1442 - 2), 'Fund Investment Data'!$B:$B &gt; 3)))  * Parameters!$B$4 * (1 - Parameters!$A$4),0)"),474.91420500000106)</f>
        <v>474.914205</v>
      </c>
      <c r="Z1442" s="91">
        <f t="shared" si="24"/>
        <v>474.914205</v>
      </c>
      <c r="AA1442" s="91">
        <f>IFERROR(__xludf.DUMMYFUNCTION("((IFERROR((SUM(FILTER('Fund Investment Data'!$V:$V, 'Fund Investment Data'!$C:$C = $C1442, 'Fund Investment Data'!$A:$A = $A1442 - 1, 'Fund Investment Data'!$B:$B &gt;= 4, 'Fund Investment Data'!$B:$B &lt;= ($B1442 + 5))) / 12) * ($B1442 - 3) * Parameters!$B$4,"&amp;" 0) + IF($B1442 &gt;= 9, IFERROR(SUM(FILTER('Fund Investment Data'!$V:$V, 'Fund Investment Data'!$C:$C = $C1442, 'Fund Investment Data'!$A:$A = $A1442, 'Fund Investment Data'!$B:$B &lt;= 3)) * Parameters!$B$4, 0),0)))"),0.0)</f>
        <v>0</v>
      </c>
      <c r="AB1442" s="32">
        <f>IFERROR(__xludf.DUMMYFUNCTION("IFERROR(((IFERROR(SUM(FILTER('Fund Investment Data'!$V:$V, 'Fund Investment Data'!$C:$C = $C1442, 'Fund Investment Data'!$A:$A = $A1442 - 2, 'Fund Investment Data'!$B:$B &gt;= 4)) * Parameters!$B$4,0) + IFERROR(SUM(FILTER('Fund Investment Data'!$V:$V, 'Fund "&amp;"Investment Data'!$C:$C = $C1442, 'Fund Investment Data'!$A:$A = $A1442 - 1, 'Fund Investment Data'!$B:$B &lt;= 3)) * Parameters!$B$4,0))),0)"),90000.0)</f>
        <v>90000</v>
      </c>
      <c r="AC1442" s="32">
        <f>IFERROR(__xludf.DUMMYFUNCTION("IFERROR(FILTER($AF:$AF,$C:$C = $C1442,$A:$A = $A1442 - 1,$B:$B = 12),0)"),25000.0)</f>
        <v>25000</v>
      </c>
      <c r="AD1442" s="32">
        <f t="shared" si="23"/>
        <v>115474.9142</v>
      </c>
      <c r="AE1442" s="32">
        <f t="shared" si="2"/>
        <v>92074.91421</v>
      </c>
      <c r="AF1442" s="32"/>
    </row>
    <row r="1443">
      <c r="A1443" s="86">
        <v>2019.0</v>
      </c>
      <c r="B1443" s="87">
        <v>7.0</v>
      </c>
      <c r="C1443" s="88" t="s">
        <v>26</v>
      </c>
      <c r="D1443" s="93">
        <v>7128.0</v>
      </c>
      <c r="E1443" s="93">
        <v>-16000.0</v>
      </c>
      <c r="F1443" s="32"/>
      <c r="G1443" s="93">
        <v>-1102.04</v>
      </c>
      <c r="H1443" s="93">
        <v>5091.6</v>
      </c>
      <c r="I1443" s="32"/>
      <c r="J1443" s="93">
        <v>33137.68</v>
      </c>
      <c r="K1443" s="32"/>
      <c r="L1443" s="93">
        <v>-85.34</v>
      </c>
      <c r="M1443" s="32"/>
      <c r="N1443" s="32"/>
      <c r="O1443" s="93">
        <v>336998.77</v>
      </c>
      <c r="P1443" s="91">
        <f>IFERROR(__xludf.DUMMYFUNCTION("IFERROR(sum(FILTER($D:$N,$C:$C = $C1443,$A:$A &lt; $A1443,$B:$B = 12)),0) + sum($D1443:$N1443)"),336997.3)</f>
        <v>336997.3</v>
      </c>
      <c r="Q1443" s="92">
        <f t="shared" si="1"/>
        <v>1.47</v>
      </c>
      <c r="R1443" s="91">
        <f t="array" ref="R1443">IFERROR(INDEX('Fund YTD Target Values'!$1:$1000, MATCH($C1443,'Fund YTD Target Values'!$A:$A,0), MATCH($A1443,'Fund YTD Target Values'!$1:$1,0)),0)</f>
        <v>392089.6861</v>
      </c>
      <c r="S1443" s="91">
        <f>IFERROR(__xludf.DUMMYFUNCTION("IFERROR(sum(FILTER('Fund Investment Data'!$V:$V, 'Fund Investment Data'!$C:$C = $C1443, 'Fund Investment Data'!$A:$A &lt; $A1443)),0) + IFERROR(sum(FILTER('Fund Investment Data'!$V:$V, 'Fund Investment Data'!$C:$C = $C1443, 'Fund Investment Data'!$A:$A = $A1"&amp;"443, 'Fund Investment Data'!$B:$B &lt;= $B1443)),0)"),317377.0)</f>
        <v>317377</v>
      </c>
      <c r="T1443" s="32"/>
      <c r="U1443" s="32"/>
      <c r="V1443" s="32">
        <f>IFERROR(__xludf.DUMMYFUNCTION("$D1443 - IFERROR(FILTER($D:$D,$C:$C = $C1443, $A:$A = $A1443, $B:$B = $B1443 - 1),0)"),0.0)</f>
        <v>0</v>
      </c>
      <c r="W1443" s="93">
        <f>IFERROR(__xludf.DUMMYFUNCTION("$E1443 - IFERROR(FILTER($E:$E,$C:$C = $C1443, $A:$A = $A1443, $B:$B = $B1443 - 1),0)"),0.0)</f>
        <v>0</v>
      </c>
      <c r="X1443" s="91">
        <f>IFERROR(__xludf.DUMMYFUNCTION("iFERROR((FILTER('Fund Investment Data'!$Z:$Z, 'Fund Investment Data'!$C:$C = $C1443, 'Fund Investment Data'!$A:$A = $A1443 - 1, 'Fund Investment Data'!$B:$B = 12) + FILTER('Fund Investment Data'!$AB:$AB, 'Fund Investment Data'!$C:$C = $C1443, 'Fund Invest"&amp;"ment Data'!$A:$A = $A1443 - 1, 'Fund Investment Data'!$B:$B = 12)) * (1 + AVERAGE(FILTER('Inflation Data'!$C:$C,'Inflation Data'!$A:$A = ($A1443 - 2)))) * Parameters!$A$4,0)"),11342.657736026731)</f>
        <v>11342.65774</v>
      </c>
      <c r="Y1443" s="91">
        <f>IFERROR(__xludf.DUMMYFUNCTION("IFERROR((IFERROR(FILTER('Fund Investment Data'!$P:$P,'Fund Investment Data'!$C:$C = $C1443,'Fund Investment Data'!$A:$A = ($A1443 - 2), 'Fund Investment Data'!$B:$B = 12),0) - SUM(FILTER('Fund Investment Data'!$V:$V, 'Fund Investment Data'!$C:$C = $C1443,"&amp;" 'Fund Investment Data'!$A:$A = ($A1443 - 2), 'Fund Investment Data'!$B:$B &gt; 3)))  * Parameters!$B$4 * (1 - Parameters!$A$4),0)"),4477.69296)</f>
        <v>4477.69296</v>
      </c>
      <c r="Z1443" s="91">
        <f t="shared" si="24"/>
        <v>15820.3507</v>
      </c>
      <c r="AA1443" s="91">
        <f>IFERROR(__xludf.DUMMYFUNCTION("((IFERROR((SUM(FILTER('Fund Investment Data'!$V:$V, 'Fund Investment Data'!$C:$C = $C1443, 'Fund Investment Data'!$A:$A = $A1443 - 1, 'Fund Investment Data'!$B:$B &gt;= 4, 'Fund Investment Data'!$B:$B &lt;= ($B1443 + 5))) / 12) * ($B1443 - 3) * Parameters!$B$4,"&amp;" 0) + IF($B1443 &gt;= 9, IFERROR(SUM(FILTER('Fund Investment Data'!$V:$V, 'Fund Investment Data'!$C:$C = $C1443, 'Fund Investment Data'!$A:$A = $A1443, 'Fund Investment Data'!$B:$B &lt;= 3)) * Parameters!$B$4, 0),0)))"),0.0)</f>
        <v>0</v>
      </c>
      <c r="AB1443" s="32">
        <f>IFERROR(__xludf.DUMMYFUNCTION("IFERROR(((IFERROR(SUM(FILTER('Fund Investment Data'!$V:$V, 'Fund Investment Data'!$C:$C = $C1443, 'Fund Investment Data'!$A:$A = $A1443 - 2, 'Fund Investment Data'!$B:$B &gt;= 4)) * Parameters!$B$4,0) + IFERROR(SUM(FILTER('Fund Investment Data'!$V:$V, 'Fund "&amp;"Investment Data'!$C:$C = $C1443, 'Fund Investment Data'!$A:$A = $A1443 - 1, 'Fund Investment Data'!$B:$B &lt;= 3)) * Parameters!$B$4,0))),0)"),829.755)</f>
        <v>829.755</v>
      </c>
      <c r="AC1443" s="32">
        <f>IFERROR(__xludf.DUMMYFUNCTION("IFERROR(FILTER($AF:$AF,$C:$C = $C1443,$A:$A = $A1443 - 1,$B:$B = 12),0)"),0.0)</f>
        <v>0</v>
      </c>
      <c r="AD1443" s="32">
        <f t="shared" si="23"/>
        <v>16650.1057</v>
      </c>
      <c r="AE1443" s="32">
        <f t="shared" si="2"/>
        <v>650.105696</v>
      </c>
      <c r="AF1443" s="32"/>
    </row>
    <row r="1444">
      <c r="A1444" s="86">
        <v>2019.0</v>
      </c>
      <c r="B1444" s="87">
        <v>7.0</v>
      </c>
      <c r="C1444" s="88" t="s">
        <v>27</v>
      </c>
      <c r="D1444" s="32"/>
      <c r="E1444" s="93">
        <v>-14000.0</v>
      </c>
      <c r="F1444" s="32"/>
      <c r="G1444" s="93">
        <v>-951.88</v>
      </c>
      <c r="H1444" s="93">
        <v>4402.93</v>
      </c>
      <c r="I1444" s="93">
        <v>3403.93</v>
      </c>
      <c r="J1444" s="93">
        <v>25468.76</v>
      </c>
      <c r="K1444" s="32"/>
      <c r="L1444" s="32"/>
      <c r="M1444" s="32"/>
      <c r="N1444" s="32"/>
      <c r="O1444" s="93">
        <v>289207.21</v>
      </c>
      <c r="P1444" s="91">
        <f>IFERROR(__xludf.DUMMYFUNCTION("IFERROR(sum(FILTER($D:$N,$C:$C = $C1444,$A:$A &lt; $A1444,$B:$B = 12)),0) + sum($D1444:$N1444)"),289207.55000000005)</f>
        <v>289207.55</v>
      </c>
      <c r="Q1444" s="92">
        <f t="shared" si="1"/>
        <v>-0.34</v>
      </c>
      <c r="R1444" s="91">
        <f t="array" ref="R1444">IFERROR(INDEX('Fund YTD Target Values'!$1:$1000, MATCH($C1444,'Fund YTD Target Values'!$A:$A,0), MATCH($A1444,'Fund YTD Target Values'!$1:$1,0)),0)</f>
        <v>400423.4941</v>
      </c>
      <c r="S1444" s="91">
        <f>IFERROR(__xludf.DUMMYFUNCTION("IFERROR(sum(FILTER('Fund Investment Data'!$V:$V, 'Fund Investment Data'!$C:$C = $C1444, 'Fund Investment Data'!$A:$A &lt; $A1444)),0) + IFERROR(sum(FILTER('Fund Investment Data'!$V:$V, 'Fund Investment Data'!$C:$C = $C1444, 'Fund Investment Data'!$A:$A = $A1"&amp;"444, 'Fund Investment Data'!$B:$B &lt;= $B1444)),0)"),276213.69999999995)</f>
        <v>276213.7</v>
      </c>
      <c r="T1444" s="32"/>
      <c r="U1444" s="32"/>
      <c r="V1444" s="32">
        <f>IFERROR(__xludf.DUMMYFUNCTION("$D1444 - IFERROR(FILTER($D:$D,$C:$C = $C1444, $A:$A = $A1444, $B:$B = $B1444 - 1),0)"),0.0)</f>
        <v>0</v>
      </c>
      <c r="W1444" s="93">
        <f>IFERROR(__xludf.DUMMYFUNCTION("$E1444 - IFERROR(FILTER($E:$E,$C:$C = $C1444, $A:$A = $A1444, $B:$B = $B1444 - 1),0)"),0.0)</f>
        <v>0</v>
      </c>
      <c r="X1444" s="91">
        <f>IFERROR(__xludf.DUMMYFUNCTION("iFERROR((FILTER('Fund Investment Data'!$Z:$Z, 'Fund Investment Data'!$C:$C = $C1444, 'Fund Investment Data'!$A:$A = $A1444 - 1, 'Fund Investment Data'!$B:$B = 12) + FILTER('Fund Investment Data'!$AB:$AB, 'Fund Investment Data'!$C:$C = $C1444, 'Fund Invest"&amp;"ment Data'!$A:$A = $A1444 - 1, 'Fund Investment Data'!$B:$B = 12)) * (1 + AVERAGE(FILTER('Inflation Data'!$C:$C,'Inflation Data'!$A:$A = ($A1444 - 2)))) * Parameters!$A$4,0)"),9924.42530607715)</f>
        <v>9924.425306</v>
      </c>
      <c r="Y1444" s="91">
        <f>IFERROR(__xludf.DUMMYFUNCTION("IFERROR((IFERROR(FILTER('Fund Investment Data'!$P:$P,'Fund Investment Data'!$C:$C = $C1444,'Fund Investment Data'!$A:$A = ($A1444 - 2), 'Fund Investment Data'!$B:$B = 12),0) - SUM(FILTER('Fund Investment Data'!$V:$V, 'Fund Investment Data'!$C:$C = $C1444,"&amp;" 'Fund Investment Data'!$A:$A = ($A1444 - 2), 'Fund Investment Data'!$B:$B &gt; 3)))  * Parameters!$B$4 * (1 - Parameters!$A$4),0)"),4164.5529000000015)</f>
        <v>4164.5529</v>
      </c>
      <c r="Z1444" s="91">
        <f t="shared" si="24"/>
        <v>14088.97821</v>
      </c>
      <c r="AA1444" s="91">
        <f>IFERROR(__xludf.DUMMYFUNCTION("((IFERROR((SUM(FILTER('Fund Investment Data'!$V:$V, 'Fund Investment Data'!$C:$C = $C1444, 'Fund Investment Data'!$A:$A = $A1444 - 1, 'Fund Investment Data'!$B:$B &gt;= 4, 'Fund Investment Data'!$B:$B &lt;= ($B1444 + 5))) / 12) * ($B1444 - 3) * Parameters!$B$4,"&amp;" 0) + IF($B1444 &gt;= 9, IFERROR(SUM(FILTER('Fund Investment Data'!$V:$V, 'Fund Investment Data'!$C:$C = $C1444, 'Fund Investment Data'!$A:$A = $A1444, 'Fund Investment Data'!$B:$B &lt;= 3)) * Parameters!$B$4, 0),0)))"),0.0)</f>
        <v>0</v>
      </c>
      <c r="AB1444" s="32">
        <f>IFERROR(__xludf.DUMMYFUNCTION("IFERROR(((IFERROR(SUM(FILTER('Fund Investment Data'!$V:$V, 'Fund Investment Data'!$C:$C = $C1444, 'Fund Investment Data'!$A:$A = $A1444 - 2, 'Fund Investment Data'!$B:$B &gt;= 4)) * Parameters!$B$4,0) + IFERROR(SUM(FILTER('Fund Investment Data'!$V:$V, 'Fund "&amp;"Investment Data'!$C:$C = $C1444, 'Fund Investment Data'!$A:$A = $A1444 - 1, 'Fund Investment Data'!$B:$B &lt;= 3)) * Parameters!$B$4,0))),0)"),0.0)</f>
        <v>0</v>
      </c>
      <c r="AC1444" s="32">
        <f>IFERROR(__xludf.DUMMYFUNCTION("IFERROR(FILTER($AF:$AF,$C:$C = $C1444,$A:$A = $A1444 - 1,$B:$B = 12),0)"),0.0)</f>
        <v>0</v>
      </c>
      <c r="AD1444" s="32">
        <f t="shared" si="23"/>
        <v>14088.97821</v>
      </c>
      <c r="AE1444" s="32">
        <f t="shared" si="2"/>
        <v>88.97820608</v>
      </c>
      <c r="AF1444" s="32"/>
    </row>
    <row r="1445">
      <c r="A1445" s="86">
        <v>2019.0</v>
      </c>
      <c r="B1445" s="87">
        <v>7.0</v>
      </c>
      <c r="C1445" s="88" t="s">
        <v>28</v>
      </c>
      <c r="D1445" s="32"/>
      <c r="E1445" s="93">
        <v>-150500.0</v>
      </c>
      <c r="F1445" s="32"/>
      <c r="G1445" s="93">
        <v>-10138.32</v>
      </c>
      <c r="H1445" s="93">
        <v>46954.02</v>
      </c>
      <c r="I1445" s="93">
        <v>36842.32</v>
      </c>
      <c r="J1445" s="93">
        <v>273311.95</v>
      </c>
      <c r="K1445" s="32"/>
      <c r="L1445" s="32"/>
      <c r="M1445" s="32"/>
      <c r="N1445" s="32"/>
      <c r="O1445" s="93">
        <v>3098710.34</v>
      </c>
      <c r="P1445" s="91">
        <f>IFERROR(__xludf.DUMMYFUNCTION("IFERROR(sum(FILTER($D:$N,$C:$C = $C1445,$A:$A &lt; $A1445,$B:$B = 12)),0) + sum($D1445:$N1445)"),3098709.41)</f>
        <v>3098709.41</v>
      </c>
      <c r="Q1445" s="92">
        <f t="shared" si="1"/>
        <v>0.9299999997</v>
      </c>
      <c r="R1445" s="91">
        <f t="array" ref="R1445">IFERROR(INDEX('Fund YTD Target Values'!$1:$1000, MATCH($C1445,'Fund YTD Target Values'!$A:$A,0), MATCH($A1445,'Fund YTD Target Values'!$1:$1,0)),0)</f>
        <v>3910070.897</v>
      </c>
      <c r="S1445" s="91">
        <f>IFERROR(__xludf.DUMMYFUNCTION("IFERROR(sum(FILTER('Fund Investment Data'!$V:$V, 'Fund Investment Data'!$C:$C = $C1445, 'Fund Investment Data'!$A:$A &lt; $A1445)),0) + IFERROR(sum(FILTER('Fund Investment Data'!$V:$V, 'Fund Investment Data'!$C:$C = $C1445, 'Fund Investment Data'!$A:$A = $A1"&amp;"445, 'Fund Investment Data'!$B:$B &lt;= $B1445)),0)"),2960091.25)</f>
        <v>2960091.25</v>
      </c>
      <c r="T1445" s="32"/>
      <c r="U1445" s="32"/>
      <c r="V1445" s="32">
        <f>IFERROR(__xludf.DUMMYFUNCTION("$D1445 - IFERROR(FILTER($D:$D,$C:$C = $C1445, $A:$A = $A1445, $B:$B = $B1445 - 1),0)"),0.0)</f>
        <v>0</v>
      </c>
      <c r="W1445" s="93">
        <f>IFERROR(__xludf.DUMMYFUNCTION("$E1445 - IFERROR(FILTER($E:$E,$C:$C = $C1445, $A:$A = $A1445, $B:$B = $B1445 - 1),0)"),-28000.0)</f>
        <v>-28000</v>
      </c>
      <c r="X1445" s="91">
        <f>IFERROR(__xludf.DUMMYFUNCTION("iFERROR((FILTER('Fund Investment Data'!$Z:$Z, 'Fund Investment Data'!$C:$C = $C1445, 'Fund Investment Data'!$A:$A = $A1445 - 1, 'Fund Investment Data'!$B:$B = 12) + FILTER('Fund Investment Data'!$AB:$AB, 'Fund Investment Data'!$C:$C = $C1445, 'Fund Invest"&amp;"ment Data'!$A:$A = $A1445 - 1, 'Fund Investment Data'!$B:$B = 12)) * (1 + AVERAGE(FILTER('Inflation Data'!$C:$C,'Inflation Data'!$A:$A = ($A1445 - 2)))) * Parameters!$A$4,0)"),106462.6298445185)</f>
        <v>106462.6298</v>
      </c>
      <c r="Y1445" s="91">
        <f>IFERROR(__xludf.DUMMYFUNCTION("IFERROR((IFERROR(FILTER('Fund Investment Data'!$P:$P,'Fund Investment Data'!$C:$C = $C1445,'Fund Investment Data'!$A:$A = ($A1445 - 2), 'Fund Investment Data'!$B:$B = 12),0) - SUM(FILTER('Fund Investment Data'!$V:$V, 'Fund Investment Data'!$C:$C = $C1445,"&amp;" 'Fund Investment Data'!$A:$A = ($A1445 - 2), 'Fund Investment Data'!$B:$B &gt; 3)))  * Parameters!$B$4 * (1 - Parameters!$A$4),0)"),44674.55194500001)</f>
        <v>44674.55195</v>
      </c>
      <c r="Z1445" s="91">
        <f t="shared" si="24"/>
        <v>151137.1818</v>
      </c>
      <c r="AA1445" s="91">
        <f>IFERROR(__xludf.DUMMYFUNCTION("((IFERROR((SUM(FILTER('Fund Investment Data'!$V:$V, 'Fund Investment Data'!$C:$C = $C1445, 'Fund Investment Data'!$A:$A = $A1445 - 1, 'Fund Investment Data'!$B:$B &gt;= 4, 'Fund Investment Data'!$B:$B &lt;= ($B1445 + 5))) / 12) * ($B1445 - 3) * Parameters!$B$4,"&amp;" 0) + IF($B1445 &gt;= 9, IFERROR(SUM(FILTER('Fund Investment Data'!$V:$V, 'Fund Investment Data'!$C:$C = $C1445, 'Fund Investment Data'!$A:$A = $A1445, 'Fund Investment Data'!$B:$B &lt;= 3)) * Parameters!$B$4, 0),0)))"),0.0)</f>
        <v>0</v>
      </c>
      <c r="AB1445" s="32">
        <f>IFERROR(__xludf.DUMMYFUNCTION("IFERROR(((IFERROR(SUM(FILTER('Fund Investment Data'!$V:$V, 'Fund Investment Data'!$C:$C = $C1445, 'Fund Investment Data'!$A:$A = $A1445 - 2, 'Fund Investment Data'!$B:$B &gt;= 4)) * Parameters!$B$4,0) + IFERROR(SUM(FILTER('Fund Investment Data'!$V:$V, 'Fund "&amp;"Investment Data'!$C:$C = $C1445, 'Fund Investment Data'!$A:$A = $A1445 - 1, 'Fund Investment Data'!$B:$B &lt;= 3)) * Parameters!$B$4,0))),0)"),0.0)</f>
        <v>0</v>
      </c>
      <c r="AC1445" s="32">
        <f>IFERROR(__xludf.DUMMYFUNCTION("IFERROR(FILTER($AF:$AF,$C:$C = $C1445,$A:$A = $A1445 - 1,$B:$B = 12),0)"),0.0)</f>
        <v>0</v>
      </c>
      <c r="AD1445" s="32">
        <f t="shared" si="23"/>
        <v>151137.1818</v>
      </c>
      <c r="AE1445" s="32">
        <f t="shared" si="2"/>
        <v>637.1817895</v>
      </c>
      <c r="AF1445" s="32"/>
    </row>
    <row r="1446">
      <c r="A1446" s="86">
        <v>2019.0</v>
      </c>
      <c r="B1446" s="87">
        <v>7.0</v>
      </c>
      <c r="C1446" s="88" t="s">
        <v>46</v>
      </c>
      <c r="D1446" s="32"/>
      <c r="E1446" s="93">
        <v>-15000.0</v>
      </c>
      <c r="F1446" s="32"/>
      <c r="G1446" s="93">
        <v>-1163.6</v>
      </c>
      <c r="H1446" s="93">
        <v>5403.95</v>
      </c>
      <c r="I1446" s="93">
        <v>4007.36</v>
      </c>
      <c r="J1446" s="93">
        <v>31706.91</v>
      </c>
      <c r="K1446" s="32"/>
      <c r="L1446" s="32"/>
      <c r="M1446" s="32"/>
      <c r="N1446" s="32"/>
      <c r="O1446" s="93">
        <v>359745.58</v>
      </c>
      <c r="P1446" s="91">
        <f>IFERROR(__xludf.DUMMYFUNCTION("IFERROR(sum(FILTER($D:$N,$C:$C = $C1446,$A:$A &lt; $A1446,$B:$B = 12)),0) + sum($D1446:$N1446)"),359746.0)</f>
        <v>359746</v>
      </c>
      <c r="Q1446" s="92">
        <f t="shared" si="1"/>
        <v>-0.42</v>
      </c>
      <c r="R1446" s="91">
        <f t="array" ref="R1446">IFERROR(INDEX('Fund YTD Target Values'!$1:$1000, MATCH($C1446,'Fund YTD Target Values'!$A:$A,0), MATCH($A1446,'Fund YTD Target Values'!$1:$1,0)),0)</f>
        <v>464818.8536</v>
      </c>
      <c r="S1446" s="91">
        <f>IFERROR(__xludf.DUMMYFUNCTION("IFERROR(sum(FILTER('Fund Investment Data'!$V:$V, 'Fund Investment Data'!$C:$C = $C1446, 'Fund Investment Data'!$A:$A &lt; $A1446)),0) + IFERROR(sum(FILTER('Fund Investment Data'!$V:$V, 'Fund Investment Data'!$C:$C = $C1446, 'Fund Investment Data'!$A:$A = $A1"&amp;"446, 'Fund Investment Data'!$B:$B &lt;= $B1446)),0)"),366400.0)</f>
        <v>366400</v>
      </c>
      <c r="T1446" s="32"/>
      <c r="U1446" s="32"/>
      <c r="V1446" s="32">
        <f>IFERROR(__xludf.DUMMYFUNCTION("$D1446 - IFERROR(FILTER($D:$D,$C:$C = $C1446, $A:$A = $A1446, $B:$B = $B1446 - 1),0)"),0.0)</f>
        <v>0</v>
      </c>
      <c r="W1446" s="93">
        <f>IFERROR(__xludf.DUMMYFUNCTION("$E1446 - IFERROR(FILTER($E:$E,$C:$C = $C1446, $A:$A = $A1446, $B:$B = $B1446 - 1),0)"),0.0)</f>
        <v>0</v>
      </c>
      <c r="X1446" s="91">
        <f>IFERROR(__xludf.DUMMYFUNCTION("iFERROR((FILTER('Fund Investment Data'!$Z:$Z, 'Fund Investment Data'!$C:$C = $C1446, 'Fund Investment Data'!$A:$A = $A1446 - 1, 'Fund Investment Data'!$B:$B = 12) + FILTER('Fund Investment Data'!$AB:$AB, 'Fund Investment Data'!$C:$C = $C1446, 'Fund Invest"&amp;"ment Data'!$A:$A = $A1446 - 1, 'Fund Investment Data'!$B:$B = 12)) * (1 + AVERAGE(FILTER('Inflation Data'!$C:$C,'Inflation Data'!$A:$A = ($A1446 - 2)))) * Parameters!$A$4,0)"),12659.715432364716)</f>
        <v>12659.71543</v>
      </c>
      <c r="Y1446" s="91">
        <f>IFERROR(__xludf.DUMMYFUNCTION("IFERROR((IFERROR(FILTER('Fund Investment Data'!$P:$P,'Fund Investment Data'!$C:$C = $C1446,'Fund Investment Data'!$A:$A = ($A1446 - 2), 'Fund Investment Data'!$B:$B = 12),0) - SUM(FILTER('Fund Investment Data'!$V:$V, 'Fund Investment Data'!$C:$C = $C1446,"&amp;" 'Fund Investment Data'!$A:$A = ($A1446 - 2), 'Fund Investment Data'!$B:$B &gt; 3)))  * Parameters!$B$4 * (1 - Parameters!$A$4),0)"),5312.3534100000015)</f>
        <v>5312.35341</v>
      </c>
      <c r="Z1446" s="91">
        <f t="shared" si="24"/>
        <v>17972.06884</v>
      </c>
      <c r="AA1446" s="91">
        <f>IFERROR(__xludf.DUMMYFUNCTION("((IFERROR((SUM(FILTER('Fund Investment Data'!$V:$V, 'Fund Investment Data'!$C:$C = $C1446, 'Fund Investment Data'!$A:$A = $A1446 - 1, 'Fund Investment Data'!$B:$B &gt;= 4, 'Fund Investment Data'!$B:$B &lt;= ($B1446 + 5))) / 12) * ($B1446 - 3) * Parameters!$B$4,"&amp;" 0) + IF($B1446 &gt;= 9, IFERROR(SUM(FILTER('Fund Investment Data'!$V:$V, 'Fund Investment Data'!$C:$C = $C1446, 'Fund Investment Data'!$A:$A = $A1446, 'Fund Investment Data'!$B:$B &lt;= 3)) * Parameters!$B$4, 0),0)))"),0.0)</f>
        <v>0</v>
      </c>
      <c r="AB1446" s="32">
        <f>IFERROR(__xludf.DUMMYFUNCTION("IFERROR(((IFERROR(SUM(FILTER('Fund Investment Data'!$V:$V, 'Fund Investment Data'!$C:$C = $C1446, 'Fund Investment Data'!$A:$A = $A1446 - 2, 'Fund Investment Data'!$B:$B &gt;= 4)) * Parameters!$B$4,0) + IFERROR(SUM(FILTER('Fund Investment Data'!$V:$V, 'Fund "&amp;"Investment Data'!$C:$C = $C1446, 'Fund Investment Data'!$A:$A = $A1446 - 1, 'Fund Investment Data'!$B:$B &lt;= 3)) * Parameters!$B$4,0))),0)"),0.0)</f>
        <v>0</v>
      </c>
      <c r="AC1446" s="32">
        <f>IFERROR(__xludf.DUMMYFUNCTION("IFERROR(FILTER($AF:$AF,$C:$C = $C1446,$A:$A = $A1446 - 1,$B:$B = 12),0)"),0.0)</f>
        <v>0</v>
      </c>
      <c r="AD1446" s="32">
        <f t="shared" si="23"/>
        <v>17972.06884</v>
      </c>
      <c r="AE1446" s="32">
        <f t="shared" si="2"/>
        <v>2972.068842</v>
      </c>
      <c r="AF1446" s="32"/>
    </row>
    <row r="1447">
      <c r="A1447" s="86">
        <v>2019.0</v>
      </c>
      <c r="B1447" s="87">
        <v>7.0</v>
      </c>
      <c r="C1447" s="88" t="s">
        <v>36</v>
      </c>
      <c r="D1447" s="32"/>
      <c r="E1447" s="93">
        <v>-20000.0</v>
      </c>
      <c r="F1447" s="32"/>
      <c r="G1447" s="93">
        <v>-1370.35</v>
      </c>
      <c r="H1447" s="93">
        <v>6354.32</v>
      </c>
      <c r="I1447" s="93">
        <v>4822.06</v>
      </c>
      <c r="J1447" s="93">
        <v>37142.94</v>
      </c>
      <c r="K1447" s="32"/>
      <c r="L1447" s="32"/>
      <c r="M1447" s="32"/>
      <c r="N1447" s="32"/>
      <c r="O1447" s="93">
        <v>420880.16</v>
      </c>
      <c r="P1447" s="91">
        <f>IFERROR(__xludf.DUMMYFUNCTION("IFERROR(sum(FILTER($D:$N,$C:$C = $C1447,$A:$A &lt; $A1447,$B:$B = 12)),0) + sum($D1447:$N1447)"),420879.71)</f>
        <v>420879.71</v>
      </c>
      <c r="Q1447" s="92">
        <f t="shared" si="1"/>
        <v>0.45</v>
      </c>
      <c r="R1447" s="91">
        <f t="array" ref="R1447">IFERROR(INDEX('Fund YTD Target Values'!$1:$1000, MATCH($C1447,'Fund YTD Target Values'!$A:$A,0), MATCH($A1447,'Fund YTD Target Values'!$1:$1,0)),0)</f>
        <v>647000.627</v>
      </c>
      <c r="S1447" s="91">
        <f>IFERROR(__xludf.DUMMYFUNCTION("IFERROR(sum(FILTER('Fund Investment Data'!$V:$V, 'Fund Investment Data'!$C:$C = $C1447, 'Fund Investment Data'!$A:$A &lt; $A1447)),0) + IFERROR(sum(FILTER('Fund Investment Data'!$V:$V, 'Fund Investment Data'!$C:$C = $C1447, 'Fund Investment Data'!$A:$A = $A1"&amp;"447, 'Fund Investment Data'!$B:$B &lt;= $B1447)),0)"),429067.24)</f>
        <v>429067.24</v>
      </c>
      <c r="T1447" s="32"/>
      <c r="U1447" s="32"/>
      <c r="V1447" s="32">
        <f>IFERROR(__xludf.DUMMYFUNCTION("$D1447 - IFERROR(FILTER($D:$D,$C:$C = $C1447, $A:$A = $A1447, $B:$B = $B1447 - 1),0)"),0.0)</f>
        <v>0</v>
      </c>
      <c r="W1447" s="93">
        <f>IFERROR(__xludf.DUMMYFUNCTION("$E1447 - IFERROR(FILTER($E:$E,$C:$C = $C1447, $A:$A = $A1447, $B:$B = $B1447 - 1),0)"),0.0)</f>
        <v>0</v>
      </c>
      <c r="X1447" s="91">
        <f>IFERROR(__xludf.DUMMYFUNCTION("iFERROR((FILTER('Fund Investment Data'!$Z:$Z, 'Fund Investment Data'!$C:$C = $C1447, 'Fund Investment Data'!$A:$A = $A1447 - 1, 'Fund Investment Data'!$B:$B = 12) + FILTER('Fund Investment Data'!$AB:$AB, 'Fund Investment Data'!$C:$C = $C1447, 'Fund Invest"&amp;"ment Data'!$A:$A = $A1447 - 1, 'Fund Investment Data'!$B:$B = 12)) * (1 + AVERAGE(FILTER('Inflation Data'!$C:$C,'Inflation Data'!$A:$A = ($A1447 - 2)))) * Parameters!$A$4,0)"),14501.42849435059)</f>
        <v>14501.42849</v>
      </c>
      <c r="Y1447" s="91">
        <f>IFERROR(__xludf.DUMMYFUNCTION("IFERROR((IFERROR(FILTER('Fund Investment Data'!$P:$P,'Fund Investment Data'!$C:$C = $C1447,'Fund Investment Data'!$A:$A = ($A1447 - 2), 'Fund Investment Data'!$B:$B = 12),0) - SUM(FILTER('Fund Investment Data'!$V:$V, 'Fund Investment Data'!$C:$C = $C1447,"&amp;" 'Fund Investment Data'!$A:$A = ($A1447 - 2), 'Fund Investment Data'!$B:$B &gt; 3)))  * Parameters!$B$4 * (1 - Parameters!$A$4),0)"),6085.1852100000015)</f>
        <v>6085.18521</v>
      </c>
      <c r="Z1447" s="91">
        <f t="shared" si="24"/>
        <v>20586.6137</v>
      </c>
      <c r="AA1447" s="91">
        <f>IFERROR(__xludf.DUMMYFUNCTION("((IFERROR((SUM(FILTER('Fund Investment Data'!$V:$V, 'Fund Investment Data'!$C:$C = $C1447, 'Fund Investment Data'!$A:$A = $A1447 - 1, 'Fund Investment Data'!$B:$B &gt;= 4, 'Fund Investment Data'!$B:$B &lt;= ($B1447 + 5))) / 12) * ($B1447 - 3) * Parameters!$B$4,"&amp;" 0) + IF($B1447 &gt;= 9, IFERROR(SUM(FILTER('Fund Investment Data'!$V:$V, 'Fund Investment Data'!$C:$C = $C1447, 'Fund Investment Data'!$A:$A = $A1447, 'Fund Investment Data'!$B:$B &lt;= 3)) * Parameters!$B$4, 0),0)))"),0.0)</f>
        <v>0</v>
      </c>
      <c r="AB1447" s="32">
        <f>IFERROR(__xludf.DUMMYFUNCTION("IFERROR(((IFERROR(SUM(FILTER('Fund Investment Data'!$V:$V, 'Fund Investment Data'!$C:$C = $C1447, 'Fund Investment Data'!$A:$A = $A1447 - 2, 'Fund Investment Data'!$B:$B &gt;= 4)) * Parameters!$B$4,0) + IFERROR(SUM(FILTER('Fund Investment Data'!$V:$V, 'Fund "&amp;"Investment Data'!$C:$C = $C1447, 'Fund Investment Data'!$A:$A = $A1447 - 1, 'Fund Investment Data'!$B:$B &lt;= 3)) * Parameters!$B$4,0))),0)"),0.0)</f>
        <v>0</v>
      </c>
      <c r="AC1447" s="32">
        <f>IFERROR(__xludf.DUMMYFUNCTION("IFERROR(FILTER($AF:$AF,$C:$C = $C1447,$A:$A = $A1447 - 1,$B:$B = 12),0)"),0.0)</f>
        <v>0</v>
      </c>
      <c r="AD1447" s="32">
        <f t="shared" si="23"/>
        <v>20586.6137</v>
      </c>
      <c r="AE1447" s="32">
        <f t="shared" si="2"/>
        <v>586.6137044</v>
      </c>
      <c r="AF1447" s="32"/>
    </row>
    <row r="1448">
      <c r="A1448" s="86">
        <v>2019.0</v>
      </c>
      <c r="B1448" s="87">
        <v>7.0</v>
      </c>
      <c r="C1448" s="88" t="s">
        <v>37</v>
      </c>
      <c r="D1448" s="32"/>
      <c r="E1448" s="93">
        <v>-37000.0</v>
      </c>
      <c r="F1448" s="32"/>
      <c r="G1448" s="93">
        <v>-2526.75</v>
      </c>
      <c r="H1448" s="93">
        <v>11699.06</v>
      </c>
      <c r="I1448" s="93">
        <v>6859.8</v>
      </c>
      <c r="J1448" s="93">
        <v>70198.01</v>
      </c>
      <c r="K1448" s="32"/>
      <c r="L1448" s="32"/>
      <c r="M1448" s="32"/>
      <c r="N1448" s="32"/>
      <c r="O1448" s="93">
        <v>772244.23</v>
      </c>
      <c r="P1448" s="91">
        <f>IFERROR(__xludf.DUMMYFUNCTION("IFERROR(sum(FILTER($D:$N,$C:$C = $C1448,$A:$A &lt; $A1448,$B:$B = 12)),0) + sum($D1448:$N1448)"),772244.2299999999)</f>
        <v>772244.23</v>
      </c>
      <c r="Q1448" s="92">
        <f t="shared" si="1"/>
        <v>0.0000000001164153218</v>
      </c>
      <c r="R1448" s="91">
        <f t="array" ref="R1448">IFERROR(INDEX('Fund YTD Target Values'!$1:$1000, MATCH($C1448,'Fund YTD Target Values'!$A:$A,0), MATCH($A1448,'Fund YTD Target Values'!$1:$1,0)),0)</f>
        <v>860942.6464</v>
      </c>
      <c r="S1448" s="91">
        <f>IFERROR(__xludf.DUMMYFUNCTION("IFERROR(sum(FILTER('Fund Investment Data'!$V:$V, 'Fund Investment Data'!$C:$C = $C1448, 'Fund Investment Data'!$A:$A &lt; $A1448)),0) + IFERROR(sum(FILTER('Fund Investment Data'!$V:$V, 'Fund Investment Data'!$C:$C = $C1448, 'Fund Investment Data'!$A:$A = $A1"&amp;"448, 'Fund Investment Data'!$B:$B &lt;= $B1448)),0)"),758137.86)</f>
        <v>758137.86</v>
      </c>
      <c r="T1448" s="32"/>
      <c r="U1448" s="32"/>
      <c r="V1448" s="32">
        <f>IFERROR(__xludf.DUMMYFUNCTION("$D1448 - IFERROR(FILTER($D:$D,$C:$C = $C1448, $A:$A = $A1448, $B:$B = $B1448 - 1),0)"),0.0)</f>
        <v>0</v>
      </c>
      <c r="W1448" s="93">
        <f>IFERROR(__xludf.DUMMYFUNCTION("$E1448 - IFERROR(FILTER($E:$E,$C:$C = $C1448, $A:$A = $A1448, $B:$B = $B1448 - 1),0)"),0.0)</f>
        <v>0</v>
      </c>
      <c r="X1448" s="91">
        <f>IFERROR(__xludf.DUMMYFUNCTION("iFERROR((FILTER('Fund Investment Data'!$Z:$Z, 'Fund Investment Data'!$C:$C = $C1448, 'Fund Investment Data'!$A:$A = $A1448 - 1, 'Fund Investment Data'!$B:$B = 12) + FILTER('Fund Investment Data'!$AB:$AB, 'Fund Investment Data'!$C:$C = $C1448, 'Fund Invest"&amp;"ment Data'!$A:$A = $A1448 - 1, 'Fund Investment Data'!$B:$B = 12)) * (1 + AVERAGE(FILTER('Inflation Data'!$C:$C,'Inflation Data'!$A:$A = ($A1448 - 2)))) * Parameters!$A$4,0)"),26487.702642294462)</f>
        <v>26487.70264</v>
      </c>
      <c r="Y1448" s="91">
        <f>IFERROR(__xludf.DUMMYFUNCTION("IFERROR((IFERROR(FILTER('Fund Investment Data'!$P:$P,'Fund Investment Data'!$C:$C = $C1448,'Fund Investment Data'!$A:$A = ($A1448 - 2), 'Fund Investment Data'!$B:$B = 12),0) - SUM(FILTER('Fund Investment Data'!$V:$V, 'Fund Investment Data'!$C:$C = $C1448,"&amp;" 'Fund Investment Data'!$A:$A = ($A1448 - 2), 'Fund Investment Data'!$B:$B &gt; 3)))  * Parameters!$B$4 * (1 - Parameters!$A$4),0)"),11114.94474)</f>
        <v>11114.94474</v>
      </c>
      <c r="Z1448" s="91">
        <f t="shared" si="24"/>
        <v>37602.64738</v>
      </c>
      <c r="AA1448" s="91">
        <f>IFERROR(__xludf.DUMMYFUNCTION("((IFERROR((SUM(FILTER('Fund Investment Data'!$V:$V, 'Fund Investment Data'!$C:$C = $C1448, 'Fund Investment Data'!$A:$A = $A1448 - 1, 'Fund Investment Data'!$B:$B &gt;= 4, 'Fund Investment Data'!$B:$B &lt;= ($B1448 + 5))) / 12) * ($B1448 - 3) * Parameters!$B$4,"&amp;" 0) + IF($B1448 &gt;= 9, IFERROR(SUM(FILTER('Fund Investment Data'!$V:$V, 'Fund Investment Data'!$C:$C = $C1448, 'Fund Investment Data'!$A:$A = $A1448, 'Fund Investment Data'!$B:$B &lt;= 3)) * Parameters!$B$4, 0),0)))"),0.0)</f>
        <v>0</v>
      </c>
      <c r="AB1448" s="32">
        <f>IFERROR(__xludf.DUMMYFUNCTION("IFERROR(((IFERROR(SUM(FILTER('Fund Investment Data'!$V:$V, 'Fund Investment Data'!$C:$C = $C1448, 'Fund Investment Data'!$A:$A = $A1448 - 2, 'Fund Investment Data'!$B:$B &gt;= 4)) * Parameters!$B$4,0) + IFERROR(SUM(FILTER('Fund Investment Data'!$V:$V, 'Fund "&amp;"Investment Data'!$C:$C = $C1448, 'Fund Investment Data'!$A:$A = $A1448 - 1, 'Fund Investment Data'!$B:$B &lt;= 3)) * Parameters!$B$4,0))),0)"),0.0)</f>
        <v>0</v>
      </c>
      <c r="AC1448" s="32">
        <f>IFERROR(__xludf.DUMMYFUNCTION("IFERROR(FILTER($AF:$AF,$C:$C = $C1448,$A:$A = $A1448 - 1,$B:$B = 12),0)"),0.0)</f>
        <v>0</v>
      </c>
      <c r="AD1448" s="32">
        <f t="shared" si="23"/>
        <v>37602.64738</v>
      </c>
      <c r="AE1448" s="32">
        <f t="shared" si="2"/>
        <v>602.6473823</v>
      </c>
      <c r="AF1448" s="32"/>
    </row>
    <row r="1449">
      <c r="A1449" s="86">
        <v>2019.0</v>
      </c>
      <c r="B1449" s="87">
        <v>7.0</v>
      </c>
      <c r="C1449" s="88" t="s">
        <v>29</v>
      </c>
      <c r="D1449" s="32"/>
      <c r="E1449" s="93">
        <v>-2600.0</v>
      </c>
      <c r="F1449" s="32"/>
      <c r="G1449" s="93">
        <v>-188.69</v>
      </c>
      <c r="H1449" s="93">
        <v>872.83</v>
      </c>
      <c r="I1449" s="93">
        <v>355.19</v>
      </c>
      <c r="J1449" s="93">
        <v>5302.5</v>
      </c>
      <c r="K1449" s="32"/>
      <c r="L1449" s="32"/>
      <c r="M1449" s="32"/>
      <c r="N1449" s="32"/>
      <c r="O1449" s="93">
        <v>57469.19</v>
      </c>
      <c r="P1449" s="91">
        <f>IFERROR(__xludf.DUMMYFUNCTION("IFERROR(sum(FILTER($D:$N,$C:$C = $C1449,$A:$A &lt; $A1449,$B:$B = 12)),0) + sum($D1449:$N1449)"),57469.21999999992)</f>
        <v>57469.22</v>
      </c>
      <c r="Q1449" s="92">
        <f t="shared" si="1"/>
        <v>-0.02999999992</v>
      </c>
      <c r="R1449" s="91">
        <f t="array" ref="R1449">IFERROR(INDEX('Fund YTD Target Values'!$1:$1000, MATCH($C1449,'Fund YTD Target Values'!$A:$A,0), MATCH($A1449,'Fund YTD Target Values'!$1:$1,0)),0)</f>
        <v>78452.06886</v>
      </c>
      <c r="S1449" s="91">
        <f>IFERROR(__xludf.DUMMYFUNCTION("IFERROR(sum(FILTER('Fund Investment Data'!$V:$V, 'Fund Investment Data'!$C:$C = $C1449, 'Fund Investment Data'!$A:$A &lt; $A1449)),0) + IFERROR(sum(FILTER('Fund Investment Data'!$V:$V, 'Fund Investment Data'!$C:$C = $C1449, 'Fund Investment Data'!$A:$A = $A1"&amp;"449, 'Fund Investment Data'!$B:$B &lt;= $B1449)),0)"),50000.0)</f>
        <v>50000</v>
      </c>
      <c r="T1449" s="32"/>
      <c r="U1449" s="32"/>
      <c r="V1449" s="32">
        <f>IFERROR(__xludf.DUMMYFUNCTION("$D1449 - IFERROR(FILTER($D:$D,$C:$C = $C1449, $A:$A = $A1449, $B:$B = $B1449 - 1),0)"),0.0)</f>
        <v>0</v>
      </c>
      <c r="W1449" s="93">
        <f>IFERROR(__xludf.DUMMYFUNCTION("$E1449 - IFERROR(FILTER($E:$E,$C:$C = $C1449, $A:$A = $A1449, $B:$B = $B1449 - 1),0)"),0.0)</f>
        <v>0</v>
      </c>
      <c r="X1449" s="91">
        <f>IFERROR(__xludf.DUMMYFUNCTION("iFERROR((FILTER('Fund Investment Data'!$Z:$Z, 'Fund Investment Data'!$C:$C = $C1449, 'Fund Investment Data'!$A:$A = $A1449 - 1, 'Fund Investment Data'!$B:$B = 12) + FILTER('Fund Investment Data'!$AB:$AB, 'Fund Investment Data'!$C:$C = $C1449, 'Fund Invest"&amp;"ment Data'!$A:$A = $A1449 - 1, 'Fund Investment Data'!$B:$B = 12)) * (1 + AVERAGE(FILTER('Inflation Data'!$C:$C,'Inflation Data'!$A:$A = ($A1449 - 2)))) * Parameters!$A$4,0)"),1871.1341826828661)</f>
        <v>1871.134183</v>
      </c>
      <c r="Y1449" s="91">
        <f>IFERROR(__xludf.DUMMYFUNCTION("IFERROR((IFERROR(FILTER('Fund Investment Data'!$P:$P,'Fund Investment Data'!$C:$C = $C1449,'Fund Investment Data'!$A:$A = ($A1449 - 2), 'Fund Investment Data'!$B:$B = 12),0) - SUM(FILTER('Fund Investment Data'!$V:$V, 'Fund Investment Data'!$C:$C = $C1449,"&amp;" 'Fund Investment Data'!$A:$A = ($A1449 - 2), 'Fund Investment Data'!$B:$B &gt; 3)))  * Parameters!$B$4 * (1 - Parameters!$A$4),0)"),785.1776849999991)</f>
        <v>785.177685</v>
      </c>
      <c r="Z1449" s="91">
        <f t="shared" si="24"/>
        <v>2656.311868</v>
      </c>
      <c r="AA1449" s="91">
        <f>IFERROR(__xludf.DUMMYFUNCTION("((IFERROR((SUM(FILTER('Fund Investment Data'!$V:$V, 'Fund Investment Data'!$C:$C = $C1449, 'Fund Investment Data'!$A:$A = $A1449 - 1, 'Fund Investment Data'!$B:$B &gt;= 4, 'Fund Investment Data'!$B:$B &lt;= ($B1449 + 5))) / 12) * ($B1449 - 3) * Parameters!$B$4,"&amp;" 0) + IF($B1449 &gt;= 9, IFERROR(SUM(FILTER('Fund Investment Data'!$V:$V, 'Fund Investment Data'!$C:$C = $C1449, 'Fund Investment Data'!$A:$A = $A1449, 'Fund Investment Data'!$B:$B &lt;= 3)) * Parameters!$B$4, 0),0)))"),0.0)</f>
        <v>0</v>
      </c>
      <c r="AB1449" s="32">
        <f>IFERROR(__xludf.DUMMYFUNCTION("IFERROR(((IFERROR(SUM(FILTER('Fund Investment Data'!$V:$V, 'Fund Investment Data'!$C:$C = $C1449, 'Fund Investment Data'!$A:$A = $A1449 - 2, 'Fund Investment Data'!$B:$B &gt;= 4)) * Parameters!$B$4,0) + IFERROR(SUM(FILTER('Fund Investment Data'!$V:$V, 'Fund "&amp;"Investment Data'!$C:$C = $C1449, 'Fund Investment Data'!$A:$A = $A1449 - 1, 'Fund Investment Data'!$B:$B &lt;= 3)) * Parameters!$B$4,0))),0)"),0.0)</f>
        <v>0</v>
      </c>
      <c r="AC1449" s="32">
        <f>IFERROR(__xludf.DUMMYFUNCTION("IFERROR(FILTER($AF:$AF,$C:$C = $C1449,$A:$A = $A1449 - 1,$B:$B = 12),0)"),0.0)</f>
        <v>0</v>
      </c>
      <c r="AD1449" s="32">
        <f t="shared" si="23"/>
        <v>2656.311868</v>
      </c>
      <c r="AE1449" s="32">
        <f t="shared" si="2"/>
        <v>56.31186768</v>
      </c>
      <c r="AF1449" s="32"/>
    </row>
    <row r="1450">
      <c r="A1450" s="86">
        <v>2019.0</v>
      </c>
      <c r="B1450" s="87">
        <v>7.0</v>
      </c>
      <c r="C1450" s="88" t="s">
        <v>38</v>
      </c>
      <c r="D1450" s="32"/>
      <c r="E1450" s="93">
        <v>-1625.0</v>
      </c>
      <c r="F1450" s="32"/>
      <c r="G1450" s="93">
        <v>-2553.87</v>
      </c>
      <c r="H1450" s="93">
        <v>11818.02</v>
      </c>
      <c r="I1450" s="32"/>
      <c r="J1450" s="93">
        <v>77580.02</v>
      </c>
      <c r="K1450" s="32"/>
      <c r="L1450" s="32"/>
      <c r="M1450" s="32"/>
      <c r="N1450" s="32"/>
      <c r="O1450" s="93">
        <v>807030.37</v>
      </c>
      <c r="P1450" s="91">
        <f>IFERROR(__xludf.DUMMYFUNCTION("IFERROR(sum(FILTER($D:$N,$C:$C = $C1450,$A:$A &lt; $A1450,$B:$B = 12)),0) + sum($D1450:$N1450)"),807029.3300000001)</f>
        <v>807029.33</v>
      </c>
      <c r="Q1450" s="92">
        <f t="shared" si="1"/>
        <v>1.04</v>
      </c>
      <c r="R1450" s="91">
        <f t="array" ref="R1450">IFERROR(INDEX('Fund YTD Target Values'!$1:$1000, MATCH($C1450,'Fund YTD Target Values'!$A:$A,0), MATCH($A1450,'Fund YTD Target Values'!$1:$1,0)),0)</f>
        <v>715243.4084</v>
      </c>
      <c r="S1450" s="91">
        <f>IFERROR(__xludf.DUMMYFUNCTION("IFERROR(sum(FILTER('Fund Investment Data'!$V:$V, 'Fund Investment Data'!$C:$C = $C1450, 'Fund Investment Data'!$A:$A &lt; $A1450)),0) + IFERROR(sum(FILTER('Fund Investment Data'!$V:$V, 'Fund Investment Data'!$C:$C = $C1450, 'Fund Investment Data'!$A:$A = $A1"&amp;"450, 'Fund Investment Data'!$B:$B &lt;= $B1450)),0)"),556601.64)</f>
        <v>556601.64</v>
      </c>
      <c r="T1450" s="32"/>
      <c r="U1450" s="32"/>
      <c r="V1450" s="32">
        <f>IFERROR(__xludf.DUMMYFUNCTION("$D1450 - IFERROR(FILTER($D:$D,$C:$C = $C1450, $A:$A = $A1450, $B:$B = $B1450 - 1),0)"),0.0)</f>
        <v>0</v>
      </c>
      <c r="W1450" s="93">
        <f>IFERROR(__xludf.DUMMYFUNCTION("$E1450 - IFERROR(FILTER($E:$E,$C:$C = $C1450, $A:$A = $A1450, $B:$B = $B1450 - 1),0)"),0.0)</f>
        <v>0</v>
      </c>
      <c r="X1450" s="91">
        <f>IFERROR(__xludf.DUMMYFUNCTION("iFERROR((FILTER('Fund Investment Data'!$Z:$Z, 'Fund Investment Data'!$C:$C = $C1450, 'Fund Investment Data'!$A:$A = $A1450 - 1, 'Fund Investment Data'!$B:$B = 12) + FILTER('Fund Investment Data'!$AB:$AB, 'Fund Investment Data'!$C:$C = $C1450, 'Fund Invest"&amp;"ment Data'!$A:$A = $A1450 - 1, 'Fund Investment Data'!$B:$B = 12)) * (1 + AVERAGE(FILTER('Inflation Data'!$C:$C,'Inflation Data'!$A:$A = ($A1450 - 2)))) * Parameters!$A$4,0)"),22062.02597097784)</f>
        <v>22062.02597</v>
      </c>
      <c r="Y1450" s="91">
        <f>IFERROR(__xludf.DUMMYFUNCTION("IFERROR((IFERROR(FILTER('Fund Investment Data'!$P:$P,'Fund Investment Data'!$C:$C = $C1450,'Fund Investment Data'!$A:$A = ($A1450 - 2), 'Fund Investment Data'!$B:$B = 12),0) - SUM(FILTER('Fund Investment Data'!$V:$V, 'Fund Investment Data'!$C:$C = $C1450,"&amp;" 'Fund Investment Data'!$A:$A = ($A1450 - 2), 'Fund Investment Data'!$B:$B &gt; 3)))  * Parameters!$B$4 * (1 - Parameters!$A$4),0)"),11008.00989)</f>
        <v>11008.00989</v>
      </c>
      <c r="Z1450" s="91">
        <f t="shared" si="24"/>
        <v>33070.03586</v>
      </c>
      <c r="AA1450" s="91">
        <f>IFERROR(__xludf.DUMMYFUNCTION("((IFERROR((SUM(FILTER('Fund Investment Data'!$V:$V, 'Fund Investment Data'!$C:$C = $C1450, 'Fund Investment Data'!$A:$A = $A1450 - 1, 'Fund Investment Data'!$B:$B &gt;= 4, 'Fund Investment Data'!$B:$B &lt;= ($B1450 + 5))) / 12) * ($B1450 - 3) * Parameters!$B$4,"&amp;" 0) + IF($B1450 &gt;= 9, IFERROR(SUM(FILTER('Fund Investment Data'!$V:$V, 'Fund Investment Data'!$C:$C = $C1450, 'Fund Investment Data'!$A:$A = $A1450, 'Fund Investment Data'!$B:$B &lt;= 3)) * Parameters!$B$4, 0),0)))"),0.0)</f>
        <v>0</v>
      </c>
      <c r="AB1450" s="32">
        <f>IFERROR(__xludf.DUMMYFUNCTION("IFERROR(((IFERROR(SUM(FILTER('Fund Investment Data'!$V:$V, 'Fund Investment Data'!$C:$C = $C1450, 'Fund Investment Data'!$A:$A = $A1450 - 2, 'Fund Investment Data'!$B:$B &gt;= 4)) * Parameters!$B$4,0) + IFERROR(SUM(FILTER('Fund Investment Data'!$V:$V, 'Fund "&amp;"Investment Data'!$C:$C = $C1450, 'Fund Investment Data'!$A:$A = $A1450 - 1, 'Fund Investment Data'!$B:$B &lt;= 3)) * Parameters!$B$4,0))),0)"),0.0)</f>
        <v>0</v>
      </c>
      <c r="AC1450" s="32">
        <f>IFERROR(__xludf.DUMMYFUNCTION("IFERROR(FILTER($AF:$AF,$C:$C = $C1450,$A:$A = $A1450 - 1,$B:$B = 12),0)"),0.0)</f>
        <v>0</v>
      </c>
      <c r="AD1450" s="32">
        <f t="shared" si="23"/>
        <v>33070.03586</v>
      </c>
      <c r="AE1450" s="32">
        <f t="shared" si="2"/>
        <v>31445.03586</v>
      </c>
      <c r="AF1450" s="32"/>
    </row>
    <row r="1451">
      <c r="A1451" s="86">
        <v>2019.0</v>
      </c>
      <c r="B1451" s="87">
        <v>7.0</v>
      </c>
      <c r="C1451" s="88" t="s">
        <v>30</v>
      </c>
      <c r="D1451" s="32"/>
      <c r="E1451" s="32"/>
      <c r="F1451" s="32"/>
      <c r="G1451" s="93">
        <v>-56.71</v>
      </c>
      <c r="H1451" s="93">
        <v>261.77</v>
      </c>
      <c r="I1451" s="32"/>
      <c r="J1451" s="93">
        <v>1694.11</v>
      </c>
      <c r="K1451" s="32"/>
      <c r="L1451" s="32"/>
      <c r="M1451" s="32"/>
      <c r="N1451" s="32"/>
      <c r="O1451" s="93">
        <v>17939.88</v>
      </c>
      <c r="P1451" s="91">
        <f>IFERROR(__xludf.DUMMYFUNCTION("IFERROR(sum(FILTER($D:$N,$C:$C = $C1451,$A:$A &lt; $A1451,$B:$B = 12)),0) + sum($D1451:$N1451)"),17938.249999999985)</f>
        <v>17938.25</v>
      </c>
      <c r="Q1451" s="92">
        <f t="shared" si="1"/>
        <v>1.63</v>
      </c>
      <c r="R1451" s="91">
        <f t="array" ref="R1451">IFERROR(INDEX('Fund YTD Target Values'!$1:$1000, MATCH($C1451,'Fund YTD Target Values'!$A:$A,0), MATCH($A1451,'Fund YTD Target Values'!$1:$1,0)),0)</f>
        <v>18819.48136</v>
      </c>
      <c r="S1451" s="91">
        <f>IFERROR(__xludf.DUMMYFUNCTION("IFERROR(sum(FILTER('Fund Investment Data'!$V:$V, 'Fund Investment Data'!$C:$C = $C1451, 'Fund Investment Data'!$A:$A &lt; $A1451)),0) + IFERROR(sum(FILTER('Fund Investment Data'!$V:$V, 'Fund Investment Data'!$C:$C = $C1451, 'Fund Investment Data'!$A:$A = $A1"&amp;"451, 'Fund Investment Data'!$B:$B &lt;= $B1451)),0)"),11540.75)</f>
        <v>11540.75</v>
      </c>
      <c r="T1451" s="32"/>
      <c r="U1451" s="32"/>
      <c r="V1451" s="32">
        <f>IFERROR(__xludf.DUMMYFUNCTION("$D1451 - IFERROR(FILTER($D:$D,$C:$C = $C1451, $A:$A = $A1451, $B:$B = $B1451 - 1),0)"),0.0)</f>
        <v>0</v>
      </c>
      <c r="W1451" s="93">
        <f>IFERROR(__xludf.DUMMYFUNCTION("$E1451 - IFERROR(FILTER($E:$E,$C:$C = $C1451, $A:$A = $A1451, $B:$B = $B1451 - 1),0)"),0.0)</f>
        <v>0</v>
      </c>
      <c r="X1451" s="91">
        <f>IFERROR(__xludf.DUMMYFUNCTION("iFERROR((FILTER('Fund Investment Data'!$Z:$Z, 'Fund Investment Data'!$C:$C = $C1451, 'Fund Investment Data'!$A:$A = $A1451 - 1, 'Fund Investment Data'!$B:$B = 12) + FILTER('Fund Investment Data'!$AB:$AB, 'Fund Investment Data'!$C:$C = $C1451, 'Fund Invest"&amp;"ment Data'!$A:$A = $A1451 - 1, 'Fund Investment Data'!$B:$B = 12)) * (1 + AVERAGE(FILTER('Inflation Data'!$C:$C,'Inflation Data'!$A:$A = ($A1451 - 2)))) * Parameters!$A$4,0)"),558.7349135648467)</f>
        <v>558.7349136</v>
      </c>
      <c r="Y1451" s="91">
        <f>IFERROR(__xludf.DUMMYFUNCTION("IFERROR((IFERROR(FILTER('Fund Investment Data'!$P:$P,'Fund Investment Data'!$C:$C = $C1451,'Fund Investment Data'!$A:$A = ($A1451 - 2), 'Fund Investment Data'!$B:$B = 12),0) - SUM(FILTER('Fund Investment Data'!$V:$V, 'Fund Investment Data'!$C:$C = $C1451,"&amp;" 'Fund Investment Data'!$A:$A = ($A1451 - 2), 'Fund Investment Data'!$B:$B &gt; 3)))  * Parameters!$B$4 * (1 - Parameters!$A$4),0)"),234.46003499999986)</f>
        <v>234.460035</v>
      </c>
      <c r="Z1451" s="91">
        <f t="shared" si="24"/>
        <v>793.1949486</v>
      </c>
      <c r="AA1451" s="91">
        <f>IFERROR(__xludf.DUMMYFUNCTION("((IFERROR((SUM(FILTER('Fund Investment Data'!$V:$V, 'Fund Investment Data'!$C:$C = $C1451, 'Fund Investment Data'!$A:$A = $A1451 - 1, 'Fund Investment Data'!$B:$B &gt;= 4, 'Fund Investment Data'!$B:$B &lt;= ($B1451 + 5))) / 12) * ($B1451 - 3) * Parameters!$B$4,"&amp;" 0) + IF($B1451 &gt;= 9, IFERROR(SUM(FILTER('Fund Investment Data'!$V:$V, 'Fund Investment Data'!$C:$C = $C1451, 'Fund Investment Data'!$A:$A = $A1451, 'Fund Investment Data'!$B:$B &lt;= 3)) * Parameters!$B$4, 0),0)))"),0.0)</f>
        <v>0</v>
      </c>
      <c r="AB1451" s="32">
        <f>IFERROR(__xludf.DUMMYFUNCTION("IFERROR(((IFERROR(SUM(FILTER('Fund Investment Data'!$V:$V, 'Fund Investment Data'!$C:$C = $C1451, 'Fund Investment Data'!$A:$A = $A1451 - 2, 'Fund Investment Data'!$B:$B &gt;= 4)) * Parameters!$B$4,0) + IFERROR(SUM(FILTER('Fund Investment Data'!$V:$V, 'Fund "&amp;"Investment Data'!$C:$C = $C1451, 'Fund Investment Data'!$A:$A = $A1451 - 1, 'Fund Investment Data'!$B:$B &lt;= 3)) * Parameters!$B$4,0))),0)"),0.0)</f>
        <v>0</v>
      </c>
      <c r="AC1451" s="32">
        <f>IFERROR(__xludf.DUMMYFUNCTION("IFERROR(FILTER($AF:$AF,$C:$C = $C1451,$A:$A = $A1451 - 1,$B:$B = 12),0)"),0.0)</f>
        <v>0</v>
      </c>
      <c r="AD1451" s="32">
        <f t="shared" si="23"/>
        <v>793.1949486</v>
      </c>
      <c r="AE1451" s="32">
        <f t="shared" si="2"/>
        <v>793.1949486</v>
      </c>
      <c r="AF1451" s="32"/>
    </row>
    <row r="1452">
      <c r="A1452" s="86">
        <v>2019.0</v>
      </c>
      <c r="B1452" s="87">
        <v>7.0</v>
      </c>
      <c r="C1452" s="88" t="s">
        <v>47</v>
      </c>
      <c r="D1452" s="32"/>
      <c r="E1452" s="93">
        <v>-69000.0</v>
      </c>
      <c r="F1452" s="32"/>
      <c r="G1452" s="93">
        <v>-4640.9</v>
      </c>
      <c r="H1452" s="93">
        <v>21537.48</v>
      </c>
      <c r="I1452" s="93">
        <v>17840.47</v>
      </c>
      <c r="J1452" s="93">
        <v>124458.94</v>
      </c>
      <c r="K1452" s="32"/>
      <c r="L1452" s="32"/>
      <c r="M1452" s="32"/>
      <c r="N1452" s="32"/>
      <c r="O1452" s="93">
        <v>1421494.3</v>
      </c>
      <c r="P1452" s="91">
        <f>IFERROR(__xludf.DUMMYFUNCTION("IFERROR(sum(FILTER($D:$N,$C:$C = $C1452,$A:$A &lt; $A1452,$B:$B = 12)),0) + sum($D1452:$N1452)"),1421493.9499999997)</f>
        <v>1421493.95</v>
      </c>
      <c r="Q1452" s="92">
        <f t="shared" si="1"/>
        <v>0.3500000003</v>
      </c>
      <c r="R1452" s="91">
        <f t="array" ref="R1452">IFERROR(INDEX('Fund YTD Target Values'!$1:$1000, MATCH($C1452,'Fund YTD Target Values'!$A:$A,0), MATCH($A1452,'Fund YTD Target Values'!$1:$1,0)),0)</f>
        <v>2034942.933</v>
      </c>
      <c r="S1452" s="91">
        <f>IFERROR(__xludf.DUMMYFUNCTION("IFERROR(sum(FILTER('Fund Investment Data'!$V:$V, 'Fund Investment Data'!$C:$C = $C1452, 'Fund Investment Data'!$A:$A &lt; $A1452)),0) + IFERROR(sum(FILTER('Fund Investment Data'!$V:$V, 'Fund Investment Data'!$C:$C = $C1452, 'Fund Investment Data'!$A:$A = $A1"&amp;"452, 'Fund Investment Data'!$B:$B &lt;= $B1452)),0)"),1456367.46)</f>
        <v>1456367.46</v>
      </c>
      <c r="T1452" s="32"/>
      <c r="U1452" s="32"/>
      <c r="V1452" s="32">
        <f>IFERROR(__xludf.DUMMYFUNCTION("$D1452 - IFERROR(FILTER($D:$D,$C:$C = $C1452, $A:$A = $A1452, $B:$B = $B1452 - 1),0)"),0.0)</f>
        <v>0</v>
      </c>
      <c r="W1452" s="93">
        <f>IFERROR(__xludf.DUMMYFUNCTION("$E1452 - IFERROR(FILTER($E:$E,$C:$C = $C1452, $A:$A = $A1452, $B:$B = $B1452 - 1),0)"),-24000.0)</f>
        <v>-24000</v>
      </c>
      <c r="X1452" s="91">
        <f>IFERROR(__xludf.DUMMYFUNCTION("iFERROR((FILTER('Fund Investment Data'!$Z:$Z, 'Fund Investment Data'!$C:$C = $C1452, 'Fund Investment Data'!$A:$A = $A1452 - 1, 'Fund Investment Data'!$B:$B = 12) + FILTER('Fund Investment Data'!$AB:$AB, 'Fund Investment Data'!$C:$C = $C1452, 'Fund Invest"&amp;"ment Data'!$A:$A = $A1452 - 1, 'Fund Investment Data'!$B:$B = 12)) * (1 + AVERAGE(FILTER('Inflation Data'!$C:$C,'Inflation Data'!$A:$A = ($A1452 - 2)))) * Parameters!$A$4,0)"),48393.90516981818)</f>
        <v>48393.90517</v>
      </c>
      <c r="Y1452" s="91">
        <f>IFERROR(__xludf.DUMMYFUNCTION("IFERROR((IFERROR(FILTER('Fund Investment Data'!$P:$P,'Fund Investment Data'!$C:$C = $C1452,'Fund Investment Data'!$A:$A = ($A1452 - 2), 'Fund Investment Data'!$B:$B = 12),0) - SUM(FILTER('Fund Investment Data'!$V:$V, 'Fund Investment Data'!$C:$C = $C1452,"&amp;" 'Fund Investment Data'!$A:$A = ($A1452 - 2), 'Fund Investment Data'!$B:$B &gt; 3)))  * Parameters!$B$4 * (1 - Parameters!$A$4),0)"),20307.37014)</f>
        <v>20307.37014</v>
      </c>
      <c r="Z1452" s="91">
        <f t="shared" si="24"/>
        <v>68701.27531</v>
      </c>
      <c r="AA1452" s="91">
        <f>IFERROR(__xludf.DUMMYFUNCTION("((IFERROR((SUM(FILTER('Fund Investment Data'!$V:$V, 'Fund Investment Data'!$C:$C = $C1452, 'Fund Investment Data'!$A:$A = $A1452 - 1, 'Fund Investment Data'!$B:$B &gt;= 4, 'Fund Investment Data'!$B:$B &lt;= ($B1452 + 5))) / 12) * ($B1452 - 3) * Parameters!$B$4,"&amp;" 0) + IF($B1452 &gt;= 9, IFERROR(SUM(FILTER('Fund Investment Data'!$V:$V, 'Fund Investment Data'!$C:$C = $C1452, 'Fund Investment Data'!$A:$A = $A1452, 'Fund Investment Data'!$B:$B &lt;= 3)) * Parameters!$B$4, 0),0)))"),0.0)</f>
        <v>0</v>
      </c>
      <c r="AB1452" s="32">
        <f>IFERROR(__xludf.DUMMYFUNCTION("IFERROR(((IFERROR(SUM(FILTER('Fund Investment Data'!$V:$V, 'Fund Investment Data'!$C:$C = $C1452, 'Fund Investment Data'!$A:$A = $A1452 - 2, 'Fund Investment Data'!$B:$B &gt;= 4)) * Parameters!$B$4,0) + IFERROR(SUM(FILTER('Fund Investment Data'!$V:$V, 'Fund "&amp;"Investment Data'!$C:$C = $C1452, 'Fund Investment Data'!$A:$A = $A1452 - 1, 'Fund Investment Data'!$B:$B &lt;= 3)) * Parameters!$B$4,0))),0)"),450.0)</f>
        <v>450</v>
      </c>
      <c r="AC1452" s="32">
        <f>IFERROR(__xludf.DUMMYFUNCTION("IFERROR(FILTER($AF:$AF,$C:$C = $C1452,$A:$A = $A1452 - 1,$B:$B = 12),0)"),0.0)</f>
        <v>0</v>
      </c>
      <c r="AD1452" s="32">
        <f t="shared" si="23"/>
        <v>69151.27531</v>
      </c>
      <c r="AE1452" s="32">
        <f t="shared" si="2"/>
        <v>151.2753098</v>
      </c>
      <c r="AF1452" s="32"/>
    </row>
    <row r="1453">
      <c r="A1453" s="86">
        <v>2019.0</v>
      </c>
      <c r="B1453" s="87">
        <v>7.0</v>
      </c>
      <c r="C1453" s="88" t="s">
        <v>31</v>
      </c>
      <c r="D1453" s="93">
        <v>100.0</v>
      </c>
      <c r="E1453" s="93">
        <v>-8700.0</v>
      </c>
      <c r="F1453" s="32"/>
      <c r="G1453" s="93">
        <v>-581.88</v>
      </c>
      <c r="H1453" s="93">
        <v>2691.19</v>
      </c>
      <c r="I1453" s="93">
        <v>2106.81</v>
      </c>
      <c r="J1453" s="93">
        <v>15535.66</v>
      </c>
      <c r="K1453" s="32"/>
      <c r="L1453" s="32"/>
      <c r="M1453" s="32"/>
      <c r="N1453" s="32"/>
      <c r="O1453" s="93">
        <v>176749.49</v>
      </c>
      <c r="P1453" s="91">
        <f>IFERROR(__xludf.DUMMYFUNCTION("IFERROR(sum(FILTER($D:$N,$C:$C = $C1453,$A:$A &lt; $A1453,$B:$B = 12)),0) + sum($D1453:$N1453)"),176749.5)</f>
        <v>176749.5</v>
      </c>
      <c r="Q1453" s="92">
        <f t="shared" si="1"/>
        <v>-0.01000000001</v>
      </c>
      <c r="R1453" s="91">
        <f t="array" ref="R1453">IFERROR(INDEX('Fund YTD Target Values'!$1:$1000, MATCH($C1453,'Fund YTD Target Values'!$A:$A,0), MATCH($A1453,'Fund YTD Target Values'!$1:$1,0)),0)</f>
        <v>214470.0821</v>
      </c>
      <c r="S1453" s="91">
        <f>IFERROR(__xludf.DUMMYFUNCTION("IFERROR(sum(FILTER('Fund Investment Data'!$V:$V, 'Fund Investment Data'!$C:$C = $C1453, 'Fund Investment Data'!$A:$A &lt; $A1453)),0) + IFERROR(sum(FILTER('Fund Investment Data'!$V:$V, 'Fund Investment Data'!$C:$C = $C1453, 'Fund Investment Data'!$A:$A = $A1"&amp;"453, 'Fund Investment Data'!$B:$B &lt;= $B1453)),0)"),158200.0)</f>
        <v>158200</v>
      </c>
      <c r="T1453" s="32"/>
      <c r="U1453" s="32"/>
      <c r="V1453" s="32">
        <f>IFERROR(__xludf.DUMMYFUNCTION("$D1453 - IFERROR(FILTER($D:$D,$C:$C = $C1453, $A:$A = $A1453, $B:$B = $B1453 - 1),0)"),0.0)</f>
        <v>0</v>
      </c>
      <c r="W1453" s="93">
        <f>IFERROR(__xludf.DUMMYFUNCTION("$E1453 - IFERROR(FILTER($E:$E,$C:$C = $C1453, $A:$A = $A1453, $B:$B = $B1453 - 1),0)"),0.0)</f>
        <v>0</v>
      </c>
      <c r="X1453" s="91">
        <f>IFERROR(__xludf.DUMMYFUNCTION("iFERROR((FILTER('Fund Investment Data'!$Z:$Z, 'Fund Investment Data'!$C:$C = $C1453, 'Fund Investment Data'!$A:$A = $A1453 - 1, 'Fund Investment Data'!$B:$B = 12) + FILTER('Fund Investment Data'!$AB:$AB, 'Fund Investment Data'!$C:$C = $C1453, 'Fund Invest"&amp;"ment Data'!$A:$A = $A1453 - 1, 'Fund Investment Data'!$B:$B = 12)) * (1 + AVERAGE(FILTER('Inflation Data'!$C:$C,'Inflation Data'!$A:$A = ($A1453 - 2)))) * Parameters!$A$4,0)"),6185.263738478203)</f>
        <v>6185.263738</v>
      </c>
      <c r="Y1453" s="91">
        <f>IFERROR(__xludf.DUMMYFUNCTION("IFERROR((IFERROR(FILTER('Fund Investment Data'!$P:$P,'Fund Investment Data'!$C:$C = $C1453,'Fund Investment Data'!$A:$A = ($A1453 - 2), 'Fund Investment Data'!$B:$B = 12),0) - SUM(FILTER('Fund Investment Data'!$V:$V, 'Fund Investment Data'!$C:$C = $C1453,"&amp;" 'Fund Investment Data'!$A:$A = ($A1453 - 2), 'Fund Investment Data'!$B:$B &gt; 3)))  * Parameters!$B$4 * (1 - Parameters!$A$4),0)"),2555.001225000001)</f>
        <v>2555.001225</v>
      </c>
      <c r="Z1453" s="91">
        <f t="shared" si="24"/>
        <v>8740.264963</v>
      </c>
      <c r="AA1453" s="91">
        <f>IFERROR(__xludf.DUMMYFUNCTION("((IFERROR((SUM(FILTER('Fund Investment Data'!$V:$V, 'Fund Investment Data'!$C:$C = $C1453, 'Fund Investment Data'!$A:$A = $A1453 - 1, 'Fund Investment Data'!$B:$B &gt;= 4, 'Fund Investment Data'!$B:$B &lt;= ($B1453 + 5))) / 12) * ($B1453 - 3) * Parameters!$B$4,"&amp;" 0) + IF($B1453 &gt;= 9, IFERROR(SUM(FILTER('Fund Investment Data'!$V:$V, 'Fund Investment Data'!$C:$C = $C1453, 'Fund Investment Data'!$A:$A = $A1453, 'Fund Investment Data'!$B:$B &lt;= 3)) * Parameters!$B$4, 0),0)))"),0.0)</f>
        <v>0</v>
      </c>
      <c r="AB1453" s="32">
        <f>IFERROR(__xludf.DUMMYFUNCTION("IFERROR(((IFERROR(SUM(FILTER('Fund Investment Data'!$V:$V, 'Fund Investment Data'!$C:$C = $C1453, 'Fund Investment Data'!$A:$A = $A1453 - 2, 'Fund Investment Data'!$B:$B &gt;= 4)) * Parameters!$B$4,0) + IFERROR(SUM(FILTER('Fund Investment Data'!$V:$V, 'Fund "&amp;"Investment Data'!$C:$C = $C1453, 'Fund Investment Data'!$A:$A = $A1453 - 1, 'Fund Investment Data'!$B:$B &lt;= 3)) * Parameters!$B$4,0))),0)"),0.0)</f>
        <v>0</v>
      </c>
      <c r="AC1453" s="32">
        <f>IFERROR(__xludf.DUMMYFUNCTION("IFERROR(FILTER($AF:$AF,$C:$C = $C1453,$A:$A = $A1453 - 1,$B:$B = 12),0)"),0.0)</f>
        <v>0</v>
      </c>
      <c r="AD1453" s="32">
        <f t="shared" si="23"/>
        <v>8740.264963</v>
      </c>
      <c r="AE1453" s="32">
        <f t="shared" si="2"/>
        <v>40.26496348</v>
      </c>
      <c r="AF1453" s="32"/>
    </row>
    <row r="1454">
      <c r="A1454" s="86">
        <v>2019.0</v>
      </c>
      <c r="B1454" s="87">
        <v>7.0</v>
      </c>
      <c r="C1454" s="88" t="s">
        <v>39</v>
      </c>
      <c r="D1454" s="32"/>
      <c r="E1454" s="93">
        <v>-8700.0</v>
      </c>
      <c r="F1454" s="32"/>
      <c r="G1454" s="93">
        <v>-596.47</v>
      </c>
      <c r="H1454" s="93">
        <v>2761.38</v>
      </c>
      <c r="I1454" s="32"/>
      <c r="J1454" s="93">
        <v>18520.28</v>
      </c>
      <c r="K1454" s="32"/>
      <c r="L1454" s="93">
        <v>-184.92</v>
      </c>
      <c r="M1454" s="32"/>
      <c r="N1454" s="32"/>
      <c r="O1454" s="93">
        <v>182620.53</v>
      </c>
      <c r="P1454" s="91">
        <f>IFERROR(__xludf.DUMMYFUNCTION("IFERROR(sum(FILTER($D:$N,$C:$C = $C1454,$A:$A &lt; $A1454,$B:$B = 12)),0) + sum($D1454:$N1454)"),182620.53000000003)</f>
        <v>182620.53</v>
      </c>
      <c r="Q1454" s="92">
        <f t="shared" si="1"/>
        <v>0</v>
      </c>
      <c r="R1454" s="91">
        <f t="array" ref="R1454">IFERROR(INDEX('Fund YTD Target Values'!$1:$1000, MATCH($C1454,'Fund YTD Target Values'!$A:$A,0), MATCH($A1454,'Fund YTD Target Values'!$1:$1,0)),0)</f>
        <v>203233.3066</v>
      </c>
      <c r="S1454" s="91">
        <f>IFERROR(__xludf.DUMMYFUNCTION("IFERROR(sum(FILTER('Fund Investment Data'!$V:$V, 'Fund Investment Data'!$C:$C = $C1454, 'Fund Investment Data'!$A:$A &lt; $A1454)),0) + IFERROR(sum(FILTER('Fund Investment Data'!$V:$V, 'Fund Investment Data'!$C:$C = $C1454, 'Fund Investment Data'!$A:$A = $A1"&amp;"454, 'Fund Investment Data'!$B:$B &lt;= $B1454)),0)"),170000.0)</f>
        <v>170000</v>
      </c>
      <c r="T1454" s="32"/>
      <c r="U1454" s="32"/>
      <c r="V1454" s="32">
        <f>IFERROR(__xludf.DUMMYFUNCTION("$D1454 - IFERROR(FILTER($D:$D,$C:$C = $C1454, $A:$A = $A1454, $B:$B = $B1454 - 1),0)"),0.0)</f>
        <v>0</v>
      </c>
      <c r="W1454" s="93">
        <f>IFERROR(__xludf.DUMMYFUNCTION("$E1454 - IFERROR(FILTER($E:$E,$C:$C = $C1454, $A:$A = $A1454, $B:$B = $B1454 - 1),0)"),0.0)</f>
        <v>0</v>
      </c>
      <c r="X1454" s="91">
        <f>IFERROR(__xludf.DUMMYFUNCTION("iFERROR((FILTER('Fund Investment Data'!$Z:$Z, 'Fund Investment Data'!$C:$C = $C1454, 'Fund Investment Data'!$A:$A = $A1454 - 1, 'Fund Investment Data'!$B:$B = 12) + FILTER('Fund Investment Data'!$AB:$AB, 'Fund Investment Data'!$C:$C = $C1454, 'Fund Invest"&amp;"ment Data'!$A:$A = $A1454 - 1, 'Fund Investment Data'!$B:$B = 12)) * (1 + AVERAGE(FILTER('Inflation Data'!$C:$C,'Inflation Data'!$A:$A = ($A1454 - 2)))) * Parameters!$A$4,0)"),5335.081378121052)</f>
        <v>5335.081378</v>
      </c>
      <c r="Y1454" s="91">
        <f>IFERROR(__xludf.DUMMYFUNCTION("IFERROR((IFERROR(FILTER('Fund Investment Data'!$P:$P,'Fund Investment Data'!$C:$C = $C1454,'Fund Investment Data'!$A:$A = ($A1454 - 2), 'Fund Investment Data'!$B:$B = 12),0) - SUM(FILTER('Fund Investment Data'!$V:$V, 'Fund Investment Data'!$C:$C = $C1454,"&amp;" 'Fund Investment Data'!$A:$A = ($A1454 - 2), 'Fund Investment Data'!$B:$B &gt; 3)))  * Parameters!$B$4 * (1 - Parameters!$A$4),0)"),2223.764010000001)</f>
        <v>2223.76401</v>
      </c>
      <c r="Z1454" s="91">
        <f t="shared" si="24"/>
        <v>7558.845388</v>
      </c>
      <c r="AA1454" s="91">
        <f>IFERROR(__xludf.DUMMYFUNCTION("((IFERROR((SUM(FILTER('Fund Investment Data'!$V:$V, 'Fund Investment Data'!$C:$C = $C1454, 'Fund Investment Data'!$A:$A = $A1454 - 1, 'Fund Investment Data'!$B:$B &gt;= 4, 'Fund Investment Data'!$B:$B &lt;= ($B1454 + 5))) / 12) * ($B1454 - 3) * Parameters!$B$4,"&amp;" 0) + IF($B1454 &gt;= 9, IFERROR(SUM(FILTER('Fund Investment Data'!$V:$V, 'Fund Investment Data'!$C:$C = $C1454, 'Fund Investment Data'!$A:$A = $A1454, 'Fund Investment Data'!$B:$B &lt;= 3)) * Parameters!$B$4, 0),0)))"),225.0)</f>
        <v>225</v>
      </c>
      <c r="AB1454" s="32">
        <f>IFERROR(__xludf.DUMMYFUNCTION("IFERROR(((IFERROR(SUM(FILTER('Fund Investment Data'!$V:$V, 'Fund Investment Data'!$C:$C = $C1454, 'Fund Investment Data'!$A:$A = $A1454 - 2, 'Fund Investment Data'!$B:$B &gt;= 4)) * Parameters!$B$4,0) + IFERROR(SUM(FILTER('Fund Investment Data'!$V:$V, 'Fund "&amp;"Investment Data'!$C:$C = $C1454, 'Fund Investment Data'!$A:$A = $A1454 - 1, 'Fund Investment Data'!$B:$B &lt;= 3)) * Parameters!$B$4,0))),0)"),675.0)</f>
        <v>675</v>
      </c>
      <c r="AC1454" s="32">
        <f>IFERROR(__xludf.DUMMYFUNCTION("IFERROR(FILTER($AF:$AF,$C:$C = $C1454,$A:$A = $A1454 - 1,$B:$B = 12),0)"),0.0)</f>
        <v>0</v>
      </c>
      <c r="AD1454" s="32">
        <f t="shared" si="23"/>
        <v>8458.845388</v>
      </c>
      <c r="AE1454" s="32">
        <f t="shared" si="2"/>
        <v>-241.1546119</v>
      </c>
      <c r="AF1454" s="32"/>
    </row>
    <row r="1455">
      <c r="A1455" s="86">
        <v>2019.0</v>
      </c>
      <c r="B1455" s="87">
        <v>7.0</v>
      </c>
      <c r="C1455" s="88" t="s">
        <v>50</v>
      </c>
      <c r="D1455" s="32"/>
      <c r="E1455" s="93">
        <v>-500.0</v>
      </c>
      <c r="F1455" s="32"/>
      <c r="G1455" s="93">
        <v>-670.5</v>
      </c>
      <c r="H1455" s="93">
        <v>3101.92</v>
      </c>
      <c r="I1455" s="32"/>
      <c r="J1455" s="93">
        <v>20320.74</v>
      </c>
      <c r="K1455" s="32"/>
      <c r="L1455" s="32"/>
      <c r="M1455" s="32"/>
      <c r="N1455" s="32"/>
      <c r="O1455" s="93">
        <v>211806.52</v>
      </c>
      <c r="P1455" s="91">
        <f>IFERROR(__xludf.DUMMYFUNCTION("IFERROR(sum(FILTER($D:$N,$C:$C = $C1455,$A:$A &lt; $A1455,$B:$B = 12)),0) + sum($D1455:$N1455)"),211805.99000000002)</f>
        <v>211805.99</v>
      </c>
      <c r="Q1455" s="92">
        <f t="shared" si="1"/>
        <v>0.53</v>
      </c>
      <c r="R1455" s="91">
        <f t="array" ref="R1455">IFERROR(INDEX('Fund YTD Target Values'!$1:$1000, MATCH($C1455,'Fund YTD Target Values'!$A:$A,0), MATCH($A1455,'Fund YTD Target Values'!$1:$1,0)),0)</f>
        <v>221607.3864</v>
      </c>
      <c r="S1455" s="91">
        <f>IFERROR(__xludf.DUMMYFUNCTION("IFERROR(sum(FILTER('Fund Investment Data'!$V:$V, 'Fund Investment Data'!$C:$C = $C1455, 'Fund Investment Data'!$A:$A &lt; $A1455)),0) + IFERROR(sum(FILTER('Fund Investment Data'!$V:$V, 'Fund Investment Data'!$C:$C = $C1455, 'Fund Investment Data'!$A:$A = $A1"&amp;"455, 'Fund Investment Data'!$B:$B &lt;= $B1455)),0)"),185189.56)</f>
        <v>185189.56</v>
      </c>
      <c r="T1455" s="32"/>
      <c r="U1455" s="32"/>
      <c r="V1455" s="32">
        <f>IFERROR(__xludf.DUMMYFUNCTION("$D1455 - IFERROR(FILTER($D:$D,$C:$C = $C1455, $A:$A = $A1455, $B:$B = $B1455 - 1),0)"),0.0)</f>
        <v>0</v>
      </c>
      <c r="W1455" s="93">
        <f>IFERROR(__xludf.DUMMYFUNCTION("$E1455 - IFERROR(FILTER($E:$E,$C:$C = $C1455, $A:$A = $A1455, $B:$B = $B1455 - 1),0)"),0.0)</f>
        <v>0</v>
      </c>
      <c r="X1455" s="91">
        <f>IFERROR(__xludf.DUMMYFUNCTION("iFERROR((FILTER('Fund Investment Data'!$Z:$Z, 'Fund Investment Data'!$C:$C = $C1455, 'Fund Investment Data'!$A:$A = $A1455 - 1, 'Fund Investment Data'!$B:$B = 12) + FILTER('Fund Investment Data'!$AB:$AB, 'Fund Investment Data'!$C:$C = $C1455, 'Fund Invest"&amp;"ment Data'!$A:$A = $A1455 - 1, 'Fund Investment Data'!$B:$B = 12)) * (1 + AVERAGE(FILTER('Inflation Data'!$C:$C,'Inflation Data'!$A:$A = ($A1455 - 2)))) * Parameters!$A$4,0)"),7479.015292624062)</f>
        <v>7479.015293</v>
      </c>
      <c r="Y1455" s="91">
        <f>IFERROR(__xludf.DUMMYFUNCTION("IFERROR((IFERROR(FILTER('Fund Investment Data'!$P:$P,'Fund Investment Data'!$C:$C = $C1455,'Fund Investment Data'!$A:$A = ($A1455 - 2), 'Fund Investment Data'!$B:$B = 12),0) - SUM(FILTER('Fund Investment Data'!$V:$V, 'Fund Investment Data'!$C:$C = $C1455,"&amp;" 'Fund Investment Data'!$A:$A = ($A1455 - 2), 'Fund Investment Data'!$B:$B &gt; 3)))  * Parameters!$B$4 * (1 - Parameters!$A$4),0)"),2908.7654850000004)</f>
        <v>2908.765485</v>
      </c>
      <c r="Z1455" s="91">
        <f t="shared" si="24"/>
        <v>10387.78078</v>
      </c>
      <c r="AA1455" s="91">
        <f>IFERROR(__xludf.DUMMYFUNCTION("((IFERROR((SUM(FILTER('Fund Investment Data'!$V:$V, 'Fund Investment Data'!$C:$C = $C1455, 'Fund Investment Data'!$A:$A = $A1455 - 1, 'Fund Investment Data'!$B:$B &gt;= 4, 'Fund Investment Data'!$B:$B &lt;= ($B1455 + 5))) / 12) * ($B1455 - 3) * Parameters!$B$4,"&amp;" 0) + IF($B1455 &gt;= 9, IFERROR(SUM(FILTER('Fund Investment Data'!$V:$V, 'Fund Investment Data'!$C:$C = $C1455, 'Fund Investment Data'!$A:$A = $A1455, 'Fund Investment Data'!$B:$B &lt;= 3)) * Parameters!$B$4, 0),0)))"),0.0)</f>
        <v>0</v>
      </c>
      <c r="AB1455" s="32">
        <f>IFERROR(__xludf.DUMMYFUNCTION("IFERROR(((IFERROR(SUM(FILTER('Fund Investment Data'!$V:$V, 'Fund Investment Data'!$C:$C = $C1455, 'Fund Investment Data'!$A:$A = $A1455 - 2, 'Fund Investment Data'!$B:$B &gt;= 4)) * Parameters!$B$4,0) + IFERROR(SUM(FILTER('Fund Investment Data'!$V:$V, 'Fund "&amp;"Investment Data'!$C:$C = $C1455, 'Fund Investment Data'!$A:$A = $A1455 - 1, 'Fund Investment Data'!$B:$B &lt;= 3)) * Parameters!$B$4,0))),0)"),0.0)</f>
        <v>0</v>
      </c>
      <c r="AC1455" s="32">
        <f>IFERROR(__xludf.DUMMYFUNCTION("IFERROR(FILTER($AF:$AF,$C:$C = $C1455,$A:$A = $A1455 - 1,$B:$B = 12),0)"),0.0)</f>
        <v>0</v>
      </c>
      <c r="AD1455" s="32">
        <f t="shared" si="23"/>
        <v>10387.78078</v>
      </c>
      <c r="AE1455" s="32">
        <f t="shared" si="2"/>
        <v>9887.780778</v>
      </c>
      <c r="AF1455" s="32"/>
    </row>
    <row r="1456">
      <c r="A1456" s="86">
        <v>2019.0</v>
      </c>
      <c r="B1456" s="87">
        <v>7.0</v>
      </c>
      <c r="C1456" s="88" t="s">
        <v>32</v>
      </c>
      <c r="D1456" s="32"/>
      <c r="E1456" s="32"/>
      <c r="F1456" s="32"/>
      <c r="G1456" s="93">
        <v>-167.9</v>
      </c>
      <c r="H1456" s="93">
        <v>776.51</v>
      </c>
      <c r="I1456" s="32"/>
      <c r="J1456" s="93">
        <v>5084.84</v>
      </c>
      <c r="K1456" s="32"/>
      <c r="L1456" s="32"/>
      <c r="M1456" s="32"/>
      <c r="N1456" s="32"/>
      <c r="O1456" s="93">
        <v>53144.0</v>
      </c>
      <c r="P1456" s="91">
        <f>IFERROR(__xludf.DUMMYFUNCTION("IFERROR(sum(FILTER($D:$N,$C:$C = $C1456,$A:$A &lt; $A1456,$B:$B = 12)),0) + sum($D1456:$N1456)"),53143.60000000002)</f>
        <v>53143.6</v>
      </c>
      <c r="Q1456" s="92">
        <f t="shared" si="1"/>
        <v>0.4</v>
      </c>
      <c r="R1456" s="91">
        <f t="array" ref="R1456">IFERROR(INDEX('Fund YTD Target Values'!$1:$1000, MATCH($C1456,'Fund YTD Target Values'!$A:$A,0), MATCH($A1456,'Fund YTD Target Values'!$1:$1,0)),0)</f>
        <v>80613.71135</v>
      </c>
      <c r="S1456" s="91">
        <f>IFERROR(__xludf.DUMMYFUNCTION("IFERROR(sum(FILTER('Fund Investment Data'!$V:$V, 'Fund Investment Data'!$C:$C = $C1456, 'Fund Investment Data'!$A:$A &lt; $A1456)),0) + IFERROR(sum(FILTER('Fund Investment Data'!$V:$V, 'Fund Investment Data'!$C:$C = $C1456, 'Fund Investment Data'!$A:$A = $A1"&amp;"456, 'Fund Investment Data'!$B:$B &lt;= $B1456)),0)"),49449.04)</f>
        <v>49449.04</v>
      </c>
      <c r="T1456" s="32"/>
      <c r="U1456" s="32"/>
      <c r="V1456" s="32">
        <f>IFERROR(__xludf.DUMMYFUNCTION("$D1456 - IFERROR(FILTER($D:$D,$C:$C = $C1456, $A:$A = $A1456, $B:$B = $B1456 - 1),0)"),0.0)</f>
        <v>0</v>
      </c>
      <c r="W1456" s="93">
        <f>IFERROR(__xludf.DUMMYFUNCTION("$E1456 - IFERROR(FILTER($E:$E,$C:$C = $C1456, $A:$A = $A1456, $B:$B = $B1456 - 1),0)"),0.0)</f>
        <v>0</v>
      </c>
      <c r="X1456" s="91">
        <f>IFERROR(__xludf.DUMMYFUNCTION("iFERROR((FILTER('Fund Investment Data'!$Z:$Z, 'Fund Investment Data'!$C:$C = $C1456, 'Fund Investment Data'!$A:$A = $A1456 - 1, 'Fund Investment Data'!$B:$B = 12) + FILTER('Fund Investment Data'!$AB:$AB, 'Fund Investment Data'!$C:$C = $C1456, 'Fund Invest"&amp;"ment Data'!$A:$A = $A1456 - 1, 'Fund Investment Data'!$B:$B = 12)) * (1 + AVERAGE(FILTER('Inflation Data'!$C:$C,'Inflation Data'!$A:$A = ($A1456 - 2)))) * Parameters!$A$4,0)"),1718.9474190106023)</f>
        <v>1718.947419</v>
      </c>
      <c r="Y1456" s="91">
        <f>IFERROR(__xludf.DUMMYFUNCTION("IFERROR((IFERROR(FILTER('Fund Investment Data'!$P:$P,'Fund Investment Data'!$C:$C = $C1456,'Fund Investment Data'!$A:$A = ($A1456 - 2), 'Fund Investment Data'!$B:$B = 12),0) - SUM(FILTER('Fund Investment Data'!$V:$V, 'Fund Investment Data'!$C:$C = $C1456,"&amp;" 'Fund Investment Data'!$A:$A = ($A1456 - 2), 'Fund Investment Data'!$B:$B &gt; 3)))  * Parameters!$B$4 * (1 - Parameters!$A$4),0)"),721.3160700000005)</f>
        <v>721.31607</v>
      </c>
      <c r="Z1456" s="91">
        <f t="shared" si="24"/>
        <v>2440.263489</v>
      </c>
      <c r="AA1456" s="91">
        <f>IFERROR(__xludf.DUMMYFUNCTION("((IFERROR((SUM(FILTER('Fund Investment Data'!$V:$V, 'Fund Investment Data'!$C:$C = $C1456, 'Fund Investment Data'!$A:$A = $A1456 - 1, 'Fund Investment Data'!$B:$B &gt;= 4, 'Fund Investment Data'!$B:$B &lt;= ($B1456 + 5))) / 12) * ($B1456 - 3) * Parameters!$B$4,"&amp;" 0) + IF($B1456 &gt;= 9, IFERROR(SUM(FILTER('Fund Investment Data'!$V:$V, 'Fund Investment Data'!$C:$C = $C1456, 'Fund Investment Data'!$A:$A = $A1456, 'Fund Investment Data'!$B:$B &lt;= 3)) * Parameters!$B$4, 0),0)))"),0.0)</f>
        <v>0</v>
      </c>
      <c r="AB1456" s="32">
        <f>IFERROR(__xludf.DUMMYFUNCTION("IFERROR(((IFERROR(SUM(FILTER('Fund Investment Data'!$V:$V, 'Fund Investment Data'!$C:$C = $C1456, 'Fund Investment Data'!$A:$A = $A1456 - 2, 'Fund Investment Data'!$B:$B &gt;= 4)) * Parameters!$B$4,0) + IFERROR(SUM(FILTER('Fund Investment Data'!$V:$V, 'Fund "&amp;"Investment Data'!$C:$C = $C1456, 'Fund Investment Data'!$A:$A = $A1456 - 1, 'Fund Investment Data'!$B:$B &lt;= 3)) * Parameters!$B$4,0))),0)"),0.0)</f>
        <v>0</v>
      </c>
      <c r="AC1456" s="32">
        <f>IFERROR(__xludf.DUMMYFUNCTION("IFERROR(FILTER($AF:$AF,$C:$C = $C1456,$A:$A = $A1456 - 1,$B:$B = 12),0)"),0.0)</f>
        <v>0</v>
      </c>
      <c r="AD1456" s="32">
        <f t="shared" si="23"/>
        <v>2440.263489</v>
      </c>
      <c r="AE1456" s="32">
        <f t="shared" si="2"/>
        <v>2440.263489</v>
      </c>
      <c r="AF1456" s="32"/>
    </row>
    <row r="1457">
      <c r="A1457" s="86">
        <v>2019.0</v>
      </c>
      <c r="B1457" s="87">
        <v>7.0</v>
      </c>
      <c r="C1457" s="88" t="s">
        <v>40</v>
      </c>
      <c r="D1457" s="32"/>
      <c r="E1457" s="93">
        <v>-7000.0</v>
      </c>
      <c r="F1457" s="32"/>
      <c r="G1457" s="93">
        <v>-476.33</v>
      </c>
      <c r="H1457" s="93">
        <v>2204.76</v>
      </c>
      <c r="I1457" s="93">
        <v>1434.63</v>
      </c>
      <c r="J1457" s="93">
        <v>13182.68</v>
      </c>
      <c r="K1457" s="32"/>
      <c r="L1457" s="32"/>
      <c r="M1457" s="32"/>
      <c r="N1457" s="32"/>
      <c r="O1457" s="93">
        <v>145790.89</v>
      </c>
      <c r="P1457" s="91">
        <f>IFERROR(__xludf.DUMMYFUNCTION("IFERROR(sum(FILTER($D:$N,$C:$C = $C1457,$A:$A &lt; $A1457,$B:$B = 12)),0) + sum($D1457:$N1457)"),145790.84999999992)</f>
        <v>145790.85</v>
      </c>
      <c r="Q1457" s="92">
        <f t="shared" si="1"/>
        <v>0.0400000001</v>
      </c>
      <c r="R1457" s="91">
        <f t="array" ref="R1457">IFERROR(INDEX('Fund YTD Target Values'!$1:$1000, MATCH($C1457,'Fund YTD Target Values'!$A:$A,0), MATCH($A1457,'Fund YTD Target Values'!$1:$1,0)),0)</f>
        <v>164286.6043</v>
      </c>
      <c r="S1457" s="91">
        <f>IFERROR(__xludf.DUMMYFUNCTION("IFERROR(sum(FILTER('Fund Investment Data'!$V:$V, 'Fund Investment Data'!$C:$C = $C1457, 'Fund Investment Data'!$A:$A &lt; $A1457)),0) + IFERROR(sum(FILTER('Fund Investment Data'!$V:$V, 'Fund Investment Data'!$C:$C = $C1457, 'Fund Investment Data'!$A:$A = $A1"&amp;"457, 'Fund Investment Data'!$B:$B &lt;= $B1457)),0)"),129703.74)</f>
        <v>129703.74</v>
      </c>
      <c r="T1457" s="32"/>
      <c r="U1457" s="32"/>
      <c r="V1457" s="32">
        <f>IFERROR(__xludf.DUMMYFUNCTION("$D1457 - IFERROR(FILTER($D:$D,$C:$C = $C1457, $A:$A = $A1457, $B:$B = $B1457 - 1),0)"),0.0)</f>
        <v>0</v>
      </c>
      <c r="W1457" s="93">
        <f>IFERROR(__xludf.DUMMYFUNCTION("$E1457 - IFERROR(FILTER($E:$E,$C:$C = $C1457, $A:$A = $A1457, $B:$B = $B1457 - 1),0)"),0.0)</f>
        <v>0</v>
      </c>
      <c r="X1457" s="91">
        <f>IFERROR(__xludf.DUMMYFUNCTION("iFERROR((FILTER('Fund Investment Data'!$Z:$Z, 'Fund Investment Data'!$C:$C = $C1457, 'Fund Investment Data'!$A:$A = $A1457 - 1, 'Fund Investment Data'!$B:$B = 12) + FILTER('Fund Investment Data'!$AB:$AB, 'Fund Investment Data'!$C:$C = $C1457, 'Fund Invest"&amp;"ment Data'!$A:$A = $A1457 - 1, 'Fund Investment Data'!$B:$B = 12)) * (1 + AVERAGE(FILTER('Inflation Data'!$C:$C,'Inflation Data'!$A:$A = ($A1457 - 2)))) * Parameters!$A$4,0)"),4980.550706212943)</f>
        <v>4980.550706</v>
      </c>
      <c r="Y1457" s="91">
        <f>IFERROR(__xludf.DUMMYFUNCTION("IFERROR((IFERROR(FILTER('Fund Investment Data'!$P:$P,'Fund Investment Data'!$C:$C = $C1457,'Fund Investment Data'!$A:$A = ($A1457 - 2), 'Fund Investment Data'!$B:$B = 12),0) - SUM(FILTER('Fund Investment Data'!$V:$V, 'Fund Investment Data'!$C:$C = $C1457,"&amp;" 'Fund Investment Data'!$A:$A = ($A1457 - 2), 'Fund Investment Data'!$B:$B &gt; 3)))  * Parameters!$B$4 * (1 - Parameters!$A$4),0)"),2089.971585)</f>
        <v>2089.971585</v>
      </c>
      <c r="Z1457" s="91">
        <f t="shared" si="24"/>
        <v>7070.522291</v>
      </c>
      <c r="AA1457" s="91">
        <f>IFERROR(__xludf.DUMMYFUNCTION("((IFERROR((SUM(FILTER('Fund Investment Data'!$V:$V, 'Fund Investment Data'!$C:$C = $C1457, 'Fund Investment Data'!$A:$A = $A1457 - 1, 'Fund Investment Data'!$B:$B &gt;= 4, 'Fund Investment Data'!$B:$B &lt;= ($B1457 + 5))) / 12) * ($B1457 - 3) * Parameters!$B$4,"&amp;" 0) + IF($B1457 &gt;= 9, IFERROR(SUM(FILTER('Fund Investment Data'!$V:$V, 'Fund Investment Data'!$C:$C = $C1457, 'Fund Investment Data'!$A:$A = $A1457, 'Fund Investment Data'!$B:$B &lt;= 3)) * Parameters!$B$4, 0),0)))"),0.0)</f>
        <v>0</v>
      </c>
      <c r="AB1457" s="32">
        <f>IFERROR(__xludf.DUMMYFUNCTION("IFERROR(((IFERROR(SUM(FILTER('Fund Investment Data'!$V:$V, 'Fund Investment Data'!$C:$C = $C1457, 'Fund Investment Data'!$A:$A = $A1457 - 2, 'Fund Investment Data'!$B:$B &gt;= 4)) * Parameters!$B$4,0) + IFERROR(SUM(FILTER('Fund Investment Data'!$V:$V, 'Fund "&amp;"Investment Data'!$C:$C = $C1457, 'Fund Investment Data'!$A:$A = $A1457 - 1, 'Fund Investment Data'!$B:$B &lt;= 3)) * Parameters!$B$4,0))),0)"),0.0)</f>
        <v>0</v>
      </c>
      <c r="AC1457" s="32">
        <f>IFERROR(__xludf.DUMMYFUNCTION("IFERROR(FILTER($AF:$AF,$C:$C = $C1457,$A:$A = $A1457 - 1,$B:$B = 12),0)"),0.0)</f>
        <v>0</v>
      </c>
      <c r="AD1457" s="32">
        <f t="shared" si="23"/>
        <v>7070.522291</v>
      </c>
      <c r="AE1457" s="32">
        <f t="shared" si="2"/>
        <v>70.52229121</v>
      </c>
      <c r="AF1457" s="32"/>
    </row>
    <row r="1458">
      <c r="A1458" s="86">
        <v>2019.0</v>
      </c>
      <c r="B1458" s="87">
        <v>7.0</v>
      </c>
      <c r="C1458" s="88" t="s">
        <v>51</v>
      </c>
      <c r="D1458" s="93">
        <v>1000.0</v>
      </c>
      <c r="E1458" s="32"/>
      <c r="F1458" s="32"/>
      <c r="G1458" s="93">
        <v>-1561.3</v>
      </c>
      <c r="H1458" s="93">
        <v>7164.52</v>
      </c>
      <c r="I1458" s="32"/>
      <c r="J1458" s="93">
        <v>45568.44</v>
      </c>
      <c r="K1458" s="32"/>
      <c r="L1458" s="32"/>
      <c r="M1458" s="32"/>
      <c r="N1458" s="32"/>
      <c r="O1458" s="93">
        <v>494301.69</v>
      </c>
      <c r="P1458" s="91">
        <f>IFERROR(__xludf.DUMMYFUNCTION("IFERROR(sum(FILTER($D:$N,$C:$C = $C1458,$A:$A &lt; $A1458,$B:$B = 12)),0) + sum($D1458:$N1458)"),494301.67000000004)</f>
        <v>494301.67</v>
      </c>
      <c r="Q1458" s="92">
        <f t="shared" si="1"/>
        <v>0.01999999996</v>
      </c>
      <c r="R1458" s="91">
        <f t="array" ref="R1458">IFERROR(INDEX('Fund YTD Target Values'!$1:$1000, MATCH($C1458,'Fund YTD Target Values'!$A:$A,0), MATCH($A1458,'Fund YTD Target Values'!$1:$1,0)),0)</f>
        <v>460355.013</v>
      </c>
      <c r="S1458" s="91">
        <f>IFERROR(__xludf.DUMMYFUNCTION("IFERROR(sum(FILTER('Fund Investment Data'!$V:$V, 'Fund Investment Data'!$C:$C = $C1458, 'Fund Investment Data'!$A:$A &lt; $A1458)),0) + IFERROR(sum(FILTER('Fund Investment Data'!$V:$V, 'Fund Investment Data'!$C:$C = $C1458, 'Fund Investment Data'!$A:$A = $A1"&amp;"458, 'Fund Investment Data'!$B:$B &lt;= $B1458)),0)"),420073.55)</f>
        <v>420073.55</v>
      </c>
      <c r="T1458" s="32"/>
      <c r="U1458" s="32"/>
      <c r="V1458" s="32">
        <f>IFERROR(__xludf.DUMMYFUNCTION("$D1458 - IFERROR(FILTER($D:$D,$C:$C = $C1458, $A:$A = $A1458, $B:$B = $B1458 - 1),0)"),0.0)</f>
        <v>0</v>
      </c>
      <c r="W1458" s="93">
        <f>IFERROR(__xludf.DUMMYFUNCTION("$E1458 - IFERROR(FILTER($E:$E,$C:$C = $C1458, $A:$A = $A1458, $B:$B = $B1458 - 1),0)"),0.0)</f>
        <v>0</v>
      </c>
      <c r="X1458" s="91">
        <f>IFERROR(__xludf.DUMMYFUNCTION("iFERROR((FILTER('Fund Investment Data'!$Z:$Z, 'Fund Investment Data'!$C:$C = $C1458, 'Fund Investment Data'!$A:$A = $A1458 - 1, 'Fund Investment Data'!$B:$B = 12) + FILTER('Fund Investment Data'!$AB:$AB, 'Fund Investment Data'!$C:$C = $C1458, 'Fund Invest"&amp;"ment Data'!$A:$A = $A1458 - 1, 'Fund Investment Data'!$B:$B = 12)) * (1 + AVERAGE(FILTER('Inflation Data'!$C:$C,'Inflation Data'!$A:$A = ($A1458 - 2)))) * Parameters!$A$4,0)"),14060.066994776611)</f>
        <v>14060.06699</v>
      </c>
      <c r="Y1458" s="91">
        <f>IFERROR(__xludf.DUMMYFUNCTION("IFERROR((IFERROR(FILTER('Fund Investment Data'!$P:$P,'Fund Investment Data'!$C:$C = $C1458,'Fund Investment Data'!$A:$A = ($A1458 - 2), 'Fund Investment Data'!$B:$B = 12),0) - SUM(FILTER('Fund Investment Data'!$V:$V, 'Fund Investment Data'!$C:$C = $C1458,"&amp;" 'Fund Investment Data'!$A:$A = ($A1458 - 2), 'Fund Investment Data'!$B:$B &gt; 3)))  * Parameters!$B$4 * (1 - Parameters!$A$4),0)"),6507.701055)</f>
        <v>6507.701055</v>
      </c>
      <c r="Z1458" s="91">
        <f t="shared" si="24"/>
        <v>20567.76805</v>
      </c>
      <c r="AA1458" s="91">
        <f>IFERROR(__xludf.DUMMYFUNCTION("((IFERROR((SUM(FILTER('Fund Investment Data'!$V:$V, 'Fund Investment Data'!$C:$C = $C1458, 'Fund Investment Data'!$A:$A = $A1458 - 1, 'Fund Investment Data'!$B:$B &gt;= 4, 'Fund Investment Data'!$B:$B &lt;= ($B1458 + 5))) / 12) * ($B1458 - 3) * Parameters!$B$4,"&amp;" 0) + IF($B1458 &gt;= 9, IFERROR(SUM(FILTER('Fund Investment Data'!$V:$V, 'Fund Investment Data'!$C:$C = $C1458, 'Fund Investment Data'!$A:$A = $A1458, 'Fund Investment Data'!$B:$B &lt;= 3)) * Parameters!$B$4, 0),0)))"),38.25)</f>
        <v>38.25</v>
      </c>
      <c r="AB1458" s="32">
        <f>IFERROR(__xludf.DUMMYFUNCTION("IFERROR(((IFERROR(SUM(FILTER('Fund Investment Data'!$V:$V, 'Fund Investment Data'!$C:$C = $C1458, 'Fund Investment Data'!$A:$A = $A1458 - 2, 'Fund Investment Data'!$B:$B &gt;= 4)) * Parameters!$B$4,0) + IFERROR(SUM(FILTER('Fund Investment Data'!$V:$V, 'Fund "&amp;"Investment Data'!$C:$C = $C1458, 'Fund Investment Data'!$A:$A = $A1458 - 1, 'Fund Investment Data'!$B:$B &lt;= 3)) * Parameters!$B$4,0))),0)"),153.0)</f>
        <v>153</v>
      </c>
      <c r="AC1458" s="32">
        <f>IFERROR(__xludf.DUMMYFUNCTION("IFERROR(FILTER($AF:$AF,$C:$C = $C1458,$A:$A = $A1458 - 1,$B:$B = 12),0)"),14700.0)</f>
        <v>14700</v>
      </c>
      <c r="AD1458" s="32">
        <f t="shared" si="23"/>
        <v>35459.01805</v>
      </c>
      <c r="AE1458" s="32">
        <f t="shared" si="2"/>
        <v>35459.01805</v>
      </c>
      <c r="AF1458" s="32"/>
    </row>
    <row r="1459">
      <c r="A1459" s="86">
        <v>2019.0</v>
      </c>
      <c r="B1459" s="87">
        <v>7.0</v>
      </c>
      <c r="C1459" s="88" t="s">
        <v>48</v>
      </c>
      <c r="D1459" s="32"/>
      <c r="E1459" s="93">
        <v>-57000.0</v>
      </c>
      <c r="F1459" s="32"/>
      <c r="G1459" s="93">
        <v>-3831.9</v>
      </c>
      <c r="H1459" s="93">
        <v>17756.92</v>
      </c>
      <c r="I1459" s="93">
        <v>15044.3</v>
      </c>
      <c r="J1459" s="93">
        <v>102107.66</v>
      </c>
      <c r="K1459" s="32"/>
      <c r="L1459" s="32"/>
      <c r="M1459" s="32"/>
      <c r="N1459" s="32"/>
      <c r="O1459" s="93">
        <v>1167291.69</v>
      </c>
      <c r="P1459" s="91">
        <f>IFERROR(__xludf.DUMMYFUNCTION("IFERROR(sum(FILTER($D:$N,$C:$C = $C1459,$A:$A &lt; $A1459,$B:$B = 12)),0) + sum($D1459:$N1459)"),1167290.3699999996)</f>
        <v>1167290.37</v>
      </c>
      <c r="Q1459" s="92">
        <f t="shared" si="1"/>
        <v>1.32</v>
      </c>
      <c r="R1459" s="91">
        <f t="array" ref="R1459">IFERROR(INDEX('Fund YTD Target Values'!$1:$1000, MATCH($C1459,'Fund YTD Target Values'!$A:$A,0), MATCH($A1459,'Fund YTD Target Values'!$1:$1,0)),0)</f>
        <v>1930631.639</v>
      </c>
      <c r="S1459" s="91">
        <f>IFERROR(__xludf.DUMMYFUNCTION("IFERROR(sum(FILTER('Fund Investment Data'!$V:$V, 'Fund Investment Data'!$C:$C = $C1459, 'Fund Investment Data'!$A:$A &lt; $A1459)),0) + IFERROR(sum(FILTER('Fund Investment Data'!$V:$V, 'Fund Investment Data'!$C:$C = $C1459, 'Fund Investment Data'!$A:$A = $A1"&amp;"459, 'Fund Investment Data'!$B:$B &lt;= $B1459)),0)"),1183929.39)</f>
        <v>1183929.39</v>
      </c>
      <c r="T1459" s="32"/>
      <c r="U1459" s="32"/>
      <c r="V1459" s="32">
        <f>IFERROR(__xludf.DUMMYFUNCTION("$D1459 - IFERROR(FILTER($D:$D,$C:$C = $C1459, $A:$A = $A1459, $B:$B = $B1459 - 1),0)"),0.0)</f>
        <v>0</v>
      </c>
      <c r="W1459" s="93">
        <f>IFERROR(__xludf.DUMMYFUNCTION("$E1459 - IFERROR(FILTER($E:$E,$C:$C = $C1459, $A:$A = $A1459, $B:$B = $B1459 - 1),0)"),-34000.0)</f>
        <v>-34000</v>
      </c>
      <c r="X1459" s="91">
        <f>IFERROR(__xludf.DUMMYFUNCTION("iFERROR((FILTER('Fund Investment Data'!$Z:$Z, 'Fund Investment Data'!$C:$C = $C1459, 'Fund Investment Data'!$A:$A = $A1459 - 1, 'Fund Investment Data'!$B:$B = 12) + FILTER('Fund Investment Data'!$AB:$AB, 'Fund Investment Data'!$C:$C = $C1459, 'Fund Invest"&amp;"ment Data'!$A:$A = $A1459 - 1, 'Fund Investment Data'!$B:$B = 12)) * (1 + AVERAGE(FILTER('Inflation Data'!$C:$C,'Inflation Data'!$A:$A = ($A1459 - 2)))) * Parameters!$A$4,0)"),40170.623919220896)</f>
        <v>40170.62392</v>
      </c>
      <c r="Y1459" s="91">
        <f>IFERROR(__xludf.DUMMYFUNCTION("IFERROR((IFERROR(FILTER('Fund Investment Data'!$P:$P,'Fund Investment Data'!$C:$C = $C1459,'Fund Investment Data'!$A:$A = ($A1459 - 2), 'Fund Investment Data'!$B:$B = 12),0) - SUM(FILTER('Fund Investment Data'!$V:$V, 'Fund Investment Data'!$C:$C = $C1459,"&amp;" 'Fund Investment Data'!$A:$A = ($A1459 - 2), 'Fund Investment Data'!$B:$B &gt; 3)))  * Parameters!$B$4 * (1 - Parameters!$A$4),0)"),16856.662545)</f>
        <v>16856.66255</v>
      </c>
      <c r="Z1459" s="91">
        <f t="shared" si="24"/>
        <v>57027.28646</v>
      </c>
      <c r="AA1459" s="91">
        <f>IFERROR(__xludf.DUMMYFUNCTION("((IFERROR((SUM(FILTER('Fund Investment Data'!$V:$V, 'Fund Investment Data'!$C:$C = $C1459, 'Fund Investment Data'!$A:$A = $A1459 - 1, 'Fund Investment Data'!$B:$B &gt;= 4, 'Fund Investment Data'!$B:$B &lt;= ($B1459 + 5))) / 12) * ($B1459 - 3) * Parameters!$B$4,"&amp;" 0) + IF($B1459 &gt;= 9, IFERROR(SUM(FILTER('Fund Investment Data'!$V:$V, 'Fund Investment Data'!$C:$C = $C1459, 'Fund Investment Data'!$A:$A = $A1459, 'Fund Investment Data'!$B:$B &lt;= 3)) * Parameters!$B$4, 0),0)))"),0.0)</f>
        <v>0</v>
      </c>
      <c r="AB1459" s="32">
        <f>IFERROR(__xludf.DUMMYFUNCTION("IFERROR(((IFERROR(SUM(FILTER('Fund Investment Data'!$V:$V, 'Fund Investment Data'!$C:$C = $C1459, 'Fund Investment Data'!$A:$A = $A1459 - 2, 'Fund Investment Data'!$B:$B &gt;= 4)) * Parameters!$B$4,0) + IFERROR(SUM(FILTER('Fund Investment Data'!$V:$V, 'Fund "&amp;"Investment Data'!$C:$C = $C1459, 'Fund Investment Data'!$A:$A = $A1459 - 1, 'Fund Investment Data'!$B:$B &lt;= 3)) * Parameters!$B$4,0))),0)"),0.0)</f>
        <v>0</v>
      </c>
      <c r="AC1459" s="32">
        <f>IFERROR(__xludf.DUMMYFUNCTION("IFERROR(FILTER($AF:$AF,$C:$C = $C1459,$A:$A = $A1459 - 1,$B:$B = 12),0)"),0.0)</f>
        <v>0</v>
      </c>
      <c r="AD1459" s="32">
        <f t="shared" si="23"/>
        <v>57027.28646</v>
      </c>
      <c r="AE1459" s="32">
        <f t="shared" si="2"/>
        <v>27.28646422</v>
      </c>
      <c r="AF1459" s="32"/>
    </row>
    <row r="1460">
      <c r="A1460" s="86">
        <v>2019.0</v>
      </c>
      <c r="B1460" s="87">
        <v>7.0</v>
      </c>
      <c r="C1460" s="88" t="s">
        <v>49</v>
      </c>
      <c r="D1460" s="32"/>
      <c r="E1460" s="93">
        <v>-25000.0</v>
      </c>
      <c r="F1460" s="32"/>
      <c r="G1460" s="93">
        <v>-1659.55</v>
      </c>
      <c r="H1460" s="93">
        <v>7691.07</v>
      </c>
      <c r="I1460" s="93">
        <v>6576.53</v>
      </c>
      <c r="J1460" s="93">
        <v>44231.49</v>
      </c>
      <c r="K1460" s="32"/>
      <c r="L1460" s="32"/>
      <c r="M1460" s="32"/>
      <c r="N1460" s="32"/>
      <c r="O1460" s="93">
        <v>506073.56</v>
      </c>
      <c r="P1460" s="91">
        <f>IFERROR(__xludf.DUMMYFUNCTION("IFERROR(sum(FILTER($D:$N,$C:$C = $C1460,$A:$A &lt; $A1460,$B:$B = 12)),0) + sum($D1460:$N1460)"),506073.8599999998)</f>
        <v>506073.86</v>
      </c>
      <c r="Q1460" s="92">
        <f t="shared" si="1"/>
        <v>-0.2999999998</v>
      </c>
      <c r="R1460" s="91">
        <f t="array" ref="R1460">IFERROR(INDEX('Fund YTD Target Values'!$1:$1000, MATCH($C1460,'Fund YTD Target Values'!$A:$A,0), MATCH($A1460,'Fund YTD Target Values'!$1:$1,0)),0)</f>
        <v>714091.1961</v>
      </c>
      <c r="S1460" s="91">
        <f>IFERROR(__xludf.DUMMYFUNCTION("IFERROR(sum(FILTER('Fund Investment Data'!$V:$V, 'Fund Investment Data'!$C:$C = $C1460, 'Fund Investment Data'!$A:$A &lt; $A1460)),0) + IFERROR(sum(FILTER('Fund Investment Data'!$V:$V, 'Fund Investment Data'!$C:$C = $C1460, 'Fund Investment Data'!$A:$A = $A1"&amp;"460, 'Fund Investment Data'!$B:$B &lt;= $B1460)),0)"),500000.0)</f>
        <v>500000</v>
      </c>
      <c r="T1460" s="32"/>
      <c r="U1460" s="32"/>
      <c r="V1460" s="32">
        <f>IFERROR(__xludf.DUMMYFUNCTION("$D1460 - IFERROR(FILTER($D:$D,$C:$C = $C1460, $A:$A = $A1460, $B:$B = $B1460 - 1),0)"),0.0)</f>
        <v>0</v>
      </c>
      <c r="W1460" s="93">
        <f>IFERROR(__xludf.DUMMYFUNCTION("$E1460 - IFERROR(FILTER($E:$E,$C:$C = $C1460, $A:$A = $A1460, $B:$B = $B1460 - 1),0)"),-15000.0)</f>
        <v>-15000</v>
      </c>
      <c r="X1460" s="91">
        <f>IFERROR(__xludf.DUMMYFUNCTION("iFERROR((FILTER('Fund Investment Data'!$Z:$Z, 'Fund Investment Data'!$C:$C = $C1460, 'Fund Investment Data'!$A:$A = $A1460 - 1, 'Fund Investment Data'!$B:$B = 12) + FILTER('Fund Investment Data'!$AB:$AB, 'Fund Investment Data'!$C:$C = $C1460, 'Fund Invest"&amp;"ment Data'!$A:$A = $A1460 - 1, 'Fund Investment Data'!$B:$B = 12)) * (1 + AVERAGE(FILTER('Inflation Data'!$C:$C,'Inflation Data'!$A:$A = ($A1460 - 2)))) * Parameters!$A$4,0)"),17620.730663710416)</f>
        <v>17620.73066</v>
      </c>
      <c r="Y1460" s="91">
        <f>IFERROR(__xludf.DUMMYFUNCTION("IFERROR((IFERROR(FILTER('Fund Investment Data'!$P:$P,'Fund Investment Data'!$C:$C = $C1460,'Fund Investment Data'!$A:$A = ($A1460 - 2), 'Fund Investment Data'!$B:$B = 12),0) - SUM(FILTER('Fund Investment Data'!$V:$V, 'Fund Investment Data'!$C:$C = $C1460,"&amp;" 'Fund Investment Data'!$A:$A = ($A1460 - 2), 'Fund Investment Data'!$B:$B &gt; 3)))  * Parameters!$B$4 * (1 - Parameters!$A$4),0)"),7394.127389999999)</f>
        <v>7394.12739</v>
      </c>
      <c r="Z1460" s="91">
        <f t="shared" si="24"/>
        <v>25014.85805</v>
      </c>
      <c r="AA1460" s="91">
        <f>IFERROR(__xludf.DUMMYFUNCTION("((IFERROR((SUM(FILTER('Fund Investment Data'!$V:$V, 'Fund Investment Data'!$C:$C = $C1460, 'Fund Investment Data'!$A:$A = $A1460 - 1, 'Fund Investment Data'!$B:$B &gt;= 4, 'Fund Investment Data'!$B:$B &lt;= ($B1460 + 5))) / 12) * ($B1460 - 3) * Parameters!$B$4,"&amp;" 0) + IF($B1460 &gt;= 9, IFERROR(SUM(FILTER('Fund Investment Data'!$V:$V, 'Fund Investment Data'!$C:$C = $C1460, 'Fund Investment Data'!$A:$A = $A1460, 'Fund Investment Data'!$B:$B &lt;= 3)) * Parameters!$B$4, 0),0)))"),0.0)</f>
        <v>0</v>
      </c>
      <c r="AB1460" s="32">
        <f>IFERROR(__xludf.DUMMYFUNCTION("IFERROR(((IFERROR(SUM(FILTER('Fund Investment Data'!$V:$V, 'Fund Investment Data'!$C:$C = $C1460, 'Fund Investment Data'!$A:$A = $A1460 - 2, 'Fund Investment Data'!$B:$B &gt;= 4)) * Parameters!$B$4,0) + IFERROR(SUM(FILTER('Fund Investment Data'!$V:$V, 'Fund "&amp;"Investment Data'!$C:$C = $C1460, 'Fund Investment Data'!$A:$A = $A1460 - 1, 'Fund Investment Data'!$B:$B &lt;= 3)) * Parameters!$B$4,0))),0)"),0.0)</f>
        <v>0</v>
      </c>
      <c r="AC1460" s="32">
        <f>IFERROR(__xludf.DUMMYFUNCTION("IFERROR(FILTER($AF:$AF,$C:$C = $C1460,$A:$A = $A1460 - 1,$B:$B = 12),0)"),0.0)</f>
        <v>0</v>
      </c>
      <c r="AD1460" s="32">
        <f t="shared" si="23"/>
        <v>25014.85805</v>
      </c>
      <c r="AE1460" s="32">
        <f t="shared" si="2"/>
        <v>14.85805371</v>
      </c>
      <c r="AF1460" s="32"/>
    </row>
    <row r="1461">
      <c r="A1461" s="86">
        <v>2019.0</v>
      </c>
      <c r="B1461" s="87">
        <v>7.0</v>
      </c>
      <c r="C1461" s="88" t="s">
        <v>41</v>
      </c>
      <c r="D1461" s="32"/>
      <c r="E1461" s="93">
        <v>-14038.0</v>
      </c>
      <c r="F1461" s="32"/>
      <c r="G1461" s="93">
        <v>-2059.66</v>
      </c>
      <c r="H1461" s="93">
        <v>9528.71</v>
      </c>
      <c r="I1461" s="93">
        <v>2331.86</v>
      </c>
      <c r="J1461" s="93">
        <v>60290.1</v>
      </c>
      <c r="K1461" s="32"/>
      <c r="L1461" s="32"/>
      <c r="M1461" s="32"/>
      <c r="N1461" s="32"/>
      <c r="O1461" s="93">
        <v>639230.48</v>
      </c>
      <c r="P1461" s="91">
        <f>IFERROR(__xludf.DUMMYFUNCTION("IFERROR(sum(FILTER($D:$N,$C:$C = $C1461,$A:$A &lt; $A1461,$B:$B = 12)),0) + sum($D1461:$N1461)"),639231.3300000001)</f>
        <v>639231.33</v>
      </c>
      <c r="Q1461" s="92">
        <f t="shared" si="1"/>
        <v>-0.8500000001</v>
      </c>
      <c r="R1461" s="91">
        <f t="array" ref="R1461">IFERROR(INDEX('Fund YTD Target Values'!$1:$1000, MATCH($C1461,'Fund YTD Target Values'!$A:$A,0), MATCH($A1461,'Fund YTD Target Values'!$1:$1,0)),0)</f>
        <v>598621.3568</v>
      </c>
      <c r="S1461" s="91">
        <f>IFERROR(__xludf.DUMMYFUNCTION("IFERROR(sum(FILTER('Fund Investment Data'!$V:$V, 'Fund Investment Data'!$C:$C = $C1461, 'Fund Investment Data'!$A:$A &lt; $A1461)),0) + IFERROR(sum(FILTER('Fund Investment Data'!$V:$V, 'Fund Investment Data'!$C:$C = $C1461, 'Fund Investment Data'!$A:$A = $A1"&amp;"461, 'Fund Investment Data'!$B:$B &lt;= $B1461)),0)"),433755.86)</f>
        <v>433755.86</v>
      </c>
      <c r="T1461" s="32"/>
      <c r="U1461" s="32"/>
      <c r="V1461" s="32">
        <f>IFERROR(__xludf.DUMMYFUNCTION("$D1461 - IFERROR(FILTER($D:$D,$C:$C = $C1461, $A:$A = $A1461, $B:$B = $B1461 - 1),0)"),0.0)</f>
        <v>0</v>
      </c>
      <c r="W1461" s="93">
        <f>IFERROR(__xludf.DUMMYFUNCTION("$E1461 - IFERROR(FILTER($E:$E,$C:$C = $C1461, $A:$A = $A1461, $B:$B = $B1461 - 1),0)"),-9563.0)</f>
        <v>-9563</v>
      </c>
      <c r="X1461" s="91">
        <f>IFERROR(__xludf.DUMMYFUNCTION("iFERROR((FILTER('Fund Investment Data'!$Z:$Z, 'Fund Investment Data'!$C:$C = $C1461, 'Fund Investment Data'!$A:$A = $A1461 - 1, 'Fund Investment Data'!$B:$B = 12) + FILTER('Fund Investment Data'!$AB:$AB, 'Fund Investment Data'!$C:$C = $C1461, 'Fund Invest"&amp;"ment Data'!$A:$A = $A1461 - 1, 'Fund Investment Data'!$B:$B = 12)) * (1 + AVERAGE(FILTER('Inflation Data'!$C:$C,'Inflation Data'!$A:$A = ($A1461 - 2)))) * Parameters!$A$4,0)"),18464.76285534869)</f>
        <v>18464.76286</v>
      </c>
      <c r="Y1461" s="91">
        <f>IFERROR(__xludf.DUMMYFUNCTION("IFERROR((IFERROR(FILTER('Fund Investment Data'!$P:$P,'Fund Investment Data'!$C:$C = $C1461,'Fund Investment Data'!$A:$A = ($A1461 - 2), 'Fund Investment Data'!$B:$B = 12),0) - SUM(FILTER('Fund Investment Data'!$V:$V, 'Fund Investment Data'!$C:$C = $C1461,"&amp;" 'Fund Investment Data'!$A:$A = ($A1461 - 2), 'Fund Investment Data'!$B:$B &gt; 3)))  * Parameters!$B$4 * (1 - Parameters!$A$4),0)"),8817.111225000002)</f>
        <v>8817.111225</v>
      </c>
      <c r="Z1461" s="91">
        <f t="shared" si="24"/>
        <v>27281.87408</v>
      </c>
      <c r="AA1461" s="91">
        <f>IFERROR(__xludf.DUMMYFUNCTION("((IFERROR((SUM(FILTER('Fund Investment Data'!$V:$V, 'Fund Investment Data'!$C:$C = $C1461, 'Fund Investment Data'!$A:$A = $A1461 - 1, 'Fund Investment Data'!$B:$B &gt;= 4, 'Fund Investment Data'!$B:$B &lt;= ($B1461 + 5))) / 12) * ($B1461 - 3) * Parameters!$B$4,"&amp;" 0) + IF($B1461 &gt;= 9, IFERROR(SUM(FILTER('Fund Investment Data'!$V:$V, 'Fund Investment Data'!$C:$C = $C1461, 'Fund Investment Data'!$A:$A = $A1461, 'Fund Investment Data'!$B:$B &lt;= 3)) * Parameters!$B$4, 0),0)))"),0.0)</f>
        <v>0</v>
      </c>
      <c r="AB1461" s="32">
        <f>IFERROR(__xludf.DUMMYFUNCTION("IFERROR(((IFERROR(SUM(FILTER('Fund Investment Data'!$V:$V, 'Fund Investment Data'!$C:$C = $C1461, 'Fund Investment Data'!$A:$A = $A1461 - 2, 'Fund Investment Data'!$B:$B &gt;= 4)) * Parameters!$B$4,0) + IFERROR(SUM(FILTER('Fund Investment Data'!$V:$V, 'Fund "&amp;"Investment Data'!$C:$C = $C1461, 'Fund Investment Data'!$A:$A = $A1461 - 1, 'Fund Investment Data'!$B:$B &lt;= 3)) * Parameters!$B$4,0))),0)"),0.0)</f>
        <v>0</v>
      </c>
      <c r="AC1461" s="32">
        <f>IFERROR(__xludf.DUMMYFUNCTION("IFERROR(FILTER($AF:$AF,$C:$C = $C1461,$A:$A = $A1461 - 1,$B:$B = 12),0)"),0.0)</f>
        <v>0</v>
      </c>
      <c r="AD1461" s="32">
        <f t="shared" si="23"/>
        <v>27281.87408</v>
      </c>
      <c r="AE1461" s="32">
        <f t="shared" si="2"/>
        <v>13243.87408</v>
      </c>
      <c r="AF1461" s="32"/>
    </row>
    <row r="1462">
      <c r="A1462" s="86">
        <v>2019.0</v>
      </c>
      <c r="B1462" s="87">
        <v>7.0</v>
      </c>
      <c r="C1462" s="88" t="s">
        <v>25</v>
      </c>
      <c r="D1462" s="32"/>
      <c r="E1462" s="32"/>
      <c r="F1462" s="32"/>
      <c r="G1462" s="93">
        <v>-264.8</v>
      </c>
      <c r="H1462" s="93">
        <v>1224.73</v>
      </c>
      <c r="I1462" s="32"/>
      <c r="J1462" s="93">
        <v>8019.59</v>
      </c>
      <c r="K1462" s="32"/>
      <c r="L1462" s="32"/>
      <c r="M1462" s="32"/>
      <c r="N1462" s="32"/>
      <c r="O1462" s="93">
        <v>83817.5</v>
      </c>
      <c r="P1462" s="91">
        <f>IFERROR(__xludf.DUMMYFUNCTION("IFERROR(sum(FILTER($D:$N,$C:$C = $C1462,$A:$A &lt; $A1462,$B:$B = 12)),0) + sum($D1462:$N1462)"),83817.49)</f>
        <v>83817.49</v>
      </c>
      <c r="Q1462" s="92">
        <f t="shared" si="1"/>
        <v>0.009999999995</v>
      </c>
      <c r="R1462" s="91">
        <f t="array" ref="R1462">IFERROR(INDEX('Fund YTD Target Values'!$1:$1000, MATCH($C1462,'Fund YTD Target Values'!$A:$A,0), MATCH($A1462,'Fund YTD Target Values'!$1:$1,0)),0)</f>
        <v>111153.3247</v>
      </c>
      <c r="S1462" s="91">
        <f>IFERROR(__xludf.DUMMYFUNCTION("IFERROR(sum(FILTER('Fund Investment Data'!$V:$V, 'Fund Investment Data'!$C:$C = $C1462, 'Fund Investment Data'!$A:$A &lt; $A1462)),0) + IFERROR(sum(FILTER('Fund Investment Data'!$V:$V, 'Fund Investment Data'!$C:$C = $C1462, 'Fund Investment Data'!$A:$A = $A1"&amp;"462, 'Fund Investment Data'!$B:$B &lt;= $B1462)),0)"),81000.0)</f>
        <v>81000</v>
      </c>
      <c r="T1462" s="32"/>
      <c r="U1462" s="32"/>
      <c r="V1462" s="32">
        <f>IFERROR(__xludf.DUMMYFUNCTION("$D1462 - IFERROR(FILTER($D:$D,$C:$C = $C1462, $A:$A = $A1462, $B:$B = $B1462 - 1),0)"),0.0)</f>
        <v>0</v>
      </c>
      <c r="W1462" s="93">
        <f>IFERROR(__xludf.DUMMYFUNCTION("$E1462 - IFERROR(FILTER($E:$E,$C:$C = $C1462, $A:$A = $A1462, $B:$B = $B1462 - 1),0)"),0.0)</f>
        <v>0</v>
      </c>
      <c r="X1462" s="91">
        <f>IFERROR(__xludf.DUMMYFUNCTION("iFERROR((FILTER('Fund Investment Data'!$Z:$Z, 'Fund Investment Data'!$C:$C = $C1462, 'Fund Investment Data'!$A:$A = $A1462 - 1, 'Fund Investment Data'!$B:$B = 12) + FILTER('Fund Investment Data'!$AB:$AB, 'Fund Investment Data'!$C:$C = $C1462, 'Fund Invest"&amp;"ment Data'!$A:$A = $A1462 - 1, 'Fund Investment Data'!$B:$B = 12)) * (1 + AVERAGE(FILTER('Inflation Data'!$C:$C,'Inflation Data'!$A:$A = ($A1462 - 2)))) * Parameters!$A$4,0)"),3251.4512616945367)</f>
        <v>3251.451262</v>
      </c>
      <c r="Y1462" s="91">
        <f>IFERROR(__xludf.DUMMYFUNCTION("IFERROR((IFERROR(FILTER('Fund Investment Data'!$P:$P,'Fund Investment Data'!$C:$C = $C1462,'Fund Investment Data'!$A:$A = ($A1462 - 2), 'Fund Investment Data'!$B:$B = 12),0) - SUM(FILTER('Fund Investment Data'!$V:$V, 'Fund Investment Data'!$C:$C = $C1462,"&amp;" 'Fund Investment Data'!$A:$A = ($A1462 - 2), 'Fund Investment Data'!$B:$B &gt; 3)))  * Parameters!$B$4 * (1 - Parameters!$A$4),0)"),1364.3954549999999)</f>
        <v>1364.395455</v>
      </c>
      <c r="Z1462" s="91">
        <f t="shared" si="24"/>
        <v>4615.846717</v>
      </c>
      <c r="AA1462" s="91">
        <f>IFERROR(__xludf.DUMMYFUNCTION("((IFERROR((SUM(FILTER('Fund Investment Data'!$V:$V, 'Fund Investment Data'!$C:$C = $C1462, 'Fund Investment Data'!$A:$A = $A1462 - 1, 'Fund Investment Data'!$B:$B &gt;= 4, 'Fund Investment Data'!$B:$B &lt;= ($B1462 + 5))) / 12) * ($B1462 - 3) * Parameters!$B$4,"&amp;" 0) + IF($B1462 &gt;= 9, IFERROR(SUM(FILTER('Fund Investment Data'!$V:$V, 'Fund Investment Data'!$C:$C = $C1462, 'Fund Investment Data'!$A:$A = $A1462, 'Fund Investment Data'!$B:$B &lt;= 3)) * Parameters!$B$4, 0),0)))"),0.0)</f>
        <v>0</v>
      </c>
      <c r="AB1462" s="32">
        <f>IFERROR(__xludf.DUMMYFUNCTION("IFERROR(((IFERROR(SUM(FILTER('Fund Investment Data'!$V:$V, 'Fund Investment Data'!$C:$C = $C1462, 'Fund Investment Data'!$A:$A = $A1462 - 2, 'Fund Investment Data'!$B:$B &gt;= 4)) * Parameters!$B$4,0) + IFERROR(SUM(FILTER('Fund Investment Data'!$V:$V, 'Fund "&amp;"Investment Data'!$C:$C = $C1462, 'Fund Investment Data'!$A:$A = $A1462 - 1, 'Fund Investment Data'!$B:$B &lt;= 3)) * Parameters!$B$4,0))),0)"),0.0)</f>
        <v>0</v>
      </c>
      <c r="AC1462" s="32">
        <f>IFERROR(__xludf.DUMMYFUNCTION("IFERROR(FILTER($AF:$AF,$C:$C = $C1462,$A:$A = $A1462 - 1,$B:$B = 12),0)"),0.0)</f>
        <v>0</v>
      </c>
      <c r="AD1462" s="32">
        <f t="shared" si="23"/>
        <v>4615.846717</v>
      </c>
      <c r="AE1462" s="32">
        <f t="shared" si="2"/>
        <v>4615.846717</v>
      </c>
      <c r="AF1462" s="32"/>
    </row>
    <row r="1463">
      <c r="A1463" s="86">
        <v>2019.0</v>
      </c>
      <c r="B1463" s="87">
        <v>7.0</v>
      </c>
      <c r="C1463" s="88" t="s">
        <v>42</v>
      </c>
      <c r="D1463" s="32"/>
      <c r="E1463" s="32"/>
      <c r="F1463" s="32"/>
      <c r="G1463" s="93">
        <v>-958.22</v>
      </c>
      <c r="H1463" s="93">
        <v>4429.5</v>
      </c>
      <c r="I1463" s="32"/>
      <c r="J1463" s="93">
        <v>28911.24</v>
      </c>
      <c r="K1463" s="32"/>
      <c r="L1463" s="32"/>
      <c r="M1463" s="32"/>
      <c r="N1463" s="32"/>
      <c r="O1463" s="93">
        <v>303259.02</v>
      </c>
      <c r="P1463" s="91">
        <f>IFERROR(__xludf.DUMMYFUNCTION("IFERROR(sum(FILTER($D:$N,$C:$C = $C1463,$A:$A &lt; $A1463,$B:$B = 12)),0) + sum($D1463:$N1463)"),303258.4900000001)</f>
        <v>303258.49</v>
      </c>
      <c r="Q1463" s="92">
        <f t="shared" si="1"/>
        <v>0.5299999999</v>
      </c>
      <c r="R1463" s="91">
        <f t="array" ref="R1463">IFERROR(INDEX('Fund YTD Target Values'!$1:$1000, MATCH($C1463,'Fund YTD Target Values'!$A:$A,0), MATCH($A1463,'Fund YTD Target Values'!$1:$1,0)),0)</f>
        <v>244537.4928</v>
      </c>
      <c r="S1463" s="91">
        <f>IFERROR(__xludf.DUMMYFUNCTION("IFERROR(sum(FILTER('Fund Investment Data'!$V:$V, 'Fund Investment Data'!$C:$C = $C1463, 'Fund Investment Data'!$A:$A &lt; $A1463)),0) + IFERROR(sum(FILTER('Fund Investment Data'!$V:$V, 'Fund Investment Data'!$C:$C = $C1463, 'Fund Investment Data'!$A:$A = $A1"&amp;"463, 'Fund Investment Data'!$B:$B &lt;= $B1463)),0)"),194469.0)</f>
        <v>194469</v>
      </c>
      <c r="T1463" s="32"/>
      <c r="U1463" s="32"/>
      <c r="V1463" s="32">
        <f>IFERROR(__xludf.DUMMYFUNCTION("$D1463 - IFERROR(FILTER($D:$D,$C:$C = $C1463, $A:$A = $A1463, $B:$B = $B1463 - 1),0)"),0.0)</f>
        <v>0</v>
      </c>
      <c r="W1463" s="93">
        <f>IFERROR(__xludf.DUMMYFUNCTION("$E1463 - IFERROR(FILTER($E:$E,$C:$C = $C1463, $A:$A = $A1463, $B:$B = $B1463 - 1),0)"),0.0)</f>
        <v>0</v>
      </c>
      <c r="X1463" s="91">
        <f>IFERROR(__xludf.DUMMYFUNCTION("iFERROR((FILTER('Fund Investment Data'!$Z:$Z, 'Fund Investment Data'!$C:$C = $C1463, 'Fund Investment Data'!$A:$A = $A1463 - 1, 'Fund Investment Data'!$B:$B = 12) + FILTER('Fund Investment Data'!$AB:$AB, 'Fund Investment Data'!$C:$C = $C1463, 'Fund Invest"&amp;"ment Data'!$A:$A = $A1463 - 1, 'Fund Investment Data'!$B:$B = 12)) * (1 + AVERAGE(FILTER('Inflation Data'!$C:$C,'Inflation Data'!$A:$A = ($A1463 - 2)))) * Parameters!$A$4,0)"),7542.876247032937)</f>
        <v>7542.876247</v>
      </c>
      <c r="Y1463" s="91">
        <f>IFERROR(__xludf.DUMMYFUNCTION("IFERROR((IFERROR(FILTER('Fund Investment Data'!$P:$P,'Fund Investment Data'!$C:$C = $C1463,'Fund Investment Data'!$A:$A = ($A1463 - 2), 'Fund Investment Data'!$B:$B = 12),0) - SUM(FILTER('Fund Investment Data'!$V:$V, 'Fund Investment Data'!$C:$C = $C1463,"&amp;" 'Fund Investment Data'!$A:$A = ($A1463 - 2), 'Fund Investment Data'!$B:$B &gt; 3)))  * Parameters!$B$4 * (1 - Parameters!$A$4),0)"),4042.544760000002)</f>
        <v>4042.54476</v>
      </c>
      <c r="Z1463" s="91">
        <f t="shared" si="24"/>
        <v>11585.42101</v>
      </c>
      <c r="AA1463" s="91">
        <f>IFERROR(__xludf.DUMMYFUNCTION("((IFERROR((SUM(FILTER('Fund Investment Data'!$V:$V, 'Fund Investment Data'!$C:$C = $C1463, 'Fund Investment Data'!$A:$A = $A1463 - 1, 'Fund Investment Data'!$B:$B &gt;= 4, 'Fund Investment Data'!$B:$B &lt;= ($B1463 + 5))) / 12) * ($B1463 - 3) * Parameters!$B$4,"&amp;" 0) + IF($B1463 &gt;= 9, IFERROR(SUM(FILTER('Fund Investment Data'!$V:$V, 'Fund Investment Data'!$C:$C = $C1463, 'Fund Investment Data'!$A:$A = $A1463, 'Fund Investment Data'!$B:$B &lt;= 3)) * Parameters!$B$4, 0),0)))"),0.0)</f>
        <v>0</v>
      </c>
      <c r="AB1463" s="32">
        <f>IFERROR(__xludf.DUMMYFUNCTION("IFERROR(((IFERROR(SUM(FILTER('Fund Investment Data'!$V:$V, 'Fund Investment Data'!$C:$C = $C1463, 'Fund Investment Data'!$A:$A = $A1463 - 2, 'Fund Investment Data'!$B:$B &gt;= 4)) * Parameters!$B$4,0) + IFERROR(SUM(FILTER('Fund Investment Data'!$V:$V, 'Fund "&amp;"Investment Data'!$C:$C = $C1463, 'Fund Investment Data'!$A:$A = $A1463 - 1, 'Fund Investment Data'!$B:$B &lt;= 3)) * Parameters!$B$4,0))),0)"),0.0)</f>
        <v>0</v>
      </c>
      <c r="AC1463" s="32">
        <f>IFERROR(__xludf.DUMMYFUNCTION("IFERROR(FILTER($AF:$AF,$C:$C = $C1463,$A:$A = $A1463 - 1,$B:$B = 12),0)"),0.0)</f>
        <v>0</v>
      </c>
      <c r="AD1463" s="32">
        <f t="shared" si="23"/>
        <v>11585.42101</v>
      </c>
      <c r="AE1463" s="32">
        <f t="shared" si="2"/>
        <v>11585.42101</v>
      </c>
      <c r="AF1463" s="32"/>
    </row>
    <row r="1464">
      <c r="A1464" s="86">
        <v>2019.0</v>
      </c>
      <c r="B1464" s="87">
        <v>7.0</v>
      </c>
      <c r="C1464" s="88" t="s">
        <v>43</v>
      </c>
      <c r="D1464" s="32"/>
      <c r="E1464" s="93">
        <v>-5000.0</v>
      </c>
      <c r="F1464" s="32"/>
      <c r="G1464" s="93">
        <v>-385.66</v>
      </c>
      <c r="H1464" s="93">
        <v>1785.01</v>
      </c>
      <c r="I1464" s="93">
        <v>1212.1</v>
      </c>
      <c r="J1464" s="93">
        <v>10605.38</v>
      </c>
      <c r="K1464" s="32"/>
      <c r="L1464" s="32"/>
      <c r="M1464" s="32"/>
      <c r="N1464" s="32"/>
      <c r="O1464" s="93">
        <v>118515.05</v>
      </c>
      <c r="P1464" s="91">
        <f>IFERROR(__xludf.DUMMYFUNCTION("IFERROR(sum(FILTER($D:$N,$C:$C = $C1464,$A:$A &lt; $A1464,$B:$B = 12)),0) + sum($D1464:$N1464)"),118514.31000000003)</f>
        <v>118514.31</v>
      </c>
      <c r="Q1464" s="92">
        <f t="shared" si="1"/>
        <v>0.74</v>
      </c>
      <c r="R1464" s="91">
        <f t="array" ref="R1464">IFERROR(INDEX('Fund YTD Target Values'!$1:$1000, MATCH($C1464,'Fund YTD Target Values'!$A:$A,0), MATCH($A1464,'Fund YTD Target Values'!$1:$1,0)),0)</f>
        <v>133065.1141</v>
      </c>
      <c r="S1464" s="91">
        <f>IFERROR(__xludf.DUMMYFUNCTION("IFERROR(sum(FILTER('Fund Investment Data'!$V:$V, 'Fund Investment Data'!$C:$C = $C1464, 'Fund Investment Data'!$A:$A &lt; $A1464)),0) + IFERROR(sum(FILTER('Fund Investment Data'!$V:$V, 'Fund Investment Data'!$C:$C = $C1464, 'Fund Investment Data'!$A:$A = $A1"&amp;"464, 'Fund Investment Data'!$B:$B &lt;= $B1464)),0)"),100000.0)</f>
        <v>100000</v>
      </c>
      <c r="T1464" s="32"/>
      <c r="U1464" s="32"/>
      <c r="V1464" s="32">
        <f>IFERROR(__xludf.DUMMYFUNCTION("$D1464 - IFERROR(FILTER($D:$D,$C:$C = $C1464, $A:$A = $A1464, $B:$B = $B1464 - 1),0)"),0.0)</f>
        <v>0</v>
      </c>
      <c r="W1464" s="93">
        <f>IFERROR(__xludf.DUMMYFUNCTION("$E1464 - IFERROR(FILTER($E:$E,$C:$C = $C1464, $A:$A = $A1464, $B:$B = $B1464 - 1),0)"),0.0)</f>
        <v>0</v>
      </c>
      <c r="X1464" s="91">
        <f>IFERROR(__xludf.DUMMYFUNCTION("iFERROR((FILTER('Fund Investment Data'!$Z:$Z, 'Fund Investment Data'!$C:$C = $C1464, 'Fund Investment Data'!$A:$A = $A1464 - 1, 'Fund Investment Data'!$B:$B = 12) + FILTER('Fund Investment Data'!$AB:$AB, 'Fund Investment Data'!$C:$C = $C1464, 'Fund Invest"&amp;"ment Data'!$A:$A = $A1464 - 1, 'Fund Investment Data'!$B:$B = 12)) * (1 + AVERAGE(FILTER('Inflation Data'!$C:$C,'Inflation Data'!$A:$A = ($A1464 - 2)))) * Parameters!$A$4,0)"),4037.921818829265)</f>
        <v>4037.921819</v>
      </c>
      <c r="Y1464" s="91">
        <f>IFERROR(__xludf.DUMMYFUNCTION("IFERROR((IFERROR(FILTER('Fund Investment Data'!$P:$P,'Fund Investment Data'!$C:$C = $C1464,'Fund Investment Data'!$A:$A = ($A1464 - 2), 'Fund Investment Data'!$B:$B = 12),0) - SUM(FILTER('Fund Investment Data'!$V:$V, 'Fund Investment Data'!$C:$C = $C1464,"&amp;" 'Fund Investment Data'!$A:$A = ($A1464 - 2), 'Fund Investment Data'!$B:$B &gt; 3)))  * Parameters!$B$4 * (1 - Parameters!$A$4),0)"),1694.4194250000005)</f>
        <v>1694.419425</v>
      </c>
      <c r="Z1464" s="91">
        <f t="shared" si="24"/>
        <v>5732.341244</v>
      </c>
      <c r="AA1464" s="91">
        <f>IFERROR(__xludf.DUMMYFUNCTION("((IFERROR((SUM(FILTER('Fund Investment Data'!$V:$V, 'Fund Investment Data'!$C:$C = $C1464, 'Fund Investment Data'!$A:$A = $A1464 - 1, 'Fund Investment Data'!$B:$B &gt;= 4, 'Fund Investment Data'!$B:$B &lt;= ($B1464 + 5))) / 12) * ($B1464 - 3) * Parameters!$B$4,"&amp;" 0) + IF($B1464 &gt;= 9, IFERROR(SUM(FILTER('Fund Investment Data'!$V:$V, 'Fund Investment Data'!$C:$C = $C1464, 'Fund Investment Data'!$A:$A = $A1464, 'Fund Investment Data'!$B:$B &lt;= 3)) * Parameters!$B$4, 0),0)))"),0.0)</f>
        <v>0</v>
      </c>
      <c r="AB1464" s="32">
        <f>IFERROR(__xludf.DUMMYFUNCTION("IFERROR(((IFERROR(SUM(FILTER('Fund Investment Data'!$V:$V, 'Fund Investment Data'!$C:$C = $C1464, 'Fund Investment Data'!$A:$A = $A1464 - 2, 'Fund Investment Data'!$B:$B &gt;= 4)) * Parameters!$B$4,0) + IFERROR(SUM(FILTER('Fund Investment Data'!$V:$V, 'Fund "&amp;"Investment Data'!$C:$C = $C1464, 'Fund Investment Data'!$A:$A = $A1464 - 1, 'Fund Investment Data'!$B:$B &lt;= 3)) * Parameters!$B$4,0))),0)"),0.0)</f>
        <v>0</v>
      </c>
      <c r="AC1464" s="32">
        <f>IFERROR(__xludf.DUMMYFUNCTION("IFERROR(FILTER($AF:$AF,$C:$C = $C1464,$A:$A = $A1464 - 1,$B:$B = 12),0)"),0.0)</f>
        <v>0</v>
      </c>
      <c r="AD1464" s="32">
        <f t="shared" si="23"/>
        <v>5732.341244</v>
      </c>
      <c r="AE1464" s="32">
        <f t="shared" si="2"/>
        <v>732.3412438</v>
      </c>
      <c r="AF1464" s="32"/>
    </row>
    <row r="1465">
      <c r="A1465" s="86">
        <v>2019.0</v>
      </c>
      <c r="B1465" s="87">
        <v>7.0</v>
      </c>
      <c r="C1465" s="88" t="s">
        <v>52</v>
      </c>
      <c r="D1465" s="93">
        <v>1000.0</v>
      </c>
      <c r="E1465" s="93">
        <v>-45600.0</v>
      </c>
      <c r="F1465" s="32"/>
      <c r="G1465" s="93">
        <v>-3830.15</v>
      </c>
      <c r="H1465" s="93">
        <v>17740.05</v>
      </c>
      <c r="I1465" s="32"/>
      <c r="J1465" s="93">
        <v>116963.06</v>
      </c>
      <c r="K1465" s="32"/>
      <c r="L1465" s="93">
        <v>-50.54</v>
      </c>
      <c r="M1465" s="32"/>
      <c r="N1465" s="32"/>
      <c r="O1465" s="93">
        <v>1177762.77</v>
      </c>
      <c r="P1465" s="91">
        <f>IFERROR(__xludf.DUMMYFUNCTION("IFERROR(sum(FILTER($D:$N,$C:$C = $C1465,$A:$A &lt; $A1465,$B:$B = 12)),0) + sum($D1465:$N1465)"),1177762.4499999997)</f>
        <v>1177762.45</v>
      </c>
      <c r="Q1465" s="92">
        <f t="shared" si="1"/>
        <v>0.3200000003</v>
      </c>
      <c r="R1465" s="91">
        <f t="array" ref="R1465">IFERROR(INDEX('Fund YTD Target Values'!$1:$1000, MATCH($C1465,'Fund YTD Target Values'!$A:$A,0), MATCH($A1465,'Fund YTD Target Values'!$1:$1,0)),0)</f>
        <v>1170797.015</v>
      </c>
      <c r="S1465" s="91">
        <f>IFERROR(__xludf.DUMMYFUNCTION("IFERROR(sum(FILTER('Fund Investment Data'!$V:$V, 'Fund Investment Data'!$C:$C = $C1465, 'Fund Investment Data'!$A:$A &lt; $A1465)),0) + IFERROR(sum(FILTER('Fund Investment Data'!$V:$V, 'Fund Investment Data'!$C:$C = $C1465, 'Fund Investment Data'!$A:$A = $A1"&amp;"465, 'Fund Investment Data'!$B:$B &lt;= $B1465)),0)"),1081136.0)</f>
        <v>1081136</v>
      </c>
      <c r="T1465" s="32"/>
      <c r="U1465" s="32"/>
      <c r="V1465" s="32">
        <f>IFERROR(__xludf.DUMMYFUNCTION("$D1465 - IFERROR(FILTER($D:$D,$C:$C = $C1465, $A:$A = $A1465, $B:$B = $B1465 - 1),0)"),0.0)</f>
        <v>0</v>
      </c>
      <c r="W1465" s="93">
        <f>IFERROR(__xludf.DUMMYFUNCTION("$E1465 - IFERROR(FILTER($E:$E,$C:$C = $C1465, $A:$A = $A1465, $B:$B = $B1465 - 1),0)"),-18000.0)</f>
        <v>-18000</v>
      </c>
      <c r="X1465" s="91">
        <f>IFERROR(__xludf.DUMMYFUNCTION("iFERROR((FILTER('Fund Investment Data'!$Z:$Z, 'Fund Investment Data'!$C:$C = $C1465, 'Fund Investment Data'!$A:$A = $A1465 - 1, 'Fund Investment Data'!$B:$B = 12) + FILTER('Fund Investment Data'!$AB:$AB, 'Fund Investment Data'!$C:$C = $C1465, 'Fund Invest"&amp;"ment Data'!$A:$A = $A1465 - 1, 'Fund Investment Data'!$B:$B = 12)) * (1 + AVERAGE(FILTER('Inflation Data'!$C:$C,'Inflation Data'!$A:$A = ($A1465 - 2)))) * Parameters!$A$4,0)"),33647.195102028425)</f>
        <v>33647.1951</v>
      </c>
      <c r="Y1465" s="91">
        <f>IFERROR(__xludf.DUMMYFUNCTION("IFERROR((IFERROR(FILTER('Fund Investment Data'!$P:$P,'Fund Investment Data'!$C:$C = $C1465,'Fund Investment Data'!$A:$A = ($A1465 - 2), 'Fund Investment Data'!$B:$B = 12),0) - SUM(FILTER('Fund Investment Data'!$V:$V, 'Fund Investment Data'!$C:$C = $C1465,"&amp;" 'Fund Investment Data'!$A:$A = ($A1465 - 2), 'Fund Investment Data'!$B:$B &gt; 3)))  * Parameters!$B$4 * (1 - Parameters!$A$4),0)"),15672.907755)</f>
        <v>15672.90776</v>
      </c>
      <c r="Z1465" s="91">
        <f t="shared" si="24"/>
        <v>49320.10286</v>
      </c>
      <c r="AA1465" s="91">
        <f>IFERROR(__xludf.DUMMYFUNCTION("((IFERROR((SUM(FILTER('Fund Investment Data'!$V:$V, 'Fund Investment Data'!$C:$C = $C1465, 'Fund Investment Data'!$A:$A = $A1465 - 1, 'Fund Investment Data'!$B:$B &gt;= 4, 'Fund Investment Data'!$B:$B &lt;= ($B1465 + 5))) / 12) * ($B1465 - 3) * Parameters!$B$4,"&amp;" 0) + IF($B1465 &gt;= 9, IFERROR(SUM(FILTER('Fund Investment Data'!$V:$V, 'Fund Investment Data'!$C:$C = $C1465, 'Fund Investment Data'!$A:$A = $A1465, 'Fund Investment Data'!$B:$B &lt;= 3)) * Parameters!$B$4, 0),0)))"),0.0)</f>
        <v>0</v>
      </c>
      <c r="AB1465" s="32">
        <f>IFERROR(__xludf.DUMMYFUNCTION("IFERROR(((IFERROR(SUM(FILTER('Fund Investment Data'!$V:$V, 'Fund Investment Data'!$C:$C = $C1465, 'Fund Investment Data'!$A:$A = $A1465 - 2, 'Fund Investment Data'!$B:$B &gt;= 4)) * Parameters!$B$4,0) + IFERROR(SUM(FILTER('Fund Investment Data'!$V:$V, 'Fund "&amp;"Investment Data'!$C:$C = $C1465, 'Fund Investment Data'!$A:$A = $A1465 - 1, 'Fund Investment Data'!$B:$B &lt;= 3)) * Parameters!$B$4,0))),0)"),3532.5)</f>
        <v>3532.5</v>
      </c>
      <c r="AC1465" s="32">
        <f>IFERROR(__xludf.DUMMYFUNCTION("IFERROR(FILTER($AF:$AF,$C:$C = $C1465,$A:$A = $A1465 - 1,$B:$B = 12),0)"),0.0)</f>
        <v>0</v>
      </c>
      <c r="AD1465" s="32">
        <f t="shared" si="23"/>
        <v>52852.60286</v>
      </c>
      <c r="AE1465" s="32">
        <f t="shared" si="2"/>
        <v>7252.602857</v>
      </c>
      <c r="AF1465" s="32"/>
    </row>
    <row r="1466">
      <c r="A1466" s="86">
        <v>2019.0</v>
      </c>
      <c r="B1466" s="87">
        <v>7.0</v>
      </c>
      <c r="C1466" s="88" t="s">
        <v>33</v>
      </c>
      <c r="D1466" s="32"/>
      <c r="E1466" s="93">
        <v>-3500.0</v>
      </c>
      <c r="F1466" s="32"/>
      <c r="G1466" s="93">
        <v>-1105.74</v>
      </c>
      <c r="H1466" s="93">
        <v>5119.16</v>
      </c>
      <c r="I1466" s="32"/>
      <c r="J1466" s="93">
        <v>33548.55</v>
      </c>
      <c r="K1466" s="32"/>
      <c r="L1466" s="32"/>
      <c r="M1466" s="32"/>
      <c r="N1466" s="32"/>
      <c r="O1466" s="93">
        <v>347006.93</v>
      </c>
      <c r="P1466" s="91">
        <f>IFERROR(__xludf.DUMMYFUNCTION("IFERROR(sum(FILTER($D:$N,$C:$C = $C1466,$A:$A &lt; $A1466,$B:$B = 12)),0) + sum($D1466:$N1466)"),347007.1499999998)</f>
        <v>347007.15</v>
      </c>
      <c r="Q1466" s="92">
        <f t="shared" si="1"/>
        <v>-0.2199999998</v>
      </c>
      <c r="R1466" s="91">
        <f t="array" ref="R1466">IFERROR(INDEX('Fund YTD Target Values'!$1:$1000, MATCH($C1466,'Fund YTD Target Values'!$A:$A,0), MATCH($A1466,'Fund YTD Target Values'!$1:$1,0)),0)</f>
        <v>522221.9976</v>
      </c>
      <c r="S1466" s="91">
        <f>IFERROR(__xludf.DUMMYFUNCTION("IFERROR(sum(FILTER('Fund Investment Data'!$V:$V, 'Fund Investment Data'!$C:$C = $C1466, 'Fund Investment Data'!$A:$A &lt; $A1466)),0) + IFERROR(sum(FILTER('Fund Investment Data'!$V:$V, 'Fund Investment Data'!$C:$C = $C1466, 'Fund Investment Data'!$A:$A = $A1"&amp;"466, 'Fund Investment Data'!$B:$B &lt;= $B1466)),0)"),325871.6399999999)</f>
        <v>325871.64</v>
      </c>
      <c r="T1466" s="32"/>
      <c r="U1466" s="32"/>
      <c r="V1466" s="32">
        <f>IFERROR(__xludf.DUMMYFUNCTION("$D1466 - IFERROR(FILTER($D:$D,$C:$C = $C1466, $A:$A = $A1466, $B:$B = $B1466 - 1),0)"),0.0)</f>
        <v>0</v>
      </c>
      <c r="W1466" s="93">
        <f>IFERROR(__xludf.DUMMYFUNCTION("$E1466 - IFERROR(FILTER($E:$E,$C:$C = $C1466, $A:$A = $A1466, $B:$B = $B1466 - 1),0)"),0.0)</f>
        <v>0</v>
      </c>
      <c r="X1466" s="91">
        <f>IFERROR(__xludf.DUMMYFUNCTION("iFERROR((FILTER('Fund Investment Data'!$Z:$Z, 'Fund Investment Data'!$C:$C = $C1466, 'Fund Investment Data'!$A:$A = $A1466 - 1, 'Fund Investment Data'!$B:$B = 12) + FILTER('Fund Investment Data'!$AB:$AB, 'Fund Investment Data'!$C:$C = $C1466, 'Fund Invest"&amp;"ment Data'!$A:$A = $A1466 - 1, 'Fund Investment Data'!$B:$B = 12)) * (1 + AVERAGE(FILTER('Inflation Data'!$C:$C,'Inflation Data'!$A:$A = ($A1466 - 2)))) * Parameters!$A$4,0)"),11487.702435867292)</f>
        <v>11487.70244</v>
      </c>
      <c r="Y1466" s="91">
        <f>IFERROR(__xludf.DUMMYFUNCTION("IFERROR((IFERROR(FILTER('Fund Investment Data'!$P:$P,'Fund Investment Data'!$C:$C = $C1466,'Fund Investment Data'!$A:$A = ($A1466 - 2), 'Fund Investment Data'!$B:$B = 12),0) - SUM(FILTER('Fund Investment Data'!$V:$V, 'Fund Investment Data'!$C:$C = $C1466,"&amp;" 'Fund Investment Data'!$A:$A = ($A1466 - 2), 'Fund Investment Data'!$B:$B &gt; 3)))  * Parameters!$B$4 * (1 - Parameters!$A$4),0)"),4820.5455749999965)</f>
        <v>4820.545575</v>
      </c>
      <c r="Z1466" s="91">
        <f t="shared" si="24"/>
        <v>16308.24801</v>
      </c>
      <c r="AA1466" s="91">
        <f>IFERROR(__xludf.DUMMYFUNCTION("((IFERROR((SUM(FILTER('Fund Investment Data'!$V:$V, 'Fund Investment Data'!$C:$C = $C1466, 'Fund Investment Data'!$A:$A = $A1466 - 1, 'Fund Investment Data'!$B:$B &gt;= 4, 'Fund Investment Data'!$B:$B &lt;= ($B1466 + 5))) / 12) * ($B1466 - 3) * Parameters!$B$4,"&amp;" 0) + IF($B1466 &gt;= 9, IFERROR(SUM(FILTER('Fund Investment Data'!$V:$V, 'Fund Investment Data'!$C:$C = $C1466, 'Fund Investment Data'!$A:$A = $A1466, 'Fund Investment Data'!$B:$B &lt;= 3)) * Parameters!$B$4, 0),0)))"),0.0)</f>
        <v>0</v>
      </c>
      <c r="AB1466" s="32">
        <f>IFERROR(__xludf.DUMMYFUNCTION("IFERROR(((IFERROR(SUM(FILTER('Fund Investment Data'!$V:$V, 'Fund Investment Data'!$C:$C = $C1466, 'Fund Investment Data'!$A:$A = $A1466 - 2, 'Fund Investment Data'!$B:$B &gt;= 4)) * Parameters!$B$4,0) + IFERROR(SUM(FILTER('Fund Investment Data'!$V:$V, 'Fund "&amp;"Investment Data'!$C:$C = $C1466, 'Fund Investment Data'!$A:$A = $A1466 - 1, 'Fund Investment Data'!$B:$B &lt;= 3)) * Parameters!$B$4,0))),0)"),0.0)</f>
        <v>0</v>
      </c>
      <c r="AC1466" s="32">
        <f>IFERROR(__xludf.DUMMYFUNCTION("IFERROR(FILTER($AF:$AF,$C:$C = $C1466,$A:$A = $A1466 - 1,$B:$B = 12),0)"),0.0)</f>
        <v>0</v>
      </c>
      <c r="AD1466" s="32">
        <f t="shared" si="23"/>
        <v>16308.24801</v>
      </c>
      <c r="AE1466" s="32">
        <f t="shared" si="2"/>
        <v>12808.24801</v>
      </c>
      <c r="AF1466" s="32"/>
    </row>
    <row r="1467">
      <c r="A1467" s="86">
        <v>2019.0</v>
      </c>
      <c r="B1467" s="87">
        <v>7.0</v>
      </c>
      <c r="C1467" s="88" t="s">
        <v>53</v>
      </c>
      <c r="D1467" s="32"/>
      <c r="E1467" s="93">
        <v>-81000.0</v>
      </c>
      <c r="F1467" s="32"/>
      <c r="G1467" s="93">
        <v>-7163.22</v>
      </c>
      <c r="H1467" s="93">
        <v>33094.26</v>
      </c>
      <c r="I1467" s="93">
        <v>1282.38</v>
      </c>
      <c r="J1467" s="93">
        <v>213428.36</v>
      </c>
      <c r="K1467" s="32"/>
      <c r="L1467" s="32"/>
      <c r="M1467" s="32"/>
      <c r="N1467" s="32"/>
      <c r="O1467" s="93">
        <v>2206176.66</v>
      </c>
      <c r="P1467" s="91">
        <f>IFERROR(__xludf.DUMMYFUNCTION("IFERROR(sum(FILTER($D:$N,$C:$C = $C1467,$A:$A &lt; $A1467,$B:$B = 12)),0) + sum($D1467:$N1467)"),2206176.6599999997)</f>
        <v>2206176.66</v>
      </c>
      <c r="Q1467" s="92">
        <f t="shared" si="1"/>
        <v>0.0000000004656612873</v>
      </c>
      <c r="R1467" s="91">
        <f t="array" ref="R1467">IFERROR(INDEX('Fund YTD Target Values'!$1:$1000, MATCH($C1467,'Fund YTD Target Values'!$A:$A,0), MATCH($A1467,'Fund YTD Target Values'!$1:$1,0)),0)</f>
        <v>2265063.703</v>
      </c>
      <c r="S1467" s="91">
        <f>IFERROR(__xludf.DUMMYFUNCTION("IFERROR(sum(FILTER('Fund Investment Data'!$V:$V, 'Fund Investment Data'!$C:$C = $C1467, 'Fund Investment Data'!$A:$A &lt; $A1467)),0) + IFERROR(sum(FILTER('Fund Investment Data'!$V:$V, 'Fund Investment Data'!$C:$C = $C1467, 'Fund Investment Data'!$A:$A = $A1"&amp;"467, 'Fund Investment Data'!$B:$B &lt;= $B1467)),0)"),2005500.0)</f>
        <v>2005500</v>
      </c>
      <c r="T1467" s="32"/>
      <c r="U1467" s="32"/>
      <c r="V1467" s="32">
        <f>IFERROR(__xludf.DUMMYFUNCTION("$D1467 - IFERROR(FILTER($D:$D,$C:$C = $C1467, $A:$A = $A1467, $B:$B = $B1467 - 1),0)"),0.0)</f>
        <v>0</v>
      </c>
      <c r="W1467" s="93">
        <f>IFERROR(__xludf.DUMMYFUNCTION("$E1467 - IFERROR(FILTER($E:$E,$C:$C = $C1467, $A:$A = $A1467, $B:$B = $B1467 - 1),0)"),-13000.0)</f>
        <v>-13000</v>
      </c>
      <c r="X1467" s="91">
        <f>IFERROR(__xludf.DUMMYFUNCTION("iFERROR((FILTER('Fund Investment Data'!$Z:$Z, 'Fund Investment Data'!$C:$C = $C1467, 'Fund Investment Data'!$A:$A = $A1467 - 1, 'Fund Investment Data'!$B:$B = 12) + FILTER('Fund Investment Data'!$AB:$AB, 'Fund Investment Data'!$C:$C = $C1467, 'Fund Invest"&amp;"ment Data'!$A:$A = $A1467 - 1, 'Fund Investment Data'!$B:$B = 12)) * (1 + AVERAGE(FILTER('Inflation Data'!$C:$C,'Inflation Data'!$A:$A = ($A1467 - 2)))) * Parameters!$A$4,0)"),69866.97627398264)</f>
        <v>69866.97627</v>
      </c>
      <c r="Y1467" s="91">
        <f>IFERROR(__xludf.DUMMYFUNCTION("IFERROR((IFERROR(FILTER('Fund Investment Data'!$P:$P,'Fund Investment Data'!$C:$C = $C1467,'Fund Investment Data'!$A:$A = ($A1467 - 2), 'Fund Investment Data'!$B:$B = 12),0) - SUM(FILTER('Fund Investment Data'!$V:$V, 'Fund Investment Data'!$C:$C = $C1467,"&amp;" 'Fund Investment Data'!$A:$A = ($A1467 - 2), 'Fund Investment Data'!$B:$B &gt; 3)))  * Parameters!$B$4 * (1 - Parameters!$A$4),0)"),30716.748180000002)</f>
        <v>30716.74818</v>
      </c>
      <c r="Z1467" s="91">
        <f t="shared" si="24"/>
        <v>100583.7245</v>
      </c>
      <c r="AA1467" s="91">
        <f>IFERROR(__xludf.DUMMYFUNCTION("((IFERROR((SUM(FILTER('Fund Investment Data'!$V:$V, 'Fund Investment Data'!$C:$C = $C1467, 'Fund Investment Data'!$A:$A = $A1467 - 1, 'Fund Investment Data'!$B:$B &gt;= 4, 'Fund Investment Data'!$B:$B &lt;= ($B1467 + 5))) / 12) * ($B1467 - 3) * Parameters!$B$4,"&amp;" 0) + IF($B1467 &gt;= 9, IFERROR(SUM(FILTER('Fund Investment Data'!$V:$V, 'Fund Investment Data'!$C:$C = $C1467, 'Fund Investment Data'!$A:$A = $A1467, 'Fund Investment Data'!$B:$B &lt;= 3)) * Parameters!$B$4, 0),0)))"),0.0)</f>
        <v>0</v>
      </c>
      <c r="AB1467" s="32">
        <f>IFERROR(__xludf.DUMMYFUNCTION("IFERROR(((IFERROR(SUM(FILTER('Fund Investment Data'!$V:$V, 'Fund Investment Data'!$C:$C = $C1467, 'Fund Investment Data'!$A:$A = $A1467 - 2, 'Fund Investment Data'!$B:$B &gt;= 4)) * Parameters!$B$4,0) + IFERROR(SUM(FILTER('Fund Investment Data'!$V:$V, 'Fund "&amp;"Investment Data'!$C:$C = $C1467, 'Fund Investment Data'!$A:$A = $A1467 - 1, 'Fund Investment Data'!$B:$B &lt;= 3)) * Parameters!$B$4,0))),0)"),0.0)</f>
        <v>0</v>
      </c>
      <c r="AC1467" s="32">
        <f>IFERROR(__xludf.DUMMYFUNCTION("IFERROR(FILTER($AF:$AF,$C:$C = $C1467,$A:$A = $A1467 - 1,$B:$B = 12),0)"),43500.0)</f>
        <v>43500</v>
      </c>
      <c r="AD1467" s="32">
        <f t="shared" si="23"/>
        <v>144083.7245</v>
      </c>
      <c r="AE1467" s="32">
        <f t="shared" si="2"/>
        <v>63083.72445</v>
      </c>
      <c r="AF1467" s="32"/>
    </row>
    <row r="1468">
      <c r="A1468" s="86">
        <v>2019.0</v>
      </c>
      <c r="B1468" s="87">
        <v>7.0</v>
      </c>
      <c r="C1468" s="88" t="s">
        <v>34</v>
      </c>
      <c r="D1468" s="32"/>
      <c r="E1468" s="93">
        <v>-6400.0</v>
      </c>
      <c r="F1468" s="32"/>
      <c r="G1468" s="93">
        <v>-462.07</v>
      </c>
      <c r="H1468" s="93">
        <v>2137.5</v>
      </c>
      <c r="I1468" s="93">
        <v>28.92</v>
      </c>
      <c r="J1468" s="93">
        <v>13988.49</v>
      </c>
      <c r="K1468" s="32"/>
      <c r="L1468" s="32"/>
      <c r="M1468" s="32"/>
      <c r="N1468" s="32"/>
      <c r="O1468" s="93">
        <v>140732.11</v>
      </c>
      <c r="P1468" s="91">
        <f>IFERROR(__xludf.DUMMYFUNCTION("IFERROR(sum(FILTER($D:$N,$C:$C = $C1468,$A:$A &lt; $A1468,$B:$B = 12)),0) + sum($D1468:$N1468)"),140732.10999999996)</f>
        <v>140732.11</v>
      </c>
      <c r="Q1468" s="92">
        <f t="shared" si="1"/>
        <v>0</v>
      </c>
      <c r="R1468" s="91">
        <f t="array" ref="R1468">IFERROR(INDEX('Fund YTD Target Values'!$1:$1000, MATCH($C1468,'Fund YTD Target Values'!$A:$A,0), MATCH($A1468,'Fund YTD Target Values'!$1:$1,0)),0)</f>
        <v>137779.5763</v>
      </c>
      <c r="S1468" s="91">
        <f>IFERROR(__xludf.DUMMYFUNCTION("IFERROR(sum(FILTER('Fund Investment Data'!$V:$V, 'Fund Investment Data'!$C:$C = $C1468, 'Fund Investment Data'!$A:$A &lt; $A1468)),0) + IFERROR(sum(FILTER('Fund Investment Data'!$V:$V, 'Fund Investment Data'!$C:$C = $C1468, 'Fund Investment Data'!$A:$A = $A1"&amp;"468, 'Fund Investment Data'!$B:$B &lt;= $B1468)),0)"),125000.0)</f>
        <v>125000</v>
      </c>
      <c r="T1468" s="32"/>
      <c r="U1468" s="32"/>
      <c r="V1468" s="32">
        <f>IFERROR(__xludf.DUMMYFUNCTION("$D1468 - IFERROR(FILTER($D:$D,$C:$C = $C1468, $A:$A = $A1468, $B:$B = $B1468 - 1),0)"),0.0)</f>
        <v>0</v>
      </c>
      <c r="W1468" s="93">
        <f>IFERROR(__xludf.DUMMYFUNCTION("$E1468 - IFERROR(FILTER($E:$E,$C:$C = $C1468, $A:$A = $A1468, $B:$B = $B1468 - 1),0)"),0.0)</f>
        <v>0</v>
      </c>
      <c r="X1468" s="91">
        <f>IFERROR(__xludf.DUMMYFUNCTION("iFERROR((FILTER('Fund Investment Data'!$Z:$Z, 'Fund Investment Data'!$C:$C = $C1468, 'Fund Investment Data'!$A:$A = $A1468 - 1, 'Fund Investment Data'!$B:$B = 12) + FILTER('Fund Investment Data'!$AB:$AB, 'Fund Investment Data'!$C:$C = $C1468, 'Fund Invest"&amp;"ment Data'!$A:$A = $A1468 - 1, 'Fund Investment Data'!$B:$B = 12)) * (1 + AVERAGE(FILTER('Inflation Data'!$C:$C,'Inflation Data'!$A:$A = ($A1468 - 2)))) * Parameters!$A$4,0)"),4414.569951711041)</f>
        <v>4414.569952</v>
      </c>
      <c r="Y1468" s="91">
        <f>IFERROR(__xludf.DUMMYFUNCTION("IFERROR((IFERROR(FILTER('Fund Investment Data'!$P:$P,'Fund Investment Data'!$C:$C = $C1468,'Fund Investment Data'!$A:$A = ($A1468 - 2), 'Fund Investment Data'!$B:$B = 12),0) - SUM(FILTER('Fund Investment Data'!$V:$V, 'Fund Investment Data'!$C:$C = $C1468,"&amp;" 'Fund Investment Data'!$A:$A = ($A1468 - 2), 'Fund Investment Data'!$B:$B &gt; 3)))  * Parameters!$B$4 * (1 - Parameters!$A$4),0)"),1947.8901600000004)</f>
        <v>1947.89016</v>
      </c>
      <c r="Z1468" s="91">
        <f t="shared" si="24"/>
        <v>6362.460112</v>
      </c>
      <c r="AA1468" s="91">
        <f>IFERROR(__xludf.DUMMYFUNCTION("((IFERROR((SUM(FILTER('Fund Investment Data'!$V:$V, 'Fund Investment Data'!$C:$C = $C1468, 'Fund Investment Data'!$A:$A = $A1468 - 1, 'Fund Investment Data'!$B:$B &gt;= 4, 'Fund Investment Data'!$B:$B &lt;= ($B1468 + 5))) / 12) * ($B1468 - 3) * Parameters!$B$4,"&amp;" 0) + IF($B1468 &gt;= 9, IFERROR(SUM(FILTER('Fund Investment Data'!$V:$V, 'Fund Investment Data'!$C:$C = $C1468, 'Fund Investment Data'!$A:$A = $A1468, 'Fund Investment Data'!$B:$B &lt;= 3)) * Parameters!$B$4, 0),0)))"),75.0)</f>
        <v>75</v>
      </c>
      <c r="AB1468" s="32">
        <f>IFERROR(__xludf.DUMMYFUNCTION("IFERROR(((IFERROR(SUM(FILTER('Fund Investment Data'!$V:$V, 'Fund Investment Data'!$C:$C = $C1468, 'Fund Investment Data'!$A:$A = $A1468 - 2, 'Fund Investment Data'!$B:$B &gt;= 4)) * Parameters!$B$4,0) + IFERROR(SUM(FILTER('Fund Investment Data'!$V:$V, 'Fund "&amp;"Investment Data'!$C:$C = $C1468, 'Fund Investment Data'!$A:$A = $A1468 - 1, 'Fund Investment Data'!$B:$B &lt;= 3)) * Parameters!$B$4,0))),0)"),0.0)</f>
        <v>0</v>
      </c>
      <c r="AC1468" s="32">
        <f>IFERROR(__xludf.DUMMYFUNCTION("IFERROR(FILTER($AF:$AF,$C:$C = $C1468,$A:$A = $A1468 - 1,$B:$B = 12),0)"),0.0)</f>
        <v>0</v>
      </c>
      <c r="AD1468" s="32">
        <f t="shared" si="23"/>
        <v>6437.460112</v>
      </c>
      <c r="AE1468" s="32">
        <f t="shared" si="2"/>
        <v>37.46011171</v>
      </c>
      <c r="AF1468" s="32"/>
    </row>
    <row r="1469">
      <c r="A1469" s="86">
        <v>2019.0</v>
      </c>
      <c r="B1469" s="87">
        <v>7.0</v>
      </c>
      <c r="C1469" s="88" t="s">
        <v>54</v>
      </c>
      <c r="D1469" s="93">
        <v>156.0</v>
      </c>
      <c r="E1469" s="93">
        <v>-2500.0</v>
      </c>
      <c r="F1469" s="32"/>
      <c r="G1469" s="93">
        <v>-546.24</v>
      </c>
      <c r="H1469" s="93">
        <v>2526.71</v>
      </c>
      <c r="I1469" s="32"/>
      <c r="J1469" s="93">
        <v>16557.61</v>
      </c>
      <c r="K1469" s="32"/>
      <c r="L1469" s="32"/>
      <c r="M1469" s="32"/>
      <c r="N1469" s="32"/>
      <c r="O1469" s="93">
        <v>171160.16</v>
      </c>
      <c r="P1469" s="91">
        <f>IFERROR(__xludf.DUMMYFUNCTION("IFERROR(sum(FILTER($D:$N,$C:$C = $C1469,$A:$A &lt; $A1469,$B:$B = 12)),0) + sum($D1469:$N1469)"),171161.12999999995)</f>
        <v>171161.13</v>
      </c>
      <c r="Q1469" s="92">
        <f t="shared" si="1"/>
        <v>-0.9699999999</v>
      </c>
      <c r="R1469" s="91">
        <f t="array" ref="R1469">IFERROR(INDEX('Fund YTD Target Values'!$1:$1000, MATCH($C1469,'Fund YTD Target Values'!$A:$A,0), MATCH($A1469,'Fund YTD Target Values'!$1:$1,0)),0)</f>
        <v>158496.8702</v>
      </c>
      <c r="S1469" s="91">
        <f>IFERROR(__xludf.DUMMYFUNCTION("IFERROR(sum(FILTER('Fund Investment Data'!$V:$V, 'Fund Investment Data'!$C:$C = $C1469, 'Fund Investment Data'!$A:$A &lt; $A1469)),0) + IFERROR(sum(FILTER('Fund Investment Data'!$V:$V, 'Fund Investment Data'!$C:$C = $C1469, 'Fund Investment Data'!$A:$A = $A1"&amp;"469, 'Fund Investment Data'!$B:$B &lt;= $B1469)),0)"),112623.10999999999)</f>
        <v>112623.11</v>
      </c>
      <c r="T1469" s="32"/>
      <c r="U1469" s="32"/>
      <c r="V1469" s="32">
        <f>IFERROR(__xludf.DUMMYFUNCTION("$D1469 - IFERROR(FILTER($D:$D,$C:$C = $C1469, $A:$A = $A1469, $B:$B = $B1469 - 1),0)"),0.0)</f>
        <v>0</v>
      </c>
      <c r="W1469" s="93">
        <f>IFERROR(__xludf.DUMMYFUNCTION("$E1469 - IFERROR(FILTER($E:$E,$C:$C = $C1469, $A:$A = $A1469, $B:$B = $B1469 - 1),0)"),0.0)</f>
        <v>0</v>
      </c>
      <c r="X1469" s="91">
        <f>IFERROR(__xludf.DUMMYFUNCTION("iFERROR((FILTER('Fund Investment Data'!$Z:$Z, 'Fund Investment Data'!$C:$C = $C1469, 'Fund Investment Data'!$A:$A = $A1469 - 1, 'Fund Investment Data'!$B:$B = 12) + FILTER('Fund Investment Data'!$AB:$AB, 'Fund Investment Data'!$C:$C = $C1469, 'Fund Invest"&amp;"ment Data'!$A:$A = $A1469 - 1, 'Fund Investment Data'!$B:$B = 12)) * (1 + AVERAGE(FILTER('Inflation Data'!$C:$C,'Inflation Data'!$A:$A = ($A1469 - 2)))) * Parameters!$A$4,0)"),5306.102894924851)</f>
        <v>5306.102895</v>
      </c>
      <c r="Y1469" s="91">
        <f>IFERROR(__xludf.DUMMYFUNCTION("IFERROR((IFERROR(FILTER('Fund Investment Data'!$P:$P,'Fund Investment Data'!$C:$C = $C1469,'Fund Investment Data'!$A:$A = ($A1469 - 2), 'Fund Investment Data'!$B:$B = 12),0) - SUM(FILTER('Fund Investment Data'!$V:$V, 'Fund Investment Data'!$C:$C = $C1469,"&amp;" 'Fund Investment Data'!$A:$A = ($A1469 - 2), 'Fund Investment Data'!$B:$B &gt; 3)))  * Parameters!$B$4 * (1 - Parameters!$A$4),0)"),2330.059095)</f>
        <v>2330.059095</v>
      </c>
      <c r="Z1469" s="91">
        <f t="shared" si="24"/>
        <v>7636.16199</v>
      </c>
      <c r="AA1469" s="91">
        <f>IFERROR(__xludf.DUMMYFUNCTION("((IFERROR((SUM(FILTER('Fund Investment Data'!$V:$V, 'Fund Investment Data'!$C:$C = $C1469, 'Fund Investment Data'!$A:$A = $A1469 - 1, 'Fund Investment Data'!$B:$B &gt;= 4, 'Fund Investment Data'!$B:$B &lt;= ($B1469 + 5))) / 12) * ($B1469 - 3) * Parameters!$B$4,"&amp;" 0) + IF($B1469 &gt;= 9, IFERROR(SUM(FILTER('Fund Investment Data'!$V:$V, 'Fund Investment Data'!$C:$C = $C1469, 'Fund Investment Data'!$A:$A = $A1469, 'Fund Investment Data'!$B:$B &lt;= 3)) * Parameters!$B$4, 0),0)))"),0.5249999999999999)</f>
        <v>0.525</v>
      </c>
      <c r="AB1469" s="32">
        <f>IFERROR(__xludf.DUMMYFUNCTION("IFERROR(((IFERROR(SUM(FILTER('Fund Investment Data'!$V:$V, 'Fund Investment Data'!$C:$C = $C1469, 'Fund Investment Data'!$A:$A = $A1469 - 2, 'Fund Investment Data'!$B:$B &gt;= 4)) * Parameters!$B$4,0) + IFERROR(SUM(FILTER('Fund Investment Data'!$V:$V, 'Fund "&amp;"Investment Data'!$C:$C = $C1469, 'Fund Investment Data'!$A:$A = $A1469 - 1, 'Fund Investment Data'!$B:$B &lt;= 3)) * Parameters!$B$4,0))),0)"),13.32)</f>
        <v>13.32</v>
      </c>
      <c r="AC1469" s="32">
        <f>IFERROR(__xludf.DUMMYFUNCTION("IFERROR(FILTER($AF:$AF,$C:$C = $C1469,$A:$A = $A1469 - 1,$B:$B = 12),0)"),0.0)</f>
        <v>0</v>
      </c>
      <c r="AD1469" s="32">
        <f t="shared" si="23"/>
        <v>7650.00699</v>
      </c>
      <c r="AE1469" s="32">
        <f t="shared" si="2"/>
        <v>5150.00699</v>
      </c>
      <c r="AF1469" s="32"/>
    </row>
    <row r="1470">
      <c r="A1470" s="86">
        <v>2019.0</v>
      </c>
      <c r="B1470" s="87">
        <v>7.0</v>
      </c>
      <c r="C1470" s="88" t="s">
        <v>55</v>
      </c>
      <c r="D1470" s="32"/>
      <c r="E1470" s="32"/>
      <c r="F1470" s="32"/>
      <c r="G1470" s="93">
        <v>-964.21</v>
      </c>
      <c r="H1470" s="93">
        <v>4300.93</v>
      </c>
      <c r="I1470" s="32"/>
      <c r="J1470" s="93">
        <v>21766.84</v>
      </c>
      <c r="K1470" s="32"/>
      <c r="L1470" s="32"/>
      <c r="M1470" s="32"/>
      <c r="N1470" s="32"/>
      <c r="O1470" s="93">
        <v>302634.5</v>
      </c>
      <c r="P1470" s="91">
        <f>IFERROR(__xludf.DUMMYFUNCTION("IFERROR(sum(FILTER($D:$N,$C:$C = $C1470,$A:$A &lt; $A1470,$B:$B = 12)),0) + sum($D1470:$N1470)"),302634.49999999994)</f>
        <v>302634.5</v>
      </c>
      <c r="Q1470" s="92">
        <f t="shared" si="1"/>
        <v>0</v>
      </c>
      <c r="R1470" s="91">
        <f t="array" ref="R1470">IFERROR(INDEX('Fund YTD Target Values'!$1:$1000, MATCH($C1470,'Fund YTD Target Values'!$A:$A,0), MATCH($A1470,'Fund YTD Target Values'!$1:$1,0)),0)</f>
        <v>364349.1694</v>
      </c>
      <c r="S1470" s="91">
        <f>IFERROR(__xludf.DUMMYFUNCTION("IFERROR(sum(FILTER('Fund Investment Data'!$V:$V, 'Fund Investment Data'!$C:$C = $C1470, 'Fund Investment Data'!$A:$A &lt; $A1470)),0) + IFERROR(sum(FILTER('Fund Investment Data'!$V:$V, 'Fund Investment Data'!$C:$C = $C1470, 'Fund Investment Data'!$A:$A = $A1"&amp;"470, 'Fund Investment Data'!$B:$B &lt;= $B1470)),0)"),280000.0)</f>
        <v>280000</v>
      </c>
      <c r="T1470" s="32"/>
      <c r="U1470" s="32"/>
      <c r="V1470" s="32">
        <f>IFERROR(__xludf.DUMMYFUNCTION("$D1470 - IFERROR(FILTER($D:$D,$C:$C = $C1470, $A:$A = $A1470, $B:$B = $B1470 - 1),0)"),0.0)</f>
        <v>0</v>
      </c>
      <c r="W1470" s="93">
        <f>IFERROR(__xludf.DUMMYFUNCTION("$E1470 - IFERROR(FILTER($E:$E,$C:$C = $C1470, $A:$A = $A1470, $B:$B = $B1470 - 1),0)"),0.0)</f>
        <v>0</v>
      </c>
      <c r="X1470" s="91">
        <f>IFERROR(__xludf.DUMMYFUNCTION("iFERROR((FILTER('Fund Investment Data'!$Z:$Z, 'Fund Investment Data'!$C:$C = $C1470, 'Fund Investment Data'!$A:$A = $A1470 - 1, 'Fund Investment Data'!$B:$B = 12) + FILTER('Fund Investment Data'!$AB:$AB, 'Fund Investment Data'!$C:$C = $C1470, 'Fund Invest"&amp;"ment Data'!$A:$A = $A1470 - 1, 'Fund Investment Data'!$B:$B = 12)) * (1 + AVERAGE(FILTER('Inflation Data'!$C:$C,'Inflation Data'!$A:$A = ($A1470 - 2)))) * Parameters!$A$4,0)"),6881.036839036868)</f>
        <v>6881.036839</v>
      </c>
      <c r="Y1470" s="91">
        <f>IFERROR(__xludf.DUMMYFUNCTION("IFERROR((IFERROR(FILTER('Fund Investment Data'!$P:$P,'Fund Investment Data'!$C:$C = $C1470,'Fund Investment Data'!$A:$A = ($A1470 - 2), 'Fund Investment Data'!$B:$B = 12),0) - SUM(FILTER('Fund Investment Data'!$V:$V, 'Fund Investment Data'!$C:$C = $C1470,"&amp;" 'Fund Investment Data'!$A:$A = ($A1470 - 2), 'Fund Investment Data'!$B:$B &gt; 3)))  * Parameters!$B$4 * (1 - Parameters!$A$4),0)"),2147.3742599999996)</f>
        <v>2147.37426</v>
      </c>
      <c r="Z1470" s="91">
        <f t="shared" si="24"/>
        <v>9028.411099</v>
      </c>
      <c r="AA1470" s="91">
        <f>IFERROR(__xludf.DUMMYFUNCTION("((IFERROR((SUM(FILTER('Fund Investment Data'!$V:$V, 'Fund Investment Data'!$C:$C = $C1470, 'Fund Investment Data'!$A:$A = $A1470 - 1, 'Fund Investment Data'!$B:$B &gt;= 4, 'Fund Investment Data'!$B:$B &lt;= ($B1470 + 5))) / 12) * ($B1470 - 3) * Parameters!$B$4,"&amp;" 0) + IF($B1470 &gt;= 9, IFERROR(SUM(FILTER('Fund Investment Data'!$V:$V, 'Fund Investment Data'!$C:$C = $C1470, 'Fund Investment Data'!$A:$A = $A1470, 'Fund Investment Data'!$B:$B &lt;= 3)) * Parameters!$B$4, 0),0)))"),1050.0)</f>
        <v>1050</v>
      </c>
      <c r="AB1470" s="32">
        <f>IFERROR(__xludf.DUMMYFUNCTION("IFERROR(((IFERROR(SUM(FILTER('Fund Investment Data'!$V:$V, 'Fund Investment Data'!$C:$C = $C1470, 'Fund Investment Data'!$A:$A = $A1470 - 2, 'Fund Investment Data'!$B:$B &gt;= 4)) * Parameters!$B$4,0) + IFERROR(SUM(FILTER('Fund Investment Data'!$V:$V, 'Fund "&amp;"Investment Data'!$C:$C = $C1470, 'Fund Investment Data'!$A:$A = $A1470 - 1, 'Fund Investment Data'!$B:$B &lt;= 3)) * Parameters!$B$4,0))),0)"),3150.0)</f>
        <v>3150</v>
      </c>
      <c r="AC1470" s="32">
        <f>IFERROR(__xludf.DUMMYFUNCTION("IFERROR(FILTER($AF:$AF,$C:$C = $C1470,$A:$A = $A1470 - 1,$B:$B = 12),0)"),5000.0)</f>
        <v>5000</v>
      </c>
      <c r="AD1470" s="32">
        <f t="shared" si="23"/>
        <v>18228.4111</v>
      </c>
      <c r="AE1470" s="32">
        <f t="shared" si="2"/>
        <v>18228.4111</v>
      </c>
      <c r="AF1470" s="32"/>
    </row>
    <row r="1471">
      <c r="A1471" s="86">
        <v>2019.0</v>
      </c>
      <c r="B1471" s="87">
        <v>7.0</v>
      </c>
      <c r="C1471" s="88" t="s">
        <v>44</v>
      </c>
      <c r="D1471" s="32"/>
      <c r="E1471" s="93">
        <v>-13000.0</v>
      </c>
      <c r="F1471" s="32"/>
      <c r="G1471" s="93">
        <v>-875.09</v>
      </c>
      <c r="H1471" s="93">
        <v>4050.64</v>
      </c>
      <c r="I1471" s="93">
        <v>3314.76</v>
      </c>
      <c r="J1471" s="93">
        <v>23544.33</v>
      </c>
      <c r="K1471" s="32"/>
      <c r="L1471" s="32"/>
      <c r="M1471" s="32"/>
      <c r="N1471" s="32"/>
      <c r="O1471" s="93">
        <v>267752.68</v>
      </c>
      <c r="P1471" s="91">
        <f>IFERROR(__xludf.DUMMYFUNCTION("IFERROR(sum(FILTER($D:$N,$C:$C = $C1471,$A:$A &lt; $A1471,$B:$B = 12)),0) + sum($D1471:$N1471)"),267753.57000000007)</f>
        <v>267753.57</v>
      </c>
      <c r="Q1471" s="92">
        <f t="shared" si="1"/>
        <v>-0.8900000001</v>
      </c>
      <c r="R1471" s="91">
        <f t="array" ref="R1471">IFERROR(INDEX('Fund YTD Target Values'!$1:$1000, MATCH($C1471,'Fund YTD Target Values'!$A:$A,0), MATCH($A1471,'Fund YTD Target Values'!$1:$1,0)),0)</f>
        <v>327413.1867</v>
      </c>
      <c r="S1471" s="91">
        <f>IFERROR(__xludf.DUMMYFUNCTION("IFERROR(sum(FILTER('Fund Investment Data'!$V:$V, 'Fund Investment Data'!$C:$C = $C1471, 'Fund Investment Data'!$A:$A &lt; $A1471)),0) + IFERROR(sum(FILTER('Fund Investment Data'!$V:$V, 'Fund Investment Data'!$C:$C = $C1471, 'Fund Investment Data'!$A:$A = $A1"&amp;"471, 'Fund Investment Data'!$B:$B &lt;= $B1471)),0)"),250000.0)</f>
        <v>250000</v>
      </c>
      <c r="T1471" s="32"/>
      <c r="U1471" s="32"/>
      <c r="V1471" s="32">
        <f>IFERROR(__xludf.DUMMYFUNCTION("$D1471 - IFERROR(FILTER($D:$D,$C:$C = $C1471, $A:$A = $A1471, $B:$B = $B1471 - 1),0)"),0.0)</f>
        <v>0</v>
      </c>
      <c r="W1471" s="93">
        <f>IFERROR(__xludf.DUMMYFUNCTION("$E1471 - IFERROR(FILTER($E:$E,$C:$C = $C1471, $A:$A = $A1471, $B:$B = $B1471 - 1),0)"),0.0)</f>
        <v>0</v>
      </c>
      <c r="X1471" s="91">
        <f>IFERROR(__xludf.DUMMYFUNCTION("iFERROR((FILTER('Fund Investment Data'!$Z:$Z, 'Fund Investment Data'!$C:$C = $C1471, 'Fund Investment Data'!$A:$A = $A1471 - 1, 'Fund Investment Data'!$B:$B = 12) + FILTER('Fund Investment Data'!$AB:$AB, 'Fund Investment Data'!$C:$C = $C1471, 'Fund Invest"&amp;"ment Data'!$A:$A = $A1471 - 1, 'Fund Investment Data'!$B:$B = 12)) * (1 + AVERAGE(FILTER('Inflation Data'!$C:$C,'Inflation Data'!$A:$A = ($A1471 - 2)))) * Parameters!$A$4,0)"),9221.513356912916)</f>
        <v>9221.513357</v>
      </c>
      <c r="Y1471" s="91">
        <f>IFERROR(__xludf.DUMMYFUNCTION("IFERROR((IFERROR(FILTER('Fund Investment Data'!$P:$P,'Fund Investment Data'!$C:$C = $C1471,'Fund Investment Data'!$A:$A = ($A1471 - 2), 'Fund Investment Data'!$B:$B = 12),0) - SUM(FILTER('Fund Investment Data'!$V:$V, 'Fund Investment Data'!$C:$C = $C1471,"&amp;" 'Fund Investment Data'!$A:$A = ($A1471 - 2), 'Fund Investment Data'!$B:$B &gt; 3)))  * Parameters!$B$4 * (1 - Parameters!$A$4),0)"),3869.5923450000028)</f>
        <v>3869.592345</v>
      </c>
      <c r="Z1471" s="91">
        <f t="shared" si="24"/>
        <v>13091.1057</v>
      </c>
      <c r="AA1471" s="91">
        <f>IFERROR(__xludf.DUMMYFUNCTION("((IFERROR((SUM(FILTER('Fund Investment Data'!$V:$V, 'Fund Investment Data'!$C:$C = $C1471, 'Fund Investment Data'!$A:$A = $A1471 - 1, 'Fund Investment Data'!$B:$B &gt;= 4, 'Fund Investment Data'!$B:$B &lt;= ($B1471 + 5))) / 12) * ($B1471 - 3) * Parameters!$B$4,"&amp;" 0) + IF($B1471 &gt;= 9, IFERROR(SUM(FILTER('Fund Investment Data'!$V:$V, 'Fund Investment Data'!$C:$C = $C1471, 'Fund Investment Data'!$A:$A = $A1471, 'Fund Investment Data'!$B:$B &lt;= 3)) * Parameters!$B$4, 0),0)))"),0.0)</f>
        <v>0</v>
      </c>
      <c r="AB1471" s="32">
        <f>IFERROR(__xludf.DUMMYFUNCTION("IFERROR(((IFERROR(SUM(FILTER('Fund Investment Data'!$V:$V, 'Fund Investment Data'!$C:$C = $C1471, 'Fund Investment Data'!$A:$A = $A1471 - 2, 'Fund Investment Data'!$B:$B &gt;= 4)) * Parameters!$B$4,0) + IFERROR(SUM(FILTER('Fund Investment Data'!$V:$V, 'Fund "&amp;"Investment Data'!$C:$C = $C1471, 'Fund Investment Data'!$A:$A = $A1471 - 1, 'Fund Investment Data'!$B:$B &lt;= 3)) * Parameters!$B$4,0))),0)"),0.0)</f>
        <v>0</v>
      </c>
      <c r="AC1471" s="32">
        <f>IFERROR(__xludf.DUMMYFUNCTION("IFERROR(FILTER($AF:$AF,$C:$C = $C1471,$A:$A = $A1471 - 1,$B:$B = 12),0)"),0.0)</f>
        <v>0</v>
      </c>
      <c r="AD1471" s="32">
        <f t="shared" si="23"/>
        <v>13091.1057</v>
      </c>
      <c r="AE1471" s="32">
        <f t="shared" si="2"/>
        <v>91.10570191</v>
      </c>
      <c r="AF1471" s="32"/>
    </row>
    <row r="1472">
      <c r="A1472" s="86">
        <v>2019.0</v>
      </c>
      <c r="B1472" s="87">
        <v>7.0</v>
      </c>
      <c r="C1472" s="88" t="s">
        <v>45</v>
      </c>
      <c r="D1472" s="32"/>
      <c r="E1472" s="93">
        <v>-3500.0</v>
      </c>
      <c r="F1472" s="32"/>
      <c r="G1472" s="93">
        <v>-466.64</v>
      </c>
      <c r="H1472" s="93">
        <v>2160.01</v>
      </c>
      <c r="I1472" s="93">
        <v>218.26</v>
      </c>
      <c r="J1472" s="93">
        <v>13941.42</v>
      </c>
      <c r="K1472" s="32"/>
      <c r="L1472" s="32"/>
      <c r="M1472" s="32"/>
      <c r="N1472" s="32"/>
      <c r="O1472" s="93">
        <v>144688.96</v>
      </c>
      <c r="P1472" s="91">
        <f>IFERROR(__xludf.DUMMYFUNCTION("IFERROR(sum(FILTER($D:$N,$C:$C = $C1472,$A:$A &lt; $A1472,$B:$B = 12)),0) + sum($D1472:$N1472)"),144689.16999999995)</f>
        <v>144689.17</v>
      </c>
      <c r="Q1472" s="92">
        <f t="shared" si="1"/>
        <v>-0.21</v>
      </c>
      <c r="R1472" s="91">
        <f t="array" ref="R1472">IFERROR(INDEX('Fund YTD Target Values'!$1:$1000, MATCH($C1472,'Fund YTD Target Values'!$A:$A,0), MATCH($A1472,'Fund YTD Target Values'!$1:$1,0)),0)</f>
        <v>123438.8442</v>
      </c>
      <c r="S1472" s="91">
        <f>IFERROR(__xludf.DUMMYFUNCTION("IFERROR(sum(FILTER('Fund Investment Data'!$V:$V, 'Fund Investment Data'!$C:$C = $C1472, 'Fund Investment Data'!$A:$A &lt; $A1472)),0) + IFERROR(sum(FILTER('Fund Investment Data'!$V:$V, 'Fund Investment Data'!$C:$C = $C1472, 'Fund Investment Data'!$A:$A = $A1"&amp;"472, 'Fund Investment Data'!$B:$B &lt;= $B1472)),0)"),100000.0)</f>
        <v>100000</v>
      </c>
      <c r="T1472" s="32"/>
      <c r="U1472" s="32"/>
      <c r="V1472" s="32">
        <f>IFERROR(__xludf.DUMMYFUNCTION("$D1472 - IFERROR(FILTER($D:$D,$C:$C = $C1472, $A:$A = $A1472, $B:$B = $B1472 - 1),0)"),0.0)</f>
        <v>0</v>
      </c>
      <c r="W1472" s="93">
        <f>IFERROR(__xludf.DUMMYFUNCTION("$E1472 - IFERROR(FILTER($E:$E,$C:$C = $C1472, $A:$A = $A1472, $B:$B = $B1472 - 1),0)"),0.0)</f>
        <v>0</v>
      </c>
      <c r="X1472" s="91">
        <f>IFERROR(__xludf.DUMMYFUNCTION("iFERROR((FILTER('Fund Investment Data'!$Z:$Z, 'Fund Investment Data'!$C:$C = $C1472, 'Fund Investment Data'!$A:$A = $A1472 - 1, 'Fund Investment Data'!$B:$B = 12) + FILTER('Fund Investment Data'!$AB:$AB, 'Fund Investment Data'!$C:$C = $C1472, 'Fund Invest"&amp;"ment Data'!$A:$A = $A1472 - 1, 'Fund Investment Data'!$B:$B = 12)) * (1 + AVERAGE(FILTER('Inflation Data'!$C:$C,'Inflation Data'!$A:$A = ($A1472 - 2)))) * Parameters!$A$4,0)"),3807.5303509611413)</f>
        <v>3807.530351</v>
      </c>
      <c r="Y1472" s="91">
        <f>IFERROR(__xludf.DUMMYFUNCTION("IFERROR((IFERROR(FILTER('Fund Investment Data'!$P:$P,'Fund Investment Data'!$C:$C = $C1472,'Fund Investment Data'!$A:$A = ($A1472 - 2), 'Fund Investment Data'!$B:$B = 12),0) - SUM(FILTER('Fund Investment Data'!$V:$V, 'Fund Investment Data'!$C:$C = $C1472,"&amp;" 'Fund Investment Data'!$A:$A = ($A1472 - 2), 'Fund Investment Data'!$B:$B &gt; 3)))  * Parameters!$B$4 * (1 - Parameters!$A$4),0)"),2003.430915)</f>
        <v>2003.430915</v>
      </c>
      <c r="Z1472" s="91">
        <f t="shared" si="24"/>
        <v>5810.961266</v>
      </c>
      <c r="AA1472" s="91">
        <f>IFERROR(__xludf.DUMMYFUNCTION("((IFERROR((SUM(FILTER('Fund Investment Data'!$V:$V, 'Fund Investment Data'!$C:$C = $C1472, 'Fund Investment Data'!$A:$A = $A1472 - 1, 'Fund Investment Data'!$B:$B &gt;= 4, 'Fund Investment Data'!$B:$B &lt;= ($B1472 + 5))) / 12) * ($B1472 - 3) * Parameters!$B$4,"&amp;" 0) + IF($B1472 &gt;= 9, IFERROR(SUM(FILTER('Fund Investment Data'!$V:$V, 'Fund Investment Data'!$C:$C = $C1472, 'Fund Investment Data'!$A:$A = $A1472, 'Fund Investment Data'!$B:$B &lt;= 3)) * Parameters!$B$4, 0),0)))"),0.0)</f>
        <v>0</v>
      </c>
      <c r="AB1472" s="32">
        <f>IFERROR(__xludf.DUMMYFUNCTION("IFERROR(((IFERROR(SUM(FILTER('Fund Investment Data'!$V:$V, 'Fund Investment Data'!$C:$C = $C1472, 'Fund Investment Data'!$A:$A = $A1472 - 2, 'Fund Investment Data'!$B:$B &gt;= 4)) * Parameters!$B$4,0) + IFERROR(SUM(FILTER('Fund Investment Data'!$V:$V, 'Fund "&amp;"Investment Data'!$C:$C = $C1472, 'Fund Investment Data'!$A:$A = $A1472 - 1, 'Fund Investment Data'!$B:$B &lt;= 3)) * Parameters!$B$4,0))),0)"),0.0)</f>
        <v>0</v>
      </c>
      <c r="AC1472" s="32">
        <f>IFERROR(__xludf.DUMMYFUNCTION("IFERROR(FILTER($AF:$AF,$C:$C = $C1472,$A:$A = $A1472 - 1,$B:$B = 12),0)"),0.0)</f>
        <v>0</v>
      </c>
      <c r="AD1472" s="32">
        <f t="shared" si="23"/>
        <v>5810.961266</v>
      </c>
      <c r="AE1472" s="32">
        <f t="shared" si="2"/>
        <v>2310.961266</v>
      </c>
      <c r="AF1472" s="32"/>
    </row>
    <row r="1473">
      <c r="A1473" s="86">
        <v>2019.0</v>
      </c>
      <c r="B1473" s="87">
        <v>7.0</v>
      </c>
      <c r="C1473" s="88" t="s">
        <v>35</v>
      </c>
      <c r="D1473" s="32"/>
      <c r="E1473" s="93">
        <v>-15600.0</v>
      </c>
      <c r="F1473" s="32"/>
      <c r="G1473" s="93">
        <v>-4556.44</v>
      </c>
      <c r="H1473" s="93">
        <v>21053.92</v>
      </c>
      <c r="I1473" s="93">
        <v>7300.15</v>
      </c>
      <c r="J1473" s="93">
        <v>131061.13</v>
      </c>
      <c r="K1473" s="32"/>
      <c r="L1473" s="32"/>
      <c r="M1473" s="32"/>
      <c r="N1473" s="32"/>
      <c r="O1473" s="93">
        <v>1433245.6</v>
      </c>
      <c r="P1473" s="91">
        <f>IFERROR(__xludf.DUMMYFUNCTION("IFERROR(sum(FILTER($D:$N,$C:$C = $C1473,$A:$A &lt; $A1473,$B:$B = 12)),0) + sum($D1473:$N1473)"),1433244.8300000005)</f>
        <v>1433244.83</v>
      </c>
      <c r="Q1473" s="92">
        <f t="shared" si="1"/>
        <v>0.7699999996</v>
      </c>
      <c r="R1473" s="91">
        <f t="array" ref="R1473">IFERROR(INDEX('Fund YTD Target Values'!$1:$1000, MATCH($C1473,'Fund YTD Target Values'!$A:$A,0), MATCH($A1473,'Fund YTD Target Values'!$1:$1,0)),0)</f>
        <v>1607860.761</v>
      </c>
      <c r="S1473" s="91">
        <f>IFERROR(__xludf.DUMMYFUNCTION("IFERROR(sum(FILTER('Fund Investment Data'!$V:$V, 'Fund Investment Data'!$C:$C = $C1473, 'Fund Investment Data'!$A:$A &lt; $A1473)),0) + IFERROR(sum(FILTER('Fund Investment Data'!$V:$V, 'Fund Investment Data'!$C:$C = $C1473, 'Fund Investment Data'!$A:$A = $A1"&amp;"473, 'Fund Investment Data'!$B:$B &lt;= $B1473)),0)"),1086625.0)</f>
        <v>1086625</v>
      </c>
      <c r="T1473" s="32"/>
      <c r="U1473" s="32"/>
      <c r="V1473" s="32">
        <f>IFERROR(__xludf.DUMMYFUNCTION("$D1473 - IFERROR(FILTER($D:$D,$C:$C = $C1473, $A:$A = $A1473, $B:$B = $B1473 - 1),0)"),0.0)</f>
        <v>0</v>
      </c>
      <c r="W1473" s="93">
        <f>IFERROR(__xludf.DUMMYFUNCTION("$E1473 - IFERROR(FILTER($E:$E,$C:$C = $C1473, $A:$A = $A1473, $B:$B = $B1473 - 1),0)"),0.0)</f>
        <v>0</v>
      </c>
      <c r="X1473" s="91">
        <f>IFERROR(__xludf.DUMMYFUNCTION("iFERROR((FILTER('Fund Investment Data'!$Z:$Z, 'Fund Investment Data'!$C:$C = $C1473, 'Fund Investment Data'!$A:$A = $A1473 - 1, 'Fund Investment Data'!$B:$B = 12) + FILTER('Fund Investment Data'!$AB:$AB, 'Fund Investment Data'!$C:$C = $C1473, 'Fund Invest"&amp;"ment Data'!$A:$A = $A1473 - 1, 'Fund Investment Data'!$B:$B = 12)) * (1 + AVERAGE(FILTER('Inflation Data'!$C:$C,'Inflation Data'!$A:$A = ($A1473 - 2)))) * Parameters!$A$4,0)"),47167.912647909514)</f>
        <v>47167.91265</v>
      </c>
      <c r="Y1473" s="91">
        <f>IFERROR(__xludf.DUMMYFUNCTION("IFERROR((IFERROR(FILTER('Fund Investment Data'!$P:$P,'Fund Investment Data'!$C:$C = $C1473,'Fund Investment Data'!$A:$A = ($A1473 - 2), 'Fund Investment Data'!$B:$B = 12),0) - SUM(FILTER('Fund Investment Data'!$V:$V, 'Fund Investment Data'!$C:$C = $C1473,"&amp;" 'Fund Investment Data'!$A:$A = ($A1473 - 2), 'Fund Investment Data'!$B:$B &gt; 3)))  * Parameters!$B$4 * (1 - Parameters!$A$4),0)"),19792.911060000006)</f>
        <v>19792.91106</v>
      </c>
      <c r="Z1473" s="91">
        <f t="shared" si="24"/>
        <v>66960.82371</v>
      </c>
      <c r="AA1473" s="91">
        <f>IFERROR(__xludf.DUMMYFUNCTION("((IFERROR((SUM(FILTER('Fund Investment Data'!$V:$V, 'Fund Investment Data'!$C:$C = $C1473, 'Fund Investment Data'!$A:$A = $A1473 - 1, 'Fund Investment Data'!$B:$B &gt;= 4, 'Fund Investment Data'!$B:$B &lt;= ($B1473 + 5))) / 12) * ($B1473 - 3) * Parameters!$B$4,"&amp;" 0) + IF($B1473 &gt;= 9, IFERROR(SUM(FILTER('Fund Investment Data'!$V:$V, 'Fund Investment Data'!$C:$C = $C1473, 'Fund Investment Data'!$A:$A = $A1473, 'Fund Investment Data'!$B:$B &lt;= 3)) * Parameters!$B$4, 0),0)))"),0.0)</f>
        <v>0</v>
      </c>
      <c r="AB1473" s="32">
        <f>IFERROR(__xludf.DUMMYFUNCTION("IFERROR(((IFERROR(SUM(FILTER('Fund Investment Data'!$V:$V, 'Fund Investment Data'!$C:$C = $C1473, 'Fund Investment Data'!$A:$A = $A1473 - 2, 'Fund Investment Data'!$B:$B &gt;= 4)) * Parameters!$B$4,0) + IFERROR(SUM(FILTER('Fund Investment Data'!$V:$V, 'Fund "&amp;"Investment Data'!$C:$C = $C1473, 'Fund Investment Data'!$A:$A = $A1473 - 1, 'Fund Investment Data'!$B:$B &lt;= 3)) * Parameters!$B$4,0))),0)"),0.0)</f>
        <v>0</v>
      </c>
      <c r="AC1473" s="32">
        <f>IFERROR(__xludf.DUMMYFUNCTION("IFERROR(FILTER($AF:$AF,$C:$C = $C1473,$A:$A = $A1473 - 1,$B:$B = 12),0)"),0.0)</f>
        <v>0</v>
      </c>
      <c r="AD1473" s="32">
        <f t="shared" si="23"/>
        <v>66960.82371</v>
      </c>
      <c r="AE1473" s="32">
        <f t="shared" si="2"/>
        <v>51360.82371</v>
      </c>
      <c r="AF1473" s="32"/>
    </row>
    <row r="1474">
      <c r="A1474" s="86">
        <v>2019.0</v>
      </c>
      <c r="B1474" s="87">
        <v>7.0</v>
      </c>
      <c r="C1474" s="88" t="s">
        <v>56</v>
      </c>
      <c r="D1474" s="32"/>
      <c r="E1474" s="32"/>
      <c r="F1474" s="32"/>
      <c r="G1474" s="93">
        <v>-3536.47</v>
      </c>
      <c r="H1474" s="93">
        <v>16356.71</v>
      </c>
      <c r="I1474" s="32"/>
      <c r="J1474" s="93">
        <v>107139.76</v>
      </c>
      <c r="K1474" s="32"/>
      <c r="L1474" s="32"/>
      <c r="M1474" s="32"/>
      <c r="N1474" s="32"/>
      <c r="O1474" s="93">
        <v>1119372.71</v>
      </c>
      <c r="P1474" s="91">
        <f>IFERROR(__xludf.DUMMYFUNCTION("IFERROR(sum(FILTER($D:$N,$C:$C = $C1474,$A:$A &lt; $A1474,$B:$B = 12)),0) + sum($D1474:$N1474)"),1119372.71)</f>
        <v>1119372.71</v>
      </c>
      <c r="Q1474" s="92">
        <f t="shared" si="1"/>
        <v>0</v>
      </c>
      <c r="R1474" s="91">
        <f t="array" ref="R1474">IFERROR(INDEX('Fund YTD Target Values'!$1:$1000, MATCH($C1474,'Fund YTD Target Values'!$A:$A,0), MATCH($A1474,'Fund YTD Target Values'!$1:$1,0)),0)</f>
        <v>1079944.217</v>
      </c>
      <c r="S1474" s="91">
        <f>IFERROR(__xludf.DUMMYFUNCTION("IFERROR(sum(FILTER('Fund Investment Data'!$V:$V, 'Fund Investment Data'!$C:$C = $C1474, 'Fund Investment Data'!$A:$A &lt; $A1474)),0) + IFERROR(sum(FILTER('Fund Investment Data'!$V:$V, 'Fund Investment Data'!$C:$C = $C1474, 'Fund Investment Data'!$A:$A = $A1"&amp;"474, 'Fund Investment Data'!$B:$B &lt;= $B1474)),0)"),1000000.0)</f>
        <v>1000000</v>
      </c>
      <c r="T1474" s="32"/>
      <c r="U1474" s="32"/>
      <c r="V1474" s="32">
        <f>IFERROR(__xludf.DUMMYFUNCTION("$D1474 - IFERROR(FILTER($D:$D,$C:$C = $C1474, $A:$A = $A1474, $B:$B = $B1474 - 1),0)"),0.0)</f>
        <v>0</v>
      </c>
      <c r="W1474" s="93">
        <f>IFERROR(__xludf.DUMMYFUNCTION("$E1474 - IFERROR(FILTER($E:$E,$C:$C = $C1474, $A:$A = $A1474, $B:$B = $B1474 - 1),0)"),0.0)</f>
        <v>0</v>
      </c>
      <c r="X1474" s="91">
        <f>IFERROR(__xludf.DUMMYFUNCTION("iFERROR((FILTER('Fund Investment Data'!$Z:$Z, 'Fund Investment Data'!$C:$C = $C1474, 'Fund Investment Data'!$A:$A = $A1474 - 1, 'Fund Investment Data'!$B:$B = 12) + FILTER('Fund Investment Data'!$AB:$AB, 'Fund Investment Data'!$C:$C = $C1474, 'Fund Invest"&amp;"ment Data'!$A:$A = $A1474 - 1, 'Fund Investment Data'!$B:$B = 12)) * (1 + AVERAGE(FILTER('Inflation Data'!$C:$C,'Inflation Data'!$A:$A = ($A1474 - 2)))) * Parameters!$A$4,0)"),33311.397321480836)</f>
        <v>33311.39732</v>
      </c>
      <c r="Y1474" s="91">
        <f>IFERROR(__xludf.DUMMYFUNCTION("IFERROR((IFERROR(FILTER('Fund Investment Data'!$P:$P,'Fund Investment Data'!$C:$C = $C1474,'Fund Investment Data'!$A:$A = ($A1474 - 2), 'Fund Investment Data'!$B:$B = 12),0) - SUM(FILTER('Fund Investment Data'!$V:$V, 'Fund Investment Data'!$C:$C = $C1474,"&amp;" 'Fund Investment Data'!$A:$A = ($A1474 - 2), 'Fund Investment Data'!$B:$B &gt; 3)))  * Parameters!$B$4 * (1 - Parameters!$A$4),0)"),15295.200705)</f>
        <v>15295.20071</v>
      </c>
      <c r="Z1474" s="91">
        <f t="shared" si="24"/>
        <v>48606.59803</v>
      </c>
      <c r="AA1474" s="91">
        <f>IFERROR(__xludf.DUMMYFUNCTION("((IFERROR((SUM(FILTER('Fund Investment Data'!$V:$V, 'Fund Investment Data'!$C:$C = $C1474, 'Fund Investment Data'!$A:$A = $A1474 - 1, 'Fund Investment Data'!$B:$B &gt;= 4, 'Fund Investment Data'!$B:$B &lt;= ($B1474 + 5))) / 12) * ($B1474 - 3) * Parameters!$B$4,"&amp;" 0) + IF($B1474 &gt;= 9, IFERROR(SUM(FILTER('Fund Investment Data'!$V:$V, 'Fund Investment Data'!$C:$C = $C1474, 'Fund Investment Data'!$A:$A = $A1474, 'Fund Investment Data'!$B:$B &lt;= 3)) * Parameters!$B$4, 0),0)))"),0.0)</f>
        <v>0</v>
      </c>
      <c r="AB1474" s="32">
        <f>IFERROR(__xludf.DUMMYFUNCTION("IFERROR(((IFERROR(SUM(FILTER('Fund Investment Data'!$V:$V, 'Fund Investment Data'!$C:$C = $C1474, 'Fund Investment Data'!$A:$A = $A1474 - 2, 'Fund Investment Data'!$B:$B &gt;= 4)) * Parameters!$B$4,0) + IFERROR(SUM(FILTER('Fund Investment Data'!$V:$V, 'Fund "&amp;"Investment Data'!$C:$C = $C1474, 'Fund Investment Data'!$A:$A = $A1474 - 1, 'Fund Investment Data'!$B:$B &lt;= 3)) * Parameters!$B$4,0))),0)"),0.0)</f>
        <v>0</v>
      </c>
      <c r="AC1474" s="32">
        <f>IFERROR(__xludf.DUMMYFUNCTION("IFERROR(FILTER($AF:$AF,$C:$C = $C1474,$A:$A = $A1474 - 1,$B:$B = 12),0)"),0.0)</f>
        <v>0</v>
      </c>
      <c r="AD1474" s="32">
        <f t="shared" si="23"/>
        <v>48606.59803</v>
      </c>
      <c r="AE1474" s="32">
        <f t="shared" si="2"/>
        <v>48606.59803</v>
      </c>
      <c r="AF1474" s="32"/>
    </row>
    <row r="1475">
      <c r="A1475" s="86">
        <v>2019.0</v>
      </c>
      <c r="B1475" s="87">
        <v>7.0</v>
      </c>
      <c r="C1475" s="88" t="s">
        <v>57</v>
      </c>
      <c r="D1475" s="32"/>
      <c r="E1475" s="93">
        <v>-20400.0</v>
      </c>
      <c r="F1475" s="32"/>
      <c r="G1475" s="93">
        <v>-6626.93</v>
      </c>
      <c r="H1475" s="93">
        <v>30528.24</v>
      </c>
      <c r="I1475" s="32"/>
      <c r="J1475" s="93">
        <v>197383.72</v>
      </c>
      <c r="K1475" s="32"/>
      <c r="L1475" s="32"/>
      <c r="M1475" s="32"/>
      <c r="N1475" s="32"/>
      <c r="O1475" s="93">
        <v>2081399.5</v>
      </c>
      <c r="P1475" s="91">
        <f>IFERROR(__xludf.DUMMYFUNCTION("IFERROR(sum(FILTER($D:$N,$C:$C = $C1475,$A:$A &lt; $A1475,$B:$B = 12)),0) + sum($D1475:$N1475)"),2081399.5)</f>
        <v>2081399.5</v>
      </c>
      <c r="Q1475" s="92">
        <f t="shared" si="1"/>
        <v>0</v>
      </c>
      <c r="R1475" s="91">
        <f t="array" ref="R1475">IFERROR(INDEX('Fund YTD Target Values'!$1:$1000, MATCH($C1475,'Fund YTD Target Values'!$A:$A,0), MATCH($A1475,'Fund YTD Target Values'!$1:$1,0)),0)</f>
        <v>2085975.586</v>
      </c>
      <c r="S1475" s="91">
        <f>IFERROR(__xludf.DUMMYFUNCTION("IFERROR(sum(FILTER('Fund Investment Data'!$V:$V, 'Fund Investment Data'!$C:$C = $C1475, 'Fund Investment Data'!$A:$A &lt; $A1475)),0) + IFERROR(sum(FILTER('Fund Investment Data'!$V:$V, 'Fund Investment Data'!$C:$C = $C1475, 'Fund Investment Data'!$A:$A = $A1"&amp;"475, 'Fund Investment Data'!$B:$B &lt;= $B1475)),0)"),2000000.0)</f>
        <v>2000000</v>
      </c>
      <c r="T1475" s="32"/>
      <c r="U1475" s="32"/>
      <c r="V1475" s="32">
        <f>IFERROR(__xludf.DUMMYFUNCTION("$D1475 - IFERROR(FILTER($D:$D,$C:$C = $C1475, $A:$A = $A1475, $B:$B = $B1475 - 1),0)"),0.0)</f>
        <v>0</v>
      </c>
      <c r="W1475" s="93">
        <f>IFERROR(__xludf.DUMMYFUNCTION("$E1475 - IFERROR(FILTER($E:$E,$C:$C = $C1475, $A:$A = $A1475, $B:$B = $B1475 - 1),0)"),-3400.0)</f>
        <v>-3400</v>
      </c>
      <c r="X1475" s="91">
        <f>IFERROR(__xludf.DUMMYFUNCTION("iFERROR((FILTER('Fund Investment Data'!$Z:$Z, 'Fund Investment Data'!$C:$C = $C1475, 'Fund Investment Data'!$A:$A = $A1475 - 1, 'Fund Investment Data'!$B:$B = 12) + FILTER('Fund Investment Data'!$AB:$AB, 'Fund Investment Data'!$C:$C = $C1475, 'Fund Invest"&amp;"ment Data'!$A:$A = $A1475 - 1, 'Fund Investment Data'!$B:$B = 12)) * (1 + AVERAGE(FILTER('Inflation Data'!$C:$C,'Inflation Data'!$A:$A = ($A1475 - 2)))) * Parameters!$A$4,0)"),0.0)</f>
        <v>0</v>
      </c>
      <c r="Y1475" s="91">
        <f>IFERROR(__xludf.DUMMYFUNCTION("IFERROR((IFERROR(FILTER('Fund Investment Data'!$P:$P,'Fund Investment Data'!$C:$C = $C1475,'Fund Investment Data'!$A:$A = ($A1475 - 2), 'Fund Investment Data'!$B:$B = 12),0) - SUM(FILTER('Fund Investment Data'!$V:$V, 'Fund Investment Data'!$C:$C = $C1475,"&amp;" 'Fund Investment Data'!$A:$A = ($A1475 - 2), 'Fund Investment Data'!$B:$B &gt; 3)))  * Parameters!$B$4 * (1 - Parameters!$A$4),0)"),474.91420500000106)</f>
        <v>474.914205</v>
      </c>
      <c r="Z1475" s="91">
        <f t="shared" si="24"/>
        <v>474.914205</v>
      </c>
      <c r="AA1475" s="91">
        <f>IFERROR(__xludf.DUMMYFUNCTION("((IFERROR((SUM(FILTER('Fund Investment Data'!$V:$V, 'Fund Investment Data'!$C:$C = $C1475, 'Fund Investment Data'!$A:$A = $A1475 - 1, 'Fund Investment Data'!$B:$B &gt;= 4, 'Fund Investment Data'!$B:$B &lt;= ($B1475 + 5))) / 12) * ($B1475 - 3) * Parameters!$B$4,"&amp;" 0) + IF($B1475 &gt;= 9, IFERROR(SUM(FILTER('Fund Investment Data'!$V:$V, 'Fund Investment Data'!$C:$C = $C1475, 'Fund Investment Data'!$A:$A = $A1475, 'Fund Investment Data'!$B:$B &lt;= 3)) * Parameters!$B$4, 0),0)))"),0.0)</f>
        <v>0</v>
      </c>
      <c r="AB1475" s="32">
        <f>IFERROR(__xludf.DUMMYFUNCTION("IFERROR(((IFERROR(SUM(FILTER('Fund Investment Data'!$V:$V, 'Fund Investment Data'!$C:$C = $C1475, 'Fund Investment Data'!$A:$A = $A1475 - 2, 'Fund Investment Data'!$B:$B &gt;= 4)) * Parameters!$B$4,0) + IFERROR(SUM(FILTER('Fund Investment Data'!$V:$V, 'Fund "&amp;"Investment Data'!$C:$C = $C1475, 'Fund Investment Data'!$A:$A = $A1475 - 1, 'Fund Investment Data'!$B:$B &lt;= 3)) * Parameters!$B$4,0))),0)"),90000.0)</f>
        <v>90000</v>
      </c>
      <c r="AC1475" s="32">
        <f>IFERROR(__xludf.DUMMYFUNCTION("IFERROR(FILTER($AF:$AF,$C:$C = $C1475,$A:$A = $A1475 - 1,$B:$B = 12),0)"),45000.0)</f>
        <v>45000</v>
      </c>
      <c r="AD1475" s="32">
        <f t="shared" si="23"/>
        <v>135474.9142</v>
      </c>
      <c r="AE1475" s="32">
        <f t="shared" si="2"/>
        <v>115074.9142</v>
      </c>
      <c r="AF1475" s="32"/>
    </row>
    <row r="1476">
      <c r="A1476" s="86">
        <v>2019.0</v>
      </c>
      <c r="B1476" s="87">
        <v>7.0</v>
      </c>
      <c r="C1476" s="88" t="s">
        <v>58</v>
      </c>
      <c r="D1476" s="32"/>
      <c r="E1476" s="93">
        <v>-30800.0</v>
      </c>
      <c r="F1476" s="32"/>
      <c r="G1476" s="93">
        <v>-6546.45</v>
      </c>
      <c r="H1476" s="93">
        <v>30246.21</v>
      </c>
      <c r="I1476" s="32"/>
      <c r="J1476" s="93">
        <v>197383.72</v>
      </c>
      <c r="K1476" s="32"/>
      <c r="L1476" s="32"/>
      <c r="M1476" s="32"/>
      <c r="N1476" s="32"/>
      <c r="O1476" s="93">
        <v>2050797.93</v>
      </c>
      <c r="P1476" s="91">
        <f>IFERROR(__xludf.DUMMYFUNCTION("IFERROR(sum(FILTER($D:$N,$C:$C = $C1476,$A:$A &lt; $A1476,$B:$B = 12)),0) + sum($D1476:$N1476)"),2050797.93)</f>
        <v>2050797.93</v>
      </c>
      <c r="Q1476" s="92">
        <f t="shared" si="1"/>
        <v>0</v>
      </c>
      <c r="R1476" s="91">
        <f t="array" ref="R1476">IFERROR(INDEX('Fund YTD Target Values'!$1:$1000, MATCH($C1476,'Fund YTD Target Values'!$A:$A,0), MATCH($A1476,'Fund YTD Target Values'!$1:$1,0)),0)</f>
        <v>2085975.586</v>
      </c>
      <c r="S1476" s="91">
        <f>IFERROR(__xludf.DUMMYFUNCTION("IFERROR(sum(FILTER('Fund Investment Data'!$V:$V, 'Fund Investment Data'!$C:$C = $C1476, 'Fund Investment Data'!$A:$A &lt; $A1476)),0) + IFERROR(sum(FILTER('Fund Investment Data'!$V:$V, 'Fund Investment Data'!$C:$C = $C1476, 'Fund Investment Data'!$A:$A = $A1"&amp;"476, 'Fund Investment Data'!$B:$B &lt;= $B1476)),0)"),2000000.0)</f>
        <v>2000000</v>
      </c>
      <c r="T1476" s="32"/>
      <c r="U1476" s="32"/>
      <c r="V1476" s="32">
        <f>IFERROR(__xludf.DUMMYFUNCTION("$D1476 - IFERROR(FILTER($D:$D,$C:$C = $C1476, $A:$A = $A1476, $B:$B = $B1476 - 1),0)"),0.0)</f>
        <v>0</v>
      </c>
      <c r="W1476" s="93">
        <f>IFERROR(__xludf.DUMMYFUNCTION("$E1476 - IFERROR(FILTER($E:$E,$C:$C = $C1476, $A:$A = $A1476, $B:$B = $B1476 - 1),0)"),-7400.0)</f>
        <v>-7400</v>
      </c>
      <c r="X1476" s="91">
        <f>IFERROR(__xludf.DUMMYFUNCTION("iFERROR((FILTER('Fund Investment Data'!$Z:$Z, 'Fund Investment Data'!$C:$C = $C1476, 'Fund Investment Data'!$A:$A = $A1476 - 1, 'Fund Investment Data'!$B:$B = 12) + FILTER('Fund Investment Data'!$AB:$AB, 'Fund Investment Data'!$C:$C = $C1476, 'Fund Invest"&amp;"ment Data'!$A:$A = $A1476 - 1, 'Fund Investment Data'!$B:$B = 12)) * (1 + AVERAGE(FILTER('Inflation Data'!$C:$C,'Inflation Data'!$A:$A = ($A1476 - 2)))) * Parameters!$A$4,0)"),0.0)</f>
        <v>0</v>
      </c>
      <c r="Y1476" s="91">
        <f>IFERROR(__xludf.DUMMYFUNCTION("IFERROR((IFERROR(FILTER('Fund Investment Data'!$P:$P,'Fund Investment Data'!$C:$C = $C1476,'Fund Investment Data'!$A:$A = ($A1476 - 2), 'Fund Investment Data'!$B:$B = 12),0) - SUM(FILTER('Fund Investment Data'!$V:$V, 'Fund Investment Data'!$C:$C = $C1476,"&amp;" 'Fund Investment Data'!$A:$A = ($A1476 - 2), 'Fund Investment Data'!$B:$B &gt; 3)))  * Parameters!$B$4 * (1 - Parameters!$A$4),0)"),474.91420500000106)</f>
        <v>474.914205</v>
      </c>
      <c r="Z1476" s="91">
        <f t="shared" si="24"/>
        <v>474.914205</v>
      </c>
      <c r="AA1476" s="91">
        <f>IFERROR(__xludf.DUMMYFUNCTION("((IFERROR((SUM(FILTER('Fund Investment Data'!$V:$V, 'Fund Investment Data'!$C:$C = $C1476, 'Fund Investment Data'!$A:$A = $A1476 - 1, 'Fund Investment Data'!$B:$B &gt;= 4, 'Fund Investment Data'!$B:$B &lt;= ($B1476 + 5))) / 12) * ($B1476 - 3) * Parameters!$B$4,"&amp;" 0) + IF($B1476 &gt;= 9, IFERROR(SUM(FILTER('Fund Investment Data'!$V:$V, 'Fund Investment Data'!$C:$C = $C1476, 'Fund Investment Data'!$A:$A = $A1476, 'Fund Investment Data'!$B:$B &lt;= 3)) * Parameters!$B$4, 0),0)))"),0.0)</f>
        <v>0</v>
      </c>
      <c r="AB1476" s="32">
        <f>IFERROR(__xludf.DUMMYFUNCTION("IFERROR(((IFERROR(SUM(FILTER('Fund Investment Data'!$V:$V, 'Fund Investment Data'!$C:$C = $C1476, 'Fund Investment Data'!$A:$A = $A1476 - 2, 'Fund Investment Data'!$B:$B &gt;= 4)) * Parameters!$B$4,0) + IFERROR(SUM(FILTER('Fund Investment Data'!$V:$V, 'Fund "&amp;"Investment Data'!$C:$C = $C1476, 'Fund Investment Data'!$A:$A = $A1476 - 1, 'Fund Investment Data'!$B:$B &lt;= 3)) * Parameters!$B$4,0))),0)"),90000.0)</f>
        <v>90000</v>
      </c>
      <c r="AC1476" s="32">
        <f>IFERROR(__xludf.DUMMYFUNCTION("IFERROR(FILTER($AF:$AF,$C:$C = $C1476,$A:$A = $A1476 - 1,$B:$B = 12),0)"),25000.0)</f>
        <v>25000</v>
      </c>
      <c r="AD1476" s="32">
        <f t="shared" si="23"/>
        <v>115474.9142</v>
      </c>
      <c r="AE1476" s="32">
        <f t="shared" si="2"/>
        <v>84674.91421</v>
      </c>
      <c r="AF1476" s="32"/>
    </row>
    <row r="1477">
      <c r="A1477" s="86">
        <v>2019.0</v>
      </c>
      <c r="B1477" s="87">
        <v>8.0</v>
      </c>
      <c r="C1477" s="88" t="s">
        <v>26</v>
      </c>
      <c r="D1477" s="93">
        <v>7128.0</v>
      </c>
      <c r="E1477" s="93">
        <v>-16730.0</v>
      </c>
      <c r="F1477" s="32"/>
      <c r="G1477" s="93">
        <v>-1260.64</v>
      </c>
      <c r="H1477" s="93">
        <v>5473.27</v>
      </c>
      <c r="I1477" s="32"/>
      <c r="J1477" s="93">
        <v>29168.32</v>
      </c>
      <c r="K1477" s="32"/>
      <c r="L1477" s="93">
        <v>-85.34</v>
      </c>
      <c r="M1477" s="32"/>
      <c r="N1477" s="32"/>
      <c r="O1477" s="93">
        <v>332522.48</v>
      </c>
      <c r="P1477" s="91">
        <f>IFERROR(__xludf.DUMMYFUNCTION("IFERROR(sum(FILTER($D:$N,$C:$C = $C1477,$A:$A &lt; $A1477,$B:$B = 12)),0) + sum($D1477:$N1477)"),332521.00999999995)</f>
        <v>332521.01</v>
      </c>
      <c r="Q1477" s="92">
        <f t="shared" si="1"/>
        <v>1.47</v>
      </c>
      <c r="R1477" s="91">
        <f t="array" ref="R1477">IFERROR(INDEX('Fund YTD Target Values'!$1:$1000, MATCH($C1477,'Fund YTD Target Values'!$A:$A,0), MATCH($A1477,'Fund YTD Target Values'!$1:$1,0)),0)</f>
        <v>392089.6861</v>
      </c>
      <c r="S1477" s="91">
        <f>IFERROR(__xludf.DUMMYFUNCTION("IFERROR(sum(FILTER('Fund Investment Data'!$V:$V, 'Fund Investment Data'!$C:$C = $C1477, 'Fund Investment Data'!$A:$A &lt; $A1477)),0) + IFERROR(sum(FILTER('Fund Investment Data'!$V:$V, 'Fund Investment Data'!$C:$C = $C1477, 'Fund Investment Data'!$A:$A = $A1"&amp;"477, 'Fund Investment Data'!$B:$B &lt;= $B1477)),0)"),317377.0)</f>
        <v>317377</v>
      </c>
      <c r="T1477" s="32"/>
      <c r="U1477" s="32"/>
      <c r="V1477" s="32">
        <f>IFERROR(__xludf.DUMMYFUNCTION("$D1477 - IFERROR(FILTER($D:$D,$C:$C = $C1477, $A:$A = $A1477, $B:$B = $B1477 - 1),0)"),0.0)</f>
        <v>0</v>
      </c>
      <c r="W1477" s="93">
        <f>IFERROR(__xludf.DUMMYFUNCTION("$E1477 - IFERROR(FILTER($E:$E,$C:$C = $C1477, $A:$A = $A1477, $B:$B = $B1477 - 1),0)"),-730.0)</f>
        <v>-730</v>
      </c>
      <c r="X1477" s="91">
        <f>IFERROR(__xludf.DUMMYFUNCTION("iFERROR((FILTER('Fund Investment Data'!$Z:$Z, 'Fund Investment Data'!$C:$C = $C1477, 'Fund Investment Data'!$A:$A = $A1477 - 1, 'Fund Investment Data'!$B:$B = 12) + FILTER('Fund Investment Data'!$AB:$AB, 'Fund Investment Data'!$C:$C = $C1477, 'Fund Invest"&amp;"ment Data'!$A:$A = $A1477 - 1, 'Fund Investment Data'!$B:$B = 12)) * (1 + AVERAGE(FILTER('Inflation Data'!$C:$C,'Inflation Data'!$A:$A = ($A1477 - 2)))) * Parameters!$A$4,0)"),11342.657736026731)</f>
        <v>11342.65774</v>
      </c>
      <c r="Y1477" s="91">
        <f>IFERROR(__xludf.DUMMYFUNCTION("IFERROR((IFERROR(FILTER('Fund Investment Data'!$P:$P,'Fund Investment Data'!$C:$C = $C1477,'Fund Investment Data'!$A:$A = ($A1477 - 2), 'Fund Investment Data'!$B:$B = 12),0) - SUM(FILTER('Fund Investment Data'!$V:$V, 'Fund Investment Data'!$C:$C = $C1477,"&amp;" 'Fund Investment Data'!$A:$A = ($A1477 - 2), 'Fund Investment Data'!$B:$B &gt; 3)))  * Parameters!$B$4 * (1 - Parameters!$A$4),0)"),4477.69296)</f>
        <v>4477.69296</v>
      </c>
      <c r="Z1477" s="91">
        <f t="shared" si="24"/>
        <v>15820.3507</v>
      </c>
      <c r="AA1477" s="91">
        <f>IFERROR(__xludf.DUMMYFUNCTION("((IFERROR((SUM(FILTER('Fund Investment Data'!$V:$V, 'Fund Investment Data'!$C:$C = $C1477, 'Fund Investment Data'!$A:$A = $A1477 - 1, 'Fund Investment Data'!$B:$B &gt;= 4, 'Fund Investment Data'!$B:$B &lt;= ($B1477 + 5))) / 12) * ($B1477 - 3) * Parameters!$B$4,"&amp;" 0) + IF($B1477 &gt;= 9, IFERROR(SUM(FILTER('Fund Investment Data'!$V:$V, 'Fund Investment Data'!$C:$C = $C1477, 'Fund Investment Data'!$A:$A = $A1477, 'Fund Investment Data'!$B:$B &lt;= 3)) * Parameters!$B$4, 0),0)))"),0.0)</f>
        <v>0</v>
      </c>
      <c r="AB1477" s="32">
        <f>IFERROR(__xludf.DUMMYFUNCTION("IFERROR(((IFERROR(SUM(FILTER('Fund Investment Data'!$V:$V, 'Fund Investment Data'!$C:$C = $C1477, 'Fund Investment Data'!$A:$A = $A1477 - 2, 'Fund Investment Data'!$B:$B &gt;= 4)) * Parameters!$B$4,0) + IFERROR(SUM(FILTER('Fund Investment Data'!$V:$V, 'Fund "&amp;"Investment Data'!$C:$C = $C1477, 'Fund Investment Data'!$A:$A = $A1477 - 1, 'Fund Investment Data'!$B:$B &lt;= 3)) * Parameters!$B$4,0))),0)"),829.755)</f>
        <v>829.755</v>
      </c>
      <c r="AC1477" s="32">
        <f>IFERROR(__xludf.DUMMYFUNCTION("IFERROR(FILTER($AF:$AF,$C:$C = $C1477,$A:$A = $A1477 - 1,$B:$B = 12),0)"),0.0)</f>
        <v>0</v>
      </c>
      <c r="AD1477" s="32">
        <f t="shared" si="23"/>
        <v>16650.1057</v>
      </c>
      <c r="AE1477" s="32">
        <f t="shared" si="2"/>
        <v>-79.89430397</v>
      </c>
      <c r="AF1477" s="32"/>
    </row>
    <row r="1478">
      <c r="A1478" s="86">
        <v>2019.0</v>
      </c>
      <c r="B1478" s="87">
        <v>8.0</v>
      </c>
      <c r="C1478" s="88" t="s">
        <v>27</v>
      </c>
      <c r="D1478" s="32"/>
      <c r="E1478" s="93">
        <v>-14089.0</v>
      </c>
      <c r="F1478" s="32"/>
      <c r="G1478" s="93">
        <v>-1087.99</v>
      </c>
      <c r="H1478" s="93">
        <v>4730.47</v>
      </c>
      <c r="I1478" s="93">
        <v>3403.93</v>
      </c>
      <c r="J1478" s="93">
        <v>22062.31</v>
      </c>
      <c r="K1478" s="32"/>
      <c r="L1478" s="32"/>
      <c r="M1478" s="32"/>
      <c r="N1478" s="32"/>
      <c r="O1478" s="93">
        <v>285903.19</v>
      </c>
      <c r="P1478" s="91">
        <f>IFERROR(__xludf.DUMMYFUNCTION("IFERROR(sum(FILTER($D:$N,$C:$C = $C1478,$A:$A &lt; $A1478,$B:$B = 12)),0) + sum($D1478:$N1478)"),285903.53)</f>
        <v>285903.53</v>
      </c>
      <c r="Q1478" s="92">
        <f t="shared" si="1"/>
        <v>-0.34</v>
      </c>
      <c r="R1478" s="91">
        <f t="array" ref="R1478">IFERROR(INDEX('Fund YTD Target Values'!$1:$1000, MATCH($C1478,'Fund YTD Target Values'!$A:$A,0), MATCH($A1478,'Fund YTD Target Values'!$1:$1,0)),0)</f>
        <v>400423.4941</v>
      </c>
      <c r="S1478" s="91">
        <f>IFERROR(__xludf.DUMMYFUNCTION("IFERROR(sum(FILTER('Fund Investment Data'!$V:$V, 'Fund Investment Data'!$C:$C = $C1478, 'Fund Investment Data'!$A:$A &lt; $A1478)),0) + IFERROR(sum(FILTER('Fund Investment Data'!$V:$V, 'Fund Investment Data'!$C:$C = $C1478, 'Fund Investment Data'!$A:$A = $A1"&amp;"478, 'Fund Investment Data'!$B:$B &lt;= $B1478)),0)"),276213.69999999995)</f>
        <v>276213.7</v>
      </c>
      <c r="T1478" s="32"/>
      <c r="U1478" s="32"/>
      <c r="V1478" s="32">
        <f>IFERROR(__xludf.DUMMYFUNCTION("$D1478 - IFERROR(FILTER($D:$D,$C:$C = $C1478, $A:$A = $A1478, $B:$B = $B1478 - 1),0)"),0.0)</f>
        <v>0</v>
      </c>
      <c r="W1478" s="93">
        <f>IFERROR(__xludf.DUMMYFUNCTION("$E1478 - IFERROR(FILTER($E:$E,$C:$C = $C1478, $A:$A = $A1478, $B:$B = $B1478 - 1),0)"),-89.0)</f>
        <v>-89</v>
      </c>
      <c r="X1478" s="91">
        <f>IFERROR(__xludf.DUMMYFUNCTION("iFERROR((FILTER('Fund Investment Data'!$Z:$Z, 'Fund Investment Data'!$C:$C = $C1478, 'Fund Investment Data'!$A:$A = $A1478 - 1, 'Fund Investment Data'!$B:$B = 12) + FILTER('Fund Investment Data'!$AB:$AB, 'Fund Investment Data'!$C:$C = $C1478, 'Fund Invest"&amp;"ment Data'!$A:$A = $A1478 - 1, 'Fund Investment Data'!$B:$B = 12)) * (1 + AVERAGE(FILTER('Inflation Data'!$C:$C,'Inflation Data'!$A:$A = ($A1478 - 2)))) * Parameters!$A$4,0)"),9924.42530607715)</f>
        <v>9924.425306</v>
      </c>
      <c r="Y1478" s="91">
        <f>IFERROR(__xludf.DUMMYFUNCTION("IFERROR((IFERROR(FILTER('Fund Investment Data'!$P:$P,'Fund Investment Data'!$C:$C = $C1478,'Fund Investment Data'!$A:$A = ($A1478 - 2), 'Fund Investment Data'!$B:$B = 12),0) - SUM(FILTER('Fund Investment Data'!$V:$V, 'Fund Investment Data'!$C:$C = $C1478,"&amp;" 'Fund Investment Data'!$A:$A = ($A1478 - 2), 'Fund Investment Data'!$B:$B &gt; 3)))  * Parameters!$B$4 * (1 - Parameters!$A$4),0)"),4164.5529000000015)</f>
        <v>4164.5529</v>
      </c>
      <c r="Z1478" s="91">
        <f t="shared" si="24"/>
        <v>14088.97821</v>
      </c>
      <c r="AA1478" s="91">
        <f>IFERROR(__xludf.DUMMYFUNCTION("((IFERROR((SUM(FILTER('Fund Investment Data'!$V:$V, 'Fund Investment Data'!$C:$C = $C1478, 'Fund Investment Data'!$A:$A = $A1478 - 1, 'Fund Investment Data'!$B:$B &gt;= 4, 'Fund Investment Data'!$B:$B &lt;= ($B1478 + 5))) / 12) * ($B1478 - 3) * Parameters!$B$4,"&amp;" 0) + IF($B1478 &gt;= 9, IFERROR(SUM(FILTER('Fund Investment Data'!$V:$V, 'Fund Investment Data'!$C:$C = $C1478, 'Fund Investment Data'!$A:$A = $A1478, 'Fund Investment Data'!$B:$B &lt;= 3)) * Parameters!$B$4, 0),0)))"),0.0)</f>
        <v>0</v>
      </c>
      <c r="AB1478" s="32">
        <f>IFERROR(__xludf.DUMMYFUNCTION("IFERROR(((IFERROR(SUM(FILTER('Fund Investment Data'!$V:$V, 'Fund Investment Data'!$C:$C = $C1478, 'Fund Investment Data'!$A:$A = $A1478 - 2, 'Fund Investment Data'!$B:$B &gt;= 4)) * Parameters!$B$4,0) + IFERROR(SUM(FILTER('Fund Investment Data'!$V:$V, 'Fund "&amp;"Investment Data'!$C:$C = $C1478, 'Fund Investment Data'!$A:$A = $A1478 - 1, 'Fund Investment Data'!$B:$B &lt;= 3)) * Parameters!$B$4,0))),0)"),0.0)</f>
        <v>0</v>
      </c>
      <c r="AC1478" s="32">
        <f>IFERROR(__xludf.DUMMYFUNCTION("IFERROR(FILTER($AF:$AF,$C:$C = $C1478,$A:$A = $A1478 - 1,$B:$B = 12),0)"),0.0)</f>
        <v>0</v>
      </c>
      <c r="AD1478" s="32">
        <f t="shared" si="23"/>
        <v>14088.97821</v>
      </c>
      <c r="AE1478" s="32">
        <f t="shared" si="2"/>
        <v>-0.02179392285</v>
      </c>
      <c r="AF1478" s="32"/>
    </row>
    <row r="1479">
      <c r="A1479" s="101">
        <v>2019.0</v>
      </c>
      <c r="B1479" s="102">
        <v>8.0</v>
      </c>
      <c r="C1479" s="88" t="s">
        <v>28</v>
      </c>
      <c r="D1479" s="32"/>
      <c r="E1479" s="93">
        <v>-151137.0</v>
      </c>
      <c r="F1479" s="32"/>
      <c r="G1479" s="93">
        <v>-11596.63</v>
      </c>
      <c r="H1479" s="93">
        <v>50467.88</v>
      </c>
      <c r="I1479" s="93">
        <v>36842.32</v>
      </c>
      <c r="J1479" s="93">
        <v>236800.14</v>
      </c>
      <c r="K1479" s="32"/>
      <c r="L1479" s="32"/>
      <c r="M1479" s="32"/>
      <c r="N1479" s="32"/>
      <c r="O1479" s="93">
        <v>3063617.08</v>
      </c>
      <c r="P1479" s="91">
        <f>IFERROR(__xludf.DUMMYFUNCTION("IFERROR(sum(FILTER($D:$N,$C:$C = $C1479,$A:$A &lt; $A1479,$B:$B = 12)),0) + sum($D1479:$N1479)"),3063616.15)</f>
        <v>3063616.15</v>
      </c>
      <c r="Q1479" s="92">
        <f t="shared" si="1"/>
        <v>0.9300000002</v>
      </c>
      <c r="R1479" s="91">
        <f t="array" ref="R1479">IFERROR(INDEX('Fund YTD Target Values'!$1:$1000, MATCH($C1479,'Fund YTD Target Values'!$A:$A,0), MATCH($A1479,'Fund YTD Target Values'!$1:$1,0)),0)</f>
        <v>3910070.897</v>
      </c>
      <c r="S1479" s="91">
        <f>IFERROR(__xludf.DUMMYFUNCTION("IFERROR(sum(FILTER('Fund Investment Data'!$V:$V, 'Fund Investment Data'!$C:$C = $C1479, 'Fund Investment Data'!$A:$A &lt; $A1479)),0) + IFERROR(sum(FILTER('Fund Investment Data'!$V:$V, 'Fund Investment Data'!$C:$C = $C1479, 'Fund Investment Data'!$A:$A = $A1"&amp;"479, 'Fund Investment Data'!$B:$B &lt;= $B1479)),0)"),2960091.25)</f>
        <v>2960091.25</v>
      </c>
      <c r="T1479" s="32"/>
      <c r="U1479" s="32"/>
      <c r="V1479" s="32">
        <f>IFERROR(__xludf.DUMMYFUNCTION("$D1479 - IFERROR(FILTER($D:$D,$C:$C = $C1479, $A:$A = $A1479, $B:$B = $B1479 - 1),0)"),0.0)</f>
        <v>0</v>
      </c>
      <c r="W1479" s="93">
        <f>IFERROR(__xludf.DUMMYFUNCTION("$E1479 - IFERROR(FILTER($E:$E,$C:$C = $C1479, $A:$A = $A1479, $B:$B = $B1479 - 1),0)"),-637.0)</f>
        <v>-637</v>
      </c>
      <c r="X1479" s="91">
        <f>IFERROR(__xludf.DUMMYFUNCTION("iFERROR((FILTER('Fund Investment Data'!$Z:$Z, 'Fund Investment Data'!$C:$C = $C1479, 'Fund Investment Data'!$A:$A = $A1479 - 1, 'Fund Investment Data'!$B:$B = 12) + FILTER('Fund Investment Data'!$AB:$AB, 'Fund Investment Data'!$C:$C = $C1479, 'Fund Invest"&amp;"ment Data'!$A:$A = $A1479 - 1, 'Fund Investment Data'!$B:$B = 12)) * (1 + AVERAGE(FILTER('Inflation Data'!$C:$C,'Inflation Data'!$A:$A = ($A1479 - 2)))) * Parameters!$A$4,0)"),106462.6298445185)</f>
        <v>106462.6298</v>
      </c>
      <c r="Y1479" s="91">
        <f>IFERROR(__xludf.DUMMYFUNCTION("IFERROR((IFERROR(FILTER('Fund Investment Data'!$P:$P,'Fund Investment Data'!$C:$C = $C1479,'Fund Investment Data'!$A:$A = ($A1479 - 2), 'Fund Investment Data'!$B:$B = 12),0) - SUM(FILTER('Fund Investment Data'!$V:$V, 'Fund Investment Data'!$C:$C = $C1479,"&amp;" 'Fund Investment Data'!$A:$A = ($A1479 - 2), 'Fund Investment Data'!$B:$B &gt; 3)))  * Parameters!$B$4 * (1 - Parameters!$A$4),0)"),44674.55194500001)</f>
        <v>44674.55195</v>
      </c>
      <c r="Z1479" s="91">
        <f t="shared" si="24"/>
        <v>151137.1818</v>
      </c>
      <c r="AA1479" s="91">
        <f>IFERROR(__xludf.DUMMYFUNCTION("((IFERROR((SUM(FILTER('Fund Investment Data'!$V:$V, 'Fund Investment Data'!$C:$C = $C1479, 'Fund Investment Data'!$A:$A = $A1479 - 1, 'Fund Investment Data'!$B:$B &gt;= 4, 'Fund Investment Data'!$B:$B &lt;= ($B1479 + 5))) / 12) * ($B1479 - 3) * Parameters!$B$4,"&amp;" 0) + IF($B1479 &gt;= 9, IFERROR(SUM(FILTER('Fund Investment Data'!$V:$V, 'Fund Investment Data'!$C:$C = $C1479, 'Fund Investment Data'!$A:$A = $A1479, 'Fund Investment Data'!$B:$B &lt;= 3)) * Parameters!$B$4, 0),0)))"),0.0)</f>
        <v>0</v>
      </c>
      <c r="AB1479" s="32">
        <f>IFERROR(__xludf.DUMMYFUNCTION("IFERROR(((IFERROR(SUM(FILTER('Fund Investment Data'!$V:$V, 'Fund Investment Data'!$C:$C = $C1479, 'Fund Investment Data'!$A:$A = $A1479 - 2, 'Fund Investment Data'!$B:$B &gt;= 4)) * Parameters!$B$4,0) + IFERROR(SUM(FILTER('Fund Investment Data'!$V:$V, 'Fund "&amp;"Investment Data'!$C:$C = $C1479, 'Fund Investment Data'!$A:$A = $A1479 - 1, 'Fund Investment Data'!$B:$B &lt;= 3)) * Parameters!$B$4,0))),0)"),0.0)</f>
        <v>0</v>
      </c>
      <c r="AC1479" s="32">
        <f>IFERROR(__xludf.DUMMYFUNCTION("IFERROR(FILTER($AF:$AF,$C:$C = $C1479,$A:$A = $A1479 - 1,$B:$B = 12),0)"),0.0)</f>
        <v>0</v>
      </c>
      <c r="AD1479" s="32">
        <f t="shared" si="23"/>
        <v>151137.1818</v>
      </c>
      <c r="AE1479" s="32">
        <f t="shared" si="2"/>
        <v>0.1817895185</v>
      </c>
      <c r="AF1479" s="32"/>
    </row>
    <row r="1480">
      <c r="A1480" s="101">
        <v>2019.0</v>
      </c>
      <c r="B1480" s="102">
        <v>8.0</v>
      </c>
      <c r="C1480" s="88" t="s">
        <v>46</v>
      </c>
      <c r="D1480" s="32"/>
      <c r="E1480" s="93">
        <v>-17972.0</v>
      </c>
      <c r="F1480" s="32"/>
      <c r="G1480" s="93">
        <v>-1332.9</v>
      </c>
      <c r="H1480" s="93">
        <v>5811.35</v>
      </c>
      <c r="I1480" s="93">
        <v>4377.36</v>
      </c>
      <c r="J1480" s="93">
        <v>27123.55</v>
      </c>
      <c r="K1480" s="32"/>
      <c r="L1480" s="32"/>
      <c r="M1480" s="32"/>
      <c r="N1480" s="32"/>
      <c r="O1480" s="93">
        <v>352798.32</v>
      </c>
      <c r="P1480" s="91">
        <f>IFERROR(__xludf.DUMMYFUNCTION("IFERROR(sum(FILTER($D:$N,$C:$C = $C1480,$A:$A &lt; $A1480,$B:$B = 12)),0) + sum($D1480:$N1480)"),352798.74)</f>
        <v>352798.74</v>
      </c>
      <c r="Q1480" s="92">
        <f t="shared" si="1"/>
        <v>-0.42</v>
      </c>
      <c r="R1480" s="91">
        <f t="array" ref="R1480">IFERROR(INDEX('Fund YTD Target Values'!$1:$1000, MATCH($C1480,'Fund YTD Target Values'!$A:$A,0), MATCH($A1480,'Fund YTD Target Values'!$1:$1,0)),0)</f>
        <v>464818.8536</v>
      </c>
      <c r="S1480" s="91">
        <f>IFERROR(__xludf.DUMMYFUNCTION("IFERROR(sum(FILTER('Fund Investment Data'!$V:$V, 'Fund Investment Data'!$C:$C = $C1480, 'Fund Investment Data'!$A:$A &lt; $A1480)),0) + IFERROR(sum(FILTER('Fund Investment Data'!$V:$V, 'Fund Investment Data'!$C:$C = $C1480, 'Fund Investment Data'!$A:$A = $A1"&amp;"480, 'Fund Investment Data'!$B:$B &lt;= $B1480)),0)"),366400.0)</f>
        <v>366400</v>
      </c>
      <c r="T1480" s="32"/>
      <c r="U1480" s="32"/>
      <c r="V1480" s="32">
        <f>IFERROR(__xludf.DUMMYFUNCTION("$D1480 - IFERROR(FILTER($D:$D,$C:$C = $C1480, $A:$A = $A1480, $B:$B = $B1480 - 1),0)"),0.0)</f>
        <v>0</v>
      </c>
      <c r="W1480" s="93">
        <f>IFERROR(__xludf.DUMMYFUNCTION("$E1480 - IFERROR(FILTER($E:$E,$C:$C = $C1480, $A:$A = $A1480, $B:$B = $B1480 - 1),0)"),-2972.0)</f>
        <v>-2972</v>
      </c>
      <c r="X1480" s="91">
        <f>IFERROR(__xludf.DUMMYFUNCTION("iFERROR((FILTER('Fund Investment Data'!$Z:$Z, 'Fund Investment Data'!$C:$C = $C1480, 'Fund Investment Data'!$A:$A = $A1480 - 1, 'Fund Investment Data'!$B:$B = 12) + FILTER('Fund Investment Data'!$AB:$AB, 'Fund Investment Data'!$C:$C = $C1480, 'Fund Invest"&amp;"ment Data'!$A:$A = $A1480 - 1, 'Fund Investment Data'!$B:$B = 12)) * (1 + AVERAGE(FILTER('Inflation Data'!$C:$C,'Inflation Data'!$A:$A = ($A1480 - 2)))) * Parameters!$A$4,0)"),12659.715432364716)</f>
        <v>12659.71543</v>
      </c>
      <c r="Y1480" s="91">
        <f>IFERROR(__xludf.DUMMYFUNCTION("IFERROR((IFERROR(FILTER('Fund Investment Data'!$P:$P,'Fund Investment Data'!$C:$C = $C1480,'Fund Investment Data'!$A:$A = ($A1480 - 2), 'Fund Investment Data'!$B:$B = 12),0) - SUM(FILTER('Fund Investment Data'!$V:$V, 'Fund Investment Data'!$C:$C = $C1480,"&amp;" 'Fund Investment Data'!$A:$A = ($A1480 - 2), 'Fund Investment Data'!$B:$B &gt; 3)))  * Parameters!$B$4 * (1 - Parameters!$A$4),0)"),5312.3534100000015)</f>
        <v>5312.35341</v>
      </c>
      <c r="Z1480" s="91">
        <f t="shared" si="24"/>
        <v>17972.06884</v>
      </c>
      <c r="AA1480" s="91">
        <f>IFERROR(__xludf.DUMMYFUNCTION("((IFERROR((SUM(FILTER('Fund Investment Data'!$V:$V, 'Fund Investment Data'!$C:$C = $C1480, 'Fund Investment Data'!$A:$A = $A1480 - 1, 'Fund Investment Data'!$B:$B &gt;= 4, 'Fund Investment Data'!$B:$B &lt;= ($B1480 + 5))) / 12) * ($B1480 - 3) * Parameters!$B$4,"&amp;" 0) + IF($B1480 &gt;= 9, IFERROR(SUM(FILTER('Fund Investment Data'!$V:$V, 'Fund Investment Data'!$C:$C = $C1480, 'Fund Investment Data'!$A:$A = $A1480, 'Fund Investment Data'!$B:$B &lt;= 3)) * Parameters!$B$4, 0),0)))"),0.0)</f>
        <v>0</v>
      </c>
      <c r="AB1480" s="32">
        <f>IFERROR(__xludf.DUMMYFUNCTION("IFERROR(((IFERROR(SUM(FILTER('Fund Investment Data'!$V:$V, 'Fund Investment Data'!$C:$C = $C1480, 'Fund Investment Data'!$A:$A = $A1480 - 2, 'Fund Investment Data'!$B:$B &gt;= 4)) * Parameters!$B$4,0) + IFERROR(SUM(FILTER('Fund Investment Data'!$V:$V, 'Fund "&amp;"Investment Data'!$C:$C = $C1480, 'Fund Investment Data'!$A:$A = $A1480 - 1, 'Fund Investment Data'!$B:$B &lt;= 3)) * Parameters!$B$4,0))),0)"),0.0)</f>
        <v>0</v>
      </c>
      <c r="AC1480" s="32">
        <f>IFERROR(__xludf.DUMMYFUNCTION("IFERROR(FILTER($AF:$AF,$C:$C = $C1480,$A:$A = $A1480 - 1,$B:$B = 12),0)"),0.0)</f>
        <v>0</v>
      </c>
      <c r="AD1480" s="32">
        <f t="shared" si="23"/>
        <v>17972.06884</v>
      </c>
      <c r="AE1480" s="32">
        <f t="shared" si="2"/>
        <v>0.06884236472</v>
      </c>
      <c r="AF1480" s="32"/>
    </row>
    <row r="1481">
      <c r="A1481" s="101">
        <v>2019.0</v>
      </c>
      <c r="B1481" s="102">
        <v>8.0</v>
      </c>
      <c r="C1481" s="88" t="s">
        <v>36</v>
      </c>
      <c r="D1481" s="32"/>
      <c r="E1481" s="93">
        <v>-20587.0</v>
      </c>
      <c r="F1481" s="32"/>
      <c r="G1481" s="93">
        <v>-1568.42</v>
      </c>
      <c r="H1481" s="93">
        <v>6830.98</v>
      </c>
      <c r="I1481" s="93">
        <v>4822.06</v>
      </c>
      <c r="J1481" s="93">
        <v>32185.5</v>
      </c>
      <c r="K1481" s="32"/>
      <c r="L1481" s="32"/>
      <c r="M1481" s="32"/>
      <c r="N1481" s="32"/>
      <c r="O1481" s="93">
        <v>415614.31</v>
      </c>
      <c r="P1481" s="91">
        <f>IFERROR(__xludf.DUMMYFUNCTION("IFERROR(sum(FILTER($D:$N,$C:$C = $C1481,$A:$A &lt; $A1481,$B:$B = 12)),0) + sum($D1481:$N1481)"),415613.86)</f>
        <v>415613.86</v>
      </c>
      <c r="Q1481" s="92">
        <f t="shared" si="1"/>
        <v>0.45</v>
      </c>
      <c r="R1481" s="91">
        <f t="array" ref="R1481">IFERROR(INDEX('Fund YTD Target Values'!$1:$1000, MATCH($C1481,'Fund YTD Target Values'!$A:$A,0), MATCH($A1481,'Fund YTD Target Values'!$1:$1,0)),0)</f>
        <v>647000.627</v>
      </c>
      <c r="S1481" s="91">
        <f>IFERROR(__xludf.DUMMYFUNCTION("IFERROR(sum(FILTER('Fund Investment Data'!$V:$V, 'Fund Investment Data'!$C:$C = $C1481, 'Fund Investment Data'!$A:$A &lt; $A1481)),0) + IFERROR(sum(FILTER('Fund Investment Data'!$V:$V, 'Fund Investment Data'!$C:$C = $C1481, 'Fund Investment Data'!$A:$A = $A1"&amp;"481, 'Fund Investment Data'!$B:$B &lt;= $B1481)),0)"),429067.24)</f>
        <v>429067.24</v>
      </c>
      <c r="T1481" s="32"/>
      <c r="U1481" s="32"/>
      <c r="V1481" s="32">
        <f>IFERROR(__xludf.DUMMYFUNCTION("$D1481 - IFERROR(FILTER($D:$D,$C:$C = $C1481, $A:$A = $A1481, $B:$B = $B1481 - 1),0)"),0.0)</f>
        <v>0</v>
      </c>
      <c r="W1481" s="93">
        <f>IFERROR(__xludf.DUMMYFUNCTION("$E1481 - IFERROR(FILTER($E:$E,$C:$C = $C1481, $A:$A = $A1481, $B:$B = $B1481 - 1),0)"),-587.0)</f>
        <v>-587</v>
      </c>
      <c r="X1481" s="91">
        <f>IFERROR(__xludf.DUMMYFUNCTION("iFERROR((FILTER('Fund Investment Data'!$Z:$Z, 'Fund Investment Data'!$C:$C = $C1481, 'Fund Investment Data'!$A:$A = $A1481 - 1, 'Fund Investment Data'!$B:$B = 12) + FILTER('Fund Investment Data'!$AB:$AB, 'Fund Investment Data'!$C:$C = $C1481, 'Fund Invest"&amp;"ment Data'!$A:$A = $A1481 - 1, 'Fund Investment Data'!$B:$B = 12)) * (1 + AVERAGE(FILTER('Inflation Data'!$C:$C,'Inflation Data'!$A:$A = ($A1481 - 2)))) * Parameters!$A$4,0)"),14501.42849435059)</f>
        <v>14501.42849</v>
      </c>
      <c r="Y1481" s="91">
        <f>IFERROR(__xludf.DUMMYFUNCTION("IFERROR((IFERROR(FILTER('Fund Investment Data'!$P:$P,'Fund Investment Data'!$C:$C = $C1481,'Fund Investment Data'!$A:$A = ($A1481 - 2), 'Fund Investment Data'!$B:$B = 12),0) - SUM(FILTER('Fund Investment Data'!$V:$V, 'Fund Investment Data'!$C:$C = $C1481,"&amp;" 'Fund Investment Data'!$A:$A = ($A1481 - 2), 'Fund Investment Data'!$B:$B &gt; 3)))  * Parameters!$B$4 * (1 - Parameters!$A$4),0)"),6085.1852100000015)</f>
        <v>6085.18521</v>
      </c>
      <c r="Z1481" s="91">
        <f t="shared" si="24"/>
        <v>20586.6137</v>
      </c>
      <c r="AA1481" s="91">
        <f>IFERROR(__xludf.DUMMYFUNCTION("((IFERROR((SUM(FILTER('Fund Investment Data'!$V:$V, 'Fund Investment Data'!$C:$C = $C1481, 'Fund Investment Data'!$A:$A = $A1481 - 1, 'Fund Investment Data'!$B:$B &gt;= 4, 'Fund Investment Data'!$B:$B &lt;= ($B1481 + 5))) / 12) * ($B1481 - 3) * Parameters!$B$4,"&amp;" 0) + IF($B1481 &gt;= 9, IFERROR(SUM(FILTER('Fund Investment Data'!$V:$V, 'Fund Investment Data'!$C:$C = $C1481, 'Fund Investment Data'!$A:$A = $A1481, 'Fund Investment Data'!$B:$B &lt;= 3)) * Parameters!$B$4, 0),0)))"),0.0)</f>
        <v>0</v>
      </c>
      <c r="AB1481" s="32">
        <f>IFERROR(__xludf.DUMMYFUNCTION("IFERROR(((IFERROR(SUM(FILTER('Fund Investment Data'!$V:$V, 'Fund Investment Data'!$C:$C = $C1481, 'Fund Investment Data'!$A:$A = $A1481 - 2, 'Fund Investment Data'!$B:$B &gt;= 4)) * Parameters!$B$4,0) + IFERROR(SUM(FILTER('Fund Investment Data'!$V:$V, 'Fund "&amp;"Investment Data'!$C:$C = $C1481, 'Fund Investment Data'!$A:$A = $A1481 - 1, 'Fund Investment Data'!$B:$B &lt;= 3)) * Parameters!$B$4,0))),0)"),0.0)</f>
        <v>0</v>
      </c>
      <c r="AC1481" s="32">
        <f>IFERROR(__xludf.DUMMYFUNCTION("IFERROR(FILTER($AF:$AF,$C:$C = $C1481,$A:$A = $A1481 - 1,$B:$B = 12),0)"),0.0)</f>
        <v>0</v>
      </c>
      <c r="AD1481" s="32">
        <f t="shared" si="23"/>
        <v>20586.6137</v>
      </c>
      <c r="AE1481" s="32">
        <f t="shared" si="2"/>
        <v>-0.3862956494</v>
      </c>
      <c r="AF1481" s="32"/>
    </row>
    <row r="1482">
      <c r="A1482" s="86">
        <v>2019.0</v>
      </c>
      <c r="B1482" s="87">
        <v>8.0</v>
      </c>
      <c r="C1482" s="88" t="s">
        <v>37</v>
      </c>
      <c r="D1482" s="32"/>
      <c r="E1482" s="93">
        <v>-37603.0</v>
      </c>
      <c r="F1482" s="32"/>
      <c r="G1482" s="93">
        <v>-2890.18</v>
      </c>
      <c r="H1482" s="93">
        <v>12573.65</v>
      </c>
      <c r="I1482" s="93">
        <v>6859.8</v>
      </c>
      <c r="J1482" s="93">
        <v>61101.99</v>
      </c>
      <c r="K1482" s="32"/>
      <c r="L1482" s="32"/>
      <c r="M1482" s="32"/>
      <c r="N1482" s="32"/>
      <c r="O1482" s="93">
        <v>763056.37</v>
      </c>
      <c r="P1482" s="91">
        <f>IFERROR(__xludf.DUMMYFUNCTION("IFERROR(sum(FILTER($D:$N,$C:$C = $C1482,$A:$A &lt; $A1482,$B:$B = 12)),0) + sum($D1482:$N1482)"),763056.3699999999)</f>
        <v>763056.37</v>
      </c>
      <c r="Q1482" s="92">
        <f t="shared" si="1"/>
        <v>0.0000000001164153218</v>
      </c>
      <c r="R1482" s="91">
        <f t="array" ref="R1482">IFERROR(INDEX('Fund YTD Target Values'!$1:$1000, MATCH($C1482,'Fund YTD Target Values'!$A:$A,0), MATCH($A1482,'Fund YTD Target Values'!$1:$1,0)),0)</f>
        <v>860942.6464</v>
      </c>
      <c r="S1482" s="91">
        <f>IFERROR(__xludf.DUMMYFUNCTION("IFERROR(sum(FILTER('Fund Investment Data'!$V:$V, 'Fund Investment Data'!$C:$C = $C1482, 'Fund Investment Data'!$A:$A &lt; $A1482)),0) + IFERROR(sum(FILTER('Fund Investment Data'!$V:$V, 'Fund Investment Data'!$C:$C = $C1482, 'Fund Investment Data'!$A:$A = $A1"&amp;"482, 'Fund Investment Data'!$B:$B &lt;= $B1482)),0)"),758137.86)</f>
        <v>758137.86</v>
      </c>
      <c r="T1482" s="32"/>
      <c r="U1482" s="32"/>
      <c r="V1482" s="32">
        <f>IFERROR(__xludf.DUMMYFUNCTION("$D1482 - IFERROR(FILTER($D:$D,$C:$C = $C1482, $A:$A = $A1482, $B:$B = $B1482 - 1),0)"),0.0)</f>
        <v>0</v>
      </c>
      <c r="W1482" s="93">
        <f>IFERROR(__xludf.DUMMYFUNCTION("$E1482 - IFERROR(FILTER($E:$E,$C:$C = $C1482, $A:$A = $A1482, $B:$B = $B1482 - 1),0)"),-603.0)</f>
        <v>-603</v>
      </c>
      <c r="X1482" s="91">
        <f>IFERROR(__xludf.DUMMYFUNCTION("iFERROR((FILTER('Fund Investment Data'!$Z:$Z, 'Fund Investment Data'!$C:$C = $C1482, 'Fund Investment Data'!$A:$A = $A1482 - 1, 'Fund Investment Data'!$B:$B = 12) + FILTER('Fund Investment Data'!$AB:$AB, 'Fund Investment Data'!$C:$C = $C1482, 'Fund Invest"&amp;"ment Data'!$A:$A = $A1482 - 1, 'Fund Investment Data'!$B:$B = 12)) * (1 + AVERAGE(FILTER('Inflation Data'!$C:$C,'Inflation Data'!$A:$A = ($A1482 - 2)))) * Parameters!$A$4,0)"),26487.702642294462)</f>
        <v>26487.70264</v>
      </c>
      <c r="Y1482" s="91">
        <f>IFERROR(__xludf.DUMMYFUNCTION("IFERROR((IFERROR(FILTER('Fund Investment Data'!$P:$P,'Fund Investment Data'!$C:$C = $C1482,'Fund Investment Data'!$A:$A = ($A1482 - 2), 'Fund Investment Data'!$B:$B = 12),0) - SUM(FILTER('Fund Investment Data'!$V:$V, 'Fund Investment Data'!$C:$C = $C1482,"&amp;" 'Fund Investment Data'!$A:$A = ($A1482 - 2), 'Fund Investment Data'!$B:$B &gt; 3)))  * Parameters!$B$4 * (1 - Parameters!$A$4),0)"),11114.94474)</f>
        <v>11114.94474</v>
      </c>
      <c r="Z1482" s="91">
        <f t="shared" si="24"/>
        <v>37602.64738</v>
      </c>
      <c r="AA1482" s="91">
        <f>IFERROR(__xludf.DUMMYFUNCTION("((IFERROR((SUM(FILTER('Fund Investment Data'!$V:$V, 'Fund Investment Data'!$C:$C = $C1482, 'Fund Investment Data'!$A:$A = $A1482 - 1, 'Fund Investment Data'!$B:$B &gt;= 4, 'Fund Investment Data'!$B:$B &lt;= ($B1482 + 5))) / 12) * ($B1482 - 3) * Parameters!$B$4,"&amp;" 0) + IF($B1482 &gt;= 9, IFERROR(SUM(FILTER('Fund Investment Data'!$V:$V, 'Fund Investment Data'!$C:$C = $C1482, 'Fund Investment Data'!$A:$A = $A1482, 'Fund Investment Data'!$B:$B &lt;= 3)) * Parameters!$B$4, 0),0)))"),0.0)</f>
        <v>0</v>
      </c>
      <c r="AB1482" s="32">
        <f>IFERROR(__xludf.DUMMYFUNCTION("IFERROR(((IFERROR(SUM(FILTER('Fund Investment Data'!$V:$V, 'Fund Investment Data'!$C:$C = $C1482, 'Fund Investment Data'!$A:$A = $A1482 - 2, 'Fund Investment Data'!$B:$B &gt;= 4)) * Parameters!$B$4,0) + IFERROR(SUM(FILTER('Fund Investment Data'!$V:$V, 'Fund "&amp;"Investment Data'!$C:$C = $C1482, 'Fund Investment Data'!$A:$A = $A1482 - 1, 'Fund Investment Data'!$B:$B &lt;= 3)) * Parameters!$B$4,0))),0)"),0.0)</f>
        <v>0</v>
      </c>
      <c r="AC1482" s="32">
        <f>IFERROR(__xludf.DUMMYFUNCTION("IFERROR(FILTER($AF:$AF,$C:$C = $C1482,$A:$A = $A1482 - 1,$B:$B = 12),0)"),0.0)</f>
        <v>0</v>
      </c>
      <c r="AD1482" s="32">
        <f t="shared" si="23"/>
        <v>37602.64738</v>
      </c>
      <c r="AE1482" s="32">
        <f t="shared" si="2"/>
        <v>-0.3526177055</v>
      </c>
      <c r="AF1482" s="32"/>
    </row>
    <row r="1483">
      <c r="A1483" s="101">
        <v>2019.0</v>
      </c>
      <c r="B1483" s="102">
        <v>8.0</v>
      </c>
      <c r="C1483" s="88" t="s">
        <v>29</v>
      </c>
      <c r="D1483" s="32"/>
      <c r="E1483" s="93">
        <v>-2656.0</v>
      </c>
      <c r="F1483" s="32"/>
      <c r="G1483" s="93">
        <v>-215.73</v>
      </c>
      <c r="H1483" s="93">
        <v>937.91</v>
      </c>
      <c r="I1483" s="93">
        <v>355.19</v>
      </c>
      <c r="J1483" s="93">
        <v>4625.59</v>
      </c>
      <c r="K1483" s="32"/>
      <c r="L1483" s="32"/>
      <c r="M1483" s="32"/>
      <c r="N1483" s="32"/>
      <c r="O1483" s="93">
        <v>56774.32</v>
      </c>
      <c r="P1483" s="91">
        <f>IFERROR(__xludf.DUMMYFUNCTION("IFERROR(sum(FILTER($D:$N,$C:$C = $C1483,$A:$A &lt; $A1483,$B:$B = 12)),0) + sum($D1483:$N1483)"),56774.34999999992)</f>
        <v>56774.35</v>
      </c>
      <c r="Q1483" s="92">
        <f t="shared" si="1"/>
        <v>-0.02999999992</v>
      </c>
      <c r="R1483" s="91">
        <f t="array" ref="R1483">IFERROR(INDEX('Fund YTD Target Values'!$1:$1000, MATCH($C1483,'Fund YTD Target Values'!$A:$A,0), MATCH($A1483,'Fund YTD Target Values'!$1:$1,0)),0)</f>
        <v>78452.06886</v>
      </c>
      <c r="S1483" s="91">
        <f>IFERROR(__xludf.DUMMYFUNCTION("IFERROR(sum(FILTER('Fund Investment Data'!$V:$V, 'Fund Investment Data'!$C:$C = $C1483, 'Fund Investment Data'!$A:$A &lt; $A1483)),0) + IFERROR(sum(FILTER('Fund Investment Data'!$V:$V, 'Fund Investment Data'!$C:$C = $C1483, 'Fund Investment Data'!$A:$A = $A1"&amp;"483, 'Fund Investment Data'!$B:$B &lt;= $B1483)),0)"),50000.0)</f>
        <v>50000</v>
      </c>
      <c r="T1483" s="32"/>
      <c r="U1483" s="32"/>
      <c r="V1483" s="32">
        <f>IFERROR(__xludf.DUMMYFUNCTION("$D1483 - IFERROR(FILTER($D:$D,$C:$C = $C1483, $A:$A = $A1483, $B:$B = $B1483 - 1),0)"),0.0)</f>
        <v>0</v>
      </c>
      <c r="W1483" s="93">
        <f>IFERROR(__xludf.DUMMYFUNCTION("$E1483 - IFERROR(FILTER($E:$E,$C:$C = $C1483, $A:$A = $A1483, $B:$B = $B1483 - 1),0)"),-56.0)</f>
        <v>-56</v>
      </c>
      <c r="X1483" s="91">
        <f>IFERROR(__xludf.DUMMYFUNCTION("iFERROR((FILTER('Fund Investment Data'!$Z:$Z, 'Fund Investment Data'!$C:$C = $C1483, 'Fund Investment Data'!$A:$A = $A1483 - 1, 'Fund Investment Data'!$B:$B = 12) + FILTER('Fund Investment Data'!$AB:$AB, 'Fund Investment Data'!$C:$C = $C1483, 'Fund Invest"&amp;"ment Data'!$A:$A = $A1483 - 1, 'Fund Investment Data'!$B:$B = 12)) * (1 + AVERAGE(FILTER('Inflation Data'!$C:$C,'Inflation Data'!$A:$A = ($A1483 - 2)))) * Parameters!$A$4,0)"),1871.1341826828661)</f>
        <v>1871.134183</v>
      </c>
      <c r="Y1483" s="91">
        <f>IFERROR(__xludf.DUMMYFUNCTION("IFERROR((IFERROR(FILTER('Fund Investment Data'!$P:$P,'Fund Investment Data'!$C:$C = $C1483,'Fund Investment Data'!$A:$A = ($A1483 - 2), 'Fund Investment Data'!$B:$B = 12),0) - SUM(FILTER('Fund Investment Data'!$V:$V, 'Fund Investment Data'!$C:$C = $C1483,"&amp;" 'Fund Investment Data'!$A:$A = ($A1483 - 2), 'Fund Investment Data'!$B:$B &gt; 3)))  * Parameters!$B$4 * (1 - Parameters!$A$4),0)"),785.1776849999991)</f>
        <v>785.177685</v>
      </c>
      <c r="Z1483" s="91">
        <f t="shared" si="24"/>
        <v>2656.311868</v>
      </c>
      <c r="AA1483" s="91">
        <f>IFERROR(__xludf.DUMMYFUNCTION("((IFERROR((SUM(FILTER('Fund Investment Data'!$V:$V, 'Fund Investment Data'!$C:$C = $C1483, 'Fund Investment Data'!$A:$A = $A1483 - 1, 'Fund Investment Data'!$B:$B &gt;= 4, 'Fund Investment Data'!$B:$B &lt;= ($B1483 + 5))) / 12) * ($B1483 - 3) * Parameters!$B$4,"&amp;" 0) + IF($B1483 &gt;= 9, IFERROR(SUM(FILTER('Fund Investment Data'!$V:$V, 'Fund Investment Data'!$C:$C = $C1483, 'Fund Investment Data'!$A:$A = $A1483, 'Fund Investment Data'!$B:$B &lt;= 3)) * Parameters!$B$4, 0),0)))"),0.0)</f>
        <v>0</v>
      </c>
      <c r="AB1483" s="32">
        <f>IFERROR(__xludf.DUMMYFUNCTION("IFERROR(((IFERROR(SUM(FILTER('Fund Investment Data'!$V:$V, 'Fund Investment Data'!$C:$C = $C1483, 'Fund Investment Data'!$A:$A = $A1483 - 2, 'Fund Investment Data'!$B:$B &gt;= 4)) * Parameters!$B$4,0) + IFERROR(SUM(FILTER('Fund Investment Data'!$V:$V, 'Fund "&amp;"Investment Data'!$C:$C = $C1483, 'Fund Investment Data'!$A:$A = $A1483 - 1, 'Fund Investment Data'!$B:$B &lt;= 3)) * Parameters!$B$4,0))),0)"),0.0)</f>
        <v>0</v>
      </c>
      <c r="AC1483" s="32">
        <f>IFERROR(__xludf.DUMMYFUNCTION("IFERROR(FILTER($AF:$AF,$C:$C = $C1483,$A:$A = $A1483 - 1,$B:$B = 12),0)"),0.0)</f>
        <v>0</v>
      </c>
      <c r="AD1483" s="32">
        <f t="shared" si="23"/>
        <v>2656.311868</v>
      </c>
      <c r="AE1483" s="32">
        <f t="shared" si="2"/>
        <v>0.3118676829</v>
      </c>
      <c r="AF1483" s="32"/>
    </row>
    <row r="1484">
      <c r="A1484" s="101">
        <v>2019.0</v>
      </c>
      <c r="B1484" s="102">
        <v>8.0</v>
      </c>
      <c r="C1484" s="88" t="s">
        <v>38</v>
      </c>
      <c r="D1484" s="32"/>
      <c r="E1484" s="93">
        <v>-1625.0</v>
      </c>
      <c r="F1484" s="32"/>
      <c r="G1484" s="93">
        <v>-2933.67</v>
      </c>
      <c r="H1484" s="93">
        <v>12736.97</v>
      </c>
      <c r="I1484" s="32"/>
      <c r="J1484" s="93">
        <v>68151.28</v>
      </c>
      <c r="K1484" s="32"/>
      <c r="L1484" s="32"/>
      <c r="M1484" s="32"/>
      <c r="N1484" s="32"/>
      <c r="O1484" s="93">
        <v>798140.78</v>
      </c>
      <c r="P1484" s="91">
        <f>IFERROR(__xludf.DUMMYFUNCTION("IFERROR(sum(FILTER($D:$N,$C:$C = $C1484,$A:$A &lt; $A1484,$B:$B = 12)),0) + sum($D1484:$N1484)"),798139.74)</f>
        <v>798139.74</v>
      </c>
      <c r="Q1484" s="92">
        <f t="shared" si="1"/>
        <v>1.04</v>
      </c>
      <c r="R1484" s="91">
        <f t="array" ref="R1484">IFERROR(INDEX('Fund YTD Target Values'!$1:$1000, MATCH($C1484,'Fund YTD Target Values'!$A:$A,0), MATCH($A1484,'Fund YTD Target Values'!$1:$1,0)),0)</f>
        <v>715243.4084</v>
      </c>
      <c r="S1484" s="91">
        <f>IFERROR(__xludf.DUMMYFUNCTION("IFERROR(sum(FILTER('Fund Investment Data'!$V:$V, 'Fund Investment Data'!$C:$C = $C1484, 'Fund Investment Data'!$A:$A &lt; $A1484)),0) + IFERROR(sum(FILTER('Fund Investment Data'!$V:$V, 'Fund Investment Data'!$C:$C = $C1484, 'Fund Investment Data'!$A:$A = $A1"&amp;"484, 'Fund Investment Data'!$B:$B &lt;= $B1484)),0)"),556601.64)</f>
        <v>556601.64</v>
      </c>
      <c r="T1484" s="32"/>
      <c r="U1484" s="32"/>
      <c r="V1484" s="32">
        <f>IFERROR(__xludf.DUMMYFUNCTION("$D1484 - IFERROR(FILTER($D:$D,$C:$C = $C1484, $A:$A = $A1484, $B:$B = $B1484 - 1),0)"),0.0)</f>
        <v>0</v>
      </c>
      <c r="W1484" s="93">
        <f>IFERROR(__xludf.DUMMYFUNCTION("$E1484 - IFERROR(FILTER($E:$E,$C:$C = $C1484, $A:$A = $A1484, $B:$B = $B1484 - 1),0)"),0.0)</f>
        <v>0</v>
      </c>
      <c r="X1484" s="91">
        <f>IFERROR(__xludf.DUMMYFUNCTION("iFERROR((FILTER('Fund Investment Data'!$Z:$Z, 'Fund Investment Data'!$C:$C = $C1484, 'Fund Investment Data'!$A:$A = $A1484 - 1, 'Fund Investment Data'!$B:$B = 12) + FILTER('Fund Investment Data'!$AB:$AB, 'Fund Investment Data'!$C:$C = $C1484, 'Fund Invest"&amp;"ment Data'!$A:$A = $A1484 - 1, 'Fund Investment Data'!$B:$B = 12)) * (1 + AVERAGE(FILTER('Inflation Data'!$C:$C,'Inflation Data'!$A:$A = ($A1484 - 2)))) * Parameters!$A$4,0)"),22062.02597097784)</f>
        <v>22062.02597</v>
      </c>
      <c r="Y1484" s="91">
        <f>IFERROR(__xludf.DUMMYFUNCTION("IFERROR((IFERROR(FILTER('Fund Investment Data'!$P:$P,'Fund Investment Data'!$C:$C = $C1484,'Fund Investment Data'!$A:$A = ($A1484 - 2), 'Fund Investment Data'!$B:$B = 12),0) - SUM(FILTER('Fund Investment Data'!$V:$V, 'Fund Investment Data'!$C:$C = $C1484,"&amp;" 'Fund Investment Data'!$A:$A = ($A1484 - 2), 'Fund Investment Data'!$B:$B &gt; 3)))  * Parameters!$B$4 * (1 - Parameters!$A$4),0)"),11008.00989)</f>
        <v>11008.00989</v>
      </c>
      <c r="Z1484" s="91">
        <f t="shared" si="24"/>
        <v>33070.03586</v>
      </c>
      <c r="AA1484" s="91">
        <f>IFERROR(__xludf.DUMMYFUNCTION("((IFERROR((SUM(FILTER('Fund Investment Data'!$V:$V, 'Fund Investment Data'!$C:$C = $C1484, 'Fund Investment Data'!$A:$A = $A1484 - 1, 'Fund Investment Data'!$B:$B &gt;= 4, 'Fund Investment Data'!$B:$B &lt;= ($B1484 + 5))) / 12) * ($B1484 - 3) * Parameters!$B$4,"&amp;" 0) + IF($B1484 &gt;= 9, IFERROR(SUM(FILTER('Fund Investment Data'!$V:$V, 'Fund Investment Data'!$C:$C = $C1484, 'Fund Investment Data'!$A:$A = $A1484, 'Fund Investment Data'!$B:$B &lt;= 3)) * Parameters!$B$4, 0),0)))"),0.0)</f>
        <v>0</v>
      </c>
      <c r="AB1484" s="32">
        <f>IFERROR(__xludf.DUMMYFUNCTION("IFERROR(((IFERROR(SUM(FILTER('Fund Investment Data'!$V:$V, 'Fund Investment Data'!$C:$C = $C1484, 'Fund Investment Data'!$A:$A = $A1484 - 2, 'Fund Investment Data'!$B:$B &gt;= 4)) * Parameters!$B$4,0) + IFERROR(SUM(FILTER('Fund Investment Data'!$V:$V, 'Fund "&amp;"Investment Data'!$C:$C = $C1484, 'Fund Investment Data'!$A:$A = $A1484 - 1, 'Fund Investment Data'!$B:$B &lt;= 3)) * Parameters!$B$4,0))),0)"),0.0)</f>
        <v>0</v>
      </c>
      <c r="AC1484" s="32">
        <f>IFERROR(__xludf.DUMMYFUNCTION("IFERROR(FILTER($AF:$AF,$C:$C = $C1484,$A:$A = $A1484 - 1,$B:$B = 12),0)"),0.0)</f>
        <v>0</v>
      </c>
      <c r="AD1484" s="32">
        <f t="shared" si="23"/>
        <v>33070.03586</v>
      </c>
      <c r="AE1484" s="32">
        <f t="shared" si="2"/>
        <v>31445.03586</v>
      </c>
      <c r="AF1484" s="32"/>
    </row>
    <row r="1485">
      <c r="A1485" s="86">
        <v>2019.0</v>
      </c>
      <c r="B1485" s="87">
        <v>8.0</v>
      </c>
      <c r="C1485" s="88" t="s">
        <v>30</v>
      </c>
      <c r="D1485" s="32"/>
      <c r="E1485" s="32"/>
      <c r="F1485" s="32"/>
      <c r="G1485" s="93">
        <v>-65.16</v>
      </c>
      <c r="H1485" s="93">
        <v>282.44</v>
      </c>
      <c r="I1485" s="32"/>
      <c r="J1485" s="93">
        <v>1488.21</v>
      </c>
      <c r="K1485" s="32"/>
      <c r="L1485" s="32"/>
      <c r="M1485" s="32"/>
      <c r="N1485" s="32"/>
      <c r="O1485" s="93">
        <v>17746.2</v>
      </c>
      <c r="P1485" s="91">
        <f>IFERROR(__xludf.DUMMYFUNCTION("IFERROR(sum(FILTER($D:$N,$C:$C = $C1485,$A:$A &lt; $A1485,$B:$B = 12)),0) + sum($D1485:$N1485)"),17744.569999999985)</f>
        <v>17744.57</v>
      </c>
      <c r="Q1485" s="92">
        <f t="shared" si="1"/>
        <v>1.63</v>
      </c>
      <c r="R1485" s="91">
        <f t="array" ref="R1485">IFERROR(INDEX('Fund YTD Target Values'!$1:$1000, MATCH($C1485,'Fund YTD Target Values'!$A:$A,0), MATCH($A1485,'Fund YTD Target Values'!$1:$1,0)),0)</f>
        <v>18819.48136</v>
      </c>
      <c r="S1485" s="91">
        <f>IFERROR(__xludf.DUMMYFUNCTION("IFERROR(sum(FILTER('Fund Investment Data'!$V:$V, 'Fund Investment Data'!$C:$C = $C1485, 'Fund Investment Data'!$A:$A &lt; $A1485)),0) + IFERROR(sum(FILTER('Fund Investment Data'!$V:$V, 'Fund Investment Data'!$C:$C = $C1485, 'Fund Investment Data'!$A:$A = $A1"&amp;"485, 'Fund Investment Data'!$B:$B &lt;= $B1485)),0)"),11540.75)</f>
        <v>11540.75</v>
      </c>
      <c r="T1485" s="32"/>
      <c r="U1485" s="32"/>
      <c r="V1485" s="32">
        <f>IFERROR(__xludf.DUMMYFUNCTION("$D1485 - IFERROR(FILTER($D:$D,$C:$C = $C1485, $A:$A = $A1485, $B:$B = $B1485 - 1),0)"),0.0)</f>
        <v>0</v>
      </c>
      <c r="W1485" s="93">
        <f>IFERROR(__xludf.DUMMYFUNCTION("$E1485 - IFERROR(FILTER($E:$E,$C:$C = $C1485, $A:$A = $A1485, $B:$B = $B1485 - 1),0)"),0.0)</f>
        <v>0</v>
      </c>
      <c r="X1485" s="91">
        <f>IFERROR(__xludf.DUMMYFUNCTION("iFERROR((FILTER('Fund Investment Data'!$Z:$Z, 'Fund Investment Data'!$C:$C = $C1485, 'Fund Investment Data'!$A:$A = $A1485 - 1, 'Fund Investment Data'!$B:$B = 12) + FILTER('Fund Investment Data'!$AB:$AB, 'Fund Investment Data'!$C:$C = $C1485, 'Fund Invest"&amp;"ment Data'!$A:$A = $A1485 - 1, 'Fund Investment Data'!$B:$B = 12)) * (1 + AVERAGE(FILTER('Inflation Data'!$C:$C,'Inflation Data'!$A:$A = ($A1485 - 2)))) * Parameters!$A$4,0)"),558.7349135648467)</f>
        <v>558.7349136</v>
      </c>
      <c r="Y1485" s="91">
        <f>IFERROR(__xludf.DUMMYFUNCTION("IFERROR((IFERROR(FILTER('Fund Investment Data'!$P:$P,'Fund Investment Data'!$C:$C = $C1485,'Fund Investment Data'!$A:$A = ($A1485 - 2), 'Fund Investment Data'!$B:$B = 12),0) - SUM(FILTER('Fund Investment Data'!$V:$V, 'Fund Investment Data'!$C:$C = $C1485,"&amp;" 'Fund Investment Data'!$A:$A = ($A1485 - 2), 'Fund Investment Data'!$B:$B &gt; 3)))  * Parameters!$B$4 * (1 - Parameters!$A$4),0)"),234.46003499999986)</f>
        <v>234.460035</v>
      </c>
      <c r="Z1485" s="91">
        <f t="shared" si="24"/>
        <v>793.1949486</v>
      </c>
      <c r="AA1485" s="91">
        <f>IFERROR(__xludf.DUMMYFUNCTION("((IFERROR((SUM(FILTER('Fund Investment Data'!$V:$V, 'Fund Investment Data'!$C:$C = $C1485, 'Fund Investment Data'!$A:$A = $A1485 - 1, 'Fund Investment Data'!$B:$B &gt;= 4, 'Fund Investment Data'!$B:$B &lt;= ($B1485 + 5))) / 12) * ($B1485 - 3) * Parameters!$B$4,"&amp;" 0) + IF($B1485 &gt;= 9, IFERROR(SUM(FILTER('Fund Investment Data'!$V:$V, 'Fund Investment Data'!$C:$C = $C1485, 'Fund Investment Data'!$A:$A = $A1485, 'Fund Investment Data'!$B:$B &lt;= 3)) * Parameters!$B$4, 0),0)))"),0.0)</f>
        <v>0</v>
      </c>
      <c r="AB1485" s="32">
        <f>IFERROR(__xludf.DUMMYFUNCTION("IFERROR(((IFERROR(SUM(FILTER('Fund Investment Data'!$V:$V, 'Fund Investment Data'!$C:$C = $C1485, 'Fund Investment Data'!$A:$A = $A1485 - 2, 'Fund Investment Data'!$B:$B &gt;= 4)) * Parameters!$B$4,0) + IFERROR(SUM(FILTER('Fund Investment Data'!$V:$V, 'Fund "&amp;"Investment Data'!$C:$C = $C1485, 'Fund Investment Data'!$A:$A = $A1485 - 1, 'Fund Investment Data'!$B:$B &lt;= 3)) * Parameters!$B$4,0))),0)"),0.0)</f>
        <v>0</v>
      </c>
      <c r="AC1485" s="32">
        <f>IFERROR(__xludf.DUMMYFUNCTION("IFERROR(FILTER($AF:$AF,$C:$C = $C1485,$A:$A = $A1485 - 1,$B:$B = 12),0)"),0.0)</f>
        <v>0</v>
      </c>
      <c r="AD1485" s="32">
        <f t="shared" si="23"/>
        <v>793.1949486</v>
      </c>
      <c r="AE1485" s="32">
        <f t="shared" si="2"/>
        <v>793.1949486</v>
      </c>
      <c r="AF1485" s="32"/>
    </row>
    <row r="1486">
      <c r="A1486" s="101">
        <v>2019.0</v>
      </c>
      <c r="B1486" s="102">
        <v>8.0</v>
      </c>
      <c r="C1486" s="88" t="s">
        <v>47</v>
      </c>
      <c r="D1486" s="32"/>
      <c r="E1486" s="93">
        <v>-69151.0</v>
      </c>
      <c r="F1486" s="32"/>
      <c r="G1486" s="93">
        <v>-5309.88</v>
      </c>
      <c r="H1486" s="93">
        <v>23151.76</v>
      </c>
      <c r="I1486" s="93">
        <v>17840.47</v>
      </c>
      <c r="J1486" s="93">
        <v>107709.81</v>
      </c>
      <c r="K1486" s="32"/>
      <c r="L1486" s="32"/>
      <c r="M1486" s="32"/>
      <c r="N1486" s="32"/>
      <c r="O1486" s="93">
        <v>1405539.47</v>
      </c>
      <c r="P1486" s="91">
        <f>IFERROR(__xludf.DUMMYFUNCTION("IFERROR(sum(FILTER($D:$N,$C:$C = $C1486,$A:$A &lt; $A1486,$B:$B = 12)),0) + sum($D1486:$N1486)"),1405539.1199999996)</f>
        <v>1405539.12</v>
      </c>
      <c r="Q1486" s="92">
        <f t="shared" si="1"/>
        <v>0.3500000003</v>
      </c>
      <c r="R1486" s="91">
        <f t="array" ref="R1486">IFERROR(INDEX('Fund YTD Target Values'!$1:$1000, MATCH($C1486,'Fund YTD Target Values'!$A:$A,0), MATCH($A1486,'Fund YTD Target Values'!$1:$1,0)),0)</f>
        <v>2034942.933</v>
      </c>
      <c r="S1486" s="91">
        <f>IFERROR(__xludf.DUMMYFUNCTION("IFERROR(sum(FILTER('Fund Investment Data'!$V:$V, 'Fund Investment Data'!$C:$C = $C1486, 'Fund Investment Data'!$A:$A &lt; $A1486)),0) + IFERROR(sum(FILTER('Fund Investment Data'!$V:$V, 'Fund Investment Data'!$C:$C = $C1486, 'Fund Investment Data'!$A:$A = $A1"&amp;"486, 'Fund Investment Data'!$B:$B &lt;= $B1486)),0)"),1456367.46)</f>
        <v>1456367.46</v>
      </c>
      <c r="T1486" s="32"/>
      <c r="U1486" s="32"/>
      <c r="V1486" s="32">
        <f>IFERROR(__xludf.DUMMYFUNCTION("$D1486 - IFERROR(FILTER($D:$D,$C:$C = $C1486, $A:$A = $A1486, $B:$B = $B1486 - 1),0)"),0.0)</f>
        <v>0</v>
      </c>
      <c r="W1486" s="93">
        <f>IFERROR(__xludf.DUMMYFUNCTION("$E1486 - IFERROR(FILTER($E:$E,$C:$C = $C1486, $A:$A = $A1486, $B:$B = $B1486 - 1),0)"),-151.0)</f>
        <v>-151</v>
      </c>
      <c r="X1486" s="91">
        <f>IFERROR(__xludf.DUMMYFUNCTION("iFERROR((FILTER('Fund Investment Data'!$Z:$Z, 'Fund Investment Data'!$C:$C = $C1486, 'Fund Investment Data'!$A:$A = $A1486 - 1, 'Fund Investment Data'!$B:$B = 12) + FILTER('Fund Investment Data'!$AB:$AB, 'Fund Investment Data'!$C:$C = $C1486, 'Fund Invest"&amp;"ment Data'!$A:$A = $A1486 - 1, 'Fund Investment Data'!$B:$B = 12)) * (1 + AVERAGE(FILTER('Inflation Data'!$C:$C,'Inflation Data'!$A:$A = ($A1486 - 2)))) * Parameters!$A$4,0)"),48393.90516981818)</f>
        <v>48393.90517</v>
      </c>
      <c r="Y1486" s="91">
        <f>IFERROR(__xludf.DUMMYFUNCTION("IFERROR((IFERROR(FILTER('Fund Investment Data'!$P:$P,'Fund Investment Data'!$C:$C = $C1486,'Fund Investment Data'!$A:$A = ($A1486 - 2), 'Fund Investment Data'!$B:$B = 12),0) - SUM(FILTER('Fund Investment Data'!$V:$V, 'Fund Investment Data'!$C:$C = $C1486,"&amp;" 'Fund Investment Data'!$A:$A = ($A1486 - 2), 'Fund Investment Data'!$B:$B &gt; 3)))  * Parameters!$B$4 * (1 - Parameters!$A$4),0)"),20307.37014)</f>
        <v>20307.37014</v>
      </c>
      <c r="Z1486" s="91">
        <f t="shared" si="24"/>
        <v>68701.27531</v>
      </c>
      <c r="AA1486" s="91">
        <f>IFERROR(__xludf.DUMMYFUNCTION("((IFERROR((SUM(FILTER('Fund Investment Data'!$V:$V, 'Fund Investment Data'!$C:$C = $C1486, 'Fund Investment Data'!$A:$A = $A1486 - 1, 'Fund Investment Data'!$B:$B &gt;= 4, 'Fund Investment Data'!$B:$B &lt;= ($B1486 + 5))) / 12) * ($B1486 - 3) * Parameters!$B$4,"&amp;" 0) + IF($B1486 &gt;= 9, IFERROR(SUM(FILTER('Fund Investment Data'!$V:$V, 'Fund Investment Data'!$C:$C = $C1486, 'Fund Investment Data'!$A:$A = $A1486, 'Fund Investment Data'!$B:$B &lt;= 3)) * Parameters!$B$4, 0),0)))"),0.0)</f>
        <v>0</v>
      </c>
      <c r="AB1486" s="32">
        <f>IFERROR(__xludf.DUMMYFUNCTION("IFERROR(((IFERROR(SUM(FILTER('Fund Investment Data'!$V:$V, 'Fund Investment Data'!$C:$C = $C1486, 'Fund Investment Data'!$A:$A = $A1486 - 2, 'Fund Investment Data'!$B:$B &gt;= 4)) * Parameters!$B$4,0) + IFERROR(SUM(FILTER('Fund Investment Data'!$V:$V, 'Fund "&amp;"Investment Data'!$C:$C = $C1486, 'Fund Investment Data'!$A:$A = $A1486 - 1, 'Fund Investment Data'!$B:$B &lt;= 3)) * Parameters!$B$4,0))),0)"),450.0)</f>
        <v>450</v>
      </c>
      <c r="AC1486" s="32">
        <f>IFERROR(__xludf.DUMMYFUNCTION("IFERROR(FILTER($AF:$AF,$C:$C = $C1486,$A:$A = $A1486 - 1,$B:$B = 12),0)"),0.0)</f>
        <v>0</v>
      </c>
      <c r="AD1486" s="32">
        <f t="shared" si="23"/>
        <v>69151.27531</v>
      </c>
      <c r="AE1486" s="32">
        <f t="shared" si="2"/>
        <v>0.2753098182</v>
      </c>
      <c r="AF1486" s="32"/>
    </row>
    <row r="1487">
      <c r="A1487" s="86">
        <v>2019.0</v>
      </c>
      <c r="B1487" s="87">
        <v>8.0</v>
      </c>
      <c r="C1487" s="88" t="s">
        <v>31</v>
      </c>
      <c r="D1487" s="93">
        <v>100.0</v>
      </c>
      <c r="E1487" s="93">
        <v>-8740.0</v>
      </c>
      <c r="F1487" s="32"/>
      <c r="G1487" s="93">
        <v>-665.06</v>
      </c>
      <c r="H1487" s="93">
        <v>2891.44</v>
      </c>
      <c r="I1487" s="93">
        <v>2106.81</v>
      </c>
      <c r="J1487" s="93">
        <v>13454.98</v>
      </c>
      <c r="K1487" s="32"/>
      <c r="L1487" s="32"/>
      <c r="M1487" s="32"/>
      <c r="N1487" s="32"/>
      <c r="O1487" s="93">
        <v>174745.88</v>
      </c>
      <c r="P1487" s="91">
        <f>IFERROR(__xludf.DUMMYFUNCTION("IFERROR(sum(FILTER($D:$N,$C:$C = $C1487,$A:$A &lt; $A1487,$B:$B = 12)),0) + sum($D1487:$N1487)"),174745.89)</f>
        <v>174745.89</v>
      </c>
      <c r="Q1487" s="92">
        <f t="shared" si="1"/>
        <v>-0.01000000001</v>
      </c>
      <c r="R1487" s="91">
        <f t="array" ref="R1487">IFERROR(INDEX('Fund YTD Target Values'!$1:$1000, MATCH($C1487,'Fund YTD Target Values'!$A:$A,0), MATCH($A1487,'Fund YTD Target Values'!$1:$1,0)),0)</f>
        <v>214470.0821</v>
      </c>
      <c r="S1487" s="91">
        <f>IFERROR(__xludf.DUMMYFUNCTION("IFERROR(sum(FILTER('Fund Investment Data'!$V:$V, 'Fund Investment Data'!$C:$C = $C1487, 'Fund Investment Data'!$A:$A &lt; $A1487)),0) + IFERROR(sum(FILTER('Fund Investment Data'!$V:$V, 'Fund Investment Data'!$C:$C = $C1487, 'Fund Investment Data'!$A:$A = $A1"&amp;"487, 'Fund Investment Data'!$B:$B &lt;= $B1487)),0)"),158200.0)</f>
        <v>158200</v>
      </c>
      <c r="T1487" s="32"/>
      <c r="U1487" s="32"/>
      <c r="V1487" s="32">
        <f>IFERROR(__xludf.DUMMYFUNCTION("$D1487 - IFERROR(FILTER($D:$D,$C:$C = $C1487, $A:$A = $A1487, $B:$B = $B1487 - 1),0)"),0.0)</f>
        <v>0</v>
      </c>
      <c r="W1487" s="93">
        <f>IFERROR(__xludf.DUMMYFUNCTION("$E1487 - IFERROR(FILTER($E:$E,$C:$C = $C1487, $A:$A = $A1487, $B:$B = $B1487 - 1),0)"),-40.0)</f>
        <v>-40</v>
      </c>
      <c r="X1487" s="91">
        <f>IFERROR(__xludf.DUMMYFUNCTION("iFERROR((FILTER('Fund Investment Data'!$Z:$Z, 'Fund Investment Data'!$C:$C = $C1487, 'Fund Investment Data'!$A:$A = $A1487 - 1, 'Fund Investment Data'!$B:$B = 12) + FILTER('Fund Investment Data'!$AB:$AB, 'Fund Investment Data'!$C:$C = $C1487, 'Fund Invest"&amp;"ment Data'!$A:$A = $A1487 - 1, 'Fund Investment Data'!$B:$B = 12)) * (1 + AVERAGE(FILTER('Inflation Data'!$C:$C,'Inflation Data'!$A:$A = ($A1487 - 2)))) * Parameters!$A$4,0)"),6185.263738478203)</f>
        <v>6185.263738</v>
      </c>
      <c r="Y1487" s="91">
        <f>IFERROR(__xludf.DUMMYFUNCTION("IFERROR((IFERROR(FILTER('Fund Investment Data'!$P:$P,'Fund Investment Data'!$C:$C = $C1487,'Fund Investment Data'!$A:$A = ($A1487 - 2), 'Fund Investment Data'!$B:$B = 12),0) - SUM(FILTER('Fund Investment Data'!$V:$V, 'Fund Investment Data'!$C:$C = $C1487,"&amp;" 'Fund Investment Data'!$A:$A = ($A1487 - 2), 'Fund Investment Data'!$B:$B &gt; 3)))  * Parameters!$B$4 * (1 - Parameters!$A$4),0)"),2555.001225000001)</f>
        <v>2555.001225</v>
      </c>
      <c r="Z1487" s="91">
        <f t="shared" si="24"/>
        <v>8740.264963</v>
      </c>
      <c r="AA1487" s="91">
        <f>IFERROR(__xludf.DUMMYFUNCTION("((IFERROR((SUM(FILTER('Fund Investment Data'!$V:$V, 'Fund Investment Data'!$C:$C = $C1487, 'Fund Investment Data'!$A:$A = $A1487 - 1, 'Fund Investment Data'!$B:$B &gt;= 4, 'Fund Investment Data'!$B:$B &lt;= ($B1487 + 5))) / 12) * ($B1487 - 3) * Parameters!$B$4,"&amp;" 0) + IF($B1487 &gt;= 9, IFERROR(SUM(FILTER('Fund Investment Data'!$V:$V, 'Fund Investment Data'!$C:$C = $C1487, 'Fund Investment Data'!$A:$A = $A1487, 'Fund Investment Data'!$B:$B &lt;= 3)) * Parameters!$B$4, 0),0)))"),0.0)</f>
        <v>0</v>
      </c>
      <c r="AB1487" s="32">
        <f>IFERROR(__xludf.DUMMYFUNCTION("IFERROR(((IFERROR(SUM(FILTER('Fund Investment Data'!$V:$V, 'Fund Investment Data'!$C:$C = $C1487, 'Fund Investment Data'!$A:$A = $A1487 - 2, 'Fund Investment Data'!$B:$B &gt;= 4)) * Parameters!$B$4,0) + IFERROR(SUM(FILTER('Fund Investment Data'!$V:$V, 'Fund "&amp;"Investment Data'!$C:$C = $C1487, 'Fund Investment Data'!$A:$A = $A1487 - 1, 'Fund Investment Data'!$B:$B &lt;= 3)) * Parameters!$B$4,0))),0)"),0.0)</f>
        <v>0</v>
      </c>
      <c r="AC1487" s="32">
        <f>IFERROR(__xludf.DUMMYFUNCTION("IFERROR(FILTER($AF:$AF,$C:$C = $C1487,$A:$A = $A1487 - 1,$B:$B = 12),0)"),0.0)</f>
        <v>0</v>
      </c>
      <c r="AD1487" s="32">
        <f t="shared" si="23"/>
        <v>8740.264963</v>
      </c>
      <c r="AE1487" s="32">
        <f t="shared" si="2"/>
        <v>0.2649634782</v>
      </c>
      <c r="AF1487" s="32"/>
    </row>
    <row r="1488">
      <c r="A1488" s="86">
        <v>2019.0</v>
      </c>
      <c r="B1488" s="87">
        <v>8.0</v>
      </c>
      <c r="C1488" s="88" t="s">
        <v>39</v>
      </c>
      <c r="D1488" s="93">
        <v>15000.0</v>
      </c>
      <c r="E1488" s="93">
        <v>-8740.0</v>
      </c>
      <c r="F1488" s="32"/>
      <c r="G1488" s="93">
        <v>-682.41</v>
      </c>
      <c r="H1488" s="93">
        <v>2968.28</v>
      </c>
      <c r="I1488" s="32"/>
      <c r="J1488" s="93">
        <v>16370.53</v>
      </c>
      <c r="K1488" s="32"/>
      <c r="L1488" s="93">
        <v>-184.92</v>
      </c>
      <c r="M1488" s="32"/>
      <c r="N1488" s="32"/>
      <c r="O1488" s="93">
        <v>195551.74</v>
      </c>
      <c r="P1488" s="91">
        <f>IFERROR(__xludf.DUMMYFUNCTION("IFERROR(sum(FILTER($D:$N,$C:$C = $C1488,$A:$A &lt; $A1488,$B:$B = 12)),0) + sum($D1488:$N1488)"),195551.74000000005)</f>
        <v>195551.74</v>
      </c>
      <c r="Q1488" s="92">
        <f t="shared" si="1"/>
        <v>0</v>
      </c>
      <c r="R1488" s="91">
        <f t="array" ref="R1488">IFERROR(INDEX('Fund YTD Target Values'!$1:$1000, MATCH($C1488,'Fund YTD Target Values'!$A:$A,0), MATCH($A1488,'Fund YTD Target Values'!$1:$1,0)),0)</f>
        <v>203233.3066</v>
      </c>
      <c r="S1488" s="91">
        <f>IFERROR(__xludf.DUMMYFUNCTION("IFERROR(sum(FILTER('Fund Investment Data'!$V:$V, 'Fund Investment Data'!$C:$C = $C1488, 'Fund Investment Data'!$A:$A &lt; $A1488)),0) + IFERROR(sum(FILTER('Fund Investment Data'!$V:$V, 'Fund Investment Data'!$C:$C = $C1488, 'Fund Investment Data'!$A:$A = $A1"&amp;"488, 'Fund Investment Data'!$B:$B &lt;= $B1488)),0)"),185000.0)</f>
        <v>185000</v>
      </c>
      <c r="T1488" s="32"/>
      <c r="U1488" s="32"/>
      <c r="V1488" s="32">
        <f>IFERROR(__xludf.DUMMYFUNCTION("$D1488 - IFERROR(FILTER($D:$D,$C:$C = $C1488, $A:$A = $A1488, $B:$B = $B1488 - 1),0)"),15000.0)</f>
        <v>15000</v>
      </c>
      <c r="W1488" s="93">
        <f>IFERROR(__xludf.DUMMYFUNCTION("$E1488 - IFERROR(FILTER($E:$E,$C:$C = $C1488, $A:$A = $A1488, $B:$B = $B1488 - 1),0)"),-40.0)</f>
        <v>-40</v>
      </c>
      <c r="X1488" s="91">
        <f>IFERROR(__xludf.DUMMYFUNCTION("iFERROR((FILTER('Fund Investment Data'!$Z:$Z, 'Fund Investment Data'!$C:$C = $C1488, 'Fund Investment Data'!$A:$A = $A1488 - 1, 'Fund Investment Data'!$B:$B = 12) + FILTER('Fund Investment Data'!$AB:$AB, 'Fund Investment Data'!$C:$C = $C1488, 'Fund Invest"&amp;"ment Data'!$A:$A = $A1488 - 1, 'Fund Investment Data'!$B:$B = 12)) * (1 + AVERAGE(FILTER('Inflation Data'!$C:$C,'Inflation Data'!$A:$A = ($A1488 - 2)))) * Parameters!$A$4,0)"),5335.081378121052)</f>
        <v>5335.081378</v>
      </c>
      <c r="Y1488" s="91">
        <f>IFERROR(__xludf.DUMMYFUNCTION("IFERROR((IFERROR(FILTER('Fund Investment Data'!$P:$P,'Fund Investment Data'!$C:$C = $C1488,'Fund Investment Data'!$A:$A = ($A1488 - 2), 'Fund Investment Data'!$B:$B = 12),0) - SUM(FILTER('Fund Investment Data'!$V:$V, 'Fund Investment Data'!$C:$C = $C1488,"&amp;" 'Fund Investment Data'!$A:$A = ($A1488 - 2), 'Fund Investment Data'!$B:$B &gt; 3)))  * Parameters!$B$4 * (1 - Parameters!$A$4),0)"),2223.764010000001)</f>
        <v>2223.76401</v>
      </c>
      <c r="Z1488" s="91">
        <f t="shared" si="24"/>
        <v>7558.845388</v>
      </c>
      <c r="AA1488" s="91">
        <f>IFERROR(__xludf.DUMMYFUNCTION("((IFERROR((SUM(FILTER('Fund Investment Data'!$V:$V, 'Fund Investment Data'!$C:$C = $C1488, 'Fund Investment Data'!$A:$A = $A1488 - 1, 'Fund Investment Data'!$B:$B &gt;= 4, 'Fund Investment Data'!$B:$B &lt;= ($B1488 + 5))) / 12) * ($B1488 - 3) * Parameters!$B$4,"&amp;" 0) + IF($B1488 &gt;= 9, IFERROR(SUM(FILTER('Fund Investment Data'!$V:$V, 'Fund Investment Data'!$C:$C = $C1488, 'Fund Investment Data'!$A:$A = $A1488, 'Fund Investment Data'!$B:$B &lt;= 3)) * Parameters!$B$4, 0),0)))"),281.25)</f>
        <v>281.25</v>
      </c>
      <c r="AB1488" s="32">
        <f>IFERROR(__xludf.DUMMYFUNCTION("IFERROR(((IFERROR(SUM(FILTER('Fund Investment Data'!$V:$V, 'Fund Investment Data'!$C:$C = $C1488, 'Fund Investment Data'!$A:$A = $A1488 - 2, 'Fund Investment Data'!$B:$B &gt;= 4)) * Parameters!$B$4,0) + IFERROR(SUM(FILTER('Fund Investment Data'!$V:$V, 'Fund "&amp;"Investment Data'!$C:$C = $C1488, 'Fund Investment Data'!$A:$A = $A1488 - 1, 'Fund Investment Data'!$B:$B &lt;= 3)) * Parameters!$B$4,0))),0)"),675.0)</f>
        <v>675</v>
      </c>
      <c r="AC1488" s="32">
        <f>IFERROR(__xludf.DUMMYFUNCTION("IFERROR(FILTER($AF:$AF,$C:$C = $C1488,$A:$A = $A1488 - 1,$B:$B = 12),0)"),0.0)</f>
        <v>0</v>
      </c>
      <c r="AD1488" s="32">
        <f t="shared" si="23"/>
        <v>8515.095388</v>
      </c>
      <c r="AE1488" s="32">
        <f t="shared" si="2"/>
        <v>-224.9046119</v>
      </c>
      <c r="AF1488" s="32"/>
    </row>
    <row r="1489">
      <c r="A1489" s="86">
        <v>2019.0</v>
      </c>
      <c r="B1489" s="87">
        <v>8.0</v>
      </c>
      <c r="C1489" s="88" t="s">
        <v>50</v>
      </c>
      <c r="D1489" s="32"/>
      <c r="E1489" s="93">
        <v>-602.0</v>
      </c>
      <c r="F1489" s="32"/>
      <c r="G1489" s="93">
        <v>-770.18</v>
      </c>
      <c r="H1489" s="93">
        <v>3343.42</v>
      </c>
      <c r="I1489" s="32"/>
      <c r="J1489" s="93">
        <v>17851.05</v>
      </c>
      <c r="K1489" s="32"/>
      <c r="L1489" s="32"/>
      <c r="M1489" s="32"/>
      <c r="N1489" s="32"/>
      <c r="O1489" s="93">
        <v>209376.65</v>
      </c>
      <c r="P1489" s="91">
        <f>IFERROR(__xludf.DUMMYFUNCTION("IFERROR(sum(FILTER($D:$N,$C:$C = $C1489,$A:$A &lt; $A1489,$B:$B = 12)),0) + sum($D1489:$N1489)"),209376.12000000002)</f>
        <v>209376.12</v>
      </c>
      <c r="Q1489" s="92">
        <f t="shared" si="1"/>
        <v>0.53</v>
      </c>
      <c r="R1489" s="91">
        <f t="array" ref="R1489">IFERROR(INDEX('Fund YTD Target Values'!$1:$1000, MATCH($C1489,'Fund YTD Target Values'!$A:$A,0), MATCH($A1489,'Fund YTD Target Values'!$1:$1,0)),0)</f>
        <v>221607.3864</v>
      </c>
      <c r="S1489" s="91">
        <f>IFERROR(__xludf.DUMMYFUNCTION("IFERROR(sum(FILTER('Fund Investment Data'!$V:$V, 'Fund Investment Data'!$C:$C = $C1489, 'Fund Investment Data'!$A:$A &lt; $A1489)),0) + IFERROR(sum(FILTER('Fund Investment Data'!$V:$V, 'Fund Investment Data'!$C:$C = $C1489, 'Fund Investment Data'!$A:$A = $A1"&amp;"489, 'Fund Investment Data'!$B:$B &lt;= $B1489)),0)"),185189.56)</f>
        <v>185189.56</v>
      </c>
      <c r="T1489" s="32"/>
      <c r="U1489" s="32"/>
      <c r="V1489" s="32">
        <f>IFERROR(__xludf.DUMMYFUNCTION("$D1489 - IFERROR(FILTER($D:$D,$C:$C = $C1489, $A:$A = $A1489, $B:$B = $B1489 - 1),0)"),0.0)</f>
        <v>0</v>
      </c>
      <c r="W1489" s="93">
        <f>IFERROR(__xludf.DUMMYFUNCTION("$E1489 - IFERROR(FILTER($E:$E,$C:$C = $C1489, $A:$A = $A1489, $B:$B = $B1489 - 1),0)"),-102.0)</f>
        <v>-102</v>
      </c>
      <c r="X1489" s="91">
        <f>IFERROR(__xludf.DUMMYFUNCTION("iFERROR((FILTER('Fund Investment Data'!$Z:$Z, 'Fund Investment Data'!$C:$C = $C1489, 'Fund Investment Data'!$A:$A = $A1489 - 1, 'Fund Investment Data'!$B:$B = 12) + FILTER('Fund Investment Data'!$AB:$AB, 'Fund Investment Data'!$C:$C = $C1489, 'Fund Invest"&amp;"ment Data'!$A:$A = $A1489 - 1, 'Fund Investment Data'!$B:$B = 12)) * (1 + AVERAGE(FILTER('Inflation Data'!$C:$C,'Inflation Data'!$A:$A = ($A1489 - 2)))) * Parameters!$A$4,0)"),7479.015292624062)</f>
        <v>7479.015293</v>
      </c>
      <c r="Y1489" s="91">
        <f>IFERROR(__xludf.DUMMYFUNCTION("IFERROR((IFERROR(FILTER('Fund Investment Data'!$P:$P,'Fund Investment Data'!$C:$C = $C1489,'Fund Investment Data'!$A:$A = ($A1489 - 2), 'Fund Investment Data'!$B:$B = 12),0) - SUM(FILTER('Fund Investment Data'!$V:$V, 'Fund Investment Data'!$C:$C = $C1489,"&amp;" 'Fund Investment Data'!$A:$A = ($A1489 - 2), 'Fund Investment Data'!$B:$B &gt; 3)))  * Parameters!$B$4 * (1 - Parameters!$A$4),0)"),2908.7654850000004)</f>
        <v>2908.765485</v>
      </c>
      <c r="Z1489" s="91">
        <f t="shared" si="24"/>
        <v>10387.78078</v>
      </c>
      <c r="AA1489" s="91">
        <f>IFERROR(__xludf.DUMMYFUNCTION("((IFERROR((SUM(FILTER('Fund Investment Data'!$V:$V, 'Fund Investment Data'!$C:$C = $C1489, 'Fund Investment Data'!$A:$A = $A1489 - 1, 'Fund Investment Data'!$B:$B &gt;= 4, 'Fund Investment Data'!$B:$B &lt;= ($B1489 + 5))) / 12) * ($B1489 - 3) * Parameters!$B$4,"&amp;" 0) + IF($B1489 &gt;= 9, IFERROR(SUM(FILTER('Fund Investment Data'!$V:$V, 'Fund Investment Data'!$C:$C = $C1489, 'Fund Investment Data'!$A:$A = $A1489, 'Fund Investment Data'!$B:$B &lt;= 3)) * Parameters!$B$4, 0),0)))"),0.0)</f>
        <v>0</v>
      </c>
      <c r="AB1489" s="32">
        <f>IFERROR(__xludf.DUMMYFUNCTION("IFERROR(((IFERROR(SUM(FILTER('Fund Investment Data'!$V:$V, 'Fund Investment Data'!$C:$C = $C1489, 'Fund Investment Data'!$A:$A = $A1489 - 2, 'Fund Investment Data'!$B:$B &gt;= 4)) * Parameters!$B$4,0) + IFERROR(SUM(FILTER('Fund Investment Data'!$V:$V, 'Fund "&amp;"Investment Data'!$C:$C = $C1489, 'Fund Investment Data'!$A:$A = $A1489 - 1, 'Fund Investment Data'!$B:$B &lt;= 3)) * Parameters!$B$4,0))),0)"),0.0)</f>
        <v>0</v>
      </c>
      <c r="AC1489" s="32">
        <f>IFERROR(__xludf.DUMMYFUNCTION("IFERROR(FILTER($AF:$AF,$C:$C = $C1489,$A:$A = $A1489 - 1,$B:$B = 12),0)"),0.0)</f>
        <v>0</v>
      </c>
      <c r="AD1489" s="32">
        <f t="shared" si="23"/>
        <v>10387.78078</v>
      </c>
      <c r="AE1489" s="32">
        <f t="shared" si="2"/>
        <v>9785.780778</v>
      </c>
      <c r="AF1489" s="32"/>
    </row>
    <row r="1490">
      <c r="A1490" s="86">
        <v>2019.0</v>
      </c>
      <c r="B1490" s="87">
        <v>8.0</v>
      </c>
      <c r="C1490" s="88" t="s">
        <v>32</v>
      </c>
      <c r="D1490" s="32"/>
      <c r="E1490" s="93">
        <v>-2440.0</v>
      </c>
      <c r="F1490" s="32"/>
      <c r="G1490" s="93">
        <v>-192.91</v>
      </c>
      <c r="H1490" s="93">
        <v>836.08</v>
      </c>
      <c r="I1490" s="93">
        <v>8.66</v>
      </c>
      <c r="J1490" s="93">
        <v>4477.38</v>
      </c>
      <c r="K1490" s="32"/>
      <c r="L1490" s="32"/>
      <c r="M1490" s="32"/>
      <c r="N1490" s="32"/>
      <c r="O1490" s="93">
        <v>50139.76</v>
      </c>
      <c r="P1490" s="91">
        <f>IFERROR(__xludf.DUMMYFUNCTION("IFERROR(sum(FILTER($D:$N,$C:$C = $C1490,$A:$A &lt; $A1490,$B:$B = 12)),0) + sum($D1490:$N1490)"),50139.36000000002)</f>
        <v>50139.36</v>
      </c>
      <c r="Q1490" s="92">
        <f t="shared" si="1"/>
        <v>0.4</v>
      </c>
      <c r="R1490" s="91">
        <f t="array" ref="R1490">IFERROR(INDEX('Fund YTD Target Values'!$1:$1000, MATCH($C1490,'Fund YTD Target Values'!$A:$A,0), MATCH($A1490,'Fund YTD Target Values'!$1:$1,0)),0)</f>
        <v>80613.71135</v>
      </c>
      <c r="S1490" s="91">
        <f>IFERROR(__xludf.DUMMYFUNCTION("IFERROR(sum(FILTER('Fund Investment Data'!$V:$V, 'Fund Investment Data'!$C:$C = $C1490, 'Fund Investment Data'!$A:$A &lt; $A1490)),0) + IFERROR(sum(FILTER('Fund Investment Data'!$V:$V, 'Fund Investment Data'!$C:$C = $C1490, 'Fund Investment Data'!$A:$A = $A1"&amp;"490, 'Fund Investment Data'!$B:$B &lt;= $B1490)),0)"),49449.04)</f>
        <v>49449.04</v>
      </c>
      <c r="T1490" s="32"/>
      <c r="U1490" s="32"/>
      <c r="V1490" s="32">
        <f>IFERROR(__xludf.DUMMYFUNCTION("$D1490 - IFERROR(FILTER($D:$D,$C:$C = $C1490, $A:$A = $A1490, $B:$B = $B1490 - 1),0)"),0.0)</f>
        <v>0</v>
      </c>
      <c r="W1490" s="93">
        <f>IFERROR(__xludf.DUMMYFUNCTION("$E1490 - IFERROR(FILTER($E:$E,$C:$C = $C1490, $A:$A = $A1490, $B:$B = $B1490 - 1),0)"),-2440.0)</f>
        <v>-2440</v>
      </c>
      <c r="X1490" s="91">
        <f>IFERROR(__xludf.DUMMYFUNCTION("iFERROR((FILTER('Fund Investment Data'!$Z:$Z, 'Fund Investment Data'!$C:$C = $C1490, 'Fund Investment Data'!$A:$A = $A1490 - 1, 'Fund Investment Data'!$B:$B = 12) + FILTER('Fund Investment Data'!$AB:$AB, 'Fund Investment Data'!$C:$C = $C1490, 'Fund Invest"&amp;"ment Data'!$A:$A = $A1490 - 1, 'Fund Investment Data'!$B:$B = 12)) * (1 + AVERAGE(FILTER('Inflation Data'!$C:$C,'Inflation Data'!$A:$A = ($A1490 - 2)))) * Parameters!$A$4,0)"),1718.9474190106023)</f>
        <v>1718.947419</v>
      </c>
      <c r="Y1490" s="91">
        <f>IFERROR(__xludf.DUMMYFUNCTION("IFERROR((IFERROR(FILTER('Fund Investment Data'!$P:$P,'Fund Investment Data'!$C:$C = $C1490,'Fund Investment Data'!$A:$A = ($A1490 - 2), 'Fund Investment Data'!$B:$B = 12),0) - SUM(FILTER('Fund Investment Data'!$V:$V, 'Fund Investment Data'!$C:$C = $C1490,"&amp;" 'Fund Investment Data'!$A:$A = ($A1490 - 2), 'Fund Investment Data'!$B:$B &gt; 3)))  * Parameters!$B$4 * (1 - Parameters!$A$4),0)"),721.3160700000005)</f>
        <v>721.31607</v>
      </c>
      <c r="Z1490" s="91">
        <f t="shared" si="24"/>
        <v>2440.263489</v>
      </c>
      <c r="AA1490" s="91">
        <f>IFERROR(__xludf.DUMMYFUNCTION("((IFERROR((SUM(FILTER('Fund Investment Data'!$V:$V, 'Fund Investment Data'!$C:$C = $C1490, 'Fund Investment Data'!$A:$A = $A1490 - 1, 'Fund Investment Data'!$B:$B &gt;= 4, 'Fund Investment Data'!$B:$B &lt;= ($B1490 + 5))) / 12) * ($B1490 - 3) * Parameters!$B$4,"&amp;" 0) + IF($B1490 &gt;= 9, IFERROR(SUM(FILTER('Fund Investment Data'!$V:$V, 'Fund Investment Data'!$C:$C = $C1490, 'Fund Investment Data'!$A:$A = $A1490, 'Fund Investment Data'!$B:$B &lt;= 3)) * Parameters!$B$4, 0),0)))"),0.0)</f>
        <v>0</v>
      </c>
      <c r="AB1490" s="32">
        <f>IFERROR(__xludf.DUMMYFUNCTION("IFERROR(((IFERROR(SUM(FILTER('Fund Investment Data'!$V:$V, 'Fund Investment Data'!$C:$C = $C1490, 'Fund Investment Data'!$A:$A = $A1490 - 2, 'Fund Investment Data'!$B:$B &gt;= 4)) * Parameters!$B$4,0) + IFERROR(SUM(FILTER('Fund Investment Data'!$V:$V, 'Fund "&amp;"Investment Data'!$C:$C = $C1490, 'Fund Investment Data'!$A:$A = $A1490 - 1, 'Fund Investment Data'!$B:$B &lt;= 3)) * Parameters!$B$4,0))),0)"),0.0)</f>
        <v>0</v>
      </c>
      <c r="AC1490" s="32">
        <f>IFERROR(__xludf.DUMMYFUNCTION("IFERROR(FILTER($AF:$AF,$C:$C = $C1490,$A:$A = $A1490 - 1,$B:$B = 12),0)"),0.0)</f>
        <v>0</v>
      </c>
      <c r="AD1490" s="32">
        <f t="shared" si="23"/>
        <v>2440.263489</v>
      </c>
      <c r="AE1490" s="32">
        <f t="shared" si="2"/>
        <v>0.2634890106</v>
      </c>
      <c r="AF1490" s="32"/>
    </row>
    <row r="1491">
      <c r="A1491" s="86">
        <v>2019.0</v>
      </c>
      <c r="B1491" s="87">
        <v>8.0</v>
      </c>
      <c r="C1491" s="88" t="s">
        <v>40</v>
      </c>
      <c r="D1491" s="32"/>
      <c r="E1491" s="93">
        <v>-7071.0</v>
      </c>
      <c r="F1491" s="32"/>
      <c r="G1491" s="93">
        <v>-544.94</v>
      </c>
      <c r="H1491" s="93">
        <v>2369.94</v>
      </c>
      <c r="I1491" s="93">
        <v>1434.63</v>
      </c>
      <c r="J1491" s="93">
        <v>11466.48</v>
      </c>
      <c r="K1491" s="32"/>
      <c r="L1491" s="32"/>
      <c r="M1491" s="32"/>
      <c r="N1491" s="32"/>
      <c r="O1491" s="93">
        <v>144100.26</v>
      </c>
      <c r="P1491" s="91">
        <f>IFERROR(__xludf.DUMMYFUNCTION("IFERROR(sum(FILTER($D:$N,$C:$C = $C1491,$A:$A &lt; $A1491,$B:$B = 12)),0) + sum($D1491:$N1491)"),144100.2199999999)</f>
        <v>144100.22</v>
      </c>
      <c r="Q1491" s="92">
        <f t="shared" si="1"/>
        <v>0.0400000001</v>
      </c>
      <c r="R1491" s="91">
        <f t="array" ref="R1491">IFERROR(INDEX('Fund YTD Target Values'!$1:$1000, MATCH($C1491,'Fund YTD Target Values'!$A:$A,0), MATCH($A1491,'Fund YTD Target Values'!$1:$1,0)),0)</f>
        <v>164286.6043</v>
      </c>
      <c r="S1491" s="91">
        <f>IFERROR(__xludf.DUMMYFUNCTION("IFERROR(sum(FILTER('Fund Investment Data'!$V:$V, 'Fund Investment Data'!$C:$C = $C1491, 'Fund Investment Data'!$A:$A &lt; $A1491)),0) + IFERROR(sum(FILTER('Fund Investment Data'!$V:$V, 'Fund Investment Data'!$C:$C = $C1491, 'Fund Investment Data'!$A:$A = $A1"&amp;"491, 'Fund Investment Data'!$B:$B &lt;= $B1491)),0)"),129703.74)</f>
        <v>129703.74</v>
      </c>
      <c r="T1491" s="32"/>
      <c r="U1491" s="32"/>
      <c r="V1491" s="32">
        <f>IFERROR(__xludf.DUMMYFUNCTION("$D1491 - IFERROR(FILTER($D:$D,$C:$C = $C1491, $A:$A = $A1491, $B:$B = $B1491 - 1),0)"),0.0)</f>
        <v>0</v>
      </c>
      <c r="W1491" s="93">
        <f>IFERROR(__xludf.DUMMYFUNCTION("$E1491 - IFERROR(FILTER($E:$E,$C:$C = $C1491, $A:$A = $A1491, $B:$B = $B1491 - 1),0)"),-71.0)</f>
        <v>-71</v>
      </c>
      <c r="X1491" s="91">
        <f>IFERROR(__xludf.DUMMYFUNCTION("iFERROR((FILTER('Fund Investment Data'!$Z:$Z, 'Fund Investment Data'!$C:$C = $C1491, 'Fund Investment Data'!$A:$A = $A1491 - 1, 'Fund Investment Data'!$B:$B = 12) + FILTER('Fund Investment Data'!$AB:$AB, 'Fund Investment Data'!$C:$C = $C1491, 'Fund Invest"&amp;"ment Data'!$A:$A = $A1491 - 1, 'Fund Investment Data'!$B:$B = 12)) * (1 + AVERAGE(FILTER('Inflation Data'!$C:$C,'Inflation Data'!$A:$A = ($A1491 - 2)))) * Parameters!$A$4,0)"),4980.550706212943)</f>
        <v>4980.550706</v>
      </c>
      <c r="Y1491" s="91">
        <f>IFERROR(__xludf.DUMMYFUNCTION("IFERROR((IFERROR(FILTER('Fund Investment Data'!$P:$P,'Fund Investment Data'!$C:$C = $C1491,'Fund Investment Data'!$A:$A = ($A1491 - 2), 'Fund Investment Data'!$B:$B = 12),0) - SUM(FILTER('Fund Investment Data'!$V:$V, 'Fund Investment Data'!$C:$C = $C1491,"&amp;" 'Fund Investment Data'!$A:$A = ($A1491 - 2), 'Fund Investment Data'!$B:$B &gt; 3)))  * Parameters!$B$4 * (1 - Parameters!$A$4),0)"),2089.971585)</f>
        <v>2089.971585</v>
      </c>
      <c r="Z1491" s="91">
        <f t="shared" si="24"/>
        <v>7070.522291</v>
      </c>
      <c r="AA1491" s="91">
        <f>IFERROR(__xludf.DUMMYFUNCTION("((IFERROR((SUM(FILTER('Fund Investment Data'!$V:$V, 'Fund Investment Data'!$C:$C = $C1491, 'Fund Investment Data'!$A:$A = $A1491 - 1, 'Fund Investment Data'!$B:$B &gt;= 4, 'Fund Investment Data'!$B:$B &lt;= ($B1491 + 5))) / 12) * ($B1491 - 3) * Parameters!$B$4,"&amp;" 0) + IF($B1491 &gt;= 9, IFERROR(SUM(FILTER('Fund Investment Data'!$V:$V, 'Fund Investment Data'!$C:$C = $C1491, 'Fund Investment Data'!$A:$A = $A1491, 'Fund Investment Data'!$B:$B &lt;= 3)) * Parameters!$B$4, 0),0)))"),0.0)</f>
        <v>0</v>
      </c>
      <c r="AB1491" s="32">
        <f>IFERROR(__xludf.DUMMYFUNCTION("IFERROR(((IFERROR(SUM(FILTER('Fund Investment Data'!$V:$V, 'Fund Investment Data'!$C:$C = $C1491, 'Fund Investment Data'!$A:$A = $A1491 - 2, 'Fund Investment Data'!$B:$B &gt;= 4)) * Parameters!$B$4,0) + IFERROR(SUM(FILTER('Fund Investment Data'!$V:$V, 'Fund "&amp;"Investment Data'!$C:$C = $C1491, 'Fund Investment Data'!$A:$A = $A1491 - 1, 'Fund Investment Data'!$B:$B &lt;= 3)) * Parameters!$B$4,0))),0)"),0.0)</f>
        <v>0</v>
      </c>
      <c r="AC1491" s="32">
        <f>IFERROR(__xludf.DUMMYFUNCTION("IFERROR(FILTER($AF:$AF,$C:$C = $C1491,$A:$A = $A1491 - 1,$B:$B = 12),0)"),0.0)</f>
        <v>0</v>
      </c>
      <c r="AD1491" s="32">
        <f t="shared" si="23"/>
        <v>7070.522291</v>
      </c>
      <c r="AE1491" s="32">
        <f t="shared" si="2"/>
        <v>-0.4777087871</v>
      </c>
      <c r="AF1491" s="32"/>
    </row>
    <row r="1492">
      <c r="A1492" s="101">
        <v>2019.0</v>
      </c>
      <c r="B1492" s="102">
        <v>8.0</v>
      </c>
      <c r="C1492" s="88" t="s">
        <v>51</v>
      </c>
      <c r="D1492" s="93">
        <v>1000.0</v>
      </c>
      <c r="E1492" s="93">
        <v>-2160.0</v>
      </c>
      <c r="F1492" s="32"/>
      <c r="G1492" s="93">
        <v>-1793.92</v>
      </c>
      <c r="H1492" s="93">
        <v>7742.65</v>
      </c>
      <c r="I1492" s="32"/>
      <c r="J1492" s="93">
        <v>40030.25</v>
      </c>
      <c r="K1492" s="32"/>
      <c r="L1492" s="32"/>
      <c r="M1492" s="32"/>
      <c r="N1492" s="32"/>
      <c r="O1492" s="93">
        <v>486949.01</v>
      </c>
      <c r="P1492" s="91">
        <f>IFERROR(__xludf.DUMMYFUNCTION("IFERROR(sum(FILTER($D:$N,$C:$C = $C1492,$A:$A &lt; $A1492,$B:$B = 12)),0) + sum($D1492:$N1492)"),486948.99000000005)</f>
        <v>486948.99</v>
      </c>
      <c r="Q1492" s="92">
        <f t="shared" si="1"/>
        <v>0.01999999996</v>
      </c>
      <c r="R1492" s="91">
        <f t="array" ref="R1492">IFERROR(INDEX('Fund YTD Target Values'!$1:$1000, MATCH($C1492,'Fund YTD Target Values'!$A:$A,0), MATCH($A1492,'Fund YTD Target Values'!$1:$1,0)),0)</f>
        <v>460355.013</v>
      </c>
      <c r="S1492" s="91">
        <f>IFERROR(__xludf.DUMMYFUNCTION("IFERROR(sum(FILTER('Fund Investment Data'!$V:$V, 'Fund Investment Data'!$C:$C = $C1492, 'Fund Investment Data'!$A:$A &lt; $A1492)),0) + IFERROR(sum(FILTER('Fund Investment Data'!$V:$V, 'Fund Investment Data'!$C:$C = $C1492, 'Fund Investment Data'!$A:$A = $A1"&amp;"492, 'Fund Investment Data'!$B:$B &lt;= $B1492)),0)"),420073.55)</f>
        <v>420073.55</v>
      </c>
      <c r="T1492" s="32"/>
      <c r="U1492" s="32"/>
      <c r="V1492" s="32">
        <f>IFERROR(__xludf.DUMMYFUNCTION("$D1492 - IFERROR(FILTER($D:$D,$C:$C = $C1492, $A:$A = $A1492, $B:$B = $B1492 - 1),0)"),0.0)</f>
        <v>0</v>
      </c>
      <c r="W1492" s="93">
        <f>IFERROR(__xludf.DUMMYFUNCTION("$E1492 - IFERROR(FILTER($E:$E,$C:$C = $C1492, $A:$A = $A1492, $B:$B = $B1492 - 1),0)"),-2160.0)</f>
        <v>-2160</v>
      </c>
      <c r="X1492" s="91">
        <f>IFERROR(__xludf.DUMMYFUNCTION("iFERROR((FILTER('Fund Investment Data'!$Z:$Z, 'Fund Investment Data'!$C:$C = $C1492, 'Fund Investment Data'!$A:$A = $A1492 - 1, 'Fund Investment Data'!$B:$B = 12) + FILTER('Fund Investment Data'!$AB:$AB, 'Fund Investment Data'!$C:$C = $C1492, 'Fund Invest"&amp;"ment Data'!$A:$A = $A1492 - 1, 'Fund Investment Data'!$B:$B = 12)) * (1 + AVERAGE(FILTER('Inflation Data'!$C:$C,'Inflation Data'!$A:$A = ($A1492 - 2)))) * Parameters!$A$4,0)"),14060.066994776611)</f>
        <v>14060.06699</v>
      </c>
      <c r="Y1492" s="91">
        <f>IFERROR(__xludf.DUMMYFUNCTION("IFERROR((IFERROR(FILTER('Fund Investment Data'!$P:$P,'Fund Investment Data'!$C:$C = $C1492,'Fund Investment Data'!$A:$A = ($A1492 - 2), 'Fund Investment Data'!$B:$B = 12),0) - SUM(FILTER('Fund Investment Data'!$V:$V, 'Fund Investment Data'!$C:$C = $C1492,"&amp;" 'Fund Investment Data'!$A:$A = ($A1492 - 2), 'Fund Investment Data'!$B:$B &gt; 3)))  * Parameters!$B$4 * (1 - Parameters!$A$4),0)"),6507.701055)</f>
        <v>6507.701055</v>
      </c>
      <c r="Z1492" s="91">
        <f t="shared" si="24"/>
        <v>20567.76805</v>
      </c>
      <c r="AA1492" s="91">
        <f>IFERROR(__xludf.DUMMYFUNCTION("((IFERROR((SUM(FILTER('Fund Investment Data'!$V:$V, 'Fund Investment Data'!$C:$C = $C1492, 'Fund Investment Data'!$A:$A = $A1492 - 1, 'Fund Investment Data'!$B:$B &gt;= 4, 'Fund Investment Data'!$B:$B &lt;= ($B1492 + 5))) / 12) * ($B1492 - 3) * Parameters!$B$4,"&amp;" 0) + IF($B1492 &gt;= 9, IFERROR(SUM(FILTER('Fund Investment Data'!$V:$V, 'Fund Investment Data'!$C:$C = $C1492, 'Fund Investment Data'!$A:$A = $A1492, 'Fund Investment Data'!$B:$B &lt;= 3)) * Parameters!$B$4, 0),0)))"),47.8125)</f>
        <v>47.8125</v>
      </c>
      <c r="AB1492" s="32">
        <f>IFERROR(__xludf.DUMMYFUNCTION("IFERROR(((IFERROR(SUM(FILTER('Fund Investment Data'!$V:$V, 'Fund Investment Data'!$C:$C = $C1492, 'Fund Investment Data'!$A:$A = $A1492 - 2, 'Fund Investment Data'!$B:$B &gt;= 4)) * Parameters!$B$4,0) + IFERROR(SUM(FILTER('Fund Investment Data'!$V:$V, 'Fund "&amp;"Investment Data'!$C:$C = $C1492, 'Fund Investment Data'!$A:$A = $A1492 - 1, 'Fund Investment Data'!$B:$B &lt;= 3)) * Parameters!$B$4,0))),0)"),153.0)</f>
        <v>153</v>
      </c>
      <c r="AC1492" s="32">
        <f>IFERROR(__xludf.DUMMYFUNCTION("IFERROR(FILTER($AF:$AF,$C:$C = $C1492,$A:$A = $A1492 - 1,$B:$B = 12),0)"),14700.0)</f>
        <v>14700</v>
      </c>
      <c r="AD1492" s="32">
        <f t="shared" si="23"/>
        <v>35468.58055</v>
      </c>
      <c r="AE1492" s="32">
        <f t="shared" si="2"/>
        <v>33308.58055</v>
      </c>
      <c r="AF1492" s="32"/>
    </row>
    <row r="1493">
      <c r="A1493" s="101">
        <v>2019.0</v>
      </c>
      <c r="B1493" s="102">
        <v>8.0</v>
      </c>
      <c r="C1493" s="88" t="s">
        <v>48</v>
      </c>
      <c r="D1493" s="32"/>
      <c r="E1493" s="93">
        <v>-57027.0</v>
      </c>
      <c r="F1493" s="32"/>
      <c r="G1493" s="93">
        <v>-4381.24</v>
      </c>
      <c r="H1493" s="93">
        <v>19085.22</v>
      </c>
      <c r="I1493" s="93">
        <v>15044.3</v>
      </c>
      <c r="J1493" s="93">
        <v>88354.04</v>
      </c>
      <c r="K1493" s="32"/>
      <c r="L1493" s="32"/>
      <c r="M1493" s="32"/>
      <c r="N1493" s="32"/>
      <c r="O1493" s="93">
        <v>1154290.03</v>
      </c>
      <c r="P1493" s="91">
        <f>IFERROR(__xludf.DUMMYFUNCTION("IFERROR(sum(FILTER($D:$N,$C:$C = $C1493,$A:$A &lt; $A1493,$B:$B = 12)),0) + sum($D1493:$N1493)"),1154288.7099999997)</f>
        <v>1154288.71</v>
      </c>
      <c r="Q1493" s="92">
        <f t="shared" si="1"/>
        <v>1.32</v>
      </c>
      <c r="R1493" s="91">
        <f t="array" ref="R1493">IFERROR(INDEX('Fund YTD Target Values'!$1:$1000, MATCH($C1493,'Fund YTD Target Values'!$A:$A,0), MATCH($A1493,'Fund YTD Target Values'!$1:$1,0)),0)</f>
        <v>1930631.639</v>
      </c>
      <c r="S1493" s="91">
        <f>IFERROR(__xludf.DUMMYFUNCTION("IFERROR(sum(FILTER('Fund Investment Data'!$V:$V, 'Fund Investment Data'!$C:$C = $C1493, 'Fund Investment Data'!$A:$A &lt; $A1493)),0) + IFERROR(sum(FILTER('Fund Investment Data'!$V:$V, 'Fund Investment Data'!$C:$C = $C1493, 'Fund Investment Data'!$A:$A = $A1"&amp;"493, 'Fund Investment Data'!$B:$B &lt;= $B1493)),0)"),1183929.39)</f>
        <v>1183929.39</v>
      </c>
      <c r="T1493" s="32"/>
      <c r="U1493" s="32"/>
      <c r="V1493" s="32">
        <f>IFERROR(__xludf.DUMMYFUNCTION("$D1493 - IFERROR(FILTER($D:$D,$C:$C = $C1493, $A:$A = $A1493, $B:$B = $B1493 - 1),0)"),0.0)</f>
        <v>0</v>
      </c>
      <c r="W1493" s="93">
        <f>IFERROR(__xludf.DUMMYFUNCTION("$E1493 - IFERROR(FILTER($E:$E,$C:$C = $C1493, $A:$A = $A1493, $B:$B = $B1493 - 1),0)"),-27.0)</f>
        <v>-27</v>
      </c>
      <c r="X1493" s="91">
        <f>IFERROR(__xludf.DUMMYFUNCTION("iFERROR((FILTER('Fund Investment Data'!$Z:$Z, 'Fund Investment Data'!$C:$C = $C1493, 'Fund Investment Data'!$A:$A = $A1493 - 1, 'Fund Investment Data'!$B:$B = 12) + FILTER('Fund Investment Data'!$AB:$AB, 'Fund Investment Data'!$C:$C = $C1493, 'Fund Invest"&amp;"ment Data'!$A:$A = $A1493 - 1, 'Fund Investment Data'!$B:$B = 12)) * (1 + AVERAGE(FILTER('Inflation Data'!$C:$C,'Inflation Data'!$A:$A = ($A1493 - 2)))) * Parameters!$A$4,0)"),40170.623919220896)</f>
        <v>40170.62392</v>
      </c>
      <c r="Y1493" s="91">
        <f>IFERROR(__xludf.DUMMYFUNCTION("IFERROR((IFERROR(FILTER('Fund Investment Data'!$P:$P,'Fund Investment Data'!$C:$C = $C1493,'Fund Investment Data'!$A:$A = ($A1493 - 2), 'Fund Investment Data'!$B:$B = 12),0) - SUM(FILTER('Fund Investment Data'!$V:$V, 'Fund Investment Data'!$C:$C = $C1493,"&amp;" 'Fund Investment Data'!$A:$A = ($A1493 - 2), 'Fund Investment Data'!$B:$B &gt; 3)))  * Parameters!$B$4 * (1 - Parameters!$A$4),0)"),16856.662545)</f>
        <v>16856.66255</v>
      </c>
      <c r="Z1493" s="91">
        <f t="shared" si="24"/>
        <v>57027.28646</v>
      </c>
      <c r="AA1493" s="91">
        <f>IFERROR(__xludf.DUMMYFUNCTION("((IFERROR((SUM(FILTER('Fund Investment Data'!$V:$V, 'Fund Investment Data'!$C:$C = $C1493, 'Fund Investment Data'!$A:$A = $A1493 - 1, 'Fund Investment Data'!$B:$B &gt;= 4, 'Fund Investment Data'!$B:$B &lt;= ($B1493 + 5))) / 12) * ($B1493 - 3) * Parameters!$B$4,"&amp;" 0) + IF($B1493 &gt;= 9, IFERROR(SUM(FILTER('Fund Investment Data'!$V:$V, 'Fund Investment Data'!$C:$C = $C1493, 'Fund Investment Data'!$A:$A = $A1493, 'Fund Investment Data'!$B:$B &lt;= 3)) * Parameters!$B$4, 0),0)))"),0.0)</f>
        <v>0</v>
      </c>
      <c r="AB1493" s="32">
        <f>IFERROR(__xludf.DUMMYFUNCTION("IFERROR(((IFERROR(SUM(FILTER('Fund Investment Data'!$V:$V, 'Fund Investment Data'!$C:$C = $C1493, 'Fund Investment Data'!$A:$A = $A1493 - 2, 'Fund Investment Data'!$B:$B &gt;= 4)) * Parameters!$B$4,0) + IFERROR(SUM(FILTER('Fund Investment Data'!$V:$V, 'Fund "&amp;"Investment Data'!$C:$C = $C1493, 'Fund Investment Data'!$A:$A = $A1493 - 1, 'Fund Investment Data'!$B:$B &lt;= 3)) * Parameters!$B$4,0))),0)"),0.0)</f>
        <v>0</v>
      </c>
      <c r="AC1493" s="32">
        <f>IFERROR(__xludf.DUMMYFUNCTION("IFERROR(FILTER($AF:$AF,$C:$C = $C1493,$A:$A = $A1493 - 1,$B:$B = 12),0)"),0.0)</f>
        <v>0</v>
      </c>
      <c r="AD1493" s="32">
        <f t="shared" si="23"/>
        <v>57027.28646</v>
      </c>
      <c r="AE1493" s="32">
        <f t="shared" si="2"/>
        <v>0.2864642209</v>
      </c>
      <c r="AF1493" s="32"/>
    </row>
    <row r="1494">
      <c r="A1494" s="101">
        <v>2019.0</v>
      </c>
      <c r="B1494" s="102">
        <v>8.0</v>
      </c>
      <c r="C1494" s="88" t="s">
        <v>49</v>
      </c>
      <c r="D1494" s="32"/>
      <c r="E1494" s="93">
        <v>-25015.0</v>
      </c>
      <c r="F1494" s="32"/>
      <c r="G1494" s="93">
        <v>-1897.72</v>
      </c>
      <c r="H1494" s="93">
        <v>8267.01</v>
      </c>
      <c r="I1494" s="93">
        <v>6576.53</v>
      </c>
      <c r="J1494" s="93">
        <v>38268.68</v>
      </c>
      <c r="K1494" s="32"/>
      <c r="L1494" s="32"/>
      <c r="M1494" s="32"/>
      <c r="N1494" s="32"/>
      <c r="O1494" s="93">
        <v>500433.52</v>
      </c>
      <c r="P1494" s="91">
        <f>IFERROR(__xludf.DUMMYFUNCTION("IFERROR(sum(FILTER($D:$N,$C:$C = $C1494,$A:$A &lt; $A1494,$B:$B = 12)),0) + sum($D1494:$N1494)"),500433.81999999983)</f>
        <v>500433.82</v>
      </c>
      <c r="Q1494" s="92">
        <f t="shared" si="1"/>
        <v>-0.2999999998</v>
      </c>
      <c r="R1494" s="91">
        <f t="array" ref="R1494">IFERROR(INDEX('Fund YTD Target Values'!$1:$1000, MATCH($C1494,'Fund YTD Target Values'!$A:$A,0), MATCH($A1494,'Fund YTD Target Values'!$1:$1,0)),0)</f>
        <v>714091.1961</v>
      </c>
      <c r="S1494" s="91">
        <f>IFERROR(__xludf.DUMMYFUNCTION("IFERROR(sum(FILTER('Fund Investment Data'!$V:$V, 'Fund Investment Data'!$C:$C = $C1494, 'Fund Investment Data'!$A:$A &lt; $A1494)),0) + IFERROR(sum(FILTER('Fund Investment Data'!$V:$V, 'Fund Investment Data'!$C:$C = $C1494, 'Fund Investment Data'!$A:$A = $A1"&amp;"494, 'Fund Investment Data'!$B:$B &lt;= $B1494)),0)"),500000.0)</f>
        <v>500000</v>
      </c>
      <c r="T1494" s="32"/>
      <c r="U1494" s="32"/>
      <c r="V1494" s="32">
        <f>IFERROR(__xludf.DUMMYFUNCTION("$D1494 - IFERROR(FILTER($D:$D,$C:$C = $C1494, $A:$A = $A1494, $B:$B = $B1494 - 1),0)"),0.0)</f>
        <v>0</v>
      </c>
      <c r="W1494" s="93">
        <f>IFERROR(__xludf.DUMMYFUNCTION("$E1494 - IFERROR(FILTER($E:$E,$C:$C = $C1494, $A:$A = $A1494, $B:$B = $B1494 - 1),0)"),-15.0)</f>
        <v>-15</v>
      </c>
      <c r="X1494" s="91">
        <f>IFERROR(__xludf.DUMMYFUNCTION("iFERROR((FILTER('Fund Investment Data'!$Z:$Z, 'Fund Investment Data'!$C:$C = $C1494, 'Fund Investment Data'!$A:$A = $A1494 - 1, 'Fund Investment Data'!$B:$B = 12) + FILTER('Fund Investment Data'!$AB:$AB, 'Fund Investment Data'!$C:$C = $C1494, 'Fund Invest"&amp;"ment Data'!$A:$A = $A1494 - 1, 'Fund Investment Data'!$B:$B = 12)) * (1 + AVERAGE(FILTER('Inflation Data'!$C:$C,'Inflation Data'!$A:$A = ($A1494 - 2)))) * Parameters!$A$4,0)"),17620.730663710416)</f>
        <v>17620.73066</v>
      </c>
      <c r="Y1494" s="91">
        <f>IFERROR(__xludf.DUMMYFUNCTION("IFERROR((IFERROR(FILTER('Fund Investment Data'!$P:$P,'Fund Investment Data'!$C:$C = $C1494,'Fund Investment Data'!$A:$A = ($A1494 - 2), 'Fund Investment Data'!$B:$B = 12),0) - SUM(FILTER('Fund Investment Data'!$V:$V, 'Fund Investment Data'!$C:$C = $C1494,"&amp;" 'Fund Investment Data'!$A:$A = ($A1494 - 2), 'Fund Investment Data'!$B:$B &gt; 3)))  * Parameters!$B$4 * (1 - Parameters!$A$4),0)"),7394.127389999999)</f>
        <v>7394.12739</v>
      </c>
      <c r="Z1494" s="91">
        <f t="shared" si="24"/>
        <v>25014.85805</v>
      </c>
      <c r="AA1494" s="91">
        <f>IFERROR(__xludf.DUMMYFUNCTION("((IFERROR((SUM(FILTER('Fund Investment Data'!$V:$V, 'Fund Investment Data'!$C:$C = $C1494, 'Fund Investment Data'!$A:$A = $A1494 - 1, 'Fund Investment Data'!$B:$B &gt;= 4, 'Fund Investment Data'!$B:$B &lt;= ($B1494 + 5))) / 12) * ($B1494 - 3) * Parameters!$B$4,"&amp;" 0) + IF($B1494 &gt;= 9, IFERROR(SUM(FILTER('Fund Investment Data'!$V:$V, 'Fund Investment Data'!$C:$C = $C1494, 'Fund Investment Data'!$A:$A = $A1494, 'Fund Investment Data'!$B:$B &lt;= 3)) * Parameters!$B$4, 0),0)))"),0.0)</f>
        <v>0</v>
      </c>
      <c r="AB1494" s="32">
        <f>IFERROR(__xludf.DUMMYFUNCTION("IFERROR(((IFERROR(SUM(FILTER('Fund Investment Data'!$V:$V, 'Fund Investment Data'!$C:$C = $C1494, 'Fund Investment Data'!$A:$A = $A1494 - 2, 'Fund Investment Data'!$B:$B &gt;= 4)) * Parameters!$B$4,0) + IFERROR(SUM(FILTER('Fund Investment Data'!$V:$V, 'Fund "&amp;"Investment Data'!$C:$C = $C1494, 'Fund Investment Data'!$A:$A = $A1494 - 1, 'Fund Investment Data'!$B:$B &lt;= 3)) * Parameters!$B$4,0))),0)"),0.0)</f>
        <v>0</v>
      </c>
      <c r="AC1494" s="32">
        <f>IFERROR(__xludf.DUMMYFUNCTION("IFERROR(FILTER($AF:$AF,$C:$C = $C1494,$A:$A = $A1494 - 1,$B:$B = 12),0)"),0.0)</f>
        <v>0</v>
      </c>
      <c r="AD1494" s="32">
        <f t="shared" si="23"/>
        <v>25014.85805</v>
      </c>
      <c r="AE1494" s="32">
        <f t="shared" si="2"/>
        <v>-0.1419462896</v>
      </c>
      <c r="AF1494" s="32"/>
    </row>
    <row r="1495">
      <c r="A1495" s="86">
        <v>2019.0</v>
      </c>
      <c r="B1495" s="87">
        <v>8.0</v>
      </c>
      <c r="C1495" s="88" t="s">
        <v>41</v>
      </c>
      <c r="D1495" s="32"/>
      <c r="E1495" s="93">
        <v>-14038.0</v>
      </c>
      <c r="F1495" s="32"/>
      <c r="G1495" s="93">
        <v>-2360.5</v>
      </c>
      <c r="H1495" s="93">
        <v>10254.44</v>
      </c>
      <c r="I1495" s="93">
        <v>2331.86</v>
      </c>
      <c r="J1495" s="93">
        <v>52758.16</v>
      </c>
      <c r="K1495" s="32"/>
      <c r="L1495" s="32"/>
      <c r="M1495" s="32"/>
      <c r="N1495" s="32"/>
      <c r="O1495" s="93">
        <v>632123.43</v>
      </c>
      <c r="P1495" s="91">
        <f>IFERROR(__xludf.DUMMYFUNCTION("IFERROR(sum(FILTER($D:$N,$C:$C = $C1495,$A:$A &lt; $A1495,$B:$B = 12)),0) + sum($D1495:$N1495)"),632124.28)</f>
        <v>632124.28</v>
      </c>
      <c r="Q1495" s="92">
        <f t="shared" si="1"/>
        <v>-0.85</v>
      </c>
      <c r="R1495" s="91">
        <f t="array" ref="R1495">IFERROR(INDEX('Fund YTD Target Values'!$1:$1000, MATCH($C1495,'Fund YTD Target Values'!$A:$A,0), MATCH($A1495,'Fund YTD Target Values'!$1:$1,0)),0)</f>
        <v>598621.3568</v>
      </c>
      <c r="S1495" s="91">
        <f>IFERROR(__xludf.DUMMYFUNCTION("IFERROR(sum(FILTER('Fund Investment Data'!$V:$V, 'Fund Investment Data'!$C:$C = $C1495, 'Fund Investment Data'!$A:$A &lt; $A1495)),0) + IFERROR(sum(FILTER('Fund Investment Data'!$V:$V, 'Fund Investment Data'!$C:$C = $C1495, 'Fund Investment Data'!$A:$A = $A1"&amp;"495, 'Fund Investment Data'!$B:$B &lt;= $B1495)),0)"),433755.86)</f>
        <v>433755.86</v>
      </c>
      <c r="T1495" s="32"/>
      <c r="U1495" s="32"/>
      <c r="V1495" s="32">
        <f>IFERROR(__xludf.DUMMYFUNCTION("$D1495 - IFERROR(FILTER($D:$D,$C:$C = $C1495, $A:$A = $A1495, $B:$B = $B1495 - 1),0)"),0.0)</f>
        <v>0</v>
      </c>
      <c r="W1495" s="93">
        <f>IFERROR(__xludf.DUMMYFUNCTION("$E1495 - IFERROR(FILTER($E:$E,$C:$C = $C1495, $A:$A = $A1495, $B:$B = $B1495 - 1),0)"),0.0)</f>
        <v>0</v>
      </c>
      <c r="X1495" s="91">
        <f>IFERROR(__xludf.DUMMYFUNCTION("iFERROR((FILTER('Fund Investment Data'!$Z:$Z, 'Fund Investment Data'!$C:$C = $C1495, 'Fund Investment Data'!$A:$A = $A1495 - 1, 'Fund Investment Data'!$B:$B = 12) + FILTER('Fund Investment Data'!$AB:$AB, 'Fund Investment Data'!$C:$C = $C1495, 'Fund Invest"&amp;"ment Data'!$A:$A = $A1495 - 1, 'Fund Investment Data'!$B:$B = 12)) * (1 + AVERAGE(FILTER('Inflation Data'!$C:$C,'Inflation Data'!$A:$A = ($A1495 - 2)))) * Parameters!$A$4,0)"),18464.76285534869)</f>
        <v>18464.76286</v>
      </c>
      <c r="Y1495" s="91">
        <f>IFERROR(__xludf.DUMMYFUNCTION("IFERROR((IFERROR(FILTER('Fund Investment Data'!$P:$P,'Fund Investment Data'!$C:$C = $C1495,'Fund Investment Data'!$A:$A = ($A1495 - 2), 'Fund Investment Data'!$B:$B = 12),0) - SUM(FILTER('Fund Investment Data'!$V:$V, 'Fund Investment Data'!$C:$C = $C1495,"&amp;" 'Fund Investment Data'!$A:$A = ($A1495 - 2), 'Fund Investment Data'!$B:$B &gt; 3)))  * Parameters!$B$4 * (1 - Parameters!$A$4),0)"),8817.111225000002)</f>
        <v>8817.111225</v>
      </c>
      <c r="Z1495" s="91">
        <f t="shared" si="24"/>
        <v>27281.87408</v>
      </c>
      <c r="AA1495" s="91">
        <f>IFERROR(__xludf.DUMMYFUNCTION("((IFERROR((SUM(FILTER('Fund Investment Data'!$V:$V, 'Fund Investment Data'!$C:$C = $C1495, 'Fund Investment Data'!$A:$A = $A1495 - 1, 'Fund Investment Data'!$B:$B &gt;= 4, 'Fund Investment Data'!$B:$B &lt;= ($B1495 + 5))) / 12) * ($B1495 - 3) * Parameters!$B$4,"&amp;" 0) + IF($B1495 &gt;= 9, IFERROR(SUM(FILTER('Fund Investment Data'!$V:$V, 'Fund Investment Data'!$C:$C = $C1495, 'Fund Investment Data'!$A:$A = $A1495, 'Fund Investment Data'!$B:$B &lt;= 3)) * Parameters!$B$4, 0),0)))"),0.0)</f>
        <v>0</v>
      </c>
      <c r="AB1495" s="32">
        <f>IFERROR(__xludf.DUMMYFUNCTION("IFERROR(((IFERROR(SUM(FILTER('Fund Investment Data'!$V:$V, 'Fund Investment Data'!$C:$C = $C1495, 'Fund Investment Data'!$A:$A = $A1495 - 2, 'Fund Investment Data'!$B:$B &gt;= 4)) * Parameters!$B$4,0) + IFERROR(SUM(FILTER('Fund Investment Data'!$V:$V, 'Fund "&amp;"Investment Data'!$C:$C = $C1495, 'Fund Investment Data'!$A:$A = $A1495 - 1, 'Fund Investment Data'!$B:$B &lt;= 3)) * Parameters!$B$4,0))),0)"),0.0)</f>
        <v>0</v>
      </c>
      <c r="AC1495" s="32">
        <f>IFERROR(__xludf.DUMMYFUNCTION("IFERROR(FILTER($AF:$AF,$C:$C = $C1495,$A:$A = $A1495 - 1,$B:$B = 12),0)"),0.0)</f>
        <v>0</v>
      </c>
      <c r="AD1495" s="32">
        <f t="shared" si="23"/>
        <v>27281.87408</v>
      </c>
      <c r="AE1495" s="32">
        <f t="shared" si="2"/>
        <v>13243.87408</v>
      </c>
      <c r="AF1495" s="32"/>
    </row>
    <row r="1496">
      <c r="A1496" s="86">
        <v>2019.0</v>
      </c>
      <c r="B1496" s="87">
        <v>8.0</v>
      </c>
      <c r="C1496" s="88" t="s">
        <v>25</v>
      </c>
      <c r="D1496" s="32"/>
      <c r="E1496" s="32"/>
      <c r="F1496" s="32"/>
      <c r="G1496" s="93">
        <v>-304.24</v>
      </c>
      <c r="H1496" s="93">
        <v>1320.47</v>
      </c>
      <c r="I1496" s="32"/>
      <c r="J1496" s="93">
        <v>7044.92</v>
      </c>
      <c r="K1496" s="32"/>
      <c r="L1496" s="32"/>
      <c r="M1496" s="32"/>
      <c r="N1496" s="32"/>
      <c r="O1496" s="93">
        <v>82899.13</v>
      </c>
      <c r="P1496" s="91">
        <f>IFERROR(__xludf.DUMMYFUNCTION("IFERROR(sum(FILTER($D:$N,$C:$C = $C1496,$A:$A &lt; $A1496,$B:$B = 12)),0) + sum($D1496:$N1496)"),82899.12)</f>
        <v>82899.12</v>
      </c>
      <c r="Q1496" s="92">
        <f t="shared" si="1"/>
        <v>0.01000000001</v>
      </c>
      <c r="R1496" s="91">
        <f t="array" ref="R1496">IFERROR(INDEX('Fund YTD Target Values'!$1:$1000, MATCH($C1496,'Fund YTD Target Values'!$A:$A,0), MATCH($A1496,'Fund YTD Target Values'!$1:$1,0)),0)</f>
        <v>111153.3247</v>
      </c>
      <c r="S1496" s="91">
        <f>IFERROR(__xludf.DUMMYFUNCTION("IFERROR(sum(FILTER('Fund Investment Data'!$V:$V, 'Fund Investment Data'!$C:$C = $C1496, 'Fund Investment Data'!$A:$A &lt; $A1496)),0) + IFERROR(sum(FILTER('Fund Investment Data'!$V:$V, 'Fund Investment Data'!$C:$C = $C1496, 'Fund Investment Data'!$A:$A = $A1"&amp;"496, 'Fund Investment Data'!$B:$B &lt;= $B1496)),0)"),81000.0)</f>
        <v>81000</v>
      </c>
      <c r="T1496" s="32"/>
      <c r="U1496" s="32"/>
      <c r="V1496" s="32">
        <f>IFERROR(__xludf.DUMMYFUNCTION("$D1496 - IFERROR(FILTER($D:$D,$C:$C = $C1496, $A:$A = $A1496, $B:$B = $B1496 - 1),0)"),0.0)</f>
        <v>0</v>
      </c>
      <c r="W1496" s="93">
        <f>IFERROR(__xludf.DUMMYFUNCTION("$E1496 - IFERROR(FILTER($E:$E,$C:$C = $C1496, $A:$A = $A1496, $B:$B = $B1496 - 1),0)"),0.0)</f>
        <v>0</v>
      </c>
      <c r="X1496" s="91">
        <f>IFERROR(__xludf.DUMMYFUNCTION("iFERROR((FILTER('Fund Investment Data'!$Z:$Z, 'Fund Investment Data'!$C:$C = $C1496, 'Fund Investment Data'!$A:$A = $A1496 - 1, 'Fund Investment Data'!$B:$B = 12) + FILTER('Fund Investment Data'!$AB:$AB, 'Fund Investment Data'!$C:$C = $C1496, 'Fund Invest"&amp;"ment Data'!$A:$A = $A1496 - 1, 'Fund Investment Data'!$B:$B = 12)) * (1 + AVERAGE(FILTER('Inflation Data'!$C:$C,'Inflation Data'!$A:$A = ($A1496 - 2)))) * Parameters!$A$4,0)"),3251.4512616945367)</f>
        <v>3251.451262</v>
      </c>
      <c r="Y1496" s="91">
        <f>IFERROR(__xludf.DUMMYFUNCTION("IFERROR((IFERROR(FILTER('Fund Investment Data'!$P:$P,'Fund Investment Data'!$C:$C = $C1496,'Fund Investment Data'!$A:$A = ($A1496 - 2), 'Fund Investment Data'!$B:$B = 12),0) - SUM(FILTER('Fund Investment Data'!$V:$V, 'Fund Investment Data'!$C:$C = $C1496,"&amp;" 'Fund Investment Data'!$A:$A = ($A1496 - 2), 'Fund Investment Data'!$B:$B &gt; 3)))  * Parameters!$B$4 * (1 - Parameters!$A$4),0)"),1364.3954549999999)</f>
        <v>1364.395455</v>
      </c>
      <c r="Z1496" s="91">
        <f t="shared" si="24"/>
        <v>4615.846717</v>
      </c>
      <c r="AA1496" s="91">
        <f>IFERROR(__xludf.DUMMYFUNCTION("((IFERROR((SUM(FILTER('Fund Investment Data'!$V:$V, 'Fund Investment Data'!$C:$C = $C1496, 'Fund Investment Data'!$A:$A = $A1496 - 1, 'Fund Investment Data'!$B:$B &gt;= 4, 'Fund Investment Data'!$B:$B &lt;= ($B1496 + 5))) / 12) * ($B1496 - 3) * Parameters!$B$4,"&amp;" 0) + IF($B1496 &gt;= 9, IFERROR(SUM(FILTER('Fund Investment Data'!$V:$V, 'Fund Investment Data'!$C:$C = $C1496, 'Fund Investment Data'!$A:$A = $A1496, 'Fund Investment Data'!$B:$B &lt;= 3)) * Parameters!$B$4, 0),0)))"),0.0)</f>
        <v>0</v>
      </c>
      <c r="AB1496" s="32">
        <f>IFERROR(__xludf.DUMMYFUNCTION("IFERROR(((IFERROR(SUM(FILTER('Fund Investment Data'!$V:$V, 'Fund Investment Data'!$C:$C = $C1496, 'Fund Investment Data'!$A:$A = $A1496 - 2, 'Fund Investment Data'!$B:$B &gt;= 4)) * Parameters!$B$4,0) + IFERROR(SUM(FILTER('Fund Investment Data'!$V:$V, 'Fund "&amp;"Investment Data'!$C:$C = $C1496, 'Fund Investment Data'!$A:$A = $A1496 - 1, 'Fund Investment Data'!$B:$B &lt;= 3)) * Parameters!$B$4,0))),0)"),0.0)</f>
        <v>0</v>
      </c>
      <c r="AC1496" s="32">
        <f>IFERROR(__xludf.DUMMYFUNCTION("IFERROR(FILTER($AF:$AF,$C:$C = $C1496,$A:$A = $A1496 - 1,$B:$B = 12),0)"),0.0)</f>
        <v>0</v>
      </c>
      <c r="AD1496" s="32">
        <f t="shared" si="23"/>
        <v>4615.846717</v>
      </c>
      <c r="AE1496" s="32">
        <f t="shared" si="2"/>
        <v>4615.846717</v>
      </c>
      <c r="AF1496" s="32"/>
    </row>
    <row r="1497">
      <c r="A1497" s="101">
        <v>2019.0</v>
      </c>
      <c r="B1497" s="102">
        <v>8.0</v>
      </c>
      <c r="C1497" s="88" t="s">
        <v>42</v>
      </c>
      <c r="D1497" s="32"/>
      <c r="E1497" s="32"/>
      <c r="F1497" s="32"/>
      <c r="G1497" s="93">
        <v>-1100.94</v>
      </c>
      <c r="H1497" s="93">
        <v>4776.7</v>
      </c>
      <c r="I1497" s="32"/>
      <c r="J1497" s="93">
        <v>25397.49</v>
      </c>
      <c r="K1497" s="32"/>
      <c r="L1497" s="32"/>
      <c r="M1497" s="32"/>
      <c r="N1497" s="32"/>
      <c r="O1497" s="93">
        <v>299949.75</v>
      </c>
      <c r="P1497" s="91">
        <f>IFERROR(__xludf.DUMMYFUNCTION("IFERROR(sum(FILTER($D:$N,$C:$C = $C1497,$A:$A &lt; $A1497,$B:$B = 12)),0) + sum($D1497:$N1497)"),299949.2200000001)</f>
        <v>299949.22</v>
      </c>
      <c r="Q1497" s="92">
        <f t="shared" si="1"/>
        <v>0.5299999999</v>
      </c>
      <c r="R1497" s="91">
        <f t="array" ref="R1497">IFERROR(INDEX('Fund YTD Target Values'!$1:$1000, MATCH($C1497,'Fund YTD Target Values'!$A:$A,0), MATCH($A1497,'Fund YTD Target Values'!$1:$1,0)),0)</f>
        <v>244537.4928</v>
      </c>
      <c r="S1497" s="91">
        <f>IFERROR(__xludf.DUMMYFUNCTION("IFERROR(sum(FILTER('Fund Investment Data'!$V:$V, 'Fund Investment Data'!$C:$C = $C1497, 'Fund Investment Data'!$A:$A &lt; $A1497)),0) + IFERROR(sum(FILTER('Fund Investment Data'!$V:$V, 'Fund Investment Data'!$C:$C = $C1497, 'Fund Investment Data'!$A:$A = $A1"&amp;"497, 'Fund Investment Data'!$B:$B &lt;= $B1497)),0)"),194469.0)</f>
        <v>194469</v>
      </c>
      <c r="T1497" s="32"/>
      <c r="U1497" s="32"/>
      <c r="V1497" s="32">
        <f>IFERROR(__xludf.DUMMYFUNCTION("$D1497 - IFERROR(FILTER($D:$D,$C:$C = $C1497, $A:$A = $A1497, $B:$B = $B1497 - 1),0)"),0.0)</f>
        <v>0</v>
      </c>
      <c r="W1497" s="93">
        <f>IFERROR(__xludf.DUMMYFUNCTION("$E1497 - IFERROR(FILTER($E:$E,$C:$C = $C1497, $A:$A = $A1497, $B:$B = $B1497 - 1),0)"),0.0)</f>
        <v>0</v>
      </c>
      <c r="X1497" s="91">
        <f>IFERROR(__xludf.DUMMYFUNCTION("iFERROR((FILTER('Fund Investment Data'!$Z:$Z, 'Fund Investment Data'!$C:$C = $C1497, 'Fund Investment Data'!$A:$A = $A1497 - 1, 'Fund Investment Data'!$B:$B = 12) + FILTER('Fund Investment Data'!$AB:$AB, 'Fund Investment Data'!$C:$C = $C1497, 'Fund Invest"&amp;"ment Data'!$A:$A = $A1497 - 1, 'Fund Investment Data'!$B:$B = 12)) * (1 + AVERAGE(FILTER('Inflation Data'!$C:$C,'Inflation Data'!$A:$A = ($A1497 - 2)))) * Parameters!$A$4,0)"),7542.876247032937)</f>
        <v>7542.876247</v>
      </c>
      <c r="Y1497" s="91">
        <f>IFERROR(__xludf.DUMMYFUNCTION("IFERROR((IFERROR(FILTER('Fund Investment Data'!$P:$P,'Fund Investment Data'!$C:$C = $C1497,'Fund Investment Data'!$A:$A = ($A1497 - 2), 'Fund Investment Data'!$B:$B = 12),0) - SUM(FILTER('Fund Investment Data'!$V:$V, 'Fund Investment Data'!$C:$C = $C1497,"&amp;" 'Fund Investment Data'!$A:$A = ($A1497 - 2), 'Fund Investment Data'!$B:$B &gt; 3)))  * Parameters!$B$4 * (1 - Parameters!$A$4),0)"),4042.544760000002)</f>
        <v>4042.54476</v>
      </c>
      <c r="Z1497" s="91">
        <f t="shared" si="24"/>
        <v>11585.42101</v>
      </c>
      <c r="AA1497" s="91">
        <f>IFERROR(__xludf.DUMMYFUNCTION("((IFERROR((SUM(FILTER('Fund Investment Data'!$V:$V, 'Fund Investment Data'!$C:$C = $C1497, 'Fund Investment Data'!$A:$A = $A1497 - 1, 'Fund Investment Data'!$B:$B &gt;= 4, 'Fund Investment Data'!$B:$B &lt;= ($B1497 + 5))) / 12) * ($B1497 - 3) * Parameters!$B$4,"&amp;" 0) + IF($B1497 &gt;= 9, IFERROR(SUM(FILTER('Fund Investment Data'!$V:$V, 'Fund Investment Data'!$C:$C = $C1497, 'Fund Investment Data'!$A:$A = $A1497, 'Fund Investment Data'!$B:$B &lt;= 3)) * Parameters!$B$4, 0),0)))"),0.0)</f>
        <v>0</v>
      </c>
      <c r="AB1497" s="32">
        <f>IFERROR(__xludf.DUMMYFUNCTION("IFERROR(((IFERROR(SUM(FILTER('Fund Investment Data'!$V:$V, 'Fund Investment Data'!$C:$C = $C1497, 'Fund Investment Data'!$A:$A = $A1497 - 2, 'Fund Investment Data'!$B:$B &gt;= 4)) * Parameters!$B$4,0) + IFERROR(SUM(FILTER('Fund Investment Data'!$V:$V, 'Fund "&amp;"Investment Data'!$C:$C = $C1497, 'Fund Investment Data'!$A:$A = $A1497 - 1, 'Fund Investment Data'!$B:$B &lt;= 3)) * Parameters!$B$4,0))),0)"),0.0)</f>
        <v>0</v>
      </c>
      <c r="AC1497" s="32">
        <f>IFERROR(__xludf.DUMMYFUNCTION("IFERROR(FILTER($AF:$AF,$C:$C = $C1497,$A:$A = $A1497 - 1,$B:$B = 12),0)"),0.0)</f>
        <v>0</v>
      </c>
      <c r="AD1497" s="32">
        <f t="shared" si="23"/>
        <v>11585.42101</v>
      </c>
      <c r="AE1497" s="32">
        <f t="shared" si="2"/>
        <v>11585.42101</v>
      </c>
      <c r="AF1497" s="32"/>
    </row>
    <row r="1498">
      <c r="A1498" s="101">
        <v>2019.0</v>
      </c>
      <c r="B1498" s="102">
        <v>8.0</v>
      </c>
      <c r="C1498" s="88" t="s">
        <v>43</v>
      </c>
      <c r="D1498" s="32"/>
      <c r="E1498" s="93">
        <v>-5732.0</v>
      </c>
      <c r="F1498" s="32"/>
      <c r="G1498" s="93">
        <v>-441.44</v>
      </c>
      <c r="H1498" s="93">
        <v>1919.04</v>
      </c>
      <c r="I1498" s="93">
        <v>1332.53</v>
      </c>
      <c r="J1498" s="93">
        <v>9093.98</v>
      </c>
      <c r="K1498" s="32"/>
      <c r="L1498" s="32"/>
      <c r="M1498" s="32"/>
      <c r="N1498" s="32"/>
      <c r="O1498" s="93">
        <v>116470.33</v>
      </c>
      <c r="P1498" s="91">
        <f>IFERROR(__xludf.DUMMYFUNCTION("IFERROR(sum(FILTER($D:$N,$C:$C = $C1498,$A:$A &lt; $A1498,$B:$B = 12)),0) + sum($D1498:$N1498)"),116469.59000000003)</f>
        <v>116469.59</v>
      </c>
      <c r="Q1498" s="92">
        <f t="shared" si="1"/>
        <v>0.74</v>
      </c>
      <c r="R1498" s="91">
        <f t="array" ref="R1498">IFERROR(INDEX('Fund YTD Target Values'!$1:$1000, MATCH($C1498,'Fund YTD Target Values'!$A:$A,0), MATCH($A1498,'Fund YTD Target Values'!$1:$1,0)),0)</f>
        <v>133065.1141</v>
      </c>
      <c r="S1498" s="91">
        <f>IFERROR(__xludf.DUMMYFUNCTION("IFERROR(sum(FILTER('Fund Investment Data'!$V:$V, 'Fund Investment Data'!$C:$C = $C1498, 'Fund Investment Data'!$A:$A &lt; $A1498)),0) + IFERROR(sum(FILTER('Fund Investment Data'!$V:$V, 'Fund Investment Data'!$C:$C = $C1498, 'Fund Investment Data'!$A:$A = $A1"&amp;"498, 'Fund Investment Data'!$B:$B &lt;= $B1498)),0)"),100000.0)</f>
        <v>100000</v>
      </c>
      <c r="T1498" s="32"/>
      <c r="U1498" s="32"/>
      <c r="V1498" s="32">
        <f>IFERROR(__xludf.DUMMYFUNCTION("$D1498 - IFERROR(FILTER($D:$D,$C:$C = $C1498, $A:$A = $A1498, $B:$B = $B1498 - 1),0)"),0.0)</f>
        <v>0</v>
      </c>
      <c r="W1498" s="93">
        <f>IFERROR(__xludf.DUMMYFUNCTION("$E1498 - IFERROR(FILTER($E:$E,$C:$C = $C1498, $A:$A = $A1498, $B:$B = $B1498 - 1),0)"),-732.0)</f>
        <v>-732</v>
      </c>
      <c r="X1498" s="91">
        <f>IFERROR(__xludf.DUMMYFUNCTION("iFERROR((FILTER('Fund Investment Data'!$Z:$Z, 'Fund Investment Data'!$C:$C = $C1498, 'Fund Investment Data'!$A:$A = $A1498 - 1, 'Fund Investment Data'!$B:$B = 12) + FILTER('Fund Investment Data'!$AB:$AB, 'Fund Investment Data'!$C:$C = $C1498, 'Fund Invest"&amp;"ment Data'!$A:$A = $A1498 - 1, 'Fund Investment Data'!$B:$B = 12)) * (1 + AVERAGE(FILTER('Inflation Data'!$C:$C,'Inflation Data'!$A:$A = ($A1498 - 2)))) * Parameters!$A$4,0)"),4037.921818829265)</f>
        <v>4037.921819</v>
      </c>
      <c r="Y1498" s="91">
        <f>IFERROR(__xludf.DUMMYFUNCTION("IFERROR((IFERROR(FILTER('Fund Investment Data'!$P:$P,'Fund Investment Data'!$C:$C = $C1498,'Fund Investment Data'!$A:$A = ($A1498 - 2), 'Fund Investment Data'!$B:$B = 12),0) - SUM(FILTER('Fund Investment Data'!$V:$V, 'Fund Investment Data'!$C:$C = $C1498,"&amp;" 'Fund Investment Data'!$A:$A = ($A1498 - 2), 'Fund Investment Data'!$B:$B &gt; 3)))  * Parameters!$B$4 * (1 - Parameters!$A$4),0)"),1694.4194250000005)</f>
        <v>1694.419425</v>
      </c>
      <c r="Z1498" s="91">
        <f t="shared" si="24"/>
        <v>5732.341244</v>
      </c>
      <c r="AA1498" s="91">
        <f>IFERROR(__xludf.DUMMYFUNCTION("((IFERROR((SUM(FILTER('Fund Investment Data'!$V:$V, 'Fund Investment Data'!$C:$C = $C1498, 'Fund Investment Data'!$A:$A = $A1498 - 1, 'Fund Investment Data'!$B:$B &gt;= 4, 'Fund Investment Data'!$B:$B &lt;= ($B1498 + 5))) / 12) * ($B1498 - 3) * Parameters!$B$4,"&amp;" 0) + IF($B1498 &gt;= 9, IFERROR(SUM(FILTER('Fund Investment Data'!$V:$V, 'Fund Investment Data'!$C:$C = $C1498, 'Fund Investment Data'!$A:$A = $A1498, 'Fund Investment Data'!$B:$B &lt;= 3)) * Parameters!$B$4, 0),0)))"),0.0)</f>
        <v>0</v>
      </c>
      <c r="AB1498" s="32">
        <f>IFERROR(__xludf.DUMMYFUNCTION("IFERROR(((IFERROR(SUM(FILTER('Fund Investment Data'!$V:$V, 'Fund Investment Data'!$C:$C = $C1498, 'Fund Investment Data'!$A:$A = $A1498 - 2, 'Fund Investment Data'!$B:$B &gt;= 4)) * Parameters!$B$4,0) + IFERROR(SUM(FILTER('Fund Investment Data'!$V:$V, 'Fund "&amp;"Investment Data'!$C:$C = $C1498, 'Fund Investment Data'!$A:$A = $A1498 - 1, 'Fund Investment Data'!$B:$B &lt;= 3)) * Parameters!$B$4,0))),0)"),0.0)</f>
        <v>0</v>
      </c>
      <c r="AC1498" s="32">
        <f>IFERROR(__xludf.DUMMYFUNCTION("IFERROR(FILTER($AF:$AF,$C:$C = $C1498,$A:$A = $A1498 - 1,$B:$B = 12),0)"),0.0)</f>
        <v>0</v>
      </c>
      <c r="AD1498" s="32">
        <f t="shared" si="23"/>
        <v>5732.341244</v>
      </c>
      <c r="AE1498" s="32">
        <f t="shared" si="2"/>
        <v>0.3412438293</v>
      </c>
      <c r="AF1498" s="32"/>
    </row>
    <row r="1499">
      <c r="A1499" s="86">
        <v>2019.0</v>
      </c>
      <c r="B1499" s="87">
        <v>8.0</v>
      </c>
      <c r="C1499" s="88" t="s">
        <v>52</v>
      </c>
      <c r="D1499" s="93">
        <v>1000.0</v>
      </c>
      <c r="E1499" s="93">
        <v>-47900.0</v>
      </c>
      <c r="F1499" s="32"/>
      <c r="G1499" s="93">
        <v>-4384.43</v>
      </c>
      <c r="H1499" s="93">
        <v>19076.99</v>
      </c>
      <c r="I1499" s="32"/>
      <c r="J1499" s="93">
        <v>103085.74</v>
      </c>
      <c r="K1499" s="32"/>
      <c r="L1499" s="93">
        <v>-50.54</v>
      </c>
      <c r="M1499" s="32"/>
      <c r="N1499" s="32"/>
      <c r="O1499" s="93">
        <v>1162368.11</v>
      </c>
      <c r="P1499" s="91">
        <f>IFERROR(__xludf.DUMMYFUNCTION("IFERROR(sum(FILTER($D:$N,$C:$C = $C1499,$A:$A &lt; $A1499,$B:$B = 12)),0) + sum($D1499:$N1499)"),1162367.7899999998)</f>
        <v>1162367.79</v>
      </c>
      <c r="Q1499" s="92">
        <f t="shared" si="1"/>
        <v>0.3200000003</v>
      </c>
      <c r="R1499" s="91">
        <f t="array" ref="R1499">IFERROR(INDEX('Fund YTD Target Values'!$1:$1000, MATCH($C1499,'Fund YTD Target Values'!$A:$A,0), MATCH($A1499,'Fund YTD Target Values'!$1:$1,0)),0)</f>
        <v>1170797.015</v>
      </c>
      <c r="S1499" s="91">
        <f>IFERROR(__xludf.DUMMYFUNCTION("IFERROR(sum(FILTER('Fund Investment Data'!$V:$V, 'Fund Investment Data'!$C:$C = $C1499, 'Fund Investment Data'!$A:$A &lt; $A1499)),0) + IFERROR(sum(FILTER('Fund Investment Data'!$V:$V, 'Fund Investment Data'!$C:$C = $C1499, 'Fund Investment Data'!$A:$A = $A1"&amp;"499, 'Fund Investment Data'!$B:$B &lt;= $B1499)),0)"),1081136.0)</f>
        <v>1081136</v>
      </c>
      <c r="T1499" s="32"/>
      <c r="U1499" s="32"/>
      <c r="V1499" s="32">
        <f>IFERROR(__xludf.DUMMYFUNCTION("$D1499 - IFERROR(FILTER($D:$D,$C:$C = $C1499, $A:$A = $A1499, $B:$B = $B1499 - 1),0)"),0.0)</f>
        <v>0</v>
      </c>
      <c r="W1499" s="93">
        <f>IFERROR(__xludf.DUMMYFUNCTION("$E1499 - IFERROR(FILTER($E:$E,$C:$C = $C1499, $A:$A = $A1499, $B:$B = $B1499 - 1),0)"),-2300.0)</f>
        <v>-2300</v>
      </c>
      <c r="X1499" s="91">
        <f>IFERROR(__xludf.DUMMYFUNCTION("iFERROR((FILTER('Fund Investment Data'!$Z:$Z, 'Fund Investment Data'!$C:$C = $C1499, 'Fund Investment Data'!$A:$A = $A1499 - 1, 'Fund Investment Data'!$B:$B = 12) + FILTER('Fund Investment Data'!$AB:$AB, 'Fund Investment Data'!$C:$C = $C1499, 'Fund Invest"&amp;"ment Data'!$A:$A = $A1499 - 1, 'Fund Investment Data'!$B:$B = 12)) * (1 + AVERAGE(FILTER('Inflation Data'!$C:$C,'Inflation Data'!$A:$A = ($A1499 - 2)))) * Parameters!$A$4,0)"),33647.195102028425)</f>
        <v>33647.1951</v>
      </c>
      <c r="Y1499" s="91">
        <f>IFERROR(__xludf.DUMMYFUNCTION("IFERROR((IFERROR(FILTER('Fund Investment Data'!$P:$P,'Fund Investment Data'!$C:$C = $C1499,'Fund Investment Data'!$A:$A = ($A1499 - 2), 'Fund Investment Data'!$B:$B = 12),0) - SUM(FILTER('Fund Investment Data'!$V:$V, 'Fund Investment Data'!$C:$C = $C1499,"&amp;" 'Fund Investment Data'!$A:$A = ($A1499 - 2), 'Fund Investment Data'!$B:$B &gt; 3)))  * Parameters!$B$4 * (1 - Parameters!$A$4),0)"),15672.907755)</f>
        <v>15672.90776</v>
      </c>
      <c r="Z1499" s="91">
        <f t="shared" si="24"/>
        <v>49320.10286</v>
      </c>
      <c r="AA1499" s="91">
        <f>IFERROR(__xludf.DUMMYFUNCTION("((IFERROR((SUM(FILTER('Fund Investment Data'!$V:$V, 'Fund Investment Data'!$C:$C = $C1499, 'Fund Investment Data'!$A:$A = $A1499 - 1, 'Fund Investment Data'!$B:$B &gt;= 4, 'Fund Investment Data'!$B:$B &lt;= ($B1499 + 5))) / 12) * ($B1499 - 3) * Parameters!$B$4,"&amp;" 0) + IF($B1499 &gt;= 9, IFERROR(SUM(FILTER('Fund Investment Data'!$V:$V, 'Fund Investment Data'!$C:$C = $C1499, 'Fund Investment Data'!$A:$A = $A1499, 'Fund Investment Data'!$B:$B &lt;= 3)) * Parameters!$B$4, 0),0)))"),0.0)</f>
        <v>0</v>
      </c>
      <c r="AB1499" s="32">
        <f>IFERROR(__xludf.DUMMYFUNCTION("IFERROR(((IFERROR(SUM(FILTER('Fund Investment Data'!$V:$V, 'Fund Investment Data'!$C:$C = $C1499, 'Fund Investment Data'!$A:$A = $A1499 - 2, 'Fund Investment Data'!$B:$B &gt;= 4)) * Parameters!$B$4,0) + IFERROR(SUM(FILTER('Fund Investment Data'!$V:$V, 'Fund "&amp;"Investment Data'!$C:$C = $C1499, 'Fund Investment Data'!$A:$A = $A1499 - 1, 'Fund Investment Data'!$B:$B &lt;= 3)) * Parameters!$B$4,0))),0)"),3532.5)</f>
        <v>3532.5</v>
      </c>
      <c r="AC1499" s="32">
        <f>IFERROR(__xludf.DUMMYFUNCTION("IFERROR(FILTER($AF:$AF,$C:$C = $C1499,$A:$A = $A1499 - 1,$B:$B = 12),0)"),0.0)</f>
        <v>0</v>
      </c>
      <c r="AD1499" s="32">
        <f t="shared" si="23"/>
        <v>52852.60286</v>
      </c>
      <c r="AE1499" s="32">
        <f t="shared" si="2"/>
        <v>4952.602857</v>
      </c>
      <c r="AF1499" s="32"/>
    </row>
    <row r="1500">
      <c r="A1500" s="86">
        <v>2019.0</v>
      </c>
      <c r="B1500" s="87">
        <v>8.0</v>
      </c>
      <c r="C1500" s="88" t="s">
        <v>33</v>
      </c>
      <c r="D1500" s="32"/>
      <c r="E1500" s="93">
        <v>-3608.0</v>
      </c>
      <c r="F1500" s="32"/>
      <c r="G1500" s="93">
        <v>-1269.04</v>
      </c>
      <c r="H1500" s="93">
        <v>5512.79</v>
      </c>
      <c r="I1500" s="32"/>
      <c r="J1500" s="93">
        <v>29471.2</v>
      </c>
      <c r="K1500" s="32"/>
      <c r="L1500" s="32"/>
      <c r="M1500" s="32"/>
      <c r="N1500" s="32"/>
      <c r="O1500" s="93">
        <v>343051.91</v>
      </c>
      <c r="P1500" s="91">
        <f>IFERROR(__xludf.DUMMYFUNCTION("IFERROR(sum(FILTER($D:$N,$C:$C = $C1500,$A:$A &lt; $A1500,$B:$B = 12)),0) + sum($D1500:$N1500)"),343052.12999999983)</f>
        <v>343052.13</v>
      </c>
      <c r="Q1500" s="92">
        <f t="shared" si="1"/>
        <v>-0.2199999999</v>
      </c>
      <c r="R1500" s="91">
        <f t="array" ref="R1500">IFERROR(INDEX('Fund YTD Target Values'!$1:$1000, MATCH($C1500,'Fund YTD Target Values'!$A:$A,0), MATCH($A1500,'Fund YTD Target Values'!$1:$1,0)),0)</f>
        <v>522221.9976</v>
      </c>
      <c r="S1500" s="91">
        <f>IFERROR(__xludf.DUMMYFUNCTION("IFERROR(sum(FILTER('Fund Investment Data'!$V:$V, 'Fund Investment Data'!$C:$C = $C1500, 'Fund Investment Data'!$A:$A &lt; $A1500)),0) + IFERROR(sum(FILTER('Fund Investment Data'!$V:$V, 'Fund Investment Data'!$C:$C = $C1500, 'Fund Investment Data'!$A:$A = $A1"&amp;"500, 'Fund Investment Data'!$B:$B &lt;= $B1500)),0)"),325871.6399999999)</f>
        <v>325871.64</v>
      </c>
      <c r="T1500" s="32"/>
      <c r="U1500" s="32"/>
      <c r="V1500" s="32">
        <f>IFERROR(__xludf.DUMMYFUNCTION("$D1500 - IFERROR(FILTER($D:$D,$C:$C = $C1500, $A:$A = $A1500, $B:$B = $B1500 - 1),0)"),0.0)</f>
        <v>0</v>
      </c>
      <c r="W1500" s="93">
        <f>IFERROR(__xludf.DUMMYFUNCTION("$E1500 - IFERROR(FILTER($E:$E,$C:$C = $C1500, $A:$A = $A1500, $B:$B = $B1500 - 1),0)"),-108.0)</f>
        <v>-108</v>
      </c>
      <c r="X1500" s="91">
        <f>IFERROR(__xludf.DUMMYFUNCTION("iFERROR((FILTER('Fund Investment Data'!$Z:$Z, 'Fund Investment Data'!$C:$C = $C1500, 'Fund Investment Data'!$A:$A = $A1500 - 1, 'Fund Investment Data'!$B:$B = 12) + FILTER('Fund Investment Data'!$AB:$AB, 'Fund Investment Data'!$C:$C = $C1500, 'Fund Invest"&amp;"ment Data'!$A:$A = $A1500 - 1, 'Fund Investment Data'!$B:$B = 12)) * (1 + AVERAGE(FILTER('Inflation Data'!$C:$C,'Inflation Data'!$A:$A = ($A1500 - 2)))) * Parameters!$A$4,0)"),11487.702435867292)</f>
        <v>11487.70244</v>
      </c>
      <c r="Y1500" s="91">
        <f>IFERROR(__xludf.DUMMYFUNCTION("IFERROR((IFERROR(FILTER('Fund Investment Data'!$P:$P,'Fund Investment Data'!$C:$C = $C1500,'Fund Investment Data'!$A:$A = ($A1500 - 2), 'Fund Investment Data'!$B:$B = 12),0) - SUM(FILTER('Fund Investment Data'!$V:$V, 'Fund Investment Data'!$C:$C = $C1500,"&amp;" 'Fund Investment Data'!$A:$A = ($A1500 - 2), 'Fund Investment Data'!$B:$B &gt; 3)))  * Parameters!$B$4 * (1 - Parameters!$A$4),0)"),4820.5455749999965)</f>
        <v>4820.545575</v>
      </c>
      <c r="Z1500" s="91">
        <f t="shared" si="24"/>
        <v>16308.24801</v>
      </c>
      <c r="AA1500" s="91">
        <f>IFERROR(__xludf.DUMMYFUNCTION("((IFERROR((SUM(FILTER('Fund Investment Data'!$V:$V, 'Fund Investment Data'!$C:$C = $C1500, 'Fund Investment Data'!$A:$A = $A1500 - 1, 'Fund Investment Data'!$B:$B &gt;= 4, 'Fund Investment Data'!$B:$B &lt;= ($B1500 + 5))) / 12) * ($B1500 - 3) * Parameters!$B$4,"&amp;" 0) + IF($B1500 &gt;= 9, IFERROR(SUM(FILTER('Fund Investment Data'!$V:$V, 'Fund Investment Data'!$C:$C = $C1500, 'Fund Investment Data'!$A:$A = $A1500, 'Fund Investment Data'!$B:$B &lt;= 3)) * Parameters!$B$4, 0),0)))"),0.0)</f>
        <v>0</v>
      </c>
      <c r="AB1500" s="32">
        <f>IFERROR(__xludf.DUMMYFUNCTION("IFERROR(((IFERROR(SUM(FILTER('Fund Investment Data'!$V:$V, 'Fund Investment Data'!$C:$C = $C1500, 'Fund Investment Data'!$A:$A = $A1500 - 2, 'Fund Investment Data'!$B:$B &gt;= 4)) * Parameters!$B$4,0) + IFERROR(SUM(FILTER('Fund Investment Data'!$V:$V, 'Fund "&amp;"Investment Data'!$C:$C = $C1500, 'Fund Investment Data'!$A:$A = $A1500 - 1, 'Fund Investment Data'!$B:$B &lt;= 3)) * Parameters!$B$4,0))),0)"),0.0)</f>
        <v>0</v>
      </c>
      <c r="AC1500" s="32">
        <f>IFERROR(__xludf.DUMMYFUNCTION("IFERROR(FILTER($AF:$AF,$C:$C = $C1500,$A:$A = $A1500 - 1,$B:$B = 12),0)"),0.0)</f>
        <v>0</v>
      </c>
      <c r="AD1500" s="32">
        <f t="shared" si="23"/>
        <v>16308.24801</v>
      </c>
      <c r="AE1500" s="32">
        <f t="shared" si="2"/>
        <v>12700.24801</v>
      </c>
      <c r="AF1500" s="32"/>
    </row>
    <row r="1501">
      <c r="A1501" s="101">
        <v>2019.0</v>
      </c>
      <c r="B1501" s="102">
        <v>8.0</v>
      </c>
      <c r="C1501" s="88" t="s">
        <v>53</v>
      </c>
      <c r="D1501" s="32"/>
      <c r="E1501" s="93">
        <v>-86500.0</v>
      </c>
      <c r="F1501" s="32"/>
      <c r="G1501" s="93">
        <v>-8201.49</v>
      </c>
      <c r="H1501" s="93">
        <v>35594.6</v>
      </c>
      <c r="I1501" s="93">
        <v>1355.12</v>
      </c>
      <c r="J1501" s="93">
        <v>187366.51</v>
      </c>
      <c r="K1501" s="32"/>
      <c r="L1501" s="32"/>
      <c r="M1501" s="32"/>
      <c r="N1501" s="32"/>
      <c r="O1501" s="93">
        <v>2176149.62</v>
      </c>
      <c r="P1501" s="91">
        <f>IFERROR(__xludf.DUMMYFUNCTION("IFERROR(sum(FILTER($D:$N,$C:$C = $C1501,$A:$A &lt; $A1501,$B:$B = 12)),0) + sum($D1501:$N1501)"),2176149.62)</f>
        <v>2176149.62</v>
      </c>
      <c r="Q1501" s="92">
        <f t="shared" si="1"/>
        <v>0</v>
      </c>
      <c r="R1501" s="91">
        <f t="array" ref="R1501">IFERROR(INDEX('Fund YTD Target Values'!$1:$1000, MATCH($C1501,'Fund YTD Target Values'!$A:$A,0), MATCH($A1501,'Fund YTD Target Values'!$1:$1,0)),0)</f>
        <v>2265063.703</v>
      </c>
      <c r="S1501" s="91">
        <f>IFERROR(__xludf.DUMMYFUNCTION("IFERROR(sum(FILTER('Fund Investment Data'!$V:$V, 'Fund Investment Data'!$C:$C = $C1501, 'Fund Investment Data'!$A:$A &lt; $A1501)),0) + IFERROR(sum(FILTER('Fund Investment Data'!$V:$V, 'Fund Investment Data'!$C:$C = $C1501, 'Fund Investment Data'!$A:$A = $A1"&amp;"501, 'Fund Investment Data'!$B:$B &lt;= $B1501)),0)"),2005500.0)</f>
        <v>2005500</v>
      </c>
      <c r="T1501" s="32"/>
      <c r="U1501" s="32"/>
      <c r="V1501" s="32">
        <f>IFERROR(__xludf.DUMMYFUNCTION("$D1501 - IFERROR(FILTER($D:$D,$C:$C = $C1501, $A:$A = $A1501, $B:$B = $B1501 - 1),0)"),0.0)</f>
        <v>0</v>
      </c>
      <c r="W1501" s="93">
        <f>IFERROR(__xludf.DUMMYFUNCTION("$E1501 - IFERROR(FILTER($E:$E,$C:$C = $C1501, $A:$A = $A1501, $B:$B = $B1501 - 1),0)"),-5500.0)</f>
        <v>-5500</v>
      </c>
      <c r="X1501" s="91">
        <f>IFERROR(__xludf.DUMMYFUNCTION("iFERROR((FILTER('Fund Investment Data'!$Z:$Z, 'Fund Investment Data'!$C:$C = $C1501, 'Fund Investment Data'!$A:$A = $A1501 - 1, 'Fund Investment Data'!$B:$B = 12) + FILTER('Fund Investment Data'!$AB:$AB, 'Fund Investment Data'!$C:$C = $C1501, 'Fund Invest"&amp;"ment Data'!$A:$A = $A1501 - 1, 'Fund Investment Data'!$B:$B = 12)) * (1 + AVERAGE(FILTER('Inflation Data'!$C:$C,'Inflation Data'!$A:$A = ($A1501 - 2)))) * Parameters!$A$4,0)"),69866.97627398264)</f>
        <v>69866.97627</v>
      </c>
      <c r="Y1501" s="91">
        <f>IFERROR(__xludf.DUMMYFUNCTION("IFERROR((IFERROR(FILTER('Fund Investment Data'!$P:$P,'Fund Investment Data'!$C:$C = $C1501,'Fund Investment Data'!$A:$A = ($A1501 - 2), 'Fund Investment Data'!$B:$B = 12),0) - SUM(FILTER('Fund Investment Data'!$V:$V, 'Fund Investment Data'!$C:$C = $C1501,"&amp;" 'Fund Investment Data'!$A:$A = ($A1501 - 2), 'Fund Investment Data'!$B:$B &gt; 3)))  * Parameters!$B$4 * (1 - Parameters!$A$4),0)"),30716.748180000002)</f>
        <v>30716.74818</v>
      </c>
      <c r="Z1501" s="91">
        <f t="shared" si="24"/>
        <v>100583.7245</v>
      </c>
      <c r="AA1501" s="91">
        <f>IFERROR(__xludf.DUMMYFUNCTION("((IFERROR((SUM(FILTER('Fund Investment Data'!$V:$V, 'Fund Investment Data'!$C:$C = $C1501, 'Fund Investment Data'!$A:$A = $A1501 - 1, 'Fund Investment Data'!$B:$B &gt;= 4, 'Fund Investment Data'!$B:$B &lt;= ($B1501 + 5))) / 12) * ($B1501 - 3) * Parameters!$B$4,"&amp;" 0) + IF($B1501 &gt;= 9, IFERROR(SUM(FILTER('Fund Investment Data'!$V:$V, 'Fund Investment Data'!$C:$C = $C1501, 'Fund Investment Data'!$A:$A = $A1501, 'Fund Investment Data'!$B:$B &lt;= 3)) * Parameters!$B$4, 0),0)))"),0.0)</f>
        <v>0</v>
      </c>
      <c r="AB1501" s="32">
        <f>IFERROR(__xludf.DUMMYFUNCTION("IFERROR(((IFERROR(SUM(FILTER('Fund Investment Data'!$V:$V, 'Fund Investment Data'!$C:$C = $C1501, 'Fund Investment Data'!$A:$A = $A1501 - 2, 'Fund Investment Data'!$B:$B &gt;= 4)) * Parameters!$B$4,0) + IFERROR(SUM(FILTER('Fund Investment Data'!$V:$V, 'Fund "&amp;"Investment Data'!$C:$C = $C1501, 'Fund Investment Data'!$A:$A = $A1501 - 1, 'Fund Investment Data'!$B:$B &lt;= 3)) * Parameters!$B$4,0))),0)"),0.0)</f>
        <v>0</v>
      </c>
      <c r="AC1501" s="32">
        <f>IFERROR(__xludf.DUMMYFUNCTION("IFERROR(FILTER($AF:$AF,$C:$C = $C1501,$A:$A = $A1501 - 1,$B:$B = 12),0)"),43500.0)</f>
        <v>43500</v>
      </c>
      <c r="AD1501" s="32">
        <f t="shared" si="23"/>
        <v>144083.7245</v>
      </c>
      <c r="AE1501" s="32">
        <f t="shared" si="2"/>
        <v>57583.72445</v>
      </c>
      <c r="AF1501" s="32"/>
    </row>
    <row r="1502">
      <c r="A1502" s="101">
        <v>2019.0</v>
      </c>
      <c r="B1502" s="102">
        <v>8.0</v>
      </c>
      <c r="C1502" s="88" t="s">
        <v>34</v>
      </c>
      <c r="D1502" s="32"/>
      <c r="E1502" s="93">
        <v>-6475.0</v>
      </c>
      <c r="F1502" s="32"/>
      <c r="G1502" s="93">
        <v>-528.3</v>
      </c>
      <c r="H1502" s="93">
        <v>2296.88</v>
      </c>
      <c r="I1502" s="93">
        <v>28.92</v>
      </c>
      <c r="J1502" s="93">
        <v>12330.86</v>
      </c>
      <c r="K1502" s="32"/>
      <c r="L1502" s="32"/>
      <c r="M1502" s="32"/>
      <c r="N1502" s="32"/>
      <c r="O1502" s="93">
        <v>139092.63</v>
      </c>
      <c r="P1502" s="91">
        <f>IFERROR(__xludf.DUMMYFUNCTION("IFERROR(sum(FILTER($D:$N,$C:$C = $C1502,$A:$A &lt; $A1502,$B:$B = 12)),0) + sum($D1502:$N1502)"),139092.62999999995)</f>
        <v>139092.63</v>
      </c>
      <c r="Q1502" s="92">
        <f t="shared" si="1"/>
        <v>0</v>
      </c>
      <c r="R1502" s="91">
        <f t="array" ref="R1502">IFERROR(INDEX('Fund YTD Target Values'!$1:$1000, MATCH($C1502,'Fund YTD Target Values'!$A:$A,0), MATCH($A1502,'Fund YTD Target Values'!$1:$1,0)),0)</f>
        <v>137779.5763</v>
      </c>
      <c r="S1502" s="91">
        <f>IFERROR(__xludf.DUMMYFUNCTION("IFERROR(sum(FILTER('Fund Investment Data'!$V:$V, 'Fund Investment Data'!$C:$C = $C1502, 'Fund Investment Data'!$A:$A &lt; $A1502)),0) + IFERROR(sum(FILTER('Fund Investment Data'!$V:$V, 'Fund Investment Data'!$C:$C = $C1502, 'Fund Investment Data'!$A:$A = $A1"&amp;"502, 'Fund Investment Data'!$B:$B &lt;= $B1502)),0)"),125000.0)</f>
        <v>125000</v>
      </c>
      <c r="T1502" s="32"/>
      <c r="U1502" s="32"/>
      <c r="V1502" s="32">
        <f>IFERROR(__xludf.DUMMYFUNCTION("$D1502 - IFERROR(FILTER($D:$D,$C:$C = $C1502, $A:$A = $A1502, $B:$B = $B1502 - 1),0)"),0.0)</f>
        <v>0</v>
      </c>
      <c r="W1502" s="93">
        <f>IFERROR(__xludf.DUMMYFUNCTION("$E1502 - IFERROR(FILTER($E:$E,$C:$C = $C1502, $A:$A = $A1502, $B:$B = $B1502 - 1),0)"),-75.0)</f>
        <v>-75</v>
      </c>
      <c r="X1502" s="91">
        <f>IFERROR(__xludf.DUMMYFUNCTION("iFERROR((FILTER('Fund Investment Data'!$Z:$Z, 'Fund Investment Data'!$C:$C = $C1502, 'Fund Investment Data'!$A:$A = $A1502 - 1, 'Fund Investment Data'!$B:$B = 12) + FILTER('Fund Investment Data'!$AB:$AB, 'Fund Investment Data'!$C:$C = $C1502, 'Fund Invest"&amp;"ment Data'!$A:$A = $A1502 - 1, 'Fund Investment Data'!$B:$B = 12)) * (1 + AVERAGE(FILTER('Inflation Data'!$C:$C,'Inflation Data'!$A:$A = ($A1502 - 2)))) * Parameters!$A$4,0)"),4414.569951711041)</f>
        <v>4414.569952</v>
      </c>
      <c r="Y1502" s="91">
        <f>IFERROR(__xludf.DUMMYFUNCTION("IFERROR((IFERROR(FILTER('Fund Investment Data'!$P:$P,'Fund Investment Data'!$C:$C = $C1502,'Fund Investment Data'!$A:$A = ($A1502 - 2), 'Fund Investment Data'!$B:$B = 12),0) - SUM(FILTER('Fund Investment Data'!$V:$V, 'Fund Investment Data'!$C:$C = $C1502,"&amp;" 'Fund Investment Data'!$A:$A = ($A1502 - 2), 'Fund Investment Data'!$B:$B &gt; 3)))  * Parameters!$B$4 * (1 - Parameters!$A$4),0)"),1947.8901600000004)</f>
        <v>1947.89016</v>
      </c>
      <c r="Z1502" s="91">
        <f t="shared" si="24"/>
        <v>6362.460112</v>
      </c>
      <c r="AA1502" s="91">
        <f>IFERROR(__xludf.DUMMYFUNCTION("((IFERROR((SUM(FILTER('Fund Investment Data'!$V:$V, 'Fund Investment Data'!$C:$C = $C1502, 'Fund Investment Data'!$A:$A = $A1502 - 1, 'Fund Investment Data'!$B:$B &gt;= 4, 'Fund Investment Data'!$B:$B &lt;= ($B1502 + 5))) / 12) * ($B1502 - 3) * Parameters!$B$4,"&amp;" 0) + IF($B1502 &gt;= 9, IFERROR(SUM(FILTER('Fund Investment Data'!$V:$V, 'Fund Investment Data'!$C:$C = $C1502, 'Fund Investment Data'!$A:$A = $A1502, 'Fund Investment Data'!$B:$B &lt;= 3)) * Parameters!$B$4, 0),0)))"),93.75)</f>
        <v>93.75</v>
      </c>
      <c r="AB1502" s="32">
        <f>IFERROR(__xludf.DUMMYFUNCTION("IFERROR(((IFERROR(SUM(FILTER('Fund Investment Data'!$V:$V, 'Fund Investment Data'!$C:$C = $C1502, 'Fund Investment Data'!$A:$A = $A1502 - 2, 'Fund Investment Data'!$B:$B &gt;= 4)) * Parameters!$B$4,0) + IFERROR(SUM(FILTER('Fund Investment Data'!$V:$V, 'Fund "&amp;"Investment Data'!$C:$C = $C1502, 'Fund Investment Data'!$A:$A = $A1502 - 1, 'Fund Investment Data'!$B:$B &lt;= 3)) * Parameters!$B$4,0))),0)"),0.0)</f>
        <v>0</v>
      </c>
      <c r="AC1502" s="32">
        <f>IFERROR(__xludf.DUMMYFUNCTION("IFERROR(FILTER($AF:$AF,$C:$C = $C1502,$A:$A = $A1502 - 1,$B:$B = 12),0)"),0.0)</f>
        <v>0</v>
      </c>
      <c r="AD1502" s="32">
        <f t="shared" si="23"/>
        <v>6456.210112</v>
      </c>
      <c r="AE1502" s="32">
        <f t="shared" si="2"/>
        <v>-18.78988829</v>
      </c>
      <c r="AF1502" s="32"/>
    </row>
    <row r="1503">
      <c r="A1503" s="101">
        <v>2019.0</v>
      </c>
      <c r="B1503" s="102">
        <v>8.0</v>
      </c>
      <c r="C1503" s="88" t="s">
        <v>54</v>
      </c>
      <c r="D1503" s="93">
        <v>156.0</v>
      </c>
      <c r="E1503" s="93">
        <v>-2500.0</v>
      </c>
      <c r="F1503" s="32"/>
      <c r="G1503" s="93">
        <v>-626.79</v>
      </c>
      <c r="H1503" s="93">
        <v>2720.78</v>
      </c>
      <c r="I1503" s="32"/>
      <c r="J1503" s="93">
        <v>14545.27</v>
      </c>
      <c r="K1503" s="32"/>
      <c r="L1503" s="32"/>
      <c r="M1503" s="32"/>
      <c r="N1503" s="32"/>
      <c r="O1503" s="93">
        <v>169261.34</v>
      </c>
      <c r="P1503" s="91">
        <f>IFERROR(__xludf.DUMMYFUNCTION("IFERROR(sum(FILTER($D:$N,$C:$C = $C1503,$A:$A &lt; $A1503,$B:$B = 12)),0) + sum($D1503:$N1503)"),169262.30999999997)</f>
        <v>169262.31</v>
      </c>
      <c r="Q1503" s="92">
        <f t="shared" si="1"/>
        <v>-0.97</v>
      </c>
      <c r="R1503" s="91">
        <f t="array" ref="R1503">IFERROR(INDEX('Fund YTD Target Values'!$1:$1000, MATCH($C1503,'Fund YTD Target Values'!$A:$A,0), MATCH($A1503,'Fund YTD Target Values'!$1:$1,0)),0)</f>
        <v>158496.8702</v>
      </c>
      <c r="S1503" s="91">
        <f>IFERROR(__xludf.DUMMYFUNCTION("IFERROR(sum(FILTER('Fund Investment Data'!$V:$V, 'Fund Investment Data'!$C:$C = $C1503, 'Fund Investment Data'!$A:$A &lt; $A1503)),0) + IFERROR(sum(FILTER('Fund Investment Data'!$V:$V, 'Fund Investment Data'!$C:$C = $C1503, 'Fund Investment Data'!$A:$A = $A1"&amp;"503, 'Fund Investment Data'!$B:$B &lt;= $B1503)),0)"),112623.10999999999)</f>
        <v>112623.11</v>
      </c>
      <c r="T1503" s="32"/>
      <c r="U1503" s="32"/>
      <c r="V1503" s="32">
        <f>IFERROR(__xludf.DUMMYFUNCTION("$D1503 - IFERROR(FILTER($D:$D,$C:$C = $C1503, $A:$A = $A1503, $B:$B = $B1503 - 1),0)"),0.0)</f>
        <v>0</v>
      </c>
      <c r="W1503" s="93">
        <f>IFERROR(__xludf.DUMMYFUNCTION("$E1503 - IFERROR(FILTER($E:$E,$C:$C = $C1503, $A:$A = $A1503, $B:$B = $B1503 - 1),0)"),0.0)</f>
        <v>0</v>
      </c>
      <c r="X1503" s="91">
        <f>IFERROR(__xludf.DUMMYFUNCTION("iFERROR((FILTER('Fund Investment Data'!$Z:$Z, 'Fund Investment Data'!$C:$C = $C1503, 'Fund Investment Data'!$A:$A = $A1503 - 1, 'Fund Investment Data'!$B:$B = 12) + FILTER('Fund Investment Data'!$AB:$AB, 'Fund Investment Data'!$C:$C = $C1503, 'Fund Invest"&amp;"ment Data'!$A:$A = $A1503 - 1, 'Fund Investment Data'!$B:$B = 12)) * (1 + AVERAGE(FILTER('Inflation Data'!$C:$C,'Inflation Data'!$A:$A = ($A1503 - 2)))) * Parameters!$A$4,0)"),5306.102894924851)</f>
        <v>5306.102895</v>
      </c>
      <c r="Y1503" s="91">
        <f>IFERROR(__xludf.DUMMYFUNCTION("IFERROR((IFERROR(FILTER('Fund Investment Data'!$P:$P,'Fund Investment Data'!$C:$C = $C1503,'Fund Investment Data'!$A:$A = ($A1503 - 2), 'Fund Investment Data'!$B:$B = 12),0) - SUM(FILTER('Fund Investment Data'!$V:$V, 'Fund Investment Data'!$C:$C = $C1503,"&amp;" 'Fund Investment Data'!$A:$A = ($A1503 - 2), 'Fund Investment Data'!$B:$B &gt; 3)))  * Parameters!$B$4 * (1 - Parameters!$A$4),0)"),2330.059095)</f>
        <v>2330.059095</v>
      </c>
      <c r="Z1503" s="91">
        <f t="shared" si="24"/>
        <v>7636.16199</v>
      </c>
      <c r="AA1503" s="91">
        <f>IFERROR(__xludf.DUMMYFUNCTION("((IFERROR((SUM(FILTER('Fund Investment Data'!$V:$V, 'Fund Investment Data'!$C:$C = $C1503, 'Fund Investment Data'!$A:$A = $A1503 - 1, 'Fund Investment Data'!$B:$B &gt;= 4, 'Fund Investment Data'!$B:$B &lt;= ($B1503 + 5))) / 12) * ($B1503 - 3) * Parameters!$B$4,"&amp;" 0) + IF($B1503 &gt;= 9, IFERROR(SUM(FILTER('Fund Investment Data'!$V:$V, 'Fund Investment Data'!$C:$C = $C1503, 'Fund Investment Data'!$A:$A = $A1503, 'Fund Investment Data'!$B:$B &lt;= 3)) * Parameters!$B$4, 0),0)))"),0.6562499999999999)</f>
        <v>0.65625</v>
      </c>
      <c r="AB1503" s="32">
        <f>IFERROR(__xludf.DUMMYFUNCTION("IFERROR(((IFERROR(SUM(FILTER('Fund Investment Data'!$V:$V, 'Fund Investment Data'!$C:$C = $C1503, 'Fund Investment Data'!$A:$A = $A1503 - 2, 'Fund Investment Data'!$B:$B &gt;= 4)) * Parameters!$B$4,0) + IFERROR(SUM(FILTER('Fund Investment Data'!$V:$V, 'Fund "&amp;"Investment Data'!$C:$C = $C1503, 'Fund Investment Data'!$A:$A = $A1503 - 1, 'Fund Investment Data'!$B:$B &lt;= 3)) * Parameters!$B$4,0))),0)"),13.32)</f>
        <v>13.32</v>
      </c>
      <c r="AC1503" s="32">
        <f>IFERROR(__xludf.DUMMYFUNCTION("IFERROR(FILTER($AF:$AF,$C:$C = $C1503,$A:$A = $A1503 - 1,$B:$B = 12),0)"),0.0)</f>
        <v>0</v>
      </c>
      <c r="AD1503" s="32">
        <f t="shared" si="23"/>
        <v>7650.13824</v>
      </c>
      <c r="AE1503" s="32">
        <f t="shared" si="2"/>
        <v>5150.13824</v>
      </c>
      <c r="AF1503" s="32"/>
    </row>
    <row r="1504">
      <c r="A1504" s="86">
        <v>2019.0</v>
      </c>
      <c r="B1504" s="87">
        <v>8.0</v>
      </c>
      <c r="C1504" s="88" t="s">
        <v>55</v>
      </c>
      <c r="D1504" s="32"/>
      <c r="E1504" s="32"/>
      <c r="F1504" s="32"/>
      <c r="G1504" s="93">
        <v>-1106.64</v>
      </c>
      <c r="H1504" s="93">
        <v>4702.94</v>
      </c>
      <c r="I1504" s="32"/>
      <c r="J1504" s="93">
        <v>19121.39</v>
      </c>
      <c r="K1504" s="32"/>
      <c r="L1504" s="32"/>
      <c r="M1504" s="32"/>
      <c r="N1504" s="32"/>
      <c r="O1504" s="93">
        <v>300248.63</v>
      </c>
      <c r="P1504" s="91">
        <f>IFERROR(__xludf.DUMMYFUNCTION("IFERROR(sum(FILTER($D:$N,$C:$C = $C1504,$A:$A &lt; $A1504,$B:$B = 12)),0) + sum($D1504:$N1504)"),300248.62999999995)</f>
        <v>300248.63</v>
      </c>
      <c r="Q1504" s="92">
        <f t="shared" si="1"/>
        <v>0</v>
      </c>
      <c r="R1504" s="91">
        <f t="array" ref="R1504">IFERROR(INDEX('Fund YTD Target Values'!$1:$1000, MATCH($C1504,'Fund YTD Target Values'!$A:$A,0), MATCH($A1504,'Fund YTD Target Values'!$1:$1,0)),0)</f>
        <v>364349.1694</v>
      </c>
      <c r="S1504" s="91">
        <f>IFERROR(__xludf.DUMMYFUNCTION("IFERROR(sum(FILTER('Fund Investment Data'!$V:$V, 'Fund Investment Data'!$C:$C = $C1504, 'Fund Investment Data'!$A:$A &lt; $A1504)),0) + IFERROR(sum(FILTER('Fund Investment Data'!$V:$V, 'Fund Investment Data'!$C:$C = $C1504, 'Fund Investment Data'!$A:$A = $A1"&amp;"504, 'Fund Investment Data'!$B:$B &lt;= $B1504)),0)"),280000.0)</f>
        <v>280000</v>
      </c>
      <c r="T1504" s="32"/>
      <c r="U1504" s="32"/>
      <c r="V1504" s="32">
        <f>IFERROR(__xludf.DUMMYFUNCTION("$D1504 - IFERROR(FILTER($D:$D,$C:$C = $C1504, $A:$A = $A1504, $B:$B = $B1504 - 1),0)"),0.0)</f>
        <v>0</v>
      </c>
      <c r="W1504" s="93">
        <f>IFERROR(__xludf.DUMMYFUNCTION("$E1504 - IFERROR(FILTER($E:$E,$C:$C = $C1504, $A:$A = $A1504, $B:$B = $B1504 - 1),0)"),0.0)</f>
        <v>0</v>
      </c>
      <c r="X1504" s="91">
        <f>IFERROR(__xludf.DUMMYFUNCTION("iFERROR((FILTER('Fund Investment Data'!$Z:$Z, 'Fund Investment Data'!$C:$C = $C1504, 'Fund Investment Data'!$A:$A = $A1504 - 1, 'Fund Investment Data'!$B:$B = 12) + FILTER('Fund Investment Data'!$AB:$AB, 'Fund Investment Data'!$C:$C = $C1504, 'Fund Invest"&amp;"ment Data'!$A:$A = $A1504 - 1, 'Fund Investment Data'!$B:$B = 12)) * (1 + AVERAGE(FILTER('Inflation Data'!$C:$C,'Inflation Data'!$A:$A = ($A1504 - 2)))) * Parameters!$A$4,0)"),6881.036839036868)</f>
        <v>6881.036839</v>
      </c>
      <c r="Y1504" s="91">
        <f>IFERROR(__xludf.DUMMYFUNCTION("IFERROR((IFERROR(FILTER('Fund Investment Data'!$P:$P,'Fund Investment Data'!$C:$C = $C1504,'Fund Investment Data'!$A:$A = ($A1504 - 2), 'Fund Investment Data'!$B:$B = 12),0) - SUM(FILTER('Fund Investment Data'!$V:$V, 'Fund Investment Data'!$C:$C = $C1504,"&amp;" 'Fund Investment Data'!$A:$A = ($A1504 - 2), 'Fund Investment Data'!$B:$B &gt; 3)))  * Parameters!$B$4 * (1 - Parameters!$A$4),0)"),2147.3742599999996)</f>
        <v>2147.37426</v>
      </c>
      <c r="Z1504" s="91">
        <f t="shared" si="24"/>
        <v>9028.411099</v>
      </c>
      <c r="AA1504" s="91">
        <f>IFERROR(__xludf.DUMMYFUNCTION("((IFERROR((SUM(FILTER('Fund Investment Data'!$V:$V, 'Fund Investment Data'!$C:$C = $C1504, 'Fund Investment Data'!$A:$A = $A1504 - 1, 'Fund Investment Data'!$B:$B &gt;= 4, 'Fund Investment Data'!$B:$B &lt;= ($B1504 + 5))) / 12) * ($B1504 - 3) * Parameters!$B$4,"&amp;" 0) + IF($B1504 &gt;= 9, IFERROR(SUM(FILTER('Fund Investment Data'!$V:$V, 'Fund Investment Data'!$C:$C = $C1504, 'Fund Investment Data'!$A:$A = $A1504, 'Fund Investment Data'!$B:$B &lt;= 3)) * Parameters!$B$4, 0),0)))"),1312.4999999999998)</f>
        <v>1312.5</v>
      </c>
      <c r="AB1504" s="32">
        <f>IFERROR(__xludf.DUMMYFUNCTION("IFERROR(((IFERROR(SUM(FILTER('Fund Investment Data'!$V:$V, 'Fund Investment Data'!$C:$C = $C1504, 'Fund Investment Data'!$A:$A = $A1504 - 2, 'Fund Investment Data'!$B:$B &gt;= 4)) * Parameters!$B$4,0) + IFERROR(SUM(FILTER('Fund Investment Data'!$V:$V, 'Fund "&amp;"Investment Data'!$C:$C = $C1504, 'Fund Investment Data'!$A:$A = $A1504 - 1, 'Fund Investment Data'!$B:$B &lt;= 3)) * Parameters!$B$4,0))),0)"),3150.0)</f>
        <v>3150</v>
      </c>
      <c r="AC1504" s="32">
        <f>IFERROR(__xludf.DUMMYFUNCTION("IFERROR(FILTER($AF:$AF,$C:$C = $C1504,$A:$A = $A1504 - 1,$B:$B = 12),0)"),5000.0)</f>
        <v>5000</v>
      </c>
      <c r="AD1504" s="32">
        <f t="shared" si="23"/>
        <v>18490.9111</v>
      </c>
      <c r="AE1504" s="32">
        <f t="shared" si="2"/>
        <v>18490.9111</v>
      </c>
      <c r="AF1504" s="32"/>
    </row>
    <row r="1505">
      <c r="A1505" s="101">
        <v>2019.0</v>
      </c>
      <c r="B1505" s="102">
        <v>8.0</v>
      </c>
      <c r="C1505" s="88" t="s">
        <v>44</v>
      </c>
      <c r="D1505" s="32"/>
      <c r="E1505" s="93">
        <v>-13091.0</v>
      </c>
      <c r="F1505" s="32"/>
      <c r="G1505" s="93">
        <v>-1001.09</v>
      </c>
      <c r="H1505" s="93">
        <v>4354.0</v>
      </c>
      <c r="I1505" s="93">
        <v>3314.76</v>
      </c>
      <c r="J1505" s="93">
        <v>20392.44</v>
      </c>
      <c r="K1505" s="32"/>
      <c r="L1505" s="32"/>
      <c r="M1505" s="32"/>
      <c r="N1505" s="32"/>
      <c r="O1505" s="93">
        <v>264687.15</v>
      </c>
      <c r="P1505" s="91">
        <f>IFERROR(__xludf.DUMMYFUNCTION("IFERROR(sum(FILTER($D:$N,$C:$C = $C1505,$A:$A &lt; $A1505,$B:$B = 12)),0) + sum($D1505:$N1505)"),264688.04000000004)</f>
        <v>264688.04</v>
      </c>
      <c r="Q1505" s="92">
        <f t="shared" si="1"/>
        <v>-0.89</v>
      </c>
      <c r="R1505" s="91">
        <f t="array" ref="R1505">IFERROR(INDEX('Fund YTD Target Values'!$1:$1000, MATCH($C1505,'Fund YTD Target Values'!$A:$A,0), MATCH($A1505,'Fund YTD Target Values'!$1:$1,0)),0)</f>
        <v>327413.1867</v>
      </c>
      <c r="S1505" s="91">
        <f>IFERROR(__xludf.DUMMYFUNCTION("IFERROR(sum(FILTER('Fund Investment Data'!$V:$V, 'Fund Investment Data'!$C:$C = $C1505, 'Fund Investment Data'!$A:$A &lt; $A1505)),0) + IFERROR(sum(FILTER('Fund Investment Data'!$V:$V, 'Fund Investment Data'!$C:$C = $C1505, 'Fund Investment Data'!$A:$A = $A1"&amp;"505, 'Fund Investment Data'!$B:$B &lt;= $B1505)),0)"),250000.0)</f>
        <v>250000</v>
      </c>
      <c r="T1505" s="32"/>
      <c r="U1505" s="32"/>
      <c r="V1505" s="32">
        <f>IFERROR(__xludf.DUMMYFUNCTION("$D1505 - IFERROR(FILTER($D:$D,$C:$C = $C1505, $A:$A = $A1505, $B:$B = $B1505 - 1),0)"),0.0)</f>
        <v>0</v>
      </c>
      <c r="W1505" s="93">
        <f>IFERROR(__xludf.DUMMYFUNCTION("$E1505 - IFERROR(FILTER($E:$E,$C:$C = $C1505, $A:$A = $A1505, $B:$B = $B1505 - 1),0)"),-91.0)</f>
        <v>-91</v>
      </c>
      <c r="X1505" s="91">
        <f>IFERROR(__xludf.DUMMYFUNCTION("iFERROR((FILTER('Fund Investment Data'!$Z:$Z, 'Fund Investment Data'!$C:$C = $C1505, 'Fund Investment Data'!$A:$A = $A1505 - 1, 'Fund Investment Data'!$B:$B = 12) + FILTER('Fund Investment Data'!$AB:$AB, 'Fund Investment Data'!$C:$C = $C1505, 'Fund Invest"&amp;"ment Data'!$A:$A = $A1505 - 1, 'Fund Investment Data'!$B:$B = 12)) * (1 + AVERAGE(FILTER('Inflation Data'!$C:$C,'Inflation Data'!$A:$A = ($A1505 - 2)))) * Parameters!$A$4,0)"),9221.513356912916)</f>
        <v>9221.513357</v>
      </c>
      <c r="Y1505" s="91">
        <f>IFERROR(__xludf.DUMMYFUNCTION("IFERROR((IFERROR(FILTER('Fund Investment Data'!$P:$P,'Fund Investment Data'!$C:$C = $C1505,'Fund Investment Data'!$A:$A = ($A1505 - 2), 'Fund Investment Data'!$B:$B = 12),0) - SUM(FILTER('Fund Investment Data'!$V:$V, 'Fund Investment Data'!$C:$C = $C1505,"&amp;" 'Fund Investment Data'!$A:$A = ($A1505 - 2), 'Fund Investment Data'!$B:$B &gt; 3)))  * Parameters!$B$4 * (1 - Parameters!$A$4),0)"),3869.5923450000028)</f>
        <v>3869.592345</v>
      </c>
      <c r="Z1505" s="91">
        <f t="shared" si="24"/>
        <v>13091.1057</v>
      </c>
      <c r="AA1505" s="91">
        <f>IFERROR(__xludf.DUMMYFUNCTION("((IFERROR((SUM(FILTER('Fund Investment Data'!$V:$V, 'Fund Investment Data'!$C:$C = $C1505, 'Fund Investment Data'!$A:$A = $A1505 - 1, 'Fund Investment Data'!$B:$B &gt;= 4, 'Fund Investment Data'!$B:$B &lt;= ($B1505 + 5))) / 12) * ($B1505 - 3) * Parameters!$B$4,"&amp;" 0) + IF($B1505 &gt;= 9, IFERROR(SUM(FILTER('Fund Investment Data'!$V:$V, 'Fund Investment Data'!$C:$C = $C1505, 'Fund Investment Data'!$A:$A = $A1505, 'Fund Investment Data'!$B:$B &lt;= 3)) * Parameters!$B$4, 0),0)))"),0.0)</f>
        <v>0</v>
      </c>
      <c r="AB1505" s="32">
        <f>IFERROR(__xludf.DUMMYFUNCTION("IFERROR(((IFERROR(SUM(FILTER('Fund Investment Data'!$V:$V, 'Fund Investment Data'!$C:$C = $C1505, 'Fund Investment Data'!$A:$A = $A1505 - 2, 'Fund Investment Data'!$B:$B &gt;= 4)) * Parameters!$B$4,0) + IFERROR(SUM(FILTER('Fund Investment Data'!$V:$V, 'Fund "&amp;"Investment Data'!$C:$C = $C1505, 'Fund Investment Data'!$A:$A = $A1505 - 1, 'Fund Investment Data'!$B:$B &lt;= 3)) * Parameters!$B$4,0))),0)"),0.0)</f>
        <v>0</v>
      </c>
      <c r="AC1505" s="32">
        <f>IFERROR(__xludf.DUMMYFUNCTION("IFERROR(FILTER($AF:$AF,$C:$C = $C1505,$A:$A = $A1505 - 1,$B:$B = 12),0)"),0.0)</f>
        <v>0</v>
      </c>
      <c r="AD1505" s="32">
        <f t="shared" si="23"/>
        <v>13091.1057</v>
      </c>
      <c r="AE1505" s="32">
        <f t="shared" si="2"/>
        <v>0.1057019129</v>
      </c>
      <c r="AF1505" s="32"/>
    </row>
    <row r="1506">
      <c r="A1506" s="86">
        <v>2019.0</v>
      </c>
      <c r="B1506" s="87">
        <v>8.0</v>
      </c>
      <c r="C1506" s="88" t="s">
        <v>45</v>
      </c>
      <c r="D1506" s="32"/>
      <c r="E1506" s="93">
        <v>-3500.0</v>
      </c>
      <c r="F1506" s="32"/>
      <c r="G1506" s="93">
        <v>-534.74</v>
      </c>
      <c r="H1506" s="93">
        <v>2323.88</v>
      </c>
      <c r="I1506" s="93">
        <v>218.26</v>
      </c>
      <c r="J1506" s="93">
        <v>12237.17</v>
      </c>
      <c r="K1506" s="32"/>
      <c r="L1506" s="32"/>
      <c r="M1506" s="32"/>
      <c r="N1506" s="32"/>
      <c r="O1506" s="93">
        <v>143080.48</v>
      </c>
      <c r="P1506" s="91">
        <f>IFERROR(__xludf.DUMMYFUNCTION("IFERROR(sum(FILTER($D:$N,$C:$C = $C1506,$A:$A &lt; $A1506,$B:$B = 12)),0) + sum($D1506:$N1506)"),143080.68999999997)</f>
        <v>143080.69</v>
      </c>
      <c r="Q1506" s="92">
        <f t="shared" si="1"/>
        <v>-0.21</v>
      </c>
      <c r="R1506" s="91">
        <f t="array" ref="R1506">IFERROR(INDEX('Fund YTD Target Values'!$1:$1000, MATCH($C1506,'Fund YTD Target Values'!$A:$A,0), MATCH($A1506,'Fund YTD Target Values'!$1:$1,0)),0)</f>
        <v>123438.8442</v>
      </c>
      <c r="S1506" s="91">
        <f>IFERROR(__xludf.DUMMYFUNCTION("IFERROR(sum(FILTER('Fund Investment Data'!$V:$V, 'Fund Investment Data'!$C:$C = $C1506, 'Fund Investment Data'!$A:$A &lt; $A1506)),0) + IFERROR(sum(FILTER('Fund Investment Data'!$V:$V, 'Fund Investment Data'!$C:$C = $C1506, 'Fund Investment Data'!$A:$A = $A1"&amp;"506, 'Fund Investment Data'!$B:$B &lt;= $B1506)),0)"),100000.0)</f>
        <v>100000</v>
      </c>
      <c r="T1506" s="32"/>
      <c r="U1506" s="32"/>
      <c r="V1506" s="32">
        <f>IFERROR(__xludf.DUMMYFUNCTION("$D1506 - IFERROR(FILTER($D:$D,$C:$C = $C1506, $A:$A = $A1506, $B:$B = $B1506 - 1),0)"),0.0)</f>
        <v>0</v>
      </c>
      <c r="W1506" s="93">
        <f>IFERROR(__xludf.DUMMYFUNCTION("$E1506 - IFERROR(FILTER($E:$E,$C:$C = $C1506, $A:$A = $A1506, $B:$B = $B1506 - 1),0)"),0.0)</f>
        <v>0</v>
      </c>
      <c r="X1506" s="91">
        <f>IFERROR(__xludf.DUMMYFUNCTION("iFERROR((FILTER('Fund Investment Data'!$Z:$Z, 'Fund Investment Data'!$C:$C = $C1506, 'Fund Investment Data'!$A:$A = $A1506 - 1, 'Fund Investment Data'!$B:$B = 12) + FILTER('Fund Investment Data'!$AB:$AB, 'Fund Investment Data'!$C:$C = $C1506, 'Fund Invest"&amp;"ment Data'!$A:$A = $A1506 - 1, 'Fund Investment Data'!$B:$B = 12)) * (1 + AVERAGE(FILTER('Inflation Data'!$C:$C,'Inflation Data'!$A:$A = ($A1506 - 2)))) * Parameters!$A$4,0)"),3807.5303509611413)</f>
        <v>3807.530351</v>
      </c>
      <c r="Y1506" s="91">
        <f>IFERROR(__xludf.DUMMYFUNCTION("IFERROR((IFERROR(FILTER('Fund Investment Data'!$P:$P,'Fund Investment Data'!$C:$C = $C1506,'Fund Investment Data'!$A:$A = ($A1506 - 2), 'Fund Investment Data'!$B:$B = 12),0) - SUM(FILTER('Fund Investment Data'!$V:$V, 'Fund Investment Data'!$C:$C = $C1506,"&amp;" 'Fund Investment Data'!$A:$A = ($A1506 - 2), 'Fund Investment Data'!$B:$B &gt; 3)))  * Parameters!$B$4 * (1 - Parameters!$A$4),0)"),2003.430915)</f>
        <v>2003.430915</v>
      </c>
      <c r="Z1506" s="91">
        <f t="shared" si="24"/>
        <v>5810.961266</v>
      </c>
      <c r="AA1506" s="91">
        <f>IFERROR(__xludf.DUMMYFUNCTION("((IFERROR((SUM(FILTER('Fund Investment Data'!$V:$V, 'Fund Investment Data'!$C:$C = $C1506, 'Fund Investment Data'!$A:$A = $A1506 - 1, 'Fund Investment Data'!$B:$B &gt;= 4, 'Fund Investment Data'!$B:$B &lt;= ($B1506 + 5))) / 12) * ($B1506 - 3) * Parameters!$B$4,"&amp;" 0) + IF($B1506 &gt;= 9, IFERROR(SUM(FILTER('Fund Investment Data'!$V:$V, 'Fund Investment Data'!$C:$C = $C1506, 'Fund Investment Data'!$A:$A = $A1506, 'Fund Investment Data'!$B:$B &lt;= 3)) * Parameters!$B$4, 0),0)))"),0.0)</f>
        <v>0</v>
      </c>
      <c r="AB1506" s="32">
        <f>IFERROR(__xludf.DUMMYFUNCTION("IFERROR(((IFERROR(SUM(FILTER('Fund Investment Data'!$V:$V, 'Fund Investment Data'!$C:$C = $C1506, 'Fund Investment Data'!$A:$A = $A1506 - 2, 'Fund Investment Data'!$B:$B &gt;= 4)) * Parameters!$B$4,0) + IFERROR(SUM(FILTER('Fund Investment Data'!$V:$V, 'Fund "&amp;"Investment Data'!$C:$C = $C1506, 'Fund Investment Data'!$A:$A = $A1506 - 1, 'Fund Investment Data'!$B:$B &lt;= 3)) * Parameters!$B$4,0))),0)"),0.0)</f>
        <v>0</v>
      </c>
      <c r="AC1506" s="32">
        <f>IFERROR(__xludf.DUMMYFUNCTION("IFERROR(FILTER($AF:$AF,$C:$C = $C1506,$A:$A = $A1506 - 1,$B:$B = 12),0)"),0.0)</f>
        <v>0</v>
      </c>
      <c r="AD1506" s="32">
        <f t="shared" si="23"/>
        <v>5810.961266</v>
      </c>
      <c r="AE1506" s="32">
        <f t="shared" si="2"/>
        <v>2310.961266</v>
      </c>
      <c r="AF1506" s="32"/>
    </row>
    <row r="1507">
      <c r="A1507" s="86">
        <v>2019.0</v>
      </c>
      <c r="B1507" s="87">
        <v>8.0</v>
      </c>
      <c r="C1507" s="88" t="s">
        <v>35</v>
      </c>
      <c r="D1507" s="32"/>
      <c r="E1507" s="93">
        <v>-15600.0</v>
      </c>
      <c r="F1507" s="32"/>
      <c r="G1507" s="93">
        <v>-5230.95</v>
      </c>
      <c r="H1507" s="93">
        <v>22695.56</v>
      </c>
      <c r="I1507" s="93">
        <v>7300.15</v>
      </c>
      <c r="J1507" s="93">
        <v>114465.35</v>
      </c>
      <c r="K1507" s="32"/>
      <c r="L1507" s="32"/>
      <c r="M1507" s="32"/>
      <c r="N1507" s="32"/>
      <c r="O1507" s="93">
        <v>1417616.95</v>
      </c>
      <c r="P1507" s="91">
        <f>IFERROR(__xludf.DUMMYFUNCTION("IFERROR(sum(FILTER($D:$N,$C:$C = $C1507,$A:$A &lt; $A1507,$B:$B = 12)),0) + sum($D1507:$N1507)"),1417616.1800000006)</f>
        <v>1417616.18</v>
      </c>
      <c r="Q1507" s="92">
        <f t="shared" si="1"/>
        <v>0.7699999993</v>
      </c>
      <c r="R1507" s="91">
        <f t="array" ref="R1507">IFERROR(INDEX('Fund YTD Target Values'!$1:$1000, MATCH($C1507,'Fund YTD Target Values'!$A:$A,0), MATCH($A1507,'Fund YTD Target Values'!$1:$1,0)),0)</f>
        <v>1607860.761</v>
      </c>
      <c r="S1507" s="91">
        <f>IFERROR(__xludf.DUMMYFUNCTION("IFERROR(sum(FILTER('Fund Investment Data'!$V:$V, 'Fund Investment Data'!$C:$C = $C1507, 'Fund Investment Data'!$A:$A &lt; $A1507)),0) + IFERROR(sum(FILTER('Fund Investment Data'!$V:$V, 'Fund Investment Data'!$C:$C = $C1507, 'Fund Investment Data'!$A:$A = $A1"&amp;"507, 'Fund Investment Data'!$B:$B &lt;= $B1507)),0)"),1086625.0)</f>
        <v>1086625</v>
      </c>
      <c r="T1507" s="32"/>
      <c r="U1507" s="32"/>
      <c r="V1507" s="32">
        <f>IFERROR(__xludf.DUMMYFUNCTION("$D1507 - IFERROR(FILTER($D:$D,$C:$C = $C1507, $A:$A = $A1507, $B:$B = $B1507 - 1),0)"),0.0)</f>
        <v>0</v>
      </c>
      <c r="W1507" s="93">
        <f>IFERROR(__xludf.DUMMYFUNCTION("$E1507 - IFERROR(FILTER($E:$E,$C:$C = $C1507, $A:$A = $A1507, $B:$B = $B1507 - 1),0)"),0.0)</f>
        <v>0</v>
      </c>
      <c r="X1507" s="91">
        <f>IFERROR(__xludf.DUMMYFUNCTION("iFERROR((FILTER('Fund Investment Data'!$Z:$Z, 'Fund Investment Data'!$C:$C = $C1507, 'Fund Investment Data'!$A:$A = $A1507 - 1, 'Fund Investment Data'!$B:$B = 12) + FILTER('Fund Investment Data'!$AB:$AB, 'Fund Investment Data'!$C:$C = $C1507, 'Fund Invest"&amp;"ment Data'!$A:$A = $A1507 - 1, 'Fund Investment Data'!$B:$B = 12)) * (1 + AVERAGE(FILTER('Inflation Data'!$C:$C,'Inflation Data'!$A:$A = ($A1507 - 2)))) * Parameters!$A$4,0)"),47167.912647909514)</f>
        <v>47167.91265</v>
      </c>
      <c r="Y1507" s="91">
        <f>IFERROR(__xludf.DUMMYFUNCTION("IFERROR((IFERROR(FILTER('Fund Investment Data'!$P:$P,'Fund Investment Data'!$C:$C = $C1507,'Fund Investment Data'!$A:$A = ($A1507 - 2), 'Fund Investment Data'!$B:$B = 12),0) - SUM(FILTER('Fund Investment Data'!$V:$V, 'Fund Investment Data'!$C:$C = $C1507,"&amp;" 'Fund Investment Data'!$A:$A = ($A1507 - 2), 'Fund Investment Data'!$B:$B &gt; 3)))  * Parameters!$B$4 * (1 - Parameters!$A$4),0)"),19792.911060000006)</f>
        <v>19792.91106</v>
      </c>
      <c r="Z1507" s="91">
        <f t="shared" si="24"/>
        <v>66960.82371</v>
      </c>
      <c r="AA1507" s="91">
        <f>IFERROR(__xludf.DUMMYFUNCTION("((IFERROR((SUM(FILTER('Fund Investment Data'!$V:$V, 'Fund Investment Data'!$C:$C = $C1507, 'Fund Investment Data'!$A:$A = $A1507 - 1, 'Fund Investment Data'!$B:$B &gt;= 4, 'Fund Investment Data'!$B:$B &lt;= ($B1507 + 5))) / 12) * ($B1507 - 3) * Parameters!$B$4,"&amp;" 0) + IF($B1507 &gt;= 9, IFERROR(SUM(FILTER('Fund Investment Data'!$V:$V, 'Fund Investment Data'!$C:$C = $C1507, 'Fund Investment Data'!$A:$A = $A1507, 'Fund Investment Data'!$B:$B &lt;= 3)) * Parameters!$B$4, 0),0)))"),0.0)</f>
        <v>0</v>
      </c>
      <c r="AB1507" s="32">
        <f>IFERROR(__xludf.DUMMYFUNCTION("IFERROR(((IFERROR(SUM(FILTER('Fund Investment Data'!$V:$V, 'Fund Investment Data'!$C:$C = $C1507, 'Fund Investment Data'!$A:$A = $A1507 - 2, 'Fund Investment Data'!$B:$B &gt;= 4)) * Parameters!$B$4,0) + IFERROR(SUM(FILTER('Fund Investment Data'!$V:$V, 'Fund "&amp;"Investment Data'!$C:$C = $C1507, 'Fund Investment Data'!$A:$A = $A1507 - 1, 'Fund Investment Data'!$B:$B &lt;= 3)) * Parameters!$B$4,0))),0)"),0.0)</f>
        <v>0</v>
      </c>
      <c r="AC1507" s="32">
        <f>IFERROR(__xludf.DUMMYFUNCTION("IFERROR(FILTER($AF:$AF,$C:$C = $C1507,$A:$A = $A1507 - 1,$B:$B = 12),0)"),0.0)</f>
        <v>0</v>
      </c>
      <c r="AD1507" s="32">
        <f t="shared" si="23"/>
        <v>66960.82371</v>
      </c>
      <c r="AE1507" s="32">
        <f t="shared" si="2"/>
        <v>51360.82371</v>
      </c>
      <c r="AF1507" s="32"/>
    </row>
    <row r="1508">
      <c r="A1508" s="101">
        <v>2019.0</v>
      </c>
      <c r="B1508" s="102">
        <v>8.0</v>
      </c>
      <c r="C1508" s="88" t="s">
        <v>56</v>
      </c>
      <c r="D1508" s="32"/>
      <c r="E1508" s="32"/>
      <c r="F1508" s="32"/>
      <c r="G1508" s="93">
        <v>-4063.26</v>
      </c>
      <c r="H1508" s="93">
        <v>17634.97</v>
      </c>
      <c r="I1508" s="32"/>
      <c r="J1508" s="93">
        <v>94118.45</v>
      </c>
      <c r="K1508" s="32"/>
      <c r="L1508" s="32"/>
      <c r="M1508" s="32"/>
      <c r="N1508" s="32"/>
      <c r="O1508" s="93">
        <v>1107102.87</v>
      </c>
      <c r="P1508" s="91">
        <f>IFERROR(__xludf.DUMMYFUNCTION("IFERROR(sum(FILTER($D:$N,$C:$C = $C1508,$A:$A &lt; $A1508,$B:$B = 12)),0) + sum($D1508:$N1508)"),1107102.8699999999)</f>
        <v>1107102.87</v>
      </c>
      <c r="Q1508" s="92">
        <f t="shared" si="1"/>
        <v>0.0000000002328306437</v>
      </c>
      <c r="R1508" s="91">
        <f t="array" ref="R1508">IFERROR(INDEX('Fund YTD Target Values'!$1:$1000, MATCH($C1508,'Fund YTD Target Values'!$A:$A,0), MATCH($A1508,'Fund YTD Target Values'!$1:$1,0)),0)</f>
        <v>1079944.217</v>
      </c>
      <c r="S1508" s="91">
        <f>IFERROR(__xludf.DUMMYFUNCTION("IFERROR(sum(FILTER('Fund Investment Data'!$V:$V, 'Fund Investment Data'!$C:$C = $C1508, 'Fund Investment Data'!$A:$A &lt; $A1508)),0) + IFERROR(sum(FILTER('Fund Investment Data'!$V:$V, 'Fund Investment Data'!$C:$C = $C1508, 'Fund Investment Data'!$A:$A = $A1"&amp;"508, 'Fund Investment Data'!$B:$B &lt;= $B1508)),0)"),1000000.0)</f>
        <v>1000000</v>
      </c>
      <c r="T1508" s="32"/>
      <c r="U1508" s="32"/>
      <c r="V1508" s="32">
        <f>IFERROR(__xludf.DUMMYFUNCTION("$D1508 - IFERROR(FILTER($D:$D,$C:$C = $C1508, $A:$A = $A1508, $B:$B = $B1508 - 1),0)"),0.0)</f>
        <v>0</v>
      </c>
      <c r="W1508" s="93">
        <f>IFERROR(__xludf.DUMMYFUNCTION("$E1508 - IFERROR(FILTER($E:$E,$C:$C = $C1508, $A:$A = $A1508, $B:$B = $B1508 - 1),0)"),0.0)</f>
        <v>0</v>
      </c>
      <c r="X1508" s="91">
        <f>IFERROR(__xludf.DUMMYFUNCTION("iFERROR((FILTER('Fund Investment Data'!$Z:$Z, 'Fund Investment Data'!$C:$C = $C1508, 'Fund Investment Data'!$A:$A = $A1508 - 1, 'Fund Investment Data'!$B:$B = 12) + FILTER('Fund Investment Data'!$AB:$AB, 'Fund Investment Data'!$C:$C = $C1508, 'Fund Invest"&amp;"ment Data'!$A:$A = $A1508 - 1, 'Fund Investment Data'!$B:$B = 12)) * (1 + AVERAGE(FILTER('Inflation Data'!$C:$C,'Inflation Data'!$A:$A = ($A1508 - 2)))) * Parameters!$A$4,0)"),33311.397321480836)</f>
        <v>33311.39732</v>
      </c>
      <c r="Y1508" s="91">
        <f>IFERROR(__xludf.DUMMYFUNCTION("IFERROR((IFERROR(FILTER('Fund Investment Data'!$P:$P,'Fund Investment Data'!$C:$C = $C1508,'Fund Investment Data'!$A:$A = ($A1508 - 2), 'Fund Investment Data'!$B:$B = 12),0) - SUM(FILTER('Fund Investment Data'!$V:$V, 'Fund Investment Data'!$C:$C = $C1508,"&amp;" 'Fund Investment Data'!$A:$A = ($A1508 - 2), 'Fund Investment Data'!$B:$B &gt; 3)))  * Parameters!$B$4 * (1 - Parameters!$A$4),0)"),15295.200705)</f>
        <v>15295.20071</v>
      </c>
      <c r="Z1508" s="91">
        <f t="shared" si="24"/>
        <v>48606.59803</v>
      </c>
      <c r="AA1508" s="91">
        <f>IFERROR(__xludf.DUMMYFUNCTION("((IFERROR((SUM(FILTER('Fund Investment Data'!$V:$V, 'Fund Investment Data'!$C:$C = $C1508, 'Fund Investment Data'!$A:$A = $A1508 - 1, 'Fund Investment Data'!$B:$B &gt;= 4, 'Fund Investment Data'!$B:$B &lt;= ($B1508 + 5))) / 12) * ($B1508 - 3) * Parameters!$B$4,"&amp;" 0) + IF($B1508 &gt;= 9, IFERROR(SUM(FILTER('Fund Investment Data'!$V:$V, 'Fund Investment Data'!$C:$C = $C1508, 'Fund Investment Data'!$A:$A = $A1508, 'Fund Investment Data'!$B:$B &lt;= 3)) * Parameters!$B$4, 0),0)))"),0.0)</f>
        <v>0</v>
      </c>
      <c r="AB1508" s="32">
        <f>IFERROR(__xludf.DUMMYFUNCTION("IFERROR(((IFERROR(SUM(FILTER('Fund Investment Data'!$V:$V, 'Fund Investment Data'!$C:$C = $C1508, 'Fund Investment Data'!$A:$A = $A1508 - 2, 'Fund Investment Data'!$B:$B &gt;= 4)) * Parameters!$B$4,0) + IFERROR(SUM(FILTER('Fund Investment Data'!$V:$V, 'Fund "&amp;"Investment Data'!$C:$C = $C1508, 'Fund Investment Data'!$A:$A = $A1508 - 1, 'Fund Investment Data'!$B:$B &lt;= 3)) * Parameters!$B$4,0))),0)"),0.0)</f>
        <v>0</v>
      </c>
      <c r="AC1508" s="32">
        <f>IFERROR(__xludf.DUMMYFUNCTION("IFERROR(FILTER($AF:$AF,$C:$C = $C1508,$A:$A = $A1508 - 1,$B:$B = 12),0)"),0.0)</f>
        <v>0</v>
      </c>
      <c r="AD1508" s="32">
        <f t="shared" si="23"/>
        <v>48606.59803</v>
      </c>
      <c r="AE1508" s="32">
        <f t="shared" si="2"/>
        <v>48606.59803</v>
      </c>
      <c r="AF1508" s="32"/>
    </row>
    <row r="1509">
      <c r="A1509" s="101">
        <v>2019.0</v>
      </c>
      <c r="B1509" s="102">
        <v>8.0</v>
      </c>
      <c r="C1509" s="88" t="s">
        <v>57</v>
      </c>
      <c r="D1509" s="32"/>
      <c r="E1509" s="93">
        <v>-20600.0</v>
      </c>
      <c r="F1509" s="32"/>
      <c r="G1509" s="93">
        <v>-7606.47</v>
      </c>
      <c r="H1509" s="93">
        <v>32920.31</v>
      </c>
      <c r="I1509" s="32"/>
      <c r="J1509" s="93">
        <v>173394.54</v>
      </c>
      <c r="K1509" s="32"/>
      <c r="L1509" s="32"/>
      <c r="M1509" s="32"/>
      <c r="N1509" s="32"/>
      <c r="O1509" s="93">
        <v>2058622.85</v>
      </c>
      <c r="P1509" s="91">
        <f>IFERROR(__xludf.DUMMYFUNCTION("IFERROR(sum(FILTER($D:$N,$C:$C = $C1509,$A:$A &lt; $A1509,$B:$B = 12)),0) + sum($D1509:$N1509)"),2058622.85)</f>
        <v>2058622.85</v>
      </c>
      <c r="Q1509" s="92">
        <f t="shared" si="1"/>
        <v>0</v>
      </c>
      <c r="R1509" s="91">
        <f t="array" ref="R1509">IFERROR(INDEX('Fund YTD Target Values'!$1:$1000, MATCH($C1509,'Fund YTD Target Values'!$A:$A,0), MATCH($A1509,'Fund YTD Target Values'!$1:$1,0)),0)</f>
        <v>2085975.586</v>
      </c>
      <c r="S1509" s="91">
        <f>IFERROR(__xludf.DUMMYFUNCTION("IFERROR(sum(FILTER('Fund Investment Data'!$V:$V, 'Fund Investment Data'!$C:$C = $C1509, 'Fund Investment Data'!$A:$A &lt; $A1509)),0) + IFERROR(sum(FILTER('Fund Investment Data'!$V:$V, 'Fund Investment Data'!$C:$C = $C1509, 'Fund Investment Data'!$A:$A = $A1"&amp;"509, 'Fund Investment Data'!$B:$B &lt;= $B1509)),0)"),2000000.0)</f>
        <v>2000000</v>
      </c>
      <c r="T1509" s="32"/>
      <c r="U1509" s="32"/>
      <c r="V1509" s="32">
        <f>IFERROR(__xludf.DUMMYFUNCTION("$D1509 - IFERROR(FILTER($D:$D,$C:$C = $C1509, $A:$A = $A1509, $B:$B = $B1509 - 1),0)"),0.0)</f>
        <v>0</v>
      </c>
      <c r="W1509" s="93">
        <f>IFERROR(__xludf.DUMMYFUNCTION("$E1509 - IFERROR(FILTER($E:$E,$C:$C = $C1509, $A:$A = $A1509, $B:$B = $B1509 - 1),0)"),-200.0)</f>
        <v>-200</v>
      </c>
      <c r="X1509" s="91">
        <f>IFERROR(__xludf.DUMMYFUNCTION("iFERROR((FILTER('Fund Investment Data'!$Z:$Z, 'Fund Investment Data'!$C:$C = $C1509, 'Fund Investment Data'!$A:$A = $A1509 - 1, 'Fund Investment Data'!$B:$B = 12) + FILTER('Fund Investment Data'!$AB:$AB, 'Fund Investment Data'!$C:$C = $C1509, 'Fund Invest"&amp;"ment Data'!$A:$A = $A1509 - 1, 'Fund Investment Data'!$B:$B = 12)) * (1 + AVERAGE(FILTER('Inflation Data'!$C:$C,'Inflation Data'!$A:$A = ($A1509 - 2)))) * Parameters!$A$4,0)"),0.0)</f>
        <v>0</v>
      </c>
      <c r="Y1509" s="91">
        <f>IFERROR(__xludf.DUMMYFUNCTION("IFERROR((IFERROR(FILTER('Fund Investment Data'!$P:$P,'Fund Investment Data'!$C:$C = $C1509,'Fund Investment Data'!$A:$A = ($A1509 - 2), 'Fund Investment Data'!$B:$B = 12),0) - SUM(FILTER('Fund Investment Data'!$V:$V, 'Fund Investment Data'!$C:$C = $C1509,"&amp;" 'Fund Investment Data'!$A:$A = ($A1509 - 2), 'Fund Investment Data'!$B:$B &gt; 3)))  * Parameters!$B$4 * (1 - Parameters!$A$4),0)"),474.91420500000106)</f>
        <v>474.914205</v>
      </c>
      <c r="Z1509" s="91">
        <f t="shared" si="24"/>
        <v>474.914205</v>
      </c>
      <c r="AA1509" s="91">
        <f>IFERROR(__xludf.DUMMYFUNCTION("((IFERROR((SUM(FILTER('Fund Investment Data'!$V:$V, 'Fund Investment Data'!$C:$C = $C1509, 'Fund Investment Data'!$A:$A = $A1509 - 1, 'Fund Investment Data'!$B:$B &gt;= 4, 'Fund Investment Data'!$B:$B &lt;= ($B1509 + 5))) / 12) * ($B1509 - 3) * Parameters!$B$4,"&amp;" 0) + IF($B1509 &gt;= 9, IFERROR(SUM(FILTER('Fund Investment Data'!$V:$V, 'Fund Investment Data'!$C:$C = $C1509, 'Fund Investment Data'!$A:$A = $A1509, 'Fund Investment Data'!$B:$B &lt;= 3)) * Parameters!$B$4, 0),0)))"),0.0)</f>
        <v>0</v>
      </c>
      <c r="AB1509" s="32">
        <f>IFERROR(__xludf.DUMMYFUNCTION("IFERROR(((IFERROR(SUM(FILTER('Fund Investment Data'!$V:$V, 'Fund Investment Data'!$C:$C = $C1509, 'Fund Investment Data'!$A:$A = $A1509 - 2, 'Fund Investment Data'!$B:$B &gt;= 4)) * Parameters!$B$4,0) + IFERROR(SUM(FILTER('Fund Investment Data'!$V:$V, 'Fund "&amp;"Investment Data'!$C:$C = $C1509, 'Fund Investment Data'!$A:$A = $A1509 - 1, 'Fund Investment Data'!$B:$B &lt;= 3)) * Parameters!$B$4,0))),0)"),90000.0)</f>
        <v>90000</v>
      </c>
      <c r="AC1509" s="32">
        <f>IFERROR(__xludf.DUMMYFUNCTION("IFERROR(FILTER($AF:$AF,$C:$C = $C1509,$A:$A = $A1509 - 1,$B:$B = 12),0)"),45000.0)</f>
        <v>45000</v>
      </c>
      <c r="AD1509" s="32">
        <f t="shared" si="23"/>
        <v>135474.9142</v>
      </c>
      <c r="AE1509" s="32">
        <f t="shared" si="2"/>
        <v>114874.9142</v>
      </c>
      <c r="AF1509" s="32"/>
    </row>
    <row r="1510">
      <c r="A1510" s="86">
        <v>2019.0</v>
      </c>
      <c r="B1510" s="87">
        <v>8.0</v>
      </c>
      <c r="C1510" s="88" t="s">
        <v>58</v>
      </c>
      <c r="D1510" s="32"/>
      <c r="E1510" s="93">
        <v>-33400.0</v>
      </c>
      <c r="F1510" s="32"/>
      <c r="G1510" s="93">
        <v>-7511.59</v>
      </c>
      <c r="H1510" s="93">
        <v>32581.38</v>
      </c>
      <c r="I1510" s="32"/>
      <c r="J1510" s="93">
        <v>173394.54</v>
      </c>
      <c r="K1510" s="32"/>
      <c r="L1510" s="32"/>
      <c r="M1510" s="32"/>
      <c r="N1510" s="32"/>
      <c r="O1510" s="93">
        <v>2025578.78</v>
      </c>
      <c r="P1510" s="91">
        <f>IFERROR(__xludf.DUMMYFUNCTION("IFERROR(sum(FILTER($D:$N,$C:$C = $C1510,$A:$A &lt; $A1510,$B:$B = 12)),0) + sum($D1510:$N1510)"),2025578.78)</f>
        <v>2025578.78</v>
      </c>
      <c r="Q1510" s="92">
        <f t="shared" si="1"/>
        <v>0</v>
      </c>
      <c r="R1510" s="91">
        <f t="array" ref="R1510">IFERROR(INDEX('Fund YTD Target Values'!$1:$1000, MATCH($C1510,'Fund YTD Target Values'!$A:$A,0), MATCH($A1510,'Fund YTD Target Values'!$1:$1,0)),0)</f>
        <v>2085975.586</v>
      </c>
      <c r="S1510" s="91">
        <f>IFERROR(__xludf.DUMMYFUNCTION("IFERROR(sum(FILTER('Fund Investment Data'!$V:$V, 'Fund Investment Data'!$C:$C = $C1510, 'Fund Investment Data'!$A:$A &lt; $A1510)),0) + IFERROR(sum(FILTER('Fund Investment Data'!$V:$V, 'Fund Investment Data'!$C:$C = $C1510, 'Fund Investment Data'!$A:$A = $A1"&amp;"510, 'Fund Investment Data'!$B:$B &lt;= $B1510)),0)"),2000000.0)</f>
        <v>2000000</v>
      </c>
      <c r="T1510" s="32"/>
      <c r="U1510" s="32"/>
      <c r="V1510" s="32">
        <f>IFERROR(__xludf.DUMMYFUNCTION("$D1510 - IFERROR(FILTER($D:$D,$C:$C = $C1510, $A:$A = $A1510, $B:$B = $B1510 - 1),0)"),0.0)</f>
        <v>0</v>
      </c>
      <c r="W1510" s="93">
        <f>IFERROR(__xludf.DUMMYFUNCTION("$E1510 - IFERROR(FILTER($E:$E,$C:$C = $C1510, $A:$A = $A1510, $B:$B = $B1510 - 1),0)"),-2600.0)</f>
        <v>-2600</v>
      </c>
      <c r="X1510" s="91">
        <f>IFERROR(__xludf.DUMMYFUNCTION("iFERROR((FILTER('Fund Investment Data'!$Z:$Z, 'Fund Investment Data'!$C:$C = $C1510, 'Fund Investment Data'!$A:$A = $A1510 - 1, 'Fund Investment Data'!$B:$B = 12) + FILTER('Fund Investment Data'!$AB:$AB, 'Fund Investment Data'!$C:$C = $C1510, 'Fund Invest"&amp;"ment Data'!$A:$A = $A1510 - 1, 'Fund Investment Data'!$B:$B = 12)) * (1 + AVERAGE(FILTER('Inflation Data'!$C:$C,'Inflation Data'!$A:$A = ($A1510 - 2)))) * Parameters!$A$4,0)"),0.0)</f>
        <v>0</v>
      </c>
      <c r="Y1510" s="91">
        <f>IFERROR(__xludf.DUMMYFUNCTION("IFERROR((IFERROR(FILTER('Fund Investment Data'!$P:$P,'Fund Investment Data'!$C:$C = $C1510,'Fund Investment Data'!$A:$A = ($A1510 - 2), 'Fund Investment Data'!$B:$B = 12),0) - SUM(FILTER('Fund Investment Data'!$V:$V, 'Fund Investment Data'!$C:$C = $C1510,"&amp;" 'Fund Investment Data'!$A:$A = ($A1510 - 2), 'Fund Investment Data'!$B:$B &gt; 3)))  * Parameters!$B$4 * (1 - Parameters!$A$4),0)"),474.91420500000106)</f>
        <v>474.914205</v>
      </c>
      <c r="Z1510" s="91">
        <f t="shared" si="24"/>
        <v>474.914205</v>
      </c>
      <c r="AA1510" s="91">
        <f>IFERROR(__xludf.DUMMYFUNCTION("((IFERROR((SUM(FILTER('Fund Investment Data'!$V:$V, 'Fund Investment Data'!$C:$C = $C1510, 'Fund Investment Data'!$A:$A = $A1510 - 1, 'Fund Investment Data'!$B:$B &gt;= 4, 'Fund Investment Data'!$B:$B &lt;= ($B1510 + 5))) / 12) * ($B1510 - 3) * Parameters!$B$4,"&amp;" 0) + IF($B1510 &gt;= 9, IFERROR(SUM(FILTER('Fund Investment Data'!$V:$V, 'Fund Investment Data'!$C:$C = $C1510, 'Fund Investment Data'!$A:$A = $A1510, 'Fund Investment Data'!$B:$B &lt;= 3)) * Parameters!$B$4, 0),0)))"),0.0)</f>
        <v>0</v>
      </c>
      <c r="AB1510" s="32">
        <f>IFERROR(__xludf.DUMMYFUNCTION("IFERROR(((IFERROR(SUM(FILTER('Fund Investment Data'!$V:$V, 'Fund Investment Data'!$C:$C = $C1510, 'Fund Investment Data'!$A:$A = $A1510 - 2, 'Fund Investment Data'!$B:$B &gt;= 4)) * Parameters!$B$4,0) + IFERROR(SUM(FILTER('Fund Investment Data'!$V:$V, 'Fund "&amp;"Investment Data'!$C:$C = $C1510, 'Fund Investment Data'!$A:$A = $A1510 - 1, 'Fund Investment Data'!$B:$B &lt;= 3)) * Parameters!$B$4,0))),0)"),90000.0)</f>
        <v>90000</v>
      </c>
      <c r="AC1510" s="32">
        <f>IFERROR(__xludf.DUMMYFUNCTION("IFERROR(FILTER($AF:$AF,$C:$C = $C1510,$A:$A = $A1510 - 1,$B:$B = 12),0)"),25000.0)</f>
        <v>25000</v>
      </c>
      <c r="AD1510" s="32">
        <f t="shared" si="23"/>
        <v>115474.9142</v>
      </c>
      <c r="AE1510" s="32">
        <f t="shared" si="2"/>
        <v>82074.91421</v>
      </c>
      <c r="AF1510" s="32"/>
    </row>
    <row r="1511">
      <c r="A1511" s="86">
        <v>2019.0</v>
      </c>
      <c r="B1511" s="87">
        <v>9.0</v>
      </c>
      <c r="C1511" s="88" t="s">
        <v>26</v>
      </c>
      <c r="D1511" s="93">
        <v>7128.0</v>
      </c>
      <c r="E1511" s="93">
        <v>-16730.0</v>
      </c>
      <c r="F1511" s="32"/>
      <c r="G1511" s="93">
        <v>-1417.34</v>
      </c>
      <c r="H1511" s="93">
        <v>6095.88</v>
      </c>
      <c r="I1511" s="32"/>
      <c r="J1511" s="93">
        <v>32051.51</v>
      </c>
      <c r="K1511" s="32"/>
      <c r="L1511" s="93">
        <v>-85.34</v>
      </c>
      <c r="M1511" s="32"/>
      <c r="N1511" s="32"/>
      <c r="O1511" s="93">
        <v>335871.58</v>
      </c>
      <c r="P1511" s="91">
        <f>IFERROR(__xludf.DUMMYFUNCTION("IFERROR(sum(FILTER($D:$N,$C:$C = $C1511,$A:$A &lt; $A1511,$B:$B = 12)),0) + sum($D1511:$N1511)"),335870.11)</f>
        <v>335870.11</v>
      </c>
      <c r="Q1511" s="92">
        <f t="shared" si="1"/>
        <v>1.47</v>
      </c>
      <c r="R1511" s="91">
        <f t="array" ref="R1511">IFERROR(INDEX('Fund YTD Target Values'!$1:$1000, MATCH($C1511,'Fund YTD Target Values'!$A:$A,0), MATCH($A1511,'Fund YTD Target Values'!$1:$1,0)),0)</f>
        <v>392089.6861</v>
      </c>
      <c r="S1511" s="91">
        <f>IFERROR(__xludf.DUMMYFUNCTION("IFERROR(sum(FILTER('Fund Investment Data'!$V:$V, 'Fund Investment Data'!$C:$C = $C1511, 'Fund Investment Data'!$A:$A &lt; $A1511)),0) + IFERROR(sum(FILTER('Fund Investment Data'!$V:$V, 'Fund Investment Data'!$C:$C = $C1511, 'Fund Investment Data'!$A:$A = $A1"&amp;"511, 'Fund Investment Data'!$B:$B &lt;= $B1511)),0)"),317377.0)</f>
        <v>317377</v>
      </c>
      <c r="T1511" s="32"/>
      <c r="U1511" s="32"/>
      <c r="V1511" s="32">
        <f>IFERROR(__xludf.DUMMYFUNCTION("$D1511 - IFERROR(FILTER($D:$D,$C:$C = $C1511, $A:$A = $A1511, $B:$B = $B1511 - 1),0)"),0.0)</f>
        <v>0</v>
      </c>
      <c r="W1511" s="93">
        <f>IFERROR(__xludf.DUMMYFUNCTION("$E1511 - IFERROR(FILTER($E:$E,$C:$C = $C1511, $A:$A = $A1511, $B:$B = $B1511 - 1),0)"),0.0)</f>
        <v>0</v>
      </c>
      <c r="X1511" s="91">
        <f>IFERROR(__xludf.DUMMYFUNCTION("iFERROR((FILTER('Fund Investment Data'!$Z:$Z, 'Fund Investment Data'!$C:$C = $C1511, 'Fund Investment Data'!$A:$A = $A1511 - 1, 'Fund Investment Data'!$B:$B = 12) + FILTER('Fund Investment Data'!$AB:$AB, 'Fund Investment Data'!$C:$C = $C1511, 'Fund Invest"&amp;"ment Data'!$A:$A = $A1511 - 1, 'Fund Investment Data'!$B:$B = 12)) * (1 + AVERAGE(FILTER('Inflation Data'!$C:$C,'Inflation Data'!$A:$A = ($A1511 - 2)))) * Parameters!$A$4,0)"),11342.657736026731)</f>
        <v>11342.65774</v>
      </c>
      <c r="Y1511" s="91">
        <f>IFERROR(__xludf.DUMMYFUNCTION("IFERROR((IFERROR(FILTER('Fund Investment Data'!$P:$P,'Fund Investment Data'!$C:$C = $C1511,'Fund Investment Data'!$A:$A = ($A1511 - 2), 'Fund Investment Data'!$B:$B = 12),0) - SUM(FILTER('Fund Investment Data'!$V:$V, 'Fund Investment Data'!$C:$C = $C1511,"&amp;" 'Fund Investment Data'!$A:$A = ($A1511 - 2), 'Fund Investment Data'!$B:$B &gt; 3)))  * Parameters!$B$4 * (1 - Parameters!$A$4),0)"),4477.69296)</f>
        <v>4477.69296</v>
      </c>
      <c r="Z1511" s="91">
        <f t="shared" si="24"/>
        <v>15820.3507</v>
      </c>
      <c r="AA1511" s="91">
        <f>IFERROR(__xludf.DUMMYFUNCTION("((IFERROR((SUM(FILTER('Fund Investment Data'!$V:$V, 'Fund Investment Data'!$C:$C = $C1511, 'Fund Investment Data'!$A:$A = $A1511 - 1, 'Fund Investment Data'!$B:$B &gt;= 4, 'Fund Investment Data'!$B:$B &lt;= ($B1511 + 5))) / 12) * ($B1511 - 3) * Parameters!$B$4,"&amp;" 0) + IF($B1511 &gt;= 9, IFERROR(SUM(FILTER('Fund Investment Data'!$V:$V, 'Fund Investment Data'!$C:$C = $C1511, 'Fund Investment Data'!$A:$A = $A1511, 'Fund Investment Data'!$B:$B &lt;= 3)) * Parameters!$B$4, 0),0)))"),320.76)</f>
        <v>320.76</v>
      </c>
      <c r="AB1511" s="32">
        <f>IFERROR(__xludf.DUMMYFUNCTION("IFERROR(((IFERROR(SUM(FILTER('Fund Investment Data'!$V:$V, 'Fund Investment Data'!$C:$C = $C1511, 'Fund Investment Data'!$A:$A = $A1511 - 2, 'Fund Investment Data'!$B:$B &gt;= 4)) * Parameters!$B$4,0) + IFERROR(SUM(FILTER('Fund Investment Data'!$V:$V, 'Fund "&amp;"Investment Data'!$C:$C = $C1511, 'Fund Investment Data'!$A:$A = $A1511 - 1, 'Fund Investment Data'!$B:$B &lt;= 3)) * Parameters!$B$4,0))),0)"),829.755)</f>
        <v>829.755</v>
      </c>
      <c r="AC1511" s="32">
        <f>IFERROR(__xludf.DUMMYFUNCTION("IFERROR(FILTER($AF:$AF,$C:$C = $C1511,$A:$A = $A1511 - 1,$B:$B = 12),0)"),0.0)</f>
        <v>0</v>
      </c>
      <c r="AD1511" s="32">
        <f t="shared" si="23"/>
        <v>16970.8657</v>
      </c>
      <c r="AE1511" s="32">
        <f t="shared" si="2"/>
        <v>240.865696</v>
      </c>
      <c r="AF1511" s="32"/>
    </row>
    <row r="1512">
      <c r="A1512" s="86">
        <v>2019.0</v>
      </c>
      <c r="B1512" s="87">
        <v>9.0</v>
      </c>
      <c r="C1512" s="88" t="s">
        <v>27</v>
      </c>
      <c r="D1512" s="32"/>
      <c r="E1512" s="93">
        <v>-14089.0</v>
      </c>
      <c r="F1512" s="32"/>
      <c r="G1512" s="93">
        <v>-1222.72</v>
      </c>
      <c r="H1512" s="93">
        <v>5265.59</v>
      </c>
      <c r="I1512" s="93">
        <v>3403.93</v>
      </c>
      <c r="J1512" s="93">
        <v>24536.63</v>
      </c>
      <c r="K1512" s="32"/>
      <c r="L1512" s="32"/>
      <c r="M1512" s="32"/>
      <c r="N1512" s="32"/>
      <c r="O1512" s="93">
        <v>288777.9</v>
      </c>
      <c r="P1512" s="91">
        <f>IFERROR(__xludf.DUMMYFUNCTION("IFERROR(sum(FILTER($D:$N,$C:$C = $C1512,$A:$A &lt; $A1512,$B:$B = 12)),0) + sum($D1512:$N1512)"),288778.24000000005)</f>
        <v>288778.24</v>
      </c>
      <c r="Q1512" s="92">
        <f t="shared" si="1"/>
        <v>-0.34</v>
      </c>
      <c r="R1512" s="91">
        <f t="array" ref="R1512">IFERROR(INDEX('Fund YTD Target Values'!$1:$1000, MATCH($C1512,'Fund YTD Target Values'!$A:$A,0), MATCH($A1512,'Fund YTD Target Values'!$1:$1,0)),0)</f>
        <v>400423.4941</v>
      </c>
      <c r="S1512" s="91">
        <f>IFERROR(__xludf.DUMMYFUNCTION("IFERROR(sum(FILTER('Fund Investment Data'!$V:$V, 'Fund Investment Data'!$C:$C = $C1512, 'Fund Investment Data'!$A:$A &lt; $A1512)),0) + IFERROR(sum(FILTER('Fund Investment Data'!$V:$V, 'Fund Investment Data'!$C:$C = $C1512, 'Fund Investment Data'!$A:$A = $A1"&amp;"512, 'Fund Investment Data'!$B:$B &lt;= $B1512)),0)"),276213.69999999995)</f>
        <v>276213.7</v>
      </c>
      <c r="T1512" s="32"/>
      <c r="U1512" s="32"/>
      <c r="V1512" s="32">
        <f>IFERROR(__xludf.DUMMYFUNCTION("$D1512 - IFERROR(FILTER($D:$D,$C:$C = $C1512, $A:$A = $A1512, $B:$B = $B1512 - 1),0)"),0.0)</f>
        <v>0</v>
      </c>
      <c r="W1512" s="93">
        <f>IFERROR(__xludf.DUMMYFUNCTION("$E1512 - IFERROR(FILTER($E:$E,$C:$C = $C1512, $A:$A = $A1512, $B:$B = $B1512 - 1),0)"),0.0)</f>
        <v>0</v>
      </c>
      <c r="X1512" s="91">
        <f>IFERROR(__xludf.DUMMYFUNCTION("iFERROR((FILTER('Fund Investment Data'!$Z:$Z, 'Fund Investment Data'!$C:$C = $C1512, 'Fund Investment Data'!$A:$A = $A1512 - 1, 'Fund Investment Data'!$B:$B = 12) + FILTER('Fund Investment Data'!$AB:$AB, 'Fund Investment Data'!$C:$C = $C1512, 'Fund Invest"&amp;"ment Data'!$A:$A = $A1512 - 1, 'Fund Investment Data'!$B:$B = 12)) * (1 + AVERAGE(FILTER('Inflation Data'!$C:$C,'Inflation Data'!$A:$A = ($A1512 - 2)))) * Parameters!$A$4,0)"),9924.42530607715)</f>
        <v>9924.425306</v>
      </c>
      <c r="Y1512" s="91">
        <f>IFERROR(__xludf.DUMMYFUNCTION("IFERROR((IFERROR(FILTER('Fund Investment Data'!$P:$P,'Fund Investment Data'!$C:$C = $C1512,'Fund Investment Data'!$A:$A = ($A1512 - 2), 'Fund Investment Data'!$B:$B = 12),0) - SUM(FILTER('Fund Investment Data'!$V:$V, 'Fund Investment Data'!$C:$C = $C1512,"&amp;" 'Fund Investment Data'!$A:$A = ($A1512 - 2), 'Fund Investment Data'!$B:$B &gt; 3)))  * Parameters!$B$4 * (1 - Parameters!$A$4),0)"),4164.5529000000015)</f>
        <v>4164.5529</v>
      </c>
      <c r="Z1512" s="91">
        <f t="shared" si="24"/>
        <v>14088.97821</v>
      </c>
      <c r="AA1512" s="91">
        <f>IFERROR(__xludf.DUMMYFUNCTION("((IFERROR((SUM(FILTER('Fund Investment Data'!$V:$V, 'Fund Investment Data'!$C:$C = $C1512, 'Fund Investment Data'!$A:$A = $A1512 - 1, 'Fund Investment Data'!$B:$B &gt;= 4, 'Fund Investment Data'!$B:$B &lt;= ($B1512 + 5))) / 12) * ($B1512 - 3) * Parameters!$B$4,"&amp;" 0) + IF($B1512 &gt;= 9, IFERROR(SUM(FILTER('Fund Investment Data'!$V:$V, 'Fund Investment Data'!$C:$C = $C1512, 'Fund Investment Data'!$A:$A = $A1512, 'Fund Investment Data'!$B:$B &lt;= 3)) * Parameters!$B$4, 0),0)))"),0.0)</f>
        <v>0</v>
      </c>
      <c r="AB1512" s="32">
        <f>IFERROR(__xludf.DUMMYFUNCTION("IFERROR(((IFERROR(SUM(FILTER('Fund Investment Data'!$V:$V, 'Fund Investment Data'!$C:$C = $C1512, 'Fund Investment Data'!$A:$A = $A1512 - 2, 'Fund Investment Data'!$B:$B &gt;= 4)) * Parameters!$B$4,0) + IFERROR(SUM(FILTER('Fund Investment Data'!$V:$V, 'Fund "&amp;"Investment Data'!$C:$C = $C1512, 'Fund Investment Data'!$A:$A = $A1512 - 1, 'Fund Investment Data'!$B:$B &lt;= 3)) * Parameters!$B$4,0))),0)"),0.0)</f>
        <v>0</v>
      </c>
      <c r="AC1512" s="32">
        <f>IFERROR(__xludf.DUMMYFUNCTION("IFERROR(FILTER($AF:$AF,$C:$C = $C1512,$A:$A = $A1512 - 1,$B:$B = 12),0)"),0.0)</f>
        <v>0</v>
      </c>
      <c r="AD1512" s="32">
        <f t="shared" si="23"/>
        <v>14088.97821</v>
      </c>
      <c r="AE1512" s="32">
        <f t="shared" si="2"/>
        <v>-0.02179392285</v>
      </c>
      <c r="AF1512" s="32"/>
    </row>
    <row r="1513">
      <c r="A1513" s="86">
        <v>2019.0</v>
      </c>
      <c r="B1513" s="87">
        <v>9.0</v>
      </c>
      <c r="C1513" s="88" t="s">
        <v>28</v>
      </c>
      <c r="D1513" s="32"/>
      <c r="E1513" s="93">
        <v>-151137.0</v>
      </c>
      <c r="F1513" s="32"/>
      <c r="G1513" s="93">
        <v>-13040.3</v>
      </c>
      <c r="H1513" s="93">
        <v>56202.05</v>
      </c>
      <c r="I1513" s="93">
        <v>36842.32</v>
      </c>
      <c r="J1513" s="93">
        <v>263320.96</v>
      </c>
      <c r="K1513" s="32"/>
      <c r="L1513" s="32"/>
      <c r="M1513" s="32"/>
      <c r="N1513" s="32"/>
      <c r="O1513" s="93">
        <v>3094428.4</v>
      </c>
      <c r="P1513" s="91">
        <f>IFERROR(__xludf.DUMMYFUNCTION("IFERROR(sum(FILTER($D:$N,$C:$C = $C1513,$A:$A &lt; $A1513,$B:$B = 12)),0) + sum($D1513:$N1513)"),3094427.4699999997)</f>
        <v>3094427.47</v>
      </c>
      <c r="Q1513" s="92">
        <f t="shared" si="1"/>
        <v>0.9300000002</v>
      </c>
      <c r="R1513" s="91">
        <f t="array" ref="R1513">IFERROR(INDEX('Fund YTD Target Values'!$1:$1000, MATCH($C1513,'Fund YTD Target Values'!$A:$A,0), MATCH($A1513,'Fund YTD Target Values'!$1:$1,0)),0)</f>
        <v>3910070.897</v>
      </c>
      <c r="S1513" s="91">
        <f>IFERROR(__xludf.DUMMYFUNCTION("IFERROR(sum(FILTER('Fund Investment Data'!$V:$V, 'Fund Investment Data'!$C:$C = $C1513, 'Fund Investment Data'!$A:$A &lt; $A1513)),0) + IFERROR(sum(FILTER('Fund Investment Data'!$V:$V, 'Fund Investment Data'!$C:$C = $C1513, 'Fund Investment Data'!$A:$A = $A1"&amp;"513, 'Fund Investment Data'!$B:$B &lt;= $B1513)),0)"),2960091.25)</f>
        <v>2960091.25</v>
      </c>
      <c r="T1513" s="32"/>
      <c r="U1513" s="32"/>
      <c r="V1513" s="32">
        <f>IFERROR(__xludf.DUMMYFUNCTION("$D1513 - IFERROR(FILTER($D:$D,$C:$C = $C1513, $A:$A = $A1513, $B:$B = $B1513 - 1),0)"),0.0)</f>
        <v>0</v>
      </c>
      <c r="W1513" s="93">
        <f>IFERROR(__xludf.DUMMYFUNCTION("$E1513 - IFERROR(FILTER($E:$E,$C:$C = $C1513, $A:$A = $A1513, $B:$B = $B1513 - 1),0)"),0.0)</f>
        <v>0</v>
      </c>
      <c r="X1513" s="91">
        <f>IFERROR(__xludf.DUMMYFUNCTION("iFERROR((FILTER('Fund Investment Data'!$Z:$Z, 'Fund Investment Data'!$C:$C = $C1513, 'Fund Investment Data'!$A:$A = $A1513 - 1, 'Fund Investment Data'!$B:$B = 12) + FILTER('Fund Investment Data'!$AB:$AB, 'Fund Investment Data'!$C:$C = $C1513, 'Fund Invest"&amp;"ment Data'!$A:$A = $A1513 - 1, 'Fund Investment Data'!$B:$B = 12)) * (1 + AVERAGE(FILTER('Inflation Data'!$C:$C,'Inflation Data'!$A:$A = ($A1513 - 2)))) * Parameters!$A$4,0)"),106462.6298445185)</f>
        <v>106462.6298</v>
      </c>
      <c r="Y1513" s="91">
        <f>IFERROR(__xludf.DUMMYFUNCTION("IFERROR((IFERROR(FILTER('Fund Investment Data'!$P:$P,'Fund Investment Data'!$C:$C = $C1513,'Fund Investment Data'!$A:$A = ($A1513 - 2), 'Fund Investment Data'!$B:$B = 12),0) - SUM(FILTER('Fund Investment Data'!$V:$V, 'Fund Investment Data'!$C:$C = $C1513,"&amp;" 'Fund Investment Data'!$A:$A = ($A1513 - 2), 'Fund Investment Data'!$B:$B &gt; 3)))  * Parameters!$B$4 * (1 - Parameters!$A$4),0)"),44674.55194500001)</f>
        <v>44674.55195</v>
      </c>
      <c r="Z1513" s="91">
        <f t="shared" si="24"/>
        <v>151137.1818</v>
      </c>
      <c r="AA1513" s="91">
        <f>IFERROR(__xludf.DUMMYFUNCTION("((IFERROR((SUM(FILTER('Fund Investment Data'!$V:$V, 'Fund Investment Data'!$C:$C = $C1513, 'Fund Investment Data'!$A:$A = $A1513 - 1, 'Fund Investment Data'!$B:$B &gt;= 4, 'Fund Investment Data'!$B:$B &lt;= ($B1513 + 5))) / 12) * ($B1513 - 3) * Parameters!$B$4,"&amp;" 0) + IF($B1513 &gt;= 9, IFERROR(SUM(FILTER('Fund Investment Data'!$V:$V, 'Fund Investment Data'!$C:$C = $C1513, 'Fund Investment Data'!$A:$A = $A1513, 'Fund Investment Data'!$B:$B &lt;= 3)) * Parameters!$B$4, 0),0)))"),0.0)</f>
        <v>0</v>
      </c>
      <c r="AB1513" s="32">
        <f>IFERROR(__xludf.DUMMYFUNCTION("IFERROR(((IFERROR(SUM(FILTER('Fund Investment Data'!$V:$V, 'Fund Investment Data'!$C:$C = $C1513, 'Fund Investment Data'!$A:$A = $A1513 - 2, 'Fund Investment Data'!$B:$B &gt;= 4)) * Parameters!$B$4,0) + IFERROR(SUM(FILTER('Fund Investment Data'!$V:$V, 'Fund "&amp;"Investment Data'!$C:$C = $C1513, 'Fund Investment Data'!$A:$A = $A1513 - 1, 'Fund Investment Data'!$B:$B &lt;= 3)) * Parameters!$B$4,0))),0)"),0.0)</f>
        <v>0</v>
      </c>
      <c r="AC1513" s="32">
        <f>IFERROR(__xludf.DUMMYFUNCTION("IFERROR(FILTER($AF:$AF,$C:$C = $C1513,$A:$A = $A1513 - 1,$B:$B = 12),0)"),0.0)</f>
        <v>0</v>
      </c>
      <c r="AD1513" s="32">
        <f t="shared" si="23"/>
        <v>151137.1818</v>
      </c>
      <c r="AE1513" s="32">
        <f t="shared" si="2"/>
        <v>0.1817895185</v>
      </c>
      <c r="AF1513" s="32"/>
    </row>
    <row r="1514">
      <c r="A1514" s="86">
        <v>2019.0</v>
      </c>
      <c r="B1514" s="87">
        <v>9.0</v>
      </c>
      <c r="C1514" s="88" t="s">
        <v>46</v>
      </c>
      <c r="D1514" s="32"/>
      <c r="E1514" s="93">
        <v>-17972.0</v>
      </c>
      <c r="F1514" s="32"/>
      <c r="G1514" s="93">
        <v>-1499.15</v>
      </c>
      <c r="H1514" s="93">
        <v>6472.39</v>
      </c>
      <c r="I1514" s="93">
        <v>4377.36</v>
      </c>
      <c r="J1514" s="93">
        <v>30183.98</v>
      </c>
      <c r="K1514" s="32"/>
      <c r="L1514" s="32"/>
      <c r="M1514" s="32"/>
      <c r="N1514" s="32"/>
      <c r="O1514" s="93">
        <v>356353.54</v>
      </c>
      <c r="P1514" s="91">
        <f>IFERROR(__xludf.DUMMYFUNCTION("IFERROR(sum(FILTER($D:$N,$C:$C = $C1514,$A:$A &lt; $A1514,$B:$B = 12)),0) + sum($D1514:$N1514)"),356353.96)</f>
        <v>356353.96</v>
      </c>
      <c r="Q1514" s="92">
        <f t="shared" si="1"/>
        <v>-0.42</v>
      </c>
      <c r="R1514" s="91">
        <f t="array" ref="R1514">IFERROR(INDEX('Fund YTD Target Values'!$1:$1000, MATCH($C1514,'Fund YTD Target Values'!$A:$A,0), MATCH($A1514,'Fund YTD Target Values'!$1:$1,0)),0)</f>
        <v>464818.8536</v>
      </c>
      <c r="S1514" s="91">
        <f>IFERROR(__xludf.DUMMYFUNCTION("IFERROR(sum(FILTER('Fund Investment Data'!$V:$V, 'Fund Investment Data'!$C:$C = $C1514, 'Fund Investment Data'!$A:$A &lt; $A1514)),0) + IFERROR(sum(FILTER('Fund Investment Data'!$V:$V, 'Fund Investment Data'!$C:$C = $C1514, 'Fund Investment Data'!$A:$A = $A1"&amp;"514, 'Fund Investment Data'!$B:$B &lt;= $B1514)),0)"),366400.0)</f>
        <v>366400</v>
      </c>
      <c r="T1514" s="32"/>
      <c r="U1514" s="32"/>
      <c r="V1514" s="32">
        <f>IFERROR(__xludf.DUMMYFUNCTION("$D1514 - IFERROR(FILTER($D:$D,$C:$C = $C1514, $A:$A = $A1514, $B:$B = $B1514 - 1),0)"),0.0)</f>
        <v>0</v>
      </c>
      <c r="W1514" s="93">
        <f>IFERROR(__xludf.DUMMYFUNCTION("$E1514 - IFERROR(FILTER($E:$E,$C:$C = $C1514, $A:$A = $A1514, $B:$B = $B1514 - 1),0)"),0.0)</f>
        <v>0</v>
      </c>
      <c r="X1514" s="91">
        <f>IFERROR(__xludf.DUMMYFUNCTION("iFERROR((FILTER('Fund Investment Data'!$Z:$Z, 'Fund Investment Data'!$C:$C = $C1514, 'Fund Investment Data'!$A:$A = $A1514 - 1, 'Fund Investment Data'!$B:$B = 12) + FILTER('Fund Investment Data'!$AB:$AB, 'Fund Investment Data'!$C:$C = $C1514, 'Fund Invest"&amp;"ment Data'!$A:$A = $A1514 - 1, 'Fund Investment Data'!$B:$B = 12)) * (1 + AVERAGE(FILTER('Inflation Data'!$C:$C,'Inflation Data'!$A:$A = ($A1514 - 2)))) * Parameters!$A$4,0)"),12659.715432364716)</f>
        <v>12659.71543</v>
      </c>
      <c r="Y1514" s="91">
        <f>IFERROR(__xludf.DUMMYFUNCTION("IFERROR((IFERROR(FILTER('Fund Investment Data'!$P:$P,'Fund Investment Data'!$C:$C = $C1514,'Fund Investment Data'!$A:$A = ($A1514 - 2), 'Fund Investment Data'!$B:$B = 12),0) - SUM(FILTER('Fund Investment Data'!$V:$V, 'Fund Investment Data'!$C:$C = $C1514,"&amp;" 'Fund Investment Data'!$A:$A = ($A1514 - 2), 'Fund Investment Data'!$B:$B &gt; 3)))  * Parameters!$B$4 * (1 - Parameters!$A$4),0)"),5312.3534100000015)</f>
        <v>5312.35341</v>
      </c>
      <c r="Z1514" s="91">
        <f t="shared" si="24"/>
        <v>17972.06884</v>
      </c>
      <c r="AA1514" s="91">
        <f>IFERROR(__xludf.DUMMYFUNCTION("((IFERROR((SUM(FILTER('Fund Investment Data'!$V:$V, 'Fund Investment Data'!$C:$C = $C1514, 'Fund Investment Data'!$A:$A = $A1514 - 1, 'Fund Investment Data'!$B:$B &gt;= 4, 'Fund Investment Data'!$B:$B &lt;= ($B1514 + 5))) / 12) * ($B1514 - 3) * Parameters!$B$4,"&amp;" 0) + IF($B1514 &gt;= 9, IFERROR(SUM(FILTER('Fund Investment Data'!$V:$V, 'Fund Investment Data'!$C:$C = $C1514, 'Fund Investment Data'!$A:$A = $A1514, 'Fund Investment Data'!$B:$B &lt;= 3)) * Parameters!$B$4, 0),0)))"),0.0)</f>
        <v>0</v>
      </c>
      <c r="AB1514" s="32">
        <f>IFERROR(__xludf.DUMMYFUNCTION("IFERROR(((IFERROR(SUM(FILTER('Fund Investment Data'!$V:$V, 'Fund Investment Data'!$C:$C = $C1514, 'Fund Investment Data'!$A:$A = $A1514 - 2, 'Fund Investment Data'!$B:$B &gt;= 4)) * Parameters!$B$4,0) + IFERROR(SUM(FILTER('Fund Investment Data'!$V:$V, 'Fund "&amp;"Investment Data'!$C:$C = $C1514, 'Fund Investment Data'!$A:$A = $A1514 - 1, 'Fund Investment Data'!$B:$B &lt;= 3)) * Parameters!$B$4,0))),0)"),0.0)</f>
        <v>0</v>
      </c>
      <c r="AC1514" s="32">
        <f>IFERROR(__xludf.DUMMYFUNCTION("IFERROR(FILTER($AF:$AF,$C:$C = $C1514,$A:$A = $A1514 - 1,$B:$B = 12),0)"),0.0)</f>
        <v>0</v>
      </c>
      <c r="AD1514" s="32">
        <f t="shared" si="23"/>
        <v>17972.06884</v>
      </c>
      <c r="AE1514" s="32">
        <f t="shared" si="2"/>
        <v>0.06884236472</v>
      </c>
      <c r="AF1514" s="32"/>
    </row>
    <row r="1515">
      <c r="A1515" s="86">
        <v>2019.0</v>
      </c>
      <c r="B1515" s="87">
        <v>9.0</v>
      </c>
      <c r="C1515" s="88" t="s">
        <v>36</v>
      </c>
      <c r="D1515" s="32"/>
      <c r="E1515" s="93">
        <v>-20587.0</v>
      </c>
      <c r="F1515" s="32"/>
      <c r="G1515" s="93">
        <v>-1764.27</v>
      </c>
      <c r="H1515" s="93">
        <v>7609.05</v>
      </c>
      <c r="I1515" s="93">
        <v>4822.06</v>
      </c>
      <c r="J1515" s="93">
        <v>35786.4</v>
      </c>
      <c r="K1515" s="32"/>
      <c r="L1515" s="32"/>
      <c r="M1515" s="32"/>
      <c r="N1515" s="32"/>
      <c r="O1515" s="93">
        <v>419797.43</v>
      </c>
      <c r="P1515" s="91">
        <f>IFERROR(__xludf.DUMMYFUNCTION("IFERROR(sum(FILTER($D:$N,$C:$C = $C1515,$A:$A &lt; $A1515,$B:$B = 12)),0) + sum($D1515:$N1515)"),419796.98)</f>
        <v>419796.98</v>
      </c>
      <c r="Q1515" s="92">
        <f t="shared" si="1"/>
        <v>0.45</v>
      </c>
      <c r="R1515" s="91">
        <f t="array" ref="R1515">IFERROR(INDEX('Fund YTD Target Values'!$1:$1000, MATCH($C1515,'Fund YTD Target Values'!$A:$A,0), MATCH($A1515,'Fund YTD Target Values'!$1:$1,0)),0)</f>
        <v>647000.627</v>
      </c>
      <c r="S1515" s="91">
        <f>IFERROR(__xludf.DUMMYFUNCTION("IFERROR(sum(FILTER('Fund Investment Data'!$V:$V, 'Fund Investment Data'!$C:$C = $C1515, 'Fund Investment Data'!$A:$A &lt; $A1515)),0) + IFERROR(sum(FILTER('Fund Investment Data'!$V:$V, 'Fund Investment Data'!$C:$C = $C1515, 'Fund Investment Data'!$A:$A = $A1"&amp;"515, 'Fund Investment Data'!$B:$B &lt;= $B1515)),0)"),429067.24)</f>
        <v>429067.24</v>
      </c>
      <c r="T1515" s="32"/>
      <c r="U1515" s="32"/>
      <c r="V1515" s="32">
        <f>IFERROR(__xludf.DUMMYFUNCTION("$D1515 - IFERROR(FILTER($D:$D,$C:$C = $C1515, $A:$A = $A1515, $B:$B = $B1515 - 1),0)"),0.0)</f>
        <v>0</v>
      </c>
      <c r="W1515" s="93">
        <f>IFERROR(__xludf.DUMMYFUNCTION("$E1515 - IFERROR(FILTER($E:$E,$C:$C = $C1515, $A:$A = $A1515, $B:$B = $B1515 - 1),0)"),0.0)</f>
        <v>0</v>
      </c>
      <c r="X1515" s="91">
        <f>IFERROR(__xludf.DUMMYFUNCTION("iFERROR((FILTER('Fund Investment Data'!$Z:$Z, 'Fund Investment Data'!$C:$C = $C1515, 'Fund Investment Data'!$A:$A = $A1515 - 1, 'Fund Investment Data'!$B:$B = 12) + FILTER('Fund Investment Data'!$AB:$AB, 'Fund Investment Data'!$C:$C = $C1515, 'Fund Invest"&amp;"ment Data'!$A:$A = $A1515 - 1, 'Fund Investment Data'!$B:$B = 12)) * (1 + AVERAGE(FILTER('Inflation Data'!$C:$C,'Inflation Data'!$A:$A = ($A1515 - 2)))) * Parameters!$A$4,0)"),14501.42849435059)</f>
        <v>14501.42849</v>
      </c>
      <c r="Y1515" s="91">
        <f>IFERROR(__xludf.DUMMYFUNCTION("IFERROR((IFERROR(FILTER('Fund Investment Data'!$P:$P,'Fund Investment Data'!$C:$C = $C1515,'Fund Investment Data'!$A:$A = ($A1515 - 2), 'Fund Investment Data'!$B:$B = 12),0) - SUM(FILTER('Fund Investment Data'!$V:$V, 'Fund Investment Data'!$C:$C = $C1515,"&amp;" 'Fund Investment Data'!$A:$A = ($A1515 - 2), 'Fund Investment Data'!$B:$B &gt; 3)))  * Parameters!$B$4 * (1 - Parameters!$A$4),0)"),6085.1852100000015)</f>
        <v>6085.18521</v>
      </c>
      <c r="Z1515" s="91">
        <f t="shared" si="24"/>
        <v>20586.6137</v>
      </c>
      <c r="AA1515" s="91">
        <f>IFERROR(__xludf.DUMMYFUNCTION("((IFERROR((SUM(FILTER('Fund Investment Data'!$V:$V, 'Fund Investment Data'!$C:$C = $C1515, 'Fund Investment Data'!$A:$A = $A1515 - 1, 'Fund Investment Data'!$B:$B &gt;= 4, 'Fund Investment Data'!$B:$B &lt;= ($B1515 + 5))) / 12) * ($B1515 - 3) * Parameters!$B$4,"&amp;" 0) + IF($B1515 &gt;= 9, IFERROR(SUM(FILTER('Fund Investment Data'!$V:$V, 'Fund Investment Data'!$C:$C = $C1515, 'Fund Investment Data'!$A:$A = $A1515, 'Fund Investment Data'!$B:$B &lt;= 3)) * Parameters!$B$4, 0),0)))"),0.0)</f>
        <v>0</v>
      </c>
      <c r="AB1515" s="32">
        <f>IFERROR(__xludf.DUMMYFUNCTION("IFERROR(((IFERROR(SUM(FILTER('Fund Investment Data'!$V:$V, 'Fund Investment Data'!$C:$C = $C1515, 'Fund Investment Data'!$A:$A = $A1515 - 2, 'Fund Investment Data'!$B:$B &gt;= 4)) * Parameters!$B$4,0) + IFERROR(SUM(FILTER('Fund Investment Data'!$V:$V, 'Fund "&amp;"Investment Data'!$C:$C = $C1515, 'Fund Investment Data'!$A:$A = $A1515 - 1, 'Fund Investment Data'!$B:$B &lt;= 3)) * Parameters!$B$4,0))),0)"),0.0)</f>
        <v>0</v>
      </c>
      <c r="AC1515" s="32">
        <f>IFERROR(__xludf.DUMMYFUNCTION("IFERROR(FILTER($AF:$AF,$C:$C = $C1515,$A:$A = $A1515 - 1,$B:$B = 12),0)"),0.0)</f>
        <v>0</v>
      </c>
      <c r="AD1515" s="32">
        <f t="shared" si="23"/>
        <v>20586.6137</v>
      </c>
      <c r="AE1515" s="32">
        <f t="shared" si="2"/>
        <v>-0.3862956494</v>
      </c>
      <c r="AF1515" s="32"/>
    </row>
    <row r="1516">
      <c r="A1516" s="86">
        <v>2019.0</v>
      </c>
      <c r="B1516" s="87">
        <v>9.0</v>
      </c>
      <c r="C1516" s="88" t="s">
        <v>37</v>
      </c>
      <c r="D1516" s="32"/>
      <c r="E1516" s="93">
        <v>-37603.0</v>
      </c>
      <c r="F1516" s="32"/>
      <c r="G1516" s="93">
        <v>-3249.75</v>
      </c>
      <c r="H1516" s="93">
        <v>14001.98</v>
      </c>
      <c r="I1516" s="93">
        <v>6859.8</v>
      </c>
      <c r="J1516" s="93">
        <v>67709.0</v>
      </c>
      <c r="K1516" s="32"/>
      <c r="L1516" s="32"/>
      <c r="M1516" s="32"/>
      <c r="N1516" s="32"/>
      <c r="O1516" s="93">
        <v>770732.14</v>
      </c>
      <c r="P1516" s="91">
        <f>IFERROR(__xludf.DUMMYFUNCTION("IFERROR(sum(FILTER($D:$N,$C:$C = $C1516,$A:$A &lt; $A1516,$B:$B = 12)),0) + sum($D1516:$N1516)"),770732.1399999999)</f>
        <v>770732.14</v>
      </c>
      <c r="Q1516" s="92">
        <f t="shared" si="1"/>
        <v>0.0000000001164153218</v>
      </c>
      <c r="R1516" s="91">
        <f t="array" ref="R1516">IFERROR(INDEX('Fund YTD Target Values'!$1:$1000, MATCH($C1516,'Fund YTD Target Values'!$A:$A,0), MATCH($A1516,'Fund YTD Target Values'!$1:$1,0)),0)</f>
        <v>860942.6464</v>
      </c>
      <c r="S1516" s="91">
        <f>IFERROR(__xludf.DUMMYFUNCTION("IFERROR(sum(FILTER('Fund Investment Data'!$V:$V, 'Fund Investment Data'!$C:$C = $C1516, 'Fund Investment Data'!$A:$A &lt; $A1516)),0) + IFERROR(sum(FILTER('Fund Investment Data'!$V:$V, 'Fund Investment Data'!$C:$C = $C1516, 'Fund Investment Data'!$A:$A = $A1"&amp;"516, 'Fund Investment Data'!$B:$B &lt;= $B1516)),0)"),758137.86)</f>
        <v>758137.86</v>
      </c>
      <c r="T1516" s="32"/>
      <c r="U1516" s="32"/>
      <c r="V1516" s="32">
        <f>IFERROR(__xludf.DUMMYFUNCTION("$D1516 - IFERROR(FILTER($D:$D,$C:$C = $C1516, $A:$A = $A1516, $B:$B = $B1516 - 1),0)"),0.0)</f>
        <v>0</v>
      </c>
      <c r="W1516" s="93">
        <f>IFERROR(__xludf.DUMMYFUNCTION("$E1516 - IFERROR(FILTER($E:$E,$C:$C = $C1516, $A:$A = $A1516, $B:$B = $B1516 - 1),0)"),0.0)</f>
        <v>0</v>
      </c>
      <c r="X1516" s="91">
        <f>IFERROR(__xludf.DUMMYFUNCTION("iFERROR((FILTER('Fund Investment Data'!$Z:$Z, 'Fund Investment Data'!$C:$C = $C1516, 'Fund Investment Data'!$A:$A = $A1516 - 1, 'Fund Investment Data'!$B:$B = 12) + FILTER('Fund Investment Data'!$AB:$AB, 'Fund Investment Data'!$C:$C = $C1516, 'Fund Invest"&amp;"ment Data'!$A:$A = $A1516 - 1, 'Fund Investment Data'!$B:$B = 12)) * (1 + AVERAGE(FILTER('Inflation Data'!$C:$C,'Inflation Data'!$A:$A = ($A1516 - 2)))) * Parameters!$A$4,0)"),26487.702642294462)</f>
        <v>26487.70264</v>
      </c>
      <c r="Y1516" s="91">
        <f>IFERROR(__xludf.DUMMYFUNCTION("IFERROR((IFERROR(FILTER('Fund Investment Data'!$P:$P,'Fund Investment Data'!$C:$C = $C1516,'Fund Investment Data'!$A:$A = ($A1516 - 2), 'Fund Investment Data'!$B:$B = 12),0) - SUM(FILTER('Fund Investment Data'!$V:$V, 'Fund Investment Data'!$C:$C = $C1516,"&amp;" 'Fund Investment Data'!$A:$A = ($A1516 - 2), 'Fund Investment Data'!$B:$B &gt; 3)))  * Parameters!$B$4 * (1 - Parameters!$A$4),0)"),11114.94474)</f>
        <v>11114.94474</v>
      </c>
      <c r="Z1516" s="91">
        <f t="shared" si="24"/>
        <v>37602.64738</v>
      </c>
      <c r="AA1516" s="91">
        <f>IFERROR(__xludf.DUMMYFUNCTION("((IFERROR((SUM(FILTER('Fund Investment Data'!$V:$V, 'Fund Investment Data'!$C:$C = $C1516, 'Fund Investment Data'!$A:$A = $A1516 - 1, 'Fund Investment Data'!$B:$B &gt;= 4, 'Fund Investment Data'!$B:$B &lt;= ($B1516 + 5))) / 12) * ($B1516 - 3) * Parameters!$B$4,"&amp;" 0) + IF($B1516 &gt;= 9, IFERROR(SUM(FILTER('Fund Investment Data'!$V:$V, 'Fund Investment Data'!$C:$C = $C1516, 'Fund Investment Data'!$A:$A = $A1516, 'Fund Investment Data'!$B:$B &lt;= 3)) * Parameters!$B$4, 0),0)))"),0.0)</f>
        <v>0</v>
      </c>
      <c r="AB1516" s="32">
        <f>IFERROR(__xludf.DUMMYFUNCTION("IFERROR(((IFERROR(SUM(FILTER('Fund Investment Data'!$V:$V, 'Fund Investment Data'!$C:$C = $C1516, 'Fund Investment Data'!$A:$A = $A1516 - 2, 'Fund Investment Data'!$B:$B &gt;= 4)) * Parameters!$B$4,0) + IFERROR(SUM(FILTER('Fund Investment Data'!$V:$V, 'Fund "&amp;"Investment Data'!$C:$C = $C1516, 'Fund Investment Data'!$A:$A = $A1516 - 1, 'Fund Investment Data'!$B:$B &lt;= 3)) * Parameters!$B$4,0))),0)"),0.0)</f>
        <v>0</v>
      </c>
      <c r="AC1516" s="32">
        <f>IFERROR(__xludf.DUMMYFUNCTION("IFERROR(FILTER($AF:$AF,$C:$C = $C1516,$A:$A = $A1516 - 1,$B:$B = 12),0)"),0.0)</f>
        <v>0</v>
      </c>
      <c r="AD1516" s="32">
        <f t="shared" si="23"/>
        <v>37602.64738</v>
      </c>
      <c r="AE1516" s="32">
        <f t="shared" si="2"/>
        <v>-0.3526177055</v>
      </c>
      <c r="AF1516" s="32"/>
    </row>
    <row r="1517">
      <c r="A1517" s="86">
        <v>2019.0</v>
      </c>
      <c r="B1517" s="87">
        <v>9.0</v>
      </c>
      <c r="C1517" s="88" t="s">
        <v>29</v>
      </c>
      <c r="D1517" s="32"/>
      <c r="E1517" s="93">
        <v>-2656.0</v>
      </c>
      <c r="F1517" s="32"/>
      <c r="G1517" s="93">
        <v>-242.48</v>
      </c>
      <c r="H1517" s="93">
        <v>1044.18</v>
      </c>
      <c r="I1517" s="93">
        <v>355.19</v>
      </c>
      <c r="J1517" s="93">
        <v>5117.27</v>
      </c>
      <c r="K1517" s="32"/>
      <c r="L1517" s="32"/>
      <c r="M1517" s="32"/>
      <c r="N1517" s="32"/>
      <c r="O1517" s="93">
        <v>57345.52</v>
      </c>
      <c r="P1517" s="91">
        <f>IFERROR(__xludf.DUMMYFUNCTION("IFERROR(sum(FILTER($D:$N,$C:$C = $C1517,$A:$A &lt; $A1517,$B:$B = 12)),0) + sum($D1517:$N1517)"),57345.54999999992)</f>
        <v>57345.55</v>
      </c>
      <c r="Q1517" s="92">
        <f t="shared" si="1"/>
        <v>-0.02999999993</v>
      </c>
      <c r="R1517" s="91">
        <f t="array" ref="R1517">IFERROR(INDEX('Fund YTD Target Values'!$1:$1000, MATCH($C1517,'Fund YTD Target Values'!$A:$A,0), MATCH($A1517,'Fund YTD Target Values'!$1:$1,0)),0)</f>
        <v>78452.06886</v>
      </c>
      <c r="S1517" s="91">
        <f>IFERROR(__xludf.DUMMYFUNCTION("IFERROR(sum(FILTER('Fund Investment Data'!$V:$V, 'Fund Investment Data'!$C:$C = $C1517, 'Fund Investment Data'!$A:$A &lt; $A1517)),0) + IFERROR(sum(FILTER('Fund Investment Data'!$V:$V, 'Fund Investment Data'!$C:$C = $C1517, 'Fund Investment Data'!$A:$A = $A1"&amp;"517, 'Fund Investment Data'!$B:$B &lt;= $B1517)),0)"),50000.0)</f>
        <v>50000</v>
      </c>
      <c r="T1517" s="32"/>
      <c r="U1517" s="32"/>
      <c r="V1517" s="32">
        <f>IFERROR(__xludf.DUMMYFUNCTION("$D1517 - IFERROR(FILTER($D:$D,$C:$C = $C1517, $A:$A = $A1517, $B:$B = $B1517 - 1),0)"),0.0)</f>
        <v>0</v>
      </c>
      <c r="W1517" s="93">
        <f>IFERROR(__xludf.DUMMYFUNCTION("$E1517 - IFERROR(FILTER($E:$E,$C:$C = $C1517, $A:$A = $A1517, $B:$B = $B1517 - 1),0)"),0.0)</f>
        <v>0</v>
      </c>
      <c r="X1517" s="91">
        <f>IFERROR(__xludf.DUMMYFUNCTION("iFERROR((FILTER('Fund Investment Data'!$Z:$Z, 'Fund Investment Data'!$C:$C = $C1517, 'Fund Investment Data'!$A:$A = $A1517 - 1, 'Fund Investment Data'!$B:$B = 12) + FILTER('Fund Investment Data'!$AB:$AB, 'Fund Investment Data'!$C:$C = $C1517, 'Fund Invest"&amp;"ment Data'!$A:$A = $A1517 - 1, 'Fund Investment Data'!$B:$B = 12)) * (1 + AVERAGE(FILTER('Inflation Data'!$C:$C,'Inflation Data'!$A:$A = ($A1517 - 2)))) * Parameters!$A$4,0)"),1871.1341826828661)</f>
        <v>1871.134183</v>
      </c>
      <c r="Y1517" s="91">
        <f>IFERROR(__xludf.DUMMYFUNCTION("IFERROR((IFERROR(FILTER('Fund Investment Data'!$P:$P,'Fund Investment Data'!$C:$C = $C1517,'Fund Investment Data'!$A:$A = ($A1517 - 2), 'Fund Investment Data'!$B:$B = 12),0) - SUM(FILTER('Fund Investment Data'!$V:$V, 'Fund Investment Data'!$C:$C = $C1517,"&amp;" 'Fund Investment Data'!$A:$A = ($A1517 - 2), 'Fund Investment Data'!$B:$B &gt; 3)))  * Parameters!$B$4 * (1 - Parameters!$A$4),0)"),785.1776849999991)</f>
        <v>785.177685</v>
      </c>
      <c r="Z1517" s="91">
        <f t="shared" si="24"/>
        <v>2656.311868</v>
      </c>
      <c r="AA1517" s="91">
        <f>IFERROR(__xludf.DUMMYFUNCTION("((IFERROR((SUM(FILTER('Fund Investment Data'!$V:$V, 'Fund Investment Data'!$C:$C = $C1517, 'Fund Investment Data'!$A:$A = $A1517 - 1, 'Fund Investment Data'!$B:$B &gt;= 4, 'Fund Investment Data'!$B:$B &lt;= ($B1517 + 5))) / 12) * ($B1517 - 3) * Parameters!$B$4,"&amp;" 0) + IF($B1517 &gt;= 9, IFERROR(SUM(FILTER('Fund Investment Data'!$V:$V, 'Fund Investment Data'!$C:$C = $C1517, 'Fund Investment Data'!$A:$A = $A1517, 'Fund Investment Data'!$B:$B &lt;= 3)) * Parameters!$B$4, 0),0)))"),0.0)</f>
        <v>0</v>
      </c>
      <c r="AB1517" s="32">
        <f>IFERROR(__xludf.DUMMYFUNCTION("IFERROR(((IFERROR(SUM(FILTER('Fund Investment Data'!$V:$V, 'Fund Investment Data'!$C:$C = $C1517, 'Fund Investment Data'!$A:$A = $A1517 - 2, 'Fund Investment Data'!$B:$B &gt;= 4)) * Parameters!$B$4,0) + IFERROR(SUM(FILTER('Fund Investment Data'!$V:$V, 'Fund "&amp;"Investment Data'!$C:$C = $C1517, 'Fund Investment Data'!$A:$A = $A1517 - 1, 'Fund Investment Data'!$B:$B &lt;= 3)) * Parameters!$B$4,0))),0)"),0.0)</f>
        <v>0</v>
      </c>
      <c r="AC1517" s="32">
        <f>IFERROR(__xludf.DUMMYFUNCTION("IFERROR(FILTER($AF:$AF,$C:$C = $C1517,$A:$A = $A1517 - 1,$B:$B = 12),0)"),0.0)</f>
        <v>0</v>
      </c>
      <c r="AD1517" s="32">
        <f t="shared" si="23"/>
        <v>2656.311868</v>
      </c>
      <c r="AE1517" s="32">
        <f t="shared" si="2"/>
        <v>0.3118676829</v>
      </c>
      <c r="AF1517" s="32"/>
    </row>
    <row r="1518">
      <c r="A1518" s="86">
        <v>2019.0</v>
      </c>
      <c r="B1518" s="87">
        <v>9.0</v>
      </c>
      <c r="C1518" s="88" t="s">
        <v>38</v>
      </c>
      <c r="D1518" s="32"/>
      <c r="E1518" s="93">
        <v>-33070.0</v>
      </c>
      <c r="F1518" s="32"/>
      <c r="G1518" s="93">
        <v>-3309.78</v>
      </c>
      <c r="H1518" s="93">
        <v>14201.9</v>
      </c>
      <c r="I1518" s="93">
        <v>5530.75</v>
      </c>
      <c r="J1518" s="93">
        <v>69275.88</v>
      </c>
      <c r="K1518" s="32"/>
      <c r="L1518" s="32"/>
      <c r="M1518" s="32"/>
      <c r="N1518" s="32"/>
      <c r="O1518" s="93">
        <v>774439.95</v>
      </c>
      <c r="P1518" s="91">
        <f>IFERROR(__xludf.DUMMYFUNCTION("IFERROR(sum(FILTER($D:$N,$C:$C = $C1518,$A:$A &lt; $A1518,$B:$B = 12)),0) + sum($D1518:$N1518)"),774438.91)</f>
        <v>774438.91</v>
      </c>
      <c r="Q1518" s="92">
        <f t="shared" si="1"/>
        <v>1.04</v>
      </c>
      <c r="R1518" s="91">
        <f t="array" ref="R1518">IFERROR(INDEX('Fund YTD Target Values'!$1:$1000, MATCH($C1518,'Fund YTD Target Values'!$A:$A,0), MATCH($A1518,'Fund YTD Target Values'!$1:$1,0)),0)</f>
        <v>715243.4084</v>
      </c>
      <c r="S1518" s="91">
        <f>IFERROR(__xludf.DUMMYFUNCTION("IFERROR(sum(FILTER('Fund Investment Data'!$V:$V, 'Fund Investment Data'!$C:$C = $C1518, 'Fund Investment Data'!$A:$A &lt; $A1518)),0) + IFERROR(sum(FILTER('Fund Investment Data'!$V:$V, 'Fund Investment Data'!$C:$C = $C1518, 'Fund Investment Data'!$A:$A = $A1"&amp;"518, 'Fund Investment Data'!$B:$B &lt;= $B1518)),0)"),556601.64)</f>
        <v>556601.64</v>
      </c>
      <c r="T1518" s="32"/>
      <c r="U1518" s="32"/>
      <c r="V1518" s="32">
        <f>IFERROR(__xludf.DUMMYFUNCTION("$D1518 - IFERROR(FILTER($D:$D,$C:$C = $C1518, $A:$A = $A1518, $B:$B = $B1518 - 1),0)"),0.0)</f>
        <v>0</v>
      </c>
      <c r="W1518" s="93">
        <f>IFERROR(__xludf.DUMMYFUNCTION("$E1518 - IFERROR(FILTER($E:$E,$C:$C = $C1518, $A:$A = $A1518, $B:$B = $B1518 - 1),0)"),-31445.0)</f>
        <v>-31445</v>
      </c>
      <c r="X1518" s="91">
        <f>IFERROR(__xludf.DUMMYFUNCTION("iFERROR((FILTER('Fund Investment Data'!$Z:$Z, 'Fund Investment Data'!$C:$C = $C1518, 'Fund Investment Data'!$A:$A = $A1518 - 1, 'Fund Investment Data'!$B:$B = 12) + FILTER('Fund Investment Data'!$AB:$AB, 'Fund Investment Data'!$C:$C = $C1518, 'Fund Invest"&amp;"ment Data'!$A:$A = $A1518 - 1, 'Fund Investment Data'!$B:$B = 12)) * (1 + AVERAGE(FILTER('Inflation Data'!$C:$C,'Inflation Data'!$A:$A = ($A1518 - 2)))) * Parameters!$A$4,0)"),22062.02597097784)</f>
        <v>22062.02597</v>
      </c>
      <c r="Y1518" s="91">
        <f>IFERROR(__xludf.DUMMYFUNCTION("IFERROR((IFERROR(FILTER('Fund Investment Data'!$P:$P,'Fund Investment Data'!$C:$C = $C1518,'Fund Investment Data'!$A:$A = ($A1518 - 2), 'Fund Investment Data'!$B:$B = 12),0) - SUM(FILTER('Fund Investment Data'!$V:$V, 'Fund Investment Data'!$C:$C = $C1518,"&amp;" 'Fund Investment Data'!$A:$A = ($A1518 - 2), 'Fund Investment Data'!$B:$B &gt; 3)))  * Parameters!$B$4 * (1 - Parameters!$A$4),0)"),11008.00989)</f>
        <v>11008.00989</v>
      </c>
      <c r="Z1518" s="91">
        <f t="shared" si="24"/>
        <v>33070.03586</v>
      </c>
      <c r="AA1518" s="91">
        <f>IFERROR(__xludf.DUMMYFUNCTION("((IFERROR((SUM(FILTER('Fund Investment Data'!$V:$V, 'Fund Investment Data'!$C:$C = $C1518, 'Fund Investment Data'!$A:$A = $A1518 - 1, 'Fund Investment Data'!$B:$B &gt;= 4, 'Fund Investment Data'!$B:$B &lt;= ($B1518 + 5))) / 12) * ($B1518 - 3) * Parameters!$B$4,"&amp;" 0) + IF($B1518 &gt;= 9, IFERROR(SUM(FILTER('Fund Investment Data'!$V:$V, 'Fund Investment Data'!$C:$C = $C1518, 'Fund Investment Data'!$A:$A = $A1518, 'Fund Investment Data'!$B:$B &lt;= 3)) * Parameters!$B$4, 0),0)))"),0.0)</f>
        <v>0</v>
      </c>
      <c r="AB1518" s="32">
        <f>IFERROR(__xludf.DUMMYFUNCTION("IFERROR(((IFERROR(SUM(FILTER('Fund Investment Data'!$V:$V, 'Fund Investment Data'!$C:$C = $C1518, 'Fund Investment Data'!$A:$A = $A1518 - 2, 'Fund Investment Data'!$B:$B &gt;= 4)) * Parameters!$B$4,0) + IFERROR(SUM(FILTER('Fund Investment Data'!$V:$V, 'Fund "&amp;"Investment Data'!$C:$C = $C1518, 'Fund Investment Data'!$A:$A = $A1518 - 1, 'Fund Investment Data'!$B:$B &lt;= 3)) * Parameters!$B$4,0))),0)"),0.0)</f>
        <v>0</v>
      </c>
      <c r="AC1518" s="32">
        <f>IFERROR(__xludf.DUMMYFUNCTION("IFERROR(FILTER($AF:$AF,$C:$C = $C1518,$A:$A = $A1518 - 1,$B:$B = 12),0)"),0.0)</f>
        <v>0</v>
      </c>
      <c r="AD1518" s="32">
        <f t="shared" si="23"/>
        <v>33070.03586</v>
      </c>
      <c r="AE1518" s="32">
        <f t="shared" si="2"/>
        <v>0.03586097784</v>
      </c>
      <c r="AF1518" s="32"/>
    </row>
    <row r="1519">
      <c r="A1519" s="86">
        <v>2019.0</v>
      </c>
      <c r="B1519" s="87">
        <v>9.0</v>
      </c>
      <c r="C1519" s="88" t="s">
        <v>30</v>
      </c>
      <c r="D1519" s="32"/>
      <c r="E1519" s="93">
        <v>-793.0</v>
      </c>
      <c r="F1519" s="32"/>
      <c r="G1519" s="93">
        <v>-73.52</v>
      </c>
      <c r="H1519" s="93">
        <v>315.24</v>
      </c>
      <c r="I1519" s="32"/>
      <c r="J1519" s="93">
        <v>1637.18</v>
      </c>
      <c r="K1519" s="32"/>
      <c r="L1519" s="93">
        <v>-1.81</v>
      </c>
      <c r="M1519" s="32"/>
      <c r="N1519" s="32"/>
      <c r="O1519" s="93">
        <v>17124.8</v>
      </c>
      <c r="P1519" s="91">
        <f>IFERROR(__xludf.DUMMYFUNCTION("IFERROR(sum(FILTER($D:$N,$C:$C = $C1519,$A:$A &lt; $A1519,$B:$B = 12)),0) + sum($D1519:$N1519)"),17123.169999999984)</f>
        <v>17123.17</v>
      </c>
      <c r="Q1519" s="92">
        <f t="shared" si="1"/>
        <v>1.63</v>
      </c>
      <c r="R1519" s="91">
        <f t="array" ref="R1519">IFERROR(INDEX('Fund YTD Target Values'!$1:$1000, MATCH($C1519,'Fund YTD Target Values'!$A:$A,0), MATCH($A1519,'Fund YTD Target Values'!$1:$1,0)),0)</f>
        <v>18819.48136</v>
      </c>
      <c r="S1519" s="91">
        <f>IFERROR(__xludf.DUMMYFUNCTION("IFERROR(sum(FILTER('Fund Investment Data'!$V:$V, 'Fund Investment Data'!$C:$C = $C1519, 'Fund Investment Data'!$A:$A &lt; $A1519)),0) + IFERROR(sum(FILTER('Fund Investment Data'!$V:$V, 'Fund Investment Data'!$C:$C = $C1519, 'Fund Investment Data'!$A:$A = $A1"&amp;"519, 'Fund Investment Data'!$B:$B &lt;= $B1519)),0)"),11540.75)</f>
        <v>11540.75</v>
      </c>
      <c r="T1519" s="32"/>
      <c r="U1519" s="32"/>
      <c r="V1519" s="32">
        <f>IFERROR(__xludf.DUMMYFUNCTION("$D1519 - IFERROR(FILTER($D:$D,$C:$C = $C1519, $A:$A = $A1519, $B:$B = $B1519 - 1),0)"),0.0)</f>
        <v>0</v>
      </c>
      <c r="W1519" s="93">
        <f>IFERROR(__xludf.DUMMYFUNCTION("$E1519 - IFERROR(FILTER($E:$E,$C:$C = $C1519, $A:$A = $A1519, $B:$B = $B1519 - 1),0)"),-793.0)</f>
        <v>-793</v>
      </c>
      <c r="X1519" s="91">
        <f>IFERROR(__xludf.DUMMYFUNCTION("iFERROR((FILTER('Fund Investment Data'!$Z:$Z, 'Fund Investment Data'!$C:$C = $C1519, 'Fund Investment Data'!$A:$A = $A1519 - 1, 'Fund Investment Data'!$B:$B = 12) + FILTER('Fund Investment Data'!$AB:$AB, 'Fund Investment Data'!$C:$C = $C1519, 'Fund Invest"&amp;"ment Data'!$A:$A = $A1519 - 1, 'Fund Investment Data'!$B:$B = 12)) * (1 + AVERAGE(FILTER('Inflation Data'!$C:$C,'Inflation Data'!$A:$A = ($A1519 - 2)))) * Parameters!$A$4,0)"),558.7349135648467)</f>
        <v>558.7349136</v>
      </c>
      <c r="Y1519" s="91">
        <f>IFERROR(__xludf.DUMMYFUNCTION("IFERROR((IFERROR(FILTER('Fund Investment Data'!$P:$P,'Fund Investment Data'!$C:$C = $C1519,'Fund Investment Data'!$A:$A = ($A1519 - 2), 'Fund Investment Data'!$B:$B = 12),0) - SUM(FILTER('Fund Investment Data'!$V:$V, 'Fund Investment Data'!$C:$C = $C1519,"&amp;" 'Fund Investment Data'!$A:$A = ($A1519 - 2), 'Fund Investment Data'!$B:$B &gt; 3)))  * Parameters!$B$4 * (1 - Parameters!$A$4),0)"),234.46003499999986)</f>
        <v>234.460035</v>
      </c>
      <c r="Z1519" s="91">
        <f t="shared" si="24"/>
        <v>793.1949486</v>
      </c>
      <c r="AA1519" s="91">
        <f>IFERROR(__xludf.DUMMYFUNCTION("((IFERROR((SUM(FILTER('Fund Investment Data'!$V:$V, 'Fund Investment Data'!$C:$C = $C1519, 'Fund Investment Data'!$A:$A = $A1519 - 1, 'Fund Investment Data'!$B:$B &gt;= 4, 'Fund Investment Data'!$B:$B &lt;= ($B1519 + 5))) / 12) * ($B1519 - 3) * Parameters!$B$4,"&amp;" 0) + IF($B1519 &gt;= 9, IFERROR(SUM(FILTER('Fund Investment Data'!$V:$V, 'Fund Investment Data'!$C:$C = $C1519, 'Fund Investment Data'!$A:$A = $A1519, 'Fund Investment Data'!$B:$B &lt;= 3)) * Parameters!$B$4, 0),0)))"),0.0)</f>
        <v>0</v>
      </c>
      <c r="AB1519" s="32">
        <f>IFERROR(__xludf.DUMMYFUNCTION("IFERROR(((IFERROR(SUM(FILTER('Fund Investment Data'!$V:$V, 'Fund Investment Data'!$C:$C = $C1519, 'Fund Investment Data'!$A:$A = $A1519 - 2, 'Fund Investment Data'!$B:$B &gt;= 4)) * Parameters!$B$4,0) + IFERROR(SUM(FILTER('Fund Investment Data'!$V:$V, 'Fund "&amp;"Investment Data'!$C:$C = $C1519, 'Fund Investment Data'!$A:$A = $A1519 - 1, 'Fund Investment Data'!$B:$B &lt;= 3)) * Parameters!$B$4,0))),0)"),0.0)</f>
        <v>0</v>
      </c>
      <c r="AC1519" s="32">
        <f>IFERROR(__xludf.DUMMYFUNCTION("IFERROR(FILTER($AF:$AF,$C:$C = $C1519,$A:$A = $A1519 - 1,$B:$B = 12),0)"),0.0)</f>
        <v>0</v>
      </c>
      <c r="AD1519" s="32">
        <f t="shared" si="23"/>
        <v>793.1949486</v>
      </c>
      <c r="AE1519" s="32">
        <f t="shared" si="2"/>
        <v>0.1949485648</v>
      </c>
      <c r="AF1519" s="32"/>
    </row>
    <row r="1520">
      <c r="A1520" s="86">
        <v>2019.0</v>
      </c>
      <c r="B1520" s="87">
        <v>9.0</v>
      </c>
      <c r="C1520" s="88" t="s">
        <v>47</v>
      </c>
      <c r="D1520" s="32"/>
      <c r="E1520" s="93">
        <v>-69151.0</v>
      </c>
      <c r="F1520" s="32"/>
      <c r="G1520" s="93">
        <v>-5972.21</v>
      </c>
      <c r="H1520" s="93">
        <v>25782.45</v>
      </c>
      <c r="I1520" s="93">
        <v>17840.47</v>
      </c>
      <c r="J1520" s="93">
        <v>119875.76</v>
      </c>
      <c r="K1520" s="32"/>
      <c r="L1520" s="32"/>
      <c r="M1520" s="32"/>
      <c r="N1520" s="32"/>
      <c r="O1520" s="93">
        <v>1419673.78</v>
      </c>
      <c r="P1520" s="91">
        <f>IFERROR(__xludf.DUMMYFUNCTION("IFERROR(sum(FILTER($D:$N,$C:$C = $C1520,$A:$A &lt; $A1520,$B:$B = 12)),0) + sum($D1520:$N1520)"),1419673.4299999997)</f>
        <v>1419673.43</v>
      </c>
      <c r="Q1520" s="92">
        <f t="shared" si="1"/>
        <v>0.3500000003</v>
      </c>
      <c r="R1520" s="91">
        <f t="array" ref="R1520">IFERROR(INDEX('Fund YTD Target Values'!$1:$1000, MATCH($C1520,'Fund YTD Target Values'!$A:$A,0), MATCH($A1520,'Fund YTD Target Values'!$1:$1,0)),0)</f>
        <v>2034942.933</v>
      </c>
      <c r="S1520" s="91">
        <f>IFERROR(__xludf.DUMMYFUNCTION("IFERROR(sum(FILTER('Fund Investment Data'!$V:$V, 'Fund Investment Data'!$C:$C = $C1520, 'Fund Investment Data'!$A:$A &lt; $A1520)),0) + IFERROR(sum(FILTER('Fund Investment Data'!$V:$V, 'Fund Investment Data'!$C:$C = $C1520, 'Fund Investment Data'!$A:$A = $A1"&amp;"520, 'Fund Investment Data'!$B:$B &lt;= $B1520)),0)"),1456367.46)</f>
        <v>1456367.46</v>
      </c>
      <c r="T1520" s="32"/>
      <c r="U1520" s="32"/>
      <c r="V1520" s="32">
        <f>IFERROR(__xludf.DUMMYFUNCTION("$D1520 - IFERROR(FILTER($D:$D,$C:$C = $C1520, $A:$A = $A1520, $B:$B = $B1520 - 1),0)"),0.0)</f>
        <v>0</v>
      </c>
      <c r="W1520" s="93">
        <f>IFERROR(__xludf.DUMMYFUNCTION("$E1520 - IFERROR(FILTER($E:$E,$C:$C = $C1520, $A:$A = $A1520, $B:$B = $B1520 - 1),0)"),0.0)</f>
        <v>0</v>
      </c>
      <c r="X1520" s="91">
        <f>IFERROR(__xludf.DUMMYFUNCTION("iFERROR((FILTER('Fund Investment Data'!$Z:$Z, 'Fund Investment Data'!$C:$C = $C1520, 'Fund Investment Data'!$A:$A = $A1520 - 1, 'Fund Investment Data'!$B:$B = 12) + FILTER('Fund Investment Data'!$AB:$AB, 'Fund Investment Data'!$C:$C = $C1520, 'Fund Invest"&amp;"ment Data'!$A:$A = $A1520 - 1, 'Fund Investment Data'!$B:$B = 12)) * (1 + AVERAGE(FILTER('Inflation Data'!$C:$C,'Inflation Data'!$A:$A = ($A1520 - 2)))) * Parameters!$A$4,0)"),48393.90516981818)</f>
        <v>48393.90517</v>
      </c>
      <c r="Y1520" s="91">
        <f>IFERROR(__xludf.DUMMYFUNCTION("IFERROR((IFERROR(FILTER('Fund Investment Data'!$P:$P,'Fund Investment Data'!$C:$C = $C1520,'Fund Investment Data'!$A:$A = ($A1520 - 2), 'Fund Investment Data'!$B:$B = 12),0) - SUM(FILTER('Fund Investment Data'!$V:$V, 'Fund Investment Data'!$C:$C = $C1520,"&amp;" 'Fund Investment Data'!$A:$A = ($A1520 - 2), 'Fund Investment Data'!$B:$B &gt; 3)))  * Parameters!$B$4 * (1 - Parameters!$A$4),0)"),20307.37014)</f>
        <v>20307.37014</v>
      </c>
      <c r="Z1520" s="91">
        <f t="shared" si="24"/>
        <v>68701.27531</v>
      </c>
      <c r="AA1520" s="91">
        <f>IFERROR(__xludf.DUMMYFUNCTION("((IFERROR((SUM(FILTER('Fund Investment Data'!$V:$V, 'Fund Investment Data'!$C:$C = $C1520, 'Fund Investment Data'!$A:$A = $A1520 - 1, 'Fund Investment Data'!$B:$B &gt;= 4, 'Fund Investment Data'!$B:$B &lt;= ($B1520 + 5))) / 12) * ($B1520 - 3) * Parameters!$B$4,"&amp;" 0) + IF($B1520 &gt;= 9, IFERROR(SUM(FILTER('Fund Investment Data'!$V:$V, 'Fund Investment Data'!$C:$C = $C1520, 'Fund Investment Data'!$A:$A = $A1520, 'Fund Investment Data'!$B:$B &lt;= 3)) * Parameters!$B$4, 0),0)))"),0.0)</f>
        <v>0</v>
      </c>
      <c r="AB1520" s="32">
        <f>IFERROR(__xludf.DUMMYFUNCTION("IFERROR(((IFERROR(SUM(FILTER('Fund Investment Data'!$V:$V, 'Fund Investment Data'!$C:$C = $C1520, 'Fund Investment Data'!$A:$A = $A1520 - 2, 'Fund Investment Data'!$B:$B &gt;= 4)) * Parameters!$B$4,0) + IFERROR(SUM(FILTER('Fund Investment Data'!$V:$V, 'Fund "&amp;"Investment Data'!$C:$C = $C1520, 'Fund Investment Data'!$A:$A = $A1520 - 1, 'Fund Investment Data'!$B:$B &lt;= 3)) * Parameters!$B$4,0))),0)"),450.0)</f>
        <v>450</v>
      </c>
      <c r="AC1520" s="32">
        <f>IFERROR(__xludf.DUMMYFUNCTION("IFERROR(FILTER($AF:$AF,$C:$C = $C1520,$A:$A = $A1520 - 1,$B:$B = 12),0)"),0.0)</f>
        <v>0</v>
      </c>
      <c r="AD1520" s="32">
        <f t="shared" si="23"/>
        <v>69151.27531</v>
      </c>
      <c r="AE1520" s="32">
        <f t="shared" si="2"/>
        <v>0.2753098182</v>
      </c>
      <c r="AF1520" s="32"/>
    </row>
    <row r="1521">
      <c r="A1521" s="86">
        <v>2019.0</v>
      </c>
      <c r="B1521" s="87">
        <v>9.0</v>
      </c>
      <c r="C1521" s="88" t="s">
        <v>31</v>
      </c>
      <c r="D1521" s="93">
        <v>100.0</v>
      </c>
      <c r="E1521" s="93">
        <v>-8740.0</v>
      </c>
      <c r="F1521" s="32"/>
      <c r="G1521" s="93">
        <v>-747.4</v>
      </c>
      <c r="H1521" s="93">
        <v>3218.49</v>
      </c>
      <c r="I1521" s="93">
        <v>2106.81</v>
      </c>
      <c r="J1521" s="93">
        <v>14966.3</v>
      </c>
      <c r="K1521" s="32"/>
      <c r="L1521" s="32"/>
      <c r="M1521" s="32"/>
      <c r="N1521" s="32"/>
      <c r="O1521" s="93">
        <v>176501.91</v>
      </c>
      <c r="P1521" s="91">
        <f>IFERROR(__xludf.DUMMYFUNCTION("IFERROR(sum(FILTER($D:$N,$C:$C = $C1521,$A:$A &lt; $A1521,$B:$B = 12)),0) + sum($D1521:$N1521)"),176501.92)</f>
        <v>176501.92</v>
      </c>
      <c r="Q1521" s="92">
        <f t="shared" si="1"/>
        <v>-0.01000000001</v>
      </c>
      <c r="R1521" s="91">
        <f t="array" ref="R1521">IFERROR(INDEX('Fund YTD Target Values'!$1:$1000, MATCH($C1521,'Fund YTD Target Values'!$A:$A,0), MATCH($A1521,'Fund YTD Target Values'!$1:$1,0)),0)</f>
        <v>214470.0821</v>
      </c>
      <c r="S1521" s="91">
        <f>IFERROR(__xludf.DUMMYFUNCTION("IFERROR(sum(FILTER('Fund Investment Data'!$V:$V, 'Fund Investment Data'!$C:$C = $C1521, 'Fund Investment Data'!$A:$A &lt; $A1521)),0) + IFERROR(sum(FILTER('Fund Investment Data'!$V:$V, 'Fund Investment Data'!$C:$C = $C1521, 'Fund Investment Data'!$A:$A = $A1"&amp;"521, 'Fund Investment Data'!$B:$B &lt;= $B1521)),0)"),158200.0)</f>
        <v>158200</v>
      </c>
      <c r="T1521" s="32"/>
      <c r="U1521" s="32"/>
      <c r="V1521" s="32">
        <f>IFERROR(__xludf.DUMMYFUNCTION("$D1521 - IFERROR(FILTER($D:$D,$C:$C = $C1521, $A:$A = $A1521, $B:$B = $B1521 - 1),0)"),0.0)</f>
        <v>0</v>
      </c>
      <c r="W1521" s="93">
        <f>IFERROR(__xludf.DUMMYFUNCTION("$E1521 - IFERROR(FILTER($E:$E,$C:$C = $C1521, $A:$A = $A1521, $B:$B = $B1521 - 1),0)"),0.0)</f>
        <v>0</v>
      </c>
      <c r="X1521" s="91">
        <f>IFERROR(__xludf.DUMMYFUNCTION("iFERROR((FILTER('Fund Investment Data'!$Z:$Z, 'Fund Investment Data'!$C:$C = $C1521, 'Fund Investment Data'!$A:$A = $A1521 - 1, 'Fund Investment Data'!$B:$B = 12) + FILTER('Fund Investment Data'!$AB:$AB, 'Fund Investment Data'!$C:$C = $C1521, 'Fund Invest"&amp;"ment Data'!$A:$A = $A1521 - 1, 'Fund Investment Data'!$B:$B = 12)) * (1 + AVERAGE(FILTER('Inflation Data'!$C:$C,'Inflation Data'!$A:$A = ($A1521 - 2)))) * Parameters!$A$4,0)"),6185.263738478203)</f>
        <v>6185.263738</v>
      </c>
      <c r="Y1521" s="91">
        <f>IFERROR(__xludf.DUMMYFUNCTION("IFERROR((IFERROR(FILTER('Fund Investment Data'!$P:$P,'Fund Investment Data'!$C:$C = $C1521,'Fund Investment Data'!$A:$A = ($A1521 - 2), 'Fund Investment Data'!$B:$B = 12),0) - SUM(FILTER('Fund Investment Data'!$V:$V, 'Fund Investment Data'!$C:$C = $C1521,"&amp;" 'Fund Investment Data'!$A:$A = ($A1521 - 2), 'Fund Investment Data'!$B:$B &gt; 3)))  * Parameters!$B$4 * (1 - Parameters!$A$4),0)"),2555.001225000001)</f>
        <v>2555.001225</v>
      </c>
      <c r="Z1521" s="91">
        <f t="shared" si="24"/>
        <v>8740.264963</v>
      </c>
      <c r="AA1521" s="91">
        <f>IFERROR(__xludf.DUMMYFUNCTION("((IFERROR((SUM(FILTER('Fund Investment Data'!$V:$V, 'Fund Investment Data'!$C:$C = $C1521, 'Fund Investment Data'!$A:$A = $A1521 - 1, 'Fund Investment Data'!$B:$B &gt;= 4, 'Fund Investment Data'!$B:$B &lt;= ($B1521 + 5))) / 12) * ($B1521 - 3) * Parameters!$B$4,"&amp;" 0) + IF($B1521 &gt;= 9, IFERROR(SUM(FILTER('Fund Investment Data'!$V:$V, 'Fund Investment Data'!$C:$C = $C1521, 'Fund Investment Data'!$A:$A = $A1521, 'Fund Investment Data'!$B:$B &lt;= 3)) * Parameters!$B$4, 0),0)))"),0.0)</f>
        <v>0</v>
      </c>
      <c r="AB1521" s="32">
        <f>IFERROR(__xludf.DUMMYFUNCTION("IFERROR(((IFERROR(SUM(FILTER('Fund Investment Data'!$V:$V, 'Fund Investment Data'!$C:$C = $C1521, 'Fund Investment Data'!$A:$A = $A1521 - 2, 'Fund Investment Data'!$B:$B &gt;= 4)) * Parameters!$B$4,0) + IFERROR(SUM(FILTER('Fund Investment Data'!$V:$V, 'Fund "&amp;"Investment Data'!$C:$C = $C1521, 'Fund Investment Data'!$A:$A = $A1521 - 1, 'Fund Investment Data'!$B:$B &lt;= 3)) * Parameters!$B$4,0))),0)"),0.0)</f>
        <v>0</v>
      </c>
      <c r="AC1521" s="32">
        <f>IFERROR(__xludf.DUMMYFUNCTION("IFERROR(FILTER($AF:$AF,$C:$C = $C1521,$A:$A = $A1521 - 1,$B:$B = 12),0)"),0.0)</f>
        <v>0</v>
      </c>
      <c r="AD1521" s="32">
        <f t="shared" si="23"/>
        <v>8740.264963</v>
      </c>
      <c r="AE1521" s="32">
        <f t="shared" si="2"/>
        <v>0.2649634782</v>
      </c>
      <c r="AF1521" s="32"/>
    </row>
    <row r="1522">
      <c r="A1522" s="86">
        <v>2019.0</v>
      </c>
      <c r="B1522" s="87">
        <v>9.0</v>
      </c>
      <c r="C1522" s="88" t="s">
        <v>39</v>
      </c>
      <c r="D1522" s="93">
        <v>15000.0</v>
      </c>
      <c r="E1522" s="93">
        <v>-8740.0</v>
      </c>
      <c r="F1522" s="32"/>
      <c r="G1522" s="93">
        <v>-774.56</v>
      </c>
      <c r="H1522" s="93">
        <v>3316.92</v>
      </c>
      <c r="I1522" s="32"/>
      <c r="J1522" s="93">
        <v>17932.03</v>
      </c>
      <c r="K1522" s="32"/>
      <c r="L1522" s="93">
        <v>-184.92</v>
      </c>
      <c r="M1522" s="32"/>
      <c r="N1522" s="32"/>
      <c r="O1522" s="93">
        <v>197369.73</v>
      </c>
      <c r="P1522" s="91">
        <f>IFERROR(__xludf.DUMMYFUNCTION("IFERROR(sum(FILTER($D:$N,$C:$C = $C1522,$A:$A &lt; $A1522,$B:$B = 12)),0) + sum($D1522:$N1522)"),197369.73000000004)</f>
        <v>197369.73</v>
      </c>
      <c r="Q1522" s="92">
        <f t="shared" si="1"/>
        <v>0</v>
      </c>
      <c r="R1522" s="91">
        <f t="array" ref="R1522">IFERROR(INDEX('Fund YTD Target Values'!$1:$1000, MATCH($C1522,'Fund YTD Target Values'!$A:$A,0), MATCH($A1522,'Fund YTD Target Values'!$1:$1,0)),0)</f>
        <v>203233.3066</v>
      </c>
      <c r="S1522" s="91">
        <f>IFERROR(__xludf.DUMMYFUNCTION("IFERROR(sum(FILTER('Fund Investment Data'!$V:$V, 'Fund Investment Data'!$C:$C = $C1522, 'Fund Investment Data'!$A:$A &lt; $A1522)),0) + IFERROR(sum(FILTER('Fund Investment Data'!$V:$V, 'Fund Investment Data'!$C:$C = $C1522, 'Fund Investment Data'!$A:$A = $A1"&amp;"522, 'Fund Investment Data'!$B:$B &lt;= $B1522)),0)"),185000.0)</f>
        <v>185000</v>
      </c>
      <c r="T1522" s="32"/>
      <c r="U1522" s="32"/>
      <c r="V1522" s="32">
        <f>IFERROR(__xludf.DUMMYFUNCTION("$D1522 - IFERROR(FILTER($D:$D,$C:$C = $C1522, $A:$A = $A1522, $B:$B = $B1522 - 1),0)"),0.0)</f>
        <v>0</v>
      </c>
      <c r="W1522" s="93">
        <f>IFERROR(__xludf.DUMMYFUNCTION("$E1522 - IFERROR(FILTER($E:$E,$C:$C = $C1522, $A:$A = $A1522, $B:$B = $B1522 - 1),0)"),0.0)</f>
        <v>0</v>
      </c>
      <c r="X1522" s="91">
        <f>IFERROR(__xludf.DUMMYFUNCTION("iFERROR((FILTER('Fund Investment Data'!$Z:$Z, 'Fund Investment Data'!$C:$C = $C1522, 'Fund Investment Data'!$A:$A = $A1522 - 1, 'Fund Investment Data'!$B:$B = 12) + FILTER('Fund Investment Data'!$AB:$AB, 'Fund Investment Data'!$C:$C = $C1522, 'Fund Invest"&amp;"ment Data'!$A:$A = $A1522 - 1, 'Fund Investment Data'!$B:$B = 12)) * (1 + AVERAGE(FILTER('Inflation Data'!$C:$C,'Inflation Data'!$A:$A = ($A1522 - 2)))) * Parameters!$A$4,0)"),5335.081378121052)</f>
        <v>5335.081378</v>
      </c>
      <c r="Y1522" s="91">
        <f>IFERROR(__xludf.DUMMYFUNCTION("IFERROR((IFERROR(FILTER('Fund Investment Data'!$P:$P,'Fund Investment Data'!$C:$C = $C1522,'Fund Investment Data'!$A:$A = ($A1522 - 2), 'Fund Investment Data'!$B:$B = 12),0) - SUM(FILTER('Fund Investment Data'!$V:$V, 'Fund Investment Data'!$C:$C = $C1522,"&amp;" 'Fund Investment Data'!$A:$A = ($A1522 - 2), 'Fund Investment Data'!$B:$B &gt; 3)))  * Parameters!$B$4 * (1 - Parameters!$A$4),0)"),2223.764010000001)</f>
        <v>2223.76401</v>
      </c>
      <c r="Z1522" s="91">
        <f t="shared" si="24"/>
        <v>7558.845388</v>
      </c>
      <c r="AA1522" s="91">
        <f>IFERROR(__xludf.DUMMYFUNCTION("((IFERROR((SUM(FILTER('Fund Investment Data'!$V:$V, 'Fund Investment Data'!$C:$C = $C1522, 'Fund Investment Data'!$A:$A = $A1522 - 1, 'Fund Investment Data'!$B:$B &gt;= 4, 'Fund Investment Data'!$B:$B &lt;= ($B1522 + 5))) / 12) * ($B1522 - 3) * Parameters!$B$4,"&amp;" 0) + IF($B1522 &gt;= 9, IFERROR(SUM(FILTER('Fund Investment Data'!$V:$V, 'Fund Investment Data'!$C:$C = $C1522, 'Fund Investment Data'!$A:$A = $A1522, 'Fund Investment Data'!$B:$B &lt;= 3)) * Parameters!$B$4, 0),0)))"),337.5)</f>
        <v>337.5</v>
      </c>
      <c r="AB1522" s="32">
        <f>IFERROR(__xludf.DUMMYFUNCTION("IFERROR(((IFERROR(SUM(FILTER('Fund Investment Data'!$V:$V, 'Fund Investment Data'!$C:$C = $C1522, 'Fund Investment Data'!$A:$A = $A1522 - 2, 'Fund Investment Data'!$B:$B &gt;= 4)) * Parameters!$B$4,0) + IFERROR(SUM(FILTER('Fund Investment Data'!$V:$V, 'Fund "&amp;"Investment Data'!$C:$C = $C1522, 'Fund Investment Data'!$A:$A = $A1522 - 1, 'Fund Investment Data'!$B:$B &lt;= 3)) * Parameters!$B$4,0))),0)"),675.0)</f>
        <v>675</v>
      </c>
      <c r="AC1522" s="32">
        <f>IFERROR(__xludf.DUMMYFUNCTION("IFERROR(FILTER($AF:$AF,$C:$C = $C1522,$A:$A = $A1522 - 1,$B:$B = 12),0)"),0.0)</f>
        <v>0</v>
      </c>
      <c r="AD1522" s="32">
        <f t="shared" si="23"/>
        <v>8571.345388</v>
      </c>
      <c r="AE1522" s="32">
        <f t="shared" si="2"/>
        <v>-168.6546119</v>
      </c>
      <c r="AF1522" s="32"/>
    </row>
    <row r="1523">
      <c r="A1523" s="86">
        <v>2019.0</v>
      </c>
      <c r="B1523" s="87">
        <v>9.0</v>
      </c>
      <c r="C1523" s="88" t="s">
        <v>50</v>
      </c>
      <c r="D1523" s="32"/>
      <c r="E1523" s="93">
        <v>-10388.0</v>
      </c>
      <c r="F1523" s="32"/>
      <c r="G1523" s="93">
        <v>-868.84</v>
      </c>
      <c r="H1523" s="93">
        <v>3726.16</v>
      </c>
      <c r="I1523" s="32"/>
      <c r="J1523" s="93">
        <v>19629.96</v>
      </c>
      <c r="K1523" s="32"/>
      <c r="L1523" s="93">
        <v>-46.35</v>
      </c>
      <c r="M1523" s="32"/>
      <c r="N1523" s="32"/>
      <c r="O1523" s="93">
        <v>201607.29</v>
      </c>
      <c r="P1523" s="91">
        <f>IFERROR(__xludf.DUMMYFUNCTION("IFERROR(sum(FILTER($D:$N,$C:$C = $C1523,$A:$A &lt; $A1523,$B:$B = 12)),0) + sum($D1523:$N1523)"),201606.76)</f>
        <v>201606.76</v>
      </c>
      <c r="Q1523" s="92">
        <f t="shared" si="1"/>
        <v>0.53</v>
      </c>
      <c r="R1523" s="91">
        <f t="array" ref="R1523">IFERROR(INDEX('Fund YTD Target Values'!$1:$1000, MATCH($C1523,'Fund YTD Target Values'!$A:$A,0), MATCH($A1523,'Fund YTD Target Values'!$1:$1,0)),0)</f>
        <v>221607.3864</v>
      </c>
      <c r="S1523" s="91">
        <f>IFERROR(__xludf.DUMMYFUNCTION("IFERROR(sum(FILTER('Fund Investment Data'!$V:$V, 'Fund Investment Data'!$C:$C = $C1523, 'Fund Investment Data'!$A:$A &lt; $A1523)),0) + IFERROR(sum(FILTER('Fund Investment Data'!$V:$V, 'Fund Investment Data'!$C:$C = $C1523, 'Fund Investment Data'!$A:$A = $A1"&amp;"523, 'Fund Investment Data'!$B:$B &lt;= $B1523)),0)"),185189.56)</f>
        <v>185189.56</v>
      </c>
      <c r="T1523" s="32"/>
      <c r="U1523" s="32"/>
      <c r="V1523" s="32">
        <f>IFERROR(__xludf.DUMMYFUNCTION("$D1523 - IFERROR(FILTER($D:$D,$C:$C = $C1523, $A:$A = $A1523, $B:$B = $B1523 - 1),0)"),0.0)</f>
        <v>0</v>
      </c>
      <c r="W1523" s="93">
        <f>IFERROR(__xludf.DUMMYFUNCTION("$E1523 - IFERROR(FILTER($E:$E,$C:$C = $C1523, $A:$A = $A1523, $B:$B = $B1523 - 1),0)"),-9786.0)</f>
        <v>-9786</v>
      </c>
      <c r="X1523" s="91">
        <f>IFERROR(__xludf.DUMMYFUNCTION("iFERROR((FILTER('Fund Investment Data'!$Z:$Z, 'Fund Investment Data'!$C:$C = $C1523, 'Fund Investment Data'!$A:$A = $A1523 - 1, 'Fund Investment Data'!$B:$B = 12) + FILTER('Fund Investment Data'!$AB:$AB, 'Fund Investment Data'!$C:$C = $C1523, 'Fund Invest"&amp;"ment Data'!$A:$A = $A1523 - 1, 'Fund Investment Data'!$B:$B = 12)) * (1 + AVERAGE(FILTER('Inflation Data'!$C:$C,'Inflation Data'!$A:$A = ($A1523 - 2)))) * Parameters!$A$4,0)"),7479.015292624062)</f>
        <v>7479.015293</v>
      </c>
      <c r="Y1523" s="91">
        <f>IFERROR(__xludf.DUMMYFUNCTION("IFERROR((IFERROR(FILTER('Fund Investment Data'!$P:$P,'Fund Investment Data'!$C:$C = $C1523,'Fund Investment Data'!$A:$A = ($A1523 - 2), 'Fund Investment Data'!$B:$B = 12),0) - SUM(FILTER('Fund Investment Data'!$V:$V, 'Fund Investment Data'!$C:$C = $C1523,"&amp;" 'Fund Investment Data'!$A:$A = ($A1523 - 2), 'Fund Investment Data'!$B:$B &gt; 3)))  * Parameters!$B$4 * (1 - Parameters!$A$4),0)"),2908.7654850000004)</f>
        <v>2908.765485</v>
      </c>
      <c r="Z1523" s="91">
        <f t="shared" si="24"/>
        <v>10387.78078</v>
      </c>
      <c r="AA1523" s="91">
        <f>IFERROR(__xludf.DUMMYFUNCTION("((IFERROR((SUM(FILTER('Fund Investment Data'!$V:$V, 'Fund Investment Data'!$C:$C = $C1523, 'Fund Investment Data'!$A:$A = $A1523 - 1, 'Fund Investment Data'!$B:$B &gt;= 4, 'Fund Investment Data'!$B:$B &lt;= ($B1523 + 5))) / 12) * ($B1523 - 3) * Parameters!$B$4,"&amp;" 0) + IF($B1523 &gt;= 9, IFERROR(SUM(FILTER('Fund Investment Data'!$V:$V, 'Fund Investment Data'!$C:$C = $C1523, 'Fund Investment Data'!$A:$A = $A1523, 'Fund Investment Data'!$B:$B &lt;= 3)) * Parameters!$B$4, 0),0)))"),0.0)</f>
        <v>0</v>
      </c>
      <c r="AB1523" s="32">
        <f>IFERROR(__xludf.DUMMYFUNCTION("IFERROR(((IFERROR(SUM(FILTER('Fund Investment Data'!$V:$V, 'Fund Investment Data'!$C:$C = $C1523, 'Fund Investment Data'!$A:$A = $A1523 - 2, 'Fund Investment Data'!$B:$B &gt;= 4)) * Parameters!$B$4,0) + IFERROR(SUM(FILTER('Fund Investment Data'!$V:$V, 'Fund "&amp;"Investment Data'!$C:$C = $C1523, 'Fund Investment Data'!$A:$A = $A1523 - 1, 'Fund Investment Data'!$B:$B &lt;= 3)) * Parameters!$B$4,0))),0)"),0.0)</f>
        <v>0</v>
      </c>
      <c r="AC1523" s="32">
        <f>IFERROR(__xludf.DUMMYFUNCTION("IFERROR(FILTER($AF:$AF,$C:$C = $C1523,$A:$A = $A1523 - 1,$B:$B = 12),0)"),0.0)</f>
        <v>0</v>
      </c>
      <c r="AD1523" s="32">
        <f t="shared" si="23"/>
        <v>10387.78078</v>
      </c>
      <c r="AE1523" s="32">
        <f t="shared" si="2"/>
        <v>-0.2192223759</v>
      </c>
      <c r="AF1523" s="32"/>
    </row>
    <row r="1524">
      <c r="A1524" s="86">
        <v>2019.0</v>
      </c>
      <c r="B1524" s="87">
        <v>9.0</v>
      </c>
      <c r="C1524" s="88" t="s">
        <v>32</v>
      </c>
      <c r="D1524" s="32"/>
      <c r="E1524" s="93">
        <v>-2440.0</v>
      </c>
      <c r="F1524" s="32"/>
      <c r="G1524" s="93">
        <v>-216.54</v>
      </c>
      <c r="H1524" s="93">
        <v>930.41</v>
      </c>
      <c r="I1524" s="93">
        <v>8.66</v>
      </c>
      <c r="J1524" s="93">
        <v>4912.32</v>
      </c>
      <c r="K1524" s="32"/>
      <c r="L1524" s="32"/>
      <c r="M1524" s="32"/>
      <c r="N1524" s="32"/>
      <c r="O1524" s="93">
        <v>50645.4</v>
      </c>
      <c r="P1524" s="91">
        <f>IFERROR(__xludf.DUMMYFUNCTION("IFERROR(sum(FILTER($D:$N,$C:$C = $C1524,$A:$A &lt; $A1524,$B:$B = 12)),0) + sum($D1524:$N1524)"),50645.00000000002)</f>
        <v>50645</v>
      </c>
      <c r="Q1524" s="92">
        <f t="shared" si="1"/>
        <v>0.4</v>
      </c>
      <c r="R1524" s="91">
        <f t="array" ref="R1524">IFERROR(INDEX('Fund YTD Target Values'!$1:$1000, MATCH($C1524,'Fund YTD Target Values'!$A:$A,0), MATCH($A1524,'Fund YTD Target Values'!$1:$1,0)),0)</f>
        <v>80613.71135</v>
      </c>
      <c r="S1524" s="91">
        <f>IFERROR(__xludf.DUMMYFUNCTION("IFERROR(sum(FILTER('Fund Investment Data'!$V:$V, 'Fund Investment Data'!$C:$C = $C1524, 'Fund Investment Data'!$A:$A &lt; $A1524)),0) + IFERROR(sum(FILTER('Fund Investment Data'!$V:$V, 'Fund Investment Data'!$C:$C = $C1524, 'Fund Investment Data'!$A:$A = $A1"&amp;"524, 'Fund Investment Data'!$B:$B &lt;= $B1524)),0)"),49449.04)</f>
        <v>49449.04</v>
      </c>
      <c r="T1524" s="32"/>
      <c r="U1524" s="32"/>
      <c r="V1524" s="32">
        <f>IFERROR(__xludf.DUMMYFUNCTION("$D1524 - IFERROR(FILTER($D:$D,$C:$C = $C1524, $A:$A = $A1524, $B:$B = $B1524 - 1),0)"),0.0)</f>
        <v>0</v>
      </c>
      <c r="W1524" s="93">
        <f>IFERROR(__xludf.DUMMYFUNCTION("$E1524 - IFERROR(FILTER($E:$E,$C:$C = $C1524, $A:$A = $A1524, $B:$B = $B1524 - 1),0)"),0.0)</f>
        <v>0</v>
      </c>
      <c r="X1524" s="91">
        <f>IFERROR(__xludf.DUMMYFUNCTION("iFERROR((FILTER('Fund Investment Data'!$Z:$Z, 'Fund Investment Data'!$C:$C = $C1524, 'Fund Investment Data'!$A:$A = $A1524 - 1, 'Fund Investment Data'!$B:$B = 12) + FILTER('Fund Investment Data'!$AB:$AB, 'Fund Investment Data'!$C:$C = $C1524, 'Fund Invest"&amp;"ment Data'!$A:$A = $A1524 - 1, 'Fund Investment Data'!$B:$B = 12)) * (1 + AVERAGE(FILTER('Inflation Data'!$C:$C,'Inflation Data'!$A:$A = ($A1524 - 2)))) * Parameters!$A$4,0)"),1718.9474190106023)</f>
        <v>1718.947419</v>
      </c>
      <c r="Y1524" s="91">
        <f>IFERROR(__xludf.DUMMYFUNCTION("IFERROR((IFERROR(FILTER('Fund Investment Data'!$P:$P,'Fund Investment Data'!$C:$C = $C1524,'Fund Investment Data'!$A:$A = ($A1524 - 2), 'Fund Investment Data'!$B:$B = 12),0) - SUM(FILTER('Fund Investment Data'!$V:$V, 'Fund Investment Data'!$C:$C = $C1524,"&amp;" 'Fund Investment Data'!$A:$A = ($A1524 - 2), 'Fund Investment Data'!$B:$B &gt; 3)))  * Parameters!$B$4 * (1 - Parameters!$A$4),0)"),721.3160700000005)</f>
        <v>721.31607</v>
      </c>
      <c r="Z1524" s="91">
        <f t="shared" si="24"/>
        <v>2440.263489</v>
      </c>
      <c r="AA1524" s="91">
        <f>IFERROR(__xludf.DUMMYFUNCTION("((IFERROR((SUM(FILTER('Fund Investment Data'!$V:$V, 'Fund Investment Data'!$C:$C = $C1524, 'Fund Investment Data'!$A:$A = $A1524 - 1, 'Fund Investment Data'!$B:$B &gt;= 4, 'Fund Investment Data'!$B:$B &lt;= ($B1524 + 5))) / 12) * ($B1524 - 3) * Parameters!$B$4,"&amp;" 0) + IF($B1524 &gt;= 9, IFERROR(SUM(FILTER('Fund Investment Data'!$V:$V, 'Fund Investment Data'!$C:$C = $C1524, 'Fund Investment Data'!$A:$A = $A1524, 'Fund Investment Data'!$B:$B &lt;= 3)) * Parameters!$B$4, 0),0)))"),0.0)</f>
        <v>0</v>
      </c>
      <c r="AB1524" s="32">
        <f>IFERROR(__xludf.DUMMYFUNCTION("IFERROR(((IFERROR(SUM(FILTER('Fund Investment Data'!$V:$V, 'Fund Investment Data'!$C:$C = $C1524, 'Fund Investment Data'!$A:$A = $A1524 - 2, 'Fund Investment Data'!$B:$B &gt;= 4)) * Parameters!$B$4,0) + IFERROR(SUM(FILTER('Fund Investment Data'!$V:$V, 'Fund "&amp;"Investment Data'!$C:$C = $C1524, 'Fund Investment Data'!$A:$A = $A1524 - 1, 'Fund Investment Data'!$B:$B &lt;= 3)) * Parameters!$B$4,0))),0)"),0.0)</f>
        <v>0</v>
      </c>
      <c r="AC1524" s="32">
        <f>IFERROR(__xludf.DUMMYFUNCTION("IFERROR(FILTER($AF:$AF,$C:$C = $C1524,$A:$A = $A1524 - 1,$B:$B = 12),0)"),0.0)</f>
        <v>0</v>
      </c>
      <c r="AD1524" s="32">
        <f t="shared" si="23"/>
        <v>2440.263489</v>
      </c>
      <c r="AE1524" s="32">
        <f t="shared" si="2"/>
        <v>0.2634890106</v>
      </c>
      <c r="AF1524" s="32"/>
    </row>
    <row r="1525">
      <c r="A1525" s="86">
        <v>2019.0</v>
      </c>
      <c r="B1525" s="87">
        <v>9.0</v>
      </c>
      <c r="C1525" s="88" t="s">
        <v>40</v>
      </c>
      <c r="D1525" s="32"/>
      <c r="E1525" s="93">
        <v>-7071.0</v>
      </c>
      <c r="F1525" s="32"/>
      <c r="G1525" s="93">
        <v>-612.84</v>
      </c>
      <c r="H1525" s="93">
        <v>2639.65</v>
      </c>
      <c r="I1525" s="93">
        <v>1434.63</v>
      </c>
      <c r="J1525" s="93">
        <v>12713.06</v>
      </c>
      <c r="K1525" s="32"/>
      <c r="L1525" s="32"/>
      <c r="M1525" s="32"/>
      <c r="N1525" s="32"/>
      <c r="O1525" s="93">
        <v>145548.65</v>
      </c>
      <c r="P1525" s="91">
        <f>IFERROR(__xludf.DUMMYFUNCTION("IFERROR(sum(FILTER($D:$N,$C:$C = $C1525,$A:$A &lt; $A1525,$B:$B = 12)),0) + sum($D1525:$N1525)"),145548.60999999993)</f>
        <v>145548.61</v>
      </c>
      <c r="Q1525" s="92">
        <f t="shared" si="1"/>
        <v>0.04000000007</v>
      </c>
      <c r="R1525" s="91">
        <f t="array" ref="R1525">IFERROR(INDEX('Fund YTD Target Values'!$1:$1000, MATCH($C1525,'Fund YTD Target Values'!$A:$A,0), MATCH($A1525,'Fund YTD Target Values'!$1:$1,0)),0)</f>
        <v>164286.6043</v>
      </c>
      <c r="S1525" s="91">
        <f>IFERROR(__xludf.DUMMYFUNCTION("IFERROR(sum(FILTER('Fund Investment Data'!$V:$V, 'Fund Investment Data'!$C:$C = $C1525, 'Fund Investment Data'!$A:$A &lt; $A1525)),0) + IFERROR(sum(FILTER('Fund Investment Data'!$V:$V, 'Fund Investment Data'!$C:$C = $C1525, 'Fund Investment Data'!$A:$A = $A1"&amp;"525, 'Fund Investment Data'!$B:$B &lt;= $B1525)),0)"),129703.74)</f>
        <v>129703.74</v>
      </c>
      <c r="T1525" s="32"/>
      <c r="U1525" s="32"/>
      <c r="V1525" s="32">
        <f>IFERROR(__xludf.DUMMYFUNCTION("$D1525 - IFERROR(FILTER($D:$D,$C:$C = $C1525, $A:$A = $A1525, $B:$B = $B1525 - 1),0)"),0.0)</f>
        <v>0</v>
      </c>
      <c r="W1525" s="93">
        <f>IFERROR(__xludf.DUMMYFUNCTION("$E1525 - IFERROR(FILTER($E:$E,$C:$C = $C1525, $A:$A = $A1525, $B:$B = $B1525 - 1),0)"),0.0)</f>
        <v>0</v>
      </c>
      <c r="X1525" s="91">
        <f>IFERROR(__xludf.DUMMYFUNCTION("iFERROR((FILTER('Fund Investment Data'!$Z:$Z, 'Fund Investment Data'!$C:$C = $C1525, 'Fund Investment Data'!$A:$A = $A1525 - 1, 'Fund Investment Data'!$B:$B = 12) + FILTER('Fund Investment Data'!$AB:$AB, 'Fund Investment Data'!$C:$C = $C1525, 'Fund Invest"&amp;"ment Data'!$A:$A = $A1525 - 1, 'Fund Investment Data'!$B:$B = 12)) * (1 + AVERAGE(FILTER('Inflation Data'!$C:$C,'Inflation Data'!$A:$A = ($A1525 - 2)))) * Parameters!$A$4,0)"),4980.550706212943)</f>
        <v>4980.550706</v>
      </c>
      <c r="Y1525" s="91">
        <f>IFERROR(__xludf.DUMMYFUNCTION("IFERROR((IFERROR(FILTER('Fund Investment Data'!$P:$P,'Fund Investment Data'!$C:$C = $C1525,'Fund Investment Data'!$A:$A = ($A1525 - 2), 'Fund Investment Data'!$B:$B = 12),0) - SUM(FILTER('Fund Investment Data'!$V:$V, 'Fund Investment Data'!$C:$C = $C1525,"&amp;" 'Fund Investment Data'!$A:$A = ($A1525 - 2), 'Fund Investment Data'!$B:$B &gt; 3)))  * Parameters!$B$4 * (1 - Parameters!$A$4),0)"),2089.971585)</f>
        <v>2089.971585</v>
      </c>
      <c r="Z1525" s="91">
        <f t="shared" si="24"/>
        <v>7070.522291</v>
      </c>
      <c r="AA1525" s="91">
        <f>IFERROR(__xludf.DUMMYFUNCTION("((IFERROR((SUM(FILTER('Fund Investment Data'!$V:$V, 'Fund Investment Data'!$C:$C = $C1525, 'Fund Investment Data'!$A:$A = $A1525 - 1, 'Fund Investment Data'!$B:$B &gt;= 4, 'Fund Investment Data'!$B:$B &lt;= ($B1525 + 5))) / 12) * ($B1525 - 3) * Parameters!$B$4,"&amp;" 0) + IF($B1525 &gt;= 9, IFERROR(SUM(FILTER('Fund Investment Data'!$V:$V, 'Fund Investment Data'!$C:$C = $C1525, 'Fund Investment Data'!$A:$A = $A1525, 'Fund Investment Data'!$B:$B &lt;= 3)) * Parameters!$B$4, 0),0)))"),0.0)</f>
        <v>0</v>
      </c>
      <c r="AB1525" s="32">
        <f>IFERROR(__xludf.DUMMYFUNCTION("IFERROR(((IFERROR(SUM(FILTER('Fund Investment Data'!$V:$V, 'Fund Investment Data'!$C:$C = $C1525, 'Fund Investment Data'!$A:$A = $A1525 - 2, 'Fund Investment Data'!$B:$B &gt;= 4)) * Parameters!$B$4,0) + IFERROR(SUM(FILTER('Fund Investment Data'!$V:$V, 'Fund "&amp;"Investment Data'!$C:$C = $C1525, 'Fund Investment Data'!$A:$A = $A1525 - 1, 'Fund Investment Data'!$B:$B &lt;= 3)) * Parameters!$B$4,0))),0)"),0.0)</f>
        <v>0</v>
      </c>
      <c r="AC1525" s="32">
        <f>IFERROR(__xludf.DUMMYFUNCTION("IFERROR(FILTER($AF:$AF,$C:$C = $C1525,$A:$A = $A1525 - 1,$B:$B = 12),0)"),0.0)</f>
        <v>0</v>
      </c>
      <c r="AD1525" s="32">
        <f t="shared" si="23"/>
        <v>7070.522291</v>
      </c>
      <c r="AE1525" s="32">
        <f t="shared" si="2"/>
        <v>-0.4777087871</v>
      </c>
      <c r="AF1525" s="32"/>
    </row>
    <row r="1526">
      <c r="A1526" s="86">
        <v>2019.0</v>
      </c>
      <c r="B1526" s="87">
        <v>9.0</v>
      </c>
      <c r="C1526" s="88" t="s">
        <v>51</v>
      </c>
      <c r="D1526" s="93">
        <v>1000.0</v>
      </c>
      <c r="E1526" s="93">
        <v>-35459.0</v>
      </c>
      <c r="F1526" s="32"/>
      <c r="G1526" s="93">
        <v>-2023.38</v>
      </c>
      <c r="H1526" s="93">
        <v>8639.17</v>
      </c>
      <c r="I1526" s="93">
        <v>1146.94</v>
      </c>
      <c r="J1526" s="93">
        <v>42821.25</v>
      </c>
      <c r="K1526" s="32"/>
      <c r="L1526" s="32"/>
      <c r="M1526" s="32"/>
      <c r="N1526" s="32"/>
      <c r="O1526" s="93">
        <v>458255.01</v>
      </c>
      <c r="P1526" s="91">
        <f>IFERROR(__xludf.DUMMYFUNCTION("IFERROR(sum(FILTER($D:$N,$C:$C = $C1526,$A:$A &lt; $A1526,$B:$B = 12)),0) + sum($D1526:$N1526)"),458254.99000000005)</f>
        <v>458254.99</v>
      </c>
      <c r="Q1526" s="92">
        <f t="shared" si="1"/>
        <v>0.01999999996</v>
      </c>
      <c r="R1526" s="91">
        <f t="array" ref="R1526">IFERROR(INDEX('Fund YTD Target Values'!$1:$1000, MATCH($C1526,'Fund YTD Target Values'!$A:$A,0), MATCH($A1526,'Fund YTD Target Values'!$1:$1,0)),0)</f>
        <v>460355.013</v>
      </c>
      <c r="S1526" s="91">
        <f>IFERROR(__xludf.DUMMYFUNCTION("IFERROR(sum(FILTER('Fund Investment Data'!$V:$V, 'Fund Investment Data'!$C:$C = $C1526, 'Fund Investment Data'!$A:$A &lt; $A1526)),0) + IFERROR(sum(FILTER('Fund Investment Data'!$V:$V, 'Fund Investment Data'!$C:$C = $C1526, 'Fund Investment Data'!$A:$A = $A1"&amp;"526, 'Fund Investment Data'!$B:$B &lt;= $B1526)),0)"),420073.55)</f>
        <v>420073.55</v>
      </c>
      <c r="T1526" s="32"/>
      <c r="U1526" s="32"/>
      <c r="V1526" s="32">
        <f>IFERROR(__xludf.DUMMYFUNCTION("$D1526 - IFERROR(FILTER($D:$D,$C:$C = $C1526, $A:$A = $A1526, $B:$B = $B1526 - 1),0)"),0.0)</f>
        <v>0</v>
      </c>
      <c r="W1526" s="93">
        <f>IFERROR(__xludf.DUMMYFUNCTION("$E1526 - IFERROR(FILTER($E:$E,$C:$C = $C1526, $A:$A = $A1526, $B:$B = $B1526 - 1),0)"),-33299.0)</f>
        <v>-33299</v>
      </c>
      <c r="X1526" s="91">
        <f>IFERROR(__xludf.DUMMYFUNCTION("iFERROR((FILTER('Fund Investment Data'!$Z:$Z, 'Fund Investment Data'!$C:$C = $C1526, 'Fund Investment Data'!$A:$A = $A1526 - 1, 'Fund Investment Data'!$B:$B = 12) + FILTER('Fund Investment Data'!$AB:$AB, 'Fund Investment Data'!$C:$C = $C1526, 'Fund Invest"&amp;"ment Data'!$A:$A = $A1526 - 1, 'Fund Investment Data'!$B:$B = 12)) * (1 + AVERAGE(FILTER('Inflation Data'!$C:$C,'Inflation Data'!$A:$A = ($A1526 - 2)))) * Parameters!$A$4,0)"),14060.066994776611)</f>
        <v>14060.06699</v>
      </c>
      <c r="Y1526" s="91">
        <f>IFERROR(__xludf.DUMMYFUNCTION("IFERROR((IFERROR(FILTER('Fund Investment Data'!$P:$P,'Fund Investment Data'!$C:$C = $C1526,'Fund Investment Data'!$A:$A = ($A1526 - 2), 'Fund Investment Data'!$B:$B = 12),0) - SUM(FILTER('Fund Investment Data'!$V:$V, 'Fund Investment Data'!$C:$C = $C1526,"&amp;" 'Fund Investment Data'!$A:$A = ($A1526 - 2), 'Fund Investment Data'!$B:$B &gt; 3)))  * Parameters!$B$4 * (1 - Parameters!$A$4),0)"),6507.701055)</f>
        <v>6507.701055</v>
      </c>
      <c r="Z1526" s="91">
        <f t="shared" si="24"/>
        <v>20567.76805</v>
      </c>
      <c r="AA1526" s="91">
        <f>IFERROR(__xludf.DUMMYFUNCTION("((IFERROR((SUM(FILTER('Fund Investment Data'!$V:$V, 'Fund Investment Data'!$C:$C = $C1526, 'Fund Investment Data'!$A:$A = $A1526 - 1, 'Fund Investment Data'!$B:$B &gt;= 4, 'Fund Investment Data'!$B:$B &lt;= ($B1526 + 5))) / 12) * ($B1526 - 3) * Parameters!$B$4,"&amp;" 0) + IF($B1526 &gt;= 9, IFERROR(SUM(FILTER('Fund Investment Data'!$V:$V, 'Fund Investment Data'!$C:$C = $C1526, 'Fund Investment Data'!$A:$A = $A1526, 'Fund Investment Data'!$B:$B &lt;= 3)) * Parameters!$B$4, 0),0)))"),57.375)</f>
        <v>57.375</v>
      </c>
      <c r="AB1526" s="32">
        <f>IFERROR(__xludf.DUMMYFUNCTION("IFERROR(((IFERROR(SUM(FILTER('Fund Investment Data'!$V:$V, 'Fund Investment Data'!$C:$C = $C1526, 'Fund Investment Data'!$A:$A = $A1526 - 2, 'Fund Investment Data'!$B:$B &gt;= 4)) * Parameters!$B$4,0) + IFERROR(SUM(FILTER('Fund Investment Data'!$V:$V, 'Fund "&amp;"Investment Data'!$C:$C = $C1526, 'Fund Investment Data'!$A:$A = $A1526 - 1, 'Fund Investment Data'!$B:$B &lt;= 3)) * Parameters!$B$4,0))),0)"),153.0)</f>
        <v>153</v>
      </c>
      <c r="AC1526" s="32">
        <f>IFERROR(__xludf.DUMMYFUNCTION("IFERROR(FILTER($AF:$AF,$C:$C = $C1526,$A:$A = $A1526 - 1,$B:$B = 12),0)"),14700.0)</f>
        <v>14700</v>
      </c>
      <c r="AD1526" s="32">
        <f t="shared" si="23"/>
        <v>35478.14305</v>
      </c>
      <c r="AE1526" s="32">
        <f t="shared" si="2"/>
        <v>19.14304978</v>
      </c>
      <c r="AF1526" s="32"/>
    </row>
    <row r="1527">
      <c r="A1527" s="86">
        <v>2019.0</v>
      </c>
      <c r="B1527" s="87">
        <v>9.0</v>
      </c>
      <c r="C1527" s="88" t="s">
        <v>48</v>
      </c>
      <c r="D1527" s="32"/>
      <c r="E1527" s="93">
        <v>-57027.0</v>
      </c>
      <c r="F1527" s="32"/>
      <c r="G1527" s="93">
        <v>-4925.18</v>
      </c>
      <c r="H1527" s="93">
        <v>21245.62</v>
      </c>
      <c r="I1527" s="93">
        <v>15044.3</v>
      </c>
      <c r="J1527" s="93">
        <v>98344.16</v>
      </c>
      <c r="K1527" s="32"/>
      <c r="L1527" s="32"/>
      <c r="M1527" s="32"/>
      <c r="N1527" s="32"/>
      <c r="O1527" s="93">
        <v>1165896.61</v>
      </c>
      <c r="P1527" s="91">
        <f>IFERROR(__xludf.DUMMYFUNCTION("IFERROR(sum(FILTER($D:$N,$C:$C = $C1527,$A:$A &lt; $A1527,$B:$B = 12)),0) + sum($D1527:$N1527)"),1165895.2899999996)</f>
        <v>1165895.29</v>
      </c>
      <c r="Q1527" s="92">
        <f t="shared" si="1"/>
        <v>1.320000001</v>
      </c>
      <c r="R1527" s="91">
        <f t="array" ref="R1527">IFERROR(INDEX('Fund YTD Target Values'!$1:$1000, MATCH($C1527,'Fund YTD Target Values'!$A:$A,0), MATCH($A1527,'Fund YTD Target Values'!$1:$1,0)),0)</f>
        <v>1930631.639</v>
      </c>
      <c r="S1527" s="91">
        <f>IFERROR(__xludf.DUMMYFUNCTION("IFERROR(sum(FILTER('Fund Investment Data'!$V:$V, 'Fund Investment Data'!$C:$C = $C1527, 'Fund Investment Data'!$A:$A &lt; $A1527)),0) + IFERROR(sum(FILTER('Fund Investment Data'!$V:$V, 'Fund Investment Data'!$C:$C = $C1527, 'Fund Investment Data'!$A:$A = $A1"&amp;"527, 'Fund Investment Data'!$B:$B &lt;= $B1527)),0)"),1183929.39)</f>
        <v>1183929.39</v>
      </c>
      <c r="T1527" s="32"/>
      <c r="U1527" s="32"/>
      <c r="V1527" s="32">
        <f>IFERROR(__xludf.DUMMYFUNCTION("$D1527 - IFERROR(FILTER($D:$D,$C:$C = $C1527, $A:$A = $A1527, $B:$B = $B1527 - 1),0)"),0.0)</f>
        <v>0</v>
      </c>
      <c r="W1527" s="93">
        <f>IFERROR(__xludf.DUMMYFUNCTION("$E1527 - IFERROR(FILTER($E:$E,$C:$C = $C1527, $A:$A = $A1527, $B:$B = $B1527 - 1),0)"),0.0)</f>
        <v>0</v>
      </c>
      <c r="X1527" s="91">
        <f>IFERROR(__xludf.DUMMYFUNCTION("iFERROR((FILTER('Fund Investment Data'!$Z:$Z, 'Fund Investment Data'!$C:$C = $C1527, 'Fund Investment Data'!$A:$A = $A1527 - 1, 'Fund Investment Data'!$B:$B = 12) + FILTER('Fund Investment Data'!$AB:$AB, 'Fund Investment Data'!$C:$C = $C1527, 'Fund Invest"&amp;"ment Data'!$A:$A = $A1527 - 1, 'Fund Investment Data'!$B:$B = 12)) * (1 + AVERAGE(FILTER('Inflation Data'!$C:$C,'Inflation Data'!$A:$A = ($A1527 - 2)))) * Parameters!$A$4,0)"),40170.623919220896)</f>
        <v>40170.62392</v>
      </c>
      <c r="Y1527" s="91">
        <f>IFERROR(__xludf.DUMMYFUNCTION("IFERROR((IFERROR(FILTER('Fund Investment Data'!$P:$P,'Fund Investment Data'!$C:$C = $C1527,'Fund Investment Data'!$A:$A = ($A1527 - 2), 'Fund Investment Data'!$B:$B = 12),0) - SUM(FILTER('Fund Investment Data'!$V:$V, 'Fund Investment Data'!$C:$C = $C1527,"&amp;" 'Fund Investment Data'!$A:$A = ($A1527 - 2), 'Fund Investment Data'!$B:$B &gt; 3)))  * Parameters!$B$4 * (1 - Parameters!$A$4),0)"),16856.662545)</f>
        <v>16856.66255</v>
      </c>
      <c r="Z1527" s="91">
        <f t="shared" si="24"/>
        <v>57027.28646</v>
      </c>
      <c r="AA1527" s="91">
        <f>IFERROR(__xludf.DUMMYFUNCTION("((IFERROR((SUM(FILTER('Fund Investment Data'!$V:$V, 'Fund Investment Data'!$C:$C = $C1527, 'Fund Investment Data'!$A:$A = $A1527 - 1, 'Fund Investment Data'!$B:$B &gt;= 4, 'Fund Investment Data'!$B:$B &lt;= ($B1527 + 5))) / 12) * ($B1527 - 3) * Parameters!$B$4,"&amp;" 0) + IF($B1527 &gt;= 9, IFERROR(SUM(FILTER('Fund Investment Data'!$V:$V, 'Fund Investment Data'!$C:$C = $C1527, 'Fund Investment Data'!$A:$A = $A1527, 'Fund Investment Data'!$B:$B &lt;= 3)) * Parameters!$B$4, 0),0)))"),0.0)</f>
        <v>0</v>
      </c>
      <c r="AB1527" s="32">
        <f>IFERROR(__xludf.DUMMYFUNCTION("IFERROR(((IFERROR(SUM(FILTER('Fund Investment Data'!$V:$V, 'Fund Investment Data'!$C:$C = $C1527, 'Fund Investment Data'!$A:$A = $A1527 - 2, 'Fund Investment Data'!$B:$B &gt;= 4)) * Parameters!$B$4,0) + IFERROR(SUM(FILTER('Fund Investment Data'!$V:$V, 'Fund "&amp;"Investment Data'!$C:$C = $C1527, 'Fund Investment Data'!$A:$A = $A1527 - 1, 'Fund Investment Data'!$B:$B &lt;= 3)) * Parameters!$B$4,0))),0)"),0.0)</f>
        <v>0</v>
      </c>
      <c r="AC1527" s="32">
        <f>IFERROR(__xludf.DUMMYFUNCTION("IFERROR(FILTER($AF:$AF,$C:$C = $C1527,$A:$A = $A1527 - 1,$B:$B = 12),0)"),0.0)</f>
        <v>0</v>
      </c>
      <c r="AD1527" s="32">
        <f t="shared" si="23"/>
        <v>57027.28646</v>
      </c>
      <c r="AE1527" s="32">
        <f t="shared" si="2"/>
        <v>0.2864642209</v>
      </c>
      <c r="AF1527" s="32"/>
    </row>
    <row r="1528">
      <c r="A1528" s="86">
        <v>2019.0</v>
      </c>
      <c r="B1528" s="87">
        <v>9.0</v>
      </c>
      <c r="C1528" s="88" t="s">
        <v>49</v>
      </c>
      <c r="D1528" s="32"/>
      <c r="E1528" s="93">
        <v>-25015.0</v>
      </c>
      <c r="F1528" s="32"/>
      <c r="G1528" s="93">
        <v>-2133.54</v>
      </c>
      <c r="H1528" s="93">
        <v>9203.63</v>
      </c>
      <c r="I1528" s="93">
        <v>6576.53</v>
      </c>
      <c r="J1528" s="93">
        <v>42599.84</v>
      </c>
      <c r="K1528" s="32"/>
      <c r="L1528" s="32"/>
      <c r="M1528" s="32"/>
      <c r="N1528" s="32"/>
      <c r="O1528" s="93">
        <v>505465.48</v>
      </c>
      <c r="P1528" s="91">
        <f>IFERROR(__xludf.DUMMYFUNCTION("IFERROR(sum(FILTER($D:$N,$C:$C = $C1528,$A:$A &lt; $A1528,$B:$B = 12)),0) + sum($D1528:$N1528)"),505465.7799999998)</f>
        <v>505465.78</v>
      </c>
      <c r="Q1528" s="92">
        <f t="shared" si="1"/>
        <v>-0.2999999998</v>
      </c>
      <c r="R1528" s="91">
        <f t="array" ref="R1528">IFERROR(INDEX('Fund YTD Target Values'!$1:$1000, MATCH($C1528,'Fund YTD Target Values'!$A:$A,0), MATCH($A1528,'Fund YTD Target Values'!$1:$1,0)),0)</f>
        <v>714091.1961</v>
      </c>
      <c r="S1528" s="91">
        <f>IFERROR(__xludf.DUMMYFUNCTION("IFERROR(sum(FILTER('Fund Investment Data'!$V:$V, 'Fund Investment Data'!$C:$C = $C1528, 'Fund Investment Data'!$A:$A &lt; $A1528)),0) + IFERROR(sum(FILTER('Fund Investment Data'!$V:$V, 'Fund Investment Data'!$C:$C = $C1528, 'Fund Investment Data'!$A:$A = $A1"&amp;"528, 'Fund Investment Data'!$B:$B &lt;= $B1528)),0)"),500000.0)</f>
        <v>500000</v>
      </c>
      <c r="T1528" s="32"/>
      <c r="U1528" s="32"/>
      <c r="V1528" s="32">
        <f>IFERROR(__xludf.DUMMYFUNCTION("$D1528 - IFERROR(FILTER($D:$D,$C:$C = $C1528, $A:$A = $A1528, $B:$B = $B1528 - 1),0)"),0.0)</f>
        <v>0</v>
      </c>
      <c r="W1528" s="93">
        <f>IFERROR(__xludf.DUMMYFUNCTION("$E1528 - IFERROR(FILTER($E:$E,$C:$C = $C1528, $A:$A = $A1528, $B:$B = $B1528 - 1),0)"),0.0)</f>
        <v>0</v>
      </c>
      <c r="X1528" s="91">
        <f>IFERROR(__xludf.DUMMYFUNCTION("iFERROR((FILTER('Fund Investment Data'!$Z:$Z, 'Fund Investment Data'!$C:$C = $C1528, 'Fund Investment Data'!$A:$A = $A1528 - 1, 'Fund Investment Data'!$B:$B = 12) + FILTER('Fund Investment Data'!$AB:$AB, 'Fund Investment Data'!$C:$C = $C1528, 'Fund Invest"&amp;"ment Data'!$A:$A = $A1528 - 1, 'Fund Investment Data'!$B:$B = 12)) * (1 + AVERAGE(FILTER('Inflation Data'!$C:$C,'Inflation Data'!$A:$A = ($A1528 - 2)))) * Parameters!$A$4,0)"),17620.730663710416)</f>
        <v>17620.73066</v>
      </c>
      <c r="Y1528" s="91">
        <f>IFERROR(__xludf.DUMMYFUNCTION("IFERROR((IFERROR(FILTER('Fund Investment Data'!$P:$P,'Fund Investment Data'!$C:$C = $C1528,'Fund Investment Data'!$A:$A = ($A1528 - 2), 'Fund Investment Data'!$B:$B = 12),0) - SUM(FILTER('Fund Investment Data'!$V:$V, 'Fund Investment Data'!$C:$C = $C1528,"&amp;" 'Fund Investment Data'!$A:$A = ($A1528 - 2), 'Fund Investment Data'!$B:$B &gt; 3)))  * Parameters!$B$4 * (1 - Parameters!$A$4),0)"),7394.127389999999)</f>
        <v>7394.12739</v>
      </c>
      <c r="Z1528" s="91">
        <f t="shared" si="24"/>
        <v>25014.85805</v>
      </c>
      <c r="AA1528" s="91">
        <f>IFERROR(__xludf.DUMMYFUNCTION("((IFERROR((SUM(FILTER('Fund Investment Data'!$V:$V, 'Fund Investment Data'!$C:$C = $C1528, 'Fund Investment Data'!$A:$A = $A1528 - 1, 'Fund Investment Data'!$B:$B &gt;= 4, 'Fund Investment Data'!$B:$B &lt;= ($B1528 + 5))) / 12) * ($B1528 - 3) * Parameters!$B$4,"&amp;" 0) + IF($B1528 &gt;= 9, IFERROR(SUM(FILTER('Fund Investment Data'!$V:$V, 'Fund Investment Data'!$C:$C = $C1528, 'Fund Investment Data'!$A:$A = $A1528, 'Fund Investment Data'!$B:$B &lt;= 3)) * Parameters!$B$4, 0),0)))"),0.0)</f>
        <v>0</v>
      </c>
      <c r="AB1528" s="32">
        <f>IFERROR(__xludf.DUMMYFUNCTION("IFERROR(((IFERROR(SUM(FILTER('Fund Investment Data'!$V:$V, 'Fund Investment Data'!$C:$C = $C1528, 'Fund Investment Data'!$A:$A = $A1528 - 2, 'Fund Investment Data'!$B:$B &gt;= 4)) * Parameters!$B$4,0) + IFERROR(SUM(FILTER('Fund Investment Data'!$V:$V, 'Fund "&amp;"Investment Data'!$C:$C = $C1528, 'Fund Investment Data'!$A:$A = $A1528 - 1, 'Fund Investment Data'!$B:$B &lt;= 3)) * Parameters!$B$4,0))),0)"),0.0)</f>
        <v>0</v>
      </c>
      <c r="AC1528" s="32">
        <f>IFERROR(__xludf.DUMMYFUNCTION("IFERROR(FILTER($AF:$AF,$C:$C = $C1528,$A:$A = $A1528 - 1,$B:$B = 12),0)"),0.0)</f>
        <v>0</v>
      </c>
      <c r="AD1528" s="32">
        <f t="shared" si="23"/>
        <v>25014.85805</v>
      </c>
      <c r="AE1528" s="32">
        <f t="shared" si="2"/>
        <v>-0.1419462896</v>
      </c>
      <c r="AF1528" s="32"/>
    </row>
    <row r="1529">
      <c r="A1529" s="86">
        <v>2019.0</v>
      </c>
      <c r="B1529" s="87">
        <v>9.0</v>
      </c>
      <c r="C1529" s="88" t="s">
        <v>41</v>
      </c>
      <c r="D1529" s="32"/>
      <c r="E1529" s="93">
        <v>-27282.0</v>
      </c>
      <c r="F1529" s="32"/>
      <c r="G1529" s="93">
        <v>-2658.38</v>
      </c>
      <c r="H1529" s="93">
        <v>11423.28</v>
      </c>
      <c r="I1529" s="93">
        <v>6144.21</v>
      </c>
      <c r="J1529" s="93">
        <v>54318.03</v>
      </c>
      <c r="K1529" s="32"/>
      <c r="L1529" s="32"/>
      <c r="M1529" s="32"/>
      <c r="N1529" s="32"/>
      <c r="O1529" s="93">
        <v>625122.61</v>
      </c>
      <c r="P1529" s="91">
        <f>IFERROR(__xludf.DUMMYFUNCTION("IFERROR(sum(FILTER($D:$N,$C:$C = $C1529,$A:$A &lt; $A1529,$B:$B = 12)),0) + sum($D1529:$N1529)"),625123.4600000001)</f>
        <v>625123.46</v>
      </c>
      <c r="Q1529" s="92">
        <f t="shared" si="1"/>
        <v>-0.8500000001</v>
      </c>
      <c r="R1529" s="91">
        <f t="array" ref="R1529">IFERROR(INDEX('Fund YTD Target Values'!$1:$1000, MATCH($C1529,'Fund YTD Target Values'!$A:$A,0), MATCH($A1529,'Fund YTD Target Values'!$1:$1,0)),0)</f>
        <v>598621.3568</v>
      </c>
      <c r="S1529" s="91">
        <f>IFERROR(__xludf.DUMMYFUNCTION("IFERROR(sum(FILTER('Fund Investment Data'!$V:$V, 'Fund Investment Data'!$C:$C = $C1529, 'Fund Investment Data'!$A:$A &lt; $A1529)),0) + IFERROR(sum(FILTER('Fund Investment Data'!$V:$V, 'Fund Investment Data'!$C:$C = $C1529, 'Fund Investment Data'!$A:$A = $A1"&amp;"529, 'Fund Investment Data'!$B:$B &lt;= $B1529)),0)"),433755.86)</f>
        <v>433755.86</v>
      </c>
      <c r="T1529" s="32"/>
      <c r="U1529" s="32"/>
      <c r="V1529" s="32">
        <f>IFERROR(__xludf.DUMMYFUNCTION("$D1529 - IFERROR(FILTER($D:$D,$C:$C = $C1529, $A:$A = $A1529, $B:$B = $B1529 - 1),0)"),0.0)</f>
        <v>0</v>
      </c>
      <c r="W1529" s="93">
        <f>IFERROR(__xludf.DUMMYFUNCTION("$E1529 - IFERROR(FILTER($E:$E,$C:$C = $C1529, $A:$A = $A1529, $B:$B = $B1529 - 1),0)"),-13244.0)</f>
        <v>-13244</v>
      </c>
      <c r="X1529" s="91">
        <f>IFERROR(__xludf.DUMMYFUNCTION("iFERROR((FILTER('Fund Investment Data'!$Z:$Z, 'Fund Investment Data'!$C:$C = $C1529, 'Fund Investment Data'!$A:$A = $A1529 - 1, 'Fund Investment Data'!$B:$B = 12) + FILTER('Fund Investment Data'!$AB:$AB, 'Fund Investment Data'!$C:$C = $C1529, 'Fund Invest"&amp;"ment Data'!$A:$A = $A1529 - 1, 'Fund Investment Data'!$B:$B = 12)) * (1 + AVERAGE(FILTER('Inflation Data'!$C:$C,'Inflation Data'!$A:$A = ($A1529 - 2)))) * Parameters!$A$4,0)"),18464.76285534869)</f>
        <v>18464.76286</v>
      </c>
      <c r="Y1529" s="91">
        <f>IFERROR(__xludf.DUMMYFUNCTION("IFERROR((IFERROR(FILTER('Fund Investment Data'!$P:$P,'Fund Investment Data'!$C:$C = $C1529,'Fund Investment Data'!$A:$A = ($A1529 - 2), 'Fund Investment Data'!$B:$B = 12),0) - SUM(FILTER('Fund Investment Data'!$V:$V, 'Fund Investment Data'!$C:$C = $C1529,"&amp;" 'Fund Investment Data'!$A:$A = ($A1529 - 2), 'Fund Investment Data'!$B:$B &gt; 3)))  * Parameters!$B$4 * (1 - Parameters!$A$4),0)"),8817.111225000002)</f>
        <v>8817.111225</v>
      </c>
      <c r="Z1529" s="91">
        <f t="shared" si="24"/>
        <v>27281.87408</v>
      </c>
      <c r="AA1529" s="91">
        <f>IFERROR(__xludf.DUMMYFUNCTION("((IFERROR((SUM(FILTER('Fund Investment Data'!$V:$V, 'Fund Investment Data'!$C:$C = $C1529, 'Fund Investment Data'!$A:$A = $A1529 - 1, 'Fund Investment Data'!$B:$B &gt;= 4, 'Fund Investment Data'!$B:$B &lt;= ($B1529 + 5))) / 12) * ($B1529 - 3) * Parameters!$B$4,"&amp;" 0) + IF($B1529 &gt;= 9, IFERROR(SUM(FILTER('Fund Investment Data'!$V:$V, 'Fund Investment Data'!$C:$C = $C1529, 'Fund Investment Data'!$A:$A = $A1529, 'Fund Investment Data'!$B:$B &lt;= 3)) * Parameters!$B$4, 0),0)))"),0.0)</f>
        <v>0</v>
      </c>
      <c r="AB1529" s="32">
        <f>IFERROR(__xludf.DUMMYFUNCTION("IFERROR(((IFERROR(SUM(FILTER('Fund Investment Data'!$V:$V, 'Fund Investment Data'!$C:$C = $C1529, 'Fund Investment Data'!$A:$A = $A1529 - 2, 'Fund Investment Data'!$B:$B &gt;= 4)) * Parameters!$B$4,0) + IFERROR(SUM(FILTER('Fund Investment Data'!$V:$V, 'Fund "&amp;"Investment Data'!$C:$C = $C1529, 'Fund Investment Data'!$A:$A = $A1529 - 1, 'Fund Investment Data'!$B:$B &lt;= 3)) * Parameters!$B$4,0))),0)"),0.0)</f>
        <v>0</v>
      </c>
      <c r="AC1529" s="32">
        <f>IFERROR(__xludf.DUMMYFUNCTION("IFERROR(FILTER($AF:$AF,$C:$C = $C1529,$A:$A = $A1529 - 1,$B:$B = 12),0)"),0.0)</f>
        <v>0</v>
      </c>
      <c r="AD1529" s="32">
        <f t="shared" si="23"/>
        <v>27281.87408</v>
      </c>
      <c r="AE1529" s="32">
        <f t="shared" si="2"/>
        <v>-0.1259196513</v>
      </c>
      <c r="AF1529" s="32"/>
    </row>
    <row r="1530">
      <c r="A1530" s="86">
        <v>2019.0</v>
      </c>
      <c r="B1530" s="87">
        <v>9.0</v>
      </c>
      <c r="C1530" s="88" t="s">
        <v>25</v>
      </c>
      <c r="D1530" s="32"/>
      <c r="E1530" s="93">
        <v>-4616.0</v>
      </c>
      <c r="F1530" s="32"/>
      <c r="G1530" s="93">
        <v>-343.31</v>
      </c>
      <c r="H1530" s="93">
        <v>1471.36</v>
      </c>
      <c r="I1530" s="93">
        <v>1097.84</v>
      </c>
      <c r="J1530" s="93">
        <v>6626.63</v>
      </c>
      <c r="K1530" s="32"/>
      <c r="L1530" s="32"/>
      <c r="M1530" s="32"/>
      <c r="N1530" s="32"/>
      <c r="O1530" s="93">
        <v>79074.5</v>
      </c>
      <c r="P1530" s="91">
        <f>IFERROR(__xludf.DUMMYFUNCTION("IFERROR(sum(FILTER($D:$N,$C:$C = $C1530,$A:$A &lt; $A1530,$B:$B = 12)),0) + sum($D1530:$N1530)"),79074.49)</f>
        <v>79074.49</v>
      </c>
      <c r="Q1530" s="92">
        <f t="shared" si="1"/>
        <v>0.009999999995</v>
      </c>
      <c r="R1530" s="91">
        <f t="array" ref="R1530">IFERROR(INDEX('Fund YTD Target Values'!$1:$1000, MATCH($C1530,'Fund YTD Target Values'!$A:$A,0), MATCH($A1530,'Fund YTD Target Values'!$1:$1,0)),0)</f>
        <v>111153.3247</v>
      </c>
      <c r="S1530" s="91">
        <f>IFERROR(__xludf.DUMMYFUNCTION("IFERROR(sum(FILTER('Fund Investment Data'!$V:$V, 'Fund Investment Data'!$C:$C = $C1530, 'Fund Investment Data'!$A:$A &lt; $A1530)),0) + IFERROR(sum(FILTER('Fund Investment Data'!$V:$V, 'Fund Investment Data'!$C:$C = $C1530, 'Fund Investment Data'!$A:$A = $A1"&amp;"530, 'Fund Investment Data'!$B:$B &lt;= $B1530)),0)"),81000.0)</f>
        <v>81000</v>
      </c>
      <c r="T1530" s="32"/>
      <c r="U1530" s="32"/>
      <c r="V1530" s="32">
        <f>IFERROR(__xludf.DUMMYFUNCTION("$D1530 - IFERROR(FILTER($D:$D,$C:$C = $C1530, $A:$A = $A1530, $B:$B = $B1530 - 1),0)"),0.0)</f>
        <v>0</v>
      </c>
      <c r="W1530" s="93">
        <f>IFERROR(__xludf.DUMMYFUNCTION("$E1530 - IFERROR(FILTER($E:$E,$C:$C = $C1530, $A:$A = $A1530, $B:$B = $B1530 - 1),0)"),-4616.0)</f>
        <v>-4616</v>
      </c>
      <c r="X1530" s="91">
        <f>IFERROR(__xludf.DUMMYFUNCTION("iFERROR((FILTER('Fund Investment Data'!$Z:$Z, 'Fund Investment Data'!$C:$C = $C1530, 'Fund Investment Data'!$A:$A = $A1530 - 1, 'Fund Investment Data'!$B:$B = 12) + FILTER('Fund Investment Data'!$AB:$AB, 'Fund Investment Data'!$C:$C = $C1530, 'Fund Invest"&amp;"ment Data'!$A:$A = $A1530 - 1, 'Fund Investment Data'!$B:$B = 12)) * (1 + AVERAGE(FILTER('Inflation Data'!$C:$C,'Inflation Data'!$A:$A = ($A1530 - 2)))) * Parameters!$A$4,0)"),3251.4512616945367)</f>
        <v>3251.451262</v>
      </c>
      <c r="Y1530" s="91">
        <f>IFERROR(__xludf.DUMMYFUNCTION("IFERROR((IFERROR(FILTER('Fund Investment Data'!$P:$P,'Fund Investment Data'!$C:$C = $C1530,'Fund Investment Data'!$A:$A = ($A1530 - 2), 'Fund Investment Data'!$B:$B = 12),0) - SUM(FILTER('Fund Investment Data'!$V:$V, 'Fund Investment Data'!$C:$C = $C1530,"&amp;" 'Fund Investment Data'!$A:$A = ($A1530 - 2), 'Fund Investment Data'!$B:$B &gt; 3)))  * Parameters!$B$4 * (1 - Parameters!$A$4),0)"),1364.3954549999999)</f>
        <v>1364.395455</v>
      </c>
      <c r="Z1530" s="91">
        <f t="shared" si="24"/>
        <v>4615.846717</v>
      </c>
      <c r="AA1530" s="91">
        <f>IFERROR(__xludf.DUMMYFUNCTION("((IFERROR((SUM(FILTER('Fund Investment Data'!$V:$V, 'Fund Investment Data'!$C:$C = $C1530, 'Fund Investment Data'!$A:$A = $A1530 - 1, 'Fund Investment Data'!$B:$B &gt;= 4, 'Fund Investment Data'!$B:$B &lt;= ($B1530 + 5))) / 12) * ($B1530 - 3) * Parameters!$B$4,"&amp;" 0) + IF($B1530 &gt;= 9, IFERROR(SUM(FILTER('Fund Investment Data'!$V:$V, 'Fund Investment Data'!$C:$C = $C1530, 'Fund Investment Data'!$A:$A = $A1530, 'Fund Investment Data'!$B:$B &lt;= 3)) * Parameters!$B$4, 0),0)))"),0.0)</f>
        <v>0</v>
      </c>
      <c r="AB1530" s="32">
        <f>IFERROR(__xludf.DUMMYFUNCTION("IFERROR(((IFERROR(SUM(FILTER('Fund Investment Data'!$V:$V, 'Fund Investment Data'!$C:$C = $C1530, 'Fund Investment Data'!$A:$A = $A1530 - 2, 'Fund Investment Data'!$B:$B &gt;= 4)) * Parameters!$B$4,0) + IFERROR(SUM(FILTER('Fund Investment Data'!$V:$V, 'Fund "&amp;"Investment Data'!$C:$C = $C1530, 'Fund Investment Data'!$A:$A = $A1530 - 1, 'Fund Investment Data'!$B:$B &lt;= 3)) * Parameters!$B$4,0))),0)"),0.0)</f>
        <v>0</v>
      </c>
      <c r="AC1530" s="32">
        <f>IFERROR(__xludf.DUMMYFUNCTION("IFERROR(FILTER($AF:$AF,$C:$C = $C1530,$A:$A = $A1530 - 1,$B:$B = 12),0)"),0.0)</f>
        <v>0</v>
      </c>
      <c r="AD1530" s="32">
        <f t="shared" si="23"/>
        <v>4615.846717</v>
      </c>
      <c r="AE1530" s="32">
        <f t="shared" si="2"/>
        <v>-0.1532833055</v>
      </c>
      <c r="AF1530" s="32"/>
    </row>
    <row r="1531">
      <c r="A1531" s="86">
        <v>2019.0</v>
      </c>
      <c r="B1531" s="87">
        <v>9.0</v>
      </c>
      <c r="C1531" s="88" t="s">
        <v>42</v>
      </c>
      <c r="D1531" s="32"/>
      <c r="E1531" s="93">
        <v>-11585.0</v>
      </c>
      <c r="F1531" s="32"/>
      <c r="G1531" s="93">
        <v>-1242.29</v>
      </c>
      <c r="H1531" s="93">
        <v>5330.29</v>
      </c>
      <c r="I1531" s="93">
        <v>662.94</v>
      </c>
      <c r="J1531" s="93">
        <v>27237.72</v>
      </c>
      <c r="K1531" s="32"/>
      <c r="L1531" s="32"/>
      <c r="M1531" s="32"/>
      <c r="N1531" s="32"/>
      <c r="O1531" s="93">
        <v>291280.16</v>
      </c>
      <c r="P1531" s="91">
        <f>IFERROR(__xludf.DUMMYFUNCTION("IFERROR(sum(FILTER($D:$N,$C:$C = $C1531,$A:$A &lt; $A1531,$B:$B = 12)),0) + sum($D1531:$N1531)"),291279.63000000006)</f>
        <v>291279.63</v>
      </c>
      <c r="Q1531" s="92">
        <f t="shared" si="1"/>
        <v>0.5299999999</v>
      </c>
      <c r="R1531" s="91">
        <f t="array" ref="R1531">IFERROR(INDEX('Fund YTD Target Values'!$1:$1000, MATCH($C1531,'Fund YTD Target Values'!$A:$A,0), MATCH($A1531,'Fund YTD Target Values'!$1:$1,0)),0)</f>
        <v>244537.4928</v>
      </c>
      <c r="S1531" s="91">
        <f>IFERROR(__xludf.DUMMYFUNCTION("IFERROR(sum(FILTER('Fund Investment Data'!$V:$V, 'Fund Investment Data'!$C:$C = $C1531, 'Fund Investment Data'!$A:$A &lt; $A1531)),0) + IFERROR(sum(FILTER('Fund Investment Data'!$V:$V, 'Fund Investment Data'!$C:$C = $C1531, 'Fund Investment Data'!$A:$A = $A1"&amp;"531, 'Fund Investment Data'!$B:$B &lt;= $B1531)),0)"),194469.0)</f>
        <v>194469</v>
      </c>
      <c r="T1531" s="32"/>
      <c r="U1531" s="32"/>
      <c r="V1531" s="32">
        <f>IFERROR(__xludf.DUMMYFUNCTION("$D1531 - IFERROR(FILTER($D:$D,$C:$C = $C1531, $A:$A = $A1531, $B:$B = $B1531 - 1),0)"),0.0)</f>
        <v>0</v>
      </c>
      <c r="W1531" s="93">
        <f>IFERROR(__xludf.DUMMYFUNCTION("$E1531 - IFERROR(FILTER($E:$E,$C:$C = $C1531, $A:$A = $A1531, $B:$B = $B1531 - 1),0)"),-11585.0)</f>
        <v>-11585</v>
      </c>
      <c r="X1531" s="91">
        <f>IFERROR(__xludf.DUMMYFUNCTION("iFERROR((FILTER('Fund Investment Data'!$Z:$Z, 'Fund Investment Data'!$C:$C = $C1531, 'Fund Investment Data'!$A:$A = $A1531 - 1, 'Fund Investment Data'!$B:$B = 12) + FILTER('Fund Investment Data'!$AB:$AB, 'Fund Investment Data'!$C:$C = $C1531, 'Fund Invest"&amp;"ment Data'!$A:$A = $A1531 - 1, 'Fund Investment Data'!$B:$B = 12)) * (1 + AVERAGE(FILTER('Inflation Data'!$C:$C,'Inflation Data'!$A:$A = ($A1531 - 2)))) * Parameters!$A$4,0)"),7542.876247032937)</f>
        <v>7542.876247</v>
      </c>
      <c r="Y1531" s="91">
        <f>IFERROR(__xludf.DUMMYFUNCTION("IFERROR((IFERROR(FILTER('Fund Investment Data'!$P:$P,'Fund Investment Data'!$C:$C = $C1531,'Fund Investment Data'!$A:$A = ($A1531 - 2), 'Fund Investment Data'!$B:$B = 12),0) - SUM(FILTER('Fund Investment Data'!$V:$V, 'Fund Investment Data'!$C:$C = $C1531,"&amp;" 'Fund Investment Data'!$A:$A = ($A1531 - 2), 'Fund Investment Data'!$B:$B &gt; 3)))  * Parameters!$B$4 * (1 - Parameters!$A$4),0)"),4042.544760000002)</f>
        <v>4042.54476</v>
      </c>
      <c r="Z1531" s="91">
        <f t="shared" si="24"/>
        <v>11585.42101</v>
      </c>
      <c r="AA1531" s="91">
        <f>IFERROR(__xludf.DUMMYFUNCTION("((IFERROR((SUM(FILTER('Fund Investment Data'!$V:$V, 'Fund Investment Data'!$C:$C = $C1531, 'Fund Investment Data'!$A:$A = $A1531 - 1, 'Fund Investment Data'!$B:$B &gt;= 4, 'Fund Investment Data'!$B:$B &lt;= ($B1531 + 5))) / 12) * ($B1531 - 3) * Parameters!$B$4,"&amp;" 0) + IF($B1531 &gt;= 9, IFERROR(SUM(FILTER('Fund Investment Data'!$V:$V, 'Fund Investment Data'!$C:$C = $C1531, 'Fund Investment Data'!$A:$A = $A1531, 'Fund Investment Data'!$B:$B &lt;= 3)) * Parameters!$B$4, 0),0)))"),0.0)</f>
        <v>0</v>
      </c>
      <c r="AB1531" s="32">
        <f>IFERROR(__xludf.DUMMYFUNCTION("IFERROR(((IFERROR(SUM(FILTER('Fund Investment Data'!$V:$V, 'Fund Investment Data'!$C:$C = $C1531, 'Fund Investment Data'!$A:$A = $A1531 - 2, 'Fund Investment Data'!$B:$B &gt;= 4)) * Parameters!$B$4,0) + IFERROR(SUM(FILTER('Fund Investment Data'!$V:$V, 'Fund "&amp;"Investment Data'!$C:$C = $C1531, 'Fund Investment Data'!$A:$A = $A1531 - 1, 'Fund Investment Data'!$B:$B &lt;= 3)) * Parameters!$B$4,0))),0)"),0.0)</f>
        <v>0</v>
      </c>
      <c r="AC1531" s="32">
        <f>IFERROR(__xludf.DUMMYFUNCTION("IFERROR(FILTER($AF:$AF,$C:$C = $C1531,$A:$A = $A1531 - 1,$B:$B = 12),0)"),0.0)</f>
        <v>0</v>
      </c>
      <c r="AD1531" s="32">
        <f t="shared" si="23"/>
        <v>11585.42101</v>
      </c>
      <c r="AE1531" s="32">
        <f t="shared" si="2"/>
        <v>0.4210070329</v>
      </c>
      <c r="AF1531" s="32"/>
    </row>
    <row r="1532">
      <c r="A1532" s="86">
        <v>2019.0</v>
      </c>
      <c r="B1532" s="87">
        <v>9.0</v>
      </c>
      <c r="C1532" s="88" t="s">
        <v>43</v>
      </c>
      <c r="D1532" s="32"/>
      <c r="E1532" s="93">
        <v>-5732.0</v>
      </c>
      <c r="F1532" s="32"/>
      <c r="G1532" s="93">
        <v>-496.33</v>
      </c>
      <c r="H1532" s="93">
        <v>2137.22</v>
      </c>
      <c r="I1532" s="93">
        <v>1332.53</v>
      </c>
      <c r="J1532" s="93">
        <v>10104.33</v>
      </c>
      <c r="K1532" s="32"/>
      <c r="L1532" s="32"/>
      <c r="M1532" s="32"/>
      <c r="N1532" s="32"/>
      <c r="O1532" s="93">
        <v>117643.97</v>
      </c>
      <c r="P1532" s="91">
        <f>IFERROR(__xludf.DUMMYFUNCTION("IFERROR(sum(FILTER($D:$N,$C:$C = $C1532,$A:$A &lt; $A1532,$B:$B = 12)),0) + sum($D1532:$N1532)"),117643.23000000003)</f>
        <v>117643.23</v>
      </c>
      <c r="Q1532" s="92">
        <f t="shared" si="1"/>
        <v>0.74</v>
      </c>
      <c r="R1532" s="91">
        <f t="array" ref="R1532">IFERROR(INDEX('Fund YTD Target Values'!$1:$1000, MATCH($C1532,'Fund YTD Target Values'!$A:$A,0), MATCH($A1532,'Fund YTD Target Values'!$1:$1,0)),0)</f>
        <v>133065.1141</v>
      </c>
      <c r="S1532" s="91">
        <f>IFERROR(__xludf.DUMMYFUNCTION("IFERROR(sum(FILTER('Fund Investment Data'!$V:$V, 'Fund Investment Data'!$C:$C = $C1532, 'Fund Investment Data'!$A:$A &lt; $A1532)),0) + IFERROR(sum(FILTER('Fund Investment Data'!$V:$V, 'Fund Investment Data'!$C:$C = $C1532, 'Fund Investment Data'!$A:$A = $A1"&amp;"532, 'Fund Investment Data'!$B:$B &lt;= $B1532)),0)"),100000.0)</f>
        <v>100000</v>
      </c>
      <c r="T1532" s="32"/>
      <c r="U1532" s="32"/>
      <c r="V1532" s="32">
        <f>IFERROR(__xludf.DUMMYFUNCTION("$D1532 - IFERROR(FILTER($D:$D,$C:$C = $C1532, $A:$A = $A1532, $B:$B = $B1532 - 1),0)"),0.0)</f>
        <v>0</v>
      </c>
      <c r="W1532" s="93">
        <f>IFERROR(__xludf.DUMMYFUNCTION("$E1532 - IFERROR(FILTER($E:$E,$C:$C = $C1532, $A:$A = $A1532, $B:$B = $B1532 - 1),0)"),0.0)</f>
        <v>0</v>
      </c>
      <c r="X1532" s="91">
        <f>IFERROR(__xludf.DUMMYFUNCTION("iFERROR((FILTER('Fund Investment Data'!$Z:$Z, 'Fund Investment Data'!$C:$C = $C1532, 'Fund Investment Data'!$A:$A = $A1532 - 1, 'Fund Investment Data'!$B:$B = 12) + FILTER('Fund Investment Data'!$AB:$AB, 'Fund Investment Data'!$C:$C = $C1532, 'Fund Invest"&amp;"ment Data'!$A:$A = $A1532 - 1, 'Fund Investment Data'!$B:$B = 12)) * (1 + AVERAGE(FILTER('Inflation Data'!$C:$C,'Inflation Data'!$A:$A = ($A1532 - 2)))) * Parameters!$A$4,0)"),4037.921818829265)</f>
        <v>4037.921819</v>
      </c>
      <c r="Y1532" s="91">
        <f>IFERROR(__xludf.DUMMYFUNCTION("IFERROR((IFERROR(FILTER('Fund Investment Data'!$P:$P,'Fund Investment Data'!$C:$C = $C1532,'Fund Investment Data'!$A:$A = ($A1532 - 2), 'Fund Investment Data'!$B:$B = 12),0) - SUM(FILTER('Fund Investment Data'!$V:$V, 'Fund Investment Data'!$C:$C = $C1532,"&amp;" 'Fund Investment Data'!$A:$A = ($A1532 - 2), 'Fund Investment Data'!$B:$B &gt; 3)))  * Parameters!$B$4 * (1 - Parameters!$A$4),0)"),1694.4194250000005)</f>
        <v>1694.419425</v>
      </c>
      <c r="Z1532" s="91">
        <f t="shared" si="24"/>
        <v>5732.341244</v>
      </c>
      <c r="AA1532" s="91">
        <f>IFERROR(__xludf.DUMMYFUNCTION("((IFERROR((SUM(FILTER('Fund Investment Data'!$V:$V, 'Fund Investment Data'!$C:$C = $C1532, 'Fund Investment Data'!$A:$A = $A1532 - 1, 'Fund Investment Data'!$B:$B &gt;= 4, 'Fund Investment Data'!$B:$B &lt;= ($B1532 + 5))) / 12) * ($B1532 - 3) * Parameters!$B$4,"&amp;" 0) + IF($B1532 &gt;= 9, IFERROR(SUM(FILTER('Fund Investment Data'!$V:$V, 'Fund Investment Data'!$C:$C = $C1532, 'Fund Investment Data'!$A:$A = $A1532, 'Fund Investment Data'!$B:$B &lt;= 3)) * Parameters!$B$4, 0),0)))"),0.0)</f>
        <v>0</v>
      </c>
      <c r="AB1532" s="32">
        <f>IFERROR(__xludf.DUMMYFUNCTION("IFERROR(((IFERROR(SUM(FILTER('Fund Investment Data'!$V:$V, 'Fund Investment Data'!$C:$C = $C1532, 'Fund Investment Data'!$A:$A = $A1532 - 2, 'Fund Investment Data'!$B:$B &gt;= 4)) * Parameters!$B$4,0) + IFERROR(SUM(FILTER('Fund Investment Data'!$V:$V, 'Fund "&amp;"Investment Data'!$C:$C = $C1532, 'Fund Investment Data'!$A:$A = $A1532 - 1, 'Fund Investment Data'!$B:$B &lt;= 3)) * Parameters!$B$4,0))),0)"),0.0)</f>
        <v>0</v>
      </c>
      <c r="AC1532" s="32">
        <f>IFERROR(__xludf.DUMMYFUNCTION("IFERROR(FILTER($AF:$AF,$C:$C = $C1532,$A:$A = $A1532 - 1,$B:$B = 12),0)"),0.0)</f>
        <v>0</v>
      </c>
      <c r="AD1532" s="32">
        <f t="shared" si="23"/>
        <v>5732.341244</v>
      </c>
      <c r="AE1532" s="32">
        <f t="shared" si="2"/>
        <v>0.3412438293</v>
      </c>
      <c r="AF1532" s="32"/>
    </row>
    <row r="1533">
      <c r="A1533" s="86">
        <v>2019.0</v>
      </c>
      <c r="B1533" s="87">
        <v>9.0</v>
      </c>
      <c r="C1533" s="88" t="s">
        <v>52</v>
      </c>
      <c r="D1533" s="93">
        <v>1000.0</v>
      </c>
      <c r="E1533" s="93">
        <v>-65553.0</v>
      </c>
      <c r="F1533" s="32"/>
      <c r="G1533" s="93">
        <v>-4932.18</v>
      </c>
      <c r="H1533" s="93">
        <v>21232.67</v>
      </c>
      <c r="I1533" s="32"/>
      <c r="J1533" s="93">
        <v>113130.73</v>
      </c>
      <c r="K1533" s="32"/>
      <c r="L1533" s="93">
        <v>-158.75</v>
      </c>
      <c r="M1533" s="32"/>
      <c r="N1533" s="32"/>
      <c r="O1533" s="93">
        <v>1156259.82</v>
      </c>
      <c r="P1533" s="91">
        <f>IFERROR(__xludf.DUMMYFUNCTION("IFERROR(sum(FILTER($D:$N,$C:$C = $C1533,$A:$A &lt; $A1533,$B:$B = 12)),0) + sum($D1533:$N1533)"),1156259.4999999998)</f>
        <v>1156259.5</v>
      </c>
      <c r="Q1533" s="92">
        <f t="shared" si="1"/>
        <v>0.3200000003</v>
      </c>
      <c r="R1533" s="91">
        <f t="array" ref="R1533">IFERROR(INDEX('Fund YTD Target Values'!$1:$1000, MATCH($C1533,'Fund YTD Target Values'!$A:$A,0), MATCH($A1533,'Fund YTD Target Values'!$1:$1,0)),0)</f>
        <v>1170797.015</v>
      </c>
      <c r="S1533" s="91">
        <f>IFERROR(__xludf.DUMMYFUNCTION("IFERROR(sum(FILTER('Fund Investment Data'!$V:$V, 'Fund Investment Data'!$C:$C = $C1533, 'Fund Investment Data'!$A:$A &lt; $A1533)),0) + IFERROR(sum(FILTER('Fund Investment Data'!$V:$V, 'Fund Investment Data'!$C:$C = $C1533, 'Fund Investment Data'!$A:$A = $A1"&amp;"533, 'Fund Investment Data'!$B:$B &lt;= $B1533)),0)"),1081136.0)</f>
        <v>1081136</v>
      </c>
      <c r="T1533" s="32"/>
      <c r="U1533" s="32"/>
      <c r="V1533" s="32">
        <f>IFERROR(__xludf.DUMMYFUNCTION("$D1533 - IFERROR(FILTER($D:$D,$C:$C = $C1533, $A:$A = $A1533, $B:$B = $B1533 - 1),0)"),0.0)</f>
        <v>0</v>
      </c>
      <c r="W1533" s="93">
        <f>IFERROR(__xludf.DUMMYFUNCTION("$E1533 - IFERROR(FILTER($E:$E,$C:$C = $C1533, $A:$A = $A1533, $B:$B = $B1533 - 1),0)"),-17653.0)</f>
        <v>-17653</v>
      </c>
      <c r="X1533" s="91">
        <f>IFERROR(__xludf.DUMMYFUNCTION("iFERROR((FILTER('Fund Investment Data'!$Z:$Z, 'Fund Investment Data'!$C:$C = $C1533, 'Fund Investment Data'!$A:$A = $A1533 - 1, 'Fund Investment Data'!$B:$B = 12) + FILTER('Fund Investment Data'!$AB:$AB, 'Fund Investment Data'!$C:$C = $C1533, 'Fund Invest"&amp;"ment Data'!$A:$A = $A1533 - 1, 'Fund Investment Data'!$B:$B = 12)) * (1 + AVERAGE(FILTER('Inflation Data'!$C:$C,'Inflation Data'!$A:$A = ($A1533 - 2)))) * Parameters!$A$4,0)"),33647.195102028425)</f>
        <v>33647.1951</v>
      </c>
      <c r="Y1533" s="91">
        <f>IFERROR(__xludf.DUMMYFUNCTION("IFERROR((IFERROR(FILTER('Fund Investment Data'!$P:$P,'Fund Investment Data'!$C:$C = $C1533,'Fund Investment Data'!$A:$A = ($A1533 - 2), 'Fund Investment Data'!$B:$B = 12),0) - SUM(FILTER('Fund Investment Data'!$V:$V, 'Fund Investment Data'!$C:$C = $C1533,"&amp;" 'Fund Investment Data'!$A:$A = ($A1533 - 2), 'Fund Investment Data'!$B:$B &gt; 3)))  * Parameters!$B$4 * (1 - Parameters!$A$4),0)"),15672.907755)</f>
        <v>15672.90776</v>
      </c>
      <c r="Z1533" s="91">
        <f t="shared" si="24"/>
        <v>49320.10286</v>
      </c>
      <c r="AA1533" s="91">
        <f>IFERROR(__xludf.DUMMYFUNCTION("((IFERROR((SUM(FILTER('Fund Investment Data'!$V:$V, 'Fund Investment Data'!$C:$C = $C1533, 'Fund Investment Data'!$A:$A = $A1533 - 1, 'Fund Investment Data'!$B:$B &gt;= 4, 'Fund Investment Data'!$B:$B &lt;= ($B1533 + 5))) / 12) * ($B1533 - 3) * Parameters!$B$4,"&amp;" 0) + IF($B1533 &gt;= 9, IFERROR(SUM(FILTER('Fund Investment Data'!$V:$V, 'Fund Investment Data'!$C:$C = $C1533, 'Fund Investment Data'!$A:$A = $A1533, 'Fund Investment Data'!$B:$B &lt;= 3)) * Parameters!$B$4, 0),0)))"),45.0)</f>
        <v>45</v>
      </c>
      <c r="AB1533" s="32">
        <f>IFERROR(__xludf.DUMMYFUNCTION("IFERROR(((IFERROR(SUM(FILTER('Fund Investment Data'!$V:$V, 'Fund Investment Data'!$C:$C = $C1533, 'Fund Investment Data'!$A:$A = $A1533 - 2, 'Fund Investment Data'!$B:$B &gt;= 4)) * Parameters!$B$4,0) + IFERROR(SUM(FILTER('Fund Investment Data'!$V:$V, 'Fund "&amp;"Investment Data'!$C:$C = $C1533, 'Fund Investment Data'!$A:$A = $A1533 - 1, 'Fund Investment Data'!$B:$B &lt;= 3)) * Parameters!$B$4,0))),0)"),3532.5)</f>
        <v>3532.5</v>
      </c>
      <c r="AC1533" s="32">
        <f>IFERROR(__xludf.DUMMYFUNCTION("IFERROR(FILTER($AF:$AF,$C:$C = $C1533,$A:$A = $A1533 - 1,$B:$B = 12),0)"),0.0)</f>
        <v>0</v>
      </c>
      <c r="AD1533" s="32">
        <f t="shared" si="23"/>
        <v>52897.60286</v>
      </c>
      <c r="AE1533" s="32">
        <f t="shared" si="2"/>
        <v>-12655.39714</v>
      </c>
      <c r="AF1533" s="32"/>
    </row>
    <row r="1534">
      <c r="A1534" s="86">
        <v>2019.0</v>
      </c>
      <c r="B1534" s="87">
        <v>9.0</v>
      </c>
      <c r="C1534" s="88" t="s">
        <v>33</v>
      </c>
      <c r="D1534" s="32"/>
      <c r="E1534" s="93">
        <v>-3608.0</v>
      </c>
      <c r="F1534" s="32"/>
      <c r="G1534" s="93">
        <v>-1430.7</v>
      </c>
      <c r="H1534" s="93">
        <v>6154.76</v>
      </c>
      <c r="I1534" s="32"/>
      <c r="J1534" s="93">
        <v>32432.83</v>
      </c>
      <c r="K1534" s="32"/>
      <c r="L1534" s="32"/>
      <c r="M1534" s="32"/>
      <c r="N1534" s="32"/>
      <c r="O1534" s="93">
        <v>346493.85</v>
      </c>
      <c r="P1534" s="91">
        <f>IFERROR(__xludf.DUMMYFUNCTION("IFERROR(sum(FILTER($D:$N,$C:$C = $C1534,$A:$A &lt; $A1534,$B:$B = 12)),0) + sum($D1534:$N1534)"),346494.06999999983)</f>
        <v>346494.07</v>
      </c>
      <c r="Q1534" s="92">
        <f t="shared" si="1"/>
        <v>-0.2199999999</v>
      </c>
      <c r="R1534" s="91">
        <f t="array" ref="R1534">IFERROR(INDEX('Fund YTD Target Values'!$1:$1000, MATCH($C1534,'Fund YTD Target Values'!$A:$A,0), MATCH($A1534,'Fund YTD Target Values'!$1:$1,0)),0)</f>
        <v>522221.9976</v>
      </c>
      <c r="S1534" s="91">
        <f>IFERROR(__xludf.DUMMYFUNCTION("IFERROR(sum(FILTER('Fund Investment Data'!$V:$V, 'Fund Investment Data'!$C:$C = $C1534, 'Fund Investment Data'!$A:$A &lt; $A1534)),0) + IFERROR(sum(FILTER('Fund Investment Data'!$V:$V, 'Fund Investment Data'!$C:$C = $C1534, 'Fund Investment Data'!$A:$A = $A1"&amp;"534, 'Fund Investment Data'!$B:$B &lt;= $B1534)),0)"),325871.6399999999)</f>
        <v>325871.64</v>
      </c>
      <c r="T1534" s="32"/>
      <c r="U1534" s="32"/>
      <c r="V1534" s="32">
        <f>IFERROR(__xludf.DUMMYFUNCTION("$D1534 - IFERROR(FILTER($D:$D,$C:$C = $C1534, $A:$A = $A1534, $B:$B = $B1534 - 1),0)"),0.0)</f>
        <v>0</v>
      </c>
      <c r="W1534" s="93">
        <f>IFERROR(__xludf.DUMMYFUNCTION("$E1534 - IFERROR(FILTER($E:$E,$C:$C = $C1534, $A:$A = $A1534, $B:$B = $B1534 - 1),0)"),0.0)</f>
        <v>0</v>
      </c>
      <c r="X1534" s="91">
        <f>IFERROR(__xludf.DUMMYFUNCTION("iFERROR((FILTER('Fund Investment Data'!$Z:$Z, 'Fund Investment Data'!$C:$C = $C1534, 'Fund Investment Data'!$A:$A = $A1534 - 1, 'Fund Investment Data'!$B:$B = 12) + FILTER('Fund Investment Data'!$AB:$AB, 'Fund Investment Data'!$C:$C = $C1534, 'Fund Invest"&amp;"ment Data'!$A:$A = $A1534 - 1, 'Fund Investment Data'!$B:$B = 12)) * (1 + AVERAGE(FILTER('Inflation Data'!$C:$C,'Inflation Data'!$A:$A = ($A1534 - 2)))) * Parameters!$A$4,0)"),11487.702435867292)</f>
        <v>11487.70244</v>
      </c>
      <c r="Y1534" s="91">
        <f>IFERROR(__xludf.DUMMYFUNCTION("IFERROR((IFERROR(FILTER('Fund Investment Data'!$P:$P,'Fund Investment Data'!$C:$C = $C1534,'Fund Investment Data'!$A:$A = ($A1534 - 2), 'Fund Investment Data'!$B:$B = 12),0) - SUM(FILTER('Fund Investment Data'!$V:$V, 'Fund Investment Data'!$C:$C = $C1534,"&amp;" 'Fund Investment Data'!$A:$A = ($A1534 - 2), 'Fund Investment Data'!$B:$B &gt; 3)))  * Parameters!$B$4 * (1 - Parameters!$A$4),0)"),4820.5455749999965)</f>
        <v>4820.545575</v>
      </c>
      <c r="Z1534" s="91">
        <f t="shared" si="24"/>
        <v>16308.24801</v>
      </c>
      <c r="AA1534" s="91">
        <f>IFERROR(__xludf.DUMMYFUNCTION("((IFERROR((SUM(FILTER('Fund Investment Data'!$V:$V, 'Fund Investment Data'!$C:$C = $C1534, 'Fund Investment Data'!$A:$A = $A1534 - 1, 'Fund Investment Data'!$B:$B &gt;= 4, 'Fund Investment Data'!$B:$B &lt;= ($B1534 + 5))) / 12) * ($B1534 - 3) * Parameters!$B$4,"&amp;" 0) + IF($B1534 &gt;= 9, IFERROR(SUM(FILTER('Fund Investment Data'!$V:$V, 'Fund Investment Data'!$C:$C = $C1534, 'Fund Investment Data'!$A:$A = $A1534, 'Fund Investment Data'!$B:$B &lt;= 3)) * Parameters!$B$4, 0),0)))"),0.0)</f>
        <v>0</v>
      </c>
      <c r="AB1534" s="32">
        <f>IFERROR(__xludf.DUMMYFUNCTION("IFERROR(((IFERROR(SUM(FILTER('Fund Investment Data'!$V:$V, 'Fund Investment Data'!$C:$C = $C1534, 'Fund Investment Data'!$A:$A = $A1534 - 2, 'Fund Investment Data'!$B:$B &gt;= 4)) * Parameters!$B$4,0) + IFERROR(SUM(FILTER('Fund Investment Data'!$V:$V, 'Fund "&amp;"Investment Data'!$C:$C = $C1534, 'Fund Investment Data'!$A:$A = $A1534 - 1, 'Fund Investment Data'!$B:$B &lt;= 3)) * Parameters!$B$4,0))),0)"),0.0)</f>
        <v>0</v>
      </c>
      <c r="AC1534" s="32">
        <f>IFERROR(__xludf.DUMMYFUNCTION("IFERROR(FILTER($AF:$AF,$C:$C = $C1534,$A:$A = $A1534 - 1,$B:$B = 12),0)"),0.0)</f>
        <v>0</v>
      </c>
      <c r="AD1534" s="32">
        <f t="shared" si="23"/>
        <v>16308.24801</v>
      </c>
      <c r="AE1534" s="32">
        <f t="shared" si="2"/>
        <v>12700.24801</v>
      </c>
      <c r="AF1534" s="32"/>
    </row>
    <row r="1535">
      <c r="A1535" s="86">
        <v>2019.0</v>
      </c>
      <c r="B1535" s="87">
        <v>9.0</v>
      </c>
      <c r="C1535" s="88" t="s">
        <v>53</v>
      </c>
      <c r="D1535" s="32"/>
      <c r="E1535" s="93">
        <v>-168884.0</v>
      </c>
      <c r="F1535" s="32"/>
      <c r="G1535" s="93">
        <v>-9226.96</v>
      </c>
      <c r="H1535" s="93">
        <v>39567.98</v>
      </c>
      <c r="I1535" s="93">
        <v>12661.52</v>
      </c>
      <c r="J1535" s="93">
        <v>194235.18</v>
      </c>
      <c r="K1535" s="32"/>
      <c r="L1535" s="32"/>
      <c r="M1535" s="32"/>
      <c r="N1535" s="32"/>
      <c r="O1535" s="93">
        <v>2114888.6</v>
      </c>
      <c r="P1535" s="91">
        <f>IFERROR(__xludf.DUMMYFUNCTION("IFERROR(sum(FILTER($D:$N,$C:$C = $C1535,$A:$A &lt; $A1535,$B:$B = 12)),0) + sum($D1535:$N1535)"),2114888.6)</f>
        <v>2114888.6</v>
      </c>
      <c r="Q1535" s="92">
        <f t="shared" si="1"/>
        <v>0</v>
      </c>
      <c r="R1535" s="91">
        <f t="array" ref="R1535">IFERROR(INDEX('Fund YTD Target Values'!$1:$1000, MATCH($C1535,'Fund YTD Target Values'!$A:$A,0), MATCH($A1535,'Fund YTD Target Values'!$1:$1,0)),0)</f>
        <v>2265063.703</v>
      </c>
      <c r="S1535" s="91">
        <f>IFERROR(__xludf.DUMMYFUNCTION("IFERROR(sum(FILTER('Fund Investment Data'!$V:$V, 'Fund Investment Data'!$C:$C = $C1535, 'Fund Investment Data'!$A:$A &lt; $A1535)),0) + IFERROR(sum(FILTER('Fund Investment Data'!$V:$V, 'Fund Investment Data'!$C:$C = $C1535, 'Fund Investment Data'!$A:$A = $A1"&amp;"535, 'Fund Investment Data'!$B:$B &lt;= $B1535)),0)"),2005500.0)</f>
        <v>2005500</v>
      </c>
      <c r="T1535" s="32"/>
      <c r="U1535" s="32"/>
      <c r="V1535" s="32">
        <f>IFERROR(__xludf.DUMMYFUNCTION("$D1535 - IFERROR(FILTER($D:$D,$C:$C = $C1535, $A:$A = $A1535, $B:$B = $B1535 - 1),0)"),0.0)</f>
        <v>0</v>
      </c>
      <c r="W1535" s="93">
        <f>IFERROR(__xludf.DUMMYFUNCTION("$E1535 - IFERROR(FILTER($E:$E,$C:$C = $C1535, $A:$A = $A1535, $B:$B = $B1535 - 1),0)"),-82384.0)</f>
        <v>-82384</v>
      </c>
      <c r="X1535" s="91">
        <f>IFERROR(__xludf.DUMMYFUNCTION("iFERROR((FILTER('Fund Investment Data'!$Z:$Z, 'Fund Investment Data'!$C:$C = $C1535, 'Fund Investment Data'!$A:$A = $A1535 - 1, 'Fund Investment Data'!$B:$B = 12) + FILTER('Fund Investment Data'!$AB:$AB, 'Fund Investment Data'!$C:$C = $C1535, 'Fund Invest"&amp;"ment Data'!$A:$A = $A1535 - 1, 'Fund Investment Data'!$B:$B = 12)) * (1 + AVERAGE(FILTER('Inflation Data'!$C:$C,'Inflation Data'!$A:$A = ($A1535 - 2)))) * Parameters!$A$4,0)"),69866.97627398264)</f>
        <v>69866.97627</v>
      </c>
      <c r="Y1535" s="91">
        <f>IFERROR(__xludf.DUMMYFUNCTION("IFERROR((IFERROR(FILTER('Fund Investment Data'!$P:$P,'Fund Investment Data'!$C:$C = $C1535,'Fund Investment Data'!$A:$A = ($A1535 - 2), 'Fund Investment Data'!$B:$B = 12),0) - SUM(FILTER('Fund Investment Data'!$V:$V, 'Fund Investment Data'!$C:$C = $C1535,"&amp;" 'Fund Investment Data'!$A:$A = ($A1535 - 2), 'Fund Investment Data'!$B:$B &gt; 3)))  * Parameters!$B$4 * (1 - Parameters!$A$4),0)"),30716.748180000002)</f>
        <v>30716.74818</v>
      </c>
      <c r="Z1535" s="91">
        <f t="shared" si="24"/>
        <v>100583.7245</v>
      </c>
      <c r="AA1535" s="91">
        <f>IFERROR(__xludf.DUMMYFUNCTION("((IFERROR((SUM(FILTER('Fund Investment Data'!$V:$V, 'Fund Investment Data'!$C:$C = $C1535, 'Fund Investment Data'!$A:$A = $A1535 - 1, 'Fund Investment Data'!$B:$B &gt;= 4, 'Fund Investment Data'!$B:$B &lt;= ($B1535 + 5))) / 12) * ($B1535 - 3) * Parameters!$B$4,"&amp;" 0) + IF($B1535 &gt;= 9, IFERROR(SUM(FILTER('Fund Investment Data'!$V:$V, 'Fund Investment Data'!$C:$C = $C1535, 'Fund Investment Data'!$A:$A = $A1535, 'Fund Investment Data'!$B:$B &lt;= 3)) * Parameters!$B$4, 0),0)))"),0.0)</f>
        <v>0</v>
      </c>
      <c r="AB1535" s="32">
        <f>IFERROR(__xludf.DUMMYFUNCTION("IFERROR(((IFERROR(SUM(FILTER('Fund Investment Data'!$V:$V, 'Fund Investment Data'!$C:$C = $C1535, 'Fund Investment Data'!$A:$A = $A1535 - 2, 'Fund Investment Data'!$B:$B &gt;= 4)) * Parameters!$B$4,0) + IFERROR(SUM(FILTER('Fund Investment Data'!$V:$V, 'Fund "&amp;"Investment Data'!$C:$C = $C1535, 'Fund Investment Data'!$A:$A = $A1535 - 1, 'Fund Investment Data'!$B:$B &lt;= 3)) * Parameters!$B$4,0))),0)"),0.0)</f>
        <v>0</v>
      </c>
      <c r="AC1535" s="32">
        <f>IFERROR(__xludf.DUMMYFUNCTION("IFERROR(FILTER($AF:$AF,$C:$C = $C1535,$A:$A = $A1535 - 1,$B:$B = 12),0)"),43500.0)</f>
        <v>43500</v>
      </c>
      <c r="AD1535" s="32">
        <f t="shared" si="23"/>
        <v>144083.7245</v>
      </c>
      <c r="AE1535" s="32">
        <f t="shared" si="2"/>
        <v>-24800.27555</v>
      </c>
      <c r="AF1535" s="32"/>
    </row>
    <row r="1536">
      <c r="A1536" s="86">
        <v>2019.0</v>
      </c>
      <c r="B1536" s="87">
        <v>9.0</v>
      </c>
      <c r="C1536" s="88" t="s">
        <v>34</v>
      </c>
      <c r="D1536" s="32"/>
      <c r="E1536" s="93">
        <v>-6475.0</v>
      </c>
      <c r="F1536" s="32"/>
      <c r="G1536" s="93">
        <v>-593.84</v>
      </c>
      <c r="H1536" s="93">
        <v>2557.23</v>
      </c>
      <c r="I1536" s="93">
        <v>28.92</v>
      </c>
      <c r="J1536" s="93">
        <v>13534.9</v>
      </c>
      <c r="K1536" s="32"/>
      <c r="L1536" s="32"/>
      <c r="M1536" s="32"/>
      <c r="N1536" s="32"/>
      <c r="O1536" s="93">
        <v>140491.48</v>
      </c>
      <c r="P1536" s="91">
        <f>IFERROR(__xludf.DUMMYFUNCTION("IFERROR(sum(FILTER($D:$N,$C:$C = $C1536,$A:$A &lt; $A1536,$B:$B = 12)),0) + sum($D1536:$N1536)"),140491.47999999995)</f>
        <v>140491.48</v>
      </c>
      <c r="Q1536" s="92">
        <f t="shared" si="1"/>
        <v>0</v>
      </c>
      <c r="R1536" s="91">
        <f t="array" ref="R1536">IFERROR(INDEX('Fund YTD Target Values'!$1:$1000, MATCH($C1536,'Fund YTD Target Values'!$A:$A,0), MATCH($A1536,'Fund YTD Target Values'!$1:$1,0)),0)</f>
        <v>137779.5763</v>
      </c>
      <c r="S1536" s="91">
        <f>IFERROR(__xludf.DUMMYFUNCTION("IFERROR(sum(FILTER('Fund Investment Data'!$V:$V, 'Fund Investment Data'!$C:$C = $C1536, 'Fund Investment Data'!$A:$A &lt; $A1536)),0) + IFERROR(sum(FILTER('Fund Investment Data'!$V:$V, 'Fund Investment Data'!$C:$C = $C1536, 'Fund Investment Data'!$A:$A = $A1"&amp;"536, 'Fund Investment Data'!$B:$B &lt;= $B1536)),0)"),125000.0)</f>
        <v>125000</v>
      </c>
      <c r="T1536" s="32"/>
      <c r="U1536" s="32"/>
      <c r="V1536" s="32">
        <f>IFERROR(__xludf.DUMMYFUNCTION("$D1536 - IFERROR(FILTER($D:$D,$C:$C = $C1536, $A:$A = $A1536, $B:$B = $B1536 - 1),0)"),0.0)</f>
        <v>0</v>
      </c>
      <c r="W1536" s="93">
        <f>IFERROR(__xludf.DUMMYFUNCTION("$E1536 - IFERROR(FILTER($E:$E,$C:$C = $C1536, $A:$A = $A1536, $B:$B = $B1536 - 1),0)"),0.0)</f>
        <v>0</v>
      </c>
      <c r="X1536" s="91">
        <f>IFERROR(__xludf.DUMMYFUNCTION("iFERROR((FILTER('Fund Investment Data'!$Z:$Z, 'Fund Investment Data'!$C:$C = $C1536, 'Fund Investment Data'!$A:$A = $A1536 - 1, 'Fund Investment Data'!$B:$B = 12) + FILTER('Fund Investment Data'!$AB:$AB, 'Fund Investment Data'!$C:$C = $C1536, 'Fund Invest"&amp;"ment Data'!$A:$A = $A1536 - 1, 'Fund Investment Data'!$B:$B = 12)) * (1 + AVERAGE(FILTER('Inflation Data'!$C:$C,'Inflation Data'!$A:$A = ($A1536 - 2)))) * Parameters!$A$4,0)"),4414.569951711041)</f>
        <v>4414.569952</v>
      </c>
      <c r="Y1536" s="91">
        <f>IFERROR(__xludf.DUMMYFUNCTION("IFERROR((IFERROR(FILTER('Fund Investment Data'!$P:$P,'Fund Investment Data'!$C:$C = $C1536,'Fund Investment Data'!$A:$A = ($A1536 - 2), 'Fund Investment Data'!$B:$B = 12),0) - SUM(FILTER('Fund Investment Data'!$V:$V, 'Fund Investment Data'!$C:$C = $C1536,"&amp;" 'Fund Investment Data'!$A:$A = ($A1536 - 2), 'Fund Investment Data'!$B:$B &gt; 3)))  * Parameters!$B$4 * (1 - Parameters!$A$4),0)"),1947.8901600000004)</f>
        <v>1947.89016</v>
      </c>
      <c r="Z1536" s="91">
        <f t="shared" si="24"/>
        <v>6362.460112</v>
      </c>
      <c r="AA1536" s="91">
        <f>IFERROR(__xludf.DUMMYFUNCTION("((IFERROR((SUM(FILTER('Fund Investment Data'!$V:$V, 'Fund Investment Data'!$C:$C = $C1536, 'Fund Investment Data'!$A:$A = $A1536 - 1, 'Fund Investment Data'!$B:$B &gt;= 4, 'Fund Investment Data'!$B:$B &lt;= ($B1536 + 5))) / 12) * ($B1536 - 3) * Parameters!$B$4,"&amp;" 0) + IF($B1536 &gt;= 9, IFERROR(SUM(FILTER('Fund Investment Data'!$V:$V, 'Fund Investment Data'!$C:$C = $C1536, 'Fund Investment Data'!$A:$A = $A1536, 'Fund Investment Data'!$B:$B &lt;= 3)) * Parameters!$B$4, 0),0)))"),112.5)</f>
        <v>112.5</v>
      </c>
      <c r="AB1536" s="32">
        <f>IFERROR(__xludf.DUMMYFUNCTION("IFERROR(((IFERROR(SUM(FILTER('Fund Investment Data'!$V:$V, 'Fund Investment Data'!$C:$C = $C1536, 'Fund Investment Data'!$A:$A = $A1536 - 2, 'Fund Investment Data'!$B:$B &gt;= 4)) * Parameters!$B$4,0) + IFERROR(SUM(FILTER('Fund Investment Data'!$V:$V, 'Fund "&amp;"Investment Data'!$C:$C = $C1536, 'Fund Investment Data'!$A:$A = $A1536 - 1, 'Fund Investment Data'!$B:$B &lt;= 3)) * Parameters!$B$4,0))),0)"),0.0)</f>
        <v>0</v>
      </c>
      <c r="AC1536" s="32">
        <f>IFERROR(__xludf.DUMMYFUNCTION("IFERROR(FILTER($AF:$AF,$C:$C = $C1536,$A:$A = $A1536 - 1,$B:$B = 12),0)"),0.0)</f>
        <v>0</v>
      </c>
      <c r="AD1536" s="32">
        <f t="shared" si="23"/>
        <v>6474.960112</v>
      </c>
      <c r="AE1536" s="32">
        <f t="shared" si="2"/>
        <v>-0.03988828896</v>
      </c>
      <c r="AF1536" s="32"/>
    </row>
    <row r="1537">
      <c r="A1537" s="86">
        <v>2019.0</v>
      </c>
      <c r="B1537" s="87">
        <v>9.0</v>
      </c>
      <c r="C1537" s="88" t="s">
        <v>54</v>
      </c>
      <c r="D1537" s="93">
        <v>156.0</v>
      </c>
      <c r="E1537" s="93">
        <v>-7650.0</v>
      </c>
      <c r="F1537" s="32"/>
      <c r="G1537" s="93">
        <v>-706.55</v>
      </c>
      <c r="H1537" s="93">
        <v>3032.16</v>
      </c>
      <c r="I1537" s="32"/>
      <c r="J1537" s="93">
        <v>15997.9</v>
      </c>
      <c r="K1537" s="32"/>
      <c r="L1537" s="93">
        <v>-28.05</v>
      </c>
      <c r="M1537" s="32"/>
      <c r="N1537" s="32"/>
      <c r="O1537" s="93">
        <v>165767.54</v>
      </c>
      <c r="P1537" s="91">
        <f>IFERROR(__xludf.DUMMYFUNCTION("IFERROR(sum(FILTER($D:$N,$C:$C = $C1537,$A:$A &lt; $A1537,$B:$B = 12)),0) + sum($D1537:$N1537)"),165768.50999999995)</f>
        <v>165768.51</v>
      </c>
      <c r="Q1537" s="92">
        <f t="shared" si="1"/>
        <v>-0.9699999999</v>
      </c>
      <c r="R1537" s="91">
        <f t="array" ref="R1537">IFERROR(INDEX('Fund YTD Target Values'!$1:$1000, MATCH($C1537,'Fund YTD Target Values'!$A:$A,0), MATCH($A1537,'Fund YTD Target Values'!$1:$1,0)),0)</f>
        <v>158496.8702</v>
      </c>
      <c r="S1537" s="91">
        <f>IFERROR(__xludf.DUMMYFUNCTION("IFERROR(sum(FILTER('Fund Investment Data'!$V:$V, 'Fund Investment Data'!$C:$C = $C1537, 'Fund Investment Data'!$A:$A &lt; $A1537)),0) + IFERROR(sum(FILTER('Fund Investment Data'!$V:$V, 'Fund Investment Data'!$C:$C = $C1537, 'Fund Investment Data'!$A:$A = $A1"&amp;"537, 'Fund Investment Data'!$B:$B &lt;= $B1537)),0)"),112623.10999999999)</f>
        <v>112623.11</v>
      </c>
      <c r="T1537" s="32"/>
      <c r="U1537" s="32"/>
      <c r="V1537" s="32">
        <f>IFERROR(__xludf.DUMMYFUNCTION("$D1537 - IFERROR(FILTER($D:$D,$C:$C = $C1537, $A:$A = $A1537, $B:$B = $B1537 - 1),0)"),0.0)</f>
        <v>0</v>
      </c>
      <c r="W1537" s="93">
        <f>IFERROR(__xludf.DUMMYFUNCTION("$E1537 - IFERROR(FILTER($E:$E,$C:$C = $C1537, $A:$A = $A1537, $B:$B = $B1537 - 1),0)"),-5150.0)</f>
        <v>-5150</v>
      </c>
      <c r="X1537" s="91">
        <f>IFERROR(__xludf.DUMMYFUNCTION("iFERROR((FILTER('Fund Investment Data'!$Z:$Z, 'Fund Investment Data'!$C:$C = $C1537, 'Fund Investment Data'!$A:$A = $A1537 - 1, 'Fund Investment Data'!$B:$B = 12) + FILTER('Fund Investment Data'!$AB:$AB, 'Fund Investment Data'!$C:$C = $C1537, 'Fund Invest"&amp;"ment Data'!$A:$A = $A1537 - 1, 'Fund Investment Data'!$B:$B = 12)) * (1 + AVERAGE(FILTER('Inflation Data'!$C:$C,'Inflation Data'!$A:$A = ($A1537 - 2)))) * Parameters!$A$4,0)"),5306.102894924851)</f>
        <v>5306.102895</v>
      </c>
      <c r="Y1537" s="91">
        <f>IFERROR(__xludf.DUMMYFUNCTION("IFERROR((IFERROR(FILTER('Fund Investment Data'!$P:$P,'Fund Investment Data'!$C:$C = $C1537,'Fund Investment Data'!$A:$A = ($A1537 - 2), 'Fund Investment Data'!$B:$B = 12),0) - SUM(FILTER('Fund Investment Data'!$V:$V, 'Fund Investment Data'!$C:$C = $C1537,"&amp;" 'Fund Investment Data'!$A:$A = ($A1537 - 2), 'Fund Investment Data'!$B:$B &gt; 3)))  * Parameters!$B$4 * (1 - Parameters!$A$4),0)"),2330.059095)</f>
        <v>2330.059095</v>
      </c>
      <c r="Z1537" s="91">
        <f t="shared" si="24"/>
        <v>7636.16199</v>
      </c>
      <c r="AA1537" s="91">
        <f>IFERROR(__xludf.DUMMYFUNCTION("((IFERROR((SUM(FILTER('Fund Investment Data'!$V:$V, 'Fund Investment Data'!$C:$C = $C1537, 'Fund Investment Data'!$A:$A = $A1537 - 1, 'Fund Investment Data'!$B:$B &gt;= 4, 'Fund Investment Data'!$B:$B &lt;= ($B1537 + 5))) / 12) * ($B1537 - 3) * Parameters!$B$4,"&amp;" 0) + IF($B1537 &gt;= 9, IFERROR(SUM(FILTER('Fund Investment Data'!$V:$V, 'Fund Investment Data'!$C:$C = $C1537, 'Fund Investment Data'!$A:$A = $A1537, 'Fund Investment Data'!$B:$B &lt;= 3)) * Parameters!$B$4, 0),0)))"),5.2875)</f>
        <v>5.2875</v>
      </c>
      <c r="AB1537" s="32">
        <f>IFERROR(__xludf.DUMMYFUNCTION("IFERROR(((IFERROR(SUM(FILTER('Fund Investment Data'!$V:$V, 'Fund Investment Data'!$C:$C = $C1537, 'Fund Investment Data'!$A:$A = $A1537 - 2, 'Fund Investment Data'!$B:$B &gt;= 4)) * Parameters!$B$4,0) + IFERROR(SUM(FILTER('Fund Investment Data'!$V:$V, 'Fund "&amp;"Investment Data'!$C:$C = $C1537, 'Fund Investment Data'!$A:$A = $A1537 - 1, 'Fund Investment Data'!$B:$B &lt;= 3)) * Parameters!$B$4,0))),0)"),13.32)</f>
        <v>13.32</v>
      </c>
      <c r="AC1537" s="32">
        <f>IFERROR(__xludf.DUMMYFUNCTION("IFERROR(FILTER($AF:$AF,$C:$C = $C1537,$A:$A = $A1537 - 1,$B:$B = 12),0)"),0.0)</f>
        <v>0</v>
      </c>
      <c r="AD1537" s="32">
        <f t="shared" si="23"/>
        <v>7654.76949</v>
      </c>
      <c r="AE1537" s="32">
        <f t="shared" si="2"/>
        <v>4.769489925</v>
      </c>
      <c r="AF1537" s="32"/>
    </row>
    <row r="1538">
      <c r="A1538" s="86">
        <v>2019.0</v>
      </c>
      <c r="B1538" s="87">
        <v>9.0</v>
      </c>
      <c r="C1538" s="88" t="s">
        <v>55</v>
      </c>
      <c r="D1538" s="32"/>
      <c r="E1538" s="93">
        <v>-18228.0</v>
      </c>
      <c r="F1538" s="32"/>
      <c r="G1538" s="93">
        <v>-1248.13</v>
      </c>
      <c r="H1538" s="93">
        <v>5253.9</v>
      </c>
      <c r="I1538" s="32"/>
      <c r="J1538" s="93">
        <v>21042.95</v>
      </c>
      <c r="K1538" s="32"/>
      <c r="L1538" s="32"/>
      <c r="M1538" s="32"/>
      <c r="N1538" s="32"/>
      <c r="O1538" s="93">
        <v>284351.66</v>
      </c>
      <c r="P1538" s="91">
        <f>IFERROR(__xludf.DUMMYFUNCTION("IFERROR(sum(FILTER($D:$N,$C:$C = $C1538,$A:$A &lt; $A1538,$B:$B = 12)),0) + sum($D1538:$N1538)"),284351.6599999999)</f>
        <v>284351.66</v>
      </c>
      <c r="Q1538" s="92">
        <f t="shared" si="1"/>
        <v>0</v>
      </c>
      <c r="R1538" s="91">
        <f t="array" ref="R1538">IFERROR(INDEX('Fund YTD Target Values'!$1:$1000, MATCH($C1538,'Fund YTD Target Values'!$A:$A,0), MATCH($A1538,'Fund YTD Target Values'!$1:$1,0)),0)</f>
        <v>364349.1694</v>
      </c>
      <c r="S1538" s="91">
        <f>IFERROR(__xludf.DUMMYFUNCTION("IFERROR(sum(FILTER('Fund Investment Data'!$V:$V, 'Fund Investment Data'!$C:$C = $C1538, 'Fund Investment Data'!$A:$A &lt; $A1538)),0) + IFERROR(sum(FILTER('Fund Investment Data'!$V:$V, 'Fund Investment Data'!$C:$C = $C1538, 'Fund Investment Data'!$A:$A = $A1"&amp;"538, 'Fund Investment Data'!$B:$B &lt;= $B1538)),0)"),280000.0)</f>
        <v>280000</v>
      </c>
      <c r="T1538" s="32"/>
      <c r="U1538" s="32"/>
      <c r="V1538" s="32">
        <f>IFERROR(__xludf.DUMMYFUNCTION("$D1538 - IFERROR(FILTER($D:$D,$C:$C = $C1538, $A:$A = $A1538, $B:$B = $B1538 - 1),0)"),0.0)</f>
        <v>0</v>
      </c>
      <c r="W1538" s="93">
        <f>IFERROR(__xludf.DUMMYFUNCTION("$E1538 - IFERROR(FILTER($E:$E,$C:$C = $C1538, $A:$A = $A1538, $B:$B = $B1538 - 1),0)"),-18228.0)</f>
        <v>-18228</v>
      </c>
      <c r="X1538" s="91">
        <f>IFERROR(__xludf.DUMMYFUNCTION("iFERROR((FILTER('Fund Investment Data'!$Z:$Z, 'Fund Investment Data'!$C:$C = $C1538, 'Fund Investment Data'!$A:$A = $A1538 - 1, 'Fund Investment Data'!$B:$B = 12) + FILTER('Fund Investment Data'!$AB:$AB, 'Fund Investment Data'!$C:$C = $C1538, 'Fund Invest"&amp;"ment Data'!$A:$A = $A1538 - 1, 'Fund Investment Data'!$B:$B = 12)) * (1 + AVERAGE(FILTER('Inflation Data'!$C:$C,'Inflation Data'!$A:$A = ($A1538 - 2)))) * Parameters!$A$4,0)"),6881.036839036868)</f>
        <v>6881.036839</v>
      </c>
      <c r="Y1538" s="91">
        <f>IFERROR(__xludf.DUMMYFUNCTION("IFERROR((IFERROR(FILTER('Fund Investment Data'!$P:$P,'Fund Investment Data'!$C:$C = $C1538,'Fund Investment Data'!$A:$A = ($A1538 - 2), 'Fund Investment Data'!$B:$B = 12),0) - SUM(FILTER('Fund Investment Data'!$V:$V, 'Fund Investment Data'!$C:$C = $C1538,"&amp;" 'Fund Investment Data'!$A:$A = ($A1538 - 2), 'Fund Investment Data'!$B:$B &gt; 3)))  * Parameters!$B$4 * (1 - Parameters!$A$4),0)"),2147.3742599999996)</f>
        <v>2147.37426</v>
      </c>
      <c r="Z1538" s="91">
        <f t="shared" si="24"/>
        <v>9028.411099</v>
      </c>
      <c r="AA1538" s="91">
        <f>IFERROR(__xludf.DUMMYFUNCTION("((IFERROR((SUM(FILTER('Fund Investment Data'!$V:$V, 'Fund Investment Data'!$C:$C = $C1538, 'Fund Investment Data'!$A:$A = $A1538 - 1, 'Fund Investment Data'!$B:$B &gt;= 4, 'Fund Investment Data'!$B:$B &lt;= ($B1538 + 5))) / 12) * ($B1538 - 3) * Parameters!$B$4,"&amp;" 0) + IF($B1538 &gt;= 9, IFERROR(SUM(FILTER('Fund Investment Data'!$V:$V, 'Fund Investment Data'!$C:$C = $C1538, 'Fund Investment Data'!$A:$A = $A1538, 'Fund Investment Data'!$B:$B &lt;= 3)) * Parameters!$B$4, 0),0)))"),1575.0)</f>
        <v>1575</v>
      </c>
      <c r="AB1538" s="32">
        <f>IFERROR(__xludf.DUMMYFUNCTION("IFERROR(((IFERROR(SUM(FILTER('Fund Investment Data'!$V:$V, 'Fund Investment Data'!$C:$C = $C1538, 'Fund Investment Data'!$A:$A = $A1538 - 2, 'Fund Investment Data'!$B:$B &gt;= 4)) * Parameters!$B$4,0) + IFERROR(SUM(FILTER('Fund Investment Data'!$V:$V, 'Fund "&amp;"Investment Data'!$C:$C = $C1538, 'Fund Investment Data'!$A:$A = $A1538 - 1, 'Fund Investment Data'!$B:$B &lt;= 3)) * Parameters!$B$4,0))),0)"),3150.0)</f>
        <v>3150</v>
      </c>
      <c r="AC1538" s="32">
        <f>IFERROR(__xludf.DUMMYFUNCTION("IFERROR(FILTER($AF:$AF,$C:$C = $C1538,$A:$A = $A1538 - 1,$B:$B = 12),0)"),5000.0)</f>
        <v>5000</v>
      </c>
      <c r="AD1538" s="32">
        <f t="shared" si="23"/>
        <v>18753.4111</v>
      </c>
      <c r="AE1538" s="32">
        <f t="shared" si="2"/>
        <v>525.411099</v>
      </c>
      <c r="AF1538" s="32"/>
    </row>
    <row r="1539">
      <c r="A1539" s="86">
        <v>2019.0</v>
      </c>
      <c r="B1539" s="87">
        <v>9.0</v>
      </c>
      <c r="C1539" s="88" t="s">
        <v>44</v>
      </c>
      <c r="D1539" s="32"/>
      <c r="E1539" s="93">
        <v>-13091.0</v>
      </c>
      <c r="F1539" s="32"/>
      <c r="G1539" s="93">
        <v>-1125.82</v>
      </c>
      <c r="H1539" s="93">
        <v>4849.4</v>
      </c>
      <c r="I1539" s="93">
        <v>3314.76</v>
      </c>
      <c r="J1539" s="93">
        <v>22681.86</v>
      </c>
      <c r="K1539" s="32"/>
      <c r="L1539" s="32"/>
      <c r="M1539" s="32"/>
      <c r="N1539" s="32"/>
      <c r="O1539" s="93">
        <v>267347.24</v>
      </c>
      <c r="P1539" s="91">
        <f>IFERROR(__xludf.DUMMYFUNCTION("IFERROR(sum(FILTER($D:$N,$C:$C = $C1539,$A:$A &lt; $A1539,$B:$B = 12)),0) + sum($D1539:$N1539)"),267348.13000000006)</f>
        <v>267348.13</v>
      </c>
      <c r="Q1539" s="92">
        <f t="shared" si="1"/>
        <v>-0.8900000001</v>
      </c>
      <c r="R1539" s="91">
        <f t="array" ref="R1539">IFERROR(INDEX('Fund YTD Target Values'!$1:$1000, MATCH($C1539,'Fund YTD Target Values'!$A:$A,0), MATCH($A1539,'Fund YTD Target Values'!$1:$1,0)),0)</f>
        <v>327413.1867</v>
      </c>
      <c r="S1539" s="91">
        <f>IFERROR(__xludf.DUMMYFUNCTION("IFERROR(sum(FILTER('Fund Investment Data'!$V:$V, 'Fund Investment Data'!$C:$C = $C1539, 'Fund Investment Data'!$A:$A &lt; $A1539)),0) + IFERROR(sum(FILTER('Fund Investment Data'!$V:$V, 'Fund Investment Data'!$C:$C = $C1539, 'Fund Investment Data'!$A:$A = $A1"&amp;"539, 'Fund Investment Data'!$B:$B &lt;= $B1539)),0)"),250000.0)</f>
        <v>250000</v>
      </c>
      <c r="T1539" s="32"/>
      <c r="U1539" s="32"/>
      <c r="V1539" s="32">
        <f>IFERROR(__xludf.DUMMYFUNCTION("$D1539 - IFERROR(FILTER($D:$D,$C:$C = $C1539, $A:$A = $A1539, $B:$B = $B1539 - 1),0)"),0.0)</f>
        <v>0</v>
      </c>
      <c r="W1539" s="93">
        <f>IFERROR(__xludf.DUMMYFUNCTION("$E1539 - IFERROR(FILTER($E:$E,$C:$C = $C1539, $A:$A = $A1539, $B:$B = $B1539 - 1),0)"),0.0)</f>
        <v>0</v>
      </c>
      <c r="X1539" s="91">
        <f>IFERROR(__xludf.DUMMYFUNCTION("iFERROR((FILTER('Fund Investment Data'!$Z:$Z, 'Fund Investment Data'!$C:$C = $C1539, 'Fund Investment Data'!$A:$A = $A1539 - 1, 'Fund Investment Data'!$B:$B = 12) + FILTER('Fund Investment Data'!$AB:$AB, 'Fund Investment Data'!$C:$C = $C1539, 'Fund Invest"&amp;"ment Data'!$A:$A = $A1539 - 1, 'Fund Investment Data'!$B:$B = 12)) * (1 + AVERAGE(FILTER('Inflation Data'!$C:$C,'Inflation Data'!$A:$A = ($A1539 - 2)))) * Parameters!$A$4,0)"),9221.513356912916)</f>
        <v>9221.513357</v>
      </c>
      <c r="Y1539" s="91">
        <f>IFERROR(__xludf.DUMMYFUNCTION("IFERROR((IFERROR(FILTER('Fund Investment Data'!$P:$P,'Fund Investment Data'!$C:$C = $C1539,'Fund Investment Data'!$A:$A = ($A1539 - 2), 'Fund Investment Data'!$B:$B = 12),0) - SUM(FILTER('Fund Investment Data'!$V:$V, 'Fund Investment Data'!$C:$C = $C1539,"&amp;" 'Fund Investment Data'!$A:$A = ($A1539 - 2), 'Fund Investment Data'!$B:$B &gt; 3)))  * Parameters!$B$4 * (1 - Parameters!$A$4),0)"),3869.5923450000028)</f>
        <v>3869.592345</v>
      </c>
      <c r="Z1539" s="91">
        <f t="shared" si="24"/>
        <v>13091.1057</v>
      </c>
      <c r="AA1539" s="91">
        <f>IFERROR(__xludf.DUMMYFUNCTION("((IFERROR((SUM(FILTER('Fund Investment Data'!$V:$V, 'Fund Investment Data'!$C:$C = $C1539, 'Fund Investment Data'!$A:$A = $A1539 - 1, 'Fund Investment Data'!$B:$B &gt;= 4, 'Fund Investment Data'!$B:$B &lt;= ($B1539 + 5))) / 12) * ($B1539 - 3) * Parameters!$B$4,"&amp;" 0) + IF($B1539 &gt;= 9, IFERROR(SUM(FILTER('Fund Investment Data'!$V:$V, 'Fund Investment Data'!$C:$C = $C1539, 'Fund Investment Data'!$A:$A = $A1539, 'Fund Investment Data'!$B:$B &lt;= 3)) * Parameters!$B$4, 0),0)))"),0.0)</f>
        <v>0</v>
      </c>
      <c r="AB1539" s="32">
        <f>IFERROR(__xludf.DUMMYFUNCTION("IFERROR(((IFERROR(SUM(FILTER('Fund Investment Data'!$V:$V, 'Fund Investment Data'!$C:$C = $C1539, 'Fund Investment Data'!$A:$A = $A1539 - 2, 'Fund Investment Data'!$B:$B &gt;= 4)) * Parameters!$B$4,0) + IFERROR(SUM(FILTER('Fund Investment Data'!$V:$V, 'Fund "&amp;"Investment Data'!$C:$C = $C1539, 'Fund Investment Data'!$A:$A = $A1539 - 1, 'Fund Investment Data'!$B:$B &lt;= 3)) * Parameters!$B$4,0))),0)"),0.0)</f>
        <v>0</v>
      </c>
      <c r="AC1539" s="32">
        <f>IFERROR(__xludf.DUMMYFUNCTION("IFERROR(FILTER($AF:$AF,$C:$C = $C1539,$A:$A = $A1539 - 1,$B:$B = 12),0)"),0.0)</f>
        <v>0</v>
      </c>
      <c r="AD1539" s="32">
        <f t="shared" si="23"/>
        <v>13091.1057</v>
      </c>
      <c r="AE1539" s="32">
        <f t="shared" si="2"/>
        <v>0.1057019129</v>
      </c>
      <c r="AF1539" s="32"/>
    </row>
    <row r="1540">
      <c r="A1540" s="86">
        <v>2019.0</v>
      </c>
      <c r="B1540" s="87">
        <v>9.0</v>
      </c>
      <c r="C1540" s="88" t="s">
        <v>45</v>
      </c>
      <c r="D1540" s="32"/>
      <c r="E1540" s="93">
        <v>-5811.0</v>
      </c>
      <c r="F1540" s="32"/>
      <c r="G1540" s="93">
        <v>-602.16</v>
      </c>
      <c r="H1540" s="93">
        <v>2589.36</v>
      </c>
      <c r="I1540" s="93">
        <v>627.97</v>
      </c>
      <c r="J1540" s="93">
        <v>13049.42</v>
      </c>
      <c r="K1540" s="32"/>
      <c r="L1540" s="32"/>
      <c r="M1540" s="32"/>
      <c r="N1540" s="32"/>
      <c r="O1540" s="93">
        <v>142189.5</v>
      </c>
      <c r="P1540" s="91">
        <f>IFERROR(__xludf.DUMMYFUNCTION("IFERROR(sum(FILTER($D:$N,$C:$C = $C1540,$A:$A &lt; $A1540,$B:$B = 12)),0) + sum($D1540:$N1540)"),142189.70999999996)</f>
        <v>142189.71</v>
      </c>
      <c r="Q1540" s="92">
        <f t="shared" si="1"/>
        <v>-0.21</v>
      </c>
      <c r="R1540" s="91">
        <f t="array" ref="R1540">IFERROR(INDEX('Fund YTD Target Values'!$1:$1000, MATCH($C1540,'Fund YTD Target Values'!$A:$A,0), MATCH($A1540,'Fund YTD Target Values'!$1:$1,0)),0)</f>
        <v>123438.8442</v>
      </c>
      <c r="S1540" s="91">
        <f>IFERROR(__xludf.DUMMYFUNCTION("IFERROR(sum(FILTER('Fund Investment Data'!$V:$V, 'Fund Investment Data'!$C:$C = $C1540, 'Fund Investment Data'!$A:$A &lt; $A1540)),0) + IFERROR(sum(FILTER('Fund Investment Data'!$V:$V, 'Fund Investment Data'!$C:$C = $C1540, 'Fund Investment Data'!$A:$A = $A1"&amp;"540, 'Fund Investment Data'!$B:$B &lt;= $B1540)),0)"),100000.0)</f>
        <v>100000</v>
      </c>
      <c r="T1540" s="32"/>
      <c r="U1540" s="32"/>
      <c r="V1540" s="32">
        <f>IFERROR(__xludf.DUMMYFUNCTION("$D1540 - IFERROR(FILTER($D:$D,$C:$C = $C1540, $A:$A = $A1540, $B:$B = $B1540 - 1),0)"),0.0)</f>
        <v>0</v>
      </c>
      <c r="W1540" s="93">
        <f>IFERROR(__xludf.DUMMYFUNCTION("$E1540 - IFERROR(FILTER($E:$E,$C:$C = $C1540, $A:$A = $A1540, $B:$B = $B1540 - 1),0)"),-2311.0)</f>
        <v>-2311</v>
      </c>
      <c r="X1540" s="91">
        <f>IFERROR(__xludf.DUMMYFUNCTION("iFERROR((FILTER('Fund Investment Data'!$Z:$Z, 'Fund Investment Data'!$C:$C = $C1540, 'Fund Investment Data'!$A:$A = $A1540 - 1, 'Fund Investment Data'!$B:$B = 12) + FILTER('Fund Investment Data'!$AB:$AB, 'Fund Investment Data'!$C:$C = $C1540, 'Fund Invest"&amp;"ment Data'!$A:$A = $A1540 - 1, 'Fund Investment Data'!$B:$B = 12)) * (1 + AVERAGE(FILTER('Inflation Data'!$C:$C,'Inflation Data'!$A:$A = ($A1540 - 2)))) * Parameters!$A$4,0)"),3807.5303509611413)</f>
        <v>3807.530351</v>
      </c>
      <c r="Y1540" s="91">
        <f>IFERROR(__xludf.DUMMYFUNCTION("IFERROR((IFERROR(FILTER('Fund Investment Data'!$P:$P,'Fund Investment Data'!$C:$C = $C1540,'Fund Investment Data'!$A:$A = ($A1540 - 2), 'Fund Investment Data'!$B:$B = 12),0) - SUM(FILTER('Fund Investment Data'!$V:$V, 'Fund Investment Data'!$C:$C = $C1540,"&amp;" 'Fund Investment Data'!$A:$A = ($A1540 - 2), 'Fund Investment Data'!$B:$B &gt; 3)))  * Parameters!$B$4 * (1 - Parameters!$A$4),0)"),2003.430915)</f>
        <v>2003.430915</v>
      </c>
      <c r="Z1540" s="91">
        <f t="shared" si="24"/>
        <v>5810.961266</v>
      </c>
      <c r="AA1540" s="91">
        <f>IFERROR(__xludf.DUMMYFUNCTION("((IFERROR((SUM(FILTER('Fund Investment Data'!$V:$V, 'Fund Investment Data'!$C:$C = $C1540, 'Fund Investment Data'!$A:$A = $A1540 - 1, 'Fund Investment Data'!$B:$B &gt;= 4, 'Fund Investment Data'!$B:$B &lt;= ($B1540 + 5))) / 12) * ($B1540 - 3) * Parameters!$B$4,"&amp;" 0) + IF($B1540 &gt;= 9, IFERROR(SUM(FILTER('Fund Investment Data'!$V:$V, 'Fund Investment Data'!$C:$C = $C1540, 'Fund Investment Data'!$A:$A = $A1540, 'Fund Investment Data'!$B:$B &lt;= 3)) * Parameters!$B$4, 0),0)))"),0.0)</f>
        <v>0</v>
      </c>
      <c r="AB1540" s="32">
        <f>IFERROR(__xludf.DUMMYFUNCTION("IFERROR(((IFERROR(SUM(FILTER('Fund Investment Data'!$V:$V, 'Fund Investment Data'!$C:$C = $C1540, 'Fund Investment Data'!$A:$A = $A1540 - 2, 'Fund Investment Data'!$B:$B &gt;= 4)) * Parameters!$B$4,0) + IFERROR(SUM(FILTER('Fund Investment Data'!$V:$V, 'Fund "&amp;"Investment Data'!$C:$C = $C1540, 'Fund Investment Data'!$A:$A = $A1540 - 1, 'Fund Investment Data'!$B:$B &lt;= 3)) * Parameters!$B$4,0))),0)"),0.0)</f>
        <v>0</v>
      </c>
      <c r="AC1540" s="32">
        <f>IFERROR(__xludf.DUMMYFUNCTION("IFERROR(FILTER($AF:$AF,$C:$C = $C1540,$A:$A = $A1540 - 1,$B:$B = 12),0)"),0.0)</f>
        <v>0</v>
      </c>
      <c r="AD1540" s="32">
        <f t="shared" si="23"/>
        <v>5810.961266</v>
      </c>
      <c r="AE1540" s="32">
        <f t="shared" si="2"/>
        <v>-0.03873403886</v>
      </c>
      <c r="AF1540" s="32"/>
    </row>
    <row r="1541">
      <c r="A1541" s="86">
        <v>2019.0</v>
      </c>
      <c r="B1541" s="87">
        <v>9.0</v>
      </c>
      <c r="C1541" s="88" t="s">
        <v>35</v>
      </c>
      <c r="D1541" s="32"/>
      <c r="E1541" s="93">
        <v>-42161.0</v>
      </c>
      <c r="F1541" s="32"/>
      <c r="G1541" s="93">
        <v>-5898.97</v>
      </c>
      <c r="H1541" s="93">
        <v>25345.32</v>
      </c>
      <c r="I1541" s="93">
        <v>7300.15</v>
      </c>
      <c r="J1541" s="93">
        <v>126519.9</v>
      </c>
      <c r="K1541" s="32"/>
      <c r="L1541" s="32"/>
      <c r="M1541" s="32"/>
      <c r="N1541" s="32"/>
      <c r="O1541" s="93">
        <v>1405092.24</v>
      </c>
      <c r="P1541" s="91">
        <f>IFERROR(__xludf.DUMMYFUNCTION("IFERROR(sum(FILTER($D:$N,$C:$C = $C1541,$A:$A &lt; $A1541,$B:$B = 12)),0) + sum($D1541:$N1541)"),1405091.4700000004)</f>
        <v>1405091.47</v>
      </c>
      <c r="Q1541" s="92">
        <f t="shared" si="1"/>
        <v>0.7699999996</v>
      </c>
      <c r="R1541" s="91">
        <f t="array" ref="R1541">IFERROR(INDEX('Fund YTD Target Values'!$1:$1000, MATCH($C1541,'Fund YTD Target Values'!$A:$A,0), MATCH($A1541,'Fund YTD Target Values'!$1:$1,0)),0)</f>
        <v>1607860.761</v>
      </c>
      <c r="S1541" s="91">
        <f>IFERROR(__xludf.DUMMYFUNCTION("IFERROR(sum(FILTER('Fund Investment Data'!$V:$V, 'Fund Investment Data'!$C:$C = $C1541, 'Fund Investment Data'!$A:$A &lt; $A1541)),0) + IFERROR(sum(FILTER('Fund Investment Data'!$V:$V, 'Fund Investment Data'!$C:$C = $C1541, 'Fund Investment Data'!$A:$A = $A1"&amp;"541, 'Fund Investment Data'!$B:$B &lt;= $B1541)),0)"),1086625.0)</f>
        <v>1086625</v>
      </c>
      <c r="T1541" s="32"/>
      <c r="U1541" s="32"/>
      <c r="V1541" s="32">
        <f>IFERROR(__xludf.DUMMYFUNCTION("$D1541 - IFERROR(FILTER($D:$D,$C:$C = $C1541, $A:$A = $A1541, $B:$B = $B1541 - 1),0)"),0.0)</f>
        <v>0</v>
      </c>
      <c r="W1541" s="93">
        <f>IFERROR(__xludf.DUMMYFUNCTION("$E1541 - IFERROR(FILTER($E:$E,$C:$C = $C1541, $A:$A = $A1541, $B:$B = $B1541 - 1),0)"),-26561.0)</f>
        <v>-26561</v>
      </c>
      <c r="X1541" s="91">
        <f>IFERROR(__xludf.DUMMYFUNCTION("iFERROR((FILTER('Fund Investment Data'!$Z:$Z, 'Fund Investment Data'!$C:$C = $C1541, 'Fund Investment Data'!$A:$A = $A1541 - 1, 'Fund Investment Data'!$B:$B = 12) + FILTER('Fund Investment Data'!$AB:$AB, 'Fund Investment Data'!$C:$C = $C1541, 'Fund Invest"&amp;"ment Data'!$A:$A = $A1541 - 1, 'Fund Investment Data'!$B:$B = 12)) * (1 + AVERAGE(FILTER('Inflation Data'!$C:$C,'Inflation Data'!$A:$A = ($A1541 - 2)))) * Parameters!$A$4,0)"),47167.912647909514)</f>
        <v>47167.91265</v>
      </c>
      <c r="Y1541" s="91">
        <f>IFERROR(__xludf.DUMMYFUNCTION("IFERROR((IFERROR(FILTER('Fund Investment Data'!$P:$P,'Fund Investment Data'!$C:$C = $C1541,'Fund Investment Data'!$A:$A = ($A1541 - 2), 'Fund Investment Data'!$B:$B = 12),0) - SUM(FILTER('Fund Investment Data'!$V:$V, 'Fund Investment Data'!$C:$C = $C1541,"&amp;" 'Fund Investment Data'!$A:$A = ($A1541 - 2), 'Fund Investment Data'!$B:$B &gt; 3)))  * Parameters!$B$4 * (1 - Parameters!$A$4),0)"),19792.911060000006)</f>
        <v>19792.91106</v>
      </c>
      <c r="Z1541" s="91">
        <f t="shared" si="24"/>
        <v>66960.82371</v>
      </c>
      <c r="AA1541" s="91">
        <f>IFERROR(__xludf.DUMMYFUNCTION("((IFERROR((SUM(FILTER('Fund Investment Data'!$V:$V, 'Fund Investment Data'!$C:$C = $C1541, 'Fund Investment Data'!$A:$A = $A1541 - 1, 'Fund Investment Data'!$B:$B &gt;= 4, 'Fund Investment Data'!$B:$B &lt;= ($B1541 + 5))) / 12) * ($B1541 - 3) * Parameters!$B$4,"&amp;" 0) + IF($B1541 &gt;= 9, IFERROR(SUM(FILTER('Fund Investment Data'!$V:$V, 'Fund Investment Data'!$C:$C = $C1541, 'Fund Investment Data'!$A:$A = $A1541, 'Fund Investment Data'!$B:$B &lt;= 3)) * Parameters!$B$4, 0),0)))"),0.0)</f>
        <v>0</v>
      </c>
      <c r="AB1541" s="32">
        <f>IFERROR(__xludf.DUMMYFUNCTION("IFERROR(((IFERROR(SUM(FILTER('Fund Investment Data'!$V:$V, 'Fund Investment Data'!$C:$C = $C1541, 'Fund Investment Data'!$A:$A = $A1541 - 2, 'Fund Investment Data'!$B:$B &gt;= 4)) * Parameters!$B$4,0) + IFERROR(SUM(FILTER('Fund Investment Data'!$V:$V, 'Fund "&amp;"Investment Data'!$C:$C = $C1541, 'Fund Investment Data'!$A:$A = $A1541 - 1, 'Fund Investment Data'!$B:$B &lt;= 3)) * Parameters!$B$4,0))),0)"),0.0)</f>
        <v>0</v>
      </c>
      <c r="AC1541" s="32">
        <f>IFERROR(__xludf.DUMMYFUNCTION("IFERROR(FILTER($AF:$AF,$C:$C = $C1541,$A:$A = $A1541 - 1,$B:$B = 12),0)"),0.0)</f>
        <v>0</v>
      </c>
      <c r="AD1541" s="32">
        <f t="shared" si="23"/>
        <v>66960.82371</v>
      </c>
      <c r="AE1541" s="32">
        <f t="shared" si="2"/>
        <v>24799.82371</v>
      </c>
      <c r="AF1541" s="32"/>
    </row>
    <row r="1542">
      <c r="A1542" s="86">
        <v>2019.0</v>
      </c>
      <c r="B1542" s="87">
        <v>9.0</v>
      </c>
      <c r="C1542" s="88" t="s">
        <v>56</v>
      </c>
      <c r="D1542" s="32"/>
      <c r="E1542" s="93">
        <v>-48607.0</v>
      </c>
      <c r="F1542" s="32"/>
      <c r="G1542" s="93">
        <v>-4584.96</v>
      </c>
      <c r="H1542" s="93">
        <v>19666.06</v>
      </c>
      <c r="I1542" s="32"/>
      <c r="J1542" s="93">
        <v>103510.73</v>
      </c>
      <c r="K1542" s="32"/>
      <c r="L1542" s="93">
        <v>-203.94</v>
      </c>
      <c r="M1542" s="32"/>
      <c r="N1542" s="32"/>
      <c r="O1542" s="93">
        <v>1069193.6</v>
      </c>
      <c r="P1542" s="91">
        <f>IFERROR(__xludf.DUMMYFUNCTION("IFERROR(sum(FILTER($D:$N,$C:$C = $C1542,$A:$A &lt; $A1542,$B:$B = 12)),0) + sum($D1542:$N1542)"),1069193.5999999999)</f>
        <v>1069193.6</v>
      </c>
      <c r="Q1542" s="92">
        <f t="shared" si="1"/>
        <v>0.0000000002328306437</v>
      </c>
      <c r="R1542" s="91">
        <f t="array" ref="R1542">IFERROR(INDEX('Fund YTD Target Values'!$1:$1000, MATCH($C1542,'Fund YTD Target Values'!$A:$A,0), MATCH($A1542,'Fund YTD Target Values'!$1:$1,0)),0)</f>
        <v>1079944.217</v>
      </c>
      <c r="S1542" s="91">
        <f>IFERROR(__xludf.DUMMYFUNCTION("IFERROR(sum(FILTER('Fund Investment Data'!$V:$V, 'Fund Investment Data'!$C:$C = $C1542, 'Fund Investment Data'!$A:$A &lt; $A1542)),0) + IFERROR(sum(FILTER('Fund Investment Data'!$V:$V, 'Fund Investment Data'!$C:$C = $C1542, 'Fund Investment Data'!$A:$A = $A1"&amp;"542, 'Fund Investment Data'!$B:$B &lt;= $B1542)),0)"),1000000.0)</f>
        <v>1000000</v>
      </c>
      <c r="T1542" s="32"/>
      <c r="U1542" s="32"/>
      <c r="V1542" s="32">
        <f>IFERROR(__xludf.DUMMYFUNCTION("$D1542 - IFERROR(FILTER($D:$D,$C:$C = $C1542, $A:$A = $A1542, $B:$B = $B1542 - 1),0)"),0.0)</f>
        <v>0</v>
      </c>
      <c r="W1542" s="93">
        <f>IFERROR(__xludf.DUMMYFUNCTION("$E1542 - IFERROR(FILTER($E:$E,$C:$C = $C1542, $A:$A = $A1542, $B:$B = $B1542 - 1),0)"),-48607.0)</f>
        <v>-48607</v>
      </c>
      <c r="X1542" s="91">
        <f>IFERROR(__xludf.DUMMYFUNCTION("iFERROR((FILTER('Fund Investment Data'!$Z:$Z, 'Fund Investment Data'!$C:$C = $C1542, 'Fund Investment Data'!$A:$A = $A1542 - 1, 'Fund Investment Data'!$B:$B = 12) + FILTER('Fund Investment Data'!$AB:$AB, 'Fund Investment Data'!$C:$C = $C1542, 'Fund Invest"&amp;"ment Data'!$A:$A = $A1542 - 1, 'Fund Investment Data'!$B:$B = 12)) * (1 + AVERAGE(FILTER('Inflation Data'!$C:$C,'Inflation Data'!$A:$A = ($A1542 - 2)))) * Parameters!$A$4,0)"),33311.397321480836)</f>
        <v>33311.39732</v>
      </c>
      <c r="Y1542" s="91">
        <f>IFERROR(__xludf.DUMMYFUNCTION("IFERROR((IFERROR(FILTER('Fund Investment Data'!$P:$P,'Fund Investment Data'!$C:$C = $C1542,'Fund Investment Data'!$A:$A = ($A1542 - 2), 'Fund Investment Data'!$B:$B = 12),0) - SUM(FILTER('Fund Investment Data'!$V:$V, 'Fund Investment Data'!$C:$C = $C1542,"&amp;" 'Fund Investment Data'!$A:$A = ($A1542 - 2), 'Fund Investment Data'!$B:$B &gt; 3)))  * Parameters!$B$4 * (1 - Parameters!$A$4),0)"),15295.200705)</f>
        <v>15295.20071</v>
      </c>
      <c r="Z1542" s="91">
        <f t="shared" si="24"/>
        <v>48606.59803</v>
      </c>
      <c r="AA1542" s="91">
        <f>IFERROR(__xludf.DUMMYFUNCTION("((IFERROR((SUM(FILTER('Fund Investment Data'!$V:$V, 'Fund Investment Data'!$C:$C = $C1542, 'Fund Investment Data'!$A:$A = $A1542 - 1, 'Fund Investment Data'!$B:$B &gt;= 4, 'Fund Investment Data'!$B:$B &lt;= ($B1542 + 5))) / 12) * ($B1542 - 3) * Parameters!$B$4,"&amp;" 0) + IF($B1542 &gt;= 9, IFERROR(SUM(FILTER('Fund Investment Data'!$V:$V, 'Fund Investment Data'!$C:$C = $C1542, 'Fund Investment Data'!$A:$A = $A1542, 'Fund Investment Data'!$B:$B &lt;= 3)) * Parameters!$B$4, 0),0)))"),0.0)</f>
        <v>0</v>
      </c>
      <c r="AB1542" s="32">
        <f>IFERROR(__xludf.DUMMYFUNCTION("IFERROR(((IFERROR(SUM(FILTER('Fund Investment Data'!$V:$V, 'Fund Investment Data'!$C:$C = $C1542, 'Fund Investment Data'!$A:$A = $A1542 - 2, 'Fund Investment Data'!$B:$B &gt;= 4)) * Parameters!$B$4,0) + IFERROR(SUM(FILTER('Fund Investment Data'!$V:$V, 'Fund "&amp;"Investment Data'!$C:$C = $C1542, 'Fund Investment Data'!$A:$A = $A1542 - 1, 'Fund Investment Data'!$B:$B &lt;= 3)) * Parameters!$B$4,0))),0)"),0.0)</f>
        <v>0</v>
      </c>
      <c r="AC1542" s="32">
        <f>IFERROR(__xludf.DUMMYFUNCTION("IFERROR(FILTER($AF:$AF,$C:$C = $C1542,$A:$A = $A1542 - 1,$B:$B = 12),0)"),0.0)</f>
        <v>0</v>
      </c>
      <c r="AD1542" s="32">
        <f t="shared" si="23"/>
        <v>48606.59803</v>
      </c>
      <c r="AE1542" s="32">
        <f t="shared" si="2"/>
        <v>-0.4019735192</v>
      </c>
      <c r="AF1542" s="32"/>
    </row>
    <row r="1543">
      <c r="A1543" s="86">
        <v>2019.0</v>
      </c>
      <c r="B1543" s="87">
        <v>9.0</v>
      </c>
      <c r="C1543" s="88" t="s">
        <v>57</v>
      </c>
      <c r="D1543" s="32"/>
      <c r="E1543" s="93">
        <v>-135475.0</v>
      </c>
      <c r="F1543" s="32"/>
      <c r="G1543" s="93">
        <v>-8576.55</v>
      </c>
      <c r="H1543" s="93">
        <v>36687.19</v>
      </c>
      <c r="I1543" s="93">
        <v>629.36</v>
      </c>
      <c r="J1543" s="93">
        <v>189638.01</v>
      </c>
      <c r="K1543" s="32"/>
      <c r="L1543" s="32"/>
      <c r="M1543" s="32"/>
      <c r="N1543" s="32"/>
      <c r="O1543" s="93">
        <v>1963417.48</v>
      </c>
      <c r="P1543" s="91">
        <f>IFERROR(__xludf.DUMMYFUNCTION("IFERROR(sum(FILTER($D:$N,$C:$C = $C1543,$A:$A &lt; $A1543,$B:$B = 12)),0) + sum($D1543:$N1543)"),1963417.48)</f>
        <v>1963417.48</v>
      </c>
      <c r="Q1543" s="92">
        <f t="shared" si="1"/>
        <v>0</v>
      </c>
      <c r="R1543" s="91">
        <f t="array" ref="R1543">IFERROR(INDEX('Fund YTD Target Values'!$1:$1000, MATCH($C1543,'Fund YTD Target Values'!$A:$A,0), MATCH($A1543,'Fund YTD Target Values'!$1:$1,0)),0)</f>
        <v>2085975.586</v>
      </c>
      <c r="S1543" s="91">
        <f>IFERROR(__xludf.DUMMYFUNCTION("IFERROR(sum(FILTER('Fund Investment Data'!$V:$V, 'Fund Investment Data'!$C:$C = $C1543, 'Fund Investment Data'!$A:$A &lt; $A1543)),0) + IFERROR(sum(FILTER('Fund Investment Data'!$V:$V, 'Fund Investment Data'!$C:$C = $C1543, 'Fund Investment Data'!$A:$A = $A1"&amp;"543, 'Fund Investment Data'!$B:$B &lt;= $B1543)),0)"),2000000.0)</f>
        <v>2000000</v>
      </c>
      <c r="T1543" s="32"/>
      <c r="U1543" s="32"/>
      <c r="V1543" s="32">
        <f>IFERROR(__xludf.DUMMYFUNCTION("$D1543 - IFERROR(FILTER($D:$D,$C:$C = $C1543, $A:$A = $A1543, $B:$B = $B1543 - 1),0)"),0.0)</f>
        <v>0</v>
      </c>
      <c r="W1543" s="93">
        <f>IFERROR(__xludf.DUMMYFUNCTION("$E1543 - IFERROR(FILTER($E:$E,$C:$C = $C1543, $A:$A = $A1543, $B:$B = $B1543 - 1),0)"),-114875.0)</f>
        <v>-114875</v>
      </c>
      <c r="X1543" s="91">
        <f>IFERROR(__xludf.DUMMYFUNCTION("iFERROR((FILTER('Fund Investment Data'!$Z:$Z, 'Fund Investment Data'!$C:$C = $C1543, 'Fund Investment Data'!$A:$A = $A1543 - 1, 'Fund Investment Data'!$B:$B = 12) + FILTER('Fund Investment Data'!$AB:$AB, 'Fund Investment Data'!$C:$C = $C1543, 'Fund Invest"&amp;"ment Data'!$A:$A = $A1543 - 1, 'Fund Investment Data'!$B:$B = 12)) * (1 + AVERAGE(FILTER('Inflation Data'!$C:$C,'Inflation Data'!$A:$A = ($A1543 - 2)))) * Parameters!$A$4,0)"),0.0)</f>
        <v>0</v>
      </c>
      <c r="Y1543" s="91">
        <f>IFERROR(__xludf.DUMMYFUNCTION("IFERROR((IFERROR(FILTER('Fund Investment Data'!$P:$P,'Fund Investment Data'!$C:$C = $C1543,'Fund Investment Data'!$A:$A = ($A1543 - 2), 'Fund Investment Data'!$B:$B = 12),0) - SUM(FILTER('Fund Investment Data'!$V:$V, 'Fund Investment Data'!$C:$C = $C1543,"&amp;" 'Fund Investment Data'!$A:$A = ($A1543 - 2), 'Fund Investment Data'!$B:$B &gt; 3)))  * Parameters!$B$4 * (1 - Parameters!$A$4),0)"),474.91420500000106)</f>
        <v>474.914205</v>
      </c>
      <c r="Z1543" s="91">
        <f t="shared" si="24"/>
        <v>474.914205</v>
      </c>
      <c r="AA1543" s="91">
        <f>IFERROR(__xludf.DUMMYFUNCTION("((IFERROR((SUM(FILTER('Fund Investment Data'!$V:$V, 'Fund Investment Data'!$C:$C = $C1543, 'Fund Investment Data'!$A:$A = $A1543 - 1, 'Fund Investment Data'!$B:$B &gt;= 4, 'Fund Investment Data'!$B:$B &lt;= ($B1543 + 5))) / 12) * ($B1543 - 3) * Parameters!$B$4,"&amp;" 0) + IF($B1543 &gt;= 9, IFERROR(SUM(FILTER('Fund Investment Data'!$V:$V, 'Fund Investment Data'!$C:$C = $C1543, 'Fund Investment Data'!$A:$A = $A1543, 'Fund Investment Data'!$B:$B &lt;= 3)) * Parameters!$B$4, 0),0)))"),0.0)</f>
        <v>0</v>
      </c>
      <c r="AB1543" s="32">
        <f>IFERROR(__xludf.DUMMYFUNCTION("IFERROR(((IFERROR(SUM(FILTER('Fund Investment Data'!$V:$V, 'Fund Investment Data'!$C:$C = $C1543, 'Fund Investment Data'!$A:$A = $A1543 - 2, 'Fund Investment Data'!$B:$B &gt;= 4)) * Parameters!$B$4,0) + IFERROR(SUM(FILTER('Fund Investment Data'!$V:$V, 'Fund "&amp;"Investment Data'!$C:$C = $C1543, 'Fund Investment Data'!$A:$A = $A1543 - 1, 'Fund Investment Data'!$B:$B &lt;= 3)) * Parameters!$B$4,0))),0)"),90000.0)</f>
        <v>90000</v>
      </c>
      <c r="AC1543" s="32">
        <f>IFERROR(__xludf.DUMMYFUNCTION("IFERROR(FILTER($AF:$AF,$C:$C = $C1543,$A:$A = $A1543 - 1,$B:$B = 12),0)"),45000.0)</f>
        <v>45000</v>
      </c>
      <c r="AD1543" s="32">
        <f t="shared" si="23"/>
        <v>135474.9142</v>
      </c>
      <c r="AE1543" s="32">
        <f t="shared" si="2"/>
        <v>-0.08579499999</v>
      </c>
      <c r="AF1543" s="32"/>
    </row>
    <row r="1544">
      <c r="A1544" s="86">
        <v>2019.0</v>
      </c>
      <c r="B1544" s="87">
        <v>9.0</v>
      </c>
      <c r="C1544" s="88" t="s">
        <v>58</v>
      </c>
      <c r="D1544" s="32"/>
      <c r="E1544" s="93">
        <v>-115475.0</v>
      </c>
      <c r="F1544" s="32"/>
      <c r="G1544" s="93">
        <v>-8466.11</v>
      </c>
      <c r="H1544" s="93">
        <v>36291.31</v>
      </c>
      <c r="I1544" s="93">
        <v>631.77</v>
      </c>
      <c r="J1544" s="93">
        <v>189633.48</v>
      </c>
      <c r="K1544" s="32"/>
      <c r="L1544" s="32"/>
      <c r="M1544" s="32"/>
      <c r="N1544" s="32"/>
      <c r="O1544" s="93">
        <v>1963129.9</v>
      </c>
      <c r="P1544" s="91">
        <f>IFERROR(__xludf.DUMMYFUNCTION("IFERROR(sum(FILTER($D:$N,$C:$C = $C1544,$A:$A &lt; $A1544,$B:$B = 12)),0) + sum($D1544:$N1544)"),1963129.9)</f>
        <v>1963129.9</v>
      </c>
      <c r="Q1544" s="92">
        <f t="shared" si="1"/>
        <v>0</v>
      </c>
      <c r="R1544" s="91">
        <f t="array" ref="R1544">IFERROR(INDEX('Fund YTD Target Values'!$1:$1000, MATCH($C1544,'Fund YTD Target Values'!$A:$A,0), MATCH($A1544,'Fund YTD Target Values'!$1:$1,0)),0)</f>
        <v>2085975.586</v>
      </c>
      <c r="S1544" s="91">
        <f>IFERROR(__xludf.DUMMYFUNCTION("IFERROR(sum(FILTER('Fund Investment Data'!$V:$V, 'Fund Investment Data'!$C:$C = $C1544, 'Fund Investment Data'!$A:$A &lt; $A1544)),0) + IFERROR(sum(FILTER('Fund Investment Data'!$V:$V, 'Fund Investment Data'!$C:$C = $C1544, 'Fund Investment Data'!$A:$A = $A1"&amp;"544, 'Fund Investment Data'!$B:$B &lt;= $B1544)),0)"),2000000.0)</f>
        <v>2000000</v>
      </c>
      <c r="T1544" s="32"/>
      <c r="U1544" s="32"/>
      <c r="V1544" s="32">
        <f>IFERROR(__xludf.DUMMYFUNCTION("$D1544 - IFERROR(FILTER($D:$D,$C:$C = $C1544, $A:$A = $A1544, $B:$B = $B1544 - 1),0)"),0.0)</f>
        <v>0</v>
      </c>
      <c r="W1544" s="93">
        <f>IFERROR(__xludf.DUMMYFUNCTION("$E1544 - IFERROR(FILTER($E:$E,$C:$C = $C1544, $A:$A = $A1544, $B:$B = $B1544 - 1),0)"),-82075.0)</f>
        <v>-82075</v>
      </c>
      <c r="X1544" s="91">
        <f>IFERROR(__xludf.DUMMYFUNCTION("iFERROR((FILTER('Fund Investment Data'!$Z:$Z, 'Fund Investment Data'!$C:$C = $C1544, 'Fund Investment Data'!$A:$A = $A1544 - 1, 'Fund Investment Data'!$B:$B = 12) + FILTER('Fund Investment Data'!$AB:$AB, 'Fund Investment Data'!$C:$C = $C1544, 'Fund Invest"&amp;"ment Data'!$A:$A = $A1544 - 1, 'Fund Investment Data'!$B:$B = 12)) * (1 + AVERAGE(FILTER('Inflation Data'!$C:$C,'Inflation Data'!$A:$A = ($A1544 - 2)))) * Parameters!$A$4,0)"),0.0)</f>
        <v>0</v>
      </c>
      <c r="Y1544" s="91">
        <f>IFERROR(__xludf.DUMMYFUNCTION("IFERROR((IFERROR(FILTER('Fund Investment Data'!$P:$P,'Fund Investment Data'!$C:$C = $C1544,'Fund Investment Data'!$A:$A = ($A1544 - 2), 'Fund Investment Data'!$B:$B = 12),0) - SUM(FILTER('Fund Investment Data'!$V:$V, 'Fund Investment Data'!$C:$C = $C1544,"&amp;" 'Fund Investment Data'!$A:$A = ($A1544 - 2), 'Fund Investment Data'!$B:$B &gt; 3)))  * Parameters!$B$4 * (1 - Parameters!$A$4),0)"),474.91420500000106)</f>
        <v>474.914205</v>
      </c>
      <c r="Z1544" s="91">
        <f t="shared" si="24"/>
        <v>474.914205</v>
      </c>
      <c r="AA1544" s="91">
        <f>IFERROR(__xludf.DUMMYFUNCTION("((IFERROR((SUM(FILTER('Fund Investment Data'!$V:$V, 'Fund Investment Data'!$C:$C = $C1544, 'Fund Investment Data'!$A:$A = $A1544 - 1, 'Fund Investment Data'!$B:$B &gt;= 4, 'Fund Investment Data'!$B:$B &lt;= ($B1544 + 5))) / 12) * ($B1544 - 3) * Parameters!$B$4,"&amp;" 0) + IF($B1544 &gt;= 9, IFERROR(SUM(FILTER('Fund Investment Data'!$V:$V, 'Fund Investment Data'!$C:$C = $C1544, 'Fund Investment Data'!$A:$A = $A1544, 'Fund Investment Data'!$B:$B &lt;= 3)) * Parameters!$B$4, 0),0)))"),0.0)</f>
        <v>0</v>
      </c>
      <c r="AB1544" s="32">
        <f>IFERROR(__xludf.DUMMYFUNCTION("IFERROR(((IFERROR(SUM(FILTER('Fund Investment Data'!$V:$V, 'Fund Investment Data'!$C:$C = $C1544, 'Fund Investment Data'!$A:$A = $A1544 - 2, 'Fund Investment Data'!$B:$B &gt;= 4)) * Parameters!$B$4,0) + IFERROR(SUM(FILTER('Fund Investment Data'!$V:$V, 'Fund "&amp;"Investment Data'!$C:$C = $C1544, 'Fund Investment Data'!$A:$A = $A1544 - 1, 'Fund Investment Data'!$B:$B &lt;= 3)) * Parameters!$B$4,0))),0)"),90000.0)</f>
        <v>90000</v>
      </c>
      <c r="AC1544" s="32">
        <f>IFERROR(__xludf.DUMMYFUNCTION("IFERROR(FILTER($AF:$AF,$C:$C = $C1544,$A:$A = $A1544 - 1,$B:$B = 12),0)"),25000.0)</f>
        <v>25000</v>
      </c>
      <c r="AD1544" s="32">
        <f t="shared" si="23"/>
        <v>115474.9142</v>
      </c>
      <c r="AE1544" s="32">
        <f t="shared" si="2"/>
        <v>-0.08579499999</v>
      </c>
      <c r="AF1544" s="32"/>
    </row>
    <row r="1545">
      <c r="A1545" s="86">
        <v>2019.0</v>
      </c>
      <c r="B1545" s="87">
        <v>10.0</v>
      </c>
      <c r="C1545" s="88" t="s">
        <v>26</v>
      </c>
      <c r="D1545" s="93">
        <v>7128.0</v>
      </c>
      <c r="E1545" s="93">
        <v>-16730.0</v>
      </c>
      <c r="F1545" s="32"/>
      <c r="G1545" s="93">
        <v>-1575.84</v>
      </c>
      <c r="H1545" s="93">
        <v>6739.0</v>
      </c>
      <c r="I1545" s="32"/>
      <c r="J1545" s="93">
        <v>34773.23</v>
      </c>
      <c r="K1545" s="32"/>
      <c r="L1545" s="93">
        <v>-85.34</v>
      </c>
      <c r="M1545" s="32"/>
      <c r="N1545" s="32"/>
      <c r="O1545" s="93">
        <v>339077.92</v>
      </c>
      <c r="P1545" s="91">
        <f>IFERROR(__xludf.DUMMYFUNCTION("IFERROR(sum(FILTER($D:$N,$C:$C = $C1545,$A:$A &lt; $A1545,$B:$B = 12)),0) + sum($D1545:$N1545)"),339076.44999999995)</f>
        <v>339076.45</v>
      </c>
      <c r="Q1545" s="92">
        <f t="shared" si="1"/>
        <v>1.47</v>
      </c>
      <c r="R1545" s="91">
        <f t="array" ref="R1545">IFERROR(INDEX('Fund YTD Target Values'!$1:$1000, MATCH($C1545,'Fund YTD Target Values'!$A:$A,0), MATCH($A1545,'Fund YTD Target Values'!$1:$1,0)),0)</f>
        <v>392089.6861</v>
      </c>
      <c r="S1545" s="91">
        <f>IFERROR(__xludf.DUMMYFUNCTION("IFERROR(sum(FILTER('Fund Investment Data'!$V:$V, 'Fund Investment Data'!$C:$C = $C1545, 'Fund Investment Data'!$A:$A &lt; $A1545)),0) + IFERROR(sum(FILTER('Fund Investment Data'!$V:$V, 'Fund Investment Data'!$C:$C = $C1545, 'Fund Investment Data'!$A:$A = $A1"&amp;"545, 'Fund Investment Data'!$B:$B &lt;= $B1545)),0)"),317377.0)</f>
        <v>317377</v>
      </c>
      <c r="T1545" s="32"/>
      <c r="U1545" s="32"/>
      <c r="V1545" s="32">
        <f>IFERROR(__xludf.DUMMYFUNCTION("$D1545 - IFERROR(FILTER($D:$D,$C:$C = $C1545, $A:$A = $A1545, $B:$B = $B1545 - 1),0)"),0.0)</f>
        <v>0</v>
      </c>
      <c r="W1545" s="93">
        <f>IFERROR(__xludf.DUMMYFUNCTION("$E1545 - IFERROR(FILTER($E:$E,$C:$C = $C1545, $A:$A = $A1545, $B:$B = $B1545 - 1),0)"),0.0)</f>
        <v>0</v>
      </c>
      <c r="X1545" s="91">
        <f>IFERROR(__xludf.DUMMYFUNCTION("iFERROR((FILTER('Fund Investment Data'!$Z:$Z, 'Fund Investment Data'!$C:$C = $C1545, 'Fund Investment Data'!$A:$A = $A1545 - 1, 'Fund Investment Data'!$B:$B = 12) + FILTER('Fund Investment Data'!$AB:$AB, 'Fund Investment Data'!$C:$C = $C1545, 'Fund Invest"&amp;"ment Data'!$A:$A = $A1545 - 1, 'Fund Investment Data'!$B:$B = 12)) * (1 + AVERAGE(FILTER('Inflation Data'!$C:$C,'Inflation Data'!$A:$A = ($A1545 - 2)))) * Parameters!$A$4,0)"),11342.657736026731)</f>
        <v>11342.65774</v>
      </c>
      <c r="Y1545" s="91">
        <f>IFERROR(__xludf.DUMMYFUNCTION("IFERROR((IFERROR(FILTER('Fund Investment Data'!$P:$P,'Fund Investment Data'!$C:$C = $C1545,'Fund Investment Data'!$A:$A = ($A1545 - 2), 'Fund Investment Data'!$B:$B = 12),0) - SUM(FILTER('Fund Investment Data'!$V:$V, 'Fund Investment Data'!$C:$C = $C1545,"&amp;" 'Fund Investment Data'!$A:$A = ($A1545 - 2), 'Fund Investment Data'!$B:$B &gt; 3)))  * Parameters!$B$4 * (1 - Parameters!$A$4),0)"),4477.69296)</f>
        <v>4477.69296</v>
      </c>
      <c r="Z1545" s="91">
        <f t="shared" si="24"/>
        <v>15820.3507</v>
      </c>
      <c r="AA1545" s="91">
        <f>IFERROR(__xludf.DUMMYFUNCTION("((IFERROR((SUM(FILTER('Fund Investment Data'!$V:$V, 'Fund Investment Data'!$C:$C = $C1545, 'Fund Investment Data'!$A:$A = $A1545 - 1, 'Fund Investment Data'!$B:$B &gt;= 4, 'Fund Investment Data'!$B:$B &lt;= ($B1545 + 5))) / 12) * ($B1545 - 3) * Parameters!$B$4,"&amp;" 0) + IF($B1545 &gt;= 9, IFERROR(SUM(FILTER('Fund Investment Data'!$V:$V, 'Fund Investment Data'!$C:$C = $C1545, 'Fund Investment Data'!$A:$A = $A1545, 'Fund Investment Data'!$B:$B &lt;= 3)) * Parameters!$B$4, 0),0)))"),320.76)</f>
        <v>320.76</v>
      </c>
      <c r="AB1545" s="32">
        <f>IFERROR(__xludf.DUMMYFUNCTION("IFERROR(((IFERROR(SUM(FILTER('Fund Investment Data'!$V:$V, 'Fund Investment Data'!$C:$C = $C1545, 'Fund Investment Data'!$A:$A = $A1545 - 2, 'Fund Investment Data'!$B:$B &gt;= 4)) * Parameters!$B$4,0) + IFERROR(SUM(FILTER('Fund Investment Data'!$V:$V, 'Fund "&amp;"Investment Data'!$C:$C = $C1545, 'Fund Investment Data'!$A:$A = $A1545 - 1, 'Fund Investment Data'!$B:$B &lt;= 3)) * Parameters!$B$4,0))),0)"),829.755)</f>
        <v>829.755</v>
      </c>
      <c r="AC1545" s="32">
        <f>IFERROR(__xludf.DUMMYFUNCTION("IFERROR(FILTER($AF:$AF,$C:$C = $C1545,$A:$A = $A1545 - 1,$B:$B = 12),0)"),0.0)</f>
        <v>0</v>
      </c>
      <c r="AD1545" s="32">
        <f t="shared" si="23"/>
        <v>16970.8657</v>
      </c>
      <c r="AE1545" s="32">
        <f t="shared" si="2"/>
        <v>240.865696</v>
      </c>
      <c r="AF1545" s="32"/>
    </row>
    <row r="1546">
      <c r="A1546" s="86">
        <v>2019.0</v>
      </c>
      <c r="B1546" s="87">
        <v>10.0</v>
      </c>
      <c r="C1546" s="88" t="s">
        <v>27</v>
      </c>
      <c r="D1546" s="32"/>
      <c r="E1546" s="93">
        <v>-14089.0</v>
      </c>
      <c r="F1546" s="32"/>
      <c r="G1546" s="93">
        <v>-1359.0</v>
      </c>
      <c r="H1546" s="93">
        <v>5818.46</v>
      </c>
      <c r="I1546" s="93">
        <v>3403.93</v>
      </c>
      <c r="J1546" s="93">
        <v>26874.69</v>
      </c>
      <c r="K1546" s="32"/>
      <c r="L1546" s="32"/>
      <c r="M1546" s="32"/>
      <c r="N1546" s="32"/>
      <c r="O1546" s="93">
        <v>291532.55</v>
      </c>
      <c r="P1546" s="91">
        <f>IFERROR(__xludf.DUMMYFUNCTION("IFERROR(sum(FILTER($D:$N,$C:$C = $C1546,$A:$A &lt; $A1546,$B:$B = 12)),0) + sum($D1546:$N1546)"),291532.8900000001)</f>
        <v>291532.89</v>
      </c>
      <c r="Q1546" s="92">
        <f t="shared" si="1"/>
        <v>-0.3400000001</v>
      </c>
      <c r="R1546" s="91">
        <f t="array" ref="R1546">IFERROR(INDEX('Fund YTD Target Values'!$1:$1000, MATCH($C1546,'Fund YTD Target Values'!$A:$A,0), MATCH($A1546,'Fund YTD Target Values'!$1:$1,0)),0)</f>
        <v>400423.4941</v>
      </c>
      <c r="S1546" s="91">
        <f>IFERROR(__xludf.DUMMYFUNCTION("IFERROR(sum(FILTER('Fund Investment Data'!$V:$V, 'Fund Investment Data'!$C:$C = $C1546, 'Fund Investment Data'!$A:$A &lt; $A1546)),0) + IFERROR(sum(FILTER('Fund Investment Data'!$V:$V, 'Fund Investment Data'!$C:$C = $C1546, 'Fund Investment Data'!$A:$A = $A1"&amp;"546, 'Fund Investment Data'!$B:$B &lt;= $B1546)),0)"),276213.69999999995)</f>
        <v>276213.7</v>
      </c>
      <c r="T1546" s="32"/>
      <c r="U1546" s="32"/>
      <c r="V1546" s="32">
        <f>IFERROR(__xludf.DUMMYFUNCTION("$D1546 - IFERROR(FILTER($D:$D,$C:$C = $C1546, $A:$A = $A1546, $B:$B = $B1546 - 1),0)"),0.0)</f>
        <v>0</v>
      </c>
      <c r="W1546" s="93">
        <f>IFERROR(__xludf.DUMMYFUNCTION("$E1546 - IFERROR(FILTER($E:$E,$C:$C = $C1546, $A:$A = $A1546, $B:$B = $B1546 - 1),0)"),0.0)</f>
        <v>0</v>
      </c>
      <c r="X1546" s="91">
        <f>IFERROR(__xludf.DUMMYFUNCTION("iFERROR((FILTER('Fund Investment Data'!$Z:$Z, 'Fund Investment Data'!$C:$C = $C1546, 'Fund Investment Data'!$A:$A = $A1546 - 1, 'Fund Investment Data'!$B:$B = 12) + FILTER('Fund Investment Data'!$AB:$AB, 'Fund Investment Data'!$C:$C = $C1546, 'Fund Invest"&amp;"ment Data'!$A:$A = $A1546 - 1, 'Fund Investment Data'!$B:$B = 12)) * (1 + AVERAGE(FILTER('Inflation Data'!$C:$C,'Inflation Data'!$A:$A = ($A1546 - 2)))) * Parameters!$A$4,0)"),9924.42530607715)</f>
        <v>9924.425306</v>
      </c>
      <c r="Y1546" s="91">
        <f>IFERROR(__xludf.DUMMYFUNCTION("IFERROR((IFERROR(FILTER('Fund Investment Data'!$P:$P,'Fund Investment Data'!$C:$C = $C1546,'Fund Investment Data'!$A:$A = ($A1546 - 2), 'Fund Investment Data'!$B:$B = 12),0) - SUM(FILTER('Fund Investment Data'!$V:$V, 'Fund Investment Data'!$C:$C = $C1546,"&amp;" 'Fund Investment Data'!$A:$A = ($A1546 - 2), 'Fund Investment Data'!$B:$B &gt; 3)))  * Parameters!$B$4 * (1 - Parameters!$A$4),0)"),4164.5529000000015)</f>
        <v>4164.5529</v>
      </c>
      <c r="Z1546" s="91">
        <f t="shared" si="24"/>
        <v>14088.97821</v>
      </c>
      <c r="AA1546" s="91">
        <f>IFERROR(__xludf.DUMMYFUNCTION("((IFERROR((SUM(FILTER('Fund Investment Data'!$V:$V, 'Fund Investment Data'!$C:$C = $C1546, 'Fund Investment Data'!$A:$A = $A1546 - 1, 'Fund Investment Data'!$B:$B &gt;= 4, 'Fund Investment Data'!$B:$B &lt;= ($B1546 + 5))) / 12) * ($B1546 - 3) * Parameters!$B$4,"&amp;" 0) + IF($B1546 &gt;= 9, IFERROR(SUM(FILTER('Fund Investment Data'!$V:$V, 'Fund Investment Data'!$C:$C = $C1546, 'Fund Investment Data'!$A:$A = $A1546, 'Fund Investment Data'!$B:$B &lt;= 3)) * Parameters!$B$4, 0),0)))"),0.0)</f>
        <v>0</v>
      </c>
      <c r="AB1546" s="32">
        <f>IFERROR(__xludf.DUMMYFUNCTION("IFERROR(((IFERROR(SUM(FILTER('Fund Investment Data'!$V:$V, 'Fund Investment Data'!$C:$C = $C1546, 'Fund Investment Data'!$A:$A = $A1546 - 2, 'Fund Investment Data'!$B:$B &gt;= 4)) * Parameters!$B$4,0) + IFERROR(SUM(FILTER('Fund Investment Data'!$V:$V, 'Fund "&amp;"Investment Data'!$C:$C = $C1546, 'Fund Investment Data'!$A:$A = $A1546 - 1, 'Fund Investment Data'!$B:$B &lt;= 3)) * Parameters!$B$4,0))),0)"),0.0)</f>
        <v>0</v>
      </c>
      <c r="AC1546" s="32">
        <f>IFERROR(__xludf.DUMMYFUNCTION("IFERROR(FILTER($AF:$AF,$C:$C = $C1546,$A:$A = $A1546 - 1,$B:$B = 12),0)"),0.0)</f>
        <v>0</v>
      </c>
      <c r="AD1546" s="32">
        <f t="shared" si="23"/>
        <v>14088.97821</v>
      </c>
      <c r="AE1546" s="32">
        <f t="shared" si="2"/>
        <v>-0.02179392285</v>
      </c>
      <c r="AF1546" s="32"/>
    </row>
    <row r="1547">
      <c r="A1547" s="86">
        <v>2019.0</v>
      </c>
      <c r="B1547" s="87">
        <v>10.0</v>
      </c>
      <c r="C1547" s="88" t="s">
        <v>28</v>
      </c>
      <c r="D1547" s="32"/>
      <c r="E1547" s="93">
        <v>-151137.0</v>
      </c>
      <c r="F1547" s="32"/>
      <c r="G1547" s="93">
        <v>-14500.58</v>
      </c>
      <c r="H1547" s="93">
        <v>62126.58</v>
      </c>
      <c r="I1547" s="93">
        <v>36842.32</v>
      </c>
      <c r="J1547" s="93">
        <v>288377.75</v>
      </c>
      <c r="K1547" s="32"/>
      <c r="L1547" s="32"/>
      <c r="M1547" s="32"/>
      <c r="N1547" s="32"/>
      <c r="O1547" s="93">
        <v>3123949.44</v>
      </c>
      <c r="P1547" s="91">
        <f>IFERROR(__xludf.DUMMYFUNCTION("IFERROR(sum(FILTER($D:$N,$C:$C = $C1547,$A:$A &lt; $A1547,$B:$B = 12)),0) + sum($D1547:$N1547)"),3123948.51)</f>
        <v>3123948.51</v>
      </c>
      <c r="Q1547" s="92">
        <f t="shared" si="1"/>
        <v>0.9300000002</v>
      </c>
      <c r="R1547" s="91">
        <f t="array" ref="R1547">IFERROR(INDEX('Fund YTD Target Values'!$1:$1000, MATCH($C1547,'Fund YTD Target Values'!$A:$A,0), MATCH($A1547,'Fund YTD Target Values'!$1:$1,0)),0)</f>
        <v>3910070.897</v>
      </c>
      <c r="S1547" s="91">
        <f>IFERROR(__xludf.DUMMYFUNCTION("IFERROR(sum(FILTER('Fund Investment Data'!$V:$V, 'Fund Investment Data'!$C:$C = $C1547, 'Fund Investment Data'!$A:$A &lt; $A1547)),0) + IFERROR(sum(FILTER('Fund Investment Data'!$V:$V, 'Fund Investment Data'!$C:$C = $C1547, 'Fund Investment Data'!$A:$A = $A1"&amp;"547, 'Fund Investment Data'!$B:$B &lt;= $B1547)),0)"),2960091.25)</f>
        <v>2960091.25</v>
      </c>
      <c r="T1547" s="32"/>
      <c r="U1547" s="32"/>
      <c r="V1547" s="32">
        <f>IFERROR(__xludf.DUMMYFUNCTION("$D1547 - IFERROR(FILTER($D:$D,$C:$C = $C1547, $A:$A = $A1547, $B:$B = $B1547 - 1),0)"),0.0)</f>
        <v>0</v>
      </c>
      <c r="W1547" s="93">
        <f>IFERROR(__xludf.DUMMYFUNCTION("$E1547 - IFERROR(FILTER($E:$E,$C:$C = $C1547, $A:$A = $A1547, $B:$B = $B1547 - 1),0)"),0.0)</f>
        <v>0</v>
      </c>
      <c r="X1547" s="91">
        <f>IFERROR(__xludf.DUMMYFUNCTION("iFERROR((FILTER('Fund Investment Data'!$Z:$Z, 'Fund Investment Data'!$C:$C = $C1547, 'Fund Investment Data'!$A:$A = $A1547 - 1, 'Fund Investment Data'!$B:$B = 12) + FILTER('Fund Investment Data'!$AB:$AB, 'Fund Investment Data'!$C:$C = $C1547, 'Fund Invest"&amp;"ment Data'!$A:$A = $A1547 - 1, 'Fund Investment Data'!$B:$B = 12)) * (1 + AVERAGE(FILTER('Inflation Data'!$C:$C,'Inflation Data'!$A:$A = ($A1547 - 2)))) * Parameters!$A$4,0)"),106462.6298445185)</f>
        <v>106462.6298</v>
      </c>
      <c r="Y1547" s="91">
        <f>IFERROR(__xludf.DUMMYFUNCTION("IFERROR((IFERROR(FILTER('Fund Investment Data'!$P:$P,'Fund Investment Data'!$C:$C = $C1547,'Fund Investment Data'!$A:$A = ($A1547 - 2), 'Fund Investment Data'!$B:$B = 12),0) - SUM(FILTER('Fund Investment Data'!$V:$V, 'Fund Investment Data'!$C:$C = $C1547,"&amp;" 'Fund Investment Data'!$A:$A = ($A1547 - 2), 'Fund Investment Data'!$B:$B &gt; 3)))  * Parameters!$B$4 * (1 - Parameters!$A$4),0)"),44674.55194500001)</f>
        <v>44674.55195</v>
      </c>
      <c r="Z1547" s="91">
        <f t="shared" si="24"/>
        <v>151137.1818</v>
      </c>
      <c r="AA1547" s="91">
        <f>IFERROR(__xludf.DUMMYFUNCTION("((IFERROR((SUM(FILTER('Fund Investment Data'!$V:$V, 'Fund Investment Data'!$C:$C = $C1547, 'Fund Investment Data'!$A:$A = $A1547 - 1, 'Fund Investment Data'!$B:$B &gt;= 4, 'Fund Investment Data'!$B:$B &lt;= ($B1547 + 5))) / 12) * ($B1547 - 3) * Parameters!$B$4,"&amp;" 0) + IF($B1547 &gt;= 9, IFERROR(SUM(FILTER('Fund Investment Data'!$V:$V, 'Fund Investment Data'!$C:$C = $C1547, 'Fund Investment Data'!$A:$A = $A1547, 'Fund Investment Data'!$B:$B &lt;= 3)) * Parameters!$B$4, 0),0)))"),0.0)</f>
        <v>0</v>
      </c>
      <c r="AB1547" s="32">
        <f>IFERROR(__xludf.DUMMYFUNCTION("IFERROR(((IFERROR(SUM(FILTER('Fund Investment Data'!$V:$V, 'Fund Investment Data'!$C:$C = $C1547, 'Fund Investment Data'!$A:$A = $A1547 - 2, 'Fund Investment Data'!$B:$B &gt;= 4)) * Parameters!$B$4,0) + IFERROR(SUM(FILTER('Fund Investment Data'!$V:$V, 'Fund "&amp;"Investment Data'!$C:$C = $C1547, 'Fund Investment Data'!$A:$A = $A1547 - 1, 'Fund Investment Data'!$B:$B &lt;= 3)) * Parameters!$B$4,0))),0)"),0.0)</f>
        <v>0</v>
      </c>
      <c r="AC1547" s="32">
        <f>IFERROR(__xludf.DUMMYFUNCTION("IFERROR(FILTER($AF:$AF,$C:$C = $C1547,$A:$A = $A1547 - 1,$B:$B = 12),0)"),0.0)</f>
        <v>0</v>
      </c>
      <c r="AD1547" s="32">
        <f t="shared" si="23"/>
        <v>151137.1818</v>
      </c>
      <c r="AE1547" s="32">
        <f t="shared" si="2"/>
        <v>0.1817895185</v>
      </c>
      <c r="AF1547" s="32"/>
    </row>
    <row r="1548">
      <c r="A1548" s="86">
        <v>2019.0</v>
      </c>
      <c r="B1548" s="87">
        <v>10.0</v>
      </c>
      <c r="C1548" s="88" t="s">
        <v>46</v>
      </c>
      <c r="D1548" s="32"/>
      <c r="E1548" s="93">
        <v>-17972.0</v>
      </c>
      <c r="F1548" s="32"/>
      <c r="G1548" s="93">
        <v>-1667.31</v>
      </c>
      <c r="H1548" s="93">
        <v>7154.75</v>
      </c>
      <c r="I1548" s="93">
        <v>4377.36</v>
      </c>
      <c r="J1548" s="93">
        <v>33072.3</v>
      </c>
      <c r="K1548" s="32"/>
      <c r="L1548" s="32"/>
      <c r="M1548" s="32"/>
      <c r="N1548" s="32"/>
      <c r="O1548" s="93">
        <v>359756.06</v>
      </c>
      <c r="P1548" s="91">
        <f>IFERROR(__xludf.DUMMYFUNCTION("IFERROR(sum(FILTER($D:$N,$C:$C = $C1548,$A:$A &lt; $A1548,$B:$B = 12)),0) + sum($D1548:$N1548)"),359756.48)</f>
        <v>359756.48</v>
      </c>
      <c r="Q1548" s="92">
        <f t="shared" si="1"/>
        <v>-0.42</v>
      </c>
      <c r="R1548" s="91">
        <f t="array" ref="R1548">IFERROR(INDEX('Fund YTD Target Values'!$1:$1000, MATCH($C1548,'Fund YTD Target Values'!$A:$A,0), MATCH($A1548,'Fund YTD Target Values'!$1:$1,0)),0)</f>
        <v>464818.8536</v>
      </c>
      <c r="S1548" s="91">
        <f>IFERROR(__xludf.DUMMYFUNCTION("IFERROR(sum(FILTER('Fund Investment Data'!$V:$V, 'Fund Investment Data'!$C:$C = $C1548, 'Fund Investment Data'!$A:$A &lt; $A1548)),0) + IFERROR(sum(FILTER('Fund Investment Data'!$V:$V, 'Fund Investment Data'!$C:$C = $C1548, 'Fund Investment Data'!$A:$A = $A1"&amp;"548, 'Fund Investment Data'!$B:$B &lt;= $B1548)),0)"),366400.0)</f>
        <v>366400</v>
      </c>
      <c r="T1548" s="32"/>
      <c r="U1548" s="32"/>
      <c r="V1548" s="32">
        <f>IFERROR(__xludf.DUMMYFUNCTION("$D1548 - IFERROR(FILTER($D:$D,$C:$C = $C1548, $A:$A = $A1548, $B:$B = $B1548 - 1),0)"),0.0)</f>
        <v>0</v>
      </c>
      <c r="W1548" s="93">
        <f>IFERROR(__xludf.DUMMYFUNCTION("$E1548 - IFERROR(FILTER($E:$E,$C:$C = $C1548, $A:$A = $A1548, $B:$B = $B1548 - 1),0)"),0.0)</f>
        <v>0</v>
      </c>
      <c r="X1548" s="91">
        <f>IFERROR(__xludf.DUMMYFUNCTION("iFERROR((FILTER('Fund Investment Data'!$Z:$Z, 'Fund Investment Data'!$C:$C = $C1548, 'Fund Investment Data'!$A:$A = $A1548 - 1, 'Fund Investment Data'!$B:$B = 12) + FILTER('Fund Investment Data'!$AB:$AB, 'Fund Investment Data'!$C:$C = $C1548, 'Fund Invest"&amp;"ment Data'!$A:$A = $A1548 - 1, 'Fund Investment Data'!$B:$B = 12)) * (1 + AVERAGE(FILTER('Inflation Data'!$C:$C,'Inflation Data'!$A:$A = ($A1548 - 2)))) * Parameters!$A$4,0)"),12659.715432364716)</f>
        <v>12659.71543</v>
      </c>
      <c r="Y1548" s="91">
        <f>IFERROR(__xludf.DUMMYFUNCTION("IFERROR((IFERROR(FILTER('Fund Investment Data'!$P:$P,'Fund Investment Data'!$C:$C = $C1548,'Fund Investment Data'!$A:$A = ($A1548 - 2), 'Fund Investment Data'!$B:$B = 12),0) - SUM(FILTER('Fund Investment Data'!$V:$V, 'Fund Investment Data'!$C:$C = $C1548,"&amp;" 'Fund Investment Data'!$A:$A = ($A1548 - 2), 'Fund Investment Data'!$B:$B &gt; 3)))  * Parameters!$B$4 * (1 - Parameters!$A$4),0)"),5312.3534100000015)</f>
        <v>5312.35341</v>
      </c>
      <c r="Z1548" s="91">
        <f t="shared" si="24"/>
        <v>17972.06884</v>
      </c>
      <c r="AA1548" s="91">
        <f>IFERROR(__xludf.DUMMYFUNCTION("((IFERROR((SUM(FILTER('Fund Investment Data'!$V:$V, 'Fund Investment Data'!$C:$C = $C1548, 'Fund Investment Data'!$A:$A = $A1548 - 1, 'Fund Investment Data'!$B:$B &gt;= 4, 'Fund Investment Data'!$B:$B &lt;= ($B1548 + 5))) / 12) * ($B1548 - 3) * Parameters!$B$4,"&amp;" 0) + IF($B1548 &gt;= 9, IFERROR(SUM(FILTER('Fund Investment Data'!$V:$V, 'Fund Investment Data'!$C:$C = $C1548, 'Fund Investment Data'!$A:$A = $A1548, 'Fund Investment Data'!$B:$B &lt;= 3)) * Parameters!$B$4, 0),0)))"),0.0)</f>
        <v>0</v>
      </c>
      <c r="AB1548" s="32">
        <f>IFERROR(__xludf.DUMMYFUNCTION("IFERROR(((IFERROR(SUM(FILTER('Fund Investment Data'!$V:$V, 'Fund Investment Data'!$C:$C = $C1548, 'Fund Investment Data'!$A:$A = $A1548 - 2, 'Fund Investment Data'!$B:$B &gt;= 4)) * Parameters!$B$4,0) + IFERROR(SUM(FILTER('Fund Investment Data'!$V:$V, 'Fund "&amp;"Investment Data'!$C:$C = $C1548, 'Fund Investment Data'!$A:$A = $A1548 - 1, 'Fund Investment Data'!$B:$B &lt;= 3)) * Parameters!$B$4,0))),0)"),0.0)</f>
        <v>0</v>
      </c>
      <c r="AC1548" s="32">
        <f>IFERROR(__xludf.DUMMYFUNCTION("IFERROR(FILTER($AF:$AF,$C:$C = $C1548,$A:$A = $A1548 - 1,$B:$B = 12),0)"),0.0)</f>
        <v>0</v>
      </c>
      <c r="AD1548" s="32">
        <f t="shared" si="23"/>
        <v>17972.06884</v>
      </c>
      <c r="AE1548" s="32">
        <f t="shared" si="2"/>
        <v>0.06884236472</v>
      </c>
      <c r="AF1548" s="32"/>
    </row>
    <row r="1549">
      <c r="A1549" s="86">
        <v>2019.0</v>
      </c>
      <c r="B1549" s="87">
        <v>10.0</v>
      </c>
      <c r="C1549" s="88" t="s">
        <v>36</v>
      </c>
      <c r="D1549" s="32"/>
      <c r="E1549" s="93">
        <v>-20587.0</v>
      </c>
      <c r="F1549" s="32"/>
      <c r="G1549" s="93">
        <v>-1962.37</v>
      </c>
      <c r="H1549" s="93">
        <v>8412.83</v>
      </c>
      <c r="I1549" s="93">
        <v>4822.06</v>
      </c>
      <c r="J1549" s="93">
        <v>39187.0</v>
      </c>
      <c r="K1549" s="32"/>
      <c r="L1549" s="32"/>
      <c r="M1549" s="32"/>
      <c r="N1549" s="32"/>
      <c r="O1549" s="93">
        <v>423803.71</v>
      </c>
      <c r="P1549" s="91">
        <f>IFERROR(__xludf.DUMMYFUNCTION("IFERROR(sum(FILTER($D:$N,$C:$C = $C1549,$A:$A &lt; $A1549,$B:$B = 12)),0) + sum($D1549:$N1549)"),423803.26)</f>
        <v>423803.26</v>
      </c>
      <c r="Q1549" s="92">
        <f t="shared" si="1"/>
        <v>0.45</v>
      </c>
      <c r="R1549" s="91">
        <f t="array" ref="R1549">IFERROR(INDEX('Fund YTD Target Values'!$1:$1000, MATCH($C1549,'Fund YTD Target Values'!$A:$A,0), MATCH($A1549,'Fund YTD Target Values'!$1:$1,0)),0)</f>
        <v>647000.627</v>
      </c>
      <c r="S1549" s="91">
        <f>IFERROR(__xludf.DUMMYFUNCTION("IFERROR(sum(FILTER('Fund Investment Data'!$V:$V, 'Fund Investment Data'!$C:$C = $C1549, 'Fund Investment Data'!$A:$A &lt; $A1549)),0) + IFERROR(sum(FILTER('Fund Investment Data'!$V:$V, 'Fund Investment Data'!$C:$C = $C1549, 'Fund Investment Data'!$A:$A = $A1"&amp;"549, 'Fund Investment Data'!$B:$B &lt;= $B1549)),0)"),429067.24)</f>
        <v>429067.24</v>
      </c>
      <c r="T1549" s="32"/>
      <c r="U1549" s="32"/>
      <c r="V1549" s="32">
        <f>IFERROR(__xludf.DUMMYFUNCTION("$D1549 - IFERROR(FILTER($D:$D,$C:$C = $C1549, $A:$A = $A1549, $B:$B = $B1549 - 1),0)"),0.0)</f>
        <v>0</v>
      </c>
      <c r="W1549" s="93">
        <f>IFERROR(__xludf.DUMMYFUNCTION("$E1549 - IFERROR(FILTER($E:$E,$C:$C = $C1549, $A:$A = $A1549, $B:$B = $B1549 - 1),0)"),0.0)</f>
        <v>0</v>
      </c>
      <c r="X1549" s="91">
        <f>IFERROR(__xludf.DUMMYFUNCTION("iFERROR((FILTER('Fund Investment Data'!$Z:$Z, 'Fund Investment Data'!$C:$C = $C1549, 'Fund Investment Data'!$A:$A = $A1549 - 1, 'Fund Investment Data'!$B:$B = 12) + FILTER('Fund Investment Data'!$AB:$AB, 'Fund Investment Data'!$C:$C = $C1549, 'Fund Invest"&amp;"ment Data'!$A:$A = $A1549 - 1, 'Fund Investment Data'!$B:$B = 12)) * (1 + AVERAGE(FILTER('Inflation Data'!$C:$C,'Inflation Data'!$A:$A = ($A1549 - 2)))) * Parameters!$A$4,0)"),14501.42849435059)</f>
        <v>14501.42849</v>
      </c>
      <c r="Y1549" s="91">
        <f>IFERROR(__xludf.DUMMYFUNCTION("IFERROR((IFERROR(FILTER('Fund Investment Data'!$P:$P,'Fund Investment Data'!$C:$C = $C1549,'Fund Investment Data'!$A:$A = ($A1549 - 2), 'Fund Investment Data'!$B:$B = 12),0) - SUM(FILTER('Fund Investment Data'!$V:$V, 'Fund Investment Data'!$C:$C = $C1549,"&amp;" 'Fund Investment Data'!$A:$A = ($A1549 - 2), 'Fund Investment Data'!$B:$B &gt; 3)))  * Parameters!$B$4 * (1 - Parameters!$A$4),0)"),6085.1852100000015)</f>
        <v>6085.18521</v>
      </c>
      <c r="Z1549" s="91">
        <f t="shared" si="24"/>
        <v>20586.6137</v>
      </c>
      <c r="AA1549" s="91">
        <f>IFERROR(__xludf.DUMMYFUNCTION("((IFERROR((SUM(FILTER('Fund Investment Data'!$V:$V, 'Fund Investment Data'!$C:$C = $C1549, 'Fund Investment Data'!$A:$A = $A1549 - 1, 'Fund Investment Data'!$B:$B &gt;= 4, 'Fund Investment Data'!$B:$B &lt;= ($B1549 + 5))) / 12) * ($B1549 - 3) * Parameters!$B$4,"&amp;" 0) + IF($B1549 &gt;= 9, IFERROR(SUM(FILTER('Fund Investment Data'!$V:$V, 'Fund Investment Data'!$C:$C = $C1549, 'Fund Investment Data'!$A:$A = $A1549, 'Fund Investment Data'!$B:$B &lt;= 3)) * Parameters!$B$4, 0),0)))"),0.0)</f>
        <v>0</v>
      </c>
      <c r="AB1549" s="32">
        <f>IFERROR(__xludf.DUMMYFUNCTION("IFERROR(((IFERROR(SUM(FILTER('Fund Investment Data'!$V:$V, 'Fund Investment Data'!$C:$C = $C1549, 'Fund Investment Data'!$A:$A = $A1549 - 2, 'Fund Investment Data'!$B:$B &gt;= 4)) * Parameters!$B$4,0) + IFERROR(SUM(FILTER('Fund Investment Data'!$V:$V, 'Fund "&amp;"Investment Data'!$C:$C = $C1549, 'Fund Investment Data'!$A:$A = $A1549 - 1, 'Fund Investment Data'!$B:$B &lt;= 3)) * Parameters!$B$4,0))),0)"),0.0)</f>
        <v>0</v>
      </c>
      <c r="AC1549" s="32">
        <f>IFERROR(__xludf.DUMMYFUNCTION("IFERROR(FILTER($AF:$AF,$C:$C = $C1549,$A:$A = $A1549 - 1,$B:$B = 12),0)"),0.0)</f>
        <v>0</v>
      </c>
      <c r="AD1549" s="32">
        <f t="shared" si="23"/>
        <v>20586.6137</v>
      </c>
      <c r="AE1549" s="32">
        <f t="shared" si="2"/>
        <v>-0.3862956494</v>
      </c>
      <c r="AF1549" s="32"/>
    </row>
    <row r="1550">
      <c r="A1550" s="86">
        <v>2019.0</v>
      </c>
      <c r="B1550" s="87">
        <v>10.0</v>
      </c>
      <c r="C1550" s="88" t="s">
        <v>37</v>
      </c>
      <c r="D1550" s="32"/>
      <c r="E1550" s="93">
        <v>-37603.0</v>
      </c>
      <c r="F1550" s="32"/>
      <c r="G1550" s="93">
        <v>-3613.46</v>
      </c>
      <c r="H1550" s="93">
        <v>15477.62</v>
      </c>
      <c r="I1550" s="93">
        <v>6859.8</v>
      </c>
      <c r="J1550" s="93">
        <v>73950.56</v>
      </c>
      <c r="K1550" s="32"/>
      <c r="L1550" s="32"/>
      <c r="M1550" s="32"/>
      <c r="N1550" s="32"/>
      <c r="O1550" s="93">
        <v>778085.63</v>
      </c>
      <c r="P1550" s="91">
        <f>IFERROR(__xludf.DUMMYFUNCTION("IFERROR(sum(FILTER($D:$N,$C:$C = $C1550,$A:$A &lt; $A1550,$B:$B = 12)),0) + sum($D1550:$N1550)"),778085.6299999999)</f>
        <v>778085.63</v>
      </c>
      <c r="Q1550" s="92">
        <f t="shared" si="1"/>
        <v>0.0000000001164153218</v>
      </c>
      <c r="R1550" s="91">
        <f t="array" ref="R1550">IFERROR(INDEX('Fund YTD Target Values'!$1:$1000, MATCH($C1550,'Fund YTD Target Values'!$A:$A,0), MATCH($A1550,'Fund YTD Target Values'!$1:$1,0)),0)</f>
        <v>860942.6464</v>
      </c>
      <c r="S1550" s="91">
        <f>IFERROR(__xludf.DUMMYFUNCTION("IFERROR(sum(FILTER('Fund Investment Data'!$V:$V, 'Fund Investment Data'!$C:$C = $C1550, 'Fund Investment Data'!$A:$A &lt; $A1550)),0) + IFERROR(sum(FILTER('Fund Investment Data'!$V:$V, 'Fund Investment Data'!$C:$C = $C1550, 'Fund Investment Data'!$A:$A = $A1"&amp;"550, 'Fund Investment Data'!$B:$B &lt;= $B1550)),0)"),758137.86)</f>
        <v>758137.86</v>
      </c>
      <c r="T1550" s="32"/>
      <c r="U1550" s="32"/>
      <c r="V1550" s="32">
        <f>IFERROR(__xludf.DUMMYFUNCTION("$D1550 - IFERROR(FILTER($D:$D,$C:$C = $C1550, $A:$A = $A1550, $B:$B = $B1550 - 1),0)"),0.0)</f>
        <v>0</v>
      </c>
      <c r="W1550" s="93">
        <f>IFERROR(__xludf.DUMMYFUNCTION("$E1550 - IFERROR(FILTER($E:$E,$C:$C = $C1550, $A:$A = $A1550, $B:$B = $B1550 - 1),0)"),0.0)</f>
        <v>0</v>
      </c>
      <c r="X1550" s="91">
        <f>IFERROR(__xludf.DUMMYFUNCTION("iFERROR((FILTER('Fund Investment Data'!$Z:$Z, 'Fund Investment Data'!$C:$C = $C1550, 'Fund Investment Data'!$A:$A = $A1550 - 1, 'Fund Investment Data'!$B:$B = 12) + FILTER('Fund Investment Data'!$AB:$AB, 'Fund Investment Data'!$C:$C = $C1550, 'Fund Invest"&amp;"ment Data'!$A:$A = $A1550 - 1, 'Fund Investment Data'!$B:$B = 12)) * (1 + AVERAGE(FILTER('Inflation Data'!$C:$C,'Inflation Data'!$A:$A = ($A1550 - 2)))) * Parameters!$A$4,0)"),26487.702642294462)</f>
        <v>26487.70264</v>
      </c>
      <c r="Y1550" s="91">
        <f>IFERROR(__xludf.DUMMYFUNCTION("IFERROR((IFERROR(FILTER('Fund Investment Data'!$P:$P,'Fund Investment Data'!$C:$C = $C1550,'Fund Investment Data'!$A:$A = ($A1550 - 2), 'Fund Investment Data'!$B:$B = 12),0) - SUM(FILTER('Fund Investment Data'!$V:$V, 'Fund Investment Data'!$C:$C = $C1550,"&amp;" 'Fund Investment Data'!$A:$A = ($A1550 - 2), 'Fund Investment Data'!$B:$B &gt; 3)))  * Parameters!$B$4 * (1 - Parameters!$A$4),0)"),11114.94474)</f>
        <v>11114.94474</v>
      </c>
      <c r="Z1550" s="91">
        <f t="shared" si="24"/>
        <v>37602.64738</v>
      </c>
      <c r="AA1550" s="91">
        <f>IFERROR(__xludf.DUMMYFUNCTION("((IFERROR((SUM(FILTER('Fund Investment Data'!$V:$V, 'Fund Investment Data'!$C:$C = $C1550, 'Fund Investment Data'!$A:$A = $A1550 - 1, 'Fund Investment Data'!$B:$B &gt;= 4, 'Fund Investment Data'!$B:$B &lt;= ($B1550 + 5))) / 12) * ($B1550 - 3) * Parameters!$B$4,"&amp;" 0) + IF($B1550 &gt;= 9, IFERROR(SUM(FILTER('Fund Investment Data'!$V:$V, 'Fund Investment Data'!$C:$C = $C1550, 'Fund Investment Data'!$A:$A = $A1550, 'Fund Investment Data'!$B:$B &lt;= 3)) * Parameters!$B$4, 0),0)))"),0.0)</f>
        <v>0</v>
      </c>
      <c r="AB1550" s="32">
        <f>IFERROR(__xludf.DUMMYFUNCTION("IFERROR(((IFERROR(SUM(FILTER('Fund Investment Data'!$V:$V, 'Fund Investment Data'!$C:$C = $C1550, 'Fund Investment Data'!$A:$A = $A1550 - 2, 'Fund Investment Data'!$B:$B &gt;= 4)) * Parameters!$B$4,0) + IFERROR(SUM(FILTER('Fund Investment Data'!$V:$V, 'Fund "&amp;"Investment Data'!$C:$C = $C1550, 'Fund Investment Data'!$A:$A = $A1550 - 1, 'Fund Investment Data'!$B:$B &lt;= 3)) * Parameters!$B$4,0))),0)"),0.0)</f>
        <v>0</v>
      </c>
      <c r="AC1550" s="32">
        <f>IFERROR(__xludf.DUMMYFUNCTION("IFERROR(FILTER($AF:$AF,$C:$C = $C1550,$A:$A = $A1550 - 1,$B:$B = 12),0)"),0.0)</f>
        <v>0</v>
      </c>
      <c r="AD1550" s="32">
        <f t="shared" si="23"/>
        <v>37602.64738</v>
      </c>
      <c r="AE1550" s="32">
        <f t="shared" si="2"/>
        <v>-0.3526177055</v>
      </c>
      <c r="AF1550" s="32"/>
    </row>
    <row r="1551">
      <c r="A1551" s="86">
        <v>2019.0</v>
      </c>
      <c r="B1551" s="87">
        <v>10.0</v>
      </c>
      <c r="C1551" s="88" t="s">
        <v>29</v>
      </c>
      <c r="D1551" s="32"/>
      <c r="E1551" s="93">
        <v>-2656.0</v>
      </c>
      <c r="F1551" s="32"/>
      <c r="G1551" s="93">
        <v>-269.54</v>
      </c>
      <c r="H1551" s="93">
        <v>1153.99</v>
      </c>
      <c r="I1551" s="93">
        <v>355.19</v>
      </c>
      <c r="J1551" s="93">
        <v>5581.71</v>
      </c>
      <c r="K1551" s="32"/>
      <c r="L1551" s="32"/>
      <c r="M1551" s="32"/>
      <c r="N1551" s="32"/>
      <c r="O1551" s="93">
        <v>57892.71</v>
      </c>
      <c r="P1551" s="91">
        <f>IFERROR(__xludf.DUMMYFUNCTION("IFERROR(sum(FILTER($D:$N,$C:$C = $C1551,$A:$A &lt; $A1551,$B:$B = 12)),0) + sum($D1551:$N1551)"),57892.73999999992)</f>
        <v>57892.74</v>
      </c>
      <c r="Q1551" s="92">
        <f t="shared" si="1"/>
        <v>-0.02999999992</v>
      </c>
      <c r="R1551" s="91">
        <f t="array" ref="R1551">IFERROR(INDEX('Fund YTD Target Values'!$1:$1000, MATCH($C1551,'Fund YTD Target Values'!$A:$A,0), MATCH($A1551,'Fund YTD Target Values'!$1:$1,0)),0)</f>
        <v>78452.06886</v>
      </c>
      <c r="S1551" s="91">
        <f>IFERROR(__xludf.DUMMYFUNCTION("IFERROR(sum(FILTER('Fund Investment Data'!$V:$V, 'Fund Investment Data'!$C:$C = $C1551, 'Fund Investment Data'!$A:$A &lt; $A1551)),0) + IFERROR(sum(FILTER('Fund Investment Data'!$V:$V, 'Fund Investment Data'!$C:$C = $C1551, 'Fund Investment Data'!$A:$A = $A1"&amp;"551, 'Fund Investment Data'!$B:$B &lt;= $B1551)),0)"),50000.0)</f>
        <v>50000</v>
      </c>
      <c r="T1551" s="32"/>
      <c r="U1551" s="32"/>
      <c r="V1551" s="32">
        <f>IFERROR(__xludf.DUMMYFUNCTION("$D1551 - IFERROR(FILTER($D:$D,$C:$C = $C1551, $A:$A = $A1551, $B:$B = $B1551 - 1),0)"),0.0)</f>
        <v>0</v>
      </c>
      <c r="W1551" s="93">
        <f>IFERROR(__xludf.DUMMYFUNCTION("$E1551 - IFERROR(FILTER($E:$E,$C:$C = $C1551, $A:$A = $A1551, $B:$B = $B1551 - 1),0)"),0.0)</f>
        <v>0</v>
      </c>
      <c r="X1551" s="91">
        <f>IFERROR(__xludf.DUMMYFUNCTION("iFERROR((FILTER('Fund Investment Data'!$Z:$Z, 'Fund Investment Data'!$C:$C = $C1551, 'Fund Investment Data'!$A:$A = $A1551 - 1, 'Fund Investment Data'!$B:$B = 12) + FILTER('Fund Investment Data'!$AB:$AB, 'Fund Investment Data'!$C:$C = $C1551, 'Fund Invest"&amp;"ment Data'!$A:$A = $A1551 - 1, 'Fund Investment Data'!$B:$B = 12)) * (1 + AVERAGE(FILTER('Inflation Data'!$C:$C,'Inflation Data'!$A:$A = ($A1551 - 2)))) * Parameters!$A$4,0)"),1871.1341826828661)</f>
        <v>1871.134183</v>
      </c>
      <c r="Y1551" s="91">
        <f>IFERROR(__xludf.DUMMYFUNCTION("IFERROR((IFERROR(FILTER('Fund Investment Data'!$P:$P,'Fund Investment Data'!$C:$C = $C1551,'Fund Investment Data'!$A:$A = ($A1551 - 2), 'Fund Investment Data'!$B:$B = 12),0) - SUM(FILTER('Fund Investment Data'!$V:$V, 'Fund Investment Data'!$C:$C = $C1551,"&amp;" 'Fund Investment Data'!$A:$A = ($A1551 - 2), 'Fund Investment Data'!$B:$B &gt; 3)))  * Parameters!$B$4 * (1 - Parameters!$A$4),0)"),785.1776849999991)</f>
        <v>785.177685</v>
      </c>
      <c r="Z1551" s="91">
        <f t="shared" si="24"/>
        <v>2656.311868</v>
      </c>
      <c r="AA1551" s="91">
        <f>IFERROR(__xludf.DUMMYFUNCTION("((IFERROR((SUM(FILTER('Fund Investment Data'!$V:$V, 'Fund Investment Data'!$C:$C = $C1551, 'Fund Investment Data'!$A:$A = $A1551 - 1, 'Fund Investment Data'!$B:$B &gt;= 4, 'Fund Investment Data'!$B:$B &lt;= ($B1551 + 5))) / 12) * ($B1551 - 3) * Parameters!$B$4,"&amp;" 0) + IF($B1551 &gt;= 9, IFERROR(SUM(FILTER('Fund Investment Data'!$V:$V, 'Fund Investment Data'!$C:$C = $C1551, 'Fund Investment Data'!$A:$A = $A1551, 'Fund Investment Data'!$B:$B &lt;= 3)) * Parameters!$B$4, 0),0)))"),0.0)</f>
        <v>0</v>
      </c>
      <c r="AB1551" s="32">
        <f>IFERROR(__xludf.DUMMYFUNCTION("IFERROR(((IFERROR(SUM(FILTER('Fund Investment Data'!$V:$V, 'Fund Investment Data'!$C:$C = $C1551, 'Fund Investment Data'!$A:$A = $A1551 - 2, 'Fund Investment Data'!$B:$B &gt;= 4)) * Parameters!$B$4,0) + IFERROR(SUM(FILTER('Fund Investment Data'!$V:$V, 'Fund "&amp;"Investment Data'!$C:$C = $C1551, 'Fund Investment Data'!$A:$A = $A1551 - 1, 'Fund Investment Data'!$B:$B &lt;= 3)) * Parameters!$B$4,0))),0)"),0.0)</f>
        <v>0</v>
      </c>
      <c r="AC1551" s="32">
        <f>IFERROR(__xludf.DUMMYFUNCTION("IFERROR(FILTER($AF:$AF,$C:$C = $C1551,$A:$A = $A1551 - 1,$B:$B = 12),0)"),0.0)</f>
        <v>0</v>
      </c>
      <c r="AD1551" s="32">
        <f t="shared" si="23"/>
        <v>2656.311868</v>
      </c>
      <c r="AE1551" s="32">
        <f t="shared" si="2"/>
        <v>0.3118676829</v>
      </c>
      <c r="AF1551" s="32"/>
    </row>
    <row r="1552">
      <c r="A1552" s="86">
        <v>2019.0</v>
      </c>
      <c r="B1552" s="87">
        <v>10.0</v>
      </c>
      <c r="C1552" s="88" t="s">
        <v>38</v>
      </c>
      <c r="D1552" s="32"/>
      <c r="E1552" s="93">
        <v>-33070.0</v>
      </c>
      <c r="F1552" s="32"/>
      <c r="G1552" s="93">
        <v>-3675.24</v>
      </c>
      <c r="H1552" s="93">
        <v>15688.15</v>
      </c>
      <c r="I1552" s="93">
        <v>5530.75</v>
      </c>
      <c r="J1552" s="93">
        <v>75554.82</v>
      </c>
      <c r="K1552" s="32"/>
      <c r="L1552" s="32"/>
      <c r="M1552" s="32"/>
      <c r="N1552" s="32"/>
      <c r="O1552" s="93">
        <v>781839.68</v>
      </c>
      <c r="P1552" s="91">
        <f>IFERROR(__xludf.DUMMYFUNCTION("IFERROR(sum(FILTER($D:$N,$C:$C = $C1552,$A:$A &lt; $A1552,$B:$B = 12)),0) + sum($D1552:$N1552)"),781838.64)</f>
        <v>781838.64</v>
      </c>
      <c r="Q1552" s="92">
        <f t="shared" si="1"/>
        <v>1.04</v>
      </c>
      <c r="R1552" s="91">
        <f t="array" ref="R1552">IFERROR(INDEX('Fund YTD Target Values'!$1:$1000, MATCH($C1552,'Fund YTD Target Values'!$A:$A,0), MATCH($A1552,'Fund YTD Target Values'!$1:$1,0)),0)</f>
        <v>715243.4084</v>
      </c>
      <c r="S1552" s="91">
        <f>IFERROR(__xludf.DUMMYFUNCTION("IFERROR(sum(FILTER('Fund Investment Data'!$V:$V, 'Fund Investment Data'!$C:$C = $C1552, 'Fund Investment Data'!$A:$A &lt; $A1552)),0) + IFERROR(sum(FILTER('Fund Investment Data'!$V:$V, 'Fund Investment Data'!$C:$C = $C1552, 'Fund Investment Data'!$A:$A = $A1"&amp;"552, 'Fund Investment Data'!$B:$B &lt;= $B1552)),0)"),556601.64)</f>
        <v>556601.64</v>
      </c>
      <c r="T1552" s="32"/>
      <c r="U1552" s="32"/>
      <c r="V1552" s="32">
        <f>IFERROR(__xludf.DUMMYFUNCTION("$D1552 - IFERROR(FILTER($D:$D,$C:$C = $C1552, $A:$A = $A1552, $B:$B = $B1552 - 1),0)"),0.0)</f>
        <v>0</v>
      </c>
      <c r="W1552" s="93">
        <f>IFERROR(__xludf.DUMMYFUNCTION("$E1552 - IFERROR(FILTER($E:$E,$C:$C = $C1552, $A:$A = $A1552, $B:$B = $B1552 - 1),0)"),0.0)</f>
        <v>0</v>
      </c>
      <c r="X1552" s="91">
        <f>IFERROR(__xludf.DUMMYFUNCTION("iFERROR((FILTER('Fund Investment Data'!$Z:$Z, 'Fund Investment Data'!$C:$C = $C1552, 'Fund Investment Data'!$A:$A = $A1552 - 1, 'Fund Investment Data'!$B:$B = 12) + FILTER('Fund Investment Data'!$AB:$AB, 'Fund Investment Data'!$C:$C = $C1552, 'Fund Invest"&amp;"ment Data'!$A:$A = $A1552 - 1, 'Fund Investment Data'!$B:$B = 12)) * (1 + AVERAGE(FILTER('Inflation Data'!$C:$C,'Inflation Data'!$A:$A = ($A1552 - 2)))) * Parameters!$A$4,0)"),22062.02597097784)</f>
        <v>22062.02597</v>
      </c>
      <c r="Y1552" s="91">
        <f>IFERROR(__xludf.DUMMYFUNCTION("IFERROR((IFERROR(FILTER('Fund Investment Data'!$P:$P,'Fund Investment Data'!$C:$C = $C1552,'Fund Investment Data'!$A:$A = ($A1552 - 2), 'Fund Investment Data'!$B:$B = 12),0) - SUM(FILTER('Fund Investment Data'!$V:$V, 'Fund Investment Data'!$C:$C = $C1552,"&amp;" 'Fund Investment Data'!$A:$A = ($A1552 - 2), 'Fund Investment Data'!$B:$B &gt; 3)))  * Parameters!$B$4 * (1 - Parameters!$A$4),0)"),11008.00989)</f>
        <v>11008.00989</v>
      </c>
      <c r="Z1552" s="91">
        <f t="shared" si="24"/>
        <v>33070.03586</v>
      </c>
      <c r="AA1552" s="91">
        <f>IFERROR(__xludf.DUMMYFUNCTION("((IFERROR((SUM(FILTER('Fund Investment Data'!$V:$V, 'Fund Investment Data'!$C:$C = $C1552, 'Fund Investment Data'!$A:$A = $A1552 - 1, 'Fund Investment Data'!$B:$B &gt;= 4, 'Fund Investment Data'!$B:$B &lt;= ($B1552 + 5))) / 12) * ($B1552 - 3) * Parameters!$B$4,"&amp;" 0) + IF($B1552 &gt;= 9, IFERROR(SUM(FILTER('Fund Investment Data'!$V:$V, 'Fund Investment Data'!$C:$C = $C1552, 'Fund Investment Data'!$A:$A = $A1552, 'Fund Investment Data'!$B:$B &lt;= 3)) * Parameters!$B$4, 0),0)))"),0.0)</f>
        <v>0</v>
      </c>
      <c r="AB1552" s="32">
        <f>IFERROR(__xludf.DUMMYFUNCTION("IFERROR(((IFERROR(SUM(FILTER('Fund Investment Data'!$V:$V, 'Fund Investment Data'!$C:$C = $C1552, 'Fund Investment Data'!$A:$A = $A1552 - 2, 'Fund Investment Data'!$B:$B &gt;= 4)) * Parameters!$B$4,0) + IFERROR(SUM(FILTER('Fund Investment Data'!$V:$V, 'Fund "&amp;"Investment Data'!$C:$C = $C1552, 'Fund Investment Data'!$A:$A = $A1552 - 1, 'Fund Investment Data'!$B:$B &lt;= 3)) * Parameters!$B$4,0))),0)"),0.0)</f>
        <v>0</v>
      </c>
      <c r="AC1552" s="32">
        <f>IFERROR(__xludf.DUMMYFUNCTION("IFERROR(FILTER($AF:$AF,$C:$C = $C1552,$A:$A = $A1552 - 1,$B:$B = 12),0)"),0.0)</f>
        <v>0</v>
      </c>
      <c r="AD1552" s="32">
        <f t="shared" si="23"/>
        <v>33070.03586</v>
      </c>
      <c r="AE1552" s="32">
        <f t="shared" si="2"/>
        <v>0.03586097784</v>
      </c>
      <c r="AF1552" s="32"/>
    </row>
    <row r="1553">
      <c r="A1553" s="86">
        <v>2019.0</v>
      </c>
      <c r="B1553" s="87">
        <v>10.0</v>
      </c>
      <c r="C1553" s="88" t="s">
        <v>30</v>
      </c>
      <c r="D1553" s="32"/>
      <c r="E1553" s="93">
        <v>-793.0</v>
      </c>
      <c r="F1553" s="32"/>
      <c r="G1553" s="93">
        <v>-81.6</v>
      </c>
      <c r="H1553" s="93">
        <v>348.16</v>
      </c>
      <c r="I1553" s="32"/>
      <c r="J1553" s="93">
        <v>1776.02</v>
      </c>
      <c r="K1553" s="32"/>
      <c r="L1553" s="93">
        <v>-1.81</v>
      </c>
      <c r="M1553" s="32"/>
      <c r="N1553" s="32"/>
      <c r="O1553" s="93">
        <v>17288.48</v>
      </c>
      <c r="P1553" s="91">
        <f>IFERROR(__xludf.DUMMYFUNCTION("IFERROR(sum(FILTER($D:$N,$C:$C = $C1553,$A:$A &lt; $A1553,$B:$B = 12)),0) + sum($D1553:$N1553)"),17286.849999999984)</f>
        <v>17286.85</v>
      </c>
      <c r="Q1553" s="92">
        <f t="shared" si="1"/>
        <v>1.63</v>
      </c>
      <c r="R1553" s="91">
        <f t="array" ref="R1553">IFERROR(INDEX('Fund YTD Target Values'!$1:$1000, MATCH($C1553,'Fund YTD Target Values'!$A:$A,0), MATCH($A1553,'Fund YTD Target Values'!$1:$1,0)),0)</f>
        <v>18819.48136</v>
      </c>
      <c r="S1553" s="91">
        <f>IFERROR(__xludf.DUMMYFUNCTION("IFERROR(sum(FILTER('Fund Investment Data'!$V:$V, 'Fund Investment Data'!$C:$C = $C1553, 'Fund Investment Data'!$A:$A &lt; $A1553)),0) + IFERROR(sum(FILTER('Fund Investment Data'!$V:$V, 'Fund Investment Data'!$C:$C = $C1553, 'Fund Investment Data'!$A:$A = $A1"&amp;"553, 'Fund Investment Data'!$B:$B &lt;= $B1553)),0)"),11540.75)</f>
        <v>11540.75</v>
      </c>
      <c r="T1553" s="32"/>
      <c r="U1553" s="32"/>
      <c r="V1553" s="32">
        <f>IFERROR(__xludf.DUMMYFUNCTION("$D1553 - IFERROR(FILTER($D:$D,$C:$C = $C1553, $A:$A = $A1553, $B:$B = $B1553 - 1),0)"),0.0)</f>
        <v>0</v>
      </c>
      <c r="W1553" s="93">
        <f>IFERROR(__xludf.DUMMYFUNCTION("$E1553 - IFERROR(FILTER($E:$E,$C:$C = $C1553, $A:$A = $A1553, $B:$B = $B1553 - 1),0)"),0.0)</f>
        <v>0</v>
      </c>
      <c r="X1553" s="91">
        <f>IFERROR(__xludf.DUMMYFUNCTION("iFERROR((FILTER('Fund Investment Data'!$Z:$Z, 'Fund Investment Data'!$C:$C = $C1553, 'Fund Investment Data'!$A:$A = $A1553 - 1, 'Fund Investment Data'!$B:$B = 12) + FILTER('Fund Investment Data'!$AB:$AB, 'Fund Investment Data'!$C:$C = $C1553, 'Fund Invest"&amp;"ment Data'!$A:$A = $A1553 - 1, 'Fund Investment Data'!$B:$B = 12)) * (1 + AVERAGE(FILTER('Inflation Data'!$C:$C,'Inflation Data'!$A:$A = ($A1553 - 2)))) * Parameters!$A$4,0)"),558.7349135648467)</f>
        <v>558.7349136</v>
      </c>
      <c r="Y1553" s="91">
        <f>IFERROR(__xludf.DUMMYFUNCTION("IFERROR((IFERROR(FILTER('Fund Investment Data'!$P:$P,'Fund Investment Data'!$C:$C = $C1553,'Fund Investment Data'!$A:$A = ($A1553 - 2), 'Fund Investment Data'!$B:$B = 12),0) - SUM(FILTER('Fund Investment Data'!$V:$V, 'Fund Investment Data'!$C:$C = $C1553,"&amp;" 'Fund Investment Data'!$A:$A = ($A1553 - 2), 'Fund Investment Data'!$B:$B &gt; 3)))  * Parameters!$B$4 * (1 - Parameters!$A$4),0)"),234.46003499999986)</f>
        <v>234.460035</v>
      </c>
      <c r="Z1553" s="91">
        <f t="shared" si="24"/>
        <v>793.1949486</v>
      </c>
      <c r="AA1553" s="91">
        <f>IFERROR(__xludf.DUMMYFUNCTION("((IFERROR((SUM(FILTER('Fund Investment Data'!$V:$V, 'Fund Investment Data'!$C:$C = $C1553, 'Fund Investment Data'!$A:$A = $A1553 - 1, 'Fund Investment Data'!$B:$B &gt;= 4, 'Fund Investment Data'!$B:$B &lt;= ($B1553 + 5))) / 12) * ($B1553 - 3) * Parameters!$B$4,"&amp;" 0) + IF($B1553 &gt;= 9, IFERROR(SUM(FILTER('Fund Investment Data'!$V:$V, 'Fund Investment Data'!$C:$C = $C1553, 'Fund Investment Data'!$A:$A = $A1553, 'Fund Investment Data'!$B:$B &lt;= 3)) * Parameters!$B$4, 0),0)))"),0.0)</f>
        <v>0</v>
      </c>
      <c r="AB1553" s="32">
        <f>IFERROR(__xludf.DUMMYFUNCTION("IFERROR(((IFERROR(SUM(FILTER('Fund Investment Data'!$V:$V, 'Fund Investment Data'!$C:$C = $C1553, 'Fund Investment Data'!$A:$A = $A1553 - 2, 'Fund Investment Data'!$B:$B &gt;= 4)) * Parameters!$B$4,0) + IFERROR(SUM(FILTER('Fund Investment Data'!$V:$V, 'Fund "&amp;"Investment Data'!$C:$C = $C1553, 'Fund Investment Data'!$A:$A = $A1553 - 1, 'Fund Investment Data'!$B:$B &lt;= 3)) * Parameters!$B$4,0))),0)"),0.0)</f>
        <v>0</v>
      </c>
      <c r="AC1553" s="32">
        <f>IFERROR(__xludf.DUMMYFUNCTION("IFERROR(FILTER($AF:$AF,$C:$C = $C1553,$A:$A = $A1553 - 1,$B:$B = 12),0)"),0.0)</f>
        <v>0</v>
      </c>
      <c r="AD1553" s="32">
        <f t="shared" si="23"/>
        <v>793.1949486</v>
      </c>
      <c r="AE1553" s="32">
        <f t="shared" si="2"/>
        <v>0.1949485648</v>
      </c>
      <c r="AF1553" s="32"/>
    </row>
    <row r="1554">
      <c r="A1554" s="86">
        <v>2019.0</v>
      </c>
      <c r="B1554" s="87">
        <v>10.0</v>
      </c>
      <c r="C1554" s="88" t="s">
        <v>47</v>
      </c>
      <c r="D1554" s="32"/>
      <c r="E1554" s="93">
        <v>-69151.0</v>
      </c>
      <c r="F1554" s="32"/>
      <c r="G1554" s="93">
        <v>-6642.16</v>
      </c>
      <c r="H1554" s="93">
        <v>28500.51</v>
      </c>
      <c r="I1554" s="93">
        <v>17840.47</v>
      </c>
      <c r="J1554" s="93">
        <v>131370.79</v>
      </c>
      <c r="K1554" s="32"/>
      <c r="L1554" s="32"/>
      <c r="M1554" s="32"/>
      <c r="N1554" s="32"/>
      <c r="O1554" s="93">
        <v>1433216.92</v>
      </c>
      <c r="P1554" s="91">
        <f>IFERROR(__xludf.DUMMYFUNCTION("IFERROR(sum(FILTER($D:$N,$C:$C = $C1554,$A:$A &lt; $A1554,$B:$B = 12)),0) + sum($D1554:$N1554)"),1433216.5699999998)</f>
        <v>1433216.57</v>
      </c>
      <c r="Q1554" s="92">
        <f t="shared" si="1"/>
        <v>0.3500000001</v>
      </c>
      <c r="R1554" s="91">
        <f t="array" ref="R1554">IFERROR(INDEX('Fund YTD Target Values'!$1:$1000, MATCH($C1554,'Fund YTD Target Values'!$A:$A,0), MATCH($A1554,'Fund YTD Target Values'!$1:$1,0)),0)</f>
        <v>2034942.933</v>
      </c>
      <c r="S1554" s="91">
        <f>IFERROR(__xludf.DUMMYFUNCTION("IFERROR(sum(FILTER('Fund Investment Data'!$V:$V, 'Fund Investment Data'!$C:$C = $C1554, 'Fund Investment Data'!$A:$A &lt; $A1554)),0) + IFERROR(sum(FILTER('Fund Investment Data'!$V:$V, 'Fund Investment Data'!$C:$C = $C1554, 'Fund Investment Data'!$A:$A = $A1"&amp;"554, 'Fund Investment Data'!$B:$B &lt;= $B1554)),0)"),1456367.46)</f>
        <v>1456367.46</v>
      </c>
      <c r="T1554" s="32"/>
      <c r="U1554" s="32"/>
      <c r="V1554" s="32">
        <f>IFERROR(__xludf.DUMMYFUNCTION("$D1554 - IFERROR(FILTER($D:$D,$C:$C = $C1554, $A:$A = $A1554, $B:$B = $B1554 - 1),0)"),0.0)</f>
        <v>0</v>
      </c>
      <c r="W1554" s="93">
        <f>IFERROR(__xludf.DUMMYFUNCTION("$E1554 - IFERROR(FILTER($E:$E,$C:$C = $C1554, $A:$A = $A1554, $B:$B = $B1554 - 1),0)"),0.0)</f>
        <v>0</v>
      </c>
      <c r="X1554" s="91">
        <f>IFERROR(__xludf.DUMMYFUNCTION("iFERROR((FILTER('Fund Investment Data'!$Z:$Z, 'Fund Investment Data'!$C:$C = $C1554, 'Fund Investment Data'!$A:$A = $A1554 - 1, 'Fund Investment Data'!$B:$B = 12) + FILTER('Fund Investment Data'!$AB:$AB, 'Fund Investment Data'!$C:$C = $C1554, 'Fund Invest"&amp;"ment Data'!$A:$A = $A1554 - 1, 'Fund Investment Data'!$B:$B = 12)) * (1 + AVERAGE(FILTER('Inflation Data'!$C:$C,'Inflation Data'!$A:$A = ($A1554 - 2)))) * Parameters!$A$4,0)"),48393.90516981818)</f>
        <v>48393.90517</v>
      </c>
      <c r="Y1554" s="91">
        <f>IFERROR(__xludf.DUMMYFUNCTION("IFERROR((IFERROR(FILTER('Fund Investment Data'!$P:$P,'Fund Investment Data'!$C:$C = $C1554,'Fund Investment Data'!$A:$A = ($A1554 - 2), 'Fund Investment Data'!$B:$B = 12),0) - SUM(FILTER('Fund Investment Data'!$V:$V, 'Fund Investment Data'!$C:$C = $C1554,"&amp;" 'Fund Investment Data'!$A:$A = ($A1554 - 2), 'Fund Investment Data'!$B:$B &gt; 3)))  * Parameters!$B$4 * (1 - Parameters!$A$4),0)"),20307.37014)</f>
        <v>20307.37014</v>
      </c>
      <c r="Z1554" s="91">
        <f t="shared" si="24"/>
        <v>68701.27531</v>
      </c>
      <c r="AA1554" s="91">
        <f>IFERROR(__xludf.DUMMYFUNCTION("((IFERROR((SUM(FILTER('Fund Investment Data'!$V:$V, 'Fund Investment Data'!$C:$C = $C1554, 'Fund Investment Data'!$A:$A = $A1554 - 1, 'Fund Investment Data'!$B:$B &gt;= 4, 'Fund Investment Data'!$B:$B &lt;= ($B1554 + 5))) / 12) * ($B1554 - 3) * Parameters!$B$4,"&amp;" 0) + IF($B1554 &gt;= 9, IFERROR(SUM(FILTER('Fund Investment Data'!$V:$V, 'Fund Investment Data'!$C:$C = $C1554, 'Fund Investment Data'!$A:$A = $A1554, 'Fund Investment Data'!$B:$B &lt;= 3)) * Parameters!$B$4, 0),0)))"),0.0)</f>
        <v>0</v>
      </c>
      <c r="AB1554" s="32">
        <f>IFERROR(__xludf.DUMMYFUNCTION("IFERROR(((IFERROR(SUM(FILTER('Fund Investment Data'!$V:$V, 'Fund Investment Data'!$C:$C = $C1554, 'Fund Investment Data'!$A:$A = $A1554 - 2, 'Fund Investment Data'!$B:$B &gt;= 4)) * Parameters!$B$4,0) + IFERROR(SUM(FILTER('Fund Investment Data'!$V:$V, 'Fund "&amp;"Investment Data'!$C:$C = $C1554, 'Fund Investment Data'!$A:$A = $A1554 - 1, 'Fund Investment Data'!$B:$B &lt;= 3)) * Parameters!$B$4,0))),0)"),450.0)</f>
        <v>450</v>
      </c>
      <c r="AC1554" s="32">
        <f>IFERROR(__xludf.DUMMYFUNCTION("IFERROR(FILTER($AF:$AF,$C:$C = $C1554,$A:$A = $A1554 - 1,$B:$B = 12),0)"),0.0)</f>
        <v>0</v>
      </c>
      <c r="AD1554" s="32">
        <f t="shared" si="23"/>
        <v>69151.27531</v>
      </c>
      <c r="AE1554" s="32">
        <f t="shared" si="2"/>
        <v>0.2753098182</v>
      </c>
      <c r="AF1554" s="32"/>
    </row>
    <row r="1555">
      <c r="A1555" s="86">
        <v>2019.0</v>
      </c>
      <c r="B1555" s="87">
        <v>10.0</v>
      </c>
      <c r="C1555" s="88" t="s">
        <v>31</v>
      </c>
      <c r="D1555" s="93">
        <v>100.0</v>
      </c>
      <c r="E1555" s="93">
        <v>-8740.0</v>
      </c>
      <c r="F1555" s="32"/>
      <c r="G1555" s="93">
        <v>-830.69</v>
      </c>
      <c r="H1555" s="93">
        <v>3556.4</v>
      </c>
      <c r="I1555" s="93">
        <v>2106.81</v>
      </c>
      <c r="J1555" s="93">
        <v>16394.9</v>
      </c>
      <c r="K1555" s="32"/>
      <c r="L1555" s="32"/>
      <c r="M1555" s="32"/>
      <c r="N1555" s="32"/>
      <c r="O1555" s="93">
        <v>178185.13</v>
      </c>
      <c r="P1555" s="91">
        <f>IFERROR(__xludf.DUMMYFUNCTION("IFERROR(sum(FILTER($D:$N,$C:$C = $C1555,$A:$A &lt; $A1555,$B:$B = 12)),0) + sum($D1555:$N1555)"),178185.14)</f>
        <v>178185.14</v>
      </c>
      <c r="Q1555" s="92">
        <f t="shared" si="1"/>
        <v>-0.01000000001</v>
      </c>
      <c r="R1555" s="91">
        <f t="array" ref="R1555">IFERROR(INDEX('Fund YTD Target Values'!$1:$1000, MATCH($C1555,'Fund YTD Target Values'!$A:$A,0), MATCH($A1555,'Fund YTD Target Values'!$1:$1,0)),0)</f>
        <v>214470.0821</v>
      </c>
      <c r="S1555" s="91">
        <f>IFERROR(__xludf.DUMMYFUNCTION("IFERROR(sum(FILTER('Fund Investment Data'!$V:$V, 'Fund Investment Data'!$C:$C = $C1555, 'Fund Investment Data'!$A:$A &lt; $A1555)),0) + IFERROR(sum(FILTER('Fund Investment Data'!$V:$V, 'Fund Investment Data'!$C:$C = $C1555, 'Fund Investment Data'!$A:$A = $A1"&amp;"555, 'Fund Investment Data'!$B:$B &lt;= $B1555)),0)"),158200.0)</f>
        <v>158200</v>
      </c>
      <c r="T1555" s="32"/>
      <c r="U1555" s="32"/>
      <c r="V1555" s="32">
        <f>IFERROR(__xludf.DUMMYFUNCTION("$D1555 - IFERROR(FILTER($D:$D,$C:$C = $C1555, $A:$A = $A1555, $B:$B = $B1555 - 1),0)"),0.0)</f>
        <v>0</v>
      </c>
      <c r="W1555" s="93">
        <f>IFERROR(__xludf.DUMMYFUNCTION("$E1555 - IFERROR(FILTER($E:$E,$C:$C = $C1555, $A:$A = $A1555, $B:$B = $B1555 - 1),0)"),0.0)</f>
        <v>0</v>
      </c>
      <c r="X1555" s="91">
        <f>IFERROR(__xludf.DUMMYFUNCTION("iFERROR((FILTER('Fund Investment Data'!$Z:$Z, 'Fund Investment Data'!$C:$C = $C1555, 'Fund Investment Data'!$A:$A = $A1555 - 1, 'Fund Investment Data'!$B:$B = 12) + FILTER('Fund Investment Data'!$AB:$AB, 'Fund Investment Data'!$C:$C = $C1555, 'Fund Invest"&amp;"ment Data'!$A:$A = $A1555 - 1, 'Fund Investment Data'!$B:$B = 12)) * (1 + AVERAGE(FILTER('Inflation Data'!$C:$C,'Inflation Data'!$A:$A = ($A1555 - 2)))) * Parameters!$A$4,0)"),6185.263738478203)</f>
        <v>6185.263738</v>
      </c>
      <c r="Y1555" s="91">
        <f>IFERROR(__xludf.DUMMYFUNCTION("IFERROR((IFERROR(FILTER('Fund Investment Data'!$P:$P,'Fund Investment Data'!$C:$C = $C1555,'Fund Investment Data'!$A:$A = ($A1555 - 2), 'Fund Investment Data'!$B:$B = 12),0) - SUM(FILTER('Fund Investment Data'!$V:$V, 'Fund Investment Data'!$C:$C = $C1555,"&amp;" 'Fund Investment Data'!$A:$A = ($A1555 - 2), 'Fund Investment Data'!$B:$B &gt; 3)))  * Parameters!$B$4 * (1 - Parameters!$A$4),0)"),2555.001225000001)</f>
        <v>2555.001225</v>
      </c>
      <c r="Z1555" s="91">
        <f t="shared" si="24"/>
        <v>8740.264963</v>
      </c>
      <c r="AA1555" s="91">
        <f>IFERROR(__xludf.DUMMYFUNCTION("((IFERROR((SUM(FILTER('Fund Investment Data'!$V:$V, 'Fund Investment Data'!$C:$C = $C1555, 'Fund Investment Data'!$A:$A = $A1555 - 1, 'Fund Investment Data'!$B:$B &gt;= 4, 'Fund Investment Data'!$B:$B &lt;= ($B1555 + 5))) / 12) * ($B1555 - 3) * Parameters!$B$4,"&amp;" 0) + IF($B1555 &gt;= 9, IFERROR(SUM(FILTER('Fund Investment Data'!$V:$V, 'Fund Investment Data'!$C:$C = $C1555, 'Fund Investment Data'!$A:$A = $A1555, 'Fund Investment Data'!$B:$B &lt;= 3)) * Parameters!$B$4, 0),0)))"),0.0)</f>
        <v>0</v>
      </c>
      <c r="AB1555" s="32">
        <f>IFERROR(__xludf.DUMMYFUNCTION("IFERROR(((IFERROR(SUM(FILTER('Fund Investment Data'!$V:$V, 'Fund Investment Data'!$C:$C = $C1555, 'Fund Investment Data'!$A:$A = $A1555 - 2, 'Fund Investment Data'!$B:$B &gt;= 4)) * Parameters!$B$4,0) + IFERROR(SUM(FILTER('Fund Investment Data'!$V:$V, 'Fund "&amp;"Investment Data'!$C:$C = $C1555, 'Fund Investment Data'!$A:$A = $A1555 - 1, 'Fund Investment Data'!$B:$B &lt;= 3)) * Parameters!$B$4,0))),0)"),0.0)</f>
        <v>0</v>
      </c>
      <c r="AC1555" s="32">
        <f>IFERROR(__xludf.DUMMYFUNCTION("IFERROR(FILTER($AF:$AF,$C:$C = $C1555,$A:$A = $A1555 - 1,$B:$B = 12),0)"),0.0)</f>
        <v>0</v>
      </c>
      <c r="AD1555" s="32">
        <f t="shared" si="23"/>
        <v>8740.264963</v>
      </c>
      <c r="AE1555" s="32">
        <f t="shared" si="2"/>
        <v>0.2649634782</v>
      </c>
      <c r="AF1555" s="32"/>
    </row>
    <row r="1556">
      <c r="A1556" s="86">
        <v>2019.0</v>
      </c>
      <c r="B1556" s="87">
        <v>10.0</v>
      </c>
      <c r="C1556" s="88" t="s">
        <v>39</v>
      </c>
      <c r="D1556" s="93">
        <v>15000.0</v>
      </c>
      <c r="E1556" s="93">
        <v>-8740.0</v>
      </c>
      <c r="F1556" s="32"/>
      <c r="G1556" s="93">
        <v>-867.7</v>
      </c>
      <c r="H1556" s="93">
        <v>3692.94</v>
      </c>
      <c r="I1556" s="32"/>
      <c r="J1556" s="93">
        <v>19472.45</v>
      </c>
      <c r="K1556" s="32"/>
      <c r="L1556" s="93">
        <v>-184.92</v>
      </c>
      <c r="M1556" s="32"/>
      <c r="N1556" s="32"/>
      <c r="O1556" s="93">
        <v>199193.03</v>
      </c>
      <c r="P1556" s="91">
        <f>IFERROR(__xludf.DUMMYFUNCTION("IFERROR(sum(FILTER($D:$N,$C:$C = $C1556,$A:$A &lt; $A1556,$B:$B = 12)),0) + sum($D1556:$N1556)"),199193.03000000003)</f>
        <v>199193.03</v>
      </c>
      <c r="Q1556" s="92">
        <f t="shared" si="1"/>
        <v>0</v>
      </c>
      <c r="R1556" s="91">
        <f t="array" ref="R1556">IFERROR(INDEX('Fund YTD Target Values'!$1:$1000, MATCH($C1556,'Fund YTD Target Values'!$A:$A,0), MATCH($A1556,'Fund YTD Target Values'!$1:$1,0)),0)</f>
        <v>203233.3066</v>
      </c>
      <c r="S1556" s="91">
        <f>IFERROR(__xludf.DUMMYFUNCTION("IFERROR(sum(FILTER('Fund Investment Data'!$V:$V, 'Fund Investment Data'!$C:$C = $C1556, 'Fund Investment Data'!$A:$A &lt; $A1556)),0) + IFERROR(sum(FILTER('Fund Investment Data'!$V:$V, 'Fund Investment Data'!$C:$C = $C1556, 'Fund Investment Data'!$A:$A = $A1"&amp;"556, 'Fund Investment Data'!$B:$B &lt;= $B1556)),0)"),185000.0)</f>
        <v>185000</v>
      </c>
      <c r="T1556" s="32"/>
      <c r="U1556" s="32"/>
      <c r="V1556" s="32">
        <f>IFERROR(__xludf.DUMMYFUNCTION("$D1556 - IFERROR(FILTER($D:$D,$C:$C = $C1556, $A:$A = $A1556, $B:$B = $B1556 - 1),0)"),0.0)</f>
        <v>0</v>
      </c>
      <c r="W1556" s="93">
        <f>IFERROR(__xludf.DUMMYFUNCTION("$E1556 - IFERROR(FILTER($E:$E,$C:$C = $C1556, $A:$A = $A1556, $B:$B = $B1556 - 1),0)"),0.0)</f>
        <v>0</v>
      </c>
      <c r="X1556" s="91">
        <f>IFERROR(__xludf.DUMMYFUNCTION("iFERROR((FILTER('Fund Investment Data'!$Z:$Z, 'Fund Investment Data'!$C:$C = $C1556, 'Fund Investment Data'!$A:$A = $A1556 - 1, 'Fund Investment Data'!$B:$B = 12) + FILTER('Fund Investment Data'!$AB:$AB, 'Fund Investment Data'!$C:$C = $C1556, 'Fund Invest"&amp;"ment Data'!$A:$A = $A1556 - 1, 'Fund Investment Data'!$B:$B = 12)) * (1 + AVERAGE(FILTER('Inflation Data'!$C:$C,'Inflation Data'!$A:$A = ($A1556 - 2)))) * Parameters!$A$4,0)"),5335.081378121052)</f>
        <v>5335.081378</v>
      </c>
      <c r="Y1556" s="91">
        <f>IFERROR(__xludf.DUMMYFUNCTION("IFERROR((IFERROR(FILTER('Fund Investment Data'!$P:$P,'Fund Investment Data'!$C:$C = $C1556,'Fund Investment Data'!$A:$A = ($A1556 - 2), 'Fund Investment Data'!$B:$B = 12),0) - SUM(FILTER('Fund Investment Data'!$V:$V, 'Fund Investment Data'!$C:$C = $C1556,"&amp;" 'Fund Investment Data'!$A:$A = ($A1556 - 2), 'Fund Investment Data'!$B:$B &gt; 3)))  * Parameters!$B$4 * (1 - Parameters!$A$4),0)"),2223.764010000001)</f>
        <v>2223.76401</v>
      </c>
      <c r="Z1556" s="91">
        <f t="shared" si="24"/>
        <v>7558.845388</v>
      </c>
      <c r="AA1556" s="91">
        <f>IFERROR(__xludf.DUMMYFUNCTION("((IFERROR((SUM(FILTER('Fund Investment Data'!$V:$V, 'Fund Investment Data'!$C:$C = $C1556, 'Fund Investment Data'!$A:$A = $A1556 - 1, 'Fund Investment Data'!$B:$B &gt;= 4, 'Fund Investment Data'!$B:$B &lt;= ($B1556 + 5))) / 12) * ($B1556 - 3) * Parameters!$B$4,"&amp;" 0) + IF($B1556 &gt;= 9, IFERROR(SUM(FILTER('Fund Investment Data'!$V:$V, 'Fund Investment Data'!$C:$C = $C1556, 'Fund Investment Data'!$A:$A = $A1556, 'Fund Investment Data'!$B:$B &lt;= 3)) * Parameters!$B$4, 0),0)))"),393.75)</f>
        <v>393.75</v>
      </c>
      <c r="AB1556" s="32">
        <f>IFERROR(__xludf.DUMMYFUNCTION("IFERROR(((IFERROR(SUM(FILTER('Fund Investment Data'!$V:$V, 'Fund Investment Data'!$C:$C = $C1556, 'Fund Investment Data'!$A:$A = $A1556 - 2, 'Fund Investment Data'!$B:$B &gt;= 4)) * Parameters!$B$4,0) + IFERROR(SUM(FILTER('Fund Investment Data'!$V:$V, 'Fund "&amp;"Investment Data'!$C:$C = $C1556, 'Fund Investment Data'!$A:$A = $A1556 - 1, 'Fund Investment Data'!$B:$B &lt;= 3)) * Parameters!$B$4,0))),0)"),675.0)</f>
        <v>675</v>
      </c>
      <c r="AC1556" s="32">
        <f>IFERROR(__xludf.DUMMYFUNCTION("IFERROR(FILTER($AF:$AF,$C:$C = $C1556,$A:$A = $A1556 - 1,$B:$B = 12),0)"),0.0)</f>
        <v>0</v>
      </c>
      <c r="AD1556" s="32">
        <f t="shared" si="23"/>
        <v>8627.595388</v>
      </c>
      <c r="AE1556" s="32">
        <f t="shared" si="2"/>
        <v>-112.4046119</v>
      </c>
      <c r="AF1556" s="32"/>
    </row>
    <row r="1557">
      <c r="A1557" s="86">
        <v>2019.0</v>
      </c>
      <c r="B1557" s="87">
        <v>10.0</v>
      </c>
      <c r="C1557" s="88" t="s">
        <v>50</v>
      </c>
      <c r="D1557" s="32"/>
      <c r="E1557" s="93">
        <v>-10388.0</v>
      </c>
      <c r="F1557" s="32"/>
      <c r="G1557" s="93">
        <v>-963.98</v>
      </c>
      <c r="H1557" s="93">
        <v>4113.22</v>
      </c>
      <c r="I1557" s="32"/>
      <c r="J1557" s="93">
        <v>21264.53</v>
      </c>
      <c r="K1557" s="32"/>
      <c r="L1557" s="93">
        <v>-46.35</v>
      </c>
      <c r="M1557" s="32"/>
      <c r="N1557" s="32"/>
      <c r="O1557" s="93">
        <v>203533.78</v>
      </c>
      <c r="P1557" s="91">
        <f>IFERROR(__xludf.DUMMYFUNCTION("IFERROR(sum(FILTER($D:$N,$C:$C = $C1557,$A:$A &lt; $A1557,$B:$B = 12)),0) + sum($D1557:$N1557)"),203533.25000000003)</f>
        <v>203533.25</v>
      </c>
      <c r="Q1557" s="92">
        <f t="shared" si="1"/>
        <v>0.53</v>
      </c>
      <c r="R1557" s="91">
        <f t="array" ref="R1557">IFERROR(INDEX('Fund YTD Target Values'!$1:$1000, MATCH($C1557,'Fund YTD Target Values'!$A:$A,0), MATCH($A1557,'Fund YTD Target Values'!$1:$1,0)),0)</f>
        <v>221607.3864</v>
      </c>
      <c r="S1557" s="91">
        <f>IFERROR(__xludf.DUMMYFUNCTION("IFERROR(sum(FILTER('Fund Investment Data'!$V:$V, 'Fund Investment Data'!$C:$C = $C1557, 'Fund Investment Data'!$A:$A &lt; $A1557)),0) + IFERROR(sum(FILTER('Fund Investment Data'!$V:$V, 'Fund Investment Data'!$C:$C = $C1557, 'Fund Investment Data'!$A:$A = $A1"&amp;"557, 'Fund Investment Data'!$B:$B &lt;= $B1557)),0)"),185189.56)</f>
        <v>185189.56</v>
      </c>
      <c r="T1557" s="32"/>
      <c r="U1557" s="32"/>
      <c r="V1557" s="32">
        <f>IFERROR(__xludf.DUMMYFUNCTION("$D1557 - IFERROR(FILTER($D:$D,$C:$C = $C1557, $A:$A = $A1557, $B:$B = $B1557 - 1),0)"),0.0)</f>
        <v>0</v>
      </c>
      <c r="W1557" s="93">
        <f>IFERROR(__xludf.DUMMYFUNCTION("$E1557 - IFERROR(FILTER($E:$E,$C:$C = $C1557, $A:$A = $A1557, $B:$B = $B1557 - 1),0)"),0.0)</f>
        <v>0</v>
      </c>
      <c r="X1557" s="91">
        <f>IFERROR(__xludf.DUMMYFUNCTION("iFERROR((FILTER('Fund Investment Data'!$Z:$Z, 'Fund Investment Data'!$C:$C = $C1557, 'Fund Investment Data'!$A:$A = $A1557 - 1, 'Fund Investment Data'!$B:$B = 12) + FILTER('Fund Investment Data'!$AB:$AB, 'Fund Investment Data'!$C:$C = $C1557, 'Fund Invest"&amp;"ment Data'!$A:$A = $A1557 - 1, 'Fund Investment Data'!$B:$B = 12)) * (1 + AVERAGE(FILTER('Inflation Data'!$C:$C,'Inflation Data'!$A:$A = ($A1557 - 2)))) * Parameters!$A$4,0)"),7479.015292624062)</f>
        <v>7479.015293</v>
      </c>
      <c r="Y1557" s="91">
        <f>IFERROR(__xludf.DUMMYFUNCTION("IFERROR((IFERROR(FILTER('Fund Investment Data'!$P:$P,'Fund Investment Data'!$C:$C = $C1557,'Fund Investment Data'!$A:$A = ($A1557 - 2), 'Fund Investment Data'!$B:$B = 12),0) - SUM(FILTER('Fund Investment Data'!$V:$V, 'Fund Investment Data'!$C:$C = $C1557,"&amp;" 'Fund Investment Data'!$A:$A = ($A1557 - 2), 'Fund Investment Data'!$B:$B &gt; 3)))  * Parameters!$B$4 * (1 - Parameters!$A$4),0)"),2908.7654850000004)</f>
        <v>2908.765485</v>
      </c>
      <c r="Z1557" s="91">
        <f t="shared" si="24"/>
        <v>10387.78078</v>
      </c>
      <c r="AA1557" s="91">
        <f>IFERROR(__xludf.DUMMYFUNCTION("((IFERROR((SUM(FILTER('Fund Investment Data'!$V:$V, 'Fund Investment Data'!$C:$C = $C1557, 'Fund Investment Data'!$A:$A = $A1557 - 1, 'Fund Investment Data'!$B:$B &gt;= 4, 'Fund Investment Data'!$B:$B &lt;= ($B1557 + 5))) / 12) * ($B1557 - 3) * Parameters!$B$4,"&amp;" 0) + IF($B1557 &gt;= 9, IFERROR(SUM(FILTER('Fund Investment Data'!$V:$V, 'Fund Investment Data'!$C:$C = $C1557, 'Fund Investment Data'!$A:$A = $A1557, 'Fund Investment Data'!$B:$B &lt;= 3)) * Parameters!$B$4, 0),0)))"),0.0)</f>
        <v>0</v>
      </c>
      <c r="AB1557" s="32">
        <f>IFERROR(__xludf.DUMMYFUNCTION("IFERROR(((IFERROR(SUM(FILTER('Fund Investment Data'!$V:$V, 'Fund Investment Data'!$C:$C = $C1557, 'Fund Investment Data'!$A:$A = $A1557 - 2, 'Fund Investment Data'!$B:$B &gt;= 4)) * Parameters!$B$4,0) + IFERROR(SUM(FILTER('Fund Investment Data'!$V:$V, 'Fund "&amp;"Investment Data'!$C:$C = $C1557, 'Fund Investment Data'!$A:$A = $A1557 - 1, 'Fund Investment Data'!$B:$B &lt;= 3)) * Parameters!$B$4,0))),0)"),0.0)</f>
        <v>0</v>
      </c>
      <c r="AC1557" s="32">
        <f>IFERROR(__xludf.DUMMYFUNCTION("IFERROR(FILTER($AF:$AF,$C:$C = $C1557,$A:$A = $A1557 - 1,$B:$B = 12),0)"),0.0)</f>
        <v>0</v>
      </c>
      <c r="AD1557" s="32">
        <f t="shared" si="23"/>
        <v>10387.78078</v>
      </c>
      <c r="AE1557" s="32">
        <f t="shared" si="2"/>
        <v>-0.2192223759</v>
      </c>
      <c r="AF1557" s="32"/>
    </row>
    <row r="1558">
      <c r="A1558" s="86">
        <v>2019.0</v>
      </c>
      <c r="B1558" s="87">
        <v>10.0</v>
      </c>
      <c r="C1558" s="88" t="s">
        <v>32</v>
      </c>
      <c r="D1558" s="32"/>
      <c r="E1558" s="93">
        <v>-2440.0</v>
      </c>
      <c r="F1558" s="32"/>
      <c r="G1558" s="93">
        <v>-240.44</v>
      </c>
      <c r="H1558" s="93">
        <v>1027.39</v>
      </c>
      <c r="I1558" s="93">
        <v>8.66</v>
      </c>
      <c r="J1558" s="93">
        <v>5322.8</v>
      </c>
      <c r="K1558" s="32"/>
      <c r="L1558" s="32"/>
      <c r="M1558" s="32"/>
      <c r="N1558" s="32"/>
      <c r="O1558" s="93">
        <v>51128.96</v>
      </c>
      <c r="P1558" s="91">
        <f>IFERROR(__xludf.DUMMYFUNCTION("IFERROR(sum(FILTER($D:$N,$C:$C = $C1558,$A:$A &lt; $A1558,$B:$B = 12)),0) + sum($D1558:$N1558)"),51128.56000000003)</f>
        <v>51128.56</v>
      </c>
      <c r="Q1558" s="92">
        <f t="shared" si="1"/>
        <v>0.4</v>
      </c>
      <c r="R1558" s="91">
        <f t="array" ref="R1558">IFERROR(INDEX('Fund YTD Target Values'!$1:$1000, MATCH($C1558,'Fund YTD Target Values'!$A:$A,0), MATCH($A1558,'Fund YTD Target Values'!$1:$1,0)),0)</f>
        <v>80613.71135</v>
      </c>
      <c r="S1558" s="91">
        <f>IFERROR(__xludf.DUMMYFUNCTION("IFERROR(sum(FILTER('Fund Investment Data'!$V:$V, 'Fund Investment Data'!$C:$C = $C1558, 'Fund Investment Data'!$A:$A &lt; $A1558)),0) + IFERROR(sum(FILTER('Fund Investment Data'!$V:$V, 'Fund Investment Data'!$C:$C = $C1558, 'Fund Investment Data'!$A:$A = $A1"&amp;"558, 'Fund Investment Data'!$B:$B &lt;= $B1558)),0)"),49449.04)</f>
        <v>49449.04</v>
      </c>
      <c r="T1558" s="32"/>
      <c r="U1558" s="32"/>
      <c r="V1558" s="32">
        <f>IFERROR(__xludf.DUMMYFUNCTION("$D1558 - IFERROR(FILTER($D:$D,$C:$C = $C1558, $A:$A = $A1558, $B:$B = $B1558 - 1),0)"),0.0)</f>
        <v>0</v>
      </c>
      <c r="W1558" s="93">
        <f>IFERROR(__xludf.DUMMYFUNCTION("$E1558 - IFERROR(FILTER($E:$E,$C:$C = $C1558, $A:$A = $A1558, $B:$B = $B1558 - 1),0)"),0.0)</f>
        <v>0</v>
      </c>
      <c r="X1558" s="91">
        <f>IFERROR(__xludf.DUMMYFUNCTION("iFERROR((FILTER('Fund Investment Data'!$Z:$Z, 'Fund Investment Data'!$C:$C = $C1558, 'Fund Investment Data'!$A:$A = $A1558 - 1, 'Fund Investment Data'!$B:$B = 12) + FILTER('Fund Investment Data'!$AB:$AB, 'Fund Investment Data'!$C:$C = $C1558, 'Fund Invest"&amp;"ment Data'!$A:$A = $A1558 - 1, 'Fund Investment Data'!$B:$B = 12)) * (1 + AVERAGE(FILTER('Inflation Data'!$C:$C,'Inflation Data'!$A:$A = ($A1558 - 2)))) * Parameters!$A$4,0)"),1718.9474190106023)</f>
        <v>1718.947419</v>
      </c>
      <c r="Y1558" s="91">
        <f>IFERROR(__xludf.DUMMYFUNCTION("IFERROR((IFERROR(FILTER('Fund Investment Data'!$P:$P,'Fund Investment Data'!$C:$C = $C1558,'Fund Investment Data'!$A:$A = ($A1558 - 2), 'Fund Investment Data'!$B:$B = 12),0) - SUM(FILTER('Fund Investment Data'!$V:$V, 'Fund Investment Data'!$C:$C = $C1558,"&amp;" 'Fund Investment Data'!$A:$A = ($A1558 - 2), 'Fund Investment Data'!$B:$B &gt; 3)))  * Parameters!$B$4 * (1 - Parameters!$A$4),0)"),721.3160700000005)</f>
        <v>721.31607</v>
      </c>
      <c r="Z1558" s="91">
        <f t="shared" si="24"/>
        <v>2440.263489</v>
      </c>
      <c r="AA1558" s="91">
        <f>IFERROR(__xludf.DUMMYFUNCTION("((IFERROR((SUM(FILTER('Fund Investment Data'!$V:$V, 'Fund Investment Data'!$C:$C = $C1558, 'Fund Investment Data'!$A:$A = $A1558 - 1, 'Fund Investment Data'!$B:$B &gt;= 4, 'Fund Investment Data'!$B:$B &lt;= ($B1558 + 5))) / 12) * ($B1558 - 3) * Parameters!$B$4,"&amp;" 0) + IF($B1558 &gt;= 9, IFERROR(SUM(FILTER('Fund Investment Data'!$V:$V, 'Fund Investment Data'!$C:$C = $C1558, 'Fund Investment Data'!$A:$A = $A1558, 'Fund Investment Data'!$B:$B &lt;= 3)) * Parameters!$B$4, 0),0)))"),0.0)</f>
        <v>0</v>
      </c>
      <c r="AB1558" s="32">
        <f>IFERROR(__xludf.DUMMYFUNCTION("IFERROR(((IFERROR(SUM(FILTER('Fund Investment Data'!$V:$V, 'Fund Investment Data'!$C:$C = $C1558, 'Fund Investment Data'!$A:$A = $A1558 - 2, 'Fund Investment Data'!$B:$B &gt;= 4)) * Parameters!$B$4,0) + IFERROR(SUM(FILTER('Fund Investment Data'!$V:$V, 'Fund "&amp;"Investment Data'!$C:$C = $C1558, 'Fund Investment Data'!$A:$A = $A1558 - 1, 'Fund Investment Data'!$B:$B &lt;= 3)) * Parameters!$B$4,0))),0)"),0.0)</f>
        <v>0</v>
      </c>
      <c r="AC1558" s="32">
        <f>IFERROR(__xludf.DUMMYFUNCTION("IFERROR(FILTER($AF:$AF,$C:$C = $C1558,$A:$A = $A1558 - 1,$B:$B = 12),0)"),0.0)</f>
        <v>0</v>
      </c>
      <c r="AD1558" s="32">
        <f t="shared" si="23"/>
        <v>2440.263489</v>
      </c>
      <c r="AE1558" s="32">
        <f t="shared" si="2"/>
        <v>0.2634890106</v>
      </c>
      <c r="AF1558" s="32"/>
    </row>
    <row r="1559">
      <c r="A1559" s="86">
        <v>2019.0</v>
      </c>
      <c r="B1559" s="87">
        <v>10.0</v>
      </c>
      <c r="C1559" s="88" t="s">
        <v>40</v>
      </c>
      <c r="D1559" s="32"/>
      <c r="E1559" s="93">
        <v>-7071.0</v>
      </c>
      <c r="F1559" s="32"/>
      <c r="G1559" s="93">
        <v>-681.53</v>
      </c>
      <c r="H1559" s="93">
        <v>2918.3</v>
      </c>
      <c r="I1559" s="93">
        <v>1434.63</v>
      </c>
      <c r="J1559" s="93">
        <v>13891.25</v>
      </c>
      <c r="K1559" s="32"/>
      <c r="L1559" s="32"/>
      <c r="M1559" s="32"/>
      <c r="N1559" s="32"/>
      <c r="O1559" s="93">
        <v>146936.8</v>
      </c>
      <c r="P1559" s="91">
        <f>IFERROR(__xludf.DUMMYFUNCTION("IFERROR(sum(FILTER($D:$N,$C:$C = $C1559,$A:$A &lt; $A1559,$B:$B = 12)),0) + sum($D1559:$N1559)"),146936.75999999992)</f>
        <v>146936.76</v>
      </c>
      <c r="Q1559" s="92">
        <f t="shared" si="1"/>
        <v>0.04000000007</v>
      </c>
      <c r="R1559" s="91">
        <f t="array" ref="R1559">IFERROR(INDEX('Fund YTD Target Values'!$1:$1000, MATCH($C1559,'Fund YTD Target Values'!$A:$A,0), MATCH($A1559,'Fund YTD Target Values'!$1:$1,0)),0)</f>
        <v>164286.6043</v>
      </c>
      <c r="S1559" s="91">
        <f>IFERROR(__xludf.DUMMYFUNCTION("IFERROR(sum(FILTER('Fund Investment Data'!$V:$V, 'Fund Investment Data'!$C:$C = $C1559, 'Fund Investment Data'!$A:$A &lt; $A1559)),0) + IFERROR(sum(FILTER('Fund Investment Data'!$V:$V, 'Fund Investment Data'!$C:$C = $C1559, 'Fund Investment Data'!$A:$A = $A1"&amp;"559, 'Fund Investment Data'!$B:$B &lt;= $B1559)),0)"),129703.74)</f>
        <v>129703.74</v>
      </c>
      <c r="T1559" s="32"/>
      <c r="U1559" s="32"/>
      <c r="V1559" s="32">
        <f>IFERROR(__xludf.DUMMYFUNCTION("$D1559 - IFERROR(FILTER($D:$D,$C:$C = $C1559, $A:$A = $A1559, $B:$B = $B1559 - 1),0)"),0.0)</f>
        <v>0</v>
      </c>
      <c r="W1559" s="93">
        <f>IFERROR(__xludf.DUMMYFUNCTION("$E1559 - IFERROR(FILTER($E:$E,$C:$C = $C1559, $A:$A = $A1559, $B:$B = $B1559 - 1),0)"),0.0)</f>
        <v>0</v>
      </c>
      <c r="X1559" s="91">
        <f>IFERROR(__xludf.DUMMYFUNCTION("iFERROR((FILTER('Fund Investment Data'!$Z:$Z, 'Fund Investment Data'!$C:$C = $C1559, 'Fund Investment Data'!$A:$A = $A1559 - 1, 'Fund Investment Data'!$B:$B = 12) + FILTER('Fund Investment Data'!$AB:$AB, 'Fund Investment Data'!$C:$C = $C1559, 'Fund Invest"&amp;"ment Data'!$A:$A = $A1559 - 1, 'Fund Investment Data'!$B:$B = 12)) * (1 + AVERAGE(FILTER('Inflation Data'!$C:$C,'Inflation Data'!$A:$A = ($A1559 - 2)))) * Parameters!$A$4,0)"),4980.550706212943)</f>
        <v>4980.550706</v>
      </c>
      <c r="Y1559" s="91">
        <f>IFERROR(__xludf.DUMMYFUNCTION("IFERROR((IFERROR(FILTER('Fund Investment Data'!$P:$P,'Fund Investment Data'!$C:$C = $C1559,'Fund Investment Data'!$A:$A = ($A1559 - 2), 'Fund Investment Data'!$B:$B = 12),0) - SUM(FILTER('Fund Investment Data'!$V:$V, 'Fund Investment Data'!$C:$C = $C1559,"&amp;" 'Fund Investment Data'!$A:$A = ($A1559 - 2), 'Fund Investment Data'!$B:$B &gt; 3)))  * Parameters!$B$4 * (1 - Parameters!$A$4),0)"),2089.971585)</f>
        <v>2089.971585</v>
      </c>
      <c r="Z1559" s="91">
        <f t="shared" si="24"/>
        <v>7070.522291</v>
      </c>
      <c r="AA1559" s="91">
        <f>IFERROR(__xludf.DUMMYFUNCTION("((IFERROR((SUM(FILTER('Fund Investment Data'!$V:$V, 'Fund Investment Data'!$C:$C = $C1559, 'Fund Investment Data'!$A:$A = $A1559 - 1, 'Fund Investment Data'!$B:$B &gt;= 4, 'Fund Investment Data'!$B:$B &lt;= ($B1559 + 5))) / 12) * ($B1559 - 3) * Parameters!$B$4,"&amp;" 0) + IF($B1559 &gt;= 9, IFERROR(SUM(FILTER('Fund Investment Data'!$V:$V, 'Fund Investment Data'!$C:$C = $C1559, 'Fund Investment Data'!$A:$A = $A1559, 'Fund Investment Data'!$B:$B &lt;= 3)) * Parameters!$B$4, 0),0)))"),0.0)</f>
        <v>0</v>
      </c>
      <c r="AB1559" s="32">
        <f>IFERROR(__xludf.DUMMYFUNCTION("IFERROR(((IFERROR(SUM(FILTER('Fund Investment Data'!$V:$V, 'Fund Investment Data'!$C:$C = $C1559, 'Fund Investment Data'!$A:$A = $A1559 - 2, 'Fund Investment Data'!$B:$B &gt;= 4)) * Parameters!$B$4,0) + IFERROR(SUM(FILTER('Fund Investment Data'!$V:$V, 'Fund "&amp;"Investment Data'!$C:$C = $C1559, 'Fund Investment Data'!$A:$A = $A1559 - 1, 'Fund Investment Data'!$B:$B &lt;= 3)) * Parameters!$B$4,0))),0)"),0.0)</f>
        <v>0</v>
      </c>
      <c r="AC1559" s="32">
        <f>IFERROR(__xludf.DUMMYFUNCTION("IFERROR(FILTER($AF:$AF,$C:$C = $C1559,$A:$A = $A1559 - 1,$B:$B = 12),0)"),0.0)</f>
        <v>0</v>
      </c>
      <c r="AD1559" s="32">
        <f t="shared" si="23"/>
        <v>7070.522291</v>
      </c>
      <c r="AE1559" s="32">
        <f t="shared" si="2"/>
        <v>-0.4777087871</v>
      </c>
      <c r="AF1559" s="32"/>
    </row>
    <row r="1560">
      <c r="A1560" s="86">
        <v>2019.0</v>
      </c>
      <c r="B1560" s="87">
        <v>10.0</v>
      </c>
      <c r="C1560" s="88" t="s">
        <v>51</v>
      </c>
      <c r="D1560" s="93">
        <v>1000.0</v>
      </c>
      <c r="E1560" s="93">
        <v>-35459.0</v>
      </c>
      <c r="F1560" s="32"/>
      <c r="G1560" s="93">
        <v>-2239.64</v>
      </c>
      <c r="H1560" s="93">
        <v>9522.41</v>
      </c>
      <c r="I1560" s="93">
        <v>1146.94</v>
      </c>
      <c r="J1560" s="93">
        <v>46536.56</v>
      </c>
      <c r="K1560" s="32"/>
      <c r="L1560" s="32"/>
      <c r="M1560" s="32"/>
      <c r="N1560" s="32"/>
      <c r="O1560" s="93">
        <v>462637.3</v>
      </c>
      <c r="P1560" s="91">
        <f>IFERROR(__xludf.DUMMYFUNCTION("IFERROR(sum(FILTER($D:$N,$C:$C = $C1560,$A:$A &lt; $A1560,$B:$B = 12)),0) + sum($D1560:$N1560)"),462637.2800000001)</f>
        <v>462637.28</v>
      </c>
      <c r="Q1560" s="92">
        <f t="shared" si="1"/>
        <v>0.0199999999</v>
      </c>
      <c r="R1560" s="91">
        <f t="array" ref="R1560">IFERROR(INDEX('Fund YTD Target Values'!$1:$1000, MATCH($C1560,'Fund YTD Target Values'!$A:$A,0), MATCH($A1560,'Fund YTD Target Values'!$1:$1,0)),0)</f>
        <v>460355.013</v>
      </c>
      <c r="S1560" s="91">
        <f>IFERROR(__xludf.DUMMYFUNCTION("IFERROR(sum(FILTER('Fund Investment Data'!$V:$V, 'Fund Investment Data'!$C:$C = $C1560, 'Fund Investment Data'!$A:$A &lt; $A1560)),0) + IFERROR(sum(FILTER('Fund Investment Data'!$V:$V, 'Fund Investment Data'!$C:$C = $C1560, 'Fund Investment Data'!$A:$A = $A1"&amp;"560, 'Fund Investment Data'!$B:$B &lt;= $B1560)),0)"),420073.55)</f>
        <v>420073.55</v>
      </c>
      <c r="T1560" s="32"/>
      <c r="U1560" s="32"/>
      <c r="V1560" s="32">
        <f>IFERROR(__xludf.DUMMYFUNCTION("$D1560 - IFERROR(FILTER($D:$D,$C:$C = $C1560, $A:$A = $A1560, $B:$B = $B1560 - 1),0)"),0.0)</f>
        <v>0</v>
      </c>
      <c r="W1560" s="93">
        <f>IFERROR(__xludf.DUMMYFUNCTION("$E1560 - IFERROR(FILTER($E:$E,$C:$C = $C1560, $A:$A = $A1560, $B:$B = $B1560 - 1),0)"),0.0)</f>
        <v>0</v>
      </c>
      <c r="X1560" s="91">
        <f>IFERROR(__xludf.DUMMYFUNCTION("iFERROR((FILTER('Fund Investment Data'!$Z:$Z, 'Fund Investment Data'!$C:$C = $C1560, 'Fund Investment Data'!$A:$A = $A1560 - 1, 'Fund Investment Data'!$B:$B = 12) + FILTER('Fund Investment Data'!$AB:$AB, 'Fund Investment Data'!$C:$C = $C1560, 'Fund Invest"&amp;"ment Data'!$A:$A = $A1560 - 1, 'Fund Investment Data'!$B:$B = 12)) * (1 + AVERAGE(FILTER('Inflation Data'!$C:$C,'Inflation Data'!$A:$A = ($A1560 - 2)))) * Parameters!$A$4,0)"),14060.066994776611)</f>
        <v>14060.06699</v>
      </c>
      <c r="Y1560" s="91">
        <f>IFERROR(__xludf.DUMMYFUNCTION("IFERROR((IFERROR(FILTER('Fund Investment Data'!$P:$P,'Fund Investment Data'!$C:$C = $C1560,'Fund Investment Data'!$A:$A = ($A1560 - 2), 'Fund Investment Data'!$B:$B = 12),0) - SUM(FILTER('Fund Investment Data'!$V:$V, 'Fund Investment Data'!$C:$C = $C1560,"&amp;" 'Fund Investment Data'!$A:$A = ($A1560 - 2), 'Fund Investment Data'!$B:$B &gt; 3)))  * Parameters!$B$4 * (1 - Parameters!$A$4),0)"),6507.701055)</f>
        <v>6507.701055</v>
      </c>
      <c r="Z1560" s="91">
        <f t="shared" si="24"/>
        <v>20567.76805</v>
      </c>
      <c r="AA1560" s="91">
        <f>IFERROR(__xludf.DUMMYFUNCTION("((IFERROR((SUM(FILTER('Fund Investment Data'!$V:$V, 'Fund Investment Data'!$C:$C = $C1560, 'Fund Investment Data'!$A:$A = $A1560 - 1, 'Fund Investment Data'!$B:$B &gt;= 4, 'Fund Investment Data'!$B:$B &lt;= ($B1560 + 5))) / 12) * ($B1560 - 3) * Parameters!$B$4,"&amp;" 0) + IF($B1560 &gt;= 9, IFERROR(SUM(FILTER('Fund Investment Data'!$V:$V, 'Fund Investment Data'!$C:$C = $C1560, 'Fund Investment Data'!$A:$A = $A1560, 'Fund Investment Data'!$B:$B &lt;= 3)) * Parameters!$B$4, 0),0)))"),66.9375)</f>
        <v>66.9375</v>
      </c>
      <c r="AB1560" s="32">
        <f>IFERROR(__xludf.DUMMYFUNCTION("IFERROR(((IFERROR(SUM(FILTER('Fund Investment Data'!$V:$V, 'Fund Investment Data'!$C:$C = $C1560, 'Fund Investment Data'!$A:$A = $A1560 - 2, 'Fund Investment Data'!$B:$B &gt;= 4)) * Parameters!$B$4,0) + IFERROR(SUM(FILTER('Fund Investment Data'!$V:$V, 'Fund "&amp;"Investment Data'!$C:$C = $C1560, 'Fund Investment Data'!$A:$A = $A1560 - 1, 'Fund Investment Data'!$B:$B &lt;= 3)) * Parameters!$B$4,0))),0)"),153.0)</f>
        <v>153</v>
      </c>
      <c r="AC1560" s="32">
        <f>IFERROR(__xludf.DUMMYFUNCTION("IFERROR(FILTER($AF:$AF,$C:$C = $C1560,$A:$A = $A1560 - 1,$B:$B = 12),0)"),14700.0)</f>
        <v>14700</v>
      </c>
      <c r="AD1560" s="32">
        <f t="shared" si="23"/>
        <v>35487.70555</v>
      </c>
      <c r="AE1560" s="32">
        <f t="shared" si="2"/>
        <v>28.70554978</v>
      </c>
      <c r="AF1560" s="32"/>
    </row>
    <row r="1561">
      <c r="A1561" s="86">
        <v>2019.0</v>
      </c>
      <c r="B1561" s="87">
        <v>10.0</v>
      </c>
      <c r="C1561" s="88" t="s">
        <v>48</v>
      </c>
      <c r="D1561" s="32"/>
      <c r="E1561" s="93">
        <v>-57027.0</v>
      </c>
      <c r="F1561" s="32"/>
      <c r="G1561" s="93">
        <v>-5475.37</v>
      </c>
      <c r="H1561" s="93">
        <v>23477.79</v>
      </c>
      <c r="I1561" s="93">
        <v>15044.3</v>
      </c>
      <c r="J1561" s="93">
        <v>107783.9</v>
      </c>
      <c r="K1561" s="32"/>
      <c r="L1561" s="32"/>
      <c r="M1561" s="32"/>
      <c r="N1561" s="32"/>
      <c r="O1561" s="93">
        <v>1177018.33</v>
      </c>
      <c r="P1561" s="91">
        <f>IFERROR(__xludf.DUMMYFUNCTION("IFERROR(sum(FILTER($D:$N,$C:$C = $C1561,$A:$A &lt; $A1561,$B:$B = 12)),0) + sum($D1561:$N1561)"),1177017.0099999998)</f>
        <v>1177017.01</v>
      </c>
      <c r="Q1561" s="92">
        <f t="shared" si="1"/>
        <v>1.32</v>
      </c>
      <c r="R1561" s="91">
        <f t="array" ref="R1561">IFERROR(INDEX('Fund YTD Target Values'!$1:$1000, MATCH($C1561,'Fund YTD Target Values'!$A:$A,0), MATCH($A1561,'Fund YTD Target Values'!$1:$1,0)),0)</f>
        <v>1930631.639</v>
      </c>
      <c r="S1561" s="91">
        <f>IFERROR(__xludf.DUMMYFUNCTION("IFERROR(sum(FILTER('Fund Investment Data'!$V:$V, 'Fund Investment Data'!$C:$C = $C1561, 'Fund Investment Data'!$A:$A &lt; $A1561)),0) + IFERROR(sum(FILTER('Fund Investment Data'!$V:$V, 'Fund Investment Data'!$C:$C = $C1561, 'Fund Investment Data'!$A:$A = $A1"&amp;"561, 'Fund Investment Data'!$B:$B &lt;= $B1561)),0)"),1183929.39)</f>
        <v>1183929.39</v>
      </c>
      <c r="T1561" s="32"/>
      <c r="U1561" s="32"/>
      <c r="V1561" s="32">
        <f>IFERROR(__xludf.DUMMYFUNCTION("$D1561 - IFERROR(FILTER($D:$D,$C:$C = $C1561, $A:$A = $A1561, $B:$B = $B1561 - 1),0)"),0.0)</f>
        <v>0</v>
      </c>
      <c r="W1561" s="93">
        <f>IFERROR(__xludf.DUMMYFUNCTION("$E1561 - IFERROR(FILTER($E:$E,$C:$C = $C1561, $A:$A = $A1561, $B:$B = $B1561 - 1),0)"),0.0)</f>
        <v>0</v>
      </c>
      <c r="X1561" s="91">
        <f>IFERROR(__xludf.DUMMYFUNCTION("iFERROR((FILTER('Fund Investment Data'!$Z:$Z, 'Fund Investment Data'!$C:$C = $C1561, 'Fund Investment Data'!$A:$A = $A1561 - 1, 'Fund Investment Data'!$B:$B = 12) + FILTER('Fund Investment Data'!$AB:$AB, 'Fund Investment Data'!$C:$C = $C1561, 'Fund Invest"&amp;"ment Data'!$A:$A = $A1561 - 1, 'Fund Investment Data'!$B:$B = 12)) * (1 + AVERAGE(FILTER('Inflation Data'!$C:$C,'Inflation Data'!$A:$A = ($A1561 - 2)))) * Parameters!$A$4,0)"),40170.623919220896)</f>
        <v>40170.62392</v>
      </c>
      <c r="Y1561" s="91">
        <f>IFERROR(__xludf.DUMMYFUNCTION("IFERROR((IFERROR(FILTER('Fund Investment Data'!$P:$P,'Fund Investment Data'!$C:$C = $C1561,'Fund Investment Data'!$A:$A = ($A1561 - 2), 'Fund Investment Data'!$B:$B = 12),0) - SUM(FILTER('Fund Investment Data'!$V:$V, 'Fund Investment Data'!$C:$C = $C1561,"&amp;" 'Fund Investment Data'!$A:$A = ($A1561 - 2), 'Fund Investment Data'!$B:$B &gt; 3)))  * Parameters!$B$4 * (1 - Parameters!$A$4),0)"),16856.662545)</f>
        <v>16856.66255</v>
      </c>
      <c r="Z1561" s="91">
        <f t="shared" si="24"/>
        <v>57027.28646</v>
      </c>
      <c r="AA1561" s="91">
        <f>IFERROR(__xludf.DUMMYFUNCTION("((IFERROR((SUM(FILTER('Fund Investment Data'!$V:$V, 'Fund Investment Data'!$C:$C = $C1561, 'Fund Investment Data'!$A:$A = $A1561 - 1, 'Fund Investment Data'!$B:$B &gt;= 4, 'Fund Investment Data'!$B:$B &lt;= ($B1561 + 5))) / 12) * ($B1561 - 3) * Parameters!$B$4,"&amp;" 0) + IF($B1561 &gt;= 9, IFERROR(SUM(FILTER('Fund Investment Data'!$V:$V, 'Fund Investment Data'!$C:$C = $C1561, 'Fund Investment Data'!$A:$A = $A1561, 'Fund Investment Data'!$B:$B &lt;= 3)) * Parameters!$B$4, 0),0)))"),0.0)</f>
        <v>0</v>
      </c>
      <c r="AB1561" s="32">
        <f>IFERROR(__xludf.DUMMYFUNCTION("IFERROR(((IFERROR(SUM(FILTER('Fund Investment Data'!$V:$V, 'Fund Investment Data'!$C:$C = $C1561, 'Fund Investment Data'!$A:$A = $A1561 - 2, 'Fund Investment Data'!$B:$B &gt;= 4)) * Parameters!$B$4,0) + IFERROR(SUM(FILTER('Fund Investment Data'!$V:$V, 'Fund "&amp;"Investment Data'!$C:$C = $C1561, 'Fund Investment Data'!$A:$A = $A1561 - 1, 'Fund Investment Data'!$B:$B &lt;= 3)) * Parameters!$B$4,0))),0)"),0.0)</f>
        <v>0</v>
      </c>
      <c r="AC1561" s="32">
        <f>IFERROR(__xludf.DUMMYFUNCTION("IFERROR(FILTER($AF:$AF,$C:$C = $C1561,$A:$A = $A1561 - 1,$B:$B = 12),0)"),0.0)</f>
        <v>0</v>
      </c>
      <c r="AD1561" s="32">
        <f t="shared" si="23"/>
        <v>57027.28646</v>
      </c>
      <c r="AE1561" s="32">
        <f t="shared" si="2"/>
        <v>0.2864642209</v>
      </c>
      <c r="AF1561" s="32"/>
    </row>
    <row r="1562">
      <c r="A1562" s="86">
        <v>2019.0</v>
      </c>
      <c r="B1562" s="87">
        <v>10.0</v>
      </c>
      <c r="C1562" s="88" t="s">
        <v>49</v>
      </c>
      <c r="D1562" s="32"/>
      <c r="E1562" s="93">
        <v>-25015.0</v>
      </c>
      <c r="F1562" s="32"/>
      <c r="G1562" s="93">
        <v>-2372.07</v>
      </c>
      <c r="H1562" s="93">
        <v>10171.37</v>
      </c>
      <c r="I1562" s="93">
        <v>6576.53</v>
      </c>
      <c r="J1562" s="93">
        <v>46692.38</v>
      </c>
      <c r="K1562" s="32"/>
      <c r="L1562" s="32"/>
      <c r="M1562" s="32"/>
      <c r="N1562" s="32"/>
      <c r="O1562" s="93">
        <v>510287.23</v>
      </c>
      <c r="P1562" s="91">
        <f>IFERROR(__xludf.DUMMYFUNCTION("IFERROR(sum(FILTER($D:$N,$C:$C = $C1562,$A:$A &lt; $A1562,$B:$B = 12)),0) + sum($D1562:$N1562)"),510287.52999999985)</f>
        <v>510287.53</v>
      </c>
      <c r="Q1562" s="92">
        <f t="shared" si="1"/>
        <v>-0.2999999999</v>
      </c>
      <c r="R1562" s="91">
        <f t="array" ref="R1562">IFERROR(INDEX('Fund YTD Target Values'!$1:$1000, MATCH($C1562,'Fund YTD Target Values'!$A:$A,0), MATCH($A1562,'Fund YTD Target Values'!$1:$1,0)),0)</f>
        <v>714091.1961</v>
      </c>
      <c r="S1562" s="91">
        <f>IFERROR(__xludf.DUMMYFUNCTION("IFERROR(sum(FILTER('Fund Investment Data'!$V:$V, 'Fund Investment Data'!$C:$C = $C1562, 'Fund Investment Data'!$A:$A &lt; $A1562)),0) + IFERROR(sum(FILTER('Fund Investment Data'!$V:$V, 'Fund Investment Data'!$C:$C = $C1562, 'Fund Investment Data'!$A:$A = $A1"&amp;"562, 'Fund Investment Data'!$B:$B &lt;= $B1562)),0)"),500000.0)</f>
        <v>500000</v>
      </c>
      <c r="T1562" s="32"/>
      <c r="U1562" s="32"/>
      <c r="V1562" s="32">
        <f>IFERROR(__xludf.DUMMYFUNCTION("$D1562 - IFERROR(FILTER($D:$D,$C:$C = $C1562, $A:$A = $A1562, $B:$B = $B1562 - 1),0)"),0.0)</f>
        <v>0</v>
      </c>
      <c r="W1562" s="93">
        <f>IFERROR(__xludf.DUMMYFUNCTION("$E1562 - IFERROR(FILTER($E:$E,$C:$C = $C1562, $A:$A = $A1562, $B:$B = $B1562 - 1),0)"),0.0)</f>
        <v>0</v>
      </c>
      <c r="X1562" s="91">
        <f>IFERROR(__xludf.DUMMYFUNCTION("iFERROR((FILTER('Fund Investment Data'!$Z:$Z, 'Fund Investment Data'!$C:$C = $C1562, 'Fund Investment Data'!$A:$A = $A1562 - 1, 'Fund Investment Data'!$B:$B = 12) + FILTER('Fund Investment Data'!$AB:$AB, 'Fund Investment Data'!$C:$C = $C1562, 'Fund Invest"&amp;"ment Data'!$A:$A = $A1562 - 1, 'Fund Investment Data'!$B:$B = 12)) * (1 + AVERAGE(FILTER('Inflation Data'!$C:$C,'Inflation Data'!$A:$A = ($A1562 - 2)))) * Parameters!$A$4,0)"),17620.730663710416)</f>
        <v>17620.73066</v>
      </c>
      <c r="Y1562" s="91">
        <f>IFERROR(__xludf.DUMMYFUNCTION("IFERROR((IFERROR(FILTER('Fund Investment Data'!$P:$P,'Fund Investment Data'!$C:$C = $C1562,'Fund Investment Data'!$A:$A = ($A1562 - 2), 'Fund Investment Data'!$B:$B = 12),0) - SUM(FILTER('Fund Investment Data'!$V:$V, 'Fund Investment Data'!$C:$C = $C1562,"&amp;" 'Fund Investment Data'!$A:$A = ($A1562 - 2), 'Fund Investment Data'!$B:$B &gt; 3)))  * Parameters!$B$4 * (1 - Parameters!$A$4),0)"),7394.127389999999)</f>
        <v>7394.12739</v>
      </c>
      <c r="Z1562" s="91">
        <f t="shared" si="24"/>
        <v>25014.85805</v>
      </c>
      <c r="AA1562" s="91">
        <f>IFERROR(__xludf.DUMMYFUNCTION("((IFERROR((SUM(FILTER('Fund Investment Data'!$V:$V, 'Fund Investment Data'!$C:$C = $C1562, 'Fund Investment Data'!$A:$A = $A1562 - 1, 'Fund Investment Data'!$B:$B &gt;= 4, 'Fund Investment Data'!$B:$B &lt;= ($B1562 + 5))) / 12) * ($B1562 - 3) * Parameters!$B$4,"&amp;" 0) + IF($B1562 &gt;= 9, IFERROR(SUM(FILTER('Fund Investment Data'!$V:$V, 'Fund Investment Data'!$C:$C = $C1562, 'Fund Investment Data'!$A:$A = $A1562, 'Fund Investment Data'!$B:$B &lt;= 3)) * Parameters!$B$4, 0),0)))"),0.0)</f>
        <v>0</v>
      </c>
      <c r="AB1562" s="32">
        <f>IFERROR(__xludf.DUMMYFUNCTION("IFERROR(((IFERROR(SUM(FILTER('Fund Investment Data'!$V:$V, 'Fund Investment Data'!$C:$C = $C1562, 'Fund Investment Data'!$A:$A = $A1562 - 2, 'Fund Investment Data'!$B:$B &gt;= 4)) * Parameters!$B$4,0) + IFERROR(SUM(FILTER('Fund Investment Data'!$V:$V, 'Fund "&amp;"Investment Data'!$C:$C = $C1562, 'Fund Investment Data'!$A:$A = $A1562 - 1, 'Fund Investment Data'!$B:$B &lt;= 3)) * Parameters!$B$4,0))),0)"),0.0)</f>
        <v>0</v>
      </c>
      <c r="AC1562" s="32">
        <f>IFERROR(__xludf.DUMMYFUNCTION("IFERROR(FILTER($AF:$AF,$C:$C = $C1562,$A:$A = $A1562 - 1,$B:$B = 12),0)"),0.0)</f>
        <v>0</v>
      </c>
      <c r="AD1562" s="32">
        <f t="shared" si="23"/>
        <v>25014.85805</v>
      </c>
      <c r="AE1562" s="32">
        <f t="shared" si="2"/>
        <v>-0.1419462896</v>
      </c>
      <c r="AF1562" s="32"/>
    </row>
    <row r="1563">
      <c r="A1563" s="86">
        <v>2019.0</v>
      </c>
      <c r="B1563" s="87">
        <v>10.0</v>
      </c>
      <c r="C1563" s="88" t="s">
        <v>41</v>
      </c>
      <c r="D1563" s="32"/>
      <c r="E1563" s="93">
        <v>-27282.0</v>
      </c>
      <c r="F1563" s="32"/>
      <c r="G1563" s="93">
        <v>-2953.38</v>
      </c>
      <c r="H1563" s="93">
        <v>12621.38</v>
      </c>
      <c r="I1563" s="93">
        <v>6144.21</v>
      </c>
      <c r="J1563" s="93">
        <v>59386.38</v>
      </c>
      <c r="K1563" s="32"/>
      <c r="L1563" s="32"/>
      <c r="M1563" s="32"/>
      <c r="N1563" s="32"/>
      <c r="O1563" s="93">
        <v>631094.06</v>
      </c>
      <c r="P1563" s="91">
        <f>IFERROR(__xludf.DUMMYFUNCTION("IFERROR(sum(FILTER($D:$N,$C:$C = $C1563,$A:$A &lt; $A1563,$B:$B = 12)),0) + sum($D1563:$N1563)"),631094.91)</f>
        <v>631094.91</v>
      </c>
      <c r="Q1563" s="92">
        <f t="shared" si="1"/>
        <v>-0.85</v>
      </c>
      <c r="R1563" s="91">
        <f t="array" ref="R1563">IFERROR(INDEX('Fund YTD Target Values'!$1:$1000, MATCH($C1563,'Fund YTD Target Values'!$A:$A,0), MATCH($A1563,'Fund YTD Target Values'!$1:$1,0)),0)</f>
        <v>598621.3568</v>
      </c>
      <c r="S1563" s="91">
        <f>IFERROR(__xludf.DUMMYFUNCTION("IFERROR(sum(FILTER('Fund Investment Data'!$V:$V, 'Fund Investment Data'!$C:$C = $C1563, 'Fund Investment Data'!$A:$A &lt; $A1563)),0) + IFERROR(sum(FILTER('Fund Investment Data'!$V:$V, 'Fund Investment Data'!$C:$C = $C1563, 'Fund Investment Data'!$A:$A = $A1"&amp;"563, 'Fund Investment Data'!$B:$B &lt;= $B1563)),0)"),433755.86)</f>
        <v>433755.86</v>
      </c>
      <c r="T1563" s="32"/>
      <c r="U1563" s="32"/>
      <c r="V1563" s="32">
        <f>IFERROR(__xludf.DUMMYFUNCTION("$D1563 - IFERROR(FILTER($D:$D,$C:$C = $C1563, $A:$A = $A1563, $B:$B = $B1563 - 1),0)"),0.0)</f>
        <v>0</v>
      </c>
      <c r="W1563" s="93">
        <f>IFERROR(__xludf.DUMMYFUNCTION("$E1563 - IFERROR(FILTER($E:$E,$C:$C = $C1563, $A:$A = $A1563, $B:$B = $B1563 - 1),0)"),0.0)</f>
        <v>0</v>
      </c>
      <c r="X1563" s="91">
        <f>IFERROR(__xludf.DUMMYFUNCTION("iFERROR((FILTER('Fund Investment Data'!$Z:$Z, 'Fund Investment Data'!$C:$C = $C1563, 'Fund Investment Data'!$A:$A = $A1563 - 1, 'Fund Investment Data'!$B:$B = 12) + FILTER('Fund Investment Data'!$AB:$AB, 'Fund Investment Data'!$C:$C = $C1563, 'Fund Invest"&amp;"ment Data'!$A:$A = $A1563 - 1, 'Fund Investment Data'!$B:$B = 12)) * (1 + AVERAGE(FILTER('Inflation Data'!$C:$C,'Inflation Data'!$A:$A = ($A1563 - 2)))) * Parameters!$A$4,0)"),18464.76285534869)</f>
        <v>18464.76286</v>
      </c>
      <c r="Y1563" s="91">
        <f>IFERROR(__xludf.DUMMYFUNCTION("IFERROR((IFERROR(FILTER('Fund Investment Data'!$P:$P,'Fund Investment Data'!$C:$C = $C1563,'Fund Investment Data'!$A:$A = ($A1563 - 2), 'Fund Investment Data'!$B:$B = 12),0) - SUM(FILTER('Fund Investment Data'!$V:$V, 'Fund Investment Data'!$C:$C = $C1563,"&amp;" 'Fund Investment Data'!$A:$A = ($A1563 - 2), 'Fund Investment Data'!$B:$B &gt; 3)))  * Parameters!$B$4 * (1 - Parameters!$A$4),0)"),8817.111225000002)</f>
        <v>8817.111225</v>
      </c>
      <c r="Z1563" s="91">
        <f t="shared" si="24"/>
        <v>27281.87408</v>
      </c>
      <c r="AA1563" s="91">
        <f>IFERROR(__xludf.DUMMYFUNCTION("((IFERROR((SUM(FILTER('Fund Investment Data'!$V:$V, 'Fund Investment Data'!$C:$C = $C1563, 'Fund Investment Data'!$A:$A = $A1563 - 1, 'Fund Investment Data'!$B:$B &gt;= 4, 'Fund Investment Data'!$B:$B &lt;= ($B1563 + 5))) / 12) * ($B1563 - 3) * Parameters!$B$4,"&amp;" 0) + IF($B1563 &gt;= 9, IFERROR(SUM(FILTER('Fund Investment Data'!$V:$V, 'Fund Investment Data'!$C:$C = $C1563, 'Fund Investment Data'!$A:$A = $A1563, 'Fund Investment Data'!$B:$B &lt;= 3)) * Parameters!$B$4, 0),0)))"),0.0)</f>
        <v>0</v>
      </c>
      <c r="AB1563" s="32">
        <f>IFERROR(__xludf.DUMMYFUNCTION("IFERROR(((IFERROR(SUM(FILTER('Fund Investment Data'!$V:$V, 'Fund Investment Data'!$C:$C = $C1563, 'Fund Investment Data'!$A:$A = $A1563 - 2, 'Fund Investment Data'!$B:$B &gt;= 4)) * Parameters!$B$4,0) + IFERROR(SUM(FILTER('Fund Investment Data'!$V:$V, 'Fund "&amp;"Investment Data'!$C:$C = $C1563, 'Fund Investment Data'!$A:$A = $A1563 - 1, 'Fund Investment Data'!$B:$B &lt;= 3)) * Parameters!$B$4,0))),0)"),0.0)</f>
        <v>0</v>
      </c>
      <c r="AC1563" s="32">
        <f>IFERROR(__xludf.DUMMYFUNCTION("IFERROR(FILTER($AF:$AF,$C:$C = $C1563,$A:$A = $A1563 - 1,$B:$B = 12),0)"),0.0)</f>
        <v>0</v>
      </c>
      <c r="AD1563" s="32">
        <f t="shared" si="23"/>
        <v>27281.87408</v>
      </c>
      <c r="AE1563" s="32">
        <f t="shared" si="2"/>
        <v>-0.1259196513</v>
      </c>
      <c r="AF1563" s="32"/>
    </row>
    <row r="1564">
      <c r="A1564" s="86">
        <v>2019.0</v>
      </c>
      <c r="B1564" s="87">
        <v>10.0</v>
      </c>
      <c r="C1564" s="88" t="s">
        <v>25</v>
      </c>
      <c r="D1564" s="32"/>
      <c r="E1564" s="93">
        <v>-4616.0</v>
      </c>
      <c r="F1564" s="32"/>
      <c r="G1564" s="93">
        <v>-380.62</v>
      </c>
      <c r="H1564" s="93">
        <v>1623.26</v>
      </c>
      <c r="I1564" s="93">
        <v>1097.84</v>
      </c>
      <c r="J1564" s="93">
        <v>7267.74</v>
      </c>
      <c r="K1564" s="32"/>
      <c r="L1564" s="32"/>
      <c r="M1564" s="32"/>
      <c r="N1564" s="32"/>
      <c r="O1564" s="93">
        <v>79830.2</v>
      </c>
      <c r="P1564" s="91">
        <f>IFERROR(__xludf.DUMMYFUNCTION("IFERROR(sum(FILTER($D:$N,$C:$C = $C1564,$A:$A &lt; $A1564,$B:$B = 12)),0) + sum($D1564:$N1564)"),79830.19)</f>
        <v>79830.19</v>
      </c>
      <c r="Q1564" s="92">
        <f t="shared" si="1"/>
        <v>0.009999999995</v>
      </c>
      <c r="R1564" s="91">
        <f t="array" ref="R1564">IFERROR(INDEX('Fund YTD Target Values'!$1:$1000, MATCH($C1564,'Fund YTD Target Values'!$A:$A,0), MATCH($A1564,'Fund YTD Target Values'!$1:$1,0)),0)</f>
        <v>111153.3247</v>
      </c>
      <c r="S1564" s="91">
        <f>IFERROR(__xludf.DUMMYFUNCTION("IFERROR(sum(FILTER('Fund Investment Data'!$V:$V, 'Fund Investment Data'!$C:$C = $C1564, 'Fund Investment Data'!$A:$A &lt; $A1564)),0) + IFERROR(sum(FILTER('Fund Investment Data'!$V:$V, 'Fund Investment Data'!$C:$C = $C1564, 'Fund Investment Data'!$A:$A = $A1"&amp;"564, 'Fund Investment Data'!$B:$B &lt;= $B1564)),0)"),81000.0)</f>
        <v>81000</v>
      </c>
      <c r="T1564" s="32"/>
      <c r="U1564" s="32"/>
      <c r="V1564" s="32">
        <f>IFERROR(__xludf.DUMMYFUNCTION("$D1564 - IFERROR(FILTER($D:$D,$C:$C = $C1564, $A:$A = $A1564, $B:$B = $B1564 - 1),0)"),0.0)</f>
        <v>0</v>
      </c>
      <c r="W1564" s="93">
        <f>IFERROR(__xludf.DUMMYFUNCTION("$E1564 - IFERROR(FILTER($E:$E,$C:$C = $C1564, $A:$A = $A1564, $B:$B = $B1564 - 1),0)"),0.0)</f>
        <v>0</v>
      </c>
      <c r="X1564" s="91">
        <f>IFERROR(__xludf.DUMMYFUNCTION("iFERROR((FILTER('Fund Investment Data'!$Z:$Z, 'Fund Investment Data'!$C:$C = $C1564, 'Fund Investment Data'!$A:$A = $A1564 - 1, 'Fund Investment Data'!$B:$B = 12) + FILTER('Fund Investment Data'!$AB:$AB, 'Fund Investment Data'!$C:$C = $C1564, 'Fund Invest"&amp;"ment Data'!$A:$A = $A1564 - 1, 'Fund Investment Data'!$B:$B = 12)) * (1 + AVERAGE(FILTER('Inflation Data'!$C:$C,'Inflation Data'!$A:$A = ($A1564 - 2)))) * Parameters!$A$4,0)"),3251.4512616945367)</f>
        <v>3251.451262</v>
      </c>
      <c r="Y1564" s="91">
        <f>IFERROR(__xludf.DUMMYFUNCTION("IFERROR((IFERROR(FILTER('Fund Investment Data'!$P:$P,'Fund Investment Data'!$C:$C = $C1564,'Fund Investment Data'!$A:$A = ($A1564 - 2), 'Fund Investment Data'!$B:$B = 12),0) - SUM(FILTER('Fund Investment Data'!$V:$V, 'Fund Investment Data'!$C:$C = $C1564,"&amp;" 'Fund Investment Data'!$A:$A = ($A1564 - 2), 'Fund Investment Data'!$B:$B &gt; 3)))  * Parameters!$B$4 * (1 - Parameters!$A$4),0)"),1364.3954549999999)</f>
        <v>1364.395455</v>
      </c>
      <c r="Z1564" s="91">
        <f t="shared" si="24"/>
        <v>4615.846717</v>
      </c>
      <c r="AA1564" s="91">
        <f>IFERROR(__xludf.DUMMYFUNCTION("((IFERROR((SUM(FILTER('Fund Investment Data'!$V:$V, 'Fund Investment Data'!$C:$C = $C1564, 'Fund Investment Data'!$A:$A = $A1564 - 1, 'Fund Investment Data'!$B:$B &gt;= 4, 'Fund Investment Data'!$B:$B &lt;= ($B1564 + 5))) / 12) * ($B1564 - 3) * Parameters!$B$4,"&amp;" 0) + IF($B1564 &gt;= 9, IFERROR(SUM(FILTER('Fund Investment Data'!$V:$V, 'Fund Investment Data'!$C:$C = $C1564, 'Fund Investment Data'!$A:$A = $A1564, 'Fund Investment Data'!$B:$B &lt;= 3)) * Parameters!$B$4, 0),0)))"),0.0)</f>
        <v>0</v>
      </c>
      <c r="AB1564" s="32">
        <f>IFERROR(__xludf.DUMMYFUNCTION("IFERROR(((IFERROR(SUM(FILTER('Fund Investment Data'!$V:$V, 'Fund Investment Data'!$C:$C = $C1564, 'Fund Investment Data'!$A:$A = $A1564 - 2, 'Fund Investment Data'!$B:$B &gt;= 4)) * Parameters!$B$4,0) + IFERROR(SUM(FILTER('Fund Investment Data'!$V:$V, 'Fund "&amp;"Investment Data'!$C:$C = $C1564, 'Fund Investment Data'!$A:$A = $A1564 - 1, 'Fund Investment Data'!$B:$B &lt;= 3)) * Parameters!$B$4,0))),0)"),0.0)</f>
        <v>0</v>
      </c>
      <c r="AC1564" s="32">
        <f>IFERROR(__xludf.DUMMYFUNCTION("IFERROR(FILTER($AF:$AF,$C:$C = $C1564,$A:$A = $A1564 - 1,$B:$B = 12),0)"),0.0)</f>
        <v>0</v>
      </c>
      <c r="AD1564" s="32">
        <f t="shared" si="23"/>
        <v>4615.846717</v>
      </c>
      <c r="AE1564" s="32">
        <f t="shared" si="2"/>
        <v>-0.1532833055</v>
      </c>
      <c r="AF1564" s="32"/>
    </row>
    <row r="1565">
      <c r="A1565" s="86">
        <v>2019.0</v>
      </c>
      <c r="B1565" s="87">
        <v>10.0</v>
      </c>
      <c r="C1565" s="88" t="s">
        <v>42</v>
      </c>
      <c r="D1565" s="32"/>
      <c r="E1565" s="93">
        <v>-11585.0</v>
      </c>
      <c r="F1565" s="32"/>
      <c r="G1565" s="93">
        <v>-1379.75</v>
      </c>
      <c r="H1565" s="93">
        <v>5889.69</v>
      </c>
      <c r="I1565" s="93">
        <v>662.94</v>
      </c>
      <c r="J1565" s="93">
        <v>29599.33</v>
      </c>
      <c r="K1565" s="32"/>
      <c r="L1565" s="32"/>
      <c r="M1565" s="32"/>
      <c r="N1565" s="32"/>
      <c r="O1565" s="93">
        <v>294063.71</v>
      </c>
      <c r="P1565" s="91">
        <f>IFERROR(__xludf.DUMMYFUNCTION("IFERROR(sum(FILTER($D:$N,$C:$C = $C1565,$A:$A &lt; $A1565,$B:$B = 12)),0) + sum($D1565:$N1565)"),294063.1800000001)</f>
        <v>294063.18</v>
      </c>
      <c r="Q1565" s="92">
        <f t="shared" si="1"/>
        <v>0.5299999999</v>
      </c>
      <c r="R1565" s="91">
        <f t="array" ref="R1565">IFERROR(INDEX('Fund YTD Target Values'!$1:$1000, MATCH($C1565,'Fund YTD Target Values'!$A:$A,0), MATCH($A1565,'Fund YTD Target Values'!$1:$1,0)),0)</f>
        <v>244537.4928</v>
      </c>
      <c r="S1565" s="91">
        <f>IFERROR(__xludf.DUMMYFUNCTION("IFERROR(sum(FILTER('Fund Investment Data'!$V:$V, 'Fund Investment Data'!$C:$C = $C1565, 'Fund Investment Data'!$A:$A &lt; $A1565)),0) + IFERROR(sum(FILTER('Fund Investment Data'!$V:$V, 'Fund Investment Data'!$C:$C = $C1565, 'Fund Investment Data'!$A:$A = $A1"&amp;"565, 'Fund Investment Data'!$B:$B &lt;= $B1565)),0)"),194469.0)</f>
        <v>194469</v>
      </c>
      <c r="T1565" s="32"/>
      <c r="U1565" s="32"/>
      <c r="V1565" s="32">
        <f>IFERROR(__xludf.DUMMYFUNCTION("$D1565 - IFERROR(FILTER($D:$D,$C:$C = $C1565, $A:$A = $A1565, $B:$B = $B1565 - 1),0)"),0.0)</f>
        <v>0</v>
      </c>
      <c r="W1565" s="93">
        <f>IFERROR(__xludf.DUMMYFUNCTION("$E1565 - IFERROR(FILTER($E:$E,$C:$C = $C1565, $A:$A = $A1565, $B:$B = $B1565 - 1),0)"),0.0)</f>
        <v>0</v>
      </c>
      <c r="X1565" s="91">
        <f>IFERROR(__xludf.DUMMYFUNCTION("iFERROR((FILTER('Fund Investment Data'!$Z:$Z, 'Fund Investment Data'!$C:$C = $C1565, 'Fund Investment Data'!$A:$A = $A1565 - 1, 'Fund Investment Data'!$B:$B = 12) + FILTER('Fund Investment Data'!$AB:$AB, 'Fund Investment Data'!$C:$C = $C1565, 'Fund Invest"&amp;"ment Data'!$A:$A = $A1565 - 1, 'Fund Investment Data'!$B:$B = 12)) * (1 + AVERAGE(FILTER('Inflation Data'!$C:$C,'Inflation Data'!$A:$A = ($A1565 - 2)))) * Parameters!$A$4,0)"),7542.876247032937)</f>
        <v>7542.876247</v>
      </c>
      <c r="Y1565" s="91">
        <f>IFERROR(__xludf.DUMMYFUNCTION("IFERROR((IFERROR(FILTER('Fund Investment Data'!$P:$P,'Fund Investment Data'!$C:$C = $C1565,'Fund Investment Data'!$A:$A = ($A1565 - 2), 'Fund Investment Data'!$B:$B = 12),0) - SUM(FILTER('Fund Investment Data'!$V:$V, 'Fund Investment Data'!$C:$C = $C1565,"&amp;" 'Fund Investment Data'!$A:$A = ($A1565 - 2), 'Fund Investment Data'!$B:$B &gt; 3)))  * Parameters!$B$4 * (1 - Parameters!$A$4),0)"),4042.544760000002)</f>
        <v>4042.54476</v>
      </c>
      <c r="Z1565" s="91">
        <f t="shared" si="24"/>
        <v>11585.42101</v>
      </c>
      <c r="AA1565" s="91">
        <f>IFERROR(__xludf.DUMMYFUNCTION("((IFERROR((SUM(FILTER('Fund Investment Data'!$V:$V, 'Fund Investment Data'!$C:$C = $C1565, 'Fund Investment Data'!$A:$A = $A1565 - 1, 'Fund Investment Data'!$B:$B &gt;= 4, 'Fund Investment Data'!$B:$B &lt;= ($B1565 + 5))) / 12) * ($B1565 - 3) * Parameters!$B$4,"&amp;" 0) + IF($B1565 &gt;= 9, IFERROR(SUM(FILTER('Fund Investment Data'!$V:$V, 'Fund Investment Data'!$C:$C = $C1565, 'Fund Investment Data'!$A:$A = $A1565, 'Fund Investment Data'!$B:$B &lt;= 3)) * Parameters!$B$4, 0),0)))"),0.0)</f>
        <v>0</v>
      </c>
      <c r="AB1565" s="32">
        <f>IFERROR(__xludf.DUMMYFUNCTION("IFERROR(((IFERROR(SUM(FILTER('Fund Investment Data'!$V:$V, 'Fund Investment Data'!$C:$C = $C1565, 'Fund Investment Data'!$A:$A = $A1565 - 2, 'Fund Investment Data'!$B:$B &gt;= 4)) * Parameters!$B$4,0) + IFERROR(SUM(FILTER('Fund Investment Data'!$V:$V, 'Fund "&amp;"Investment Data'!$C:$C = $C1565, 'Fund Investment Data'!$A:$A = $A1565 - 1, 'Fund Investment Data'!$B:$B &lt;= 3)) * Parameters!$B$4,0))),0)"),0.0)</f>
        <v>0</v>
      </c>
      <c r="AC1565" s="32">
        <f>IFERROR(__xludf.DUMMYFUNCTION("IFERROR(FILTER($AF:$AF,$C:$C = $C1565,$A:$A = $A1565 - 1,$B:$B = 12),0)"),0.0)</f>
        <v>0</v>
      </c>
      <c r="AD1565" s="32">
        <f t="shared" si="23"/>
        <v>11585.42101</v>
      </c>
      <c r="AE1565" s="32">
        <f t="shared" si="2"/>
        <v>0.4210070329</v>
      </c>
      <c r="AF1565" s="32"/>
    </row>
    <row r="1566">
      <c r="A1566" s="86">
        <v>2019.0</v>
      </c>
      <c r="B1566" s="87">
        <v>10.0</v>
      </c>
      <c r="C1566" s="88" t="s">
        <v>43</v>
      </c>
      <c r="D1566" s="32"/>
      <c r="E1566" s="93">
        <v>-5732.0</v>
      </c>
      <c r="F1566" s="32"/>
      <c r="G1566" s="93">
        <v>-551.85</v>
      </c>
      <c r="H1566" s="93">
        <v>2362.48</v>
      </c>
      <c r="I1566" s="93">
        <v>1332.53</v>
      </c>
      <c r="J1566" s="93">
        <v>11057.85</v>
      </c>
      <c r="K1566" s="32"/>
      <c r="L1566" s="32"/>
      <c r="M1566" s="32"/>
      <c r="N1566" s="32"/>
      <c r="O1566" s="93">
        <v>118767.23</v>
      </c>
      <c r="P1566" s="91">
        <f>IFERROR(__xludf.DUMMYFUNCTION("IFERROR(sum(FILTER($D:$N,$C:$C = $C1566,$A:$A &lt; $A1566,$B:$B = 12)),0) + sum($D1566:$N1566)"),118766.49000000002)</f>
        <v>118766.49</v>
      </c>
      <c r="Q1566" s="92">
        <f t="shared" si="1"/>
        <v>0.74</v>
      </c>
      <c r="R1566" s="91">
        <f t="array" ref="R1566">IFERROR(INDEX('Fund YTD Target Values'!$1:$1000, MATCH($C1566,'Fund YTD Target Values'!$A:$A,0), MATCH($A1566,'Fund YTD Target Values'!$1:$1,0)),0)</f>
        <v>133065.1141</v>
      </c>
      <c r="S1566" s="91">
        <f>IFERROR(__xludf.DUMMYFUNCTION("IFERROR(sum(FILTER('Fund Investment Data'!$V:$V, 'Fund Investment Data'!$C:$C = $C1566, 'Fund Investment Data'!$A:$A &lt; $A1566)),0) + IFERROR(sum(FILTER('Fund Investment Data'!$V:$V, 'Fund Investment Data'!$C:$C = $C1566, 'Fund Investment Data'!$A:$A = $A1"&amp;"566, 'Fund Investment Data'!$B:$B &lt;= $B1566)),0)"),100000.0)</f>
        <v>100000</v>
      </c>
      <c r="T1566" s="32"/>
      <c r="U1566" s="32"/>
      <c r="V1566" s="32">
        <f>IFERROR(__xludf.DUMMYFUNCTION("$D1566 - IFERROR(FILTER($D:$D,$C:$C = $C1566, $A:$A = $A1566, $B:$B = $B1566 - 1),0)"),0.0)</f>
        <v>0</v>
      </c>
      <c r="W1566" s="93">
        <f>IFERROR(__xludf.DUMMYFUNCTION("$E1566 - IFERROR(FILTER($E:$E,$C:$C = $C1566, $A:$A = $A1566, $B:$B = $B1566 - 1),0)"),0.0)</f>
        <v>0</v>
      </c>
      <c r="X1566" s="91">
        <f>IFERROR(__xludf.DUMMYFUNCTION("iFERROR((FILTER('Fund Investment Data'!$Z:$Z, 'Fund Investment Data'!$C:$C = $C1566, 'Fund Investment Data'!$A:$A = $A1566 - 1, 'Fund Investment Data'!$B:$B = 12) + FILTER('Fund Investment Data'!$AB:$AB, 'Fund Investment Data'!$C:$C = $C1566, 'Fund Invest"&amp;"ment Data'!$A:$A = $A1566 - 1, 'Fund Investment Data'!$B:$B = 12)) * (1 + AVERAGE(FILTER('Inflation Data'!$C:$C,'Inflation Data'!$A:$A = ($A1566 - 2)))) * Parameters!$A$4,0)"),4037.921818829265)</f>
        <v>4037.921819</v>
      </c>
      <c r="Y1566" s="91">
        <f>IFERROR(__xludf.DUMMYFUNCTION("IFERROR((IFERROR(FILTER('Fund Investment Data'!$P:$P,'Fund Investment Data'!$C:$C = $C1566,'Fund Investment Data'!$A:$A = ($A1566 - 2), 'Fund Investment Data'!$B:$B = 12),0) - SUM(FILTER('Fund Investment Data'!$V:$V, 'Fund Investment Data'!$C:$C = $C1566,"&amp;" 'Fund Investment Data'!$A:$A = ($A1566 - 2), 'Fund Investment Data'!$B:$B &gt; 3)))  * Parameters!$B$4 * (1 - Parameters!$A$4),0)"),1694.4194250000005)</f>
        <v>1694.419425</v>
      </c>
      <c r="Z1566" s="91">
        <f t="shared" si="24"/>
        <v>5732.341244</v>
      </c>
      <c r="AA1566" s="91">
        <f>IFERROR(__xludf.DUMMYFUNCTION("((IFERROR((SUM(FILTER('Fund Investment Data'!$V:$V, 'Fund Investment Data'!$C:$C = $C1566, 'Fund Investment Data'!$A:$A = $A1566 - 1, 'Fund Investment Data'!$B:$B &gt;= 4, 'Fund Investment Data'!$B:$B &lt;= ($B1566 + 5))) / 12) * ($B1566 - 3) * Parameters!$B$4,"&amp;" 0) + IF($B1566 &gt;= 9, IFERROR(SUM(FILTER('Fund Investment Data'!$V:$V, 'Fund Investment Data'!$C:$C = $C1566, 'Fund Investment Data'!$A:$A = $A1566, 'Fund Investment Data'!$B:$B &lt;= 3)) * Parameters!$B$4, 0),0)))"),0.0)</f>
        <v>0</v>
      </c>
      <c r="AB1566" s="32">
        <f>IFERROR(__xludf.DUMMYFUNCTION("IFERROR(((IFERROR(SUM(FILTER('Fund Investment Data'!$V:$V, 'Fund Investment Data'!$C:$C = $C1566, 'Fund Investment Data'!$A:$A = $A1566 - 2, 'Fund Investment Data'!$B:$B &gt;= 4)) * Parameters!$B$4,0) + IFERROR(SUM(FILTER('Fund Investment Data'!$V:$V, 'Fund "&amp;"Investment Data'!$C:$C = $C1566, 'Fund Investment Data'!$A:$A = $A1566 - 1, 'Fund Investment Data'!$B:$B &lt;= 3)) * Parameters!$B$4,0))),0)"),0.0)</f>
        <v>0</v>
      </c>
      <c r="AC1566" s="32">
        <f>IFERROR(__xludf.DUMMYFUNCTION("IFERROR(FILTER($AF:$AF,$C:$C = $C1566,$A:$A = $A1566 - 1,$B:$B = 12),0)"),0.0)</f>
        <v>0</v>
      </c>
      <c r="AD1566" s="32">
        <f t="shared" si="23"/>
        <v>5732.341244</v>
      </c>
      <c r="AE1566" s="32">
        <f t="shared" si="2"/>
        <v>0.3412438293</v>
      </c>
      <c r="AF1566" s="32"/>
    </row>
    <row r="1567">
      <c r="A1567" s="86">
        <v>2019.0</v>
      </c>
      <c r="B1567" s="87">
        <v>10.0</v>
      </c>
      <c r="C1567" s="88" t="s">
        <v>52</v>
      </c>
      <c r="D1567" s="93">
        <v>1000.0</v>
      </c>
      <c r="E1567" s="93">
        <v>-65553.0</v>
      </c>
      <c r="F1567" s="32"/>
      <c r="G1567" s="93">
        <v>-5477.82</v>
      </c>
      <c r="H1567" s="93">
        <v>23447.99</v>
      </c>
      <c r="I1567" s="32"/>
      <c r="J1567" s="93">
        <v>122505.43</v>
      </c>
      <c r="K1567" s="32"/>
      <c r="L1567" s="93">
        <v>-158.75</v>
      </c>
      <c r="M1567" s="32"/>
      <c r="N1567" s="32"/>
      <c r="O1567" s="93">
        <v>1167304.2</v>
      </c>
      <c r="P1567" s="91">
        <f>IFERROR(__xludf.DUMMYFUNCTION("IFERROR(sum(FILTER($D:$N,$C:$C = $C1567,$A:$A &lt; $A1567,$B:$B = 12)),0) + sum($D1567:$N1567)"),1167303.88)</f>
        <v>1167303.88</v>
      </c>
      <c r="Q1567" s="92">
        <f t="shared" si="1"/>
        <v>0.3200000001</v>
      </c>
      <c r="R1567" s="91">
        <f t="array" ref="R1567">IFERROR(INDEX('Fund YTD Target Values'!$1:$1000, MATCH($C1567,'Fund YTD Target Values'!$A:$A,0), MATCH($A1567,'Fund YTD Target Values'!$1:$1,0)),0)</f>
        <v>1170797.015</v>
      </c>
      <c r="S1567" s="91">
        <f>IFERROR(__xludf.DUMMYFUNCTION("IFERROR(sum(FILTER('Fund Investment Data'!$V:$V, 'Fund Investment Data'!$C:$C = $C1567, 'Fund Investment Data'!$A:$A &lt; $A1567)),0) + IFERROR(sum(FILTER('Fund Investment Data'!$V:$V, 'Fund Investment Data'!$C:$C = $C1567, 'Fund Investment Data'!$A:$A = $A1"&amp;"567, 'Fund Investment Data'!$B:$B &lt;= $B1567)),0)"),1081136.0)</f>
        <v>1081136</v>
      </c>
      <c r="T1567" s="32"/>
      <c r="U1567" s="32"/>
      <c r="V1567" s="32">
        <f>IFERROR(__xludf.DUMMYFUNCTION("$D1567 - IFERROR(FILTER($D:$D,$C:$C = $C1567, $A:$A = $A1567, $B:$B = $B1567 - 1),0)"),0.0)</f>
        <v>0</v>
      </c>
      <c r="W1567" s="93">
        <f>IFERROR(__xludf.DUMMYFUNCTION("$E1567 - IFERROR(FILTER($E:$E,$C:$C = $C1567, $A:$A = $A1567, $B:$B = $B1567 - 1),0)"),0.0)</f>
        <v>0</v>
      </c>
      <c r="X1567" s="91">
        <f>IFERROR(__xludf.DUMMYFUNCTION("iFERROR((FILTER('Fund Investment Data'!$Z:$Z, 'Fund Investment Data'!$C:$C = $C1567, 'Fund Investment Data'!$A:$A = $A1567 - 1, 'Fund Investment Data'!$B:$B = 12) + FILTER('Fund Investment Data'!$AB:$AB, 'Fund Investment Data'!$C:$C = $C1567, 'Fund Invest"&amp;"ment Data'!$A:$A = $A1567 - 1, 'Fund Investment Data'!$B:$B = 12)) * (1 + AVERAGE(FILTER('Inflation Data'!$C:$C,'Inflation Data'!$A:$A = ($A1567 - 2)))) * Parameters!$A$4,0)"),33647.195102028425)</f>
        <v>33647.1951</v>
      </c>
      <c r="Y1567" s="91">
        <f>IFERROR(__xludf.DUMMYFUNCTION("IFERROR((IFERROR(FILTER('Fund Investment Data'!$P:$P,'Fund Investment Data'!$C:$C = $C1567,'Fund Investment Data'!$A:$A = ($A1567 - 2), 'Fund Investment Data'!$B:$B = 12),0) - SUM(FILTER('Fund Investment Data'!$V:$V, 'Fund Investment Data'!$C:$C = $C1567,"&amp;" 'Fund Investment Data'!$A:$A = ($A1567 - 2), 'Fund Investment Data'!$B:$B &gt; 3)))  * Parameters!$B$4 * (1 - Parameters!$A$4),0)"),15672.907755)</f>
        <v>15672.90776</v>
      </c>
      <c r="Z1567" s="91">
        <f t="shared" si="24"/>
        <v>49320.10286</v>
      </c>
      <c r="AA1567" s="91">
        <f>IFERROR(__xludf.DUMMYFUNCTION("((IFERROR((SUM(FILTER('Fund Investment Data'!$V:$V, 'Fund Investment Data'!$C:$C = $C1567, 'Fund Investment Data'!$A:$A = $A1567 - 1, 'Fund Investment Data'!$B:$B &gt;= 4, 'Fund Investment Data'!$B:$B &lt;= ($B1567 + 5))) / 12) * ($B1567 - 3) * Parameters!$B$4,"&amp;" 0) + IF($B1567 &gt;= 9, IFERROR(SUM(FILTER('Fund Investment Data'!$V:$V, 'Fund Investment Data'!$C:$C = $C1567, 'Fund Investment Data'!$A:$A = $A1567, 'Fund Investment Data'!$B:$B &lt;= 3)) * Parameters!$B$4, 0),0)))"),45.0)</f>
        <v>45</v>
      </c>
      <c r="AB1567" s="32">
        <f>IFERROR(__xludf.DUMMYFUNCTION("IFERROR(((IFERROR(SUM(FILTER('Fund Investment Data'!$V:$V, 'Fund Investment Data'!$C:$C = $C1567, 'Fund Investment Data'!$A:$A = $A1567 - 2, 'Fund Investment Data'!$B:$B &gt;= 4)) * Parameters!$B$4,0) + IFERROR(SUM(FILTER('Fund Investment Data'!$V:$V, 'Fund "&amp;"Investment Data'!$C:$C = $C1567, 'Fund Investment Data'!$A:$A = $A1567 - 1, 'Fund Investment Data'!$B:$B &lt;= 3)) * Parameters!$B$4,0))),0)"),3532.5)</f>
        <v>3532.5</v>
      </c>
      <c r="AC1567" s="32">
        <f>IFERROR(__xludf.DUMMYFUNCTION("IFERROR(FILTER($AF:$AF,$C:$C = $C1567,$A:$A = $A1567 - 1,$B:$B = 12),0)"),0.0)</f>
        <v>0</v>
      </c>
      <c r="AD1567" s="32">
        <f t="shared" si="23"/>
        <v>52897.60286</v>
      </c>
      <c r="AE1567" s="32">
        <f t="shared" si="2"/>
        <v>-12655.39714</v>
      </c>
      <c r="AF1567" s="32"/>
    </row>
    <row r="1568">
      <c r="A1568" s="86">
        <v>2019.0</v>
      </c>
      <c r="B1568" s="87">
        <v>10.0</v>
      </c>
      <c r="C1568" s="88" t="s">
        <v>33</v>
      </c>
      <c r="D1568" s="32"/>
      <c r="E1568" s="93">
        <v>-3608.0</v>
      </c>
      <c r="F1568" s="32"/>
      <c r="G1568" s="93">
        <v>-1594.21</v>
      </c>
      <c r="H1568" s="93">
        <v>6818.03</v>
      </c>
      <c r="I1568" s="32"/>
      <c r="J1568" s="93">
        <v>35234.97</v>
      </c>
      <c r="K1568" s="32"/>
      <c r="L1568" s="32"/>
      <c r="M1568" s="32"/>
      <c r="N1568" s="32"/>
      <c r="O1568" s="93">
        <v>349795.75</v>
      </c>
      <c r="P1568" s="91">
        <f>IFERROR(__xludf.DUMMYFUNCTION("IFERROR(sum(FILTER($D:$N,$C:$C = $C1568,$A:$A &lt; $A1568,$B:$B = 12)),0) + sum($D1568:$N1568)"),349795.9699999998)</f>
        <v>349795.97</v>
      </c>
      <c r="Q1568" s="92">
        <f t="shared" si="1"/>
        <v>-0.2199999998</v>
      </c>
      <c r="R1568" s="91">
        <f t="array" ref="R1568">IFERROR(INDEX('Fund YTD Target Values'!$1:$1000, MATCH($C1568,'Fund YTD Target Values'!$A:$A,0), MATCH($A1568,'Fund YTD Target Values'!$1:$1,0)),0)</f>
        <v>522221.9976</v>
      </c>
      <c r="S1568" s="91">
        <f>IFERROR(__xludf.DUMMYFUNCTION("IFERROR(sum(FILTER('Fund Investment Data'!$V:$V, 'Fund Investment Data'!$C:$C = $C1568, 'Fund Investment Data'!$A:$A &lt; $A1568)),0) + IFERROR(sum(FILTER('Fund Investment Data'!$V:$V, 'Fund Investment Data'!$C:$C = $C1568, 'Fund Investment Data'!$A:$A = $A1"&amp;"568, 'Fund Investment Data'!$B:$B &lt;= $B1568)),0)"),325871.6399999999)</f>
        <v>325871.64</v>
      </c>
      <c r="T1568" s="32"/>
      <c r="U1568" s="32"/>
      <c r="V1568" s="32">
        <f>IFERROR(__xludf.DUMMYFUNCTION("$D1568 - IFERROR(FILTER($D:$D,$C:$C = $C1568, $A:$A = $A1568, $B:$B = $B1568 - 1),0)"),0.0)</f>
        <v>0</v>
      </c>
      <c r="W1568" s="93">
        <f>IFERROR(__xludf.DUMMYFUNCTION("$E1568 - IFERROR(FILTER($E:$E,$C:$C = $C1568, $A:$A = $A1568, $B:$B = $B1568 - 1),0)"),0.0)</f>
        <v>0</v>
      </c>
      <c r="X1568" s="91">
        <f>IFERROR(__xludf.DUMMYFUNCTION("iFERROR((FILTER('Fund Investment Data'!$Z:$Z, 'Fund Investment Data'!$C:$C = $C1568, 'Fund Investment Data'!$A:$A = $A1568 - 1, 'Fund Investment Data'!$B:$B = 12) + FILTER('Fund Investment Data'!$AB:$AB, 'Fund Investment Data'!$C:$C = $C1568, 'Fund Invest"&amp;"ment Data'!$A:$A = $A1568 - 1, 'Fund Investment Data'!$B:$B = 12)) * (1 + AVERAGE(FILTER('Inflation Data'!$C:$C,'Inflation Data'!$A:$A = ($A1568 - 2)))) * Parameters!$A$4,0)"),11487.702435867292)</f>
        <v>11487.70244</v>
      </c>
      <c r="Y1568" s="91">
        <f>IFERROR(__xludf.DUMMYFUNCTION("IFERROR((IFERROR(FILTER('Fund Investment Data'!$P:$P,'Fund Investment Data'!$C:$C = $C1568,'Fund Investment Data'!$A:$A = ($A1568 - 2), 'Fund Investment Data'!$B:$B = 12),0) - SUM(FILTER('Fund Investment Data'!$V:$V, 'Fund Investment Data'!$C:$C = $C1568,"&amp;" 'Fund Investment Data'!$A:$A = ($A1568 - 2), 'Fund Investment Data'!$B:$B &gt; 3)))  * Parameters!$B$4 * (1 - Parameters!$A$4),0)"),4820.5455749999965)</f>
        <v>4820.545575</v>
      </c>
      <c r="Z1568" s="91">
        <f t="shared" si="24"/>
        <v>16308.24801</v>
      </c>
      <c r="AA1568" s="91">
        <f>IFERROR(__xludf.DUMMYFUNCTION("((IFERROR((SUM(FILTER('Fund Investment Data'!$V:$V, 'Fund Investment Data'!$C:$C = $C1568, 'Fund Investment Data'!$A:$A = $A1568 - 1, 'Fund Investment Data'!$B:$B &gt;= 4, 'Fund Investment Data'!$B:$B &lt;= ($B1568 + 5))) / 12) * ($B1568 - 3) * Parameters!$B$4,"&amp;" 0) + IF($B1568 &gt;= 9, IFERROR(SUM(FILTER('Fund Investment Data'!$V:$V, 'Fund Investment Data'!$C:$C = $C1568, 'Fund Investment Data'!$A:$A = $A1568, 'Fund Investment Data'!$B:$B &lt;= 3)) * Parameters!$B$4, 0),0)))"),0.0)</f>
        <v>0</v>
      </c>
      <c r="AB1568" s="32">
        <f>IFERROR(__xludf.DUMMYFUNCTION("IFERROR(((IFERROR(SUM(FILTER('Fund Investment Data'!$V:$V, 'Fund Investment Data'!$C:$C = $C1568, 'Fund Investment Data'!$A:$A = $A1568 - 2, 'Fund Investment Data'!$B:$B &gt;= 4)) * Parameters!$B$4,0) + IFERROR(SUM(FILTER('Fund Investment Data'!$V:$V, 'Fund "&amp;"Investment Data'!$C:$C = $C1568, 'Fund Investment Data'!$A:$A = $A1568 - 1, 'Fund Investment Data'!$B:$B &lt;= 3)) * Parameters!$B$4,0))),0)"),0.0)</f>
        <v>0</v>
      </c>
      <c r="AC1568" s="32">
        <f>IFERROR(__xludf.DUMMYFUNCTION("IFERROR(FILTER($AF:$AF,$C:$C = $C1568,$A:$A = $A1568 - 1,$B:$B = 12),0)"),0.0)</f>
        <v>0</v>
      </c>
      <c r="AD1568" s="32">
        <f t="shared" si="23"/>
        <v>16308.24801</v>
      </c>
      <c r="AE1568" s="32">
        <f t="shared" si="2"/>
        <v>12700.24801</v>
      </c>
      <c r="AF1568" s="32"/>
    </row>
    <row r="1569">
      <c r="A1569" s="86">
        <v>2019.0</v>
      </c>
      <c r="B1569" s="87">
        <v>10.0</v>
      </c>
      <c r="C1569" s="88" t="s">
        <v>53</v>
      </c>
      <c r="D1569" s="32"/>
      <c r="E1569" s="93">
        <v>-168884.0</v>
      </c>
      <c r="F1569" s="32"/>
      <c r="G1569" s="93">
        <v>-10224.99</v>
      </c>
      <c r="H1569" s="93">
        <v>43622.64</v>
      </c>
      <c r="I1569" s="93">
        <v>12661.52</v>
      </c>
      <c r="J1569" s="93">
        <v>211382.22</v>
      </c>
      <c r="K1569" s="32"/>
      <c r="L1569" s="32"/>
      <c r="M1569" s="32"/>
      <c r="N1569" s="32"/>
      <c r="O1569" s="93">
        <v>2135092.27</v>
      </c>
      <c r="P1569" s="91">
        <f>IFERROR(__xludf.DUMMYFUNCTION("IFERROR(sum(FILTER($D:$N,$C:$C = $C1569,$A:$A &lt; $A1569,$B:$B = 12)),0) + sum($D1569:$N1569)"),2135092.27)</f>
        <v>2135092.27</v>
      </c>
      <c r="Q1569" s="92">
        <f t="shared" si="1"/>
        <v>0</v>
      </c>
      <c r="R1569" s="91">
        <f t="array" ref="R1569">IFERROR(INDEX('Fund YTD Target Values'!$1:$1000, MATCH($C1569,'Fund YTD Target Values'!$A:$A,0), MATCH($A1569,'Fund YTD Target Values'!$1:$1,0)),0)</f>
        <v>2265063.703</v>
      </c>
      <c r="S1569" s="91">
        <f>IFERROR(__xludf.DUMMYFUNCTION("IFERROR(sum(FILTER('Fund Investment Data'!$V:$V, 'Fund Investment Data'!$C:$C = $C1569, 'Fund Investment Data'!$A:$A &lt; $A1569)),0) + IFERROR(sum(FILTER('Fund Investment Data'!$V:$V, 'Fund Investment Data'!$C:$C = $C1569, 'Fund Investment Data'!$A:$A = $A1"&amp;"569, 'Fund Investment Data'!$B:$B &lt;= $B1569)),0)"),2005500.0)</f>
        <v>2005500</v>
      </c>
      <c r="T1569" s="32"/>
      <c r="U1569" s="32"/>
      <c r="V1569" s="32">
        <f>IFERROR(__xludf.DUMMYFUNCTION("$D1569 - IFERROR(FILTER($D:$D,$C:$C = $C1569, $A:$A = $A1569, $B:$B = $B1569 - 1),0)"),0.0)</f>
        <v>0</v>
      </c>
      <c r="W1569" s="93">
        <f>IFERROR(__xludf.DUMMYFUNCTION("$E1569 - IFERROR(FILTER($E:$E,$C:$C = $C1569, $A:$A = $A1569, $B:$B = $B1569 - 1),0)"),0.0)</f>
        <v>0</v>
      </c>
      <c r="X1569" s="91">
        <f>IFERROR(__xludf.DUMMYFUNCTION("iFERROR((FILTER('Fund Investment Data'!$Z:$Z, 'Fund Investment Data'!$C:$C = $C1569, 'Fund Investment Data'!$A:$A = $A1569 - 1, 'Fund Investment Data'!$B:$B = 12) + FILTER('Fund Investment Data'!$AB:$AB, 'Fund Investment Data'!$C:$C = $C1569, 'Fund Invest"&amp;"ment Data'!$A:$A = $A1569 - 1, 'Fund Investment Data'!$B:$B = 12)) * (1 + AVERAGE(FILTER('Inflation Data'!$C:$C,'Inflation Data'!$A:$A = ($A1569 - 2)))) * Parameters!$A$4,0)"),69866.97627398264)</f>
        <v>69866.97627</v>
      </c>
      <c r="Y1569" s="91">
        <f>IFERROR(__xludf.DUMMYFUNCTION("IFERROR((IFERROR(FILTER('Fund Investment Data'!$P:$P,'Fund Investment Data'!$C:$C = $C1569,'Fund Investment Data'!$A:$A = ($A1569 - 2), 'Fund Investment Data'!$B:$B = 12),0) - SUM(FILTER('Fund Investment Data'!$V:$V, 'Fund Investment Data'!$C:$C = $C1569,"&amp;" 'Fund Investment Data'!$A:$A = ($A1569 - 2), 'Fund Investment Data'!$B:$B &gt; 3)))  * Parameters!$B$4 * (1 - Parameters!$A$4),0)"),30716.748180000002)</f>
        <v>30716.74818</v>
      </c>
      <c r="Z1569" s="91">
        <f t="shared" si="24"/>
        <v>100583.7245</v>
      </c>
      <c r="AA1569" s="91">
        <f>IFERROR(__xludf.DUMMYFUNCTION("((IFERROR((SUM(FILTER('Fund Investment Data'!$V:$V, 'Fund Investment Data'!$C:$C = $C1569, 'Fund Investment Data'!$A:$A = $A1569 - 1, 'Fund Investment Data'!$B:$B &gt;= 4, 'Fund Investment Data'!$B:$B &lt;= ($B1569 + 5))) / 12) * ($B1569 - 3) * Parameters!$B$4,"&amp;" 0) + IF($B1569 &gt;= 9, IFERROR(SUM(FILTER('Fund Investment Data'!$V:$V, 'Fund Investment Data'!$C:$C = $C1569, 'Fund Investment Data'!$A:$A = $A1569, 'Fund Investment Data'!$B:$B &lt;= 3)) * Parameters!$B$4, 0),0)))"),0.0)</f>
        <v>0</v>
      </c>
      <c r="AB1569" s="32">
        <f>IFERROR(__xludf.DUMMYFUNCTION("IFERROR(((IFERROR(SUM(FILTER('Fund Investment Data'!$V:$V, 'Fund Investment Data'!$C:$C = $C1569, 'Fund Investment Data'!$A:$A = $A1569 - 2, 'Fund Investment Data'!$B:$B &gt;= 4)) * Parameters!$B$4,0) + IFERROR(SUM(FILTER('Fund Investment Data'!$V:$V, 'Fund "&amp;"Investment Data'!$C:$C = $C1569, 'Fund Investment Data'!$A:$A = $A1569 - 1, 'Fund Investment Data'!$B:$B &lt;= 3)) * Parameters!$B$4,0))),0)"),0.0)</f>
        <v>0</v>
      </c>
      <c r="AC1569" s="32">
        <f>IFERROR(__xludf.DUMMYFUNCTION("IFERROR(FILTER($AF:$AF,$C:$C = $C1569,$A:$A = $A1569 - 1,$B:$B = 12),0)"),43500.0)</f>
        <v>43500</v>
      </c>
      <c r="AD1569" s="32">
        <f t="shared" si="23"/>
        <v>144083.7245</v>
      </c>
      <c r="AE1569" s="32">
        <f t="shared" si="2"/>
        <v>-24800.27555</v>
      </c>
      <c r="AF1569" s="32"/>
    </row>
    <row r="1570">
      <c r="A1570" s="86">
        <v>2019.0</v>
      </c>
      <c r="B1570" s="87">
        <v>10.0</v>
      </c>
      <c r="C1570" s="88" t="s">
        <v>34</v>
      </c>
      <c r="D1570" s="32"/>
      <c r="E1570" s="93">
        <v>-6475.0</v>
      </c>
      <c r="F1570" s="32"/>
      <c r="G1570" s="93">
        <v>-660.13</v>
      </c>
      <c r="H1570" s="93">
        <v>2826.21</v>
      </c>
      <c r="I1570" s="93">
        <v>28.92</v>
      </c>
      <c r="J1570" s="93">
        <v>14672.49</v>
      </c>
      <c r="K1570" s="32"/>
      <c r="L1570" s="32"/>
      <c r="M1570" s="32"/>
      <c r="N1570" s="32"/>
      <c r="O1570" s="93">
        <v>141831.76</v>
      </c>
      <c r="P1570" s="91">
        <f>IFERROR(__xludf.DUMMYFUNCTION("IFERROR(sum(FILTER($D:$N,$C:$C = $C1570,$A:$A &lt; $A1570,$B:$B = 12)),0) + sum($D1570:$N1570)"),141831.75999999995)</f>
        <v>141831.76</v>
      </c>
      <c r="Q1570" s="92">
        <f t="shared" si="1"/>
        <v>0</v>
      </c>
      <c r="R1570" s="91">
        <f t="array" ref="R1570">IFERROR(INDEX('Fund YTD Target Values'!$1:$1000, MATCH($C1570,'Fund YTD Target Values'!$A:$A,0), MATCH($A1570,'Fund YTD Target Values'!$1:$1,0)),0)</f>
        <v>137779.5763</v>
      </c>
      <c r="S1570" s="91">
        <f>IFERROR(__xludf.DUMMYFUNCTION("IFERROR(sum(FILTER('Fund Investment Data'!$V:$V, 'Fund Investment Data'!$C:$C = $C1570, 'Fund Investment Data'!$A:$A &lt; $A1570)),0) + IFERROR(sum(FILTER('Fund Investment Data'!$V:$V, 'Fund Investment Data'!$C:$C = $C1570, 'Fund Investment Data'!$A:$A = $A1"&amp;"570, 'Fund Investment Data'!$B:$B &lt;= $B1570)),0)"),125000.0)</f>
        <v>125000</v>
      </c>
      <c r="T1570" s="32"/>
      <c r="U1570" s="32"/>
      <c r="V1570" s="32">
        <f>IFERROR(__xludf.DUMMYFUNCTION("$D1570 - IFERROR(FILTER($D:$D,$C:$C = $C1570, $A:$A = $A1570, $B:$B = $B1570 - 1),0)"),0.0)</f>
        <v>0</v>
      </c>
      <c r="W1570" s="93">
        <f>IFERROR(__xludf.DUMMYFUNCTION("$E1570 - IFERROR(FILTER($E:$E,$C:$C = $C1570, $A:$A = $A1570, $B:$B = $B1570 - 1),0)"),0.0)</f>
        <v>0</v>
      </c>
      <c r="X1570" s="91">
        <f>IFERROR(__xludf.DUMMYFUNCTION("iFERROR((FILTER('Fund Investment Data'!$Z:$Z, 'Fund Investment Data'!$C:$C = $C1570, 'Fund Investment Data'!$A:$A = $A1570 - 1, 'Fund Investment Data'!$B:$B = 12) + FILTER('Fund Investment Data'!$AB:$AB, 'Fund Investment Data'!$C:$C = $C1570, 'Fund Invest"&amp;"ment Data'!$A:$A = $A1570 - 1, 'Fund Investment Data'!$B:$B = 12)) * (1 + AVERAGE(FILTER('Inflation Data'!$C:$C,'Inflation Data'!$A:$A = ($A1570 - 2)))) * Parameters!$A$4,0)"),4414.569951711041)</f>
        <v>4414.569952</v>
      </c>
      <c r="Y1570" s="91">
        <f>IFERROR(__xludf.DUMMYFUNCTION("IFERROR((IFERROR(FILTER('Fund Investment Data'!$P:$P,'Fund Investment Data'!$C:$C = $C1570,'Fund Investment Data'!$A:$A = ($A1570 - 2), 'Fund Investment Data'!$B:$B = 12),0) - SUM(FILTER('Fund Investment Data'!$V:$V, 'Fund Investment Data'!$C:$C = $C1570,"&amp;" 'Fund Investment Data'!$A:$A = ($A1570 - 2), 'Fund Investment Data'!$B:$B &gt; 3)))  * Parameters!$B$4 * (1 - Parameters!$A$4),0)"),1947.8901600000004)</f>
        <v>1947.89016</v>
      </c>
      <c r="Z1570" s="91">
        <f t="shared" si="24"/>
        <v>6362.460112</v>
      </c>
      <c r="AA1570" s="91">
        <f>IFERROR(__xludf.DUMMYFUNCTION("((IFERROR((SUM(FILTER('Fund Investment Data'!$V:$V, 'Fund Investment Data'!$C:$C = $C1570, 'Fund Investment Data'!$A:$A = $A1570 - 1, 'Fund Investment Data'!$B:$B &gt;= 4, 'Fund Investment Data'!$B:$B &lt;= ($B1570 + 5))) / 12) * ($B1570 - 3) * Parameters!$B$4,"&amp;" 0) + IF($B1570 &gt;= 9, IFERROR(SUM(FILTER('Fund Investment Data'!$V:$V, 'Fund Investment Data'!$C:$C = $C1570, 'Fund Investment Data'!$A:$A = $A1570, 'Fund Investment Data'!$B:$B &lt;= 3)) * Parameters!$B$4, 0),0)))"),131.25)</f>
        <v>131.25</v>
      </c>
      <c r="AB1570" s="32">
        <f>IFERROR(__xludf.DUMMYFUNCTION("IFERROR(((IFERROR(SUM(FILTER('Fund Investment Data'!$V:$V, 'Fund Investment Data'!$C:$C = $C1570, 'Fund Investment Data'!$A:$A = $A1570 - 2, 'Fund Investment Data'!$B:$B &gt;= 4)) * Parameters!$B$4,0) + IFERROR(SUM(FILTER('Fund Investment Data'!$V:$V, 'Fund "&amp;"Investment Data'!$C:$C = $C1570, 'Fund Investment Data'!$A:$A = $A1570 - 1, 'Fund Investment Data'!$B:$B &lt;= 3)) * Parameters!$B$4,0))),0)"),0.0)</f>
        <v>0</v>
      </c>
      <c r="AC1570" s="32">
        <f>IFERROR(__xludf.DUMMYFUNCTION("IFERROR(FILTER($AF:$AF,$C:$C = $C1570,$A:$A = $A1570 - 1,$B:$B = 12),0)"),0.0)</f>
        <v>0</v>
      </c>
      <c r="AD1570" s="32">
        <f t="shared" si="23"/>
        <v>6493.710112</v>
      </c>
      <c r="AE1570" s="32">
        <f t="shared" si="2"/>
        <v>18.71011171</v>
      </c>
      <c r="AF1570" s="32"/>
    </row>
    <row r="1571">
      <c r="A1571" s="86">
        <v>2019.0</v>
      </c>
      <c r="B1571" s="87">
        <v>10.0</v>
      </c>
      <c r="C1571" s="88" t="s">
        <v>54</v>
      </c>
      <c r="D1571" s="93">
        <v>156.0</v>
      </c>
      <c r="E1571" s="93">
        <v>-7650.0</v>
      </c>
      <c r="F1571" s="32"/>
      <c r="G1571" s="93">
        <v>-784.78</v>
      </c>
      <c r="H1571" s="93">
        <v>3350.01</v>
      </c>
      <c r="I1571" s="32"/>
      <c r="J1571" s="93">
        <v>17341.91</v>
      </c>
      <c r="K1571" s="32"/>
      <c r="L1571" s="93">
        <v>-28.05</v>
      </c>
      <c r="M1571" s="32"/>
      <c r="N1571" s="32"/>
      <c r="O1571" s="93">
        <v>167351.17</v>
      </c>
      <c r="P1571" s="91">
        <f>IFERROR(__xludf.DUMMYFUNCTION("IFERROR(sum(FILTER($D:$N,$C:$C = $C1571,$A:$A &lt; $A1571,$B:$B = 12)),0) + sum($D1571:$N1571)"),167352.13999999996)</f>
        <v>167352.14</v>
      </c>
      <c r="Q1571" s="92">
        <f t="shared" si="1"/>
        <v>-0.9699999999</v>
      </c>
      <c r="R1571" s="91">
        <f t="array" ref="R1571">IFERROR(INDEX('Fund YTD Target Values'!$1:$1000, MATCH($C1571,'Fund YTD Target Values'!$A:$A,0), MATCH($A1571,'Fund YTD Target Values'!$1:$1,0)),0)</f>
        <v>158496.8702</v>
      </c>
      <c r="S1571" s="91">
        <f>IFERROR(__xludf.DUMMYFUNCTION("IFERROR(sum(FILTER('Fund Investment Data'!$V:$V, 'Fund Investment Data'!$C:$C = $C1571, 'Fund Investment Data'!$A:$A &lt; $A1571)),0) + IFERROR(sum(FILTER('Fund Investment Data'!$V:$V, 'Fund Investment Data'!$C:$C = $C1571, 'Fund Investment Data'!$A:$A = $A1"&amp;"571, 'Fund Investment Data'!$B:$B &lt;= $B1571)),0)"),112623.10999999999)</f>
        <v>112623.11</v>
      </c>
      <c r="T1571" s="32"/>
      <c r="U1571" s="32"/>
      <c r="V1571" s="32">
        <f>IFERROR(__xludf.DUMMYFUNCTION("$D1571 - IFERROR(FILTER($D:$D,$C:$C = $C1571, $A:$A = $A1571, $B:$B = $B1571 - 1),0)"),0.0)</f>
        <v>0</v>
      </c>
      <c r="W1571" s="93">
        <f>IFERROR(__xludf.DUMMYFUNCTION("$E1571 - IFERROR(FILTER($E:$E,$C:$C = $C1571, $A:$A = $A1571, $B:$B = $B1571 - 1),0)"),0.0)</f>
        <v>0</v>
      </c>
      <c r="X1571" s="91">
        <f>IFERROR(__xludf.DUMMYFUNCTION("iFERROR((FILTER('Fund Investment Data'!$Z:$Z, 'Fund Investment Data'!$C:$C = $C1571, 'Fund Investment Data'!$A:$A = $A1571 - 1, 'Fund Investment Data'!$B:$B = 12) + FILTER('Fund Investment Data'!$AB:$AB, 'Fund Investment Data'!$C:$C = $C1571, 'Fund Invest"&amp;"ment Data'!$A:$A = $A1571 - 1, 'Fund Investment Data'!$B:$B = 12)) * (1 + AVERAGE(FILTER('Inflation Data'!$C:$C,'Inflation Data'!$A:$A = ($A1571 - 2)))) * Parameters!$A$4,0)"),5306.102894924851)</f>
        <v>5306.102895</v>
      </c>
      <c r="Y1571" s="91">
        <f>IFERROR(__xludf.DUMMYFUNCTION("IFERROR((IFERROR(FILTER('Fund Investment Data'!$P:$P,'Fund Investment Data'!$C:$C = $C1571,'Fund Investment Data'!$A:$A = ($A1571 - 2), 'Fund Investment Data'!$B:$B = 12),0) - SUM(FILTER('Fund Investment Data'!$V:$V, 'Fund Investment Data'!$C:$C = $C1571,"&amp;" 'Fund Investment Data'!$A:$A = ($A1571 - 2), 'Fund Investment Data'!$B:$B &gt; 3)))  * Parameters!$B$4 * (1 - Parameters!$A$4),0)"),2330.059095)</f>
        <v>2330.059095</v>
      </c>
      <c r="Z1571" s="91">
        <f t="shared" si="24"/>
        <v>7636.16199</v>
      </c>
      <c r="AA1571" s="91">
        <f>IFERROR(__xludf.DUMMYFUNCTION("((IFERROR((SUM(FILTER('Fund Investment Data'!$V:$V, 'Fund Investment Data'!$C:$C = $C1571, 'Fund Investment Data'!$A:$A = $A1571 - 1, 'Fund Investment Data'!$B:$B &gt;= 4, 'Fund Investment Data'!$B:$B &lt;= ($B1571 + 5))) / 12) * ($B1571 - 3) * Parameters!$B$4,"&amp;" 0) + IF($B1571 &gt;= 9, IFERROR(SUM(FILTER('Fund Investment Data'!$V:$V, 'Fund Investment Data'!$C:$C = $C1571, 'Fund Investment Data'!$A:$A = $A1571, 'Fund Investment Data'!$B:$B &lt;= 3)) * Parameters!$B$4, 0),0)))"),5.41875)</f>
        <v>5.41875</v>
      </c>
      <c r="AB1571" s="32">
        <f>IFERROR(__xludf.DUMMYFUNCTION("IFERROR(((IFERROR(SUM(FILTER('Fund Investment Data'!$V:$V, 'Fund Investment Data'!$C:$C = $C1571, 'Fund Investment Data'!$A:$A = $A1571 - 2, 'Fund Investment Data'!$B:$B &gt;= 4)) * Parameters!$B$4,0) + IFERROR(SUM(FILTER('Fund Investment Data'!$V:$V, 'Fund "&amp;"Investment Data'!$C:$C = $C1571, 'Fund Investment Data'!$A:$A = $A1571 - 1, 'Fund Investment Data'!$B:$B &lt;= 3)) * Parameters!$B$4,0))),0)"),13.32)</f>
        <v>13.32</v>
      </c>
      <c r="AC1571" s="32">
        <f>IFERROR(__xludf.DUMMYFUNCTION("IFERROR(FILTER($AF:$AF,$C:$C = $C1571,$A:$A = $A1571 - 1,$B:$B = 12),0)"),0.0)</f>
        <v>0</v>
      </c>
      <c r="AD1571" s="32">
        <f t="shared" si="23"/>
        <v>7654.90074</v>
      </c>
      <c r="AE1571" s="32">
        <f t="shared" si="2"/>
        <v>4.900739925</v>
      </c>
      <c r="AF1571" s="32"/>
    </row>
    <row r="1572">
      <c r="A1572" s="86">
        <v>2019.0</v>
      </c>
      <c r="B1572" s="87">
        <v>10.0</v>
      </c>
      <c r="C1572" s="88" t="s">
        <v>55</v>
      </c>
      <c r="D1572" s="32"/>
      <c r="E1572" s="93">
        <v>-18228.0</v>
      </c>
      <c r="F1572" s="32"/>
      <c r="G1572" s="93">
        <v>-1382.31</v>
      </c>
      <c r="H1572" s="93">
        <v>5794.99</v>
      </c>
      <c r="I1572" s="32"/>
      <c r="J1572" s="93">
        <v>23116.53</v>
      </c>
      <c r="K1572" s="32"/>
      <c r="L1572" s="32"/>
      <c r="M1572" s="32"/>
      <c r="N1572" s="32"/>
      <c r="O1572" s="93">
        <v>286832.15</v>
      </c>
      <c r="P1572" s="91">
        <f>IFERROR(__xludf.DUMMYFUNCTION("IFERROR(sum(FILTER($D:$N,$C:$C = $C1572,$A:$A &lt; $A1572,$B:$B = 12)),0) + sum($D1572:$N1572)"),286832.14999999997)</f>
        <v>286832.15</v>
      </c>
      <c r="Q1572" s="92">
        <f t="shared" si="1"/>
        <v>0</v>
      </c>
      <c r="R1572" s="91">
        <f t="array" ref="R1572">IFERROR(INDEX('Fund YTD Target Values'!$1:$1000, MATCH($C1572,'Fund YTD Target Values'!$A:$A,0), MATCH($A1572,'Fund YTD Target Values'!$1:$1,0)),0)</f>
        <v>364349.1694</v>
      </c>
      <c r="S1572" s="91">
        <f>IFERROR(__xludf.DUMMYFUNCTION("IFERROR(sum(FILTER('Fund Investment Data'!$V:$V, 'Fund Investment Data'!$C:$C = $C1572, 'Fund Investment Data'!$A:$A &lt; $A1572)),0) + IFERROR(sum(FILTER('Fund Investment Data'!$V:$V, 'Fund Investment Data'!$C:$C = $C1572, 'Fund Investment Data'!$A:$A = $A1"&amp;"572, 'Fund Investment Data'!$B:$B &lt;= $B1572)),0)"),280000.0)</f>
        <v>280000</v>
      </c>
      <c r="T1572" s="32"/>
      <c r="U1572" s="32"/>
      <c r="V1572" s="32">
        <f>IFERROR(__xludf.DUMMYFUNCTION("$D1572 - IFERROR(FILTER($D:$D,$C:$C = $C1572, $A:$A = $A1572, $B:$B = $B1572 - 1),0)"),0.0)</f>
        <v>0</v>
      </c>
      <c r="W1572" s="93">
        <f>IFERROR(__xludf.DUMMYFUNCTION("$E1572 - IFERROR(FILTER($E:$E,$C:$C = $C1572, $A:$A = $A1572, $B:$B = $B1572 - 1),0)"),0.0)</f>
        <v>0</v>
      </c>
      <c r="X1572" s="91">
        <f>IFERROR(__xludf.DUMMYFUNCTION("iFERROR((FILTER('Fund Investment Data'!$Z:$Z, 'Fund Investment Data'!$C:$C = $C1572, 'Fund Investment Data'!$A:$A = $A1572 - 1, 'Fund Investment Data'!$B:$B = 12) + FILTER('Fund Investment Data'!$AB:$AB, 'Fund Investment Data'!$C:$C = $C1572, 'Fund Invest"&amp;"ment Data'!$A:$A = $A1572 - 1, 'Fund Investment Data'!$B:$B = 12)) * (1 + AVERAGE(FILTER('Inflation Data'!$C:$C,'Inflation Data'!$A:$A = ($A1572 - 2)))) * Parameters!$A$4,0)"),6881.036839036868)</f>
        <v>6881.036839</v>
      </c>
      <c r="Y1572" s="91">
        <f>IFERROR(__xludf.DUMMYFUNCTION("IFERROR((IFERROR(FILTER('Fund Investment Data'!$P:$P,'Fund Investment Data'!$C:$C = $C1572,'Fund Investment Data'!$A:$A = ($A1572 - 2), 'Fund Investment Data'!$B:$B = 12),0) - SUM(FILTER('Fund Investment Data'!$V:$V, 'Fund Investment Data'!$C:$C = $C1572,"&amp;" 'Fund Investment Data'!$A:$A = ($A1572 - 2), 'Fund Investment Data'!$B:$B &gt; 3)))  * Parameters!$B$4 * (1 - Parameters!$A$4),0)"),2147.3742599999996)</f>
        <v>2147.37426</v>
      </c>
      <c r="Z1572" s="91">
        <f t="shared" si="24"/>
        <v>9028.411099</v>
      </c>
      <c r="AA1572" s="91">
        <f>IFERROR(__xludf.DUMMYFUNCTION("((IFERROR((SUM(FILTER('Fund Investment Data'!$V:$V, 'Fund Investment Data'!$C:$C = $C1572, 'Fund Investment Data'!$A:$A = $A1572 - 1, 'Fund Investment Data'!$B:$B &gt;= 4, 'Fund Investment Data'!$B:$B &lt;= ($B1572 + 5))) / 12) * ($B1572 - 3) * Parameters!$B$4,"&amp;" 0) + IF($B1572 &gt;= 9, IFERROR(SUM(FILTER('Fund Investment Data'!$V:$V, 'Fund Investment Data'!$C:$C = $C1572, 'Fund Investment Data'!$A:$A = $A1572, 'Fund Investment Data'!$B:$B &lt;= 3)) * Parameters!$B$4, 0),0)))"),1837.4999999999998)</f>
        <v>1837.5</v>
      </c>
      <c r="AB1572" s="32">
        <f>IFERROR(__xludf.DUMMYFUNCTION("IFERROR(((IFERROR(SUM(FILTER('Fund Investment Data'!$V:$V, 'Fund Investment Data'!$C:$C = $C1572, 'Fund Investment Data'!$A:$A = $A1572 - 2, 'Fund Investment Data'!$B:$B &gt;= 4)) * Parameters!$B$4,0) + IFERROR(SUM(FILTER('Fund Investment Data'!$V:$V, 'Fund "&amp;"Investment Data'!$C:$C = $C1572, 'Fund Investment Data'!$A:$A = $A1572 - 1, 'Fund Investment Data'!$B:$B &lt;= 3)) * Parameters!$B$4,0))),0)"),3150.0)</f>
        <v>3150</v>
      </c>
      <c r="AC1572" s="32">
        <f>IFERROR(__xludf.DUMMYFUNCTION("IFERROR(FILTER($AF:$AF,$C:$C = $C1572,$A:$A = $A1572 - 1,$B:$B = 12),0)"),5000.0)</f>
        <v>5000</v>
      </c>
      <c r="AD1572" s="32">
        <f t="shared" si="23"/>
        <v>19015.9111</v>
      </c>
      <c r="AE1572" s="32">
        <f t="shared" si="2"/>
        <v>787.911099</v>
      </c>
      <c r="AF1572" s="32"/>
    </row>
    <row r="1573">
      <c r="A1573" s="86">
        <v>2019.0</v>
      </c>
      <c r="B1573" s="87">
        <v>10.0</v>
      </c>
      <c r="C1573" s="88" t="s">
        <v>44</v>
      </c>
      <c r="D1573" s="32"/>
      <c r="E1573" s="93">
        <v>-13091.0</v>
      </c>
      <c r="F1573" s="32"/>
      <c r="G1573" s="93">
        <v>-1251.98</v>
      </c>
      <c r="H1573" s="93">
        <v>5361.23</v>
      </c>
      <c r="I1573" s="93">
        <v>3314.76</v>
      </c>
      <c r="J1573" s="93">
        <v>24845.83</v>
      </c>
      <c r="K1573" s="32"/>
      <c r="L1573" s="32"/>
      <c r="M1573" s="32"/>
      <c r="N1573" s="32"/>
      <c r="O1573" s="93">
        <v>269896.88</v>
      </c>
      <c r="P1573" s="91">
        <f>IFERROR(__xludf.DUMMYFUNCTION("IFERROR(sum(FILTER($D:$N,$C:$C = $C1573,$A:$A &lt; $A1573,$B:$B = 12)),0) + sum($D1573:$N1573)"),269897.7700000001)</f>
        <v>269897.77</v>
      </c>
      <c r="Q1573" s="92">
        <f t="shared" si="1"/>
        <v>-0.8900000001</v>
      </c>
      <c r="R1573" s="91">
        <f t="array" ref="R1573">IFERROR(INDEX('Fund YTD Target Values'!$1:$1000, MATCH($C1573,'Fund YTD Target Values'!$A:$A,0), MATCH($A1573,'Fund YTD Target Values'!$1:$1,0)),0)</f>
        <v>327413.1867</v>
      </c>
      <c r="S1573" s="91">
        <f>IFERROR(__xludf.DUMMYFUNCTION("IFERROR(sum(FILTER('Fund Investment Data'!$V:$V, 'Fund Investment Data'!$C:$C = $C1573, 'Fund Investment Data'!$A:$A &lt; $A1573)),0) + IFERROR(sum(FILTER('Fund Investment Data'!$V:$V, 'Fund Investment Data'!$C:$C = $C1573, 'Fund Investment Data'!$A:$A = $A1"&amp;"573, 'Fund Investment Data'!$B:$B &lt;= $B1573)),0)"),250000.0)</f>
        <v>250000</v>
      </c>
      <c r="T1573" s="32"/>
      <c r="U1573" s="32"/>
      <c r="V1573" s="32">
        <f>IFERROR(__xludf.DUMMYFUNCTION("$D1573 - IFERROR(FILTER($D:$D,$C:$C = $C1573, $A:$A = $A1573, $B:$B = $B1573 - 1),0)"),0.0)</f>
        <v>0</v>
      </c>
      <c r="W1573" s="93">
        <f>IFERROR(__xludf.DUMMYFUNCTION("$E1573 - IFERROR(FILTER($E:$E,$C:$C = $C1573, $A:$A = $A1573, $B:$B = $B1573 - 1),0)"),0.0)</f>
        <v>0</v>
      </c>
      <c r="X1573" s="91">
        <f>IFERROR(__xludf.DUMMYFUNCTION("iFERROR((FILTER('Fund Investment Data'!$Z:$Z, 'Fund Investment Data'!$C:$C = $C1573, 'Fund Investment Data'!$A:$A = $A1573 - 1, 'Fund Investment Data'!$B:$B = 12) + FILTER('Fund Investment Data'!$AB:$AB, 'Fund Investment Data'!$C:$C = $C1573, 'Fund Invest"&amp;"ment Data'!$A:$A = $A1573 - 1, 'Fund Investment Data'!$B:$B = 12)) * (1 + AVERAGE(FILTER('Inflation Data'!$C:$C,'Inflation Data'!$A:$A = ($A1573 - 2)))) * Parameters!$A$4,0)"),9221.513356912916)</f>
        <v>9221.513357</v>
      </c>
      <c r="Y1573" s="91">
        <f>IFERROR(__xludf.DUMMYFUNCTION("IFERROR((IFERROR(FILTER('Fund Investment Data'!$P:$P,'Fund Investment Data'!$C:$C = $C1573,'Fund Investment Data'!$A:$A = ($A1573 - 2), 'Fund Investment Data'!$B:$B = 12),0) - SUM(FILTER('Fund Investment Data'!$V:$V, 'Fund Investment Data'!$C:$C = $C1573,"&amp;" 'Fund Investment Data'!$A:$A = ($A1573 - 2), 'Fund Investment Data'!$B:$B &gt; 3)))  * Parameters!$B$4 * (1 - Parameters!$A$4),0)"),3869.5923450000028)</f>
        <v>3869.592345</v>
      </c>
      <c r="Z1573" s="91">
        <f t="shared" si="24"/>
        <v>13091.1057</v>
      </c>
      <c r="AA1573" s="91">
        <f>IFERROR(__xludf.DUMMYFUNCTION("((IFERROR((SUM(FILTER('Fund Investment Data'!$V:$V, 'Fund Investment Data'!$C:$C = $C1573, 'Fund Investment Data'!$A:$A = $A1573 - 1, 'Fund Investment Data'!$B:$B &gt;= 4, 'Fund Investment Data'!$B:$B &lt;= ($B1573 + 5))) / 12) * ($B1573 - 3) * Parameters!$B$4,"&amp;" 0) + IF($B1573 &gt;= 9, IFERROR(SUM(FILTER('Fund Investment Data'!$V:$V, 'Fund Investment Data'!$C:$C = $C1573, 'Fund Investment Data'!$A:$A = $A1573, 'Fund Investment Data'!$B:$B &lt;= 3)) * Parameters!$B$4, 0),0)))"),0.0)</f>
        <v>0</v>
      </c>
      <c r="AB1573" s="32">
        <f>IFERROR(__xludf.DUMMYFUNCTION("IFERROR(((IFERROR(SUM(FILTER('Fund Investment Data'!$V:$V, 'Fund Investment Data'!$C:$C = $C1573, 'Fund Investment Data'!$A:$A = $A1573 - 2, 'Fund Investment Data'!$B:$B &gt;= 4)) * Parameters!$B$4,0) + IFERROR(SUM(FILTER('Fund Investment Data'!$V:$V, 'Fund "&amp;"Investment Data'!$C:$C = $C1573, 'Fund Investment Data'!$A:$A = $A1573 - 1, 'Fund Investment Data'!$B:$B &lt;= 3)) * Parameters!$B$4,0))),0)"),0.0)</f>
        <v>0</v>
      </c>
      <c r="AC1573" s="32">
        <f>IFERROR(__xludf.DUMMYFUNCTION("IFERROR(FILTER($AF:$AF,$C:$C = $C1573,$A:$A = $A1573 - 1,$B:$B = 12),0)"),0.0)</f>
        <v>0</v>
      </c>
      <c r="AD1573" s="32">
        <f t="shared" si="23"/>
        <v>13091.1057</v>
      </c>
      <c r="AE1573" s="32">
        <f t="shared" si="2"/>
        <v>0.1057019129</v>
      </c>
      <c r="AF1573" s="32"/>
    </row>
    <row r="1574">
      <c r="A1574" s="86">
        <v>2019.0</v>
      </c>
      <c r="B1574" s="87">
        <v>10.0</v>
      </c>
      <c r="C1574" s="88" t="s">
        <v>45</v>
      </c>
      <c r="D1574" s="32"/>
      <c r="E1574" s="93">
        <v>-5811.0</v>
      </c>
      <c r="F1574" s="32"/>
      <c r="G1574" s="93">
        <v>-669.26</v>
      </c>
      <c r="H1574" s="93">
        <v>2861.85</v>
      </c>
      <c r="I1574" s="93">
        <v>627.97</v>
      </c>
      <c r="J1574" s="93">
        <v>14202.25</v>
      </c>
      <c r="K1574" s="32"/>
      <c r="L1574" s="32"/>
      <c r="M1574" s="32"/>
      <c r="N1574" s="32"/>
      <c r="O1574" s="93">
        <v>143547.72</v>
      </c>
      <c r="P1574" s="91">
        <f>IFERROR(__xludf.DUMMYFUNCTION("IFERROR(sum(FILTER($D:$N,$C:$C = $C1574,$A:$A &lt; $A1574,$B:$B = 12)),0) + sum($D1574:$N1574)"),143547.92999999996)</f>
        <v>143547.93</v>
      </c>
      <c r="Q1574" s="92">
        <f t="shared" si="1"/>
        <v>-0.21</v>
      </c>
      <c r="R1574" s="91">
        <f t="array" ref="R1574">IFERROR(INDEX('Fund YTD Target Values'!$1:$1000, MATCH($C1574,'Fund YTD Target Values'!$A:$A,0), MATCH($A1574,'Fund YTD Target Values'!$1:$1,0)),0)</f>
        <v>123438.8442</v>
      </c>
      <c r="S1574" s="91">
        <f>IFERROR(__xludf.DUMMYFUNCTION("IFERROR(sum(FILTER('Fund Investment Data'!$V:$V, 'Fund Investment Data'!$C:$C = $C1574, 'Fund Investment Data'!$A:$A &lt; $A1574)),0) + IFERROR(sum(FILTER('Fund Investment Data'!$V:$V, 'Fund Investment Data'!$C:$C = $C1574, 'Fund Investment Data'!$A:$A = $A1"&amp;"574, 'Fund Investment Data'!$B:$B &lt;= $B1574)),0)"),100000.0)</f>
        <v>100000</v>
      </c>
      <c r="T1574" s="32"/>
      <c r="U1574" s="32"/>
      <c r="V1574" s="32">
        <f>IFERROR(__xludf.DUMMYFUNCTION("$D1574 - IFERROR(FILTER($D:$D,$C:$C = $C1574, $A:$A = $A1574, $B:$B = $B1574 - 1),0)"),0.0)</f>
        <v>0</v>
      </c>
      <c r="W1574" s="93">
        <f>IFERROR(__xludf.DUMMYFUNCTION("$E1574 - IFERROR(FILTER($E:$E,$C:$C = $C1574, $A:$A = $A1574, $B:$B = $B1574 - 1),0)"),0.0)</f>
        <v>0</v>
      </c>
      <c r="X1574" s="91">
        <f>IFERROR(__xludf.DUMMYFUNCTION("iFERROR((FILTER('Fund Investment Data'!$Z:$Z, 'Fund Investment Data'!$C:$C = $C1574, 'Fund Investment Data'!$A:$A = $A1574 - 1, 'Fund Investment Data'!$B:$B = 12) + FILTER('Fund Investment Data'!$AB:$AB, 'Fund Investment Data'!$C:$C = $C1574, 'Fund Invest"&amp;"ment Data'!$A:$A = $A1574 - 1, 'Fund Investment Data'!$B:$B = 12)) * (1 + AVERAGE(FILTER('Inflation Data'!$C:$C,'Inflation Data'!$A:$A = ($A1574 - 2)))) * Parameters!$A$4,0)"),3807.5303509611413)</f>
        <v>3807.530351</v>
      </c>
      <c r="Y1574" s="91">
        <f>IFERROR(__xludf.DUMMYFUNCTION("IFERROR((IFERROR(FILTER('Fund Investment Data'!$P:$P,'Fund Investment Data'!$C:$C = $C1574,'Fund Investment Data'!$A:$A = ($A1574 - 2), 'Fund Investment Data'!$B:$B = 12),0) - SUM(FILTER('Fund Investment Data'!$V:$V, 'Fund Investment Data'!$C:$C = $C1574,"&amp;" 'Fund Investment Data'!$A:$A = ($A1574 - 2), 'Fund Investment Data'!$B:$B &gt; 3)))  * Parameters!$B$4 * (1 - Parameters!$A$4),0)"),2003.430915)</f>
        <v>2003.430915</v>
      </c>
      <c r="Z1574" s="91">
        <f t="shared" si="24"/>
        <v>5810.961266</v>
      </c>
      <c r="AA1574" s="91">
        <f>IFERROR(__xludf.DUMMYFUNCTION("((IFERROR((SUM(FILTER('Fund Investment Data'!$V:$V, 'Fund Investment Data'!$C:$C = $C1574, 'Fund Investment Data'!$A:$A = $A1574 - 1, 'Fund Investment Data'!$B:$B &gt;= 4, 'Fund Investment Data'!$B:$B &lt;= ($B1574 + 5))) / 12) * ($B1574 - 3) * Parameters!$B$4,"&amp;" 0) + IF($B1574 &gt;= 9, IFERROR(SUM(FILTER('Fund Investment Data'!$V:$V, 'Fund Investment Data'!$C:$C = $C1574, 'Fund Investment Data'!$A:$A = $A1574, 'Fund Investment Data'!$B:$B &lt;= 3)) * Parameters!$B$4, 0),0)))"),0.0)</f>
        <v>0</v>
      </c>
      <c r="AB1574" s="32">
        <f>IFERROR(__xludf.DUMMYFUNCTION("IFERROR(((IFERROR(SUM(FILTER('Fund Investment Data'!$V:$V, 'Fund Investment Data'!$C:$C = $C1574, 'Fund Investment Data'!$A:$A = $A1574 - 2, 'Fund Investment Data'!$B:$B &gt;= 4)) * Parameters!$B$4,0) + IFERROR(SUM(FILTER('Fund Investment Data'!$V:$V, 'Fund "&amp;"Investment Data'!$C:$C = $C1574, 'Fund Investment Data'!$A:$A = $A1574 - 1, 'Fund Investment Data'!$B:$B &lt;= 3)) * Parameters!$B$4,0))),0)"),0.0)</f>
        <v>0</v>
      </c>
      <c r="AC1574" s="32">
        <f>IFERROR(__xludf.DUMMYFUNCTION("IFERROR(FILTER($AF:$AF,$C:$C = $C1574,$A:$A = $A1574 - 1,$B:$B = 12),0)"),0.0)</f>
        <v>0</v>
      </c>
      <c r="AD1574" s="32">
        <f t="shared" si="23"/>
        <v>5810.961266</v>
      </c>
      <c r="AE1574" s="32">
        <f t="shared" si="2"/>
        <v>-0.03873403886</v>
      </c>
      <c r="AF1574" s="32"/>
    </row>
    <row r="1575">
      <c r="A1575" s="86">
        <v>2019.0</v>
      </c>
      <c r="B1575" s="87">
        <v>10.0</v>
      </c>
      <c r="C1575" s="88" t="s">
        <v>35</v>
      </c>
      <c r="D1575" s="32"/>
      <c r="E1575" s="93">
        <v>-42161.0</v>
      </c>
      <c r="F1575" s="32"/>
      <c r="G1575" s="93">
        <v>-6562.04</v>
      </c>
      <c r="H1575" s="93">
        <v>28041.51</v>
      </c>
      <c r="I1575" s="93">
        <v>7300.15</v>
      </c>
      <c r="J1575" s="93">
        <v>137902.9</v>
      </c>
      <c r="K1575" s="32"/>
      <c r="L1575" s="32"/>
      <c r="M1575" s="32"/>
      <c r="N1575" s="32"/>
      <c r="O1575" s="93">
        <v>1418508.36</v>
      </c>
      <c r="P1575" s="91">
        <f>IFERROR(__xludf.DUMMYFUNCTION("IFERROR(sum(FILTER($D:$N,$C:$C = $C1575,$A:$A &lt; $A1575,$B:$B = 12)),0) + sum($D1575:$N1575)"),1418507.5900000005)</f>
        <v>1418507.59</v>
      </c>
      <c r="Q1575" s="92">
        <f t="shared" si="1"/>
        <v>0.7699999996</v>
      </c>
      <c r="R1575" s="91">
        <f t="array" ref="R1575">IFERROR(INDEX('Fund YTD Target Values'!$1:$1000, MATCH($C1575,'Fund YTD Target Values'!$A:$A,0), MATCH($A1575,'Fund YTD Target Values'!$1:$1,0)),0)</f>
        <v>1607860.761</v>
      </c>
      <c r="S1575" s="91">
        <f>IFERROR(__xludf.DUMMYFUNCTION("IFERROR(sum(FILTER('Fund Investment Data'!$V:$V, 'Fund Investment Data'!$C:$C = $C1575, 'Fund Investment Data'!$A:$A &lt; $A1575)),0) + IFERROR(sum(FILTER('Fund Investment Data'!$V:$V, 'Fund Investment Data'!$C:$C = $C1575, 'Fund Investment Data'!$A:$A = $A1"&amp;"575, 'Fund Investment Data'!$B:$B &lt;= $B1575)),0)"),1086625.0)</f>
        <v>1086625</v>
      </c>
      <c r="T1575" s="32"/>
      <c r="U1575" s="32"/>
      <c r="V1575" s="32">
        <f>IFERROR(__xludf.DUMMYFUNCTION("$D1575 - IFERROR(FILTER($D:$D,$C:$C = $C1575, $A:$A = $A1575, $B:$B = $B1575 - 1),0)"),0.0)</f>
        <v>0</v>
      </c>
      <c r="W1575" s="93">
        <f>IFERROR(__xludf.DUMMYFUNCTION("$E1575 - IFERROR(FILTER($E:$E,$C:$C = $C1575, $A:$A = $A1575, $B:$B = $B1575 - 1),0)"),0.0)</f>
        <v>0</v>
      </c>
      <c r="X1575" s="91">
        <f>IFERROR(__xludf.DUMMYFUNCTION("iFERROR((FILTER('Fund Investment Data'!$Z:$Z, 'Fund Investment Data'!$C:$C = $C1575, 'Fund Investment Data'!$A:$A = $A1575 - 1, 'Fund Investment Data'!$B:$B = 12) + FILTER('Fund Investment Data'!$AB:$AB, 'Fund Investment Data'!$C:$C = $C1575, 'Fund Invest"&amp;"ment Data'!$A:$A = $A1575 - 1, 'Fund Investment Data'!$B:$B = 12)) * (1 + AVERAGE(FILTER('Inflation Data'!$C:$C,'Inflation Data'!$A:$A = ($A1575 - 2)))) * Parameters!$A$4,0)"),47167.912647909514)</f>
        <v>47167.91265</v>
      </c>
      <c r="Y1575" s="91">
        <f>IFERROR(__xludf.DUMMYFUNCTION("IFERROR((IFERROR(FILTER('Fund Investment Data'!$P:$P,'Fund Investment Data'!$C:$C = $C1575,'Fund Investment Data'!$A:$A = ($A1575 - 2), 'Fund Investment Data'!$B:$B = 12),0) - SUM(FILTER('Fund Investment Data'!$V:$V, 'Fund Investment Data'!$C:$C = $C1575,"&amp;" 'Fund Investment Data'!$A:$A = ($A1575 - 2), 'Fund Investment Data'!$B:$B &gt; 3)))  * Parameters!$B$4 * (1 - Parameters!$A$4),0)"),19792.911060000006)</f>
        <v>19792.91106</v>
      </c>
      <c r="Z1575" s="91">
        <f t="shared" si="24"/>
        <v>66960.82371</v>
      </c>
      <c r="AA1575" s="91">
        <f>IFERROR(__xludf.DUMMYFUNCTION("((IFERROR((SUM(FILTER('Fund Investment Data'!$V:$V, 'Fund Investment Data'!$C:$C = $C1575, 'Fund Investment Data'!$A:$A = $A1575 - 1, 'Fund Investment Data'!$B:$B &gt;= 4, 'Fund Investment Data'!$B:$B &lt;= ($B1575 + 5))) / 12) * ($B1575 - 3) * Parameters!$B$4,"&amp;" 0) + IF($B1575 &gt;= 9, IFERROR(SUM(FILTER('Fund Investment Data'!$V:$V, 'Fund Investment Data'!$C:$C = $C1575, 'Fund Investment Data'!$A:$A = $A1575, 'Fund Investment Data'!$B:$B &lt;= 3)) * Parameters!$B$4, 0),0)))"),0.0)</f>
        <v>0</v>
      </c>
      <c r="AB1575" s="32">
        <f>IFERROR(__xludf.DUMMYFUNCTION("IFERROR(((IFERROR(SUM(FILTER('Fund Investment Data'!$V:$V, 'Fund Investment Data'!$C:$C = $C1575, 'Fund Investment Data'!$A:$A = $A1575 - 2, 'Fund Investment Data'!$B:$B &gt;= 4)) * Parameters!$B$4,0) + IFERROR(SUM(FILTER('Fund Investment Data'!$V:$V, 'Fund "&amp;"Investment Data'!$C:$C = $C1575, 'Fund Investment Data'!$A:$A = $A1575 - 1, 'Fund Investment Data'!$B:$B &lt;= 3)) * Parameters!$B$4,0))),0)"),0.0)</f>
        <v>0</v>
      </c>
      <c r="AC1575" s="32">
        <f>IFERROR(__xludf.DUMMYFUNCTION("IFERROR(FILTER($AF:$AF,$C:$C = $C1575,$A:$A = $A1575 - 1,$B:$B = 12),0)"),0.0)</f>
        <v>0</v>
      </c>
      <c r="AD1575" s="32">
        <f t="shared" si="23"/>
        <v>66960.82371</v>
      </c>
      <c r="AE1575" s="32">
        <f t="shared" si="2"/>
        <v>24799.82371</v>
      </c>
      <c r="AF1575" s="32"/>
    </row>
    <row r="1576">
      <c r="A1576" s="86">
        <v>2019.0</v>
      </c>
      <c r="B1576" s="87">
        <v>10.0</v>
      </c>
      <c r="C1576" s="88" t="s">
        <v>56</v>
      </c>
      <c r="D1576" s="32"/>
      <c r="E1576" s="93">
        <v>-48607.0</v>
      </c>
      <c r="F1576" s="32"/>
      <c r="G1576" s="93">
        <v>-5089.52</v>
      </c>
      <c r="H1576" s="93">
        <v>21719.07</v>
      </c>
      <c r="I1576" s="32"/>
      <c r="J1576" s="93">
        <v>112179.43</v>
      </c>
      <c r="K1576" s="32"/>
      <c r="L1576" s="93">
        <v>-203.94</v>
      </c>
      <c r="M1576" s="32"/>
      <c r="N1576" s="32"/>
      <c r="O1576" s="93">
        <v>1079410.75</v>
      </c>
      <c r="P1576" s="91">
        <f>IFERROR(__xludf.DUMMYFUNCTION("IFERROR(sum(FILTER($D:$N,$C:$C = $C1576,$A:$A &lt; $A1576,$B:$B = 12)),0) + sum($D1576:$N1576)"),1079410.7499999998)</f>
        <v>1079410.75</v>
      </c>
      <c r="Q1576" s="92">
        <f t="shared" si="1"/>
        <v>0.0000000002328306437</v>
      </c>
      <c r="R1576" s="91">
        <f t="array" ref="R1576">IFERROR(INDEX('Fund YTD Target Values'!$1:$1000, MATCH($C1576,'Fund YTD Target Values'!$A:$A,0), MATCH($A1576,'Fund YTD Target Values'!$1:$1,0)),0)</f>
        <v>1079944.217</v>
      </c>
      <c r="S1576" s="91">
        <f>IFERROR(__xludf.DUMMYFUNCTION("IFERROR(sum(FILTER('Fund Investment Data'!$V:$V, 'Fund Investment Data'!$C:$C = $C1576, 'Fund Investment Data'!$A:$A &lt; $A1576)),0) + IFERROR(sum(FILTER('Fund Investment Data'!$V:$V, 'Fund Investment Data'!$C:$C = $C1576, 'Fund Investment Data'!$A:$A = $A1"&amp;"576, 'Fund Investment Data'!$B:$B &lt;= $B1576)),0)"),1000000.0)</f>
        <v>1000000</v>
      </c>
      <c r="T1576" s="32"/>
      <c r="U1576" s="32"/>
      <c r="V1576" s="32">
        <f>IFERROR(__xludf.DUMMYFUNCTION("$D1576 - IFERROR(FILTER($D:$D,$C:$C = $C1576, $A:$A = $A1576, $B:$B = $B1576 - 1),0)"),0.0)</f>
        <v>0</v>
      </c>
      <c r="W1576" s="93">
        <f>IFERROR(__xludf.DUMMYFUNCTION("$E1576 - IFERROR(FILTER($E:$E,$C:$C = $C1576, $A:$A = $A1576, $B:$B = $B1576 - 1),0)"),0.0)</f>
        <v>0</v>
      </c>
      <c r="X1576" s="91">
        <f>IFERROR(__xludf.DUMMYFUNCTION("iFERROR((FILTER('Fund Investment Data'!$Z:$Z, 'Fund Investment Data'!$C:$C = $C1576, 'Fund Investment Data'!$A:$A = $A1576 - 1, 'Fund Investment Data'!$B:$B = 12) + FILTER('Fund Investment Data'!$AB:$AB, 'Fund Investment Data'!$C:$C = $C1576, 'Fund Invest"&amp;"ment Data'!$A:$A = $A1576 - 1, 'Fund Investment Data'!$B:$B = 12)) * (1 + AVERAGE(FILTER('Inflation Data'!$C:$C,'Inflation Data'!$A:$A = ($A1576 - 2)))) * Parameters!$A$4,0)"),33311.397321480836)</f>
        <v>33311.39732</v>
      </c>
      <c r="Y1576" s="91">
        <f>IFERROR(__xludf.DUMMYFUNCTION("IFERROR((IFERROR(FILTER('Fund Investment Data'!$P:$P,'Fund Investment Data'!$C:$C = $C1576,'Fund Investment Data'!$A:$A = ($A1576 - 2), 'Fund Investment Data'!$B:$B = 12),0) - SUM(FILTER('Fund Investment Data'!$V:$V, 'Fund Investment Data'!$C:$C = $C1576,"&amp;" 'Fund Investment Data'!$A:$A = ($A1576 - 2), 'Fund Investment Data'!$B:$B &gt; 3)))  * Parameters!$B$4 * (1 - Parameters!$A$4),0)"),15295.200705)</f>
        <v>15295.20071</v>
      </c>
      <c r="Z1576" s="91">
        <f t="shared" si="24"/>
        <v>48606.59803</v>
      </c>
      <c r="AA1576" s="91">
        <f>IFERROR(__xludf.DUMMYFUNCTION("((IFERROR((SUM(FILTER('Fund Investment Data'!$V:$V, 'Fund Investment Data'!$C:$C = $C1576, 'Fund Investment Data'!$A:$A = $A1576 - 1, 'Fund Investment Data'!$B:$B &gt;= 4, 'Fund Investment Data'!$B:$B &lt;= ($B1576 + 5))) / 12) * ($B1576 - 3) * Parameters!$B$4,"&amp;" 0) + IF($B1576 &gt;= 9, IFERROR(SUM(FILTER('Fund Investment Data'!$V:$V, 'Fund Investment Data'!$C:$C = $C1576, 'Fund Investment Data'!$A:$A = $A1576, 'Fund Investment Data'!$B:$B &lt;= 3)) * Parameters!$B$4, 0),0)))"),0.0)</f>
        <v>0</v>
      </c>
      <c r="AB1576" s="32">
        <f>IFERROR(__xludf.DUMMYFUNCTION("IFERROR(((IFERROR(SUM(FILTER('Fund Investment Data'!$V:$V, 'Fund Investment Data'!$C:$C = $C1576, 'Fund Investment Data'!$A:$A = $A1576 - 2, 'Fund Investment Data'!$B:$B &gt;= 4)) * Parameters!$B$4,0) + IFERROR(SUM(FILTER('Fund Investment Data'!$V:$V, 'Fund "&amp;"Investment Data'!$C:$C = $C1576, 'Fund Investment Data'!$A:$A = $A1576 - 1, 'Fund Investment Data'!$B:$B &lt;= 3)) * Parameters!$B$4,0))),0)"),0.0)</f>
        <v>0</v>
      </c>
      <c r="AC1576" s="32">
        <f>IFERROR(__xludf.DUMMYFUNCTION("IFERROR(FILTER($AF:$AF,$C:$C = $C1576,$A:$A = $A1576 - 1,$B:$B = 12),0)"),0.0)</f>
        <v>0</v>
      </c>
      <c r="AD1576" s="32">
        <f t="shared" si="23"/>
        <v>48606.59803</v>
      </c>
      <c r="AE1576" s="32">
        <f t="shared" si="2"/>
        <v>-0.4019735192</v>
      </c>
      <c r="AF1576" s="32"/>
    </row>
    <row r="1577">
      <c r="A1577" s="86">
        <v>2019.0</v>
      </c>
      <c r="B1577" s="87">
        <v>10.0</v>
      </c>
      <c r="C1577" s="88" t="s">
        <v>57</v>
      </c>
      <c r="D1577" s="32"/>
      <c r="E1577" s="93">
        <v>-135475.0</v>
      </c>
      <c r="F1577" s="32"/>
      <c r="G1577" s="93">
        <v>-9503.1</v>
      </c>
      <c r="H1577" s="93">
        <v>40468.18</v>
      </c>
      <c r="I1577" s="93">
        <v>629.36</v>
      </c>
      <c r="J1577" s="93">
        <v>205556.72</v>
      </c>
      <c r="K1577" s="32"/>
      <c r="L1577" s="32"/>
      <c r="M1577" s="32"/>
      <c r="N1577" s="32"/>
      <c r="O1577" s="93">
        <v>1982190.63</v>
      </c>
      <c r="P1577" s="91">
        <f>IFERROR(__xludf.DUMMYFUNCTION("IFERROR(sum(FILTER($D:$N,$C:$C = $C1577,$A:$A &lt; $A1577,$B:$B = 12)),0) + sum($D1577:$N1577)"),1982190.63)</f>
        <v>1982190.63</v>
      </c>
      <c r="Q1577" s="92">
        <f t="shared" si="1"/>
        <v>0</v>
      </c>
      <c r="R1577" s="91">
        <f t="array" ref="R1577">IFERROR(INDEX('Fund YTD Target Values'!$1:$1000, MATCH($C1577,'Fund YTD Target Values'!$A:$A,0), MATCH($A1577,'Fund YTD Target Values'!$1:$1,0)),0)</f>
        <v>2085975.586</v>
      </c>
      <c r="S1577" s="91">
        <f>IFERROR(__xludf.DUMMYFUNCTION("IFERROR(sum(FILTER('Fund Investment Data'!$V:$V, 'Fund Investment Data'!$C:$C = $C1577, 'Fund Investment Data'!$A:$A &lt; $A1577)),0) + IFERROR(sum(FILTER('Fund Investment Data'!$V:$V, 'Fund Investment Data'!$C:$C = $C1577, 'Fund Investment Data'!$A:$A = $A1"&amp;"577, 'Fund Investment Data'!$B:$B &lt;= $B1577)),0)"),2000000.0)</f>
        <v>2000000</v>
      </c>
      <c r="T1577" s="32"/>
      <c r="U1577" s="32"/>
      <c r="V1577" s="32">
        <f>IFERROR(__xludf.DUMMYFUNCTION("$D1577 - IFERROR(FILTER($D:$D,$C:$C = $C1577, $A:$A = $A1577, $B:$B = $B1577 - 1),0)"),0.0)</f>
        <v>0</v>
      </c>
      <c r="W1577" s="93">
        <f>IFERROR(__xludf.DUMMYFUNCTION("$E1577 - IFERROR(FILTER($E:$E,$C:$C = $C1577, $A:$A = $A1577, $B:$B = $B1577 - 1),0)"),0.0)</f>
        <v>0</v>
      </c>
      <c r="X1577" s="91">
        <f>IFERROR(__xludf.DUMMYFUNCTION("iFERROR((FILTER('Fund Investment Data'!$Z:$Z, 'Fund Investment Data'!$C:$C = $C1577, 'Fund Investment Data'!$A:$A = $A1577 - 1, 'Fund Investment Data'!$B:$B = 12) + FILTER('Fund Investment Data'!$AB:$AB, 'Fund Investment Data'!$C:$C = $C1577, 'Fund Invest"&amp;"ment Data'!$A:$A = $A1577 - 1, 'Fund Investment Data'!$B:$B = 12)) * (1 + AVERAGE(FILTER('Inflation Data'!$C:$C,'Inflation Data'!$A:$A = ($A1577 - 2)))) * Parameters!$A$4,0)"),0.0)</f>
        <v>0</v>
      </c>
      <c r="Y1577" s="91">
        <f>IFERROR(__xludf.DUMMYFUNCTION("IFERROR((IFERROR(FILTER('Fund Investment Data'!$P:$P,'Fund Investment Data'!$C:$C = $C1577,'Fund Investment Data'!$A:$A = ($A1577 - 2), 'Fund Investment Data'!$B:$B = 12),0) - SUM(FILTER('Fund Investment Data'!$V:$V, 'Fund Investment Data'!$C:$C = $C1577,"&amp;" 'Fund Investment Data'!$A:$A = ($A1577 - 2), 'Fund Investment Data'!$B:$B &gt; 3)))  * Parameters!$B$4 * (1 - Parameters!$A$4),0)"),474.91420500000106)</f>
        <v>474.914205</v>
      </c>
      <c r="Z1577" s="91">
        <f t="shared" si="24"/>
        <v>474.914205</v>
      </c>
      <c r="AA1577" s="91">
        <f>IFERROR(__xludf.DUMMYFUNCTION("((IFERROR((SUM(FILTER('Fund Investment Data'!$V:$V, 'Fund Investment Data'!$C:$C = $C1577, 'Fund Investment Data'!$A:$A = $A1577 - 1, 'Fund Investment Data'!$B:$B &gt;= 4, 'Fund Investment Data'!$B:$B &lt;= ($B1577 + 5))) / 12) * ($B1577 - 3) * Parameters!$B$4,"&amp;" 0) + IF($B1577 &gt;= 9, IFERROR(SUM(FILTER('Fund Investment Data'!$V:$V, 'Fund Investment Data'!$C:$C = $C1577, 'Fund Investment Data'!$A:$A = $A1577, 'Fund Investment Data'!$B:$B &lt;= 3)) * Parameters!$B$4, 0),0)))"),0.0)</f>
        <v>0</v>
      </c>
      <c r="AB1577" s="32">
        <f>IFERROR(__xludf.DUMMYFUNCTION("IFERROR(((IFERROR(SUM(FILTER('Fund Investment Data'!$V:$V, 'Fund Investment Data'!$C:$C = $C1577, 'Fund Investment Data'!$A:$A = $A1577 - 2, 'Fund Investment Data'!$B:$B &gt;= 4)) * Parameters!$B$4,0) + IFERROR(SUM(FILTER('Fund Investment Data'!$V:$V, 'Fund "&amp;"Investment Data'!$C:$C = $C1577, 'Fund Investment Data'!$A:$A = $A1577 - 1, 'Fund Investment Data'!$B:$B &lt;= 3)) * Parameters!$B$4,0))),0)"),90000.0)</f>
        <v>90000</v>
      </c>
      <c r="AC1577" s="32">
        <f>IFERROR(__xludf.DUMMYFUNCTION("IFERROR(FILTER($AF:$AF,$C:$C = $C1577,$A:$A = $A1577 - 1,$B:$B = 12),0)"),45000.0)</f>
        <v>45000</v>
      </c>
      <c r="AD1577" s="32">
        <f t="shared" si="23"/>
        <v>135474.9142</v>
      </c>
      <c r="AE1577" s="32">
        <f t="shared" si="2"/>
        <v>-0.08579499999</v>
      </c>
      <c r="AF1577" s="32"/>
    </row>
    <row r="1578">
      <c r="A1578" s="86">
        <v>2019.0</v>
      </c>
      <c r="B1578" s="87">
        <v>10.0</v>
      </c>
      <c r="C1578" s="88" t="s">
        <v>58</v>
      </c>
      <c r="D1578" s="32"/>
      <c r="E1578" s="93">
        <v>-115475.0</v>
      </c>
      <c r="F1578" s="32"/>
      <c r="G1578" s="93">
        <v>-9392.52</v>
      </c>
      <c r="H1578" s="93">
        <v>40058.11</v>
      </c>
      <c r="I1578" s="93">
        <v>631.77</v>
      </c>
      <c r="J1578" s="93">
        <v>205550.01</v>
      </c>
      <c r="K1578" s="32"/>
      <c r="L1578" s="32"/>
      <c r="M1578" s="32"/>
      <c r="N1578" s="32"/>
      <c r="O1578" s="93">
        <v>1981886.82</v>
      </c>
      <c r="P1578" s="91">
        <f>IFERROR(__xludf.DUMMYFUNCTION("IFERROR(sum(FILTER($D:$N,$C:$C = $C1578,$A:$A &lt; $A1578,$B:$B = 12)),0) + sum($D1578:$N1578)"),1981886.82)</f>
        <v>1981886.82</v>
      </c>
      <c r="Q1578" s="92">
        <f t="shared" si="1"/>
        <v>0</v>
      </c>
      <c r="R1578" s="91">
        <f t="array" ref="R1578">IFERROR(INDEX('Fund YTD Target Values'!$1:$1000, MATCH($C1578,'Fund YTD Target Values'!$A:$A,0), MATCH($A1578,'Fund YTD Target Values'!$1:$1,0)),0)</f>
        <v>2085975.586</v>
      </c>
      <c r="S1578" s="91">
        <f>IFERROR(__xludf.DUMMYFUNCTION("IFERROR(sum(FILTER('Fund Investment Data'!$V:$V, 'Fund Investment Data'!$C:$C = $C1578, 'Fund Investment Data'!$A:$A &lt; $A1578)),0) + IFERROR(sum(FILTER('Fund Investment Data'!$V:$V, 'Fund Investment Data'!$C:$C = $C1578, 'Fund Investment Data'!$A:$A = $A1"&amp;"578, 'Fund Investment Data'!$B:$B &lt;= $B1578)),0)"),2000000.0)</f>
        <v>2000000</v>
      </c>
      <c r="T1578" s="32"/>
      <c r="U1578" s="32"/>
      <c r="V1578" s="32">
        <f>IFERROR(__xludf.DUMMYFUNCTION("$D1578 - IFERROR(FILTER($D:$D,$C:$C = $C1578, $A:$A = $A1578, $B:$B = $B1578 - 1),0)"),0.0)</f>
        <v>0</v>
      </c>
      <c r="W1578" s="93">
        <f>IFERROR(__xludf.DUMMYFUNCTION("$E1578 - IFERROR(FILTER($E:$E,$C:$C = $C1578, $A:$A = $A1578, $B:$B = $B1578 - 1),0)"),0.0)</f>
        <v>0</v>
      </c>
      <c r="X1578" s="91">
        <f>IFERROR(__xludf.DUMMYFUNCTION("iFERROR((FILTER('Fund Investment Data'!$Z:$Z, 'Fund Investment Data'!$C:$C = $C1578, 'Fund Investment Data'!$A:$A = $A1578 - 1, 'Fund Investment Data'!$B:$B = 12) + FILTER('Fund Investment Data'!$AB:$AB, 'Fund Investment Data'!$C:$C = $C1578, 'Fund Invest"&amp;"ment Data'!$A:$A = $A1578 - 1, 'Fund Investment Data'!$B:$B = 12)) * (1 + AVERAGE(FILTER('Inflation Data'!$C:$C,'Inflation Data'!$A:$A = ($A1578 - 2)))) * Parameters!$A$4,0)"),0.0)</f>
        <v>0</v>
      </c>
      <c r="Y1578" s="91">
        <f>IFERROR(__xludf.DUMMYFUNCTION("IFERROR((IFERROR(FILTER('Fund Investment Data'!$P:$P,'Fund Investment Data'!$C:$C = $C1578,'Fund Investment Data'!$A:$A = ($A1578 - 2), 'Fund Investment Data'!$B:$B = 12),0) - SUM(FILTER('Fund Investment Data'!$V:$V, 'Fund Investment Data'!$C:$C = $C1578,"&amp;" 'Fund Investment Data'!$A:$A = ($A1578 - 2), 'Fund Investment Data'!$B:$B &gt; 3)))  * Parameters!$B$4 * (1 - Parameters!$A$4),0)"),474.91420500000106)</f>
        <v>474.914205</v>
      </c>
      <c r="Z1578" s="91">
        <f t="shared" si="24"/>
        <v>474.914205</v>
      </c>
      <c r="AA1578" s="91">
        <f>IFERROR(__xludf.DUMMYFUNCTION("((IFERROR((SUM(FILTER('Fund Investment Data'!$V:$V, 'Fund Investment Data'!$C:$C = $C1578, 'Fund Investment Data'!$A:$A = $A1578 - 1, 'Fund Investment Data'!$B:$B &gt;= 4, 'Fund Investment Data'!$B:$B &lt;= ($B1578 + 5))) / 12) * ($B1578 - 3) * Parameters!$B$4,"&amp;" 0) + IF($B1578 &gt;= 9, IFERROR(SUM(FILTER('Fund Investment Data'!$V:$V, 'Fund Investment Data'!$C:$C = $C1578, 'Fund Investment Data'!$A:$A = $A1578, 'Fund Investment Data'!$B:$B &lt;= 3)) * Parameters!$B$4, 0),0)))"),0.0)</f>
        <v>0</v>
      </c>
      <c r="AB1578" s="32">
        <f>IFERROR(__xludf.DUMMYFUNCTION("IFERROR(((IFERROR(SUM(FILTER('Fund Investment Data'!$V:$V, 'Fund Investment Data'!$C:$C = $C1578, 'Fund Investment Data'!$A:$A = $A1578 - 2, 'Fund Investment Data'!$B:$B &gt;= 4)) * Parameters!$B$4,0) + IFERROR(SUM(FILTER('Fund Investment Data'!$V:$V, 'Fund "&amp;"Investment Data'!$C:$C = $C1578, 'Fund Investment Data'!$A:$A = $A1578 - 1, 'Fund Investment Data'!$B:$B &lt;= 3)) * Parameters!$B$4,0))),0)"),90000.0)</f>
        <v>90000</v>
      </c>
      <c r="AC1578" s="32">
        <f>IFERROR(__xludf.DUMMYFUNCTION("IFERROR(FILTER($AF:$AF,$C:$C = $C1578,$A:$A = $A1578 - 1,$B:$B = 12),0)"),25000.0)</f>
        <v>25000</v>
      </c>
      <c r="AD1578" s="32">
        <f t="shared" si="23"/>
        <v>115474.9142</v>
      </c>
      <c r="AE1578" s="32">
        <f t="shared" si="2"/>
        <v>-0.08579499999</v>
      </c>
      <c r="AF1578" s="32"/>
    </row>
    <row r="1579">
      <c r="A1579" s="86">
        <v>2019.0</v>
      </c>
      <c r="B1579" s="87">
        <v>11.0</v>
      </c>
      <c r="C1579" s="88" t="s">
        <v>26</v>
      </c>
      <c r="D1579" s="93">
        <v>7128.0</v>
      </c>
      <c r="E1579" s="93">
        <v>-16730.0</v>
      </c>
      <c r="F1579" s="32"/>
      <c r="G1579" s="93">
        <v>-1575.84</v>
      </c>
      <c r="H1579" s="93">
        <v>6739.0</v>
      </c>
      <c r="I1579" s="32"/>
      <c r="J1579" s="93">
        <v>34773.23</v>
      </c>
      <c r="K1579" s="32"/>
      <c r="L1579" s="93">
        <v>-85.34</v>
      </c>
      <c r="M1579" s="32"/>
      <c r="N1579" s="32"/>
      <c r="O1579" s="93">
        <v>339077.92</v>
      </c>
      <c r="P1579" s="91">
        <f>IFERROR(__xludf.DUMMYFUNCTION("IFERROR(sum(FILTER($D:$N,$C:$C = $C1579,$A:$A &lt; $A1579,$B:$B = 12)),0) + sum($D1579:$N1579)"),339076.44999999995)</f>
        <v>339076.45</v>
      </c>
      <c r="Q1579" s="92">
        <f t="shared" si="1"/>
        <v>1.47</v>
      </c>
      <c r="R1579" s="91">
        <f t="array" ref="R1579">IFERROR(INDEX('Fund YTD Target Values'!$1:$1000, MATCH($C1579,'Fund YTD Target Values'!$A:$A,0), MATCH($A1579,'Fund YTD Target Values'!$1:$1,0)),0)</f>
        <v>392089.6861</v>
      </c>
      <c r="S1579" s="91">
        <f>IFERROR(__xludf.DUMMYFUNCTION("IFERROR(sum(FILTER('Fund Investment Data'!$V:$V, 'Fund Investment Data'!$C:$C = $C1579, 'Fund Investment Data'!$A:$A &lt; $A1579)),0) + IFERROR(sum(FILTER('Fund Investment Data'!$V:$V, 'Fund Investment Data'!$C:$C = $C1579, 'Fund Investment Data'!$A:$A = $A1"&amp;"579, 'Fund Investment Data'!$B:$B &lt;= $B1579)),0)"),317377.0)</f>
        <v>317377</v>
      </c>
      <c r="T1579" s="32"/>
      <c r="U1579" s="32"/>
      <c r="V1579" s="32">
        <f>IFERROR(__xludf.DUMMYFUNCTION("$D1579 - IFERROR(FILTER($D:$D,$C:$C = $C1579, $A:$A = $A1579, $B:$B = $B1579 - 1),0)"),0.0)</f>
        <v>0</v>
      </c>
      <c r="W1579" s="93">
        <f>IFERROR(__xludf.DUMMYFUNCTION("$E1579 - IFERROR(FILTER($E:$E,$C:$C = $C1579, $A:$A = $A1579, $B:$B = $B1579 - 1),0)"),0.0)</f>
        <v>0</v>
      </c>
      <c r="X1579" s="91">
        <f>IFERROR(__xludf.DUMMYFUNCTION("iFERROR((FILTER('Fund Investment Data'!$Z:$Z, 'Fund Investment Data'!$C:$C = $C1579, 'Fund Investment Data'!$A:$A = $A1579 - 1, 'Fund Investment Data'!$B:$B = 12) + FILTER('Fund Investment Data'!$AB:$AB, 'Fund Investment Data'!$C:$C = $C1579, 'Fund Invest"&amp;"ment Data'!$A:$A = $A1579 - 1, 'Fund Investment Data'!$B:$B = 12)) * (1 + AVERAGE(FILTER('Inflation Data'!$C:$C,'Inflation Data'!$A:$A = ($A1579 - 2)))) * Parameters!$A$4,0)"),11342.657736026731)</f>
        <v>11342.65774</v>
      </c>
      <c r="Y1579" s="91">
        <f>IFERROR(__xludf.DUMMYFUNCTION("IFERROR((IFERROR(FILTER('Fund Investment Data'!$P:$P,'Fund Investment Data'!$C:$C = $C1579,'Fund Investment Data'!$A:$A = ($A1579 - 2), 'Fund Investment Data'!$B:$B = 12),0) - SUM(FILTER('Fund Investment Data'!$V:$V, 'Fund Investment Data'!$C:$C = $C1579,"&amp;" 'Fund Investment Data'!$A:$A = ($A1579 - 2), 'Fund Investment Data'!$B:$B &gt; 3)))  * Parameters!$B$4 * (1 - Parameters!$A$4),0)"),4477.69296)</f>
        <v>4477.69296</v>
      </c>
      <c r="Z1579" s="91">
        <f t="shared" si="24"/>
        <v>15820.3507</v>
      </c>
      <c r="AA1579" s="91">
        <f>IFERROR(__xludf.DUMMYFUNCTION("((IFERROR((SUM(FILTER('Fund Investment Data'!$V:$V, 'Fund Investment Data'!$C:$C = $C1579, 'Fund Investment Data'!$A:$A = $A1579 - 1, 'Fund Investment Data'!$B:$B &gt;= 4, 'Fund Investment Data'!$B:$B &lt;= ($B1579 + 5))) / 12) * ($B1579 - 3) * Parameters!$B$4,"&amp;" 0) + IF($B1579 &gt;= 9, IFERROR(SUM(FILTER('Fund Investment Data'!$V:$V, 'Fund Investment Data'!$C:$C = $C1579, 'Fund Investment Data'!$A:$A = $A1579, 'Fund Investment Data'!$B:$B &lt;= 3)) * Parameters!$B$4, 0),0)))"),320.76)</f>
        <v>320.76</v>
      </c>
      <c r="AB1579" s="32">
        <f>IFERROR(__xludf.DUMMYFUNCTION("IFERROR(((IFERROR(SUM(FILTER('Fund Investment Data'!$V:$V, 'Fund Investment Data'!$C:$C = $C1579, 'Fund Investment Data'!$A:$A = $A1579 - 2, 'Fund Investment Data'!$B:$B &gt;= 4)) * Parameters!$B$4,0) + IFERROR(SUM(FILTER('Fund Investment Data'!$V:$V, 'Fund "&amp;"Investment Data'!$C:$C = $C1579, 'Fund Investment Data'!$A:$A = $A1579 - 1, 'Fund Investment Data'!$B:$B &lt;= 3)) * Parameters!$B$4,0))),0)"),829.755)</f>
        <v>829.755</v>
      </c>
      <c r="AC1579" s="32">
        <f>IFERROR(__xludf.DUMMYFUNCTION("IFERROR(FILTER($AF:$AF,$C:$C = $C1579,$A:$A = $A1579 - 1,$B:$B = 12),0)"),0.0)</f>
        <v>0</v>
      </c>
      <c r="AD1579" s="32">
        <f t="shared" si="23"/>
        <v>16970.8657</v>
      </c>
      <c r="AE1579" s="32">
        <f t="shared" si="2"/>
        <v>240.865696</v>
      </c>
      <c r="AF1579" s="32"/>
    </row>
    <row r="1580">
      <c r="A1580" s="86">
        <v>2019.0</v>
      </c>
      <c r="B1580" s="87">
        <v>11.0</v>
      </c>
      <c r="C1580" s="88" t="s">
        <v>27</v>
      </c>
      <c r="D1580" s="32"/>
      <c r="E1580" s="93">
        <v>-14089.0</v>
      </c>
      <c r="F1580" s="32"/>
      <c r="G1580" s="93">
        <v>-1359.0</v>
      </c>
      <c r="H1580" s="93">
        <v>5818.46</v>
      </c>
      <c r="I1580" s="93">
        <v>3403.93</v>
      </c>
      <c r="J1580" s="93">
        <v>26874.69</v>
      </c>
      <c r="K1580" s="32"/>
      <c r="L1580" s="32"/>
      <c r="M1580" s="32"/>
      <c r="N1580" s="32"/>
      <c r="O1580" s="93">
        <v>291532.55</v>
      </c>
      <c r="P1580" s="91">
        <f>IFERROR(__xludf.DUMMYFUNCTION("IFERROR(sum(FILTER($D:$N,$C:$C = $C1580,$A:$A &lt; $A1580,$B:$B = 12)),0) + sum($D1580:$N1580)"),291532.8900000001)</f>
        <v>291532.89</v>
      </c>
      <c r="Q1580" s="92">
        <f t="shared" si="1"/>
        <v>-0.3400000001</v>
      </c>
      <c r="R1580" s="91">
        <f t="array" ref="R1580">IFERROR(INDEX('Fund YTD Target Values'!$1:$1000, MATCH($C1580,'Fund YTD Target Values'!$A:$A,0), MATCH($A1580,'Fund YTD Target Values'!$1:$1,0)),0)</f>
        <v>400423.4941</v>
      </c>
      <c r="S1580" s="91">
        <f>IFERROR(__xludf.DUMMYFUNCTION("IFERROR(sum(FILTER('Fund Investment Data'!$V:$V, 'Fund Investment Data'!$C:$C = $C1580, 'Fund Investment Data'!$A:$A &lt; $A1580)),0) + IFERROR(sum(FILTER('Fund Investment Data'!$V:$V, 'Fund Investment Data'!$C:$C = $C1580, 'Fund Investment Data'!$A:$A = $A1"&amp;"580, 'Fund Investment Data'!$B:$B &lt;= $B1580)),0)"),276213.69999999995)</f>
        <v>276213.7</v>
      </c>
      <c r="T1580" s="32"/>
      <c r="U1580" s="32"/>
      <c r="V1580" s="32">
        <f>IFERROR(__xludf.DUMMYFUNCTION("$D1580 - IFERROR(FILTER($D:$D,$C:$C = $C1580, $A:$A = $A1580, $B:$B = $B1580 - 1),0)"),0.0)</f>
        <v>0</v>
      </c>
      <c r="W1580" s="93">
        <f>IFERROR(__xludf.DUMMYFUNCTION("$E1580 - IFERROR(FILTER($E:$E,$C:$C = $C1580, $A:$A = $A1580, $B:$B = $B1580 - 1),0)"),0.0)</f>
        <v>0</v>
      </c>
      <c r="X1580" s="91">
        <f>IFERROR(__xludf.DUMMYFUNCTION("iFERROR((FILTER('Fund Investment Data'!$Z:$Z, 'Fund Investment Data'!$C:$C = $C1580, 'Fund Investment Data'!$A:$A = $A1580 - 1, 'Fund Investment Data'!$B:$B = 12) + FILTER('Fund Investment Data'!$AB:$AB, 'Fund Investment Data'!$C:$C = $C1580, 'Fund Invest"&amp;"ment Data'!$A:$A = $A1580 - 1, 'Fund Investment Data'!$B:$B = 12)) * (1 + AVERAGE(FILTER('Inflation Data'!$C:$C,'Inflation Data'!$A:$A = ($A1580 - 2)))) * Parameters!$A$4,0)"),9924.42530607715)</f>
        <v>9924.425306</v>
      </c>
      <c r="Y1580" s="91">
        <f>IFERROR(__xludf.DUMMYFUNCTION("IFERROR((IFERROR(FILTER('Fund Investment Data'!$P:$P,'Fund Investment Data'!$C:$C = $C1580,'Fund Investment Data'!$A:$A = ($A1580 - 2), 'Fund Investment Data'!$B:$B = 12),0) - SUM(FILTER('Fund Investment Data'!$V:$V, 'Fund Investment Data'!$C:$C = $C1580,"&amp;" 'Fund Investment Data'!$A:$A = ($A1580 - 2), 'Fund Investment Data'!$B:$B &gt; 3)))  * Parameters!$B$4 * (1 - Parameters!$A$4),0)"),4164.5529000000015)</f>
        <v>4164.5529</v>
      </c>
      <c r="Z1580" s="91">
        <f t="shared" si="24"/>
        <v>14088.97821</v>
      </c>
      <c r="AA1580" s="91">
        <f>IFERROR(__xludf.DUMMYFUNCTION("((IFERROR((SUM(FILTER('Fund Investment Data'!$V:$V, 'Fund Investment Data'!$C:$C = $C1580, 'Fund Investment Data'!$A:$A = $A1580 - 1, 'Fund Investment Data'!$B:$B &gt;= 4, 'Fund Investment Data'!$B:$B &lt;= ($B1580 + 5))) / 12) * ($B1580 - 3) * Parameters!$B$4,"&amp;" 0) + IF($B1580 &gt;= 9, IFERROR(SUM(FILTER('Fund Investment Data'!$V:$V, 'Fund Investment Data'!$C:$C = $C1580, 'Fund Investment Data'!$A:$A = $A1580, 'Fund Investment Data'!$B:$B &lt;= 3)) * Parameters!$B$4, 0),0)))"),0.0)</f>
        <v>0</v>
      </c>
      <c r="AB1580" s="32">
        <f>IFERROR(__xludf.DUMMYFUNCTION("IFERROR(((IFERROR(SUM(FILTER('Fund Investment Data'!$V:$V, 'Fund Investment Data'!$C:$C = $C1580, 'Fund Investment Data'!$A:$A = $A1580 - 2, 'Fund Investment Data'!$B:$B &gt;= 4)) * Parameters!$B$4,0) + IFERROR(SUM(FILTER('Fund Investment Data'!$V:$V, 'Fund "&amp;"Investment Data'!$C:$C = $C1580, 'Fund Investment Data'!$A:$A = $A1580 - 1, 'Fund Investment Data'!$B:$B &lt;= 3)) * Parameters!$B$4,0))),0)"),0.0)</f>
        <v>0</v>
      </c>
      <c r="AC1580" s="32">
        <f>IFERROR(__xludf.DUMMYFUNCTION("IFERROR(FILTER($AF:$AF,$C:$C = $C1580,$A:$A = $A1580 - 1,$B:$B = 12),0)"),0.0)</f>
        <v>0</v>
      </c>
      <c r="AD1580" s="32">
        <f t="shared" si="23"/>
        <v>14088.97821</v>
      </c>
      <c r="AE1580" s="32">
        <f t="shared" si="2"/>
        <v>-0.02179392285</v>
      </c>
      <c r="AF1580" s="32"/>
    </row>
    <row r="1581">
      <c r="A1581" s="86">
        <v>2019.0</v>
      </c>
      <c r="B1581" s="87">
        <v>11.0</v>
      </c>
      <c r="C1581" s="88" t="s">
        <v>28</v>
      </c>
      <c r="D1581" s="32"/>
      <c r="E1581" s="93">
        <v>-151137.0</v>
      </c>
      <c r="F1581" s="32"/>
      <c r="G1581" s="93">
        <v>-14500.58</v>
      </c>
      <c r="H1581" s="93">
        <v>62126.58</v>
      </c>
      <c r="I1581" s="93">
        <v>36842.32</v>
      </c>
      <c r="J1581" s="93">
        <v>288377.75</v>
      </c>
      <c r="K1581" s="32"/>
      <c r="L1581" s="32"/>
      <c r="M1581" s="32"/>
      <c r="N1581" s="32"/>
      <c r="O1581" s="93">
        <v>3123949.44</v>
      </c>
      <c r="P1581" s="91">
        <f>IFERROR(__xludf.DUMMYFUNCTION("IFERROR(sum(FILTER($D:$N,$C:$C = $C1581,$A:$A &lt; $A1581,$B:$B = 12)),0) + sum($D1581:$N1581)"),3123948.51)</f>
        <v>3123948.51</v>
      </c>
      <c r="Q1581" s="92">
        <f t="shared" si="1"/>
        <v>0.9300000002</v>
      </c>
      <c r="R1581" s="91">
        <f t="array" ref="R1581">IFERROR(INDEX('Fund YTD Target Values'!$1:$1000, MATCH($C1581,'Fund YTD Target Values'!$A:$A,0), MATCH($A1581,'Fund YTD Target Values'!$1:$1,0)),0)</f>
        <v>3910070.897</v>
      </c>
      <c r="S1581" s="91">
        <f>IFERROR(__xludf.DUMMYFUNCTION("IFERROR(sum(FILTER('Fund Investment Data'!$V:$V, 'Fund Investment Data'!$C:$C = $C1581, 'Fund Investment Data'!$A:$A &lt; $A1581)),0) + IFERROR(sum(FILTER('Fund Investment Data'!$V:$V, 'Fund Investment Data'!$C:$C = $C1581, 'Fund Investment Data'!$A:$A = $A1"&amp;"581, 'Fund Investment Data'!$B:$B &lt;= $B1581)),0)"),2960091.25)</f>
        <v>2960091.25</v>
      </c>
      <c r="T1581" s="32"/>
      <c r="U1581" s="32"/>
      <c r="V1581" s="32">
        <f>IFERROR(__xludf.DUMMYFUNCTION("$D1581 - IFERROR(FILTER($D:$D,$C:$C = $C1581, $A:$A = $A1581, $B:$B = $B1581 - 1),0)"),0.0)</f>
        <v>0</v>
      </c>
      <c r="W1581" s="93">
        <f>IFERROR(__xludf.DUMMYFUNCTION("$E1581 - IFERROR(FILTER($E:$E,$C:$C = $C1581, $A:$A = $A1581, $B:$B = $B1581 - 1),0)"),0.0)</f>
        <v>0</v>
      </c>
      <c r="X1581" s="91">
        <f>IFERROR(__xludf.DUMMYFUNCTION("iFERROR((FILTER('Fund Investment Data'!$Z:$Z, 'Fund Investment Data'!$C:$C = $C1581, 'Fund Investment Data'!$A:$A = $A1581 - 1, 'Fund Investment Data'!$B:$B = 12) + FILTER('Fund Investment Data'!$AB:$AB, 'Fund Investment Data'!$C:$C = $C1581, 'Fund Invest"&amp;"ment Data'!$A:$A = $A1581 - 1, 'Fund Investment Data'!$B:$B = 12)) * (1 + AVERAGE(FILTER('Inflation Data'!$C:$C,'Inflation Data'!$A:$A = ($A1581 - 2)))) * Parameters!$A$4,0)"),106462.6298445185)</f>
        <v>106462.6298</v>
      </c>
      <c r="Y1581" s="91">
        <f>IFERROR(__xludf.DUMMYFUNCTION("IFERROR((IFERROR(FILTER('Fund Investment Data'!$P:$P,'Fund Investment Data'!$C:$C = $C1581,'Fund Investment Data'!$A:$A = ($A1581 - 2), 'Fund Investment Data'!$B:$B = 12),0) - SUM(FILTER('Fund Investment Data'!$V:$V, 'Fund Investment Data'!$C:$C = $C1581,"&amp;" 'Fund Investment Data'!$A:$A = ($A1581 - 2), 'Fund Investment Data'!$B:$B &gt; 3)))  * Parameters!$B$4 * (1 - Parameters!$A$4),0)"),44674.55194500001)</f>
        <v>44674.55195</v>
      </c>
      <c r="Z1581" s="91">
        <f t="shared" si="24"/>
        <v>151137.1818</v>
      </c>
      <c r="AA1581" s="91">
        <f>IFERROR(__xludf.DUMMYFUNCTION("((IFERROR((SUM(FILTER('Fund Investment Data'!$V:$V, 'Fund Investment Data'!$C:$C = $C1581, 'Fund Investment Data'!$A:$A = $A1581 - 1, 'Fund Investment Data'!$B:$B &gt;= 4, 'Fund Investment Data'!$B:$B &lt;= ($B1581 + 5))) / 12) * ($B1581 - 3) * Parameters!$B$4,"&amp;" 0) + IF($B1581 &gt;= 9, IFERROR(SUM(FILTER('Fund Investment Data'!$V:$V, 'Fund Investment Data'!$C:$C = $C1581, 'Fund Investment Data'!$A:$A = $A1581, 'Fund Investment Data'!$B:$B &lt;= 3)) * Parameters!$B$4, 0),0)))"),0.0)</f>
        <v>0</v>
      </c>
      <c r="AB1581" s="32">
        <f>IFERROR(__xludf.DUMMYFUNCTION("IFERROR(((IFERROR(SUM(FILTER('Fund Investment Data'!$V:$V, 'Fund Investment Data'!$C:$C = $C1581, 'Fund Investment Data'!$A:$A = $A1581 - 2, 'Fund Investment Data'!$B:$B &gt;= 4)) * Parameters!$B$4,0) + IFERROR(SUM(FILTER('Fund Investment Data'!$V:$V, 'Fund "&amp;"Investment Data'!$C:$C = $C1581, 'Fund Investment Data'!$A:$A = $A1581 - 1, 'Fund Investment Data'!$B:$B &lt;= 3)) * Parameters!$B$4,0))),0)"),0.0)</f>
        <v>0</v>
      </c>
      <c r="AC1581" s="32">
        <f>IFERROR(__xludf.DUMMYFUNCTION("IFERROR(FILTER($AF:$AF,$C:$C = $C1581,$A:$A = $A1581 - 1,$B:$B = 12),0)"),0.0)</f>
        <v>0</v>
      </c>
      <c r="AD1581" s="32">
        <f t="shared" si="23"/>
        <v>151137.1818</v>
      </c>
      <c r="AE1581" s="32">
        <f t="shared" si="2"/>
        <v>0.1817895185</v>
      </c>
      <c r="AF1581" s="32"/>
    </row>
    <row r="1582">
      <c r="A1582" s="86">
        <v>2019.0</v>
      </c>
      <c r="B1582" s="87">
        <v>11.0</v>
      </c>
      <c r="C1582" s="88" t="s">
        <v>46</v>
      </c>
      <c r="D1582" s="32"/>
      <c r="E1582" s="93">
        <v>-17972.0</v>
      </c>
      <c r="F1582" s="32"/>
      <c r="G1582" s="93">
        <v>-1667.31</v>
      </c>
      <c r="H1582" s="93">
        <v>7154.75</v>
      </c>
      <c r="I1582" s="93">
        <v>4377.36</v>
      </c>
      <c r="J1582" s="93">
        <v>33072.3</v>
      </c>
      <c r="K1582" s="32"/>
      <c r="L1582" s="32"/>
      <c r="M1582" s="32"/>
      <c r="N1582" s="32"/>
      <c r="O1582" s="93">
        <v>359756.06</v>
      </c>
      <c r="P1582" s="91">
        <f>IFERROR(__xludf.DUMMYFUNCTION("IFERROR(sum(FILTER($D:$N,$C:$C = $C1582,$A:$A &lt; $A1582,$B:$B = 12)),0) + sum($D1582:$N1582)"),359756.48)</f>
        <v>359756.48</v>
      </c>
      <c r="Q1582" s="92">
        <f t="shared" si="1"/>
        <v>-0.42</v>
      </c>
      <c r="R1582" s="91">
        <f t="array" ref="R1582">IFERROR(INDEX('Fund YTD Target Values'!$1:$1000, MATCH($C1582,'Fund YTD Target Values'!$A:$A,0), MATCH($A1582,'Fund YTD Target Values'!$1:$1,0)),0)</f>
        <v>464818.8536</v>
      </c>
      <c r="S1582" s="91">
        <f>IFERROR(__xludf.DUMMYFUNCTION("IFERROR(sum(FILTER('Fund Investment Data'!$V:$V, 'Fund Investment Data'!$C:$C = $C1582, 'Fund Investment Data'!$A:$A &lt; $A1582)),0) + IFERROR(sum(FILTER('Fund Investment Data'!$V:$V, 'Fund Investment Data'!$C:$C = $C1582, 'Fund Investment Data'!$A:$A = $A1"&amp;"582, 'Fund Investment Data'!$B:$B &lt;= $B1582)),0)"),366400.0)</f>
        <v>366400</v>
      </c>
      <c r="T1582" s="32"/>
      <c r="U1582" s="32"/>
      <c r="V1582" s="32">
        <f>IFERROR(__xludf.DUMMYFUNCTION("$D1582 - IFERROR(FILTER($D:$D,$C:$C = $C1582, $A:$A = $A1582, $B:$B = $B1582 - 1),0)"),0.0)</f>
        <v>0</v>
      </c>
      <c r="W1582" s="93">
        <f>IFERROR(__xludf.DUMMYFUNCTION("$E1582 - IFERROR(FILTER($E:$E,$C:$C = $C1582, $A:$A = $A1582, $B:$B = $B1582 - 1),0)"),0.0)</f>
        <v>0</v>
      </c>
      <c r="X1582" s="91">
        <f>IFERROR(__xludf.DUMMYFUNCTION("iFERROR((FILTER('Fund Investment Data'!$Z:$Z, 'Fund Investment Data'!$C:$C = $C1582, 'Fund Investment Data'!$A:$A = $A1582 - 1, 'Fund Investment Data'!$B:$B = 12) + FILTER('Fund Investment Data'!$AB:$AB, 'Fund Investment Data'!$C:$C = $C1582, 'Fund Invest"&amp;"ment Data'!$A:$A = $A1582 - 1, 'Fund Investment Data'!$B:$B = 12)) * (1 + AVERAGE(FILTER('Inflation Data'!$C:$C,'Inflation Data'!$A:$A = ($A1582 - 2)))) * Parameters!$A$4,0)"),12659.715432364716)</f>
        <v>12659.71543</v>
      </c>
      <c r="Y1582" s="91">
        <f>IFERROR(__xludf.DUMMYFUNCTION("IFERROR((IFERROR(FILTER('Fund Investment Data'!$P:$P,'Fund Investment Data'!$C:$C = $C1582,'Fund Investment Data'!$A:$A = ($A1582 - 2), 'Fund Investment Data'!$B:$B = 12),0) - SUM(FILTER('Fund Investment Data'!$V:$V, 'Fund Investment Data'!$C:$C = $C1582,"&amp;" 'Fund Investment Data'!$A:$A = ($A1582 - 2), 'Fund Investment Data'!$B:$B &gt; 3)))  * Parameters!$B$4 * (1 - Parameters!$A$4),0)"),5312.3534100000015)</f>
        <v>5312.35341</v>
      </c>
      <c r="Z1582" s="91">
        <f t="shared" si="24"/>
        <v>17972.06884</v>
      </c>
      <c r="AA1582" s="91">
        <f>IFERROR(__xludf.DUMMYFUNCTION("((IFERROR((SUM(FILTER('Fund Investment Data'!$V:$V, 'Fund Investment Data'!$C:$C = $C1582, 'Fund Investment Data'!$A:$A = $A1582 - 1, 'Fund Investment Data'!$B:$B &gt;= 4, 'Fund Investment Data'!$B:$B &lt;= ($B1582 + 5))) / 12) * ($B1582 - 3) * Parameters!$B$4,"&amp;" 0) + IF($B1582 &gt;= 9, IFERROR(SUM(FILTER('Fund Investment Data'!$V:$V, 'Fund Investment Data'!$C:$C = $C1582, 'Fund Investment Data'!$A:$A = $A1582, 'Fund Investment Data'!$B:$B &lt;= 3)) * Parameters!$B$4, 0),0)))"),0.0)</f>
        <v>0</v>
      </c>
      <c r="AB1582" s="32">
        <f>IFERROR(__xludf.DUMMYFUNCTION("IFERROR(((IFERROR(SUM(FILTER('Fund Investment Data'!$V:$V, 'Fund Investment Data'!$C:$C = $C1582, 'Fund Investment Data'!$A:$A = $A1582 - 2, 'Fund Investment Data'!$B:$B &gt;= 4)) * Parameters!$B$4,0) + IFERROR(SUM(FILTER('Fund Investment Data'!$V:$V, 'Fund "&amp;"Investment Data'!$C:$C = $C1582, 'Fund Investment Data'!$A:$A = $A1582 - 1, 'Fund Investment Data'!$B:$B &lt;= 3)) * Parameters!$B$4,0))),0)"),0.0)</f>
        <v>0</v>
      </c>
      <c r="AC1582" s="32">
        <f>IFERROR(__xludf.DUMMYFUNCTION("IFERROR(FILTER($AF:$AF,$C:$C = $C1582,$A:$A = $A1582 - 1,$B:$B = 12),0)"),0.0)</f>
        <v>0</v>
      </c>
      <c r="AD1582" s="32">
        <f t="shared" si="23"/>
        <v>17972.06884</v>
      </c>
      <c r="AE1582" s="32">
        <f t="shared" si="2"/>
        <v>0.06884236472</v>
      </c>
      <c r="AF1582" s="32"/>
    </row>
    <row r="1583">
      <c r="A1583" s="86">
        <v>2019.0</v>
      </c>
      <c r="B1583" s="87">
        <v>11.0</v>
      </c>
      <c r="C1583" s="88" t="s">
        <v>36</v>
      </c>
      <c r="D1583" s="32"/>
      <c r="E1583" s="93">
        <v>-20587.0</v>
      </c>
      <c r="F1583" s="32"/>
      <c r="G1583" s="93">
        <v>-1962.37</v>
      </c>
      <c r="H1583" s="93">
        <v>8412.83</v>
      </c>
      <c r="I1583" s="93">
        <v>4822.06</v>
      </c>
      <c r="J1583" s="93">
        <v>39187.0</v>
      </c>
      <c r="K1583" s="32"/>
      <c r="L1583" s="32"/>
      <c r="M1583" s="32"/>
      <c r="N1583" s="32"/>
      <c r="O1583" s="93">
        <v>423803.71</v>
      </c>
      <c r="P1583" s="91">
        <f>IFERROR(__xludf.DUMMYFUNCTION("IFERROR(sum(FILTER($D:$N,$C:$C = $C1583,$A:$A &lt; $A1583,$B:$B = 12)),0) + sum($D1583:$N1583)"),423803.26)</f>
        <v>423803.26</v>
      </c>
      <c r="Q1583" s="92">
        <f t="shared" si="1"/>
        <v>0.45</v>
      </c>
      <c r="R1583" s="91">
        <f t="array" ref="R1583">IFERROR(INDEX('Fund YTD Target Values'!$1:$1000, MATCH($C1583,'Fund YTD Target Values'!$A:$A,0), MATCH($A1583,'Fund YTD Target Values'!$1:$1,0)),0)</f>
        <v>647000.627</v>
      </c>
      <c r="S1583" s="91">
        <f>IFERROR(__xludf.DUMMYFUNCTION("IFERROR(sum(FILTER('Fund Investment Data'!$V:$V, 'Fund Investment Data'!$C:$C = $C1583, 'Fund Investment Data'!$A:$A &lt; $A1583)),0) + IFERROR(sum(FILTER('Fund Investment Data'!$V:$V, 'Fund Investment Data'!$C:$C = $C1583, 'Fund Investment Data'!$A:$A = $A1"&amp;"583, 'Fund Investment Data'!$B:$B &lt;= $B1583)),0)"),429067.24)</f>
        <v>429067.24</v>
      </c>
      <c r="T1583" s="32"/>
      <c r="U1583" s="32"/>
      <c r="V1583" s="32">
        <f>IFERROR(__xludf.DUMMYFUNCTION("$D1583 - IFERROR(FILTER($D:$D,$C:$C = $C1583, $A:$A = $A1583, $B:$B = $B1583 - 1),0)"),0.0)</f>
        <v>0</v>
      </c>
      <c r="W1583" s="93">
        <f>IFERROR(__xludf.DUMMYFUNCTION("$E1583 - IFERROR(FILTER($E:$E,$C:$C = $C1583, $A:$A = $A1583, $B:$B = $B1583 - 1),0)"),0.0)</f>
        <v>0</v>
      </c>
      <c r="X1583" s="91">
        <f>IFERROR(__xludf.DUMMYFUNCTION("iFERROR((FILTER('Fund Investment Data'!$Z:$Z, 'Fund Investment Data'!$C:$C = $C1583, 'Fund Investment Data'!$A:$A = $A1583 - 1, 'Fund Investment Data'!$B:$B = 12) + FILTER('Fund Investment Data'!$AB:$AB, 'Fund Investment Data'!$C:$C = $C1583, 'Fund Invest"&amp;"ment Data'!$A:$A = $A1583 - 1, 'Fund Investment Data'!$B:$B = 12)) * (1 + AVERAGE(FILTER('Inflation Data'!$C:$C,'Inflation Data'!$A:$A = ($A1583 - 2)))) * Parameters!$A$4,0)"),14501.42849435059)</f>
        <v>14501.42849</v>
      </c>
      <c r="Y1583" s="91">
        <f>IFERROR(__xludf.DUMMYFUNCTION("IFERROR((IFERROR(FILTER('Fund Investment Data'!$P:$P,'Fund Investment Data'!$C:$C = $C1583,'Fund Investment Data'!$A:$A = ($A1583 - 2), 'Fund Investment Data'!$B:$B = 12),0) - SUM(FILTER('Fund Investment Data'!$V:$V, 'Fund Investment Data'!$C:$C = $C1583,"&amp;" 'Fund Investment Data'!$A:$A = ($A1583 - 2), 'Fund Investment Data'!$B:$B &gt; 3)))  * Parameters!$B$4 * (1 - Parameters!$A$4),0)"),6085.1852100000015)</f>
        <v>6085.18521</v>
      </c>
      <c r="Z1583" s="91">
        <f t="shared" si="24"/>
        <v>20586.6137</v>
      </c>
      <c r="AA1583" s="91">
        <f>IFERROR(__xludf.DUMMYFUNCTION("((IFERROR((SUM(FILTER('Fund Investment Data'!$V:$V, 'Fund Investment Data'!$C:$C = $C1583, 'Fund Investment Data'!$A:$A = $A1583 - 1, 'Fund Investment Data'!$B:$B &gt;= 4, 'Fund Investment Data'!$B:$B &lt;= ($B1583 + 5))) / 12) * ($B1583 - 3) * Parameters!$B$4,"&amp;" 0) + IF($B1583 &gt;= 9, IFERROR(SUM(FILTER('Fund Investment Data'!$V:$V, 'Fund Investment Data'!$C:$C = $C1583, 'Fund Investment Data'!$A:$A = $A1583, 'Fund Investment Data'!$B:$B &lt;= 3)) * Parameters!$B$4, 0),0)))"),0.0)</f>
        <v>0</v>
      </c>
      <c r="AB1583" s="32">
        <f>IFERROR(__xludf.DUMMYFUNCTION("IFERROR(((IFERROR(SUM(FILTER('Fund Investment Data'!$V:$V, 'Fund Investment Data'!$C:$C = $C1583, 'Fund Investment Data'!$A:$A = $A1583 - 2, 'Fund Investment Data'!$B:$B &gt;= 4)) * Parameters!$B$4,0) + IFERROR(SUM(FILTER('Fund Investment Data'!$V:$V, 'Fund "&amp;"Investment Data'!$C:$C = $C1583, 'Fund Investment Data'!$A:$A = $A1583 - 1, 'Fund Investment Data'!$B:$B &lt;= 3)) * Parameters!$B$4,0))),0)"),0.0)</f>
        <v>0</v>
      </c>
      <c r="AC1583" s="32">
        <f>IFERROR(__xludf.DUMMYFUNCTION("IFERROR(FILTER($AF:$AF,$C:$C = $C1583,$A:$A = $A1583 - 1,$B:$B = 12),0)"),0.0)</f>
        <v>0</v>
      </c>
      <c r="AD1583" s="32">
        <f t="shared" si="23"/>
        <v>20586.6137</v>
      </c>
      <c r="AE1583" s="32">
        <f t="shared" si="2"/>
        <v>-0.3862956494</v>
      </c>
      <c r="AF1583" s="32"/>
    </row>
    <row r="1584">
      <c r="A1584" s="86">
        <v>2019.0</v>
      </c>
      <c r="B1584" s="87">
        <v>11.0</v>
      </c>
      <c r="C1584" s="88" t="s">
        <v>37</v>
      </c>
      <c r="D1584" s="32"/>
      <c r="E1584" s="93">
        <v>-37603.0</v>
      </c>
      <c r="F1584" s="32"/>
      <c r="G1584" s="93">
        <v>-3613.46</v>
      </c>
      <c r="H1584" s="93">
        <v>15477.62</v>
      </c>
      <c r="I1584" s="93">
        <v>6859.8</v>
      </c>
      <c r="J1584" s="93">
        <v>73950.56</v>
      </c>
      <c r="K1584" s="32"/>
      <c r="L1584" s="32"/>
      <c r="M1584" s="32"/>
      <c r="N1584" s="32"/>
      <c r="O1584" s="93">
        <v>778085.63</v>
      </c>
      <c r="P1584" s="91">
        <f>IFERROR(__xludf.DUMMYFUNCTION("IFERROR(sum(FILTER($D:$N,$C:$C = $C1584,$A:$A &lt; $A1584,$B:$B = 12)),0) + sum($D1584:$N1584)"),778085.6299999999)</f>
        <v>778085.63</v>
      </c>
      <c r="Q1584" s="92">
        <f t="shared" si="1"/>
        <v>0.0000000001164153218</v>
      </c>
      <c r="R1584" s="91">
        <f t="array" ref="R1584">IFERROR(INDEX('Fund YTD Target Values'!$1:$1000, MATCH($C1584,'Fund YTD Target Values'!$A:$A,0), MATCH($A1584,'Fund YTD Target Values'!$1:$1,0)),0)</f>
        <v>860942.6464</v>
      </c>
      <c r="S1584" s="91">
        <f>IFERROR(__xludf.DUMMYFUNCTION("IFERROR(sum(FILTER('Fund Investment Data'!$V:$V, 'Fund Investment Data'!$C:$C = $C1584, 'Fund Investment Data'!$A:$A &lt; $A1584)),0) + IFERROR(sum(FILTER('Fund Investment Data'!$V:$V, 'Fund Investment Data'!$C:$C = $C1584, 'Fund Investment Data'!$A:$A = $A1"&amp;"584, 'Fund Investment Data'!$B:$B &lt;= $B1584)),0)"),758137.86)</f>
        <v>758137.86</v>
      </c>
      <c r="T1584" s="32"/>
      <c r="U1584" s="32"/>
      <c r="V1584" s="32">
        <f>IFERROR(__xludf.DUMMYFUNCTION("$D1584 - IFERROR(FILTER($D:$D,$C:$C = $C1584, $A:$A = $A1584, $B:$B = $B1584 - 1),0)"),0.0)</f>
        <v>0</v>
      </c>
      <c r="W1584" s="93">
        <f>IFERROR(__xludf.DUMMYFUNCTION("$E1584 - IFERROR(FILTER($E:$E,$C:$C = $C1584, $A:$A = $A1584, $B:$B = $B1584 - 1),0)"),0.0)</f>
        <v>0</v>
      </c>
      <c r="X1584" s="91">
        <f>IFERROR(__xludf.DUMMYFUNCTION("iFERROR((FILTER('Fund Investment Data'!$Z:$Z, 'Fund Investment Data'!$C:$C = $C1584, 'Fund Investment Data'!$A:$A = $A1584 - 1, 'Fund Investment Data'!$B:$B = 12) + FILTER('Fund Investment Data'!$AB:$AB, 'Fund Investment Data'!$C:$C = $C1584, 'Fund Invest"&amp;"ment Data'!$A:$A = $A1584 - 1, 'Fund Investment Data'!$B:$B = 12)) * (1 + AVERAGE(FILTER('Inflation Data'!$C:$C,'Inflation Data'!$A:$A = ($A1584 - 2)))) * Parameters!$A$4,0)"),26487.702642294462)</f>
        <v>26487.70264</v>
      </c>
      <c r="Y1584" s="91">
        <f>IFERROR(__xludf.DUMMYFUNCTION("IFERROR((IFERROR(FILTER('Fund Investment Data'!$P:$P,'Fund Investment Data'!$C:$C = $C1584,'Fund Investment Data'!$A:$A = ($A1584 - 2), 'Fund Investment Data'!$B:$B = 12),0) - SUM(FILTER('Fund Investment Data'!$V:$V, 'Fund Investment Data'!$C:$C = $C1584,"&amp;" 'Fund Investment Data'!$A:$A = ($A1584 - 2), 'Fund Investment Data'!$B:$B &gt; 3)))  * Parameters!$B$4 * (1 - Parameters!$A$4),0)"),11114.94474)</f>
        <v>11114.94474</v>
      </c>
      <c r="Z1584" s="91">
        <f t="shared" si="24"/>
        <v>37602.64738</v>
      </c>
      <c r="AA1584" s="91">
        <f>IFERROR(__xludf.DUMMYFUNCTION("((IFERROR((SUM(FILTER('Fund Investment Data'!$V:$V, 'Fund Investment Data'!$C:$C = $C1584, 'Fund Investment Data'!$A:$A = $A1584 - 1, 'Fund Investment Data'!$B:$B &gt;= 4, 'Fund Investment Data'!$B:$B &lt;= ($B1584 + 5))) / 12) * ($B1584 - 3) * Parameters!$B$4,"&amp;" 0) + IF($B1584 &gt;= 9, IFERROR(SUM(FILTER('Fund Investment Data'!$V:$V, 'Fund Investment Data'!$C:$C = $C1584, 'Fund Investment Data'!$A:$A = $A1584, 'Fund Investment Data'!$B:$B &lt;= 3)) * Parameters!$B$4, 0),0)))"),0.0)</f>
        <v>0</v>
      </c>
      <c r="AB1584" s="32">
        <f>IFERROR(__xludf.DUMMYFUNCTION("IFERROR(((IFERROR(SUM(FILTER('Fund Investment Data'!$V:$V, 'Fund Investment Data'!$C:$C = $C1584, 'Fund Investment Data'!$A:$A = $A1584 - 2, 'Fund Investment Data'!$B:$B &gt;= 4)) * Parameters!$B$4,0) + IFERROR(SUM(FILTER('Fund Investment Data'!$V:$V, 'Fund "&amp;"Investment Data'!$C:$C = $C1584, 'Fund Investment Data'!$A:$A = $A1584 - 1, 'Fund Investment Data'!$B:$B &lt;= 3)) * Parameters!$B$4,0))),0)"),0.0)</f>
        <v>0</v>
      </c>
      <c r="AC1584" s="32">
        <f>IFERROR(__xludf.DUMMYFUNCTION("IFERROR(FILTER($AF:$AF,$C:$C = $C1584,$A:$A = $A1584 - 1,$B:$B = 12),0)"),0.0)</f>
        <v>0</v>
      </c>
      <c r="AD1584" s="32">
        <f t="shared" si="23"/>
        <v>37602.64738</v>
      </c>
      <c r="AE1584" s="32">
        <f t="shared" si="2"/>
        <v>-0.3526177055</v>
      </c>
      <c r="AF1584" s="32"/>
    </row>
    <row r="1585">
      <c r="A1585" s="86">
        <v>2019.0</v>
      </c>
      <c r="B1585" s="87">
        <v>11.0</v>
      </c>
      <c r="C1585" s="88" t="s">
        <v>29</v>
      </c>
      <c r="D1585" s="32"/>
      <c r="E1585" s="93">
        <v>-2656.0</v>
      </c>
      <c r="F1585" s="32"/>
      <c r="G1585" s="93">
        <v>-269.54</v>
      </c>
      <c r="H1585" s="93">
        <v>1153.99</v>
      </c>
      <c r="I1585" s="93">
        <v>355.19</v>
      </c>
      <c r="J1585" s="93">
        <v>5581.71</v>
      </c>
      <c r="K1585" s="32"/>
      <c r="L1585" s="32"/>
      <c r="M1585" s="32"/>
      <c r="N1585" s="32"/>
      <c r="O1585" s="93">
        <v>57892.71</v>
      </c>
      <c r="P1585" s="91">
        <f>IFERROR(__xludf.DUMMYFUNCTION("IFERROR(sum(FILTER($D:$N,$C:$C = $C1585,$A:$A &lt; $A1585,$B:$B = 12)),0) + sum($D1585:$N1585)"),57892.73999999992)</f>
        <v>57892.74</v>
      </c>
      <c r="Q1585" s="92">
        <f t="shared" si="1"/>
        <v>-0.02999999992</v>
      </c>
      <c r="R1585" s="91">
        <f t="array" ref="R1585">IFERROR(INDEX('Fund YTD Target Values'!$1:$1000, MATCH($C1585,'Fund YTD Target Values'!$A:$A,0), MATCH($A1585,'Fund YTD Target Values'!$1:$1,0)),0)</f>
        <v>78452.06886</v>
      </c>
      <c r="S1585" s="91">
        <f>IFERROR(__xludf.DUMMYFUNCTION("IFERROR(sum(FILTER('Fund Investment Data'!$V:$V, 'Fund Investment Data'!$C:$C = $C1585, 'Fund Investment Data'!$A:$A &lt; $A1585)),0) + IFERROR(sum(FILTER('Fund Investment Data'!$V:$V, 'Fund Investment Data'!$C:$C = $C1585, 'Fund Investment Data'!$A:$A = $A1"&amp;"585, 'Fund Investment Data'!$B:$B &lt;= $B1585)),0)"),50000.0)</f>
        <v>50000</v>
      </c>
      <c r="T1585" s="32"/>
      <c r="U1585" s="32"/>
      <c r="V1585" s="32">
        <f>IFERROR(__xludf.DUMMYFUNCTION("$D1585 - IFERROR(FILTER($D:$D,$C:$C = $C1585, $A:$A = $A1585, $B:$B = $B1585 - 1),0)"),0.0)</f>
        <v>0</v>
      </c>
      <c r="W1585" s="93">
        <f>IFERROR(__xludf.DUMMYFUNCTION("$E1585 - IFERROR(FILTER($E:$E,$C:$C = $C1585, $A:$A = $A1585, $B:$B = $B1585 - 1),0)"),0.0)</f>
        <v>0</v>
      </c>
      <c r="X1585" s="91">
        <f>IFERROR(__xludf.DUMMYFUNCTION("iFERROR((FILTER('Fund Investment Data'!$Z:$Z, 'Fund Investment Data'!$C:$C = $C1585, 'Fund Investment Data'!$A:$A = $A1585 - 1, 'Fund Investment Data'!$B:$B = 12) + FILTER('Fund Investment Data'!$AB:$AB, 'Fund Investment Data'!$C:$C = $C1585, 'Fund Invest"&amp;"ment Data'!$A:$A = $A1585 - 1, 'Fund Investment Data'!$B:$B = 12)) * (1 + AVERAGE(FILTER('Inflation Data'!$C:$C,'Inflation Data'!$A:$A = ($A1585 - 2)))) * Parameters!$A$4,0)"),1871.1341826828661)</f>
        <v>1871.134183</v>
      </c>
      <c r="Y1585" s="91">
        <f>IFERROR(__xludf.DUMMYFUNCTION("IFERROR((IFERROR(FILTER('Fund Investment Data'!$P:$P,'Fund Investment Data'!$C:$C = $C1585,'Fund Investment Data'!$A:$A = ($A1585 - 2), 'Fund Investment Data'!$B:$B = 12),0) - SUM(FILTER('Fund Investment Data'!$V:$V, 'Fund Investment Data'!$C:$C = $C1585,"&amp;" 'Fund Investment Data'!$A:$A = ($A1585 - 2), 'Fund Investment Data'!$B:$B &gt; 3)))  * Parameters!$B$4 * (1 - Parameters!$A$4),0)"),785.1776849999991)</f>
        <v>785.177685</v>
      </c>
      <c r="Z1585" s="91">
        <f t="shared" si="24"/>
        <v>2656.311868</v>
      </c>
      <c r="AA1585" s="91">
        <f>IFERROR(__xludf.DUMMYFUNCTION("((IFERROR((SUM(FILTER('Fund Investment Data'!$V:$V, 'Fund Investment Data'!$C:$C = $C1585, 'Fund Investment Data'!$A:$A = $A1585 - 1, 'Fund Investment Data'!$B:$B &gt;= 4, 'Fund Investment Data'!$B:$B &lt;= ($B1585 + 5))) / 12) * ($B1585 - 3) * Parameters!$B$4,"&amp;" 0) + IF($B1585 &gt;= 9, IFERROR(SUM(FILTER('Fund Investment Data'!$V:$V, 'Fund Investment Data'!$C:$C = $C1585, 'Fund Investment Data'!$A:$A = $A1585, 'Fund Investment Data'!$B:$B &lt;= 3)) * Parameters!$B$4, 0),0)))"),0.0)</f>
        <v>0</v>
      </c>
      <c r="AB1585" s="32">
        <f>IFERROR(__xludf.DUMMYFUNCTION("IFERROR(((IFERROR(SUM(FILTER('Fund Investment Data'!$V:$V, 'Fund Investment Data'!$C:$C = $C1585, 'Fund Investment Data'!$A:$A = $A1585 - 2, 'Fund Investment Data'!$B:$B &gt;= 4)) * Parameters!$B$4,0) + IFERROR(SUM(FILTER('Fund Investment Data'!$V:$V, 'Fund "&amp;"Investment Data'!$C:$C = $C1585, 'Fund Investment Data'!$A:$A = $A1585 - 1, 'Fund Investment Data'!$B:$B &lt;= 3)) * Parameters!$B$4,0))),0)"),0.0)</f>
        <v>0</v>
      </c>
      <c r="AC1585" s="32">
        <f>IFERROR(__xludf.DUMMYFUNCTION("IFERROR(FILTER($AF:$AF,$C:$C = $C1585,$A:$A = $A1585 - 1,$B:$B = 12),0)"),0.0)</f>
        <v>0</v>
      </c>
      <c r="AD1585" s="32">
        <f t="shared" si="23"/>
        <v>2656.311868</v>
      </c>
      <c r="AE1585" s="32">
        <f t="shared" si="2"/>
        <v>0.3118676829</v>
      </c>
      <c r="AF1585" s="32"/>
    </row>
    <row r="1586">
      <c r="A1586" s="86">
        <v>2019.0</v>
      </c>
      <c r="B1586" s="87">
        <v>11.0</v>
      </c>
      <c r="C1586" s="88" t="s">
        <v>38</v>
      </c>
      <c r="D1586" s="32"/>
      <c r="E1586" s="93">
        <v>-33070.0</v>
      </c>
      <c r="F1586" s="32"/>
      <c r="G1586" s="93">
        <v>-3675.24</v>
      </c>
      <c r="H1586" s="93">
        <v>15688.15</v>
      </c>
      <c r="I1586" s="93">
        <v>5530.75</v>
      </c>
      <c r="J1586" s="93">
        <v>75554.82</v>
      </c>
      <c r="K1586" s="32"/>
      <c r="L1586" s="32"/>
      <c r="M1586" s="32"/>
      <c r="N1586" s="32"/>
      <c r="O1586" s="93">
        <v>781839.68</v>
      </c>
      <c r="P1586" s="91">
        <f>IFERROR(__xludf.DUMMYFUNCTION("IFERROR(sum(FILTER($D:$N,$C:$C = $C1586,$A:$A &lt; $A1586,$B:$B = 12)),0) + sum($D1586:$N1586)"),781838.64)</f>
        <v>781838.64</v>
      </c>
      <c r="Q1586" s="92">
        <f t="shared" si="1"/>
        <v>1.04</v>
      </c>
      <c r="R1586" s="91">
        <f t="array" ref="R1586">IFERROR(INDEX('Fund YTD Target Values'!$1:$1000, MATCH($C1586,'Fund YTD Target Values'!$A:$A,0), MATCH($A1586,'Fund YTD Target Values'!$1:$1,0)),0)</f>
        <v>715243.4084</v>
      </c>
      <c r="S1586" s="91">
        <f>IFERROR(__xludf.DUMMYFUNCTION("IFERROR(sum(FILTER('Fund Investment Data'!$V:$V, 'Fund Investment Data'!$C:$C = $C1586, 'Fund Investment Data'!$A:$A &lt; $A1586)),0) + IFERROR(sum(FILTER('Fund Investment Data'!$V:$V, 'Fund Investment Data'!$C:$C = $C1586, 'Fund Investment Data'!$A:$A = $A1"&amp;"586, 'Fund Investment Data'!$B:$B &lt;= $B1586)),0)"),556601.64)</f>
        <v>556601.64</v>
      </c>
      <c r="T1586" s="32"/>
      <c r="U1586" s="32"/>
      <c r="V1586" s="32">
        <f>IFERROR(__xludf.DUMMYFUNCTION("$D1586 - IFERROR(FILTER($D:$D,$C:$C = $C1586, $A:$A = $A1586, $B:$B = $B1586 - 1),0)"),0.0)</f>
        <v>0</v>
      </c>
      <c r="W1586" s="93">
        <f>IFERROR(__xludf.DUMMYFUNCTION("$E1586 - IFERROR(FILTER($E:$E,$C:$C = $C1586, $A:$A = $A1586, $B:$B = $B1586 - 1),0)"),0.0)</f>
        <v>0</v>
      </c>
      <c r="X1586" s="91">
        <f>IFERROR(__xludf.DUMMYFUNCTION("iFERROR((FILTER('Fund Investment Data'!$Z:$Z, 'Fund Investment Data'!$C:$C = $C1586, 'Fund Investment Data'!$A:$A = $A1586 - 1, 'Fund Investment Data'!$B:$B = 12) + FILTER('Fund Investment Data'!$AB:$AB, 'Fund Investment Data'!$C:$C = $C1586, 'Fund Invest"&amp;"ment Data'!$A:$A = $A1586 - 1, 'Fund Investment Data'!$B:$B = 12)) * (1 + AVERAGE(FILTER('Inflation Data'!$C:$C,'Inflation Data'!$A:$A = ($A1586 - 2)))) * Parameters!$A$4,0)"),22062.02597097784)</f>
        <v>22062.02597</v>
      </c>
      <c r="Y1586" s="91">
        <f>IFERROR(__xludf.DUMMYFUNCTION("IFERROR((IFERROR(FILTER('Fund Investment Data'!$P:$P,'Fund Investment Data'!$C:$C = $C1586,'Fund Investment Data'!$A:$A = ($A1586 - 2), 'Fund Investment Data'!$B:$B = 12),0) - SUM(FILTER('Fund Investment Data'!$V:$V, 'Fund Investment Data'!$C:$C = $C1586,"&amp;" 'Fund Investment Data'!$A:$A = ($A1586 - 2), 'Fund Investment Data'!$B:$B &gt; 3)))  * Parameters!$B$4 * (1 - Parameters!$A$4),0)"),11008.00989)</f>
        <v>11008.00989</v>
      </c>
      <c r="Z1586" s="91">
        <f t="shared" si="24"/>
        <v>33070.03586</v>
      </c>
      <c r="AA1586" s="91">
        <f>IFERROR(__xludf.DUMMYFUNCTION("((IFERROR((SUM(FILTER('Fund Investment Data'!$V:$V, 'Fund Investment Data'!$C:$C = $C1586, 'Fund Investment Data'!$A:$A = $A1586 - 1, 'Fund Investment Data'!$B:$B &gt;= 4, 'Fund Investment Data'!$B:$B &lt;= ($B1586 + 5))) / 12) * ($B1586 - 3) * Parameters!$B$4,"&amp;" 0) + IF($B1586 &gt;= 9, IFERROR(SUM(FILTER('Fund Investment Data'!$V:$V, 'Fund Investment Data'!$C:$C = $C1586, 'Fund Investment Data'!$A:$A = $A1586, 'Fund Investment Data'!$B:$B &lt;= 3)) * Parameters!$B$4, 0),0)))"),0.0)</f>
        <v>0</v>
      </c>
      <c r="AB1586" s="32">
        <f>IFERROR(__xludf.DUMMYFUNCTION("IFERROR(((IFERROR(SUM(FILTER('Fund Investment Data'!$V:$V, 'Fund Investment Data'!$C:$C = $C1586, 'Fund Investment Data'!$A:$A = $A1586 - 2, 'Fund Investment Data'!$B:$B &gt;= 4)) * Parameters!$B$4,0) + IFERROR(SUM(FILTER('Fund Investment Data'!$V:$V, 'Fund "&amp;"Investment Data'!$C:$C = $C1586, 'Fund Investment Data'!$A:$A = $A1586 - 1, 'Fund Investment Data'!$B:$B &lt;= 3)) * Parameters!$B$4,0))),0)"),0.0)</f>
        <v>0</v>
      </c>
      <c r="AC1586" s="32">
        <f>IFERROR(__xludf.DUMMYFUNCTION("IFERROR(FILTER($AF:$AF,$C:$C = $C1586,$A:$A = $A1586 - 1,$B:$B = 12),0)"),0.0)</f>
        <v>0</v>
      </c>
      <c r="AD1586" s="32">
        <f t="shared" si="23"/>
        <v>33070.03586</v>
      </c>
      <c r="AE1586" s="32">
        <f t="shared" si="2"/>
        <v>0.03586097784</v>
      </c>
      <c r="AF1586" s="32"/>
    </row>
    <row r="1587">
      <c r="A1587" s="86">
        <v>2019.0</v>
      </c>
      <c r="B1587" s="87">
        <v>11.0</v>
      </c>
      <c r="C1587" s="88" t="s">
        <v>30</v>
      </c>
      <c r="D1587" s="32"/>
      <c r="E1587" s="93">
        <v>-793.0</v>
      </c>
      <c r="F1587" s="32"/>
      <c r="G1587" s="93">
        <v>-81.6</v>
      </c>
      <c r="H1587" s="93">
        <v>348.16</v>
      </c>
      <c r="I1587" s="32"/>
      <c r="J1587" s="93">
        <v>1776.02</v>
      </c>
      <c r="K1587" s="32"/>
      <c r="L1587" s="93">
        <v>-1.81</v>
      </c>
      <c r="M1587" s="32"/>
      <c r="N1587" s="32"/>
      <c r="O1587" s="93">
        <v>17288.48</v>
      </c>
      <c r="P1587" s="91">
        <f>IFERROR(__xludf.DUMMYFUNCTION("IFERROR(sum(FILTER($D:$N,$C:$C = $C1587,$A:$A &lt; $A1587,$B:$B = 12)),0) + sum($D1587:$N1587)"),17286.849999999984)</f>
        <v>17286.85</v>
      </c>
      <c r="Q1587" s="92">
        <f t="shared" si="1"/>
        <v>1.63</v>
      </c>
      <c r="R1587" s="91">
        <f t="array" ref="R1587">IFERROR(INDEX('Fund YTD Target Values'!$1:$1000, MATCH($C1587,'Fund YTD Target Values'!$A:$A,0), MATCH($A1587,'Fund YTD Target Values'!$1:$1,0)),0)</f>
        <v>18819.48136</v>
      </c>
      <c r="S1587" s="91">
        <f>IFERROR(__xludf.DUMMYFUNCTION("IFERROR(sum(FILTER('Fund Investment Data'!$V:$V, 'Fund Investment Data'!$C:$C = $C1587, 'Fund Investment Data'!$A:$A &lt; $A1587)),0) + IFERROR(sum(FILTER('Fund Investment Data'!$V:$V, 'Fund Investment Data'!$C:$C = $C1587, 'Fund Investment Data'!$A:$A = $A1"&amp;"587, 'Fund Investment Data'!$B:$B &lt;= $B1587)),0)"),11540.75)</f>
        <v>11540.75</v>
      </c>
      <c r="T1587" s="32"/>
      <c r="U1587" s="32"/>
      <c r="V1587" s="32">
        <f>IFERROR(__xludf.DUMMYFUNCTION("$D1587 - IFERROR(FILTER($D:$D,$C:$C = $C1587, $A:$A = $A1587, $B:$B = $B1587 - 1),0)"),0.0)</f>
        <v>0</v>
      </c>
      <c r="W1587" s="93">
        <f>IFERROR(__xludf.DUMMYFUNCTION("$E1587 - IFERROR(FILTER($E:$E,$C:$C = $C1587, $A:$A = $A1587, $B:$B = $B1587 - 1),0)"),0.0)</f>
        <v>0</v>
      </c>
      <c r="X1587" s="91">
        <f>IFERROR(__xludf.DUMMYFUNCTION("iFERROR((FILTER('Fund Investment Data'!$Z:$Z, 'Fund Investment Data'!$C:$C = $C1587, 'Fund Investment Data'!$A:$A = $A1587 - 1, 'Fund Investment Data'!$B:$B = 12) + FILTER('Fund Investment Data'!$AB:$AB, 'Fund Investment Data'!$C:$C = $C1587, 'Fund Invest"&amp;"ment Data'!$A:$A = $A1587 - 1, 'Fund Investment Data'!$B:$B = 12)) * (1 + AVERAGE(FILTER('Inflation Data'!$C:$C,'Inflation Data'!$A:$A = ($A1587 - 2)))) * Parameters!$A$4,0)"),558.7349135648467)</f>
        <v>558.7349136</v>
      </c>
      <c r="Y1587" s="91">
        <f>IFERROR(__xludf.DUMMYFUNCTION("IFERROR((IFERROR(FILTER('Fund Investment Data'!$P:$P,'Fund Investment Data'!$C:$C = $C1587,'Fund Investment Data'!$A:$A = ($A1587 - 2), 'Fund Investment Data'!$B:$B = 12),0) - SUM(FILTER('Fund Investment Data'!$V:$V, 'Fund Investment Data'!$C:$C = $C1587,"&amp;" 'Fund Investment Data'!$A:$A = ($A1587 - 2), 'Fund Investment Data'!$B:$B &gt; 3)))  * Parameters!$B$4 * (1 - Parameters!$A$4),0)"),234.46003499999986)</f>
        <v>234.460035</v>
      </c>
      <c r="Z1587" s="91">
        <f t="shared" si="24"/>
        <v>793.1949486</v>
      </c>
      <c r="AA1587" s="91">
        <f>IFERROR(__xludf.DUMMYFUNCTION("((IFERROR((SUM(FILTER('Fund Investment Data'!$V:$V, 'Fund Investment Data'!$C:$C = $C1587, 'Fund Investment Data'!$A:$A = $A1587 - 1, 'Fund Investment Data'!$B:$B &gt;= 4, 'Fund Investment Data'!$B:$B &lt;= ($B1587 + 5))) / 12) * ($B1587 - 3) * Parameters!$B$4,"&amp;" 0) + IF($B1587 &gt;= 9, IFERROR(SUM(FILTER('Fund Investment Data'!$V:$V, 'Fund Investment Data'!$C:$C = $C1587, 'Fund Investment Data'!$A:$A = $A1587, 'Fund Investment Data'!$B:$B &lt;= 3)) * Parameters!$B$4, 0),0)))"),0.0)</f>
        <v>0</v>
      </c>
      <c r="AB1587" s="32">
        <f>IFERROR(__xludf.DUMMYFUNCTION("IFERROR(((IFERROR(SUM(FILTER('Fund Investment Data'!$V:$V, 'Fund Investment Data'!$C:$C = $C1587, 'Fund Investment Data'!$A:$A = $A1587 - 2, 'Fund Investment Data'!$B:$B &gt;= 4)) * Parameters!$B$4,0) + IFERROR(SUM(FILTER('Fund Investment Data'!$V:$V, 'Fund "&amp;"Investment Data'!$C:$C = $C1587, 'Fund Investment Data'!$A:$A = $A1587 - 1, 'Fund Investment Data'!$B:$B &lt;= 3)) * Parameters!$B$4,0))),0)"),0.0)</f>
        <v>0</v>
      </c>
      <c r="AC1587" s="32">
        <f>IFERROR(__xludf.DUMMYFUNCTION("IFERROR(FILTER($AF:$AF,$C:$C = $C1587,$A:$A = $A1587 - 1,$B:$B = 12),0)"),0.0)</f>
        <v>0</v>
      </c>
      <c r="AD1587" s="32">
        <f t="shared" si="23"/>
        <v>793.1949486</v>
      </c>
      <c r="AE1587" s="32">
        <f t="shared" si="2"/>
        <v>0.1949485648</v>
      </c>
      <c r="AF1587" s="32"/>
    </row>
    <row r="1588">
      <c r="A1588" s="86">
        <v>2019.0</v>
      </c>
      <c r="B1588" s="87">
        <v>11.0</v>
      </c>
      <c r="C1588" s="88" t="s">
        <v>47</v>
      </c>
      <c r="D1588" s="32"/>
      <c r="E1588" s="93">
        <v>-69151.0</v>
      </c>
      <c r="F1588" s="32"/>
      <c r="G1588" s="93">
        <v>-6642.16</v>
      </c>
      <c r="H1588" s="93">
        <v>28500.51</v>
      </c>
      <c r="I1588" s="93">
        <v>17840.47</v>
      </c>
      <c r="J1588" s="93">
        <v>131370.79</v>
      </c>
      <c r="K1588" s="32"/>
      <c r="L1588" s="32"/>
      <c r="M1588" s="32"/>
      <c r="N1588" s="32"/>
      <c r="O1588" s="93">
        <v>1433216.92</v>
      </c>
      <c r="P1588" s="91">
        <f>IFERROR(__xludf.DUMMYFUNCTION("IFERROR(sum(FILTER($D:$N,$C:$C = $C1588,$A:$A &lt; $A1588,$B:$B = 12)),0) + sum($D1588:$N1588)"),1433216.5699999998)</f>
        <v>1433216.57</v>
      </c>
      <c r="Q1588" s="92">
        <f t="shared" si="1"/>
        <v>0.3500000001</v>
      </c>
      <c r="R1588" s="91">
        <f t="array" ref="R1588">IFERROR(INDEX('Fund YTD Target Values'!$1:$1000, MATCH($C1588,'Fund YTD Target Values'!$A:$A,0), MATCH($A1588,'Fund YTD Target Values'!$1:$1,0)),0)</f>
        <v>2034942.933</v>
      </c>
      <c r="S1588" s="91">
        <f>IFERROR(__xludf.DUMMYFUNCTION("IFERROR(sum(FILTER('Fund Investment Data'!$V:$V, 'Fund Investment Data'!$C:$C = $C1588, 'Fund Investment Data'!$A:$A &lt; $A1588)),0) + IFERROR(sum(FILTER('Fund Investment Data'!$V:$V, 'Fund Investment Data'!$C:$C = $C1588, 'Fund Investment Data'!$A:$A = $A1"&amp;"588, 'Fund Investment Data'!$B:$B &lt;= $B1588)),0)"),1456367.46)</f>
        <v>1456367.46</v>
      </c>
      <c r="T1588" s="32"/>
      <c r="U1588" s="32"/>
      <c r="V1588" s="32">
        <f>IFERROR(__xludf.DUMMYFUNCTION("$D1588 - IFERROR(FILTER($D:$D,$C:$C = $C1588, $A:$A = $A1588, $B:$B = $B1588 - 1),0)"),0.0)</f>
        <v>0</v>
      </c>
      <c r="W1588" s="93">
        <f>IFERROR(__xludf.DUMMYFUNCTION("$E1588 - IFERROR(FILTER($E:$E,$C:$C = $C1588, $A:$A = $A1588, $B:$B = $B1588 - 1),0)"),0.0)</f>
        <v>0</v>
      </c>
      <c r="X1588" s="91">
        <f>IFERROR(__xludf.DUMMYFUNCTION("iFERROR((FILTER('Fund Investment Data'!$Z:$Z, 'Fund Investment Data'!$C:$C = $C1588, 'Fund Investment Data'!$A:$A = $A1588 - 1, 'Fund Investment Data'!$B:$B = 12) + FILTER('Fund Investment Data'!$AB:$AB, 'Fund Investment Data'!$C:$C = $C1588, 'Fund Invest"&amp;"ment Data'!$A:$A = $A1588 - 1, 'Fund Investment Data'!$B:$B = 12)) * (1 + AVERAGE(FILTER('Inflation Data'!$C:$C,'Inflation Data'!$A:$A = ($A1588 - 2)))) * Parameters!$A$4,0)"),48393.90516981818)</f>
        <v>48393.90517</v>
      </c>
      <c r="Y1588" s="91">
        <f>IFERROR(__xludf.DUMMYFUNCTION("IFERROR((IFERROR(FILTER('Fund Investment Data'!$P:$P,'Fund Investment Data'!$C:$C = $C1588,'Fund Investment Data'!$A:$A = ($A1588 - 2), 'Fund Investment Data'!$B:$B = 12),0) - SUM(FILTER('Fund Investment Data'!$V:$V, 'Fund Investment Data'!$C:$C = $C1588,"&amp;" 'Fund Investment Data'!$A:$A = ($A1588 - 2), 'Fund Investment Data'!$B:$B &gt; 3)))  * Parameters!$B$4 * (1 - Parameters!$A$4),0)"),20307.37014)</f>
        <v>20307.37014</v>
      </c>
      <c r="Z1588" s="91">
        <f t="shared" si="24"/>
        <v>68701.27531</v>
      </c>
      <c r="AA1588" s="91">
        <f>IFERROR(__xludf.DUMMYFUNCTION("((IFERROR((SUM(FILTER('Fund Investment Data'!$V:$V, 'Fund Investment Data'!$C:$C = $C1588, 'Fund Investment Data'!$A:$A = $A1588 - 1, 'Fund Investment Data'!$B:$B &gt;= 4, 'Fund Investment Data'!$B:$B &lt;= ($B1588 + 5))) / 12) * ($B1588 - 3) * Parameters!$B$4,"&amp;" 0) + IF($B1588 &gt;= 9, IFERROR(SUM(FILTER('Fund Investment Data'!$V:$V, 'Fund Investment Data'!$C:$C = $C1588, 'Fund Investment Data'!$A:$A = $A1588, 'Fund Investment Data'!$B:$B &lt;= 3)) * Parameters!$B$4, 0),0)))"),0.0)</f>
        <v>0</v>
      </c>
      <c r="AB1588" s="32">
        <f>IFERROR(__xludf.DUMMYFUNCTION("IFERROR(((IFERROR(SUM(FILTER('Fund Investment Data'!$V:$V, 'Fund Investment Data'!$C:$C = $C1588, 'Fund Investment Data'!$A:$A = $A1588 - 2, 'Fund Investment Data'!$B:$B &gt;= 4)) * Parameters!$B$4,0) + IFERROR(SUM(FILTER('Fund Investment Data'!$V:$V, 'Fund "&amp;"Investment Data'!$C:$C = $C1588, 'Fund Investment Data'!$A:$A = $A1588 - 1, 'Fund Investment Data'!$B:$B &lt;= 3)) * Parameters!$B$4,0))),0)"),450.0)</f>
        <v>450</v>
      </c>
      <c r="AC1588" s="32">
        <f>IFERROR(__xludf.DUMMYFUNCTION("IFERROR(FILTER($AF:$AF,$C:$C = $C1588,$A:$A = $A1588 - 1,$B:$B = 12),0)"),0.0)</f>
        <v>0</v>
      </c>
      <c r="AD1588" s="32">
        <f t="shared" si="23"/>
        <v>69151.27531</v>
      </c>
      <c r="AE1588" s="32">
        <f t="shared" si="2"/>
        <v>0.2753098182</v>
      </c>
      <c r="AF1588" s="32"/>
    </row>
    <row r="1589">
      <c r="A1589" s="86">
        <v>2019.0</v>
      </c>
      <c r="B1589" s="87">
        <v>11.0</v>
      </c>
      <c r="C1589" s="88" t="s">
        <v>31</v>
      </c>
      <c r="D1589" s="93">
        <v>100.0</v>
      </c>
      <c r="E1589" s="93">
        <v>-8740.0</v>
      </c>
      <c r="F1589" s="32"/>
      <c r="G1589" s="93">
        <v>-830.69</v>
      </c>
      <c r="H1589" s="93">
        <v>3556.4</v>
      </c>
      <c r="I1589" s="93">
        <v>2106.81</v>
      </c>
      <c r="J1589" s="93">
        <v>16394.9</v>
      </c>
      <c r="K1589" s="32"/>
      <c r="L1589" s="32"/>
      <c r="M1589" s="32"/>
      <c r="N1589" s="32"/>
      <c r="O1589" s="93">
        <v>178185.13</v>
      </c>
      <c r="P1589" s="91">
        <f>IFERROR(__xludf.DUMMYFUNCTION("IFERROR(sum(FILTER($D:$N,$C:$C = $C1589,$A:$A &lt; $A1589,$B:$B = 12)),0) + sum($D1589:$N1589)"),178185.14)</f>
        <v>178185.14</v>
      </c>
      <c r="Q1589" s="92">
        <f t="shared" si="1"/>
        <v>-0.01000000001</v>
      </c>
      <c r="R1589" s="91">
        <f t="array" ref="R1589">IFERROR(INDEX('Fund YTD Target Values'!$1:$1000, MATCH($C1589,'Fund YTD Target Values'!$A:$A,0), MATCH($A1589,'Fund YTD Target Values'!$1:$1,0)),0)</f>
        <v>214470.0821</v>
      </c>
      <c r="S1589" s="91">
        <f>IFERROR(__xludf.DUMMYFUNCTION("IFERROR(sum(FILTER('Fund Investment Data'!$V:$V, 'Fund Investment Data'!$C:$C = $C1589, 'Fund Investment Data'!$A:$A &lt; $A1589)),0) + IFERROR(sum(FILTER('Fund Investment Data'!$V:$V, 'Fund Investment Data'!$C:$C = $C1589, 'Fund Investment Data'!$A:$A = $A1"&amp;"589, 'Fund Investment Data'!$B:$B &lt;= $B1589)),0)"),158200.0)</f>
        <v>158200</v>
      </c>
      <c r="T1589" s="32"/>
      <c r="U1589" s="32"/>
      <c r="V1589" s="32">
        <f>IFERROR(__xludf.DUMMYFUNCTION("$D1589 - IFERROR(FILTER($D:$D,$C:$C = $C1589, $A:$A = $A1589, $B:$B = $B1589 - 1),0)"),0.0)</f>
        <v>0</v>
      </c>
      <c r="W1589" s="93">
        <f>IFERROR(__xludf.DUMMYFUNCTION("$E1589 - IFERROR(FILTER($E:$E,$C:$C = $C1589, $A:$A = $A1589, $B:$B = $B1589 - 1),0)"),0.0)</f>
        <v>0</v>
      </c>
      <c r="X1589" s="91">
        <f>IFERROR(__xludf.DUMMYFUNCTION("iFERROR((FILTER('Fund Investment Data'!$Z:$Z, 'Fund Investment Data'!$C:$C = $C1589, 'Fund Investment Data'!$A:$A = $A1589 - 1, 'Fund Investment Data'!$B:$B = 12) + FILTER('Fund Investment Data'!$AB:$AB, 'Fund Investment Data'!$C:$C = $C1589, 'Fund Invest"&amp;"ment Data'!$A:$A = $A1589 - 1, 'Fund Investment Data'!$B:$B = 12)) * (1 + AVERAGE(FILTER('Inflation Data'!$C:$C,'Inflation Data'!$A:$A = ($A1589 - 2)))) * Parameters!$A$4,0)"),6185.263738478203)</f>
        <v>6185.263738</v>
      </c>
      <c r="Y1589" s="91">
        <f>IFERROR(__xludf.DUMMYFUNCTION("IFERROR((IFERROR(FILTER('Fund Investment Data'!$P:$P,'Fund Investment Data'!$C:$C = $C1589,'Fund Investment Data'!$A:$A = ($A1589 - 2), 'Fund Investment Data'!$B:$B = 12),0) - SUM(FILTER('Fund Investment Data'!$V:$V, 'Fund Investment Data'!$C:$C = $C1589,"&amp;" 'Fund Investment Data'!$A:$A = ($A1589 - 2), 'Fund Investment Data'!$B:$B &gt; 3)))  * Parameters!$B$4 * (1 - Parameters!$A$4),0)"),2555.001225000001)</f>
        <v>2555.001225</v>
      </c>
      <c r="Z1589" s="91">
        <f t="shared" si="24"/>
        <v>8740.264963</v>
      </c>
      <c r="AA1589" s="91">
        <f>IFERROR(__xludf.DUMMYFUNCTION("((IFERROR((SUM(FILTER('Fund Investment Data'!$V:$V, 'Fund Investment Data'!$C:$C = $C1589, 'Fund Investment Data'!$A:$A = $A1589 - 1, 'Fund Investment Data'!$B:$B &gt;= 4, 'Fund Investment Data'!$B:$B &lt;= ($B1589 + 5))) / 12) * ($B1589 - 3) * Parameters!$B$4,"&amp;" 0) + IF($B1589 &gt;= 9, IFERROR(SUM(FILTER('Fund Investment Data'!$V:$V, 'Fund Investment Data'!$C:$C = $C1589, 'Fund Investment Data'!$A:$A = $A1589, 'Fund Investment Data'!$B:$B &lt;= 3)) * Parameters!$B$4, 0),0)))"),0.0)</f>
        <v>0</v>
      </c>
      <c r="AB1589" s="32">
        <f>IFERROR(__xludf.DUMMYFUNCTION("IFERROR(((IFERROR(SUM(FILTER('Fund Investment Data'!$V:$V, 'Fund Investment Data'!$C:$C = $C1589, 'Fund Investment Data'!$A:$A = $A1589 - 2, 'Fund Investment Data'!$B:$B &gt;= 4)) * Parameters!$B$4,0) + IFERROR(SUM(FILTER('Fund Investment Data'!$V:$V, 'Fund "&amp;"Investment Data'!$C:$C = $C1589, 'Fund Investment Data'!$A:$A = $A1589 - 1, 'Fund Investment Data'!$B:$B &lt;= 3)) * Parameters!$B$4,0))),0)"),0.0)</f>
        <v>0</v>
      </c>
      <c r="AC1589" s="32">
        <f>IFERROR(__xludf.DUMMYFUNCTION("IFERROR(FILTER($AF:$AF,$C:$C = $C1589,$A:$A = $A1589 - 1,$B:$B = 12),0)"),0.0)</f>
        <v>0</v>
      </c>
      <c r="AD1589" s="32">
        <f t="shared" si="23"/>
        <v>8740.264963</v>
      </c>
      <c r="AE1589" s="32">
        <f t="shared" si="2"/>
        <v>0.2649634782</v>
      </c>
      <c r="AF1589" s="32"/>
    </row>
    <row r="1590">
      <c r="A1590" s="86">
        <v>2019.0</v>
      </c>
      <c r="B1590" s="87">
        <v>11.0</v>
      </c>
      <c r="C1590" s="88" t="s">
        <v>39</v>
      </c>
      <c r="D1590" s="93">
        <v>15000.0</v>
      </c>
      <c r="E1590" s="93">
        <v>-8740.0</v>
      </c>
      <c r="F1590" s="32"/>
      <c r="G1590" s="93">
        <v>-867.7</v>
      </c>
      <c r="H1590" s="93">
        <v>3692.94</v>
      </c>
      <c r="I1590" s="32"/>
      <c r="J1590" s="93">
        <v>19472.45</v>
      </c>
      <c r="K1590" s="32"/>
      <c r="L1590" s="93">
        <v>-184.92</v>
      </c>
      <c r="M1590" s="32"/>
      <c r="N1590" s="32"/>
      <c r="O1590" s="93">
        <v>199193.03</v>
      </c>
      <c r="P1590" s="91">
        <f>IFERROR(__xludf.DUMMYFUNCTION("IFERROR(sum(FILTER($D:$N,$C:$C = $C1590,$A:$A &lt; $A1590,$B:$B = 12)),0) + sum($D1590:$N1590)"),199193.03000000003)</f>
        <v>199193.03</v>
      </c>
      <c r="Q1590" s="92">
        <f t="shared" si="1"/>
        <v>0</v>
      </c>
      <c r="R1590" s="91">
        <f t="array" ref="R1590">IFERROR(INDEX('Fund YTD Target Values'!$1:$1000, MATCH($C1590,'Fund YTD Target Values'!$A:$A,0), MATCH($A1590,'Fund YTD Target Values'!$1:$1,0)),0)</f>
        <v>203233.3066</v>
      </c>
      <c r="S1590" s="91">
        <f>IFERROR(__xludf.DUMMYFUNCTION("IFERROR(sum(FILTER('Fund Investment Data'!$V:$V, 'Fund Investment Data'!$C:$C = $C1590, 'Fund Investment Data'!$A:$A &lt; $A1590)),0) + IFERROR(sum(FILTER('Fund Investment Data'!$V:$V, 'Fund Investment Data'!$C:$C = $C1590, 'Fund Investment Data'!$A:$A = $A1"&amp;"590, 'Fund Investment Data'!$B:$B &lt;= $B1590)),0)"),185000.0)</f>
        <v>185000</v>
      </c>
      <c r="T1590" s="32"/>
      <c r="U1590" s="32"/>
      <c r="V1590" s="32">
        <f>IFERROR(__xludf.DUMMYFUNCTION("$D1590 - IFERROR(FILTER($D:$D,$C:$C = $C1590, $A:$A = $A1590, $B:$B = $B1590 - 1),0)"),0.0)</f>
        <v>0</v>
      </c>
      <c r="W1590" s="93">
        <f>IFERROR(__xludf.DUMMYFUNCTION("$E1590 - IFERROR(FILTER($E:$E,$C:$C = $C1590, $A:$A = $A1590, $B:$B = $B1590 - 1),0)"),0.0)</f>
        <v>0</v>
      </c>
      <c r="X1590" s="91">
        <f>IFERROR(__xludf.DUMMYFUNCTION("iFERROR((FILTER('Fund Investment Data'!$Z:$Z, 'Fund Investment Data'!$C:$C = $C1590, 'Fund Investment Data'!$A:$A = $A1590 - 1, 'Fund Investment Data'!$B:$B = 12) + FILTER('Fund Investment Data'!$AB:$AB, 'Fund Investment Data'!$C:$C = $C1590, 'Fund Invest"&amp;"ment Data'!$A:$A = $A1590 - 1, 'Fund Investment Data'!$B:$B = 12)) * (1 + AVERAGE(FILTER('Inflation Data'!$C:$C,'Inflation Data'!$A:$A = ($A1590 - 2)))) * Parameters!$A$4,0)"),5335.081378121052)</f>
        <v>5335.081378</v>
      </c>
      <c r="Y1590" s="91">
        <f>IFERROR(__xludf.DUMMYFUNCTION("IFERROR((IFERROR(FILTER('Fund Investment Data'!$P:$P,'Fund Investment Data'!$C:$C = $C1590,'Fund Investment Data'!$A:$A = ($A1590 - 2), 'Fund Investment Data'!$B:$B = 12),0) - SUM(FILTER('Fund Investment Data'!$V:$V, 'Fund Investment Data'!$C:$C = $C1590,"&amp;" 'Fund Investment Data'!$A:$A = ($A1590 - 2), 'Fund Investment Data'!$B:$B &gt; 3)))  * Parameters!$B$4 * (1 - Parameters!$A$4),0)"),2223.764010000001)</f>
        <v>2223.76401</v>
      </c>
      <c r="Z1590" s="91">
        <f t="shared" si="24"/>
        <v>7558.845388</v>
      </c>
      <c r="AA1590" s="91">
        <f>IFERROR(__xludf.DUMMYFUNCTION("((IFERROR((SUM(FILTER('Fund Investment Data'!$V:$V, 'Fund Investment Data'!$C:$C = $C1590, 'Fund Investment Data'!$A:$A = $A1590 - 1, 'Fund Investment Data'!$B:$B &gt;= 4, 'Fund Investment Data'!$B:$B &lt;= ($B1590 + 5))) / 12) * ($B1590 - 3) * Parameters!$B$4,"&amp;" 0) + IF($B1590 &gt;= 9, IFERROR(SUM(FILTER('Fund Investment Data'!$V:$V, 'Fund Investment Data'!$C:$C = $C1590, 'Fund Investment Data'!$A:$A = $A1590, 'Fund Investment Data'!$B:$B &lt;= 3)) * Parameters!$B$4, 0),0)))"),450.0)</f>
        <v>450</v>
      </c>
      <c r="AB1590" s="32">
        <f>IFERROR(__xludf.DUMMYFUNCTION("IFERROR(((IFERROR(SUM(FILTER('Fund Investment Data'!$V:$V, 'Fund Investment Data'!$C:$C = $C1590, 'Fund Investment Data'!$A:$A = $A1590 - 2, 'Fund Investment Data'!$B:$B &gt;= 4)) * Parameters!$B$4,0) + IFERROR(SUM(FILTER('Fund Investment Data'!$V:$V, 'Fund "&amp;"Investment Data'!$C:$C = $C1590, 'Fund Investment Data'!$A:$A = $A1590 - 1, 'Fund Investment Data'!$B:$B &lt;= 3)) * Parameters!$B$4,0))),0)"),675.0)</f>
        <v>675</v>
      </c>
      <c r="AC1590" s="32">
        <f>IFERROR(__xludf.DUMMYFUNCTION("IFERROR(FILTER($AF:$AF,$C:$C = $C1590,$A:$A = $A1590 - 1,$B:$B = 12),0)"),0.0)</f>
        <v>0</v>
      </c>
      <c r="AD1590" s="32">
        <f t="shared" si="23"/>
        <v>8683.845388</v>
      </c>
      <c r="AE1590" s="32">
        <f t="shared" si="2"/>
        <v>-56.15461188</v>
      </c>
      <c r="AF1590" s="32"/>
    </row>
    <row r="1591">
      <c r="A1591" s="86">
        <v>2019.0</v>
      </c>
      <c r="B1591" s="87">
        <v>11.0</v>
      </c>
      <c r="C1591" s="88" t="s">
        <v>50</v>
      </c>
      <c r="D1591" s="32"/>
      <c r="E1591" s="93">
        <v>-10388.0</v>
      </c>
      <c r="F1591" s="32"/>
      <c r="G1591" s="93">
        <v>-963.98</v>
      </c>
      <c r="H1591" s="93">
        <v>4113.22</v>
      </c>
      <c r="I1591" s="32"/>
      <c r="J1591" s="93">
        <v>21264.53</v>
      </c>
      <c r="K1591" s="32"/>
      <c r="L1591" s="93">
        <v>-46.35</v>
      </c>
      <c r="M1591" s="32"/>
      <c r="N1591" s="32"/>
      <c r="O1591" s="93">
        <v>203533.78</v>
      </c>
      <c r="P1591" s="91">
        <f>IFERROR(__xludf.DUMMYFUNCTION("IFERROR(sum(FILTER($D:$N,$C:$C = $C1591,$A:$A &lt; $A1591,$B:$B = 12)),0) + sum($D1591:$N1591)"),203533.25000000003)</f>
        <v>203533.25</v>
      </c>
      <c r="Q1591" s="92">
        <f t="shared" si="1"/>
        <v>0.53</v>
      </c>
      <c r="R1591" s="91">
        <f t="array" ref="R1591">IFERROR(INDEX('Fund YTD Target Values'!$1:$1000, MATCH($C1591,'Fund YTD Target Values'!$A:$A,0), MATCH($A1591,'Fund YTD Target Values'!$1:$1,0)),0)</f>
        <v>221607.3864</v>
      </c>
      <c r="S1591" s="91">
        <f>IFERROR(__xludf.DUMMYFUNCTION("IFERROR(sum(FILTER('Fund Investment Data'!$V:$V, 'Fund Investment Data'!$C:$C = $C1591, 'Fund Investment Data'!$A:$A &lt; $A1591)),0) + IFERROR(sum(FILTER('Fund Investment Data'!$V:$V, 'Fund Investment Data'!$C:$C = $C1591, 'Fund Investment Data'!$A:$A = $A1"&amp;"591, 'Fund Investment Data'!$B:$B &lt;= $B1591)),0)"),185189.56)</f>
        <v>185189.56</v>
      </c>
      <c r="T1591" s="32"/>
      <c r="U1591" s="32"/>
      <c r="V1591" s="32">
        <f>IFERROR(__xludf.DUMMYFUNCTION("$D1591 - IFERROR(FILTER($D:$D,$C:$C = $C1591, $A:$A = $A1591, $B:$B = $B1591 - 1),0)"),0.0)</f>
        <v>0</v>
      </c>
      <c r="W1591" s="93">
        <f>IFERROR(__xludf.DUMMYFUNCTION("$E1591 - IFERROR(FILTER($E:$E,$C:$C = $C1591, $A:$A = $A1591, $B:$B = $B1591 - 1),0)"),0.0)</f>
        <v>0</v>
      </c>
      <c r="X1591" s="91">
        <f>IFERROR(__xludf.DUMMYFUNCTION("iFERROR((FILTER('Fund Investment Data'!$Z:$Z, 'Fund Investment Data'!$C:$C = $C1591, 'Fund Investment Data'!$A:$A = $A1591 - 1, 'Fund Investment Data'!$B:$B = 12) + FILTER('Fund Investment Data'!$AB:$AB, 'Fund Investment Data'!$C:$C = $C1591, 'Fund Invest"&amp;"ment Data'!$A:$A = $A1591 - 1, 'Fund Investment Data'!$B:$B = 12)) * (1 + AVERAGE(FILTER('Inflation Data'!$C:$C,'Inflation Data'!$A:$A = ($A1591 - 2)))) * Parameters!$A$4,0)"),7479.015292624062)</f>
        <v>7479.015293</v>
      </c>
      <c r="Y1591" s="91">
        <f>IFERROR(__xludf.DUMMYFUNCTION("IFERROR((IFERROR(FILTER('Fund Investment Data'!$P:$P,'Fund Investment Data'!$C:$C = $C1591,'Fund Investment Data'!$A:$A = ($A1591 - 2), 'Fund Investment Data'!$B:$B = 12),0) - SUM(FILTER('Fund Investment Data'!$V:$V, 'Fund Investment Data'!$C:$C = $C1591,"&amp;" 'Fund Investment Data'!$A:$A = ($A1591 - 2), 'Fund Investment Data'!$B:$B &gt; 3)))  * Parameters!$B$4 * (1 - Parameters!$A$4),0)"),2908.7654850000004)</f>
        <v>2908.765485</v>
      </c>
      <c r="Z1591" s="91">
        <f t="shared" si="24"/>
        <v>10387.78078</v>
      </c>
      <c r="AA1591" s="91">
        <f>IFERROR(__xludf.DUMMYFUNCTION("((IFERROR((SUM(FILTER('Fund Investment Data'!$V:$V, 'Fund Investment Data'!$C:$C = $C1591, 'Fund Investment Data'!$A:$A = $A1591 - 1, 'Fund Investment Data'!$B:$B &gt;= 4, 'Fund Investment Data'!$B:$B &lt;= ($B1591 + 5))) / 12) * ($B1591 - 3) * Parameters!$B$4,"&amp;" 0) + IF($B1591 &gt;= 9, IFERROR(SUM(FILTER('Fund Investment Data'!$V:$V, 'Fund Investment Data'!$C:$C = $C1591, 'Fund Investment Data'!$A:$A = $A1591, 'Fund Investment Data'!$B:$B &lt;= 3)) * Parameters!$B$4, 0),0)))"),0.0)</f>
        <v>0</v>
      </c>
      <c r="AB1591" s="32">
        <f>IFERROR(__xludf.DUMMYFUNCTION("IFERROR(((IFERROR(SUM(FILTER('Fund Investment Data'!$V:$V, 'Fund Investment Data'!$C:$C = $C1591, 'Fund Investment Data'!$A:$A = $A1591 - 2, 'Fund Investment Data'!$B:$B &gt;= 4)) * Parameters!$B$4,0) + IFERROR(SUM(FILTER('Fund Investment Data'!$V:$V, 'Fund "&amp;"Investment Data'!$C:$C = $C1591, 'Fund Investment Data'!$A:$A = $A1591 - 1, 'Fund Investment Data'!$B:$B &lt;= 3)) * Parameters!$B$4,0))),0)"),0.0)</f>
        <v>0</v>
      </c>
      <c r="AC1591" s="32">
        <f>IFERROR(__xludf.DUMMYFUNCTION("IFERROR(FILTER($AF:$AF,$C:$C = $C1591,$A:$A = $A1591 - 1,$B:$B = 12),0)"),0.0)</f>
        <v>0</v>
      </c>
      <c r="AD1591" s="32">
        <f t="shared" si="23"/>
        <v>10387.78078</v>
      </c>
      <c r="AE1591" s="32">
        <f t="shared" si="2"/>
        <v>-0.2192223759</v>
      </c>
      <c r="AF1591" s="32"/>
    </row>
    <row r="1592">
      <c r="A1592" s="86">
        <v>2019.0</v>
      </c>
      <c r="B1592" s="87">
        <v>11.0</v>
      </c>
      <c r="C1592" s="88" t="s">
        <v>32</v>
      </c>
      <c r="D1592" s="32"/>
      <c r="E1592" s="93">
        <v>-2440.0</v>
      </c>
      <c r="F1592" s="32"/>
      <c r="G1592" s="93">
        <v>-240.44</v>
      </c>
      <c r="H1592" s="93">
        <v>1027.39</v>
      </c>
      <c r="I1592" s="93">
        <v>8.66</v>
      </c>
      <c r="J1592" s="93">
        <v>5322.8</v>
      </c>
      <c r="K1592" s="32"/>
      <c r="L1592" s="32"/>
      <c r="M1592" s="32"/>
      <c r="N1592" s="32"/>
      <c r="O1592" s="93">
        <v>51128.96</v>
      </c>
      <c r="P1592" s="91">
        <f>IFERROR(__xludf.DUMMYFUNCTION("IFERROR(sum(FILTER($D:$N,$C:$C = $C1592,$A:$A &lt; $A1592,$B:$B = 12)),0) + sum($D1592:$N1592)"),51128.56000000003)</f>
        <v>51128.56</v>
      </c>
      <c r="Q1592" s="92">
        <f t="shared" si="1"/>
        <v>0.4</v>
      </c>
      <c r="R1592" s="91">
        <f t="array" ref="R1592">IFERROR(INDEX('Fund YTD Target Values'!$1:$1000, MATCH($C1592,'Fund YTD Target Values'!$A:$A,0), MATCH($A1592,'Fund YTD Target Values'!$1:$1,0)),0)</f>
        <v>80613.71135</v>
      </c>
      <c r="S1592" s="91">
        <f>IFERROR(__xludf.DUMMYFUNCTION("IFERROR(sum(FILTER('Fund Investment Data'!$V:$V, 'Fund Investment Data'!$C:$C = $C1592, 'Fund Investment Data'!$A:$A &lt; $A1592)),0) + IFERROR(sum(FILTER('Fund Investment Data'!$V:$V, 'Fund Investment Data'!$C:$C = $C1592, 'Fund Investment Data'!$A:$A = $A1"&amp;"592, 'Fund Investment Data'!$B:$B &lt;= $B1592)),0)"),49449.04)</f>
        <v>49449.04</v>
      </c>
      <c r="T1592" s="32"/>
      <c r="U1592" s="32"/>
      <c r="V1592" s="32">
        <f>IFERROR(__xludf.DUMMYFUNCTION("$D1592 - IFERROR(FILTER($D:$D,$C:$C = $C1592, $A:$A = $A1592, $B:$B = $B1592 - 1),0)"),0.0)</f>
        <v>0</v>
      </c>
      <c r="W1592" s="93">
        <f>IFERROR(__xludf.DUMMYFUNCTION("$E1592 - IFERROR(FILTER($E:$E,$C:$C = $C1592, $A:$A = $A1592, $B:$B = $B1592 - 1),0)"),0.0)</f>
        <v>0</v>
      </c>
      <c r="X1592" s="91">
        <f>IFERROR(__xludf.DUMMYFUNCTION("iFERROR((FILTER('Fund Investment Data'!$Z:$Z, 'Fund Investment Data'!$C:$C = $C1592, 'Fund Investment Data'!$A:$A = $A1592 - 1, 'Fund Investment Data'!$B:$B = 12) + FILTER('Fund Investment Data'!$AB:$AB, 'Fund Investment Data'!$C:$C = $C1592, 'Fund Invest"&amp;"ment Data'!$A:$A = $A1592 - 1, 'Fund Investment Data'!$B:$B = 12)) * (1 + AVERAGE(FILTER('Inflation Data'!$C:$C,'Inflation Data'!$A:$A = ($A1592 - 2)))) * Parameters!$A$4,0)"),1718.9474190106023)</f>
        <v>1718.947419</v>
      </c>
      <c r="Y1592" s="91">
        <f>IFERROR(__xludf.DUMMYFUNCTION("IFERROR((IFERROR(FILTER('Fund Investment Data'!$P:$P,'Fund Investment Data'!$C:$C = $C1592,'Fund Investment Data'!$A:$A = ($A1592 - 2), 'Fund Investment Data'!$B:$B = 12),0) - SUM(FILTER('Fund Investment Data'!$V:$V, 'Fund Investment Data'!$C:$C = $C1592,"&amp;" 'Fund Investment Data'!$A:$A = ($A1592 - 2), 'Fund Investment Data'!$B:$B &gt; 3)))  * Parameters!$B$4 * (1 - Parameters!$A$4),0)"),721.3160700000005)</f>
        <v>721.31607</v>
      </c>
      <c r="Z1592" s="91">
        <f t="shared" si="24"/>
        <v>2440.263489</v>
      </c>
      <c r="AA1592" s="91">
        <f>IFERROR(__xludf.DUMMYFUNCTION("((IFERROR((SUM(FILTER('Fund Investment Data'!$V:$V, 'Fund Investment Data'!$C:$C = $C1592, 'Fund Investment Data'!$A:$A = $A1592 - 1, 'Fund Investment Data'!$B:$B &gt;= 4, 'Fund Investment Data'!$B:$B &lt;= ($B1592 + 5))) / 12) * ($B1592 - 3) * Parameters!$B$4,"&amp;" 0) + IF($B1592 &gt;= 9, IFERROR(SUM(FILTER('Fund Investment Data'!$V:$V, 'Fund Investment Data'!$C:$C = $C1592, 'Fund Investment Data'!$A:$A = $A1592, 'Fund Investment Data'!$B:$B &lt;= 3)) * Parameters!$B$4, 0),0)))"),0.0)</f>
        <v>0</v>
      </c>
      <c r="AB1592" s="32">
        <f>IFERROR(__xludf.DUMMYFUNCTION("IFERROR(((IFERROR(SUM(FILTER('Fund Investment Data'!$V:$V, 'Fund Investment Data'!$C:$C = $C1592, 'Fund Investment Data'!$A:$A = $A1592 - 2, 'Fund Investment Data'!$B:$B &gt;= 4)) * Parameters!$B$4,0) + IFERROR(SUM(FILTER('Fund Investment Data'!$V:$V, 'Fund "&amp;"Investment Data'!$C:$C = $C1592, 'Fund Investment Data'!$A:$A = $A1592 - 1, 'Fund Investment Data'!$B:$B &lt;= 3)) * Parameters!$B$4,0))),0)"),0.0)</f>
        <v>0</v>
      </c>
      <c r="AC1592" s="32">
        <f>IFERROR(__xludf.DUMMYFUNCTION("IFERROR(FILTER($AF:$AF,$C:$C = $C1592,$A:$A = $A1592 - 1,$B:$B = 12),0)"),0.0)</f>
        <v>0</v>
      </c>
      <c r="AD1592" s="32">
        <f t="shared" si="23"/>
        <v>2440.263489</v>
      </c>
      <c r="AE1592" s="32">
        <f t="shared" si="2"/>
        <v>0.2634890106</v>
      </c>
      <c r="AF1592" s="32"/>
    </row>
    <row r="1593">
      <c r="A1593" s="86">
        <v>2019.0</v>
      </c>
      <c r="B1593" s="87">
        <v>11.0</v>
      </c>
      <c r="C1593" s="88" t="s">
        <v>40</v>
      </c>
      <c r="D1593" s="32"/>
      <c r="E1593" s="93">
        <v>-7071.0</v>
      </c>
      <c r="F1593" s="32"/>
      <c r="G1593" s="93">
        <v>-681.53</v>
      </c>
      <c r="H1593" s="93">
        <v>2918.3</v>
      </c>
      <c r="I1593" s="93">
        <v>1434.63</v>
      </c>
      <c r="J1593" s="93">
        <v>13891.25</v>
      </c>
      <c r="K1593" s="32"/>
      <c r="L1593" s="32"/>
      <c r="M1593" s="32"/>
      <c r="N1593" s="32"/>
      <c r="O1593" s="93">
        <v>146936.8</v>
      </c>
      <c r="P1593" s="91">
        <f>IFERROR(__xludf.DUMMYFUNCTION("IFERROR(sum(FILTER($D:$N,$C:$C = $C1593,$A:$A &lt; $A1593,$B:$B = 12)),0) + sum($D1593:$N1593)"),146936.75999999992)</f>
        <v>146936.76</v>
      </c>
      <c r="Q1593" s="92">
        <f t="shared" si="1"/>
        <v>0.04000000007</v>
      </c>
      <c r="R1593" s="91">
        <f t="array" ref="R1593">IFERROR(INDEX('Fund YTD Target Values'!$1:$1000, MATCH($C1593,'Fund YTD Target Values'!$A:$A,0), MATCH($A1593,'Fund YTD Target Values'!$1:$1,0)),0)</f>
        <v>164286.6043</v>
      </c>
      <c r="S1593" s="91">
        <f>IFERROR(__xludf.DUMMYFUNCTION("IFERROR(sum(FILTER('Fund Investment Data'!$V:$V, 'Fund Investment Data'!$C:$C = $C1593, 'Fund Investment Data'!$A:$A &lt; $A1593)),0) + IFERROR(sum(FILTER('Fund Investment Data'!$V:$V, 'Fund Investment Data'!$C:$C = $C1593, 'Fund Investment Data'!$A:$A = $A1"&amp;"593, 'Fund Investment Data'!$B:$B &lt;= $B1593)),0)"),129703.74)</f>
        <v>129703.74</v>
      </c>
      <c r="T1593" s="32"/>
      <c r="U1593" s="32"/>
      <c r="V1593" s="32">
        <f>IFERROR(__xludf.DUMMYFUNCTION("$D1593 - IFERROR(FILTER($D:$D,$C:$C = $C1593, $A:$A = $A1593, $B:$B = $B1593 - 1),0)"),0.0)</f>
        <v>0</v>
      </c>
      <c r="W1593" s="93">
        <f>IFERROR(__xludf.DUMMYFUNCTION("$E1593 - IFERROR(FILTER($E:$E,$C:$C = $C1593, $A:$A = $A1593, $B:$B = $B1593 - 1),0)"),0.0)</f>
        <v>0</v>
      </c>
      <c r="X1593" s="91">
        <f>IFERROR(__xludf.DUMMYFUNCTION("iFERROR((FILTER('Fund Investment Data'!$Z:$Z, 'Fund Investment Data'!$C:$C = $C1593, 'Fund Investment Data'!$A:$A = $A1593 - 1, 'Fund Investment Data'!$B:$B = 12) + FILTER('Fund Investment Data'!$AB:$AB, 'Fund Investment Data'!$C:$C = $C1593, 'Fund Invest"&amp;"ment Data'!$A:$A = $A1593 - 1, 'Fund Investment Data'!$B:$B = 12)) * (1 + AVERAGE(FILTER('Inflation Data'!$C:$C,'Inflation Data'!$A:$A = ($A1593 - 2)))) * Parameters!$A$4,0)"),4980.550706212943)</f>
        <v>4980.550706</v>
      </c>
      <c r="Y1593" s="91">
        <f>IFERROR(__xludf.DUMMYFUNCTION("IFERROR((IFERROR(FILTER('Fund Investment Data'!$P:$P,'Fund Investment Data'!$C:$C = $C1593,'Fund Investment Data'!$A:$A = ($A1593 - 2), 'Fund Investment Data'!$B:$B = 12),0) - SUM(FILTER('Fund Investment Data'!$V:$V, 'Fund Investment Data'!$C:$C = $C1593,"&amp;" 'Fund Investment Data'!$A:$A = ($A1593 - 2), 'Fund Investment Data'!$B:$B &gt; 3)))  * Parameters!$B$4 * (1 - Parameters!$A$4),0)"),2089.971585)</f>
        <v>2089.971585</v>
      </c>
      <c r="Z1593" s="91">
        <f t="shared" si="24"/>
        <v>7070.522291</v>
      </c>
      <c r="AA1593" s="91">
        <f>IFERROR(__xludf.DUMMYFUNCTION("((IFERROR((SUM(FILTER('Fund Investment Data'!$V:$V, 'Fund Investment Data'!$C:$C = $C1593, 'Fund Investment Data'!$A:$A = $A1593 - 1, 'Fund Investment Data'!$B:$B &gt;= 4, 'Fund Investment Data'!$B:$B &lt;= ($B1593 + 5))) / 12) * ($B1593 - 3) * Parameters!$B$4,"&amp;" 0) + IF($B1593 &gt;= 9, IFERROR(SUM(FILTER('Fund Investment Data'!$V:$V, 'Fund Investment Data'!$C:$C = $C1593, 'Fund Investment Data'!$A:$A = $A1593, 'Fund Investment Data'!$B:$B &lt;= 3)) * Parameters!$B$4, 0),0)))"),0.0)</f>
        <v>0</v>
      </c>
      <c r="AB1593" s="32">
        <f>IFERROR(__xludf.DUMMYFUNCTION("IFERROR(((IFERROR(SUM(FILTER('Fund Investment Data'!$V:$V, 'Fund Investment Data'!$C:$C = $C1593, 'Fund Investment Data'!$A:$A = $A1593 - 2, 'Fund Investment Data'!$B:$B &gt;= 4)) * Parameters!$B$4,0) + IFERROR(SUM(FILTER('Fund Investment Data'!$V:$V, 'Fund "&amp;"Investment Data'!$C:$C = $C1593, 'Fund Investment Data'!$A:$A = $A1593 - 1, 'Fund Investment Data'!$B:$B &lt;= 3)) * Parameters!$B$4,0))),0)"),0.0)</f>
        <v>0</v>
      </c>
      <c r="AC1593" s="32">
        <f>IFERROR(__xludf.DUMMYFUNCTION("IFERROR(FILTER($AF:$AF,$C:$C = $C1593,$A:$A = $A1593 - 1,$B:$B = 12),0)"),0.0)</f>
        <v>0</v>
      </c>
      <c r="AD1593" s="32">
        <f t="shared" si="23"/>
        <v>7070.522291</v>
      </c>
      <c r="AE1593" s="32">
        <f t="shared" si="2"/>
        <v>-0.4777087871</v>
      </c>
      <c r="AF1593" s="32"/>
    </row>
    <row r="1594">
      <c r="A1594" s="86">
        <v>2019.0</v>
      </c>
      <c r="B1594" s="87">
        <v>11.0</v>
      </c>
      <c r="C1594" s="88" t="s">
        <v>51</v>
      </c>
      <c r="D1594" s="93">
        <v>1000.0</v>
      </c>
      <c r="E1594" s="93">
        <v>-35459.0</v>
      </c>
      <c r="F1594" s="32"/>
      <c r="G1594" s="93">
        <v>-2239.64</v>
      </c>
      <c r="H1594" s="93">
        <v>9522.41</v>
      </c>
      <c r="I1594" s="93">
        <v>1146.94</v>
      </c>
      <c r="J1594" s="93">
        <v>46536.56</v>
      </c>
      <c r="K1594" s="32"/>
      <c r="L1594" s="32"/>
      <c r="M1594" s="32"/>
      <c r="N1594" s="32"/>
      <c r="O1594" s="93">
        <v>462637.3</v>
      </c>
      <c r="P1594" s="91">
        <f>IFERROR(__xludf.DUMMYFUNCTION("IFERROR(sum(FILTER($D:$N,$C:$C = $C1594,$A:$A &lt; $A1594,$B:$B = 12)),0) + sum($D1594:$N1594)"),462637.2800000001)</f>
        <v>462637.28</v>
      </c>
      <c r="Q1594" s="92">
        <f t="shared" si="1"/>
        <v>0.0199999999</v>
      </c>
      <c r="R1594" s="91">
        <f t="array" ref="R1594">IFERROR(INDEX('Fund YTD Target Values'!$1:$1000, MATCH($C1594,'Fund YTD Target Values'!$A:$A,0), MATCH($A1594,'Fund YTD Target Values'!$1:$1,0)),0)</f>
        <v>460355.013</v>
      </c>
      <c r="S1594" s="91">
        <f>IFERROR(__xludf.DUMMYFUNCTION("IFERROR(sum(FILTER('Fund Investment Data'!$V:$V, 'Fund Investment Data'!$C:$C = $C1594, 'Fund Investment Data'!$A:$A &lt; $A1594)),0) + IFERROR(sum(FILTER('Fund Investment Data'!$V:$V, 'Fund Investment Data'!$C:$C = $C1594, 'Fund Investment Data'!$A:$A = $A1"&amp;"594, 'Fund Investment Data'!$B:$B &lt;= $B1594)),0)"),420073.55)</f>
        <v>420073.55</v>
      </c>
      <c r="T1594" s="32"/>
      <c r="U1594" s="32"/>
      <c r="V1594" s="32">
        <f>IFERROR(__xludf.DUMMYFUNCTION("$D1594 - IFERROR(FILTER($D:$D,$C:$C = $C1594, $A:$A = $A1594, $B:$B = $B1594 - 1),0)"),0.0)</f>
        <v>0</v>
      </c>
      <c r="W1594" s="93">
        <f>IFERROR(__xludf.DUMMYFUNCTION("$E1594 - IFERROR(FILTER($E:$E,$C:$C = $C1594, $A:$A = $A1594, $B:$B = $B1594 - 1),0)"),0.0)</f>
        <v>0</v>
      </c>
      <c r="X1594" s="91">
        <f>IFERROR(__xludf.DUMMYFUNCTION("iFERROR((FILTER('Fund Investment Data'!$Z:$Z, 'Fund Investment Data'!$C:$C = $C1594, 'Fund Investment Data'!$A:$A = $A1594 - 1, 'Fund Investment Data'!$B:$B = 12) + FILTER('Fund Investment Data'!$AB:$AB, 'Fund Investment Data'!$C:$C = $C1594, 'Fund Invest"&amp;"ment Data'!$A:$A = $A1594 - 1, 'Fund Investment Data'!$B:$B = 12)) * (1 + AVERAGE(FILTER('Inflation Data'!$C:$C,'Inflation Data'!$A:$A = ($A1594 - 2)))) * Parameters!$A$4,0)"),14060.066994776611)</f>
        <v>14060.06699</v>
      </c>
      <c r="Y1594" s="91">
        <f>IFERROR(__xludf.DUMMYFUNCTION("IFERROR((IFERROR(FILTER('Fund Investment Data'!$P:$P,'Fund Investment Data'!$C:$C = $C1594,'Fund Investment Data'!$A:$A = ($A1594 - 2), 'Fund Investment Data'!$B:$B = 12),0) - SUM(FILTER('Fund Investment Data'!$V:$V, 'Fund Investment Data'!$C:$C = $C1594,"&amp;" 'Fund Investment Data'!$A:$A = ($A1594 - 2), 'Fund Investment Data'!$B:$B &gt; 3)))  * Parameters!$B$4 * (1 - Parameters!$A$4),0)"),6507.701055)</f>
        <v>6507.701055</v>
      </c>
      <c r="Z1594" s="91">
        <f t="shared" si="24"/>
        <v>20567.76805</v>
      </c>
      <c r="AA1594" s="91">
        <f>IFERROR(__xludf.DUMMYFUNCTION("((IFERROR((SUM(FILTER('Fund Investment Data'!$V:$V, 'Fund Investment Data'!$C:$C = $C1594, 'Fund Investment Data'!$A:$A = $A1594 - 1, 'Fund Investment Data'!$B:$B &gt;= 4, 'Fund Investment Data'!$B:$B &lt;= ($B1594 + 5))) / 12) * ($B1594 - 3) * Parameters!$B$4,"&amp;" 0) + IF($B1594 &gt;= 9, IFERROR(SUM(FILTER('Fund Investment Data'!$V:$V, 'Fund Investment Data'!$C:$C = $C1594, 'Fund Investment Data'!$A:$A = $A1594, 'Fund Investment Data'!$B:$B &lt;= 3)) * Parameters!$B$4, 0),0)))"),76.5)</f>
        <v>76.5</v>
      </c>
      <c r="AB1594" s="32">
        <f>IFERROR(__xludf.DUMMYFUNCTION("IFERROR(((IFERROR(SUM(FILTER('Fund Investment Data'!$V:$V, 'Fund Investment Data'!$C:$C = $C1594, 'Fund Investment Data'!$A:$A = $A1594 - 2, 'Fund Investment Data'!$B:$B &gt;= 4)) * Parameters!$B$4,0) + IFERROR(SUM(FILTER('Fund Investment Data'!$V:$V, 'Fund "&amp;"Investment Data'!$C:$C = $C1594, 'Fund Investment Data'!$A:$A = $A1594 - 1, 'Fund Investment Data'!$B:$B &lt;= 3)) * Parameters!$B$4,0))),0)"),153.0)</f>
        <v>153</v>
      </c>
      <c r="AC1594" s="32">
        <f>IFERROR(__xludf.DUMMYFUNCTION("IFERROR(FILTER($AF:$AF,$C:$C = $C1594,$A:$A = $A1594 - 1,$B:$B = 12),0)"),14700.0)</f>
        <v>14700</v>
      </c>
      <c r="AD1594" s="32">
        <f t="shared" si="23"/>
        <v>35497.26805</v>
      </c>
      <c r="AE1594" s="32">
        <f t="shared" si="2"/>
        <v>38.26804978</v>
      </c>
      <c r="AF1594" s="32"/>
    </row>
    <row r="1595">
      <c r="A1595" s="86">
        <v>2019.0</v>
      </c>
      <c r="B1595" s="87">
        <v>11.0</v>
      </c>
      <c r="C1595" s="88" t="s">
        <v>48</v>
      </c>
      <c r="D1595" s="32"/>
      <c r="E1595" s="93">
        <v>-57027.0</v>
      </c>
      <c r="F1595" s="32"/>
      <c r="G1595" s="93">
        <v>-5475.37</v>
      </c>
      <c r="H1595" s="93">
        <v>23477.79</v>
      </c>
      <c r="I1595" s="93">
        <v>15044.3</v>
      </c>
      <c r="J1595" s="93">
        <v>107783.9</v>
      </c>
      <c r="K1595" s="32"/>
      <c r="L1595" s="32"/>
      <c r="M1595" s="32"/>
      <c r="N1595" s="32"/>
      <c r="O1595" s="93">
        <v>1177018.33</v>
      </c>
      <c r="P1595" s="91">
        <f>IFERROR(__xludf.DUMMYFUNCTION("IFERROR(sum(FILTER($D:$N,$C:$C = $C1595,$A:$A &lt; $A1595,$B:$B = 12)),0) + sum($D1595:$N1595)"),1177017.0099999998)</f>
        <v>1177017.01</v>
      </c>
      <c r="Q1595" s="92">
        <f t="shared" si="1"/>
        <v>1.32</v>
      </c>
      <c r="R1595" s="91">
        <f t="array" ref="R1595">IFERROR(INDEX('Fund YTD Target Values'!$1:$1000, MATCH($C1595,'Fund YTD Target Values'!$A:$A,0), MATCH($A1595,'Fund YTD Target Values'!$1:$1,0)),0)</f>
        <v>1930631.639</v>
      </c>
      <c r="S1595" s="91">
        <f>IFERROR(__xludf.DUMMYFUNCTION("IFERROR(sum(FILTER('Fund Investment Data'!$V:$V, 'Fund Investment Data'!$C:$C = $C1595, 'Fund Investment Data'!$A:$A &lt; $A1595)),0) + IFERROR(sum(FILTER('Fund Investment Data'!$V:$V, 'Fund Investment Data'!$C:$C = $C1595, 'Fund Investment Data'!$A:$A = $A1"&amp;"595, 'Fund Investment Data'!$B:$B &lt;= $B1595)),0)"),1183929.39)</f>
        <v>1183929.39</v>
      </c>
      <c r="T1595" s="32"/>
      <c r="U1595" s="32"/>
      <c r="V1595" s="32">
        <f>IFERROR(__xludf.DUMMYFUNCTION("$D1595 - IFERROR(FILTER($D:$D,$C:$C = $C1595, $A:$A = $A1595, $B:$B = $B1595 - 1),0)"),0.0)</f>
        <v>0</v>
      </c>
      <c r="W1595" s="93">
        <f>IFERROR(__xludf.DUMMYFUNCTION("$E1595 - IFERROR(FILTER($E:$E,$C:$C = $C1595, $A:$A = $A1595, $B:$B = $B1595 - 1),0)"),0.0)</f>
        <v>0</v>
      </c>
      <c r="X1595" s="91">
        <f>IFERROR(__xludf.DUMMYFUNCTION("iFERROR((FILTER('Fund Investment Data'!$Z:$Z, 'Fund Investment Data'!$C:$C = $C1595, 'Fund Investment Data'!$A:$A = $A1595 - 1, 'Fund Investment Data'!$B:$B = 12) + FILTER('Fund Investment Data'!$AB:$AB, 'Fund Investment Data'!$C:$C = $C1595, 'Fund Invest"&amp;"ment Data'!$A:$A = $A1595 - 1, 'Fund Investment Data'!$B:$B = 12)) * (1 + AVERAGE(FILTER('Inflation Data'!$C:$C,'Inflation Data'!$A:$A = ($A1595 - 2)))) * Parameters!$A$4,0)"),40170.623919220896)</f>
        <v>40170.62392</v>
      </c>
      <c r="Y1595" s="91">
        <f>IFERROR(__xludf.DUMMYFUNCTION("IFERROR((IFERROR(FILTER('Fund Investment Data'!$P:$P,'Fund Investment Data'!$C:$C = $C1595,'Fund Investment Data'!$A:$A = ($A1595 - 2), 'Fund Investment Data'!$B:$B = 12),0) - SUM(FILTER('Fund Investment Data'!$V:$V, 'Fund Investment Data'!$C:$C = $C1595,"&amp;" 'Fund Investment Data'!$A:$A = ($A1595 - 2), 'Fund Investment Data'!$B:$B &gt; 3)))  * Parameters!$B$4 * (1 - Parameters!$A$4),0)"),16856.662545)</f>
        <v>16856.66255</v>
      </c>
      <c r="Z1595" s="91">
        <f t="shared" si="24"/>
        <v>57027.28646</v>
      </c>
      <c r="AA1595" s="91">
        <f>IFERROR(__xludf.DUMMYFUNCTION("((IFERROR((SUM(FILTER('Fund Investment Data'!$V:$V, 'Fund Investment Data'!$C:$C = $C1595, 'Fund Investment Data'!$A:$A = $A1595 - 1, 'Fund Investment Data'!$B:$B &gt;= 4, 'Fund Investment Data'!$B:$B &lt;= ($B1595 + 5))) / 12) * ($B1595 - 3) * Parameters!$B$4,"&amp;" 0) + IF($B1595 &gt;= 9, IFERROR(SUM(FILTER('Fund Investment Data'!$V:$V, 'Fund Investment Data'!$C:$C = $C1595, 'Fund Investment Data'!$A:$A = $A1595, 'Fund Investment Data'!$B:$B &lt;= 3)) * Parameters!$B$4, 0),0)))"),0.0)</f>
        <v>0</v>
      </c>
      <c r="AB1595" s="32">
        <f>IFERROR(__xludf.DUMMYFUNCTION("IFERROR(((IFERROR(SUM(FILTER('Fund Investment Data'!$V:$V, 'Fund Investment Data'!$C:$C = $C1595, 'Fund Investment Data'!$A:$A = $A1595 - 2, 'Fund Investment Data'!$B:$B &gt;= 4)) * Parameters!$B$4,0) + IFERROR(SUM(FILTER('Fund Investment Data'!$V:$V, 'Fund "&amp;"Investment Data'!$C:$C = $C1595, 'Fund Investment Data'!$A:$A = $A1595 - 1, 'Fund Investment Data'!$B:$B &lt;= 3)) * Parameters!$B$4,0))),0)"),0.0)</f>
        <v>0</v>
      </c>
      <c r="AC1595" s="32">
        <f>IFERROR(__xludf.DUMMYFUNCTION("IFERROR(FILTER($AF:$AF,$C:$C = $C1595,$A:$A = $A1595 - 1,$B:$B = 12),0)"),0.0)</f>
        <v>0</v>
      </c>
      <c r="AD1595" s="32">
        <f t="shared" si="23"/>
        <v>57027.28646</v>
      </c>
      <c r="AE1595" s="32">
        <f t="shared" si="2"/>
        <v>0.2864642209</v>
      </c>
      <c r="AF1595" s="32"/>
    </row>
    <row r="1596">
      <c r="A1596" s="86">
        <v>2019.0</v>
      </c>
      <c r="B1596" s="87">
        <v>11.0</v>
      </c>
      <c r="C1596" s="88" t="s">
        <v>49</v>
      </c>
      <c r="D1596" s="32"/>
      <c r="E1596" s="93">
        <v>-25015.0</v>
      </c>
      <c r="F1596" s="32"/>
      <c r="G1596" s="93">
        <v>-2372.07</v>
      </c>
      <c r="H1596" s="93">
        <v>10171.37</v>
      </c>
      <c r="I1596" s="93">
        <v>6576.53</v>
      </c>
      <c r="J1596" s="93">
        <v>46692.38</v>
      </c>
      <c r="K1596" s="32"/>
      <c r="L1596" s="32"/>
      <c r="M1596" s="32"/>
      <c r="N1596" s="32"/>
      <c r="O1596" s="93">
        <v>510287.23</v>
      </c>
      <c r="P1596" s="91">
        <f>IFERROR(__xludf.DUMMYFUNCTION("IFERROR(sum(FILTER($D:$N,$C:$C = $C1596,$A:$A &lt; $A1596,$B:$B = 12)),0) + sum($D1596:$N1596)"),510287.52999999985)</f>
        <v>510287.53</v>
      </c>
      <c r="Q1596" s="92">
        <f t="shared" si="1"/>
        <v>-0.2999999999</v>
      </c>
      <c r="R1596" s="91">
        <f t="array" ref="R1596">IFERROR(INDEX('Fund YTD Target Values'!$1:$1000, MATCH($C1596,'Fund YTD Target Values'!$A:$A,0), MATCH($A1596,'Fund YTD Target Values'!$1:$1,0)),0)</f>
        <v>714091.1961</v>
      </c>
      <c r="S1596" s="91">
        <f>IFERROR(__xludf.DUMMYFUNCTION("IFERROR(sum(FILTER('Fund Investment Data'!$V:$V, 'Fund Investment Data'!$C:$C = $C1596, 'Fund Investment Data'!$A:$A &lt; $A1596)),0) + IFERROR(sum(FILTER('Fund Investment Data'!$V:$V, 'Fund Investment Data'!$C:$C = $C1596, 'Fund Investment Data'!$A:$A = $A1"&amp;"596, 'Fund Investment Data'!$B:$B &lt;= $B1596)),0)"),500000.0)</f>
        <v>500000</v>
      </c>
      <c r="T1596" s="32"/>
      <c r="U1596" s="32"/>
      <c r="V1596" s="32">
        <f>IFERROR(__xludf.DUMMYFUNCTION("$D1596 - IFERROR(FILTER($D:$D,$C:$C = $C1596, $A:$A = $A1596, $B:$B = $B1596 - 1),0)"),0.0)</f>
        <v>0</v>
      </c>
      <c r="W1596" s="93">
        <f>IFERROR(__xludf.DUMMYFUNCTION("$E1596 - IFERROR(FILTER($E:$E,$C:$C = $C1596, $A:$A = $A1596, $B:$B = $B1596 - 1),0)"),0.0)</f>
        <v>0</v>
      </c>
      <c r="X1596" s="91">
        <f>IFERROR(__xludf.DUMMYFUNCTION("iFERROR((FILTER('Fund Investment Data'!$Z:$Z, 'Fund Investment Data'!$C:$C = $C1596, 'Fund Investment Data'!$A:$A = $A1596 - 1, 'Fund Investment Data'!$B:$B = 12) + FILTER('Fund Investment Data'!$AB:$AB, 'Fund Investment Data'!$C:$C = $C1596, 'Fund Invest"&amp;"ment Data'!$A:$A = $A1596 - 1, 'Fund Investment Data'!$B:$B = 12)) * (1 + AVERAGE(FILTER('Inflation Data'!$C:$C,'Inflation Data'!$A:$A = ($A1596 - 2)))) * Parameters!$A$4,0)"),17620.730663710416)</f>
        <v>17620.73066</v>
      </c>
      <c r="Y1596" s="91">
        <f>IFERROR(__xludf.DUMMYFUNCTION("IFERROR((IFERROR(FILTER('Fund Investment Data'!$P:$P,'Fund Investment Data'!$C:$C = $C1596,'Fund Investment Data'!$A:$A = ($A1596 - 2), 'Fund Investment Data'!$B:$B = 12),0) - SUM(FILTER('Fund Investment Data'!$V:$V, 'Fund Investment Data'!$C:$C = $C1596,"&amp;" 'Fund Investment Data'!$A:$A = ($A1596 - 2), 'Fund Investment Data'!$B:$B &gt; 3)))  * Parameters!$B$4 * (1 - Parameters!$A$4),0)"),7394.127389999999)</f>
        <v>7394.12739</v>
      </c>
      <c r="Z1596" s="91">
        <f t="shared" si="24"/>
        <v>25014.85805</v>
      </c>
      <c r="AA1596" s="91">
        <f>IFERROR(__xludf.DUMMYFUNCTION("((IFERROR((SUM(FILTER('Fund Investment Data'!$V:$V, 'Fund Investment Data'!$C:$C = $C1596, 'Fund Investment Data'!$A:$A = $A1596 - 1, 'Fund Investment Data'!$B:$B &gt;= 4, 'Fund Investment Data'!$B:$B &lt;= ($B1596 + 5))) / 12) * ($B1596 - 3) * Parameters!$B$4,"&amp;" 0) + IF($B1596 &gt;= 9, IFERROR(SUM(FILTER('Fund Investment Data'!$V:$V, 'Fund Investment Data'!$C:$C = $C1596, 'Fund Investment Data'!$A:$A = $A1596, 'Fund Investment Data'!$B:$B &lt;= 3)) * Parameters!$B$4, 0),0)))"),0.0)</f>
        <v>0</v>
      </c>
      <c r="AB1596" s="32">
        <f>IFERROR(__xludf.DUMMYFUNCTION("IFERROR(((IFERROR(SUM(FILTER('Fund Investment Data'!$V:$V, 'Fund Investment Data'!$C:$C = $C1596, 'Fund Investment Data'!$A:$A = $A1596 - 2, 'Fund Investment Data'!$B:$B &gt;= 4)) * Parameters!$B$4,0) + IFERROR(SUM(FILTER('Fund Investment Data'!$V:$V, 'Fund "&amp;"Investment Data'!$C:$C = $C1596, 'Fund Investment Data'!$A:$A = $A1596 - 1, 'Fund Investment Data'!$B:$B &lt;= 3)) * Parameters!$B$4,0))),0)"),0.0)</f>
        <v>0</v>
      </c>
      <c r="AC1596" s="32">
        <f>IFERROR(__xludf.DUMMYFUNCTION("IFERROR(FILTER($AF:$AF,$C:$C = $C1596,$A:$A = $A1596 - 1,$B:$B = 12),0)"),0.0)</f>
        <v>0</v>
      </c>
      <c r="AD1596" s="32">
        <f t="shared" si="23"/>
        <v>25014.85805</v>
      </c>
      <c r="AE1596" s="32">
        <f t="shared" si="2"/>
        <v>-0.1419462896</v>
      </c>
      <c r="AF1596" s="32"/>
    </row>
    <row r="1597">
      <c r="A1597" s="86">
        <v>2019.0</v>
      </c>
      <c r="B1597" s="87">
        <v>11.0</v>
      </c>
      <c r="C1597" s="88" t="s">
        <v>41</v>
      </c>
      <c r="D1597" s="32"/>
      <c r="E1597" s="93">
        <v>-27282.0</v>
      </c>
      <c r="F1597" s="32"/>
      <c r="G1597" s="93">
        <v>-2953.38</v>
      </c>
      <c r="H1597" s="93">
        <v>12621.38</v>
      </c>
      <c r="I1597" s="93">
        <v>6144.21</v>
      </c>
      <c r="J1597" s="93">
        <v>59386.38</v>
      </c>
      <c r="K1597" s="32"/>
      <c r="L1597" s="32"/>
      <c r="M1597" s="32"/>
      <c r="N1597" s="32"/>
      <c r="O1597" s="93">
        <v>631094.06</v>
      </c>
      <c r="P1597" s="91">
        <f>IFERROR(__xludf.DUMMYFUNCTION("IFERROR(sum(FILTER($D:$N,$C:$C = $C1597,$A:$A &lt; $A1597,$B:$B = 12)),0) + sum($D1597:$N1597)"),631094.91)</f>
        <v>631094.91</v>
      </c>
      <c r="Q1597" s="92">
        <f t="shared" si="1"/>
        <v>-0.85</v>
      </c>
      <c r="R1597" s="91">
        <f t="array" ref="R1597">IFERROR(INDEX('Fund YTD Target Values'!$1:$1000, MATCH($C1597,'Fund YTD Target Values'!$A:$A,0), MATCH($A1597,'Fund YTD Target Values'!$1:$1,0)),0)</f>
        <v>598621.3568</v>
      </c>
      <c r="S1597" s="91">
        <f>IFERROR(__xludf.DUMMYFUNCTION("IFERROR(sum(FILTER('Fund Investment Data'!$V:$V, 'Fund Investment Data'!$C:$C = $C1597, 'Fund Investment Data'!$A:$A &lt; $A1597)),0) + IFERROR(sum(FILTER('Fund Investment Data'!$V:$V, 'Fund Investment Data'!$C:$C = $C1597, 'Fund Investment Data'!$A:$A = $A1"&amp;"597, 'Fund Investment Data'!$B:$B &lt;= $B1597)),0)"),433755.86)</f>
        <v>433755.86</v>
      </c>
      <c r="T1597" s="32"/>
      <c r="U1597" s="32"/>
      <c r="V1597" s="32">
        <f>IFERROR(__xludf.DUMMYFUNCTION("$D1597 - IFERROR(FILTER($D:$D,$C:$C = $C1597, $A:$A = $A1597, $B:$B = $B1597 - 1),0)"),0.0)</f>
        <v>0</v>
      </c>
      <c r="W1597" s="93">
        <f>IFERROR(__xludf.DUMMYFUNCTION("$E1597 - IFERROR(FILTER($E:$E,$C:$C = $C1597, $A:$A = $A1597, $B:$B = $B1597 - 1),0)"),0.0)</f>
        <v>0</v>
      </c>
      <c r="X1597" s="91">
        <f>IFERROR(__xludf.DUMMYFUNCTION("iFERROR((FILTER('Fund Investment Data'!$Z:$Z, 'Fund Investment Data'!$C:$C = $C1597, 'Fund Investment Data'!$A:$A = $A1597 - 1, 'Fund Investment Data'!$B:$B = 12) + FILTER('Fund Investment Data'!$AB:$AB, 'Fund Investment Data'!$C:$C = $C1597, 'Fund Invest"&amp;"ment Data'!$A:$A = $A1597 - 1, 'Fund Investment Data'!$B:$B = 12)) * (1 + AVERAGE(FILTER('Inflation Data'!$C:$C,'Inflation Data'!$A:$A = ($A1597 - 2)))) * Parameters!$A$4,0)"),18464.76285534869)</f>
        <v>18464.76286</v>
      </c>
      <c r="Y1597" s="91">
        <f>IFERROR(__xludf.DUMMYFUNCTION("IFERROR((IFERROR(FILTER('Fund Investment Data'!$P:$P,'Fund Investment Data'!$C:$C = $C1597,'Fund Investment Data'!$A:$A = ($A1597 - 2), 'Fund Investment Data'!$B:$B = 12),0) - SUM(FILTER('Fund Investment Data'!$V:$V, 'Fund Investment Data'!$C:$C = $C1597,"&amp;" 'Fund Investment Data'!$A:$A = ($A1597 - 2), 'Fund Investment Data'!$B:$B &gt; 3)))  * Parameters!$B$4 * (1 - Parameters!$A$4),0)"),8817.111225000002)</f>
        <v>8817.111225</v>
      </c>
      <c r="Z1597" s="91">
        <f t="shared" si="24"/>
        <v>27281.87408</v>
      </c>
      <c r="AA1597" s="91">
        <f>IFERROR(__xludf.DUMMYFUNCTION("((IFERROR((SUM(FILTER('Fund Investment Data'!$V:$V, 'Fund Investment Data'!$C:$C = $C1597, 'Fund Investment Data'!$A:$A = $A1597 - 1, 'Fund Investment Data'!$B:$B &gt;= 4, 'Fund Investment Data'!$B:$B &lt;= ($B1597 + 5))) / 12) * ($B1597 - 3) * Parameters!$B$4,"&amp;" 0) + IF($B1597 &gt;= 9, IFERROR(SUM(FILTER('Fund Investment Data'!$V:$V, 'Fund Investment Data'!$C:$C = $C1597, 'Fund Investment Data'!$A:$A = $A1597, 'Fund Investment Data'!$B:$B &lt;= 3)) * Parameters!$B$4, 0),0)))"),0.0)</f>
        <v>0</v>
      </c>
      <c r="AB1597" s="32">
        <f>IFERROR(__xludf.DUMMYFUNCTION("IFERROR(((IFERROR(SUM(FILTER('Fund Investment Data'!$V:$V, 'Fund Investment Data'!$C:$C = $C1597, 'Fund Investment Data'!$A:$A = $A1597 - 2, 'Fund Investment Data'!$B:$B &gt;= 4)) * Parameters!$B$4,0) + IFERROR(SUM(FILTER('Fund Investment Data'!$V:$V, 'Fund "&amp;"Investment Data'!$C:$C = $C1597, 'Fund Investment Data'!$A:$A = $A1597 - 1, 'Fund Investment Data'!$B:$B &lt;= 3)) * Parameters!$B$4,0))),0)"),0.0)</f>
        <v>0</v>
      </c>
      <c r="AC1597" s="32">
        <f>IFERROR(__xludf.DUMMYFUNCTION("IFERROR(FILTER($AF:$AF,$C:$C = $C1597,$A:$A = $A1597 - 1,$B:$B = 12),0)"),0.0)</f>
        <v>0</v>
      </c>
      <c r="AD1597" s="32">
        <f t="shared" si="23"/>
        <v>27281.87408</v>
      </c>
      <c r="AE1597" s="32">
        <f t="shared" si="2"/>
        <v>-0.1259196513</v>
      </c>
      <c r="AF1597" s="32"/>
    </row>
    <row r="1598">
      <c r="A1598" s="86">
        <v>2019.0</v>
      </c>
      <c r="B1598" s="87">
        <v>11.0</v>
      </c>
      <c r="C1598" s="88" t="s">
        <v>25</v>
      </c>
      <c r="D1598" s="32"/>
      <c r="E1598" s="93">
        <v>-4616.0</v>
      </c>
      <c r="F1598" s="32"/>
      <c r="G1598" s="93">
        <v>-380.62</v>
      </c>
      <c r="H1598" s="93">
        <v>1623.26</v>
      </c>
      <c r="I1598" s="93">
        <v>1097.84</v>
      </c>
      <c r="J1598" s="93">
        <v>7267.74</v>
      </c>
      <c r="K1598" s="32"/>
      <c r="L1598" s="32"/>
      <c r="M1598" s="32"/>
      <c r="N1598" s="32"/>
      <c r="O1598" s="93">
        <v>79830.2</v>
      </c>
      <c r="P1598" s="91">
        <f>IFERROR(__xludf.DUMMYFUNCTION("IFERROR(sum(FILTER($D:$N,$C:$C = $C1598,$A:$A &lt; $A1598,$B:$B = 12)),0) + sum($D1598:$N1598)"),79830.19)</f>
        <v>79830.19</v>
      </c>
      <c r="Q1598" s="92">
        <f t="shared" si="1"/>
        <v>0.009999999995</v>
      </c>
      <c r="R1598" s="91">
        <f t="array" ref="R1598">IFERROR(INDEX('Fund YTD Target Values'!$1:$1000, MATCH($C1598,'Fund YTD Target Values'!$A:$A,0), MATCH($A1598,'Fund YTD Target Values'!$1:$1,0)),0)</f>
        <v>111153.3247</v>
      </c>
      <c r="S1598" s="91">
        <f>IFERROR(__xludf.DUMMYFUNCTION("IFERROR(sum(FILTER('Fund Investment Data'!$V:$V, 'Fund Investment Data'!$C:$C = $C1598, 'Fund Investment Data'!$A:$A &lt; $A1598)),0) + IFERROR(sum(FILTER('Fund Investment Data'!$V:$V, 'Fund Investment Data'!$C:$C = $C1598, 'Fund Investment Data'!$A:$A = $A1"&amp;"598, 'Fund Investment Data'!$B:$B &lt;= $B1598)),0)"),81000.0)</f>
        <v>81000</v>
      </c>
      <c r="T1598" s="32"/>
      <c r="U1598" s="32"/>
      <c r="V1598" s="32">
        <f>IFERROR(__xludf.DUMMYFUNCTION("$D1598 - IFERROR(FILTER($D:$D,$C:$C = $C1598, $A:$A = $A1598, $B:$B = $B1598 - 1),0)"),0.0)</f>
        <v>0</v>
      </c>
      <c r="W1598" s="93">
        <f>IFERROR(__xludf.DUMMYFUNCTION("$E1598 - IFERROR(FILTER($E:$E,$C:$C = $C1598, $A:$A = $A1598, $B:$B = $B1598 - 1),0)"),0.0)</f>
        <v>0</v>
      </c>
      <c r="X1598" s="91">
        <f>IFERROR(__xludf.DUMMYFUNCTION("iFERROR((FILTER('Fund Investment Data'!$Z:$Z, 'Fund Investment Data'!$C:$C = $C1598, 'Fund Investment Data'!$A:$A = $A1598 - 1, 'Fund Investment Data'!$B:$B = 12) + FILTER('Fund Investment Data'!$AB:$AB, 'Fund Investment Data'!$C:$C = $C1598, 'Fund Invest"&amp;"ment Data'!$A:$A = $A1598 - 1, 'Fund Investment Data'!$B:$B = 12)) * (1 + AVERAGE(FILTER('Inflation Data'!$C:$C,'Inflation Data'!$A:$A = ($A1598 - 2)))) * Parameters!$A$4,0)"),3251.4512616945367)</f>
        <v>3251.451262</v>
      </c>
      <c r="Y1598" s="91">
        <f>IFERROR(__xludf.DUMMYFUNCTION("IFERROR((IFERROR(FILTER('Fund Investment Data'!$P:$P,'Fund Investment Data'!$C:$C = $C1598,'Fund Investment Data'!$A:$A = ($A1598 - 2), 'Fund Investment Data'!$B:$B = 12),0) - SUM(FILTER('Fund Investment Data'!$V:$V, 'Fund Investment Data'!$C:$C = $C1598,"&amp;" 'Fund Investment Data'!$A:$A = ($A1598 - 2), 'Fund Investment Data'!$B:$B &gt; 3)))  * Parameters!$B$4 * (1 - Parameters!$A$4),0)"),1364.3954549999999)</f>
        <v>1364.395455</v>
      </c>
      <c r="Z1598" s="91">
        <f t="shared" si="24"/>
        <v>4615.846717</v>
      </c>
      <c r="AA1598" s="91">
        <f>IFERROR(__xludf.DUMMYFUNCTION("((IFERROR((SUM(FILTER('Fund Investment Data'!$V:$V, 'Fund Investment Data'!$C:$C = $C1598, 'Fund Investment Data'!$A:$A = $A1598 - 1, 'Fund Investment Data'!$B:$B &gt;= 4, 'Fund Investment Data'!$B:$B &lt;= ($B1598 + 5))) / 12) * ($B1598 - 3) * Parameters!$B$4,"&amp;" 0) + IF($B1598 &gt;= 9, IFERROR(SUM(FILTER('Fund Investment Data'!$V:$V, 'Fund Investment Data'!$C:$C = $C1598, 'Fund Investment Data'!$A:$A = $A1598, 'Fund Investment Data'!$B:$B &lt;= 3)) * Parameters!$B$4, 0),0)))"),0.0)</f>
        <v>0</v>
      </c>
      <c r="AB1598" s="32">
        <f>IFERROR(__xludf.DUMMYFUNCTION("IFERROR(((IFERROR(SUM(FILTER('Fund Investment Data'!$V:$V, 'Fund Investment Data'!$C:$C = $C1598, 'Fund Investment Data'!$A:$A = $A1598 - 2, 'Fund Investment Data'!$B:$B &gt;= 4)) * Parameters!$B$4,0) + IFERROR(SUM(FILTER('Fund Investment Data'!$V:$V, 'Fund "&amp;"Investment Data'!$C:$C = $C1598, 'Fund Investment Data'!$A:$A = $A1598 - 1, 'Fund Investment Data'!$B:$B &lt;= 3)) * Parameters!$B$4,0))),0)"),0.0)</f>
        <v>0</v>
      </c>
      <c r="AC1598" s="32">
        <f>IFERROR(__xludf.DUMMYFUNCTION("IFERROR(FILTER($AF:$AF,$C:$C = $C1598,$A:$A = $A1598 - 1,$B:$B = 12),0)"),0.0)</f>
        <v>0</v>
      </c>
      <c r="AD1598" s="32">
        <f t="shared" si="23"/>
        <v>4615.846717</v>
      </c>
      <c r="AE1598" s="32">
        <f t="shared" si="2"/>
        <v>-0.1532833055</v>
      </c>
      <c r="AF1598" s="32"/>
    </row>
    <row r="1599">
      <c r="A1599" s="86">
        <v>2019.0</v>
      </c>
      <c r="B1599" s="87">
        <v>11.0</v>
      </c>
      <c r="C1599" s="88" t="s">
        <v>42</v>
      </c>
      <c r="D1599" s="32"/>
      <c r="E1599" s="93">
        <v>-11585.0</v>
      </c>
      <c r="F1599" s="32"/>
      <c r="G1599" s="93">
        <v>-1379.75</v>
      </c>
      <c r="H1599" s="93">
        <v>5889.69</v>
      </c>
      <c r="I1599" s="93">
        <v>662.94</v>
      </c>
      <c r="J1599" s="93">
        <v>29599.33</v>
      </c>
      <c r="K1599" s="32"/>
      <c r="L1599" s="32"/>
      <c r="M1599" s="32"/>
      <c r="N1599" s="32"/>
      <c r="O1599" s="93">
        <v>294063.71</v>
      </c>
      <c r="P1599" s="91">
        <f>IFERROR(__xludf.DUMMYFUNCTION("IFERROR(sum(FILTER($D:$N,$C:$C = $C1599,$A:$A &lt; $A1599,$B:$B = 12)),0) + sum($D1599:$N1599)"),294063.1800000001)</f>
        <v>294063.18</v>
      </c>
      <c r="Q1599" s="92">
        <f t="shared" si="1"/>
        <v>0.5299999999</v>
      </c>
      <c r="R1599" s="91">
        <f t="array" ref="R1599">IFERROR(INDEX('Fund YTD Target Values'!$1:$1000, MATCH($C1599,'Fund YTD Target Values'!$A:$A,0), MATCH($A1599,'Fund YTD Target Values'!$1:$1,0)),0)</f>
        <v>244537.4928</v>
      </c>
      <c r="S1599" s="91">
        <f>IFERROR(__xludf.DUMMYFUNCTION("IFERROR(sum(FILTER('Fund Investment Data'!$V:$V, 'Fund Investment Data'!$C:$C = $C1599, 'Fund Investment Data'!$A:$A &lt; $A1599)),0) + IFERROR(sum(FILTER('Fund Investment Data'!$V:$V, 'Fund Investment Data'!$C:$C = $C1599, 'Fund Investment Data'!$A:$A = $A1"&amp;"599, 'Fund Investment Data'!$B:$B &lt;= $B1599)),0)"),194469.0)</f>
        <v>194469</v>
      </c>
      <c r="T1599" s="32"/>
      <c r="U1599" s="32"/>
      <c r="V1599" s="32">
        <f>IFERROR(__xludf.DUMMYFUNCTION("$D1599 - IFERROR(FILTER($D:$D,$C:$C = $C1599, $A:$A = $A1599, $B:$B = $B1599 - 1),0)"),0.0)</f>
        <v>0</v>
      </c>
      <c r="W1599" s="93">
        <f>IFERROR(__xludf.DUMMYFUNCTION("$E1599 - IFERROR(FILTER($E:$E,$C:$C = $C1599, $A:$A = $A1599, $B:$B = $B1599 - 1),0)"),0.0)</f>
        <v>0</v>
      </c>
      <c r="X1599" s="91">
        <f>IFERROR(__xludf.DUMMYFUNCTION("iFERROR((FILTER('Fund Investment Data'!$Z:$Z, 'Fund Investment Data'!$C:$C = $C1599, 'Fund Investment Data'!$A:$A = $A1599 - 1, 'Fund Investment Data'!$B:$B = 12) + FILTER('Fund Investment Data'!$AB:$AB, 'Fund Investment Data'!$C:$C = $C1599, 'Fund Invest"&amp;"ment Data'!$A:$A = $A1599 - 1, 'Fund Investment Data'!$B:$B = 12)) * (1 + AVERAGE(FILTER('Inflation Data'!$C:$C,'Inflation Data'!$A:$A = ($A1599 - 2)))) * Parameters!$A$4,0)"),7542.876247032937)</f>
        <v>7542.876247</v>
      </c>
      <c r="Y1599" s="91">
        <f>IFERROR(__xludf.DUMMYFUNCTION("IFERROR((IFERROR(FILTER('Fund Investment Data'!$P:$P,'Fund Investment Data'!$C:$C = $C1599,'Fund Investment Data'!$A:$A = ($A1599 - 2), 'Fund Investment Data'!$B:$B = 12),0) - SUM(FILTER('Fund Investment Data'!$V:$V, 'Fund Investment Data'!$C:$C = $C1599,"&amp;" 'Fund Investment Data'!$A:$A = ($A1599 - 2), 'Fund Investment Data'!$B:$B &gt; 3)))  * Parameters!$B$4 * (1 - Parameters!$A$4),0)"),4042.544760000002)</f>
        <v>4042.54476</v>
      </c>
      <c r="Z1599" s="91">
        <f t="shared" si="24"/>
        <v>11585.42101</v>
      </c>
      <c r="AA1599" s="91">
        <f>IFERROR(__xludf.DUMMYFUNCTION("((IFERROR((SUM(FILTER('Fund Investment Data'!$V:$V, 'Fund Investment Data'!$C:$C = $C1599, 'Fund Investment Data'!$A:$A = $A1599 - 1, 'Fund Investment Data'!$B:$B &gt;= 4, 'Fund Investment Data'!$B:$B &lt;= ($B1599 + 5))) / 12) * ($B1599 - 3) * Parameters!$B$4,"&amp;" 0) + IF($B1599 &gt;= 9, IFERROR(SUM(FILTER('Fund Investment Data'!$V:$V, 'Fund Investment Data'!$C:$C = $C1599, 'Fund Investment Data'!$A:$A = $A1599, 'Fund Investment Data'!$B:$B &lt;= 3)) * Parameters!$B$4, 0),0)))"),0.0)</f>
        <v>0</v>
      </c>
      <c r="AB1599" s="32">
        <f>IFERROR(__xludf.DUMMYFUNCTION("IFERROR(((IFERROR(SUM(FILTER('Fund Investment Data'!$V:$V, 'Fund Investment Data'!$C:$C = $C1599, 'Fund Investment Data'!$A:$A = $A1599 - 2, 'Fund Investment Data'!$B:$B &gt;= 4)) * Parameters!$B$4,0) + IFERROR(SUM(FILTER('Fund Investment Data'!$V:$V, 'Fund "&amp;"Investment Data'!$C:$C = $C1599, 'Fund Investment Data'!$A:$A = $A1599 - 1, 'Fund Investment Data'!$B:$B &lt;= 3)) * Parameters!$B$4,0))),0)"),0.0)</f>
        <v>0</v>
      </c>
      <c r="AC1599" s="32">
        <f>IFERROR(__xludf.DUMMYFUNCTION("IFERROR(FILTER($AF:$AF,$C:$C = $C1599,$A:$A = $A1599 - 1,$B:$B = 12),0)"),0.0)</f>
        <v>0</v>
      </c>
      <c r="AD1599" s="32">
        <f t="shared" si="23"/>
        <v>11585.42101</v>
      </c>
      <c r="AE1599" s="32">
        <f t="shared" si="2"/>
        <v>0.4210070329</v>
      </c>
      <c r="AF1599" s="32"/>
    </row>
    <row r="1600">
      <c r="A1600" s="86">
        <v>2019.0</v>
      </c>
      <c r="B1600" s="87">
        <v>11.0</v>
      </c>
      <c r="C1600" s="88" t="s">
        <v>43</v>
      </c>
      <c r="D1600" s="32"/>
      <c r="E1600" s="93">
        <v>-5732.0</v>
      </c>
      <c r="F1600" s="32"/>
      <c r="G1600" s="93">
        <v>-551.85</v>
      </c>
      <c r="H1600" s="93">
        <v>2362.48</v>
      </c>
      <c r="I1600" s="93">
        <v>1332.53</v>
      </c>
      <c r="J1600" s="93">
        <v>11057.85</v>
      </c>
      <c r="K1600" s="32"/>
      <c r="L1600" s="32"/>
      <c r="M1600" s="32"/>
      <c r="N1600" s="32"/>
      <c r="O1600" s="93">
        <v>118767.23</v>
      </c>
      <c r="P1600" s="91">
        <f>IFERROR(__xludf.DUMMYFUNCTION("IFERROR(sum(FILTER($D:$N,$C:$C = $C1600,$A:$A &lt; $A1600,$B:$B = 12)),0) + sum($D1600:$N1600)"),118766.49000000002)</f>
        <v>118766.49</v>
      </c>
      <c r="Q1600" s="92">
        <f t="shared" si="1"/>
        <v>0.74</v>
      </c>
      <c r="R1600" s="91">
        <f t="array" ref="R1600">IFERROR(INDEX('Fund YTD Target Values'!$1:$1000, MATCH($C1600,'Fund YTD Target Values'!$A:$A,0), MATCH($A1600,'Fund YTD Target Values'!$1:$1,0)),0)</f>
        <v>133065.1141</v>
      </c>
      <c r="S1600" s="91">
        <f>IFERROR(__xludf.DUMMYFUNCTION("IFERROR(sum(FILTER('Fund Investment Data'!$V:$V, 'Fund Investment Data'!$C:$C = $C1600, 'Fund Investment Data'!$A:$A &lt; $A1600)),0) + IFERROR(sum(FILTER('Fund Investment Data'!$V:$V, 'Fund Investment Data'!$C:$C = $C1600, 'Fund Investment Data'!$A:$A = $A1"&amp;"600, 'Fund Investment Data'!$B:$B &lt;= $B1600)),0)"),100000.0)</f>
        <v>100000</v>
      </c>
      <c r="T1600" s="32"/>
      <c r="U1600" s="32"/>
      <c r="V1600" s="32">
        <f>IFERROR(__xludf.DUMMYFUNCTION("$D1600 - IFERROR(FILTER($D:$D,$C:$C = $C1600, $A:$A = $A1600, $B:$B = $B1600 - 1),0)"),0.0)</f>
        <v>0</v>
      </c>
      <c r="W1600" s="93">
        <f>IFERROR(__xludf.DUMMYFUNCTION("$E1600 - IFERROR(FILTER($E:$E,$C:$C = $C1600, $A:$A = $A1600, $B:$B = $B1600 - 1),0)"),0.0)</f>
        <v>0</v>
      </c>
      <c r="X1600" s="91">
        <f>IFERROR(__xludf.DUMMYFUNCTION("iFERROR((FILTER('Fund Investment Data'!$Z:$Z, 'Fund Investment Data'!$C:$C = $C1600, 'Fund Investment Data'!$A:$A = $A1600 - 1, 'Fund Investment Data'!$B:$B = 12) + FILTER('Fund Investment Data'!$AB:$AB, 'Fund Investment Data'!$C:$C = $C1600, 'Fund Invest"&amp;"ment Data'!$A:$A = $A1600 - 1, 'Fund Investment Data'!$B:$B = 12)) * (1 + AVERAGE(FILTER('Inflation Data'!$C:$C,'Inflation Data'!$A:$A = ($A1600 - 2)))) * Parameters!$A$4,0)"),4037.921818829265)</f>
        <v>4037.921819</v>
      </c>
      <c r="Y1600" s="91">
        <f>IFERROR(__xludf.DUMMYFUNCTION("IFERROR((IFERROR(FILTER('Fund Investment Data'!$P:$P,'Fund Investment Data'!$C:$C = $C1600,'Fund Investment Data'!$A:$A = ($A1600 - 2), 'Fund Investment Data'!$B:$B = 12),0) - SUM(FILTER('Fund Investment Data'!$V:$V, 'Fund Investment Data'!$C:$C = $C1600,"&amp;" 'Fund Investment Data'!$A:$A = ($A1600 - 2), 'Fund Investment Data'!$B:$B &gt; 3)))  * Parameters!$B$4 * (1 - Parameters!$A$4),0)"),1694.4194250000005)</f>
        <v>1694.419425</v>
      </c>
      <c r="Z1600" s="91">
        <f t="shared" si="24"/>
        <v>5732.341244</v>
      </c>
      <c r="AA1600" s="91">
        <f>IFERROR(__xludf.DUMMYFUNCTION("((IFERROR((SUM(FILTER('Fund Investment Data'!$V:$V, 'Fund Investment Data'!$C:$C = $C1600, 'Fund Investment Data'!$A:$A = $A1600 - 1, 'Fund Investment Data'!$B:$B &gt;= 4, 'Fund Investment Data'!$B:$B &lt;= ($B1600 + 5))) / 12) * ($B1600 - 3) * Parameters!$B$4,"&amp;" 0) + IF($B1600 &gt;= 9, IFERROR(SUM(FILTER('Fund Investment Data'!$V:$V, 'Fund Investment Data'!$C:$C = $C1600, 'Fund Investment Data'!$A:$A = $A1600, 'Fund Investment Data'!$B:$B &lt;= 3)) * Parameters!$B$4, 0),0)))"),0.0)</f>
        <v>0</v>
      </c>
      <c r="AB1600" s="32">
        <f>IFERROR(__xludf.DUMMYFUNCTION("IFERROR(((IFERROR(SUM(FILTER('Fund Investment Data'!$V:$V, 'Fund Investment Data'!$C:$C = $C1600, 'Fund Investment Data'!$A:$A = $A1600 - 2, 'Fund Investment Data'!$B:$B &gt;= 4)) * Parameters!$B$4,0) + IFERROR(SUM(FILTER('Fund Investment Data'!$V:$V, 'Fund "&amp;"Investment Data'!$C:$C = $C1600, 'Fund Investment Data'!$A:$A = $A1600 - 1, 'Fund Investment Data'!$B:$B &lt;= 3)) * Parameters!$B$4,0))),0)"),0.0)</f>
        <v>0</v>
      </c>
      <c r="AC1600" s="32">
        <f>IFERROR(__xludf.DUMMYFUNCTION("IFERROR(FILTER($AF:$AF,$C:$C = $C1600,$A:$A = $A1600 - 1,$B:$B = 12),0)"),0.0)</f>
        <v>0</v>
      </c>
      <c r="AD1600" s="32">
        <f t="shared" si="23"/>
        <v>5732.341244</v>
      </c>
      <c r="AE1600" s="32">
        <f t="shared" si="2"/>
        <v>0.3412438293</v>
      </c>
      <c r="AF1600" s="32"/>
    </row>
    <row r="1601">
      <c r="A1601" s="86">
        <v>2019.0</v>
      </c>
      <c r="B1601" s="87">
        <v>11.0</v>
      </c>
      <c r="C1601" s="88" t="s">
        <v>52</v>
      </c>
      <c r="D1601" s="93">
        <v>1000.0</v>
      </c>
      <c r="E1601" s="93">
        <v>-65553.0</v>
      </c>
      <c r="F1601" s="32"/>
      <c r="G1601" s="93">
        <v>-5477.82</v>
      </c>
      <c r="H1601" s="93">
        <v>23447.99</v>
      </c>
      <c r="I1601" s="32"/>
      <c r="J1601" s="93">
        <v>122505.43</v>
      </c>
      <c r="K1601" s="32"/>
      <c r="L1601" s="93">
        <v>-158.75</v>
      </c>
      <c r="M1601" s="32"/>
      <c r="N1601" s="32"/>
      <c r="O1601" s="93">
        <v>1167304.2</v>
      </c>
      <c r="P1601" s="91">
        <f>IFERROR(__xludf.DUMMYFUNCTION("IFERROR(sum(FILTER($D:$N,$C:$C = $C1601,$A:$A &lt; $A1601,$B:$B = 12)),0) + sum($D1601:$N1601)"),1167303.88)</f>
        <v>1167303.88</v>
      </c>
      <c r="Q1601" s="92">
        <f t="shared" si="1"/>
        <v>0.3200000001</v>
      </c>
      <c r="R1601" s="91">
        <f t="array" ref="R1601">IFERROR(INDEX('Fund YTD Target Values'!$1:$1000, MATCH($C1601,'Fund YTD Target Values'!$A:$A,0), MATCH($A1601,'Fund YTD Target Values'!$1:$1,0)),0)</f>
        <v>1170797.015</v>
      </c>
      <c r="S1601" s="91">
        <f>IFERROR(__xludf.DUMMYFUNCTION("IFERROR(sum(FILTER('Fund Investment Data'!$V:$V, 'Fund Investment Data'!$C:$C = $C1601, 'Fund Investment Data'!$A:$A &lt; $A1601)),0) + IFERROR(sum(FILTER('Fund Investment Data'!$V:$V, 'Fund Investment Data'!$C:$C = $C1601, 'Fund Investment Data'!$A:$A = $A1"&amp;"601, 'Fund Investment Data'!$B:$B &lt;= $B1601)),0)"),1081136.0)</f>
        <v>1081136</v>
      </c>
      <c r="T1601" s="32"/>
      <c r="U1601" s="32"/>
      <c r="V1601" s="32">
        <f>IFERROR(__xludf.DUMMYFUNCTION("$D1601 - IFERROR(FILTER($D:$D,$C:$C = $C1601, $A:$A = $A1601, $B:$B = $B1601 - 1),0)"),0.0)</f>
        <v>0</v>
      </c>
      <c r="W1601" s="93">
        <f>IFERROR(__xludf.DUMMYFUNCTION("$E1601 - IFERROR(FILTER($E:$E,$C:$C = $C1601, $A:$A = $A1601, $B:$B = $B1601 - 1),0)"),0.0)</f>
        <v>0</v>
      </c>
      <c r="X1601" s="91">
        <f>IFERROR(__xludf.DUMMYFUNCTION("iFERROR((FILTER('Fund Investment Data'!$Z:$Z, 'Fund Investment Data'!$C:$C = $C1601, 'Fund Investment Data'!$A:$A = $A1601 - 1, 'Fund Investment Data'!$B:$B = 12) + FILTER('Fund Investment Data'!$AB:$AB, 'Fund Investment Data'!$C:$C = $C1601, 'Fund Invest"&amp;"ment Data'!$A:$A = $A1601 - 1, 'Fund Investment Data'!$B:$B = 12)) * (1 + AVERAGE(FILTER('Inflation Data'!$C:$C,'Inflation Data'!$A:$A = ($A1601 - 2)))) * Parameters!$A$4,0)"),33647.195102028425)</f>
        <v>33647.1951</v>
      </c>
      <c r="Y1601" s="91">
        <f>IFERROR(__xludf.DUMMYFUNCTION("IFERROR((IFERROR(FILTER('Fund Investment Data'!$P:$P,'Fund Investment Data'!$C:$C = $C1601,'Fund Investment Data'!$A:$A = ($A1601 - 2), 'Fund Investment Data'!$B:$B = 12),0) - SUM(FILTER('Fund Investment Data'!$V:$V, 'Fund Investment Data'!$C:$C = $C1601,"&amp;" 'Fund Investment Data'!$A:$A = ($A1601 - 2), 'Fund Investment Data'!$B:$B &gt; 3)))  * Parameters!$B$4 * (1 - Parameters!$A$4),0)"),15672.907755)</f>
        <v>15672.90776</v>
      </c>
      <c r="Z1601" s="91">
        <f t="shared" si="24"/>
        <v>49320.10286</v>
      </c>
      <c r="AA1601" s="91">
        <f>IFERROR(__xludf.DUMMYFUNCTION("((IFERROR((SUM(FILTER('Fund Investment Data'!$V:$V, 'Fund Investment Data'!$C:$C = $C1601, 'Fund Investment Data'!$A:$A = $A1601 - 1, 'Fund Investment Data'!$B:$B &gt;= 4, 'Fund Investment Data'!$B:$B &lt;= ($B1601 + 5))) / 12) * ($B1601 - 3) * Parameters!$B$4,"&amp;" 0) + IF($B1601 &gt;= 9, IFERROR(SUM(FILTER('Fund Investment Data'!$V:$V, 'Fund Investment Data'!$C:$C = $C1601, 'Fund Investment Data'!$A:$A = $A1601, 'Fund Investment Data'!$B:$B &lt;= 3)) * Parameters!$B$4, 0),0)))"),45.0)</f>
        <v>45</v>
      </c>
      <c r="AB1601" s="32">
        <f>IFERROR(__xludf.DUMMYFUNCTION("IFERROR(((IFERROR(SUM(FILTER('Fund Investment Data'!$V:$V, 'Fund Investment Data'!$C:$C = $C1601, 'Fund Investment Data'!$A:$A = $A1601 - 2, 'Fund Investment Data'!$B:$B &gt;= 4)) * Parameters!$B$4,0) + IFERROR(SUM(FILTER('Fund Investment Data'!$V:$V, 'Fund "&amp;"Investment Data'!$C:$C = $C1601, 'Fund Investment Data'!$A:$A = $A1601 - 1, 'Fund Investment Data'!$B:$B &lt;= 3)) * Parameters!$B$4,0))),0)"),3532.5)</f>
        <v>3532.5</v>
      </c>
      <c r="AC1601" s="32">
        <f>IFERROR(__xludf.DUMMYFUNCTION("IFERROR(FILTER($AF:$AF,$C:$C = $C1601,$A:$A = $A1601 - 1,$B:$B = 12),0)"),0.0)</f>
        <v>0</v>
      </c>
      <c r="AD1601" s="32">
        <f t="shared" si="23"/>
        <v>52897.60286</v>
      </c>
      <c r="AE1601" s="32">
        <f t="shared" si="2"/>
        <v>-12655.39714</v>
      </c>
      <c r="AF1601" s="32"/>
    </row>
    <row r="1602">
      <c r="A1602" s="86">
        <v>2019.0</v>
      </c>
      <c r="B1602" s="87">
        <v>11.0</v>
      </c>
      <c r="C1602" s="88" t="s">
        <v>33</v>
      </c>
      <c r="D1602" s="32"/>
      <c r="E1602" s="93">
        <v>-3608.0</v>
      </c>
      <c r="F1602" s="32"/>
      <c r="G1602" s="93">
        <v>-1594.21</v>
      </c>
      <c r="H1602" s="93">
        <v>6818.03</v>
      </c>
      <c r="I1602" s="32"/>
      <c r="J1602" s="93">
        <v>35234.97</v>
      </c>
      <c r="K1602" s="32"/>
      <c r="L1602" s="32"/>
      <c r="M1602" s="32"/>
      <c r="N1602" s="32"/>
      <c r="O1602" s="93">
        <v>349795.75</v>
      </c>
      <c r="P1602" s="91">
        <f>IFERROR(__xludf.DUMMYFUNCTION("IFERROR(sum(FILTER($D:$N,$C:$C = $C1602,$A:$A &lt; $A1602,$B:$B = 12)),0) + sum($D1602:$N1602)"),349795.9699999998)</f>
        <v>349795.97</v>
      </c>
      <c r="Q1602" s="92">
        <f t="shared" si="1"/>
        <v>-0.2199999998</v>
      </c>
      <c r="R1602" s="91">
        <f t="array" ref="R1602">IFERROR(INDEX('Fund YTD Target Values'!$1:$1000, MATCH($C1602,'Fund YTD Target Values'!$A:$A,0), MATCH($A1602,'Fund YTD Target Values'!$1:$1,0)),0)</f>
        <v>522221.9976</v>
      </c>
      <c r="S1602" s="91">
        <f>IFERROR(__xludf.DUMMYFUNCTION("IFERROR(sum(FILTER('Fund Investment Data'!$V:$V, 'Fund Investment Data'!$C:$C = $C1602, 'Fund Investment Data'!$A:$A &lt; $A1602)),0) + IFERROR(sum(FILTER('Fund Investment Data'!$V:$V, 'Fund Investment Data'!$C:$C = $C1602, 'Fund Investment Data'!$A:$A = $A1"&amp;"602, 'Fund Investment Data'!$B:$B &lt;= $B1602)),0)"),325871.6399999999)</f>
        <v>325871.64</v>
      </c>
      <c r="T1602" s="32"/>
      <c r="U1602" s="32"/>
      <c r="V1602" s="32">
        <f>IFERROR(__xludf.DUMMYFUNCTION("$D1602 - IFERROR(FILTER($D:$D,$C:$C = $C1602, $A:$A = $A1602, $B:$B = $B1602 - 1),0)"),0.0)</f>
        <v>0</v>
      </c>
      <c r="W1602" s="93">
        <f>IFERROR(__xludf.DUMMYFUNCTION("$E1602 - IFERROR(FILTER($E:$E,$C:$C = $C1602, $A:$A = $A1602, $B:$B = $B1602 - 1),0)"),0.0)</f>
        <v>0</v>
      </c>
      <c r="X1602" s="91">
        <f>IFERROR(__xludf.DUMMYFUNCTION("iFERROR((FILTER('Fund Investment Data'!$Z:$Z, 'Fund Investment Data'!$C:$C = $C1602, 'Fund Investment Data'!$A:$A = $A1602 - 1, 'Fund Investment Data'!$B:$B = 12) + FILTER('Fund Investment Data'!$AB:$AB, 'Fund Investment Data'!$C:$C = $C1602, 'Fund Invest"&amp;"ment Data'!$A:$A = $A1602 - 1, 'Fund Investment Data'!$B:$B = 12)) * (1 + AVERAGE(FILTER('Inflation Data'!$C:$C,'Inflation Data'!$A:$A = ($A1602 - 2)))) * Parameters!$A$4,0)"),11487.702435867292)</f>
        <v>11487.70244</v>
      </c>
      <c r="Y1602" s="91">
        <f>IFERROR(__xludf.DUMMYFUNCTION("IFERROR((IFERROR(FILTER('Fund Investment Data'!$P:$P,'Fund Investment Data'!$C:$C = $C1602,'Fund Investment Data'!$A:$A = ($A1602 - 2), 'Fund Investment Data'!$B:$B = 12),0) - SUM(FILTER('Fund Investment Data'!$V:$V, 'Fund Investment Data'!$C:$C = $C1602,"&amp;" 'Fund Investment Data'!$A:$A = ($A1602 - 2), 'Fund Investment Data'!$B:$B &gt; 3)))  * Parameters!$B$4 * (1 - Parameters!$A$4),0)"),4820.5455749999965)</f>
        <v>4820.545575</v>
      </c>
      <c r="Z1602" s="91">
        <f t="shared" si="24"/>
        <v>16308.24801</v>
      </c>
      <c r="AA1602" s="91">
        <f>IFERROR(__xludf.DUMMYFUNCTION("((IFERROR((SUM(FILTER('Fund Investment Data'!$V:$V, 'Fund Investment Data'!$C:$C = $C1602, 'Fund Investment Data'!$A:$A = $A1602 - 1, 'Fund Investment Data'!$B:$B &gt;= 4, 'Fund Investment Data'!$B:$B &lt;= ($B1602 + 5))) / 12) * ($B1602 - 3) * Parameters!$B$4,"&amp;" 0) + IF($B1602 &gt;= 9, IFERROR(SUM(FILTER('Fund Investment Data'!$V:$V, 'Fund Investment Data'!$C:$C = $C1602, 'Fund Investment Data'!$A:$A = $A1602, 'Fund Investment Data'!$B:$B &lt;= 3)) * Parameters!$B$4, 0),0)))"),0.0)</f>
        <v>0</v>
      </c>
      <c r="AB1602" s="32">
        <f>IFERROR(__xludf.DUMMYFUNCTION("IFERROR(((IFERROR(SUM(FILTER('Fund Investment Data'!$V:$V, 'Fund Investment Data'!$C:$C = $C1602, 'Fund Investment Data'!$A:$A = $A1602 - 2, 'Fund Investment Data'!$B:$B &gt;= 4)) * Parameters!$B$4,0) + IFERROR(SUM(FILTER('Fund Investment Data'!$V:$V, 'Fund "&amp;"Investment Data'!$C:$C = $C1602, 'Fund Investment Data'!$A:$A = $A1602 - 1, 'Fund Investment Data'!$B:$B &lt;= 3)) * Parameters!$B$4,0))),0)"),0.0)</f>
        <v>0</v>
      </c>
      <c r="AC1602" s="32">
        <f>IFERROR(__xludf.DUMMYFUNCTION("IFERROR(FILTER($AF:$AF,$C:$C = $C1602,$A:$A = $A1602 - 1,$B:$B = 12),0)"),0.0)</f>
        <v>0</v>
      </c>
      <c r="AD1602" s="32">
        <f t="shared" si="23"/>
        <v>16308.24801</v>
      </c>
      <c r="AE1602" s="32">
        <f t="shared" si="2"/>
        <v>12700.24801</v>
      </c>
      <c r="AF1602" s="32"/>
    </row>
    <row r="1603">
      <c r="A1603" s="86">
        <v>2019.0</v>
      </c>
      <c r="B1603" s="87">
        <v>11.0</v>
      </c>
      <c r="C1603" s="88" t="s">
        <v>53</v>
      </c>
      <c r="D1603" s="32"/>
      <c r="E1603" s="93">
        <v>-168884.0</v>
      </c>
      <c r="F1603" s="32"/>
      <c r="G1603" s="93">
        <v>-10224.99</v>
      </c>
      <c r="H1603" s="93">
        <v>43622.64</v>
      </c>
      <c r="I1603" s="93">
        <v>12661.52</v>
      </c>
      <c r="J1603" s="93">
        <v>211382.22</v>
      </c>
      <c r="K1603" s="32"/>
      <c r="L1603" s="32"/>
      <c r="M1603" s="32"/>
      <c r="N1603" s="32"/>
      <c r="O1603" s="93">
        <v>2135092.27</v>
      </c>
      <c r="P1603" s="91">
        <f>IFERROR(__xludf.DUMMYFUNCTION("IFERROR(sum(FILTER($D:$N,$C:$C = $C1603,$A:$A &lt; $A1603,$B:$B = 12)),0) + sum($D1603:$N1603)"),2135092.27)</f>
        <v>2135092.27</v>
      </c>
      <c r="Q1603" s="92">
        <f t="shared" si="1"/>
        <v>0</v>
      </c>
      <c r="R1603" s="91">
        <f t="array" ref="R1603">IFERROR(INDEX('Fund YTD Target Values'!$1:$1000, MATCH($C1603,'Fund YTD Target Values'!$A:$A,0), MATCH($A1603,'Fund YTD Target Values'!$1:$1,0)),0)</f>
        <v>2265063.703</v>
      </c>
      <c r="S1603" s="91">
        <f>IFERROR(__xludf.DUMMYFUNCTION("IFERROR(sum(FILTER('Fund Investment Data'!$V:$V, 'Fund Investment Data'!$C:$C = $C1603, 'Fund Investment Data'!$A:$A &lt; $A1603)),0) + IFERROR(sum(FILTER('Fund Investment Data'!$V:$V, 'Fund Investment Data'!$C:$C = $C1603, 'Fund Investment Data'!$A:$A = $A1"&amp;"603, 'Fund Investment Data'!$B:$B &lt;= $B1603)),0)"),2005500.0)</f>
        <v>2005500</v>
      </c>
      <c r="T1603" s="32"/>
      <c r="U1603" s="32"/>
      <c r="V1603" s="32">
        <f>IFERROR(__xludf.DUMMYFUNCTION("$D1603 - IFERROR(FILTER($D:$D,$C:$C = $C1603, $A:$A = $A1603, $B:$B = $B1603 - 1),0)"),0.0)</f>
        <v>0</v>
      </c>
      <c r="W1603" s="93">
        <f>IFERROR(__xludf.DUMMYFUNCTION("$E1603 - IFERROR(FILTER($E:$E,$C:$C = $C1603, $A:$A = $A1603, $B:$B = $B1603 - 1),0)"),0.0)</f>
        <v>0</v>
      </c>
      <c r="X1603" s="91">
        <f>IFERROR(__xludf.DUMMYFUNCTION("iFERROR((FILTER('Fund Investment Data'!$Z:$Z, 'Fund Investment Data'!$C:$C = $C1603, 'Fund Investment Data'!$A:$A = $A1603 - 1, 'Fund Investment Data'!$B:$B = 12) + FILTER('Fund Investment Data'!$AB:$AB, 'Fund Investment Data'!$C:$C = $C1603, 'Fund Invest"&amp;"ment Data'!$A:$A = $A1603 - 1, 'Fund Investment Data'!$B:$B = 12)) * (1 + AVERAGE(FILTER('Inflation Data'!$C:$C,'Inflation Data'!$A:$A = ($A1603 - 2)))) * Parameters!$A$4,0)"),69866.97627398264)</f>
        <v>69866.97627</v>
      </c>
      <c r="Y1603" s="91">
        <f>IFERROR(__xludf.DUMMYFUNCTION("IFERROR((IFERROR(FILTER('Fund Investment Data'!$P:$P,'Fund Investment Data'!$C:$C = $C1603,'Fund Investment Data'!$A:$A = ($A1603 - 2), 'Fund Investment Data'!$B:$B = 12),0) - SUM(FILTER('Fund Investment Data'!$V:$V, 'Fund Investment Data'!$C:$C = $C1603,"&amp;" 'Fund Investment Data'!$A:$A = ($A1603 - 2), 'Fund Investment Data'!$B:$B &gt; 3)))  * Parameters!$B$4 * (1 - Parameters!$A$4),0)"),30716.748180000002)</f>
        <v>30716.74818</v>
      </c>
      <c r="Z1603" s="91">
        <f t="shared" si="24"/>
        <v>100583.7245</v>
      </c>
      <c r="AA1603" s="91">
        <f>IFERROR(__xludf.DUMMYFUNCTION("((IFERROR((SUM(FILTER('Fund Investment Data'!$V:$V, 'Fund Investment Data'!$C:$C = $C1603, 'Fund Investment Data'!$A:$A = $A1603 - 1, 'Fund Investment Data'!$B:$B &gt;= 4, 'Fund Investment Data'!$B:$B &lt;= ($B1603 + 5))) / 12) * ($B1603 - 3) * Parameters!$B$4,"&amp;" 0) + IF($B1603 &gt;= 9, IFERROR(SUM(FILTER('Fund Investment Data'!$V:$V, 'Fund Investment Data'!$C:$C = $C1603, 'Fund Investment Data'!$A:$A = $A1603, 'Fund Investment Data'!$B:$B &lt;= 3)) * Parameters!$B$4, 0),0)))"),0.0)</f>
        <v>0</v>
      </c>
      <c r="AB1603" s="32">
        <f>IFERROR(__xludf.DUMMYFUNCTION("IFERROR(((IFERROR(SUM(FILTER('Fund Investment Data'!$V:$V, 'Fund Investment Data'!$C:$C = $C1603, 'Fund Investment Data'!$A:$A = $A1603 - 2, 'Fund Investment Data'!$B:$B &gt;= 4)) * Parameters!$B$4,0) + IFERROR(SUM(FILTER('Fund Investment Data'!$V:$V, 'Fund "&amp;"Investment Data'!$C:$C = $C1603, 'Fund Investment Data'!$A:$A = $A1603 - 1, 'Fund Investment Data'!$B:$B &lt;= 3)) * Parameters!$B$4,0))),0)"),0.0)</f>
        <v>0</v>
      </c>
      <c r="AC1603" s="32">
        <f>IFERROR(__xludf.DUMMYFUNCTION("IFERROR(FILTER($AF:$AF,$C:$C = $C1603,$A:$A = $A1603 - 1,$B:$B = 12),0)"),43500.0)</f>
        <v>43500</v>
      </c>
      <c r="AD1603" s="32">
        <f t="shared" si="23"/>
        <v>144083.7245</v>
      </c>
      <c r="AE1603" s="32">
        <f t="shared" si="2"/>
        <v>-24800.27555</v>
      </c>
      <c r="AF1603" s="32"/>
    </row>
    <row r="1604">
      <c r="A1604" s="86">
        <v>2019.0</v>
      </c>
      <c r="B1604" s="87">
        <v>11.0</v>
      </c>
      <c r="C1604" s="88" t="s">
        <v>34</v>
      </c>
      <c r="D1604" s="32"/>
      <c r="E1604" s="93">
        <v>-6475.0</v>
      </c>
      <c r="F1604" s="32"/>
      <c r="G1604" s="93">
        <v>-660.13</v>
      </c>
      <c r="H1604" s="93">
        <v>2826.21</v>
      </c>
      <c r="I1604" s="93">
        <v>28.92</v>
      </c>
      <c r="J1604" s="93">
        <v>14672.49</v>
      </c>
      <c r="K1604" s="32"/>
      <c r="L1604" s="32"/>
      <c r="M1604" s="32"/>
      <c r="N1604" s="32"/>
      <c r="O1604" s="93">
        <v>141831.76</v>
      </c>
      <c r="P1604" s="91">
        <f>IFERROR(__xludf.DUMMYFUNCTION("IFERROR(sum(FILTER($D:$N,$C:$C = $C1604,$A:$A &lt; $A1604,$B:$B = 12)),0) + sum($D1604:$N1604)"),141831.75999999995)</f>
        <v>141831.76</v>
      </c>
      <c r="Q1604" s="92">
        <f t="shared" si="1"/>
        <v>0</v>
      </c>
      <c r="R1604" s="91">
        <f t="array" ref="R1604">IFERROR(INDEX('Fund YTD Target Values'!$1:$1000, MATCH($C1604,'Fund YTD Target Values'!$A:$A,0), MATCH($A1604,'Fund YTD Target Values'!$1:$1,0)),0)</f>
        <v>137779.5763</v>
      </c>
      <c r="S1604" s="91">
        <f>IFERROR(__xludf.DUMMYFUNCTION("IFERROR(sum(FILTER('Fund Investment Data'!$V:$V, 'Fund Investment Data'!$C:$C = $C1604, 'Fund Investment Data'!$A:$A &lt; $A1604)),0) + IFERROR(sum(FILTER('Fund Investment Data'!$V:$V, 'Fund Investment Data'!$C:$C = $C1604, 'Fund Investment Data'!$A:$A = $A1"&amp;"604, 'Fund Investment Data'!$B:$B &lt;= $B1604)),0)"),125000.0)</f>
        <v>125000</v>
      </c>
      <c r="T1604" s="32"/>
      <c r="U1604" s="32"/>
      <c r="V1604" s="32">
        <f>IFERROR(__xludf.DUMMYFUNCTION("$D1604 - IFERROR(FILTER($D:$D,$C:$C = $C1604, $A:$A = $A1604, $B:$B = $B1604 - 1),0)"),0.0)</f>
        <v>0</v>
      </c>
      <c r="W1604" s="93">
        <f>IFERROR(__xludf.DUMMYFUNCTION("$E1604 - IFERROR(FILTER($E:$E,$C:$C = $C1604, $A:$A = $A1604, $B:$B = $B1604 - 1),0)"),0.0)</f>
        <v>0</v>
      </c>
      <c r="X1604" s="91">
        <f>IFERROR(__xludf.DUMMYFUNCTION("iFERROR((FILTER('Fund Investment Data'!$Z:$Z, 'Fund Investment Data'!$C:$C = $C1604, 'Fund Investment Data'!$A:$A = $A1604 - 1, 'Fund Investment Data'!$B:$B = 12) + FILTER('Fund Investment Data'!$AB:$AB, 'Fund Investment Data'!$C:$C = $C1604, 'Fund Invest"&amp;"ment Data'!$A:$A = $A1604 - 1, 'Fund Investment Data'!$B:$B = 12)) * (1 + AVERAGE(FILTER('Inflation Data'!$C:$C,'Inflation Data'!$A:$A = ($A1604 - 2)))) * Parameters!$A$4,0)"),4414.569951711041)</f>
        <v>4414.569952</v>
      </c>
      <c r="Y1604" s="91">
        <f>IFERROR(__xludf.DUMMYFUNCTION("IFERROR((IFERROR(FILTER('Fund Investment Data'!$P:$P,'Fund Investment Data'!$C:$C = $C1604,'Fund Investment Data'!$A:$A = ($A1604 - 2), 'Fund Investment Data'!$B:$B = 12),0) - SUM(FILTER('Fund Investment Data'!$V:$V, 'Fund Investment Data'!$C:$C = $C1604,"&amp;" 'Fund Investment Data'!$A:$A = ($A1604 - 2), 'Fund Investment Data'!$B:$B &gt; 3)))  * Parameters!$B$4 * (1 - Parameters!$A$4),0)"),1947.8901600000004)</f>
        <v>1947.89016</v>
      </c>
      <c r="Z1604" s="91">
        <f t="shared" si="24"/>
        <v>6362.460112</v>
      </c>
      <c r="AA1604" s="91">
        <f>IFERROR(__xludf.DUMMYFUNCTION("((IFERROR((SUM(FILTER('Fund Investment Data'!$V:$V, 'Fund Investment Data'!$C:$C = $C1604, 'Fund Investment Data'!$A:$A = $A1604 - 1, 'Fund Investment Data'!$B:$B &gt;= 4, 'Fund Investment Data'!$B:$B &lt;= ($B1604 + 5))) / 12) * ($B1604 - 3) * Parameters!$B$4,"&amp;" 0) + IF($B1604 &gt;= 9, IFERROR(SUM(FILTER('Fund Investment Data'!$V:$V, 'Fund Investment Data'!$C:$C = $C1604, 'Fund Investment Data'!$A:$A = $A1604, 'Fund Investment Data'!$B:$B &lt;= 3)) * Parameters!$B$4, 0),0)))"),150.0)</f>
        <v>150</v>
      </c>
      <c r="AB1604" s="32">
        <f>IFERROR(__xludf.DUMMYFUNCTION("IFERROR(((IFERROR(SUM(FILTER('Fund Investment Data'!$V:$V, 'Fund Investment Data'!$C:$C = $C1604, 'Fund Investment Data'!$A:$A = $A1604 - 2, 'Fund Investment Data'!$B:$B &gt;= 4)) * Parameters!$B$4,0) + IFERROR(SUM(FILTER('Fund Investment Data'!$V:$V, 'Fund "&amp;"Investment Data'!$C:$C = $C1604, 'Fund Investment Data'!$A:$A = $A1604 - 1, 'Fund Investment Data'!$B:$B &lt;= 3)) * Parameters!$B$4,0))),0)"),0.0)</f>
        <v>0</v>
      </c>
      <c r="AC1604" s="32">
        <f>IFERROR(__xludf.DUMMYFUNCTION("IFERROR(FILTER($AF:$AF,$C:$C = $C1604,$A:$A = $A1604 - 1,$B:$B = 12),0)"),0.0)</f>
        <v>0</v>
      </c>
      <c r="AD1604" s="32">
        <f t="shared" si="23"/>
        <v>6512.460112</v>
      </c>
      <c r="AE1604" s="32">
        <f t="shared" si="2"/>
        <v>37.46011171</v>
      </c>
      <c r="AF1604" s="32"/>
    </row>
    <row r="1605">
      <c r="A1605" s="86">
        <v>2019.0</v>
      </c>
      <c r="B1605" s="87">
        <v>11.0</v>
      </c>
      <c r="C1605" s="88" t="s">
        <v>54</v>
      </c>
      <c r="D1605" s="93">
        <v>156.0</v>
      </c>
      <c r="E1605" s="93">
        <v>-7650.0</v>
      </c>
      <c r="F1605" s="32"/>
      <c r="G1605" s="93">
        <v>-784.78</v>
      </c>
      <c r="H1605" s="93">
        <v>3350.01</v>
      </c>
      <c r="I1605" s="32"/>
      <c r="J1605" s="93">
        <v>17341.91</v>
      </c>
      <c r="K1605" s="32"/>
      <c r="L1605" s="93">
        <v>-28.05</v>
      </c>
      <c r="M1605" s="32"/>
      <c r="N1605" s="32"/>
      <c r="O1605" s="93">
        <v>167351.17</v>
      </c>
      <c r="P1605" s="91">
        <f>IFERROR(__xludf.DUMMYFUNCTION("IFERROR(sum(FILTER($D:$N,$C:$C = $C1605,$A:$A &lt; $A1605,$B:$B = 12)),0) + sum($D1605:$N1605)"),167352.13999999996)</f>
        <v>167352.14</v>
      </c>
      <c r="Q1605" s="92">
        <f t="shared" si="1"/>
        <v>-0.9699999999</v>
      </c>
      <c r="R1605" s="91">
        <f t="array" ref="R1605">IFERROR(INDEX('Fund YTD Target Values'!$1:$1000, MATCH($C1605,'Fund YTD Target Values'!$A:$A,0), MATCH($A1605,'Fund YTD Target Values'!$1:$1,0)),0)</f>
        <v>158496.8702</v>
      </c>
      <c r="S1605" s="91">
        <f>IFERROR(__xludf.DUMMYFUNCTION("IFERROR(sum(FILTER('Fund Investment Data'!$V:$V, 'Fund Investment Data'!$C:$C = $C1605, 'Fund Investment Data'!$A:$A &lt; $A1605)),0) + IFERROR(sum(FILTER('Fund Investment Data'!$V:$V, 'Fund Investment Data'!$C:$C = $C1605, 'Fund Investment Data'!$A:$A = $A1"&amp;"605, 'Fund Investment Data'!$B:$B &lt;= $B1605)),0)"),112623.10999999999)</f>
        <v>112623.11</v>
      </c>
      <c r="T1605" s="32"/>
      <c r="U1605" s="32"/>
      <c r="V1605" s="32">
        <f>IFERROR(__xludf.DUMMYFUNCTION("$D1605 - IFERROR(FILTER($D:$D,$C:$C = $C1605, $A:$A = $A1605, $B:$B = $B1605 - 1),0)"),0.0)</f>
        <v>0</v>
      </c>
      <c r="W1605" s="93">
        <f>IFERROR(__xludf.DUMMYFUNCTION("$E1605 - IFERROR(FILTER($E:$E,$C:$C = $C1605, $A:$A = $A1605, $B:$B = $B1605 - 1),0)"),0.0)</f>
        <v>0</v>
      </c>
      <c r="X1605" s="91">
        <f>IFERROR(__xludf.DUMMYFUNCTION("iFERROR((FILTER('Fund Investment Data'!$Z:$Z, 'Fund Investment Data'!$C:$C = $C1605, 'Fund Investment Data'!$A:$A = $A1605 - 1, 'Fund Investment Data'!$B:$B = 12) + FILTER('Fund Investment Data'!$AB:$AB, 'Fund Investment Data'!$C:$C = $C1605, 'Fund Invest"&amp;"ment Data'!$A:$A = $A1605 - 1, 'Fund Investment Data'!$B:$B = 12)) * (1 + AVERAGE(FILTER('Inflation Data'!$C:$C,'Inflation Data'!$A:$A = ($A1605 - 2)))) * Parameters!$A$4,0)"),5306.102894924851)</f>
        <v>5306.102895</v>
      </c>
      <c r="Y1605" s="91">
        <f>IFERROR(__xludf.DUMMYFUNCTION("IFERROR((IFERROR(FILTER('Fund Investment Data'!$P:$P,'Fund Investment Data'!$C:$C = $C1605,'Fund Investment Data'!$A:$A = ($A1605 - 2), 'Fund Investment Data'!$B:$B = 12),0) - SUM(FILTER('Fund Investment Data'!$V:$V, 'Fund Investment Data'!$C:$C = $C1605,"&amp;" 'Fund Investment Data'!$A:$A = ($A1605 - 2), 'Fund Investment Data'!$B:$B &gt; 3)))  * Parameters!$B$4 * (1 - Parameters!$A$4),0)"),2330.059095)</f>
        <v>2330.059095</v>
      </c>
      <c r="Z1605" s="91">
        <f t="shared" si="24"/>
        <v>7636.16199</v>
      </c>
      <c r="AA1605" s="91">
        <f>IFERROR(__xludf.DUMMYFUNCTION("((IFERROR((SUM(FILTER('Fund Investment Data'!$V:$V, 'Fund Investment Data'!$C:$C = $C1605, 'Fund Investment Data'!$A:$A = $A1605 - 1, 'Fund Investment Data'!$B:$B &gt;= 4, 'Fund Investment Data'!$B:$B &lt;= ($B1605 + 5))) / 12) * ($B1605 - 3) * Parameters!$B$4,"&amp;" 0) + IF($B1605 &gt;= 9, IFERROR(SUM(FILTER('Fund Investment Data'!$V:$V, 'Fund Investment Data'!$C:$C = $C1605, 'Fund Investment Data'!$A:$A = $A1605, 'Fund Investment Data'!$B:$B &lt;= 3)) * Parameters!$B$4, 0),0)))"),5.55)</f>
        <v>5.55</v>
      </c>
      <c r="AB1605" s="32">
        <f>IFERROR(__xludf.DUMMYFUNCTION("IFERROR(((IFERROR(SUM(FILTER('Fund Investment Data'!$V:$V, 'Fund Investment Data'!$C:$C = $C1605, 'Fund Investment Data'!$A:$A = $A1605 - 2, 'Fund Investment Data'!$B:$B &gt;= 4)) * Parameters!$B$4,0) + IFERROR(SUM(FILTER('Fund Investment Data'!$V:$V, 'Fund "&amp;"Investment Data'!$C:$C = $C1605, 'Fund Investment Data'!$A:$A = $A1605 - 1, 'Fund Investment Data'!$B:$B &lt;= 3)) * Parameters!$B$4,0))),0)"),13.32)</f>
        <v>13.32</v>
      </c>
      <c r="AC1605" s="32">
        <f>IFERROR(__xludf.DUMMYFUNCTION("IFERROR(FILTER($AF:$AF,$C:$C = $C1605,$A:$A = $A1605 - 1,$B:$B = 12),0)"),0.0)</f>
        <v>0</v>
      </c>
      <c r="AD1605" s="32">
        <f t="shared" si="23"/>
        <v>7655.03199</v>
      </c>
      <c r="AE1605" s="32">
        <f t="shared" si="2"/>
        <v>5.031989925</v>
      </c>
      <c r="AF1605" s="32"/>
    </row>
    <row r="1606">
      <c r="A1606" s="86">
        <v>2019.0</v>
      </c>
      <c r="B1606" s="87">
        <v>11.0</v>
      </c>
      <c r="C1606" s="88" t="s">
        <v>55</v>
      </c>
      <c r="D1606" s="32"/>
      <c r="E1606" s="93">
        <v>-18228.0</v>
      </c>
      <c r="F1606" s="32"/>
      <c r="G1606" s="93">
        <v>-1382.31</v>
      </c>
      <c r="H1606" s="93">
        <v>5794.99</v>
      </c>
      <c r="I1606" s="32"/>
      <c r="J1606" s="93">
        <v>23116.53</v>
      </c>
      <c r="K1606" s="32"/>
      <c r="L1606" s="32"/>
      <c r="M1606" s="32"/>
      <c r="N1606" s="32"/>
      <c r="O1606" s="93">
        <v>286832.15</v>
      </c>
      <c r="P1606" s="91">
        <f>IFERROR(__xludf.DUMMYFUNCTION("IFERROR(sum(FILTER($D:$N,$C:$C = $C1606,$A:$A &lt; $A1606,$B:$B = 12)),0) + sum($D1606:$N1606)"),286832.14999999997)</f>
        <v>286832.15</v>
      </c>
      <c r="Q1606" s="92">
        <f t="shared" si="1"/>
        <v>0</v>
      </c>
      <c r="R1606" s="91">
        <f t="array" ref="R1606">IFERROR(INDEX('Fund YTD Target Values'!$1:$1000, MATCH($C1606,'Fund YTD Target Values'!$A:$A,0), MATCH($A1606,'Fund YTD Target Values'!$1:$1,0)),0)</f>
        <v>364349.1694</v>
      </c>
      <c r="S1606" s="91">
        <f>IFERROR(__xludf.DUMMYFUNCTION("IFERROR(sum(FILTER('Fund Investment Data'!$V:$V, 'Fund Investment Data'!$C:$C = $C1606, 'Fund Investment Data'!$A:$A &lt; $A1606)),0) + IFERROR(sum(FILTER('Fund Investment Data'!$V:$V, 'Fund Investment Data'!$C:$C = $C1606, 'Fund Investment Data'!$A:$A = $A1"&amp;"606, 'Fund Investment Data'!$B:$B &lt;= $B1606)),0)"),280000.0)</f>
        <v>280000</v>
      </c>
      <c r="T1606" s="32"/>
      <c r="U1606" s="32"/>
      <c r="V1606" s="32">
        <f>IFERROR(__xludf.DUMMYFUNCTION("$D1606 - IFERROR(FILTER($D:$D,$C:$C = $C1606, $A:$A = $A1606, $B:$B = $B1606 - 1),0)"),0.0)</f>
        <v>0</v>
      </c>
      <c r="W1606" s="93">
        <f>IFERROR(__xludf.DUMMYFUNCTION("$E1606 - IFERROR(FILTER($E:$E,$C:$C = $C1606, $A:$A = $A1606, $B:$B = $B1606 - 1),0)"),0.0)</f>
        <v>0</v>
      </c>
      <c r="X1606" s="91">
        <f>IFERROR(__xludf.DUMMYFUNCTION("iFERROR((FILTER('Fund Investment Data'!$Z:$Z, 'Fund Investment Data'!$C:$C = $C1606, 'Fund Investment Data'!$A:$A = $A1606 - 1, 'Fund Investment Data'!$B:$B = 12) + FILTER('Fund Investment Data'!$AB:$AB, 'Fund Investment Data'!$C:$C = $C1606, 'Fund Invest"&amp;"ment Data'!$A:$A = $A1606 - 1, 'Fund Investment Data'!$B:$B = 12)) * (1 + AVERAGE(FILTER('Inflation Data'!$C:$C,'Inflation Data'!$A:$A = ($A1606 - 2)))) * Parameters!$A$4,0)"),6881.036839036868)</f>
        <v>6881.036839</v>
      </c>
      <c r="Y1606" s="91">
        <f>IFERROR(__xludf.DUMMYFUNCTION("IFERROR((IFERROR(FILTER('Fund Investment Data'!$P:$P,'Fund Investment Data'!$C:$C = $C1606,'Fund Investment Data'!$A:$A = ($A1606 - 2), 'Fund Investment Data'!$B:$B = 12),0) - SUM(FILTER('Fund Investment Data'!$V:$V, 'Fund Investment Data'!$C:$C = $C1606,"&amp;" 'Fund Investment Data'!$A:$A = ($A1606 - 2), 'Fund Investment Data'!$B:$B &gt; 3)))  * Parameters!$B$4 * (1 - Parameters!$A$4),0)"),2147.3742599999996)</f>
        <v>2147.37426</v>
      </c>
      <c r="Z1606" s="91">
        <f t="shared" si="24"/>
        <v>9028.411099</v>
      </c>
      <c r="AA1606" s="91">
        <f>IFERROR(__xludf.DUMMYFUNCTION("((IFERROR((SUM(FILTER('Fund Investment Data'!$V:$V, 'Fund Investment Data'!$C:$C = $C1606, 'Fund Investment Data'!$A:$A = $A1606 - 1, 'Fund Investment Data'!$B:$B &gt;= 4, 'Fund Investment Data'!$B:$B &lt;= ($B1606 + 5))) / 12) * ($B1606 - 3) * Parameters!$B$4,"&amp;" 0) + IF($B1606 &gt;= 9, IFERROR(SUM(FILTER('Fund Investment Data'!$V:$V, 'Fund Investment Data'!$C:$C = $C1606, 'Fund Investment Data'!$A:$A = $A1606, 'Fund Investment Data'!$B:$B &lt;= 3)) * Parameters!$B$4, 0),0)))"),2100.0)</f>
        <v>2100</v>
      </c>
      <c r="AB1606" s="32">
        <f>IFERROR(__xludf.DUMMYFUNCTION("IFERROR(((IFERROR(SUM(FILTER('Fund Investment Data'!$V:$V, 'Fund Investment Data'!$C:$C = $C1606, 'Fund Investment Data'!$A:$A = $A1606 - 2, 'Fund Investment Data'!$B:$B &gt;= 4)) * Parameters!$B$4,0) + IFERROR(SUM(FILTER('Fund Investment Data'!$V:$V, 'Fund "&amp;"Investment Data'!$C:$C = $C1606, 'Fund Investment Data'!$A:$A = $A1606 - 1, 'Fund Investment Data'!$B:$B &lt;= 3)) * Parameters!$B$4,0))),0)"),3150.0)</f>
        <v>3150</v>
      </c>
      <c r="AC1606" s="32">
        <f>IFERROR(__xludf.DUMMYFUNCTION("IFERROR(FILTER($AF:$AF,$C:$C = $C1606,$A:$A = $A1606 - 1,$B:$B = 12),0)"),5000.0)</f>
        <v>5000</v>
      </c>
      <c r="AD1606" s="32">
        <f t="shared" si="23"/>
        <v>19278.4111</v>
      </c>
      <c r="AE1606" s="32">
        <f t="shared" si="2"/>
        <v>1050.411099</v>
      </c>
      <c r="AF1606" s="32"/>
    </row>
    <row r="1607">
      <c r="A1607" s="86">
        <v>2019.0</v>
      </c>
      <c r="B1607" s="87">
        <v>11.0</v>
      </c>
      <c r="C1607" s="88" t="s">
        <v>44</v>
      </c>
      <c r="D1607" s="32"/>
      <c r="E1607" s="93">
        <v>-13091.0</v>
      </c>
      <c r="F1607" s="32"/>
      <c r="G1607" s="93">
        <v>-1251.98</v>
      </c>
      <c r="H1607" s="93">
        <v>5361.23</v>
      </c>
      <c r="I1607" s="93">
        <v>3314.76</v>
      </c>
      <c r="J1607" s="93">
        <v>24845.83</v>
      </c>
      <c r="K1607" s="32"/>
      <c r="L1607" s="32"/>
      <c r="M1607" s="32"/>
      <c r="N1607" s="32"/>
      <c r="O1607" s="93">
        <v>269896.88</v>
      </c>
      <c r="P1607" s="91">
        <f>IFERROR(__xludf.DUMMYFUNCTION("IFERROR(sum(FILTER($D:$N,$C:$C = $C1607,$A:$A &lt; $A1607,$B:$B = 12)),0) + sum($D1607:$N1607)"),269897.7700000001)</f>
        <v>269897.77</v>
      </c>
      <c r="Q1607" s="92">
        <f t="shared" si="1"/>
        <v>-0.8900000001</v>
      </c>
      <c r="R1607" s="91">
        <f t="array" ref="R1607">IFERROR(INDEX('Fund YTD Target Values'!$1:$1000, MATCH($C1607,'Fund YTD Target Values'!$A:$A,0), MATCH($A1607,'Fund YTD Target Values'!$1:$1,0)),0)</f>
        <v>327413.1867</v>
      </c>
      <c r="S1607" s="91">
        <f>IFERROR(__xludf.DUMMYFUNCTION("IFERROR(sum(FILTER('Fund Investment Data'!$V:$V, 'Fund Investment Data'!$C:$C = $C1607, 'Fund Investment Data'!$A:$A &lt; $A1607)),0) + IFERROR(sum(FILTER('Fund Investment Data'!$V:$V, 'Fund Investment Data'!$C:$C = $C1607, 'Fund Investment Data'!$A:$A = $A1"&amp;"607, 'Fund Investment Data'!$B:$B &lt;= $B1607)),0)"),250000.0)</f>
        <v>250000</v>
      </c>
      <c r="T1607" s="32"/>
      <c r="U1607" s="32"/>
      <c r="V1607" s="32">
        <f>IFERROR(__xludf.DUMMYFUNCTION("$D1607 - IFERROR(FILTER($D:$D,$C:$C = $C1607, $A:$A = $A1607, $B:$B = $B1607 - 1),0)"),0.0)</f>
        <v>0</v>
      </c>
      <c r="W1607" s="93">
        <f>IFERROR(__xludf.DUMMYFUNCTION("$E1607 - IFERROR(FILTER($E:$E,$C:$C = $C1607, $A:$A = $A1607, $B:$B = $B1607 - 1),0)"),0.0)</f>
        <v>0</v>
      </c>
      <c r="X1607" s="91">
        <f>IFERROR(__xludf.DUMMYFUNCTION("iFERROR((FILTER('Fund Investment Data'!$Z:$Z, 'Fund Investment Data'!$C:$C = $C1607, 'Fund Investment Data'!$A:$A = $A1607 - 1, 'Fund Investment Data'!$B:$B = 12) + FILTER('Fund Investment Data'!$AB:$AB, 'Fund Investment Data'!$C:$C = $C1607, 'Fund Invest"&amp;"ment Data'!$A:$A = $A1607 - 1, 'Fund Investment Data'!$B:$B = 12)) * (1 + AVERAGE(FILTER('Inflation Data'!$C:$C,'Inflation Data'!$A:$A = ($A1607 - 2)))) * Parameters!$A$4,0)"),9221.513356912916)</f>
        <v>9221.513357</v>
      </c>
      <c r="Y1607" s="91">
        <f>IFERROR(__xludf.DUMMYFUNCTION("IFERROR((IFERROR(FILTER('Fund Investment Data'!$P:$P,'Fund Investment Data'!$C:$C = $C1607,'Fund Investment Data'!$A:$A = ($A1607 - 2), 'Fund Investment Data'!$B:$B = 12),0) - SUM(FILTER('Fund Investment Data'!$V:$V, 'Fund Investment Data'!$C:$C = $C1607,"&amp;" 'Fund Investment Data'!$A:$A = ($A1607 - 2), 'Fund Investment Data'!$B:$B &gt; 3)))  * Parameters!$B$4 * (1 - Parameters!$A$4),0)"),3869.5923450000028)</f>
        <v>3869.592345</v>
      </c>
      <c r="Z1607" s="91">
        <f t="shared" si="24"/>
        <v>13091.1057</v>
      </c>
      <c r="AA1607" s="91">
        <f>IFERROR(__xludf.DUMMYFUNCTION("((IFERROR((SUM(FILTER('Fund Investment Data'!$V:$V, 'Fund Investment Data'!$C:$C = $C1607, 'Fund Investment Data'!$A:$A = $A1607 - 1, 'Fund Investment Data'!$B:$B &gt;= 4, 'Fund Investment Data'!$B:$B &lt;= ($B1607 + 5))) / 12) * ($B1607 - 3) * Parameters!$B$4,"&amp;" 0) + IF($B1607 &gt;= 9, IFERROR(SUM(FILTER('Fund Investment Data'!$V:$V, 'Fund Investment Data'!$C:$C = $C1607, 'Fund Investment Data'!$A:$A = $A1607, 'Fund Investment Data'!$B:$B &lt;= 3)) * Parameters!$B$4, 0),0)))"),0.0)</f>
        <v>0</v>
      </c>
      <c r="AB1607" s="32">
        <f>IFERROR(__xludf.DUMMYFUNCTION("IFERROR(((IFERROR(SUM(FILTER('Fund Investment Data'!$V:$V, 'Fund Investment Data'!$C:$C = $C1607, 'Fund Investment Data'!$A:$A = $A1607 - 2, 'Fund Investment Data'!$B:$B &gt;= 4)) * Parameters!$B$4,0) + IFERROR(SUM(FILTER('Fund Investment Data'!$V:$V, 'Fund "&amp;"Investment Data'!$C:$C = $C1607, 'Fund Investment Data'!$A:$A = $A1607 - 1, 'Fund Investment Data'!$B:$B &lt;= 3)) * Parameters!$B$4,0))),0)"),0.0)</f>
        <v>0</v>
      </c>
      <c r="AC1607" s="32">
        <f>IFERROR(__xludf.DUMMYFUNCTION("IFERROR(FILTER($AF:$AF,$C:$C = $C1607,$A:$A = $A1607 - 1,$B:$B = 12),0)"),0.0)</f>
        <v>0</v>
      </c>
      <c r="AD1607" s="32">
        <f t="shared" si="23"/>
        <v>13091.1057</v>
      </c>
      <c r="AE1607" s="32">
        <f t="shared" si="2"/>
        <v>0.1057019129</v>
      </c>
      <c r="AF1607" s="32"/>
    </row>
    <row r="1608">
      <c r="A1608" s="86">
        <v>2019.0</v>
      </c>
      <c r="B1608" s="87">
        <v>11.0</v>
      </c>
      <c r="C1608" s="88" t="s">
        <v>45</v>
      </c>
      <c r="D1608" s="32"/>
      <c r="E1608" s="93">
        <v>-5811.0</v>
      </c>
      <c r="F1608" s="32"/>
      <c r="G1608" s="93">
        <v>-669.26</v>
      </c>
      <c r="H1608" s="93">
        <v>2861.85</v>
      </c>
      <c r="I1608" s="93">
        <v>627.97</v>
      </c>
      <c r="J1608" s="93">
        <v>14202.25</v>
      </c>
      <c r="K1608" s="32"/>
      <c r="L1608" s="32"/>
      <c r="M1608" s="32"/>
      <c r="N1608" s="32"/>
      <c r="O1608" s="93">
        <v>143547.72</v>
      </c>
      <c r="P1608" s="91">
        <f>IFERROR(__xludf.DUMMYFUNCTION("IFERROR(sum(FILTER($D:$N,$C:$C = $C1608,$A:$A &lt; $A1608,$B:$B = 12)),0) + sum($D1608:$N1608)"),143547.92999999996)</f>
        <v>143547.93</v>
      </c>
      <c r="Q1608" s="92">
        <f t="shared" si="1"/>
        <v>-0.21</v>
      </c>
      <c r="R1608" s="91">
        <f t="array" ref="R1608">IFERROR(INDEX('Fund YTD Target Values'!$1:$1000, MATCH($C1608,'Fund YTD Target Values'!$A:$A,0), MATCH($A1608,'Fund YTD Target Values'!$1:$1,0)),0)</f>
        <v>123438.8442</v>
      </c>
      <c r="S1608" s="91">
        <f>IFERROR(__xludf.DUMMYFUNCTION("IFERROR(sum(FILTER('Fund Investment Data'!$V:$V, 'Fund Investment Data'!$C:$C = $C1608, 'Fund Investment Data'!$A:$A &lt; $A1608)),0) + IFERROR(sum(FILTER('Fund Investment Data'!$V:$V, 'Fund Investment Data'!$C:$C = $C1608, 'Fund Investment Data'!$A:$A = $A1"&amp;"608, 'Fund Investment Data'!$B:$B &lt;= $B1608)),0)"),100000.0)</f>
        <v>100000</v>
      </c>
      <c r="T1608" s="32"/>
      <c r="U1608" s="32"/>
      <c r="V1608" s="32">
        <f>IFERROR(__xludf.DUMMYFUNCTION("$D1608 - IFERROR(FILTER($D:$D,$C:$C = $C1608, $A:$A = $A1608, $B:$B = $B1608 - 1),0)"),0.0)</f>
        <v>0</v>
      </c>
      <c r="W1608" s="93">
        <f>IFERROR(__xludf.DUMMYFUNCTION("$E1608 - IFERROR(FILTER($E:$E,$C:$C = $C1608, $A:$A = $A1608, $B:$B = $B1608 - 1),0)"),0.0)</f>
        <v>0</v>
      </c>
      <c r="X1608" s="91">
        <f>IFERROR(__xludf.DUMMYFUNCTION("iFERROR((FILTER('Fund Investment Data'!$Z:$Z, 'Fund Investment Data'!$C:$C = $C1608, 'Fund Investment Data'!$A:$A = $A1608 - 1, 'Fund Investment Data'!$B:$B = 12) + FILTER('Fund Investment Data'!$AB:$AB, 'Fund Investment Data'!$C:$C = $C1608, 'Fund Invest"&amp;"ment Data'!$A:$A = $A1608 - 1, 'Fund Investment Data'!$B:$B = 12)) * (1 + AVERAGE(FILTER('Inflation Data'!$C:$C,'Inflation Data'!$A:$A = ($A1608 - 2)))) * Parameters!$A$4,0)"),3807.5303509611413)</f>
        <v>3807.530351</v>
      </c>
      <c r="Y1608" s="91">
        <f>IFERROR(__xludf.DUMMYFUNCTION("IFERROR((IFERROR(FILTER('Fund Investment Data'!$P:$P,'Fund Investment Data'!$C:$C = $C1608,'Fund Investment Data'!$A:$A = ($A1608 - 2), 'Fund Investment Data'!$B:$B = 12),0) - SUM(FILTER('Fund Investment Data'!$V:$V, 'Fund Investment Data'!$C:$C = $C1608,"&amp;" 'Fund Investment Data'!$A:$A = ($A1608 - 2), 'Fund Investment Data'!$B:$B &gt; 3)))  * Parameters!$B$4 * (1 - Parameters!$A$4),0)"),2003.430915)</f>
        <v>2003.430915</v>
      </c>
      <c r="Z1608" s="91">
        <f t="shared" si="24"/>
        <v>5810.961266</v>
      </c>
      <c r="AA1608" s="91">
        <f>IFERROR(__xludf.DUMMYFUNCTION("((IFERROR((SUM(FILTER('Fund Investment Data'!$V:$V, 'Fund Investment Data'!$C:$C = $C1608, 'Fund Investment Data'!$A:$A = $A1608 - 1, 'Fund Investment Data'!$B:$B &gt;= 4, 'Fund Investment Data'!$B:$B &lt;= ($B1608 + 5))) / 12) * ($B1608 - 3) * Parameters!$B$4,"&amp;" 0) + IF($B1608 &gt;= 9, IFERROR(SUM(FILTER('Fund Investment Data'!$V:$V, 'Fund Investment Data'!$C:$C = $C1608, 'Fund Investment Data'!$A:$A = $A1608, 'Fund Investment Data'!$B:$B &lt;= 3)) * Parameters!$B$4, 0),0)))"),0.0)</f>
        <v>0</v>
      </c>
      <c r="AB1608" s="32">
        <f>IFERROR(__xludf.DUMMYFUNCTION("IFERROR(((IFERROR(SUM(FILTER('Fund Investment Data'!$V:$V, 'Fund Investment Data'!$C:$C = $C1608, 'Fund Investment Data'!$A:$A = $A1608 - 2, 'Fund Investment Data'!$B:$B &gt;= 4)) * Parameters!$B$4,0) + IFERROR(SUM(FILTER('Fund Investment Data'!$V:$V, 'Fund "&amp;"Investment Data'!$C:$C = $C1608, 'Fund Investment Data'!$A:$A = $A1608 - 1, 'Fund Investment Data'!$B:$B &lt;= 3)) * Parameters!$B$4,0))),0)"),0.0)</f>
        <v>0</v>
      </c>
      <c r="AC1608" s="32">
        <f>IFERROR(__xludf.DUMMYFUNCTION("IFERROR(FILTER($AF:$AF,$C:$C = $C1608,$A:$A = $A1608 - 1,$B:$B = 12),0)"),0.0)</f>
        <v>0</v>
      </c>
      <c r="AD1608" s="32">
        <f t="shared" si="23"/>
        <v>5810.961266</v>
      </c>
      <c r="AE1608" s="32">
        <f t="shared" si="2"/>
        <v>-0.03873403886</v>
      </c>
      <c r="AF1608" s="32"/>
    </row>
    <row r="1609">
      <c r="A1609" s="86">
        <v>2019.0</v>
      </c>
      <c r="B1609" s="87">
        <v>11.0</v>
      </c>
      <c r="C1609" s="88" t="s">
        <v>35</v>
      </c>
      <c r="D1609" s="32"/>
      <c r="E1609" s="93">
        <v>-42161.0</v>
      </c>
      <c r="F1609" s="32"/>
      <c r="G1609" s="93">
        <v>-6562.04</v>
      </c>
      <c r="H1609" s="93">
        <v>28041.51</v>
      </c>
      <c r="I1609" s="93">
        <v>7300.15</v>
      </c>
      <c r="J1609" s="93">
        <v>137902.9</v>
      </c>
      <c r="K1609" s="32"/>
      <c r="L1609" s="32"/>
      <c r="M1609" s="32"/>
      <c r="N1609" s="32"/>
      <c r="O1609" s="93">
        <v>1418508.36</v>
      </c>
      <c r="P1609" s="91">
        <f>IFERROR(__xludf.DUMMYFUNCTION("IFERROR(sum(FILTER($D:$N,$C:$C = $C1609,$A:$A &lt; $A1609,$B:$B = 12)),0) + sum($D1609:$N1609)"),1418507.5900000005)</f>
        <v>1418507.59</v>
      </c>
      <c r="Q1609" s="92">
        <f t="shared" si="1"/>
        <v>0.7699999996</v>
      </c>
      <c r="R1609" s="91">
        <f t="array" ref="R1609">IFERROR(INDEX('Fund YTD Target Values'!$1:$1000, MATCH($C1609,'Fund YTD Target Values'!$A:$A,0), MATCH($A1609,'Fund YTD Target Values'!$1:$1,0)),0)</f>
        <v>1607860.761</v>
      </c>
      <c r="S1609" s="91">
        <f>IFERROR(__xludf.DUMMYFUNCTION("IFERROR(sum(FILTER('Fund Investment Data'!$V:$V, 'Fund Investment Data'!$C:$C = $C1609, 'Fund Investment Data'!$A:$A &lt; $A1609)),0) + IFERROR(sum(FILTER('Fund Investment Data'!$V:$V, 'Fund Investment Data'!$C:$C = $C1609, 'Fund Investment Data'!$A:$A = $A1"&amp;"609, 'Fund Investment Data'!$B:$B &lt;= $B1609)),0)"),1086625.0)</f>
        <v>1086625</v>
      </c>
      <c r="T1609" s="32"/>
      <c r="U1609" s="32"/>
      <c r="V1609" s="32">
        <f>IFERROR(__xludf.DUMMYFUNCTION("$D1609 - IFERROR(FILTER($D:$D,$C:$C = $C1609, $A:$A = $A1609, $B:$B = $B1609 - 1),0)"),0.0)</f>
        <v>0</v>
      </c>
      <c r="W1609" s="93">
        <f>IFERROR(__xludf.DUMMYFUNCTION("$E1609 - IFERROR(FILTER($E:$E,$C:$C = $C1609, $A:$A = $A1609, $B:$B = $B1609 - 1),0)"),0.0)</f>
        <v>0</v>
      </c>
      <c r="X1609" s="91">
        <f>IFERROR(__xludf.DUMMYFUNCTION("iFERROR((FILTER('Fund Investment Data'!$Z:$Z, 'Fund Investment Data'!$C:$C = $C1609, 'Fund Investment Data'!$A:$A = $A1609 - 1, 'Fund Investment Data'!$B:$B = 12) + FILTER('Fund Investment Data'!$AB:$AB, 'Fund Investment Data'!$C:$C = $C1609, 'Fund Invest"&amp;"ment Data'!$A:$A = $A1609 - 1, 'Fund Investment Data'!$B:$B = 12)) * (1 + AVERAGE(FILTER('Inflation Data'!$C:$C,'Inflation Data'!$A:$A = ($A1609 - 2)))) * Parameters!$A$4,0)"),47167.912647909514)</f>
        <v>47167.91265</v>
      </c>
      <c r="Y1609" s="91">
        <f>IFERROR(__xludf.DUMMYFUNCTION("IFERROR((IFERROR(FILTER('Fund Investment Data'!$P:$P,'Fund Investment Data'!$C:$C = $C1609,'Fund Investment Data'!$A:$A = ($A1609 - 2), 'Fund Investment Data'!$B:$B = 12),0) - SUM(FILTER('Fund Investment Data'!$V:$V, 'Fund Investment Data'!$C:$C = $C1609,"&amp;" 'Fund Investment Data'!$A:$A = ($A1609 - 2), 'Fund Investment Data'!$B:$B &gt; 3)))  * Parameters!$B$4 * (1 - Parameters!$A$4),0)"),19792.911060000006)</f>
        <v>19792.91106</v>
      </c>
      <c r="Z1609" s="91">
        <f t="shared" si="24"/>
        <v>66960.82371</v>
      </c>
      <c r="AA1609" s="91">
        <f>IFERROR(__xludf.DUMMYFUNCTION("((IFERROR((SUM(FILTER('Fund Investment Data'!$V:$V, 'Fund Investment Data'!$C:$C = $C1609, 'Fund Investment Data'!$A:$A = $A1609 - 1, 'Fund Investment Data'!$B:$B &gt;= 4, 'Fund Investment Data'!$B:$B &lt;= ($B1609 + 5))) / 12) * ($B1609 - 3) * Parameters!$B$4,"&amp;" 0) + IF($B1609 &gt;= 9, IFERROR(SUM(FILTER('Fund Investment Data'!$V:$V, 'Fund Investment Data'!$C:$C = $C1609, 'Fund Investment Data'!$A:$A = $A1609, 'Fund Investment Data'!$B:$B &lt;= 3)) * Parameters!$B$4, 0),0)))"),0.0)</f>
        <v>0</v>
      </c>
      <c r="AB1609" s="32">
        <f>IFERROR(__xludf.DUMMYFUNCTION("IFERROR(((IFERROR(SUM(FILTER('Fund Investment Data'!$V:$V, 'Fund Investment Data'!$C:$C = $C1609, 'Fund Investment Data'!$A:$A = $A1609 - 2, 'Fund Investment Data'!$B:$B &gt;= 4)) * Parameters!$B$4,0) + IFERROR(SUM(FILTER('Fund Investment Data'!$V:$V, 'Fund "&amp;"Investment Data'!$C:$C = $C1609, 'Fund Investment Data'!$A:$A = $A1609 - 1, 'Fund Investment Data'!$B:$B &lt;= 3)) * Parameters!$B$4,0))),0)"),0.0)</f>
        <v>0</v>
      </c>
      <c r="AC1609" s="32">
        <f>IFERROR(__xludf.DUMMYFUNCTION("IFERROR(FILTER($AF:$AF,$C:$C = $C1609,$A:$A = $A1609 - 1,$B:$B = 12),0)"),0.0)</f>
        <v>0</v>
      </c>
      <c r="AD1609" s="32">
        <f t="shared" si="23"/>
        <v>66960.82371</v>
      </c>
      <c r="AE1609" s="32">
        <f t="shared" si="2"/>
        <v>24799.82371</v>
      </c>
      <c r="AF1609" s="32"/>
    </row>
    <row r="1610">
      <c r="A1610" s="86">
        <v>2019.0</v>
      </c>
      <c r="B1610" s="87">
        <v>11.0</v>
      </c>
      <c r="C1610" s="88" t="s">
        <v>56</v>
      </c>
      <c r="D1610" s="32"/>
      <c r="E1610" s="93">
        <v>-48607.0</v>
      </c>
      <c r="F1610" s="32"/>
      <c r="G1610" s="93">
        <v>-5089.52</v>
      </c>
      <c r="H1610" s="93">
        <v>21719.07</v>
      </c>
      <c r="I1610" s="32"/>
      <c r="J1610" s="93">
        <v>112179.43</v>
      </c>
      <c r="K1610" s="32"/>
      <c r="L1610" s="93">
        <v>-203.94</v>
      </c>
      <c r="M1610" s="32"/>
      <c r="N1610" s="32"/>
      <c r="O1610" s="93">
        <v>1079410.75</v>
      </c>
      <c r="P1610" s="91">
        <f>IFERROR(__xludf.DUMMYFUNCTION("IFERROR(sum(FILTER($D:$N,$C:$C = $C1610,$A:$A &lt; $A1610,$B:$B = 12)),0) + sum($D1610:$N1610)"),1079410.7499999998)</f>
        <v>1079410.75</v>
      </c>
      <c r="Q1610" s="92">
        <f t="shared" si="1"/>
        <v>0.0000000002328306437</v>
      </c>
      <c r="R1610" s="91">
        <f t="array" ref="R1610">IFERROR(INDEX('Fund YTD Target Values'!$1:$1000, MATCH($C1610,'Fund YTD Target Values'!$A:$A,0), MATCH($A1610,'Fund YTD Target Values'!$1:$1,0)),0)</f>
        <v>1079944.217</v>
      </c>
      <c r="S1610" s="91">
        <f>IFERROR(__xludf.DUMMYFUNCTION("IFERROR(sum(FILTER('Fund Investment Data'!$V:$V, 'Fund Investment Data'!$C:$C = $C1610, 'Fund Investment Data'!$A:$A &lt; $A1610)),0) + IFERROR(sum(FILTER('Fund Investment Data'!$V:$V, 'Fund Investment Data'!$C:$C = $C1610, 'Fund Investment Data'!$A:$A = $A1"&amp;"610, 'Fund Investment Data'!$B:$B &lt;= $B1610)),0)"),1000000.0)</f>
        <v>1000000</v>
      </c>
      <c r="T1610" s="32"/>
      <c r="U1610" s="32"/>
      <c r="V1610" s="32">
        <f>IFERROR(__xludf.DUMMYFUNCTION("$D1610 - IFERROR(FILTER($D:$D,$C:$C = $C1610, $A:$A = $A1610, $B:$B = $B1610 - 1),0)"),0.0)</f>
        <v>0</v>
      </c>
      <c r="W1610" s="93">
        <f>IFERROR(__xludf.DUMMYFUNCTION("$E1610 - IFERROR(FILTER($E:$E,$C:$C = $C1610, $A:$A = $A1610, $B:$B = $B1610 - 1),0)"),0.0)</f>
        <v>0</v>
      </c>
      <c r="X1610" s="91">
        <f>IFERROR(__xludf.DUMMYFUNCTION("iFERROR((FILTER('Fund Investment Data'!$Z:$Z, 'Fund Investment Data'!$C:$C = $C1610, 'Fund Investment Data'!$A:$A = $A1610 - 1, 'Fund Investment Data'!$B:$B = 12) + FILTER('Fund Investment Data'!$AB:$AB, 'Fund Investment Data'!$C:$C = $C1610, 'Fund Invest"&amp;"ment Data'!$A:$A = $A1610 - 1, 'Fund Investment Data'!$B:$B = 12)) * (1 + AVERAGE(FILTER('Inflation Data'!$C:$C,'Inflation Data'!$A:$A = ($A1610 - 2)))) * Parameters!$A$4,0)"),33311.397321480836)</f>
        <v>33311.39732</v>
      </c>
      <c r="Y1610" s="91">
        <f>IFERROR(__xludf.DUMMYFUNCTION("IFERROR((IFERROR(FILTER('Fund Investment Data'!$P:$P,'Fund Investment Data'!$C:$C = $C1610,'Fund Investment Data'!$A:$A = ($A1610 - 2), 'Fund Investment Data'!$B:$B = 12),0) - SUM(FILTER('Fund Investment Data'!$V:$V, 'Fund Investment Data'!$C:$C = $C1610,"&amp;" 'Fund Investment Data'!$A:$A = ($A1610 - 2), 'Fund Investment Data'!$B:$B &gt; 3)))  * Parameters!$B$4 * (1 - Parameters!$A$4),0)"),15295.200705)</f>
        <v>15295.20071</v>
      </c>
      <c r="Z1610" s="91">
        <f t="shared" si="24"/>
        <v>48606.59803</v>
      </c>
      <c r="AA1610" s="91">
        <f>IFERROR(__xludf.DUMMYFUNCTION("((IFERROR((SUM(FILTER('Fund Investment Data'!$V:$V, 'Fund Investment Data'!$C:$C = $C1610, 'Fund Investment Data'!$A:$A = $A1610 - 1, 'Fund Investment Data'!$B:$B &gt;= 4, 'Fund Investment Data'!$B:$B &lt;= ($B1610 + 5))) / 12) * ($B1610 - 3) * Parameters!$B$4,"&amp;" 0) + IF($B1610 &gt;= 9, IFERROR(SUM(FILTER('Fund Investment Data'!$V:$V, 'Fund Investment Data'!$C:$C = $C1610, 'Fund Investment Data'!$A:$A = $A1610, 'Fund Investment Data'!$B:$B &lt;= 3)) * Parameters!$B$4, 0),0)))"),0.0)</f>
        <v>0</v>
      </c>
      <c r="AB1610" s="32">
        <f>IFERROR(__xludf.DUMMYFUNCTION("IFERROR(((IFERROR(SUM(FILTER('Fund Investment Data'!$V:$V, 'Fund Investment Data'!$C:$C = $C1610, 'Fund Investment Data'!$A:$A = $A1610 - 2, 'Fund Investment Data'!$B:$B &gt;= 4)) * Parameters!$B$4,0) + IFERROR(SUM(FILTER('Fund Investment Data'!$V:$V, 'Fund "&amp;"Investment Data'!$C:$C = $C1610, 'Fund Investment Data'!$A:$A = $A1610 - 1, 'Fund Investment Data'!$B:$B &lt;= 3)) * Parameters!$B$4,0))),0)"),0.0)</f>
        <v>0</v>
      </c>
      <c r="AC1610" s="32">
        <f>IFERROR(__xludf.DUMMYFUNCTION("IFERROR(FILTER($AF:$AF,$C:$C = $C1610,$A:$A = $A1610 - 1,$B:$B = 12),0)"),0.0)</f>
        <v>0</v>
      </c>
      <c r="AD1610" s="32">
        <f t="shared" si="23"/>
        <v>48606.59803</v>
      </c>
      <c r="AE1610" s="32">
        <f t="shared" si="2"/>
        <v>-0.4019735192</v>
      </c>
      <c r="AF1610" s="32"/>
    </row>
    <row r="1611">
      <c r="A1611" s="86">
        <v>2019.0</v>
      </c>
      <c r="B1611" s="87">
        <v>11.0</v>
      </c>
      <c r="C1611" s="88" t="s">
        <v>57</v>
      </c>
      <c r="D1611" s="32"/>
      <c r="E1611" s="93">
        <v>-135475.0</v>
      </c>
      <c r="F1611" s="32"/>
      <c r="G1611" s="93">
        <v>-9503.1</v>
      </c>
      <c r="H1611" s="93">
        <v>40468.18</v>
      </c>
      <c r="I1611" s="93">
        <v>629.36</v>
      </c>
      <c r="J1611" s="93">
        <v>205556.72</v>
      </c>
      <c r="K1611" s="32"/>
      <c r="L1611" s="32"/>
      <c r="M1611" s="32"/>
      <c r="N1611" s="32"/>
      <c r="O1611" s="93">
        <v>1982190.63</v>
      </c>
      <c r="P1611" s="91">
        <f>IFERROR(__xludf.DUMMYFUNCTION("IFERROR(sum(FILTER($D:$N,$C:$C = $C1611,$A:$A &lt; $A1611,$B:$B = 12)),0) + sum($D1611:$N1611)"),1982190.63)</f>
        <v>1982190.63</v>
      </c>
      <c r="Q1611" s="92">
        <f t="shared" si="1"/>
        <v>0</v>
      </c>
      <c r="R1611" s="91">
        <f t="array" ref="R1611">IFERROR(INDEX('Fund YTD Target Values'!$1:$1000, MATCH($C1611,'Fund YTD Target Values'!$A:$A,0), MATCH($A1611,'Fund YTD Target Values'!$1:$1,0)),0)</f>
        <v>2085975.586</v>
      </c>
      <c r="S1611" s="91">
        <f>IFERROR(__xludf.DUMMYFUNCTION("IFERROR(sum(FILTER('Fund Investment Data'!$V:$V, 'Fund Investment Data'!$C:$C = $C1611, 'Fund Investment Data'!$A:$A &lt; $A1611)),0) + IFERROR(sum(FILTER('Fund Investment Data'!$V:$V, 'Fund Investment Data'!$C:$C = $C1611, 'Fund Investment Data'!$A:$A = $A1"&amp;"611, 'Fund Investment Data'!$B:$B &lt;= $B1611)),0)"),2000000.0)</f>
        <v>2000000</v>
      </c>
      <c r="T1611" s="32"/>
      <c r="U1611" s="32"/>
      <c r="V1611" s="32">
        <f>IFERROR(__xludf.DUMMYFUNCTION("$D1611 - IFERROR(FILTER($D:$D,$C:$C = $C1611, $A:$A = $A1611, $B:$B = $B1611 - 1),0)"),0.0)</f>
        <v>0</v>
      </c>
      <c r="W1611" s="93">
        <f>IFERROR(__xludf.DUMMYFUNCTION("$E1611 - IFERROR(FILTER($E:$E,$C:$C = $C1611, $A:$A = $A1611, $B:$B = $B1611 - 1),0)"),0.0)</f>
        <v>0</v>
      </c>
      <c r="X1611" s="91">
        <f>IFERROR(__xludf.DUMMYFUNCTION("iFERROR((FILTER('Fund Investment Data'!$Z:$Z, 'Fund Investment Data'!$C:$C = $C1611, 'Fund Investment Data'!$A:$A = $A1611 - 1, 'Fund Investment Data'!$B:$B = 12) + FILTER('Fund Investment Data'!$AB:$AB, 'Fund Investment Data'!$C:$C = $C1611, 'Fund Invest"&amp;"ment Data'!$A:$A = $A1611 - 1, 'Fund Investment Data'!$B:$B = 12)) * (1 + AVERAGE(FILTER('Inflation Data'!$C:$C,'Inflation Data'!$A:$A = ($A1611 - 2)))) * Parameters!$A$4,0)"),0.0)</f>
        <v>0</v>
      </c>
      <c r="Y1611" s="91">
        <f>IFERROR(__xludf.DUMMYFUNCTION("IFERROR((IFERROR(FILTER('Fund Investment Data'!$P:$P,'Fund Investment Data'!$C:$C = $C1611,'Fund Investment Data'!$A:$A = ($A1611 - 2), 'Fund Investment Data'!$B:$B = 12),0) - SUM(FILTER('Fund Investment Data'!$V:$V, 'Fund Investment Data'!$C:$C = $C1611,"&amp;" 'Fund Investment Data'!$A:$A = ($A1611 - 2), 'Fund Investment Data'!$B:$B &gt; 3)))  * Parameters!$B$4 * (1 - Parameters!$A$4),0)"),474.91420500000106)</f>
        <v>474.914205</v>
      </c>
      <c r="Z1611" s="91">
        <f t="shared" si="24"/>
        <v>474.914205</v>
      </c>
      <c r="AA1611" s="91">
        <f>IFERROR(__xludf.DUMMYFUNCTION("((IFERROR((SUM(FILTER('Fund Investment Data'!$V:$V, 'Fund Investment Data'!$C:$C = $C1611, 'Fund Investment Data'!$A:$A = $A1611 - 1, 'Fund Investment Data'!$B:$B &gt;= 4, 'Fund Investment Data'!$B:$B &lt;= ($B1611 + 5))) / 12) * ($B1611 - 3) * Parameters!$B$4,"&amp;" 0) + IF($B1611 &gt;= 9, IFERROR(SUM(FILTER('Fund Investment Data'!$V:$V, 'Fund Investment Data'!$C:$C = $C1611, 'Fund Investment Data'!$A:$A = $A1611, 'Fund Investment Data'!$B:$B &lt;= 3)) * Parameters!$B$4, 0),0)))"),0.0)</f>
        <v>0</v>
      </c>
      <c r="AB1611" s="32">
        <f>IFERROR(__xludf.DUMMYFUNCTION("IFERROR(((IFERROR(SUM(FILTER('Fund Investment Data'!$V:$V, 'Fund Investment Data'!$C:$C = $C1611, 'Fund Investment Data'!$A:$A = $A1611 - 2, 'Fund Investment Data'!$B:$B &gt;= 4)) * Parameters!$B$4,0) + IFERROR(SUM(FILTER('Fund Investment Data'!$V:$V, 'Fund "&amp;"Investment Data'!$C:$C = $C1611, 'Fund Investment Data'!$A:$A = $A1611 - 1, 'Fund Investment Data'!$B:$B &lt;= 3)) * Parameters!$B$4,0))),0)"),90000.0)</f>
        <v>90000</v>
      </c>
      <c r="AC1611" s="32">
        <f>IFERROR(__xludf.DUMMYFUNCTION("IFERROR(FILTER($AF:$AF,$C:$C = $C1611,$A:$A = $A1611 - 1,$B:$B = 12),0)"),45000.0)</f>
        <v>45000</v>
      </c>
      <c r="AD1611" s="32">
        <f t="shared" si="23"/>
        <v>135474.9142</v>
      </c>
      <c r="AE1611" s="32">
        <f t="shared" si="2"/>
        <v>-0.08579499999</v>
      </c>
      <c r="AF1611" s="32"/>
    </row>
    <row r="1612">
      <c r="A1612" s="86">
        <v>2019.0</v>
      </c>
      <c r="B1612" s="87">
        <v>11.0</v>
      </c>
      <c r="C1612" s="88" t="s">
        <v>58</v>
      </c>
      <c r="D1612" s="32"/>
      <c r="E1612" s="93">
        <v>-115475.0</v>
      </c>
      <c r="F1612" s="32"/>
      <c r="G1612" s="93">
        <v>-9392.52</v>
      </c>
      <c r="H1612" s="93">
        <v>40058.11</v>
      </c>
      <c r="I1612" s="93">
        <v>631.77</v>
      </c>
      <c r="J1612" s="93">
        <v>205550.01</v>
      </c>
      <c r="K1612" s="32"/>
      <c r="L1612" s="32"/>
      <c r="M1612" s="32"/>
      <c r="N1612" s="32"/>
      <c r="O1612" s="93">
        <v>1981886.82</v>
      </c>
      <c r="P1612" s="91">
        <f>IFERROR(__xludf.DUMMYFUNCTION("IFERROR(sum(FILTER($D:$N,$C:$C = $C1612,$A:$A &lt; $A1612,$B:$B = 12)),0) + sum($D1612:$N1612)"),1981886.82)</f>
        <v>1981886.82</v>
      </c>
      <c r="Q1612" s="92">
        <f t="shared" si="1"/>
        <v>0</v>
      </c>
      <c r="R1612" s="91">
        <f t="array" ref="R1612">IFERROR(INDEX('Fund YTD Target Values'!$1:$1000, MATCH($C1612,'Fund YTD Target Values'!$A:$A,0), MATCH($A1612,'Fund YTD Target Values'!$1:$1,0)),0)</f>
        <v>2085975.586</v>
      </c>
      <c r="S1612" s="91">
        <f>IFERROR(__xludf.DUMMYFUNCTION("IFERROR(sum(FILTER('Fund Investment Data'!$V:$V, 'Fund Investment Data'!$C:$C = $C1612, 'Fund Investment Data'!$A:$A &lt; $A1612)),0) + IFERROR(sum(FILTER('Fund Investment Data'!$V:$V, 'Fund Investment Data'!$C:$C = $C1612, 'Fund Investment Data'!$A:$A = $A1"&amp;"612, 'Fund Investment Data'!$B:$B &lt;= $B1612)),0)"),2000000.0)</f>
        <v>2000000</v>
      </c>
      <c r="T1612" s="32"/>
      <c r="U1612" s="32"/>
      <c r="V1612" s="32">
        <f>IFERROR(__xludf.DUMMYFUNCTION("$D1612 - IFERROR(FILTER($D:$D,$C:$C = $C1612, $A:$A = $A1612, $B:$B = $B1612 - 1),0)"),0.0)</f>
        <v>0</v>
      </c>
      <c r="W1612" s="93">
        <f>IFERROR(__xludf.DUMMYFUNCTION("$E1612 - IFERROR(FILTER($E:$E,$C:$C = $C1612, $A:$A = $A1612, $B:$B = $B1612 - 1),0)"),0.0)</f>
        <v>0</v>
      </c>
      <c r="X1612" s="91">
        <f>IFERROR(__xludf.DUMMYFUNCTION("iFERROR((FILTER('Fund Investment Data'!$Z:$Z, 'Fund Investment Data'!$C:$C = $C1612, 'Fund Investment Data'!$A:$A = $A1612 - 1, 'Fund Investment Data'!$B:$B = 12) + FILTER('Fund Investment Data'!$AB:$AB, 'Fund Investment Data'!$C:$C = $C1612, 'Fund Invest"&amp;"ment Data'!$A:$A = $A1612 - 1, 'Fund Investment Data'!$B:$B = 12)) * (1 + AVERAGE(FILTER('Inflation Data'!$C:$C,'Inflation Data'!$A:$A = ($A1612 - 2)))) * Parameters!$A$4,0)"),0.0)</f>
        <v>0</v>
      </c>
      <c r="Y1612" s="91">
        <f>IFERROR(__xludf.DUMMYFUNCTION("IFERROR((IFERROR(FILTER('Fund Investment Data'!$P:$P,'Fund Investment Data'!$C:$C = $C1612,'Fund Investment Data'!$A:$A = ($A1612 - 2), 'Fund Investment Data'!$B:$B = 12),0) - SUM(FILTER('Fund Investment Data'!$V:$V, 'Fund Investment Data'!$C:$C = $C1612,"&amp;" 'Fund Investment Data'!$A:$A = ($A1612 - 2), 'Fund Investment Data'!$B:$B &gt; 3)))  * Parameters!$B$4 * (1 - Parameters!$A$4),0)"),474.91420500000106)</f>
        <v>474.914205</v>
      </c>
      <c r="Z1612" s="91">
        <f t="shared" si="24"/>
        <v>474.914205</v>
      </c>
      <c r="AA1612" s="91">
        <f>IFERROR(__xludf.DUMMYFUNCTION("((IFERROR((SUM(FILTER('Fund Investment Data'!$V:$V, 'Fund Investment Data'!$C:$C = $C1612, 'Fund Investment Data'!$A:$A = $A1612 - 1, 'Fund Investment Data'!$B:$B &gt;= 4, 'Fund Investment Data'!$B:$B &lt;= ($B1612 + 5))) / 12) * ($B1612 - 3) * Parameters!$B$4,"&amp;" 0) + IF($B1612 &gt;= 9, IFERROR(SUM(FILTER('Fund Investment Data'!$V:$V, 'Fund Investment Data'!$C:$C = $C1612, 'Fund Investment Data'!$A:$A = $A1612, 'Fund Investment Data'!$B:$B &lt;= 3)) * Parameters!$B$4, 0),0)))"),0.0)</f>
        <v>0</v>
      </c>
      <c r="AB1612" s="32">
        <f>IFERROR(__xludf.DUMMYFUNCTION("IFERROR(((IFERROR(SUM(FILTER('Fund Investment Data'!$V:$V, 'Fund Investment Data'!$C:$C = $C1612, 'Fund Investment Data'!$A:$A = $A1612 - 2, 'Fund Investment Data'!$B:$B &gt;= 4)) * Parameters!$B$4,0) + IFERROR(SUM(FILTER('Fund Investment Data'!$V:$V, 'Fund "&amp;"Investment Data'!$C:$C = $C1612, 'Fund Investment Data'!$A:$A = $A1612 - 1, 'Fund Investment Data'!$B:$B &lt;= 3)) * Parameters!$B$4,0))),0)"),90000.0)</f>
        <v>90000</v>
      </c>
      <c r="AC1612" s="32">
        <f>IFERROR(__xludf.DUMMYFUNCTION("IFERROR(FILTER($AF:$AF,$C:$C = $C1612,$A:$A = $A1612 - 1,$B:$B = 12),0)"),25000.0)</f>
        <v>25000</v>
      </c>
      <c r="AD1612" s="32">
        <f t="shared" si="23"/>
        <v>115474.9142</v>
      </c>
      <c r="AE1612" s="32">
        <f t="shared" si="2"/>
        <v>-0.08579499999</v>
      </c>
      <c r="AF1612" s="32"/>
    </row>
    <row r="1613">
      <c r="A1613" s="86">
        <v>2019.0</v>
      </c>
      <c r="B1613" s="87">
        <v>12.0</v>
      </c>
      <c r="C1613" s="103" t="s">
        <v>26</v>
      </c>
      <c r="D1613" s="104">
        <v>7128.01</v>
      </c>
      <c r="E1613" s="104">
        <v>-16730.0</v>
      </c>
      <c r="F1613" s="104">
        <v>0.0</v>
      </c>
      <c r="G1613" s="104">
        <v>-1589.45</v>
      </c>
      <c r="H1613" s="104">
        <v>8356.13</v>
      </c>
      <c r="I1613" s="104">
        <v>10121.17</v>
      </c>
      <c r="J1613" s="104">
        <v>37055.83</v>
      </c>
      <c r="K1613" s="32"/>
      <c r="L1613" s="32"/>
      <c r="M1613" s="32"/>
      <c r="N1613" s="32"/>
      <c r="O1613" s="104">
        <v>353170.55</v>
      </c>
      <c r="P1613" s="91">
        <f>IFERROR(__xludf.DUMMYFUNCTION("IFERROR(sum(FILTER($D:$N,$C:$C = $C1613,$A:$A &lt; $A1613,$B:$B = 12)),0) + sum($D1613:$N1613)"),353169.08999999997)</f>
        <v>353169.09</v>
      </c>
      <c r="Q1613" s="92">
        <f t="shared" si="1"/>
        <v>1.46</v>
      </c>
      <c r="R1613" s="91">
        <f t="array" ref="R1613">IFERROR(INDEX('Fund YTD Target Values'!$1:$1000, MATCH($C1613,'Fund YTD Target Values'!$A:$A,0), MATCH($A1613,'Fund YTD Target Values'!$1:$1,0)),0)</f>
        <v>392089.6861</v>
      </c>
      <c r="S1613" s="91">
        <f>IFERROR(__xludf.DUMMYFUNCTION("IFERROR(sum(FILTER('Fund Investment Data'!$V:$V, 'Fund Investment Data'!$C:$C = $C1613, 'Fund Investment Data'!$A:$A &lt; $A1613)),0) + IFERROR(sum(FILTER('Fund Investment Data'!$V:$V, 'Fund Investment Data'!$C:$C = $C1613, 'Fund Investment Data'!$A:$A = $A1"&amp;"613, 'Fund Investment Data'!$B:$B &lt;= $B1613)),0)"),317377.01)</f>
        <v>317377.01</v>
      </c>
      <c r="T1613" s="32"/>
      <c r="U1613" s="32"/>
      <c r="V1613" s="32">
        <f>IFERROR(__xludf.DUMMYFUNCTION("$D1613 - IFERROR(FILTER($D:$D,$C:$C = $C1613, $A:$A = $A1613, $B:$B = $B1613 - 1),0)"),0.010000000000218279)</f>
        <v>0.01</v>
      </c>
      <c r="W1613" s="93">
        <f>IFERROR(__xludf.DUMMYFUNCTION("$E1613 - IFERROR(FILTER($E:$E,$C:$C = $C1613, $A:$A = $A1613, $B:$B = $B1613 - 1),0)"),0.0)</f>
        <v>0</v>
      </c>
      <c r="X1613" s="91">
        <f>IFERROR(__xludf.DUMMYFUNCTION("iFERROR((FILTER('Fund Investment Data'!$Z:$Z, 'Fund Investment Data'!$C:$C = $C1613, 'Fund Investment Data'!$A:$A = $A1613 - 1, 'Fund Investment Data'!$B:$B = 12) + FILTER('Fund Investment Data'!$AB:$AB, 'Fund Investment Data'!$C:$C = $C1613, 'Fund Invest"&amp;"ment Data'!$A:$A = $A1613 - 1, 'Fund Investment Data'!$B:$B = 12)) * (1 + AVERAGE(FILTER('Inflation Data'!$C:$C,'Inflation Data'!$A:$A = ($A1613 - 2)))) * Parameters!$A$4,0)"),11342.657736026731)</f>
        <v>11342.65774</v>
      </c>
      <c r="Y1613" s="91">
        <f>IFERROR(__xludf.DUMMYFUNCTION("IFERROR((IFERROR(FILTER('Fund Investment Data'!$P:$P,'Fund Investment Data'!$C:$C = $C1613,'Fund Investment Data'!$A:$A = ($A1613 - 2), 'Fund Investment Data'!$B:$B = 12),0) - SUM(FILTER('Fund Investment Data'!$V:$V, 'Fund Investment Data'!$C:$C = $C1613,"&amp;" 'Fund Investment Data'!$A:$A = ($A1613 - 2), 'Fund Investment Data'!$B:$B &gt; 3)))  * Parameters!$B$4 * (1 - Parameters!$A$4),0)"),4477.69296)</f>
        <v>4477.69296</v>
      </c>
      <c r="Z1613" s="91">
        <f t="shared" si="24"/>
        <v>15820.3507</v>
      </c>
      <c r="AA1613" s="91">
        <f>IFERROR(__xludf.DUMMYFUNCTION("((IFERROR((SUM(FILTER('Fund Investment Data'!$V:$V, 'Fund Investment Data'!$C:$C = $C1613, 'Fund Investment Data'!$A:$A = $A1613 - 1, 'Fund Investment Data'!$B:$B &gt;= 4, 'Fund Investment Data'!$B:$B &lt;= ($B1613 + 5))) / 12) * ($B1613 - 3) * Parameters!$B$4,"&amp;" 0) + IF($B1613 &gt;= 9, IFERROR(SUM(FILTER('Fund Investment Data'!$V:$V, 'Fund Investment Data'!$C:$C = $C1613, 'Fund Investment Data'!$A:$A = $A1613, 'Fund Investment Data'!$B:$B &lt;= 3)) * Parameters!$B$4, 0),0)))"),320.76)</f>
        <v>320.76</v>
      </c>
      <c r="AB1613" s="32">
        <f>IFERROR(__xludf.DUMMYFUNCTION("IFERROR(((IFERROR(SUM(FILTER('Fund Investment Data'!$V:$V, 'Fund Investment Data'!$C:$C = $C1613, 'Fund Investment Data'!$A:$A = $A1613 - 2, 'Fund Investment Data'!$B:$B &gt;= 4)) * Parameters!$B$4,0) + IFERROR(SUM(FILTER('Fund Investment Data'!$V:$V, 'Fund "&amp;"Investment Data'!$C:$C = $C1613, 'Fund Investment Data'!$A:$A = $A1613 - 1, 'Fund Investment Data'!$B:$B &lt;= 3)) * Parameters!$B$4,0))),0)"),829.755)</f>
        <v>829.755</v>
      </c>
      <c r="AC1613" s="32">
        <f>IFERROR(__xludf.DUMMYFUNCTION("IFERROR(FILTER($AF:$AF,$C:$C = $C1613,$A:$A = $A1613 - 1,$B:$B = 12),0)"),0.0)</f>
        <v>0</v>
      </c>
      <c r="AD1613" s="32">
        <f t="shared" si="23"/>
        <v>16970.8657</v>
      </c>
      <c r="AE1613" s="32">
        <f t="shared" si="2"/>
        <v>240.865696</v>
      </c>
      <c r="AF1613" s="32"/>
    </row>
    <row r="1614">
      <c r="A1614" s="86">
        <v>2019.0</v>
      </c>
      <c r="B1614" s="87">
        <v>12.0</v>
      </c>
      <c r="C1614" s="103" t="s">
        <v>27</v>
      </c>
      <c r="D1614" s="104">
        <v>0.0</v>
      </c>
      <c r="E1614" s="104">
        <v>-14089.0</v>
      </c>
      <c r="F1614" s="104">
        <v>0.0</v>
      </c>
      <c r="G1614" s="104">
        <v>-1369.24</v>
      </c>
      <c r="H1614" s="104">
        <v>7208.93</v>
      </c>
      <c r="I1614" s="104">
        <v>12179.4</v>
      </c>
      <c r="J1614" s="104">
        <v>28839.3</v>
      </c>
      <c r="K1614" s="32"/>
      <c r="L1614" s="32"/>
      <c r="M1614" s="32"/>
      <c r="N1614" s="32"/>
      <c r="O1614" s="104">
        <v>303652.86</v>
      </c>
      <c r="P1614" s="91">
        <f>IFERROR(__xludf.DUMMYFUNCTION("IFERROR(sum(FILTER($D:$N,$C:$C = $C1614,$A:$A &lt; $A1614,$B:$B = 12)),0) + sum($D1614:$N1614)"),303653.20000000007)</f>
        <v>303653.2</v>
      </c>
      <c r="Q1614" s="92">
        <f t="shared" si="1"/>
        <v>-0.3400000001</v>
      </c>
      <c r="R1614" s="91">
        <f t="array" ref="R1614">IFERROR(INDEX('Fund YTD Target Values'!$1:$1000, MATCH($C1614,'Fund YTD Target Values'!$A:$A,0), MATCH($A1614,'Fund YTD Target Values'!$1:$1,0)),0)</f>
        <v>400423.4941</v>
      </c>
      <c r="S1614" s="91">
        <f>IFERROR(__xludf.DUMMYFUNCTION("IFERROR(sum(FILTER('Fund Investment Data'!$V:$V, 'Fund Investment Data'!$C:$C = $C1614, 'Fund Investment Data'!$A:$A &lt; $A1614)),0) + IFERROR(sum(FILTER('Fund Investment Data'!$V:$V, 'Fund Investment Data'!$C:$C = $C1614, 'Fund Investment Data'!$A:$A = $A1"&amp;"614, 'Fund Investment Data'!$B:$B &lt;= $B1614)),0)"),276213.69999999995)</f>
        <v>276213.7</v>
      </c>
      <c r="T1614" s="32"/>
      <c r="U1614" s="32"/>
      <c r="V1614" s="32">
        <f>IFERROR(__xludf.DUMMYFUNCTION("$D1614 - IFERROR(FILTER($D:$D,$C:$C = $C1614, $A:$A = $A1614, $B:$B = $B1614 - 1),0)"),0.0)</f>
        <v>0</v>
      </c>
      <c r="W1614" s="93">
        <f>IFERROR(__xludf.DUMMYFUNCTION("$E1614 - IFERROR(FILTER($E:$E,$C:$C = $C1614, $A:$A = $A1614, $B:$B = $B1614 - 1),0)"),0.0)</f>
        <v>0</v>
      </c>
      <c r="X1614" s="91">
        <f>IFERROR(__xludf.DUMMYFUNCTION("iFERROR((FILTER('Fund Investment Data'!$Z:$Z, 'Fund Investment Data'!$C:$C = $C1614, 'Fund Investment Data'!$A:$A = $A1614 - 1, 'Fund Investment Data'!$B:$B = 12) + FILTER('Fund Investment Data'!$AB:$AB, 'Fund Investment Data'!$C:$C = $C1614, 'Fund Invest"&amp;"ment Data'!$A:$A = $A1614 - 1, 'Fund Investment Data'!$B:$B = 12)) * (1 + AVERAGE(FILTER('Inflation Data'!$C:$C,'Inflation Data'!$A:$A = ($A1614 - 2)))) * Parameters!$A$4,0)"),9924.42530607715)</f>
        <v>9924.425306</v>
      </c>
      <c r="Y1614" s="91">
        <f>IFERROR(__xludf.DUMMYFUNCTION("IFERROR((IFERROR(FILTER('Fund Investment Data'!$P:$P,'Fund Investment Data'!$C:$C = $C1614,'Fund Investment Data'!$A:$A = ($A1614 - 2), 'Fund Investment Data'!$B:$B = 12),0) - SUM(FILTER('Fund Investment Data'!$V:$V, 'Fund Investment Data'!$C:$C = $C1614,"&amp;" 'Fund Investment Data'!$A:$A = ($A1614 - 2), 'Fund Investment Data'!$B:$B &gt; 3)))  * Parameters!$B$4 * (1 - Parameters!$A$4),0)"),4164.5529000000015)</f>
        <v>4164.5529</v>
      </c>
      <c r="Z1614" s="91">
        <f t="shared" si="24"/>
        <v>14088.97821</v>
      </c>
      <c r="AA1614" s="91">
        <f>IFERROR(__xludf.DUMMYFUNCTION("((IFERROR((SUM(FILTER('Fund Investment Data'!$V:$V, 'Fund Investment Data'!$C:$C = $C1614, 'Fund Investment Data'!$A:$A = $A1614 - 1, 'Fund Investment Data'!$B:$B &gt;= 4, 'Fund Investment Data'!$B:$B &lt;= ($B1614 + 5))) / 12) * ($B1614 - 3) * Parameters!$B$4,"&amp;" 0) + IF($B1614 &gt;= 9, IFERROR(SUM(FILTER('Fund Investment Data'!$V:$V, 'Fund Investment Data'!$C:$C = $C1614, 'Fund Investment Data'!$A:$A = $A1614, 'Fund Investment Data'!$B:$B &lt;= 3)) * Parameters!$B$4, 0),0)))"),0.0)</f>
        <v>0</v>
      </c>
      <c r="AB1614" s="32">
        <f>IFERROR(__xludf.DUMMYFUNCTION("IFERROR(((IFERROR(SUM(FILTER('Fund Investment Data'!$V:$V, 'Fund Investment Data'!$C:$C = $C1614, 'Fund Investment Data'!$A:$A = $A1614 - 2, 'Fund Investment Data'!$B:$B &gt;= 4)) * Parameters!$B$4,0) + IFERROR(SUM(FILTER('Fund Investment Data'!$V:$V, 'Fund "&amp;"Investment Data'!$C:$C = $C1614, 'Fund Investment Data'!$A:$A = $A1614 - 1, 'Fund Investment Data'!$B:$B &lt;= 3)) * Parameters!$B$4,0))),0)"),0.0)</f>
        <v>0</v>
      </c>
      <c r="AC1614" s="32">
        <f>IFERROR(__xludf.DUMMYFUNCTION("IFERROR(FILTER($AF:$AF,$C:$C = $C1614,$A:$A = $A1614 - 1,$B:$B = 12),0)"),0.0)</f>
        <v>0</v>
      </c>
      <c r="AD1614" s="32">
        <f t="shared" si="23"/>
        <v>14088.97821</v>
      </c>
      <c r="AE1614" s="32">
        <f t="shared" si="2"/>
        <v>-0.02179392285</v>
      </c>
      <c r="AF1614" s="32"/>
    </row>
    <row r="1615">
      <c r="A1615" s="86">
        <v>2019.0</v>
      </c>
      <c r="B1615" s="87">
        <v>12.0</v>
      </c>
      <c r="C1615" s="103" t="s">
        <v>28</v>
      </c>
      <c r="D1615" s="104">
        <v>0.0</v>
      </c>
      <c r="E1615" s="104">
        <v>-151137.0</v>
      </c>
      <c r="F1615" s="104">
        <v>0.0</v>
      </c>
      <c r="G1615" s="104">
        <v>-14612.8</v>
      </c>
      <c r="H1615" s="104">
        <v>77026.14</v>
      </c>
      <c r="I1615" s="104">
        <v>130876.63</v>
      </c>
      <c r="J1615" s="104">
        <v>309426.6</v>
      </c>
      <c r="K1615" s="32"/>
      <c r="L1615" s="32"/>
      <c r="M1615" s="32"/>
      <c r="N1615" s="32"/>
      <c r="O1615" s="104">
        <v>3253819.94</v>
      </c>
      <c r="P1615" s="91">
        <f>IFERROR(__xludf.DUMMYFUNCTION("IFERROR(sum(FILTER($D:$N,$C:$C = $C1615,$A:$A &lt; $A1615,$B:$B = 12)),0) + sum($D1615:$N1615)"),3253819.01)</f>
        <v>3253819.01</v>
      </c>
      <c r="Q1615" s="92">
        <f t="shared" si="1"/>
        <v>0.9300000002</v>
      </c>
      <c r="R1615" s="91">
        <f t="array" ref="R1615">IFERROR(INDEX('Fund YTD Target Values'!$1:$1000, MATCH($C1615,'Fund YTD Target Values'!$A:$A,0), MATCH($A1615,'Fund YTD Target Values'!$1:$1,0)),0)</f>
        <v>3910070.897</v>
      </c>
      <c r="S1615" s="91">
        <f>IFERROR(__xludf.DUMMYFUNCTION("IFERROR(sum(FILTER('Fund Investment Data'!$V:$V, 'Fund Investment Data'!$C:$C = $C1615, 'Fund Investment Data'!$A:$A &lt; $A1615)),0) + IFERROR(sum(FILTER('Fund Investment Data'!$V:$V, 'Fund Investment Data'!$C:$C = $C1615, 'Fund Investment Data'!$A:$A = $A1"&amp;"615, 'Fund Investment Data'!$B:$B &lt;= $B1615)),0)"),2960091.25)</f>
        <v>2960091.25</v>
      </c>
      <c r="T1615" s="32"/>
      <c r="U1615" s="32"/>
      <c r="V1615" s="32">
        <f>IFERROR(__xludf.DUMMYFUNCTION("$D1615 - IFERROR(FILTER($D:$D,$C:$C = $C1615, $A:$A = $A1615, $B:$B = $B1615 - 1),0)"),0.0)</f>
        <v>0</v>
      </c>
      <c r="W1615" s="93">
        <f>IFERROR(__xludf.DUMMYFUNCTION("$E1615 - IFERROR(FILTER($E:$E,$C:$C = $C1615, $A:$A = $A1615, $B:$B = $B1615 - 1),0)"),0.0)</f>
        <v>0</v>
      </c>
      <c r="X1615" s="91">
        <f>IFERROR(__xludf.DUMMYFUNCTION("iFERROR((FILTER('Fund Investment Data'!$Z:$Z, 'Fund Investment Data'!$C:$C = $C1615, 'Fund Investment Data'!$A:$A = $A1615 - 1, 'Fund Investment Data'!$B:$B = 12) + FILTER('Fund Investment Data'!$AB:$AB, 'Fund Investment Data'!$C:$C = $C1615, 'Fund Invest"&amp;"ment Data'!$A:$A = $A1615 - 1, 'Fund Investment Data'!$B:$B = 12)) * (1 + AVERAGE(FILTER('Inflation Data'!$C:$C,'Inflation Data'!$A:$A = ($A1615 - 2)))) * Parameters!$A$4,0)"),106462.6298445185)</f>
        <v>106462.6298</v>
      </c>
      <c r="Y1615" s="91">
        <f>IFERROR(__xludf.DUMMYFUNCTION("IFERROR((IFERROR(FILTER('Fund Investment Data'!$P:$P,'Fund Investment Data'!$C:$C = $C1615,'Fund Investment Data'!$A:$A = ($A1615 - 2), 'Fund Investment Data'!$B:$B = 12),0) - SUM(FILTER('Fund Investment Data'!$V:$V, 'Fund Investment Data'!$C:$C = $C1615,"&amp;" 'Fund Investment Data'!$A:$A = ($A1615 - 2), 'Fund Investment Data'!$B:$B &gt; 3)))  * Parameters!$B$4 * (1 - Parameters!$A$4),0)"),44674.55194500001)</f>
        <v>44674.55195</v>
      </c>
      <c r="Z1615" s="91">
        <f t="shared" si="24"/>
        <v>151137.1818</v>
      </c>
      <c r="AA1615" s="91">
        <f>IFERROR(__xludf.DUMMYFUNCTION("((IFERROR((SUM(FILTER('Fund Investment Data'!$V:$V, 'Fund Investment Data'!$C:$C = $C1615, 'Fund Investment Data'!$A:$A = $A1615 - 1, 'Fund Investment Data'!$B:$B &gt;= 4, 'Fund Investment Data'!$B:$B &lt;= ($B1615 + 5))) / 12) * ($B1615 - 3) * Parameters!$B$4,"&amp;" 0) + IF($B1615 &gt;= 9, IFERROR(SUM(FILTER('Fund Investment Data'!$V:$V, 'Fund Investment Data'!$C:$C = $C1615, 'Fund Investment Data'!$A:$A = $A1615, 'Fund Investment Data'!$B:$B &lt;= 3)) * Parameters!$B$4, 0),0)))"),0.0)</f>
        <v>0</v>
      </c>
      <c r="AB1615" s="32">
        <f>IFERROR(__xludf.DUMMYFUNCTION("IFERROR(((IFERROR(SUM(FILTER('Fund Investment Data'!$V:$V, 'Fund Investment Data'!$C:$C = $C1615, 'Fund Investment Data'!$A:$A = $A1615 - 2, 'Fund Investment Data'!$B:$B &gt;= 4)) * Parameters!$B$4,0) + IFERROR(SUM(FILTER('Fund Investment Data'!$V:$V, 'Fund "&amp;"Investment Data'!$C:$C = $C1615, 'Fund Investment Data'!$A:$A = $A1615 - 1, 'Fund Investment Data'!$B:$B &lt;= 3)) * Parameters!$B$4,0))),0)"),0.0)</f>
        <v>0</v>
      </c>
      <c r="AC1615" s="32">
        <f>IFERROR(__xludf.DUMMYFUNCTION("IFERROR(FILTER($AF:$AF,$C:$C = $C1615,$A:$A = $A1615 - 1,$B:$B = 12),0)"),0.0)</f>
        <v>0</v>
      </c>
      <c r="AD1615" s="32">
        <f t="shared" si="23"/>
        <v>151137.1818</v>
      </c>
      <c r="AE1615" s="32">
        <f t="shared" si="2"/>
        <v>0.1817895185</v>
      </c>
      <c r="AF1615" s="32"/>
    </row>
    <row r="1616">
      <c r="A1616" s="86">
        <v>2019.0</v>
      </c>
      <c r="B1616" s="87">
        <v>12.0</v>
      </c>
      <c r="C1616" s="103" t="s">
        <v>46</v>
      </c>
      <c r="D1616" s="104">
        <v>0.0</v>
      </c>
      <c r="E1616" s="104">
        <v>-17972.0</v>
      </c>
      <c r="F1616" s="104">
        <v>0.0</v>
      </c>
      <c r="G1616" s="104">
        <v>-1679.62</v>
      </c>
      <c r="H1616" s="104">
        <v>8870.49</v>
      </c>
      <c r="I1616" s="104">
        <v>15206.35</v>
      </c>
      <c r="J1616" s="104">
        <v>35493.48</v>
      </c>
      <c r="K1616" s="32"/>
      <c r="L1616" s="32"/>
      <c r="M1616" s="32"/>
      <c r="N1616" s="32"/>
      <c r="O1616" s="104">
        <v>374709.66</v>
      </c>
      <c r="P1616" s="91">
        <f>IFERROR(__xludf.DUMMYFUNCTION("IFERROR(sum(FILTER($D:$N,$C:$C = $C1616,$A:$A &lt; $A1616,$B:$B = 12)),0) + sum($D1616:$N1616)"),374710.08)</f>
        <v>374710.08</v>
      </c>
      <c r="Q1616" s="92">
        <f t="shared" si="1"/>
        <v>-0.42</v>
      </c>
      <c r="R1616" s="91">
        <f t="array" ref="R1616">IFERROR(INDEX('Fund YTD Target Values'!$1:$1000, MATCH($C1616,'Fund YTD Target Values'!$A:$A,0), MATCH($A1616,'Fund YTD Target Values'!$1:$1,0)),0)</f>
        <v>464818.8536</v>
      </c>
      <c r="S1616" s="91">
        <f>IFERROR(__xludf.DUMMYFUNCTION("IFERROR(sum(FILTER('Fund Investment Data'!$V:$V, 'Fund Investment Data'!$C:$C = $C1616, 'Fund Investment Data'!$A:$A &lt; $A1616)),0) + IFERROR(sum(FILTER('Fund Investment Data'!$V:$V, 'Fund Investment Data'!$C:$C = $C1616, 'Fund Investment Data'!$A:$A = $A1"&amp;"616, 'Fund Investment Data'!$B:$B &lt;= $B1616)),0)"),366400.0)</f>
        <v>366400</v>
      </c>
      <c r="T1616" s="32"/>
      <c r="U1616" s="32"/>
      <c r="V1616" s="32">
        <f>IFERROR(__xludf.DUMMYFUNCTION("$D1616 - IFERROR(FILTER($D:$D,$C:$C = $C1616, $A:$A = $A1616, $B:$B = $B1616 - 1),0)"),0.0)</f>
        <v>0</v>
      </c>
      <c r="W1616" s="93">
        <f>IFERROR(__xludf.DUMMYFUNCTION("$E1616 - IFERROR(FILTER($E:$E,$C:$C = $C1616, $A:$A = $A1616, $B:$B = $B1616 - 1),0)"),0.0)</f>
        <v>0</v>
      </c>
      <c r="X1616" s="91">
        <f>IFERROR(__xludf.DUMMYFUNCTION("iFERROR((FILTER('Fund Investment Data'!$Z:$Z, 'Fund Investment Data'!$C:$C = $C1616, 'Fund Investment Data'!$A:$A = $A1616 - 1, 'Fund Investment Data'!$B:$B = 12) + FILTER('Fund Investment Data'!$AB:$AB, 'Fund Investment Data'!$C:$C = $C1616, 'Fund Invest"&amp;"ment Data'!$A:$A = $A1616 - 1, 'Fund Investment Data'!$B:$B = 12)) * (1 + AVERAGE(FILTER('Inflation Data'!$C:$C,'Inflation Data'!$A:$A = ($A1616 - 2)))) * Parameters!$A$4,0)"),12659.715432364716)</f>
        <v>12659.71543</v>
      </c>
      <c r="Y1616" s="91">
        <f>IFERROR(__xludf.DUMMYFUNCTION("IFERROR((IFERROR(FILTER('Fund Investment Data'!$P:$P,'Fund Investment Data'!$C:$C = $C1616,'Fund Investment Data'!$A:$A = ($A1616 - 2), 'Fund Investment Data'!$B:$B = 12),0) - SUM(FILTER('Fund Investment Data'!$V:$V, 'Fund Investment Data'!$C:$C = $C1616,"&amp;" 'Fund Investment Data'!$A:$A = ($A1616 - 2), 'Fund Investment Data'!$B:$B &gt; 3)))  * Parameters!$B$4 * (1 - Parameters!$A$4),0)"),5312.3534100000015)</f>
        <v>5312.35341</v>
      </c>
      <c r="Z1616" s="91">
        <f t="shared" si="24"/>
        <v>17972.06884</v>
      </c>
      <c r="AA1616" s="91">
        <f>IFERROR(__xludf.DUMMYFUNCTION("((IFERROR((SUM(FILTER('Fund Investment Data'!$V:$V, 'Fund Investment Data'!$C:$C = $C1616, 'Fund Investment Data'!$A:$A = $A1616 - 1, 'Fund Investment Data'!$B:$B &gt;= 4, 'Fund Investment Data'!$B:$B &lt;= ($B1616 + 5))) / 12) * ($B1616 - 3) * Parameters!$B$4,"&amp;" 0) + IF($B1616 &gt;= 9, IFERROR(SUM(FILTER('Fund Investment Data'!$V:$V, 'Fund Investment Data'!$C:$C = $C1616, 'Fund Investment Data'!$A:$A = $A1616, 'Fund Investment Data'!$B:$B &lt;= 3)) * Parameters!$B$4, 0),0)))"),0.0)</f>
        <v>0</v>
      </c>
      <c r="AB1616" s="32">
        <f>IFERROR(__xludf.DUMMYFUNCTION("IFERROR(((IFERROR(SUM(FILTER('Fund Investment Data'!$V:$V, 'Fund Investment Data'!$C:$C = $C1616, 'Fund Investment Data'!$A:$A = $A1616 - 2, 'Fund Investment Data'!$B:$B &gt;= 4)) * Parameters!$B$4,0) + IFERROR(SUM(FILTER('Fund Investment Data'!$V:$V, 'Fund "&amp;"Investment Data'!$C:$C = $C1616, 'Fund Investment Data'!$A:$A = $A1616 - 1, 'Fund Investment Data'!$B:$B &lt;= 3)) * Parameters!$B$4,0))),0)"),0.0)</f>
        <v>0</v>
      </c>
      <c r="AC1616" s="32">
        <f>IFERROR(__xludf.DUMMYFUNCTION("IFERROR(FILTER($AF:$AF,$C:$C = $C1616,$A:$A = $A1616 - 1,$B:$B = 12),0)"),0.0)</f>
        <v>0</v>
      </c>
      <c r="AD1616" s="32">
        <f t="shared" si="23"/>
        <v>17972.06884</v>
      </c>
      <c r="AE1616" s="32">
        <f t="shared" si="2"/>
        <v>0.06884236472</v>
      </c>
      <c r="AF1616" s="32"/>
    </row>
    <row r="1617">
      <c r="A1617" s="86">
        <v>2019.0</v>
      </c>
      <c r="B1617" s="87">
        <v>12.0</v>
      </c>
      <c r="C1617" s="103" t="s">
        <v>36</v>
      </c>
      <c r="D1617" s="104">
        <v>0.0</v>
      </c>
      <c r="E1617" s="104">
        <v>-20587.0</v>
      </c>
      <c r="F1617" s="104">
        <v>0.0</v>
      </c>
      <c r="G1617" s="104">
        <v>-1977.84</v>
      </c>
      <c r="H1617" s="104">
        <v>10434.09</v>
      </c>
      <c r="I1617" s="104">
        <v>17578.96</v>
      </c>
      <c r="J1617" s="104">
        <v>42041.2</v>
      </c>
      <c r="K1617" s="32"/>
      <c r="L1617" s="32"/>
      <c r="M1617" s="32"/>
      <c r="N1617" s="32"/>
      <c r="O1617" s="104">
        <v>441420.6</v>
      </c>
      <c r="P1617" s="91">
        <f>IFERROR(__xludf.DUMMYFUNCTION("IFERROR(sum(FILTER($D:$N,$C:$C = $C1617,$A:$A &lt; $A1617,$B:$B = 12)),0) + sum($D1617:$N1617)"),441420.14999999997)</f>
        <v>441420.15</v>
      </c>
      <c r="Q1617" s="92">
        <f t="shared" si="1"/>
        <v>0.45</v>
      </c>
      <c r="R1617" s="91">
        <f t="array" ref="R1617">IFERROR(INDEX('Fund YTD Target Values'!$1:$1000, MATCH($C1617,'Fund YTD Target Values'!$A:$A,0), MATCH($A1617,'Fund YTD Target Values'!$1:$1,0)),0)</f>
        <v>647000.627</v>
      </c>
      <c r="S1617" s="91">
        <f>IFERROR(__xludf.DUMMYFUNCTION("IFERROR(sum(FILTER('Fund Investment Data'!$V:$V, 'Fund Investment Data'!$C:$C = $C1617, 'Fund Investment Data'!$A:$A &lt; $A1617)),0) + IFERROR(sum(FILTER('Fund Investment Data'!$V:$V, 'Fund Investment Data'!$C:$C = $C1617, 'Fund Investment Data'!$A:$A = $A1"&amp;"617, 'Fund Investment Data'!$B:$B &lt;= $B1617)),0)"),429067.24)</f>
        <v>429067.24</v>
      </c>
      <c r="T1617" s="32"/>
      <c r="U1617" s="32"/>
      <c r="V1617" s="32">
        <f>IFERROR(__xludf.DUMMYFUNCTION("$D1617 - IFERROR(FILTER($D:$D,$C:$C = $C1617, $A:$A = $A1617, $B:$B = $B1617 - 1),0)"),0.0)</f>
        <v>0</v>
      </c>
      <c r="W1617" s="93">
        <f>IFERROR(__xludf.DUMMYFUNCTION("$E1617 - IFERROR(FILTER($E:$E,$C:$C = $C1617, $A:$A = $A1617, $B:$B = $B1617 - 1),0)"),0.0)</f>
        <v>0</v>
      </c>
      <c r="X1617" s="91">
        <f>IFERROR(__xludf.DUMMYFUNCTION("iFERROR((FILTER('Fund Investment Data'!$Z:$Z, 'Fund Investment Data'!$C:$C = $C1617, 'Fund Investment Data'!$A:$A = $A1617 - 1, 'Fund Investment Data'!$B:$B = 12) + FILTER('Fund Investment Data'!$AB:$AB, 'Fund Investment Data'!$C:$C = $C1617, 'Fund Invest"&amp;"ment Data'!$A:$A = $A1617 - 1, 'Fund Investment Data'!$B:$B = 12)) * (1 + AVERAGE(FILTER('Inflation Data'!$C:$C,'Inflation Data'!$A:$A = ($A1617 - 2)))) * Parameters!$A$4,0)"),14501.42849435059)</f>
        <v>14501.42849</v>
      </c>
      <c r="Y1617" s="91">
        <f>IFERROR(__xludf.DUMMYFUNCTION("IFERROR((IFERROR(FILTER('Fund Investment Data'!$P:$P,'Fund Investment Data'!$C:$C = $C1617,'Fund Investment Data'!$A:$A = ($A1617 - 2), 'Fund Investment Data'!$B:$B = 12),0) - SUM(FILTER('Fund Investment Data'!$V:$V, 'Fund Investment Data'!$C:$C = $C1617,"&amp;" 'Fund Investment Data'!$A:$A = ($A1617 - 2), 'Fund Investment Data'!$B:$B &gt; 3)))  * Parameters!$B$4 * (1 - Parameters!$A$4),0)"),6085.1852100000015)</f>
        <v>6085.18521</v>
      </c>
      <c r="Z1617" s="91">
        <f t="shared" si="24"/>
        <v>20586.6137</v>
      </c>
      <c r="AA1617" s="91">
        <f>IFERROR(__xludf.DUMMYFUNCTION("((IFERROR((SUM(FILTER('Fund Investment Data'!$V:$V, 'Fund Investment Data'!$C:$C = $C1617, 'Fund Investment Data'!$A:$A = $A1617 - 1, 'Fund Investment Data'!$B:$B &gt;= 4, 'Fund Investment Data'!$B:$B &lt;= ($B1617 + 5))) / 12) * ($B1617 - 3) * Parameters!$B$4,"&amp;" 0) + IF($B1617 &gt;= 9, IFERROR(SUM(FILTER('Fund Investment Data'!$V:$V, 'Fund Investment Data'!$C:$C = $C1617, 'Fund Investment Data'!$A:$A = $A1617, 'Fund Investment Data'!$B:$B &lt;= 3)) * Parameters!$B$4, 0),0)))"),0.0)</f>
        <v>0</v>
      </c>
      <c r="AB1617" s="32">
        <f>IFERROR(__xludf.DUMMYFUNCTION("IFERROR(((IFERROR(SUM(FILTER('Fund Investment Data'!$V:$V, 'Fund Investment Data'!$C:$C = $C1617, 'Fund Investment Data'!$A:$A = $A1617 - 2, 'Fund Investment Data'!$B:$B &gt;= 4)) * Parameters!$B$4,0) + IFERROR(SUM(FILTER('Fund Investment Data'!$V:$V, 'Fund "&amp;"Investment Data'!$C:$C = $C1617, 'Fund Investment Data'!$A:$A = $A1617 - 1, 'Fund Investment Data'!$B:$B &lt;= 3)) * Parameters!$B$4,0))),0)"),0.0)</f>
        <v>0</v>
      </c>
      <c r="AC1617" s="32">
        <f>IFERROR(__xludf.DUMMYFUNCTION("IFERROR(FILTER($AF:$AF,$C:$C = $C1617,$A:$A = $A1617 - 1,$B:$B = 12),0)"),0.0)</f>
        <v>0</v>
      </c>
      <c r="AD1617" s="32">
        <f t="shared" si="23"/>
        <v>20586.6137</v>
      </c>
      <c r="AE1617" s="32">
        <f t="shared" si="2"/>
        <v>-0.3862956494</v>
      </c>
      <c r="AF1617" s="32"/>
    </row>
    <row r="1618">
      <c r="A1618" s="86">
        <v>2019.0</v>
      </c>
      <c r="B1618" s="87">
        <v>12.0</v>
      </c>
      <c r="C1618" s="103" t="s">
        <v>37</v>
      </c>
      <c r="D1618" s="104">
        <v>0.0</v>
      </c>
      <c r="E1618" s="104">
        <v>-37603.0</v>
      </c>
      <c r="F1618" s="104">
        <v>0.0</v>
      </c>
      <c r="G1618" s="104">
        <v>-3641.21</v>
      </c>
      <c r="H1618" s="104">
        <v>19188.65</v>
      </c>
      <c r="I1618" s="104">
        <v>30281.03</v>
      </c>
      <c r="J1618" s="104">
        <v>79192.57</v>
      </c>
      <c r="K1618" s="32"/>
      <c r="L1618" s="32"/>
      <c r="M1618" s="32"/>
      <c r="N1618" s="32"/>
      <c r="O1618" s="104">
        <v>810432.15</v>
      </c>
      <c r="P1618" s="91">
        <f>IFERROR(__xludf.DUMMYFUNCTION("IFERROR(sum(FILTER($D:$N,$C:$C = $C1618,$A:$A &lt; $A1618,$B:$B = 12)),0) + sum($D1618:$N1618)"),810432.1499999999)</f>
        <v>810432.15</v>
      </c>
      <c r="Q1618" s="92">
        <f t="shared" si="1"/>
        <v>0.0000000001164153218</v>
      </c>
      <c r="R1618" s="91">
        <f t="array" ref="R1618">IFERROR(INDEX('Fund YTD Target Values'!$1:$1000, MATCH($C1618,'Fund YTD Target Values'!$A:$A,0), MATCH($A1618,'Fund YTD Target Values'!$1:$1,0)),0)</f>
        <v>860942.6464</v>
      </c>
      <c r="S1618" s="91">
        <f>IFERROR(__xludf.DUMMYFUNCTION("IFERROR(sum(FILTER('Fund Investment Data'!$V:$V, 'Fund Investment Data'!$C:$C = $C1618, 'Fund Investment Data'!$A:$A &lt; $A1618)),0) + IFERROR(sum(FILTER('Fund Investment Data'!$V:$V, 'Fund Investment Data'!$C:$C = $C1618, 'Fund Investment Data'!$A:$A = $A1"&amp;"618, 'Fund Investment Data'!$B:$B &lt;= $B1618)),0)"),758137.86)</f>
        <v>758137.86</v>
      </c>
      <c r="T1618" s="32"/>
      <c r="U1618" s="32"/>
      <c r="V1618" s="32">
        <f>IFERROR(__xludf.DUMMYFUNCTION("$D1618 - IFERROR(FILTER($D:$D,$C:$C = $C1618, $A:$A = $A1618, $B:$B = $B1618 - 1),0)"),0.0)</f>
        <v>0</v>
      </c>
      <c r="W1618" s="93">
        <f>IFERROR(__xludf.DUMMYFUNCTION("$E1618 - IFERROR(FILTER($E:$E,$C:$C = $C1618, $A:$A = $A1618, $B:$B = $B1618 - 1),0)"),0.0)</f>
        <v>0</v>
      </c>
      <c r="X1618" s="91">
        <f>IFERROR(__xludf.DUMMYFUNCTION("iFERROR((FILTER('Fund Investment Data'!$Z:$Z, 'Fund Investment Data'!$C:$C = $C1618, 'Fund Investment Data'!$A:$A = $A1618 - 1, 'Fund Investment Data'!$B:$B = 12) + FILTER('Fund Investment Data'!$AB:$AB, 'Fund Investment Data'!$C:$C = $C1618, 'Fund Invest"&amp;"ment Data'!$A:$A = $A1618 - 1, 'Fund Investment Data'!$B:$B = 12)) * (1 + AVERAGE(FILTER('Inflation Data'!$C:$C,'Inflation Data'!$A:$A = ($A1618 - 2)))) * Parameters!$A$4,0)"),26487.702642294462)</f>
        <v>26487.70264</v>
      </c>
      <c r="Y1618" s="91">
        <f>IFERROR(__xludf.DUMMYFUNCTION("IFERROR((IFERROR(FILTER('Fund Investment Data'!$P:$P,'Fund Investment Data'!$C:$C = $C1618,'Fund Investment Data'!$A:$A = ($A1618 - 2), 'Fund Investment Data'!$B:$B = 12),0) - SUM(FILTER('Fund Investment Data'!$V:$V, 'Fund Investment Data'!$C:$C = $C1618,"&amp;" 'Fund Investment Data'!$A:$A = ($A1618 - 2), 'Fund Investment Data'!$B:$B &gt; 3)))  * Parameters!$B$4 * (1 - Parameters!$A$4),0)"),11114.94474)</f>
        <v>11114.94474</v>
      </c>
      <c r="Z1618" s="91">
        <f t="shared" si="24"/>
        <v>37602.64738</v>
      </c>
      <c r="AA1618" s="91">
        <f>IFERROR(__xludf.DUMMYFUNCTION("((IFERROR((SUM(FILTER('Fund Investment Data'!$V:$V, 'Fund Investment Data'!$C:$C = $C1618, 'Fund Investment Data'!$A:$A = $A1618 - 1, 'Fund Investment Data'!$B:$B &gt;= 4, 'Fund Investment Data'!$B:$B &lt;= ($B1618 + 5))) / 12) * ($B1618 - 3) * Parameters!$B$4,"&amp;" 0) + IF($B1618 &gt;= 9, IFERROR(SUM(FILTER('Fund Investment Data'!$V:$V, 'Fund Investment Data'!$C:$C = $C1618, 'Fund Investment Data'!$A:$A = $A1618, 'Fund Investment Data'!$B:$B &lt;= 3)) * Parameters!$B$4, 0),0)))"),0.0)</f>
        <v>0</v>
      </c>
      <c r="AB1618" s="32">
        <f>IFERROR(__xludf.DUMMYFUNCTION("IFERROR(((IFERROR(SUM(FILTER('Fund Investment Data'!$V:$V, 'Fund Investment Data'!$C:$C = $C1618, 'Fund Investment Data'!$A:$A = $A1618 - 2, 'Fund Investment Data'!$B:$B &gt;= 4)) * Parameters!$B$4,0) + IFERROR(SUM(FILTER('Fund Investment Data'!$V:$V, 'Fund "&amp;"Investment Data'!$C:$C = $C1618, 'Fund Investment Data'!$A:$A = $A1618 - 1, 'Fund Investment Data'!$B:$B &lt;= 3)) * Parameters!$B$4,0))),0)"),0.0)</f>
        <v>0</v>
      </c>
      <c r="AC1618" s="32">
        <f>IFERROR(__xludf.DUMMYFUNCTION("IFERROR(FILTER($AF:$AF,$C:$C = $C1618,$A:$A = $A1618 - 1,$B:$B = 12),0)"),0.0)</f>
        <v>0</v>
      </c>
      <c r="AD1618" s="32">
        <f t="shared" si="23"/>
        <v>37602.64738</v>
      </c>
      <c r="AE1618" s="32">
        <f t="shared" si="2"/>
        <v>-0.3526177055</v>
      </c>
      <c r="AF1618" s="32"/>
    </row>
    <row r="1619">
      <c r="A1619" s="86">
        <v>2019.0</v>
      </c>
      <c r="B1619" s="87">
        <v>12.0</v>
      </c>
      <c r="C1619" s="103" t="s">
        <v>29</v>
      </c>
      <c r="D1619" s="104">
        <v>0.0</v>
      </c>
      <c r="E1619" s="104">
        <v>-2656.0</v>
      </c>
      <c r="F1619" s="104">
        <v>0.0</v>
      </c>
      <c r="G1619" s="104">
        <v>-271.12</v>
      </c>
      <c r="H1619" s="104">
        <v>1430.1</v>
      </c>
      <c r="I1619" s="104">
        <v>2097.83</v>
      </c>
      <c r="J1619" s="104">
        <v>5971.7</v>
      </c>
      <c r="K1619" s="32"/>
      <c r="L1619" s="32"/>
      <c r="M1619" s="32"/>
      <c r="N1619" s="32"/>
      <c r="O1619" s="104">
        <v>60299.87</v>
      </c>
      <c r="P1619" s="91">
        <f>IFERROR(__xludf.DUMMYFUNCTION("IFERROR(sum(FILTER($D:$N,$C:$C = $C1619,$A:$A &lt; $A1619,$B:$B = 12)),0) + sum($D1619:$N1619)"),60299.89999999992)</f>
        <v>60299.9</v>
      </c>
      <c r="Q1619" s="92">
        <f t="shared" si="1"/>
        <v>-0.02999999992</v>
      </c>
      <c r="R1619" s="91">
        <f t="array" ref="R1619">IFERROR(INDEX('Fund YTD Target Values'!$1:$1000, MATCH($C1619,'Fund YTD Target Values'!$A:$A,0), MATCH($A1619,'Fund YTD Target Values'!$1:$1,0)),0)</f>
        <v>78452.06886</v>
      </c>
      <c r="S1619" s="91">
        <f>IFERROR(__xludf.DUMMYFUNCTION("IFERROR(sum(FILTER('Fund Investment Data'!$V:$V, 'Fund Investment Data'!$C:$C = $C1619, 'Fund Investment Data'!$A:$A &lt; $A1619)),0) + IFERROR(sum(FILTER('Fund Investment Data'!$V:$V, 'Fund Investment Data'!$C:$C = $C1619, 'Fund Investment Data'!$A:$A = $A1"&amp;"619, 'Fund Investment Data'!$B:$B &lt;= $B1619)),0)"),50000.0)</f>
        <v>50000</v>
      </c>
      <c r="T1619" s="32"/>
      <c r="U1619" s="32"/>
      <c r="V1619" s="32">
        <f>IFERROR(__xludf.DUMMYFUNCTION("$D1619 - IFERROR(FILTER($D:$D,$C:$C = $C1619, $A:$A = $A1619, $B:$B = $B1619 - 1),0)"),0.0)</f>
        <v>0</v>
      </c>
      <c r="W1619" s="93">
        <f>IFERROR(__xludf.DUMMYFUNCTION("$E1619 - IFERROR(FILTER($E:$E,$C:$C = $C1619, $A:$A = $A1619, $B:$B = $B1619 - 1),0)"),0.0)</f>
        <v>0</v>
      </c>
      <c r="X1619" s="91">
        <f>IFERROR(__xludf.DUMMYFUNCTION("iFERROR((FILTER('Fund Investment Data'!$Z:$Z, 'Fund Investment Data'!$C:$C = $C1619, 'Fund Investment Data'!$A:$A = $A1619 - 1, 'Fund Investment Data'!$B:$B = 12) + FILTER('Fund Investment Data'!$AB:$AB, 'Fund Investment Data'!$C:$C = $C1619, 'Fund Invest"&amp;"ment Data'!$A:$A = $A1619 - 1, 'Fund Investment Data'!$B:$B = 12)) * (1 + AVERAGE(FILTER('Inflation Data'!$C:$C,'Inflation Data'!$A:$A = ($A1619 - 2)))) * Parameters!$A$4,0)"),1871.1341826828661)</f>
        <v>1871.134183</v>
      </c>
      <c r="Y1619" s="91">
        <f>IFERROR(__xludf.DUMMYFUNCTION("IFERROR((IFERROR(FILTER('Fund Investment Data'!$P:$P,'Fund Investment Data'!$C:$C = $C1619,'Fund Investment Data'!$A:$A = ($A1619 - 2), 'Fund Investment Data'!$B:$B = 12),0) - SUM(FILTER('Fund Investment Data'!$V:$V, 'Fund Investment Data'!$C:$C = $C1619,"&amp;" 'Fund Investment Data'!$A:$A = ($A1619 - 2), 'Fund Investment Data'!$B:$B &gt; 3)))  * Parameters!$B$4 * (1 - Parameters!$A$4),0)"),785.1776849999991)</f>
        <v>785.177685</v>
      </c>
      <c r="Z1619" s="91">
        <f t="shared" si="24"/>
        <v>2656.311868</v>
      </c>
      <c r="AA1619" s="91">
        <f>IFERROR(__xludf.DUMMYFUNCTION("((IFERROR((SUM(FILTER('Fund Investment Data'!$V:$V, 'Fund Investment Data'!$C:$C = $C1619, 'Fund Investment Data'!$A:$A = $A1619 - 1, 'Fund Investment Data'!$B:$B &gt;= 4, 'Fund Investment Data'!$B:$B &lt;= ($B1619 + 5))) / 12) * ($B1619 - 3) * Parameters!$B$4,"&amp;" 0) + IF($B1619 &gt;= 9, IFERROR(SUM(FILTER('Fund Investment Data'!$V:$V, 'Fund Investment Data'!$C:$C = $C1619, 'Fund Investment Data'!$A:$A = $A1619, 'Fund Investment Data'!$B:$B &lt;= 3)) * Parameters!$B$4, 0),0)))"),0.0)</f>
        <v>0</v>
      </c>
      <c r="AB1619" s="32">
        <f>IFERROR(__xludf.DUMMYFUNCTION("IFERROR(((IFERROR(SUM(FILTER('Fund Investment Data'!$V:$V, 'Fund Investment Data'!$C:$C = $C1619, 'Fund Investment Data'!$A:$A = $A1619 - 2, 'Fund Investment Data'!$B:$B &gt;= 4)) * Parameters!$B$4,0) + IFERROR(SUM(FILTER('Fund Investment Data'!$V:$V, 'Fund "&amp;"Investment Data'!$C:$C = $C1619, 'Fund Investment Data'!$A:$A = $A1619 - 1, 'Fund Investment Data'!$B:$B &lt;= 3)) * Parameters!$B$4,0))),0)"),0.0)</f>
        <v>0</v>
      </c>
      <c r="AC1619" s="32">
        <f>IFERROR(__xludf.DUMMYFUNCTION("IFERROR(FILTER($AF:$AF,$C:$C = $C1619,$A:$A = $A1619 - 1,$B:$B = 12),0)"),0.0)</f>
        <v>0</v>
      </c>
      <c r="AD1619" s="32">
        <f t="shared" si="23"/>
        <v>2656.311868</v>
      </c>
      <c r="AE1619" s="32">
        <f t="shared" si="2"/>
        <v>0.3118676829</v>
      </c>
      <c r="AF1619" s="32"/>
    </row>
    <row r="1620">
      <c r="A1620" s="86">
        <v>2019.0</v>
      </c>
      <c r="B1620" s="87">
        <v>12.0</v>
      </c>
      <c r="C1620" s="103" t="s">
        <v>38</v>
      </c>
      <c r="D1620" s="104">
        <v>0.0</v>
      </c>
      <c r="E1620" s="104">
        <v>-33070.0</v>
      </c>
      <c r="F1620" s="104">
        <v>11178.24</v>
      </c>
      <c r="G1620" s="104">
        <v>-3703.93</v>
      </c>
      <c r="H1620" s="104">
        <v>19413.52</v>
      </c>
      <c r="I1620" s="104">
        <v>29064.62</v>
      </c>
      <c r="J1620" s="104">
        <v>80814.69</v>
      </c>
      <c r="K1620" s="32"/>
      <c r="L1620" s="32"/>
      <c r="M1620" s="32"/>
      <c r="N1620" s="32"/>
      <c r="O1620" s="104">
        <v>825508.34</v>
      </c>
      <c r="P1620" s="91">
        <f>IFERROR(__xludf.DUMMYFUNCTION("IFERROR(sum(FILTER($D:$N,$C:$C = $C1620,$A:$A &lt; $A1620,$B:$B = 12)),0) + sum($D1620:$N1620)"),825507.3)</f>
        <v>825507.3</v>
      </c>
      <c r="Q1620" s="92">
        <f t="shared" si="1"/>
        <v>1.04</v>
      </c>
      <c r="R1620" s="91">
        <f t="array" ref="R1620">IFERROR(INDEX('Fund YTD Target Values'!$1:$1000, MATCH($C1620,'Fund YTD Target Values'!$A:$A,0), MATCH($A1620,'Fund YTD Target Values'!$1:$1,0)),0)</f>
        <v>715243.4084</v>
      </c>
      <c r="S1620" s="91">
        <f>IFERROR(__xludf.DUMMYFUNCTION("IFERROR(sum(FILTER('Fund Investment Data'!$V:$V, 'Fund Investment Data'!$C:$C = $C1620, 'Fund Investment Data'!$A:$A &lt; $A1620)),0) + IFERROR(sum(FILTER('Fund Investment Data'!$V:$V, 'Fund Investment Data'!$C:$C = $C1620, 'Fund Investment Data'!$A:$A = $A1"&amp;"620, 'Fund Investment Data'!$B:$B &lt;= $B1620)),0)"),556601.64)</f>
        <v>556601.64</v>
      </c>
      <c r="T1620" s="32"/>
      <c r="U1620" s="32"/>
      <c r="V1620" s="32">
        <f>IFERROR(__xludf.DUMMYFUNCTION("$D1620 - IFERROR(FILTER($D:$D,$C:$C = $C1620, $A:$A = $A1620, $B:$B = $B1620 - 1),0)"),0.0)</f>
        <v>0</v>
      </c>
      <c r="W1620" s="93">
        <f>IFERROR(__xludf.DUMMYFUNCTION("$E1620 - IFERROR(FILTER($E:$E,$C:$C = $C1620, $A:$A = $A1620, $B:$B = $B1620 - 1),0)"),0.0)</f>
        <v>0</v>
      </c>
      <c r="X1620" s="91">
        <f>IFERROR(__xludf.DUMMYFUNCTION("iFERROR((FILTER('Fund Investment Data'!$Z:$Z, 'Fund Investment Data'!$C:$C = $C1620, 'Fund Investment Data'!$A:$A = $A1620 - 1, 'Fund Investment Data'!$B:$B = 12) + FILTER('Fund Investment Data'!$AB:$AB, 'Fund Investment Data'!$C:$C = $C1620, 'Fund Invest"&amp;"ment Data'!$A:$A = $A1620 - 1, 'Fund Investment Data'!$B:$B = 12)) * (1 + AVERAGE(FILTER('Inflation Data'!$C:$C,'Inflation Data'!$A:$A = ($A1620 - 2)))) * Parameters!$A$4,0)"),22062.02597097784)</f>
        <v>22062.02597</v>
      </c>
      <c r="Y1620" s="91">
        <f>IFERROR(__xludf.DUMMYFUNCTION("IFERROR((IFERROR(FILTER('Fund Investment Data'!$P:$P,'Fund Investment Data'!$C:$C = $C1620,'Fund Investment Data'!$A:$A = ($A1620 - 2), 'Fund Investment Data'!$B:$B = 12),0) - SUM(FILTER('Fund Investment Data'!$V:$V, 'Fund Investment Data'!$C:$C = $C1620,"&amp;" 'Fund Investment Data'!$A:$A = ($A1620 - 2), 'Fund Investment Data'!$B:$B &gt; 3)))  * Parameters!$B$4 * (1 - Parameters!$A$4),0)"),11008.00989)</f>
        <v>11008.00989</v>
      </c>
      <c r="Z1620" s="91">
        <f t="shared" si="24"/>
        <v>33070.03586</v>
      </c>
      <c r="AA1620" s="91">
        <f>IFERROR(__xludf.DUMMYFUNCTION("((IFERROR((SUM(FILTER('Fund Investment Data'!$V:$V, 'Fund Investment Data'!$C:$C = $C1620, 'Fund Investment Data'!$A:$A = $A1620 - 1, 'Fund Investment Data'!$B:$B &gt;= 4, 'Fund Investment Data'!$B:$B &lt;= ($B1620 + 5))) / 12) * ($B1620 - 3) * Parameters!$B$4,"&amp;" 0) + IF($B1620 &gt;= 9, IFERROR(SUM(FILTER('Fund Investment Data'!$V:$V, 'Fund Investment Data'!$C:$C = $C1620, 'Fund Investment Data'!$A:$A = $A1620, 'Fund Investment Data'!$B:$B &lt;= 3)) * Parameters!$B$4, 0),0)))"),0.0)</f>
        <v>0</v>
      </c>
      <c r="AB1620" s="32">
        <f>IFERROR(__xludf.DUMMYFUNCTION("IFERROR(((IFERROR(SUM(FILTER('Fund Investment Data'!$V:$V, 'Fund Investment Data'!$C:$C = $C1620, 'Fund Investment Data'!$A:$A = $A1620 - 2, 'Fund Investment Data'!$B:$B &gt;= 4)) * Parameters!$B$4,0) + IFERROR(SUM(FILTER('Fund Investment Data'!$V:$V, 'Fund "&amp;"Investment Data'!$C:$C = $C1620, 'Fund Investment Data'!$A:$A = $A1620 - 1, 'Fund Investment Data'!$B:$B &lt;= 3)) * Parameters!$B$4,0))),0)"),0.0)</f>
        <v>0</v>
      </c>
      <c r="AC1620" s="32">
        <f>IFERROR(__xludf.DUMMYFUNCTION("IFERROR(FILTER($AF:$AF,$C:$C = $C1620,$A:$A = $A1620 - 1,$B:$B = 12),0)"),0.0)</f>
        <v>0</v>
      </c>
      <c r="AD1620" s="32">
        <f t="shared" si="23"/>
        <v>33070.03586</v>
      </c>
      <c r="AE1620" s="32">
        <f t="shared" si="2"/>
        <v>0.03586097784</v>
      </c>
      <c r="AF1620" s="32"/>
    </row>
    <row r="1621">
      <c r="A1621" s="86">
        <v>2019.0</v>
      </c>
      <c r="B1621" s="87">
        <v>12.0</v>
      </c>
      <c r="C1621" s="103" t="s">
        <v>30</v>
      </c>
      <c r="D1621" s="104">
        <v>0.0</v>
      </c>
      <c r="E1621" s="104">
        <v>-793.0</v>
      </c>
      <c r="F1621" s="104">
        <v>0.0</v>
      </c>
      <c r="G1621" s="104">
        <v>-84.01</v>
      </c>
      <c r="H1621" s="104">
        <v>430.47</v>
      </c>
      <c r="I1621" s="104">
        <v>518.52</v>
      </c>
      <c r="J1621" s="104">
        <v>1892.32</v>
      </c>
      <c r="K1621" s="32"/>
      <c r="L1621" s="32"/>
      <c r="M1621" s="32"/>
      <c r="N1621" s="32"/>
      <c r="O1621" s="104">
        <v>18005.01</v>
      </c>
      <c r="P1621" s="91">
        <f>IFERROR(__xludf.DUMMYFUNCTION("IFERROR(sum(FILTER($D:$N,$C:$C = $C1621,$A:$A &lt; $A1621,$B:$B = 12)),0) + sum($D1621:$N1621)"),18003.379999999986)</f>
        <v>18003.38</v>
      </c>
      <c r="Q1621" s="92">
        <f t="shared" si="1"/>
        <v>1.63</v>
      </c>
      <c r="R1621" s="91">
        <f t="array" ref="R1621">IFERROR(INDEX('Fund YTD Target Values'!$1:$1000, MATCH($C1621,'Fund YTD Target Values'!$A:$A,0), MATCH($A1621,'Fund YTD Target Values'!$1:$1,0)),0)</f>
        <v>18819.48136</v>
      </c>
      <c r="S1621" s="91">
        <f>IFERROR(__xludf.DUMMYFUNCTION("IFERROR(sum(FILTER('Fund Investment Data'!$V:$V, 'Fund Investment Data'!$C:$C = $C1621, 'Fund Investment Data'!$A:$A &lt; $A1621)),0) + IFERROR(sum(FILTER('Fund Investment Data'!$V:$V, 'Fund Investment Data'!$C:$C = $C1621, 'Fund Investment Data'!$A:$A = $A1"&amp;"621, 'Fund Investment Data'!$B:$B &lt;= $B1621)),0)"),11540.75)</f>
        <v>11540.75</v>
      </c>
      <c r="T1621" s="32"/>
      <c r="U1621" s="32"/>
      <c r="V1621" s="32">
        <f>IFERROR(__xludf.DUMMYFUNCTION("$D1621 - IFERROR(FILTER($D:$D,$C:$C = $C1621, $A:$A = $A1621, $B:$B = $B1621 - 1),0)"),0.0)</f>
        <v>0</v>
      </c>
      <c r="W1621" s="93">
        <f>IFERROR(__xludf.DUMMYFUNCTION("$E1621 - IFERROR(FILTER($E:$E,$C:$C = $C1621, $A:$A = $A1621, $B:$B = $B1621 - 1),0)"),0.0)</f>
        <v>0</v>
      </c>
      <c r="X1621" s="91">
        <f>IFERROR(__xludf.DUMMYFUNCTION("iFERROR((FILTER('Fund Investment Data'!$Z:$Z, 'Fund Investment Data'!$C:$C = $C1621, 'Fund Investment Data'!$A:$A = $A1621 - 1, 'Fund Investment Data'!$B:$B = 12) + FILTER('Fund Investment Data'!$AB:$AB, 'Fund Investment Data'!$C:$C = $C1621, 'Fund Invest"&amp;"ment Data'!$A:$A = $A1621 - 1, 'Fund Investment Data'!$B:$B = 12)) * (1 + AVERAGE(FILTER('Inflation Data'!$C:$C,'Inflation Data'!$A:$A = ($A1621 - 2)))) * Parameters!$A$4,0)"),558.7349135648467)</f>
        <v>558.7349136</v>
      </c>
      <c r="Y1621" s="91">
        <f>IFERROR(__xludf.DUMMYFUNCTION("IFERROR((IFERROR(FILTER('Fund Investment Data'!$P:$P,'Fund Investment Data'!$C:$C = $C1621,'Fund Investment Data'!$A:$A = ($A1621 - 2), 'Fund Investment Data'!$B:$B = 12),0) - SUM(FILTER('Fund Investment Data'!$V:$V, 'Fund Investment Data'!$C:$C = $C1621,"&amp;" 'Fund Investment Data'!$A:$A = ($A1621 - 2), 'Fund Investment Data'!$B:$B &gt; 3)))  * Parameters!$B$4 * (1 - Parameters!$A$4),0)"),234.46003499999986)</f>
        <v>234.460035</v>
      </c>
      <c r="Z1621" s="91">
        <f t="shared" si="24"/>
        <v>793.1949486</v>
      </c>
      <c r="AA1621" s="91">
        <f>IFERROR(__xludf.DUMMYFUNCTION("((IFERROR((SUM(FILTER('Fund Investment Data'!$V:$V, 'Fund Investment Data'!$C:$C = $C1621, 'Fund Investment Data'!$A:$A = $A1621 - 1, 'Fund Investment Data'!$B:$B &gt;= 4, 'Fund Investment Data'!$B:$B &lt;= ($B1621 + 5))) / 12) * ($B1621 - 3) * Parameters!$B$4,"&amp;" 0) + IF($B1621 &gt;= 9, IFERROR(SUM(FILTER('Fund Investment Data'!$V:$V, 'Fund Investment Data'!$C:$C = $C1621, 'Fund Investment Data'!$A:$A = $A1621, 'Fund Investment Data'!$B:$B &lt;= 3)) * Parameters!$B$4, 0),0)))"),0.0)</f>
        <v>0</v>
      </c>
      <c r="AB1621" s="32">
        <f>IFERROR(__xludf.DUMMYFUNCTION("IFERROR(((IFERROR(SUM(FILTER('Fund Investment Data'!$V:$V, 'Fund Investment Data'!$C:$C = $C1621, 'Fund Investment Data'!$A:$A = $A1621 - 2, 'Fund Investment Data'!$B:$B &gt;= 4)) * Parameters!$B$4,0) + IFERROR(SUM(FILTER('Fund Investment Data'!$V:$V, 'Fund "&amp;"Investment Data'!$C:$C = $C1621, 'Fund Investment Data'!$A:$A = $A1621 - 1, 'Fund Investment Data'!$B:$B &lt;= 3)) * Parameters!$B$4,0))),0)"),0.0)</f>
        <v>0</v>
      </c>
      <c r="AC1621" s="32">
        <f>IFERROR(__xludf.DUMMYFUNCTION("IFERROR(FILTER($AF:$AF,$C:$C = $C1621,$A:$A = $A1621 - 1,$B:$B = 12),0)"),0.0)</f>
        <v>0</v>
      </c>
      <c r="AD1621" s="32">
        <f t="shared" si="23"/>
        <v>793.1949486</v>
      </c>
      <c r="AE1621" s="32">
        <f t="shared" si="2"/>
        <v>0.1949485648</v>
      </c>
      <c r="AF1621" s="32"/>
    </row>
    <row r="1622">
      <c r="A1622" s="86">
        <v>2019.0</v>
      </c>
      <c r="B1622" s="87">
        <v>12.0</v>
      </c>
      <c r="C1622" s="103" t="s">
        <v>47</v>
      </c>
      <c r="D1622" s="104">
        <v>0.0</v>
      </c>
      <c r="E1622" s="104">
        <v>-69151.0</v>
      </c>
      <c r="F1622" s="104">
        <v>0.0</v>
      </c>
      <c r="G1622" s="104">
        <v>-6693.79</v>
      </c>
      <c r="H1622" s="104">
        <v>35336.2</v>
      </c>
      <c r="I1622" s="104">
        <v>60981.9</v>
      </c>
      <c r="J1622" s="104">
        <v>141028.25</v>
      </c>
      <c r="K1622" s="32"/>
      <c r="L1622" s="32"/>
      <c r="M1622" s="32"/>
      <c r="N1622" s="32"/>
      <c r="O1622" s="104">
        <v>1492799.87</v>
      </c>
      <c r="P1622" s="91">
        <f>IFERROR(__xludf.DUMMYFUNCTION("IFERROR(sum(FILTER($D:$N,$C:$C = $C1622,$A:$A &lt; $A1622,$B:$B = 12)),0) + sum($D1622:$N1622)"),1492799.5199999998)</f>
        <v>1492799.52</v>
      </c>
      <c r="Q1622" s="92">
        <f t="shared" si="1"/>
        <v>0.3500000003</v>
      </c>
      <c r="R1622" s="91">
        <f t="array" ref="R1622">IFERROR(INDEX('Fund YTD Target Values'!$1:$1000, MATCH($C1622,'Fund YTD Target Values'!$A:$A,0), MATCH($A1622,'Fund YTD Target Values'!$1:$1,0)),0)</f>
        <v>2034942.933</v>
      </c>
      <c r="S1622" s="91">
        <f>IFERROR(__xludf.DUMMYFUNCTION("IFERROR(sum(FILTER('Fund Investment Data'!$V:$V, 'Fund Investment Data'!$C:$C = $C1622, 'Fund Investment Data'!$A:$A &lt; $A1622)),0) + IFERROR(sum(FILTER('Fund Investment Data'!$V:$V, 'Fund Investment Data'!$C:$C = $C1622, 'Fund Investment Data'!$A:$A = $A1"&amp;"622, 'Fund Investment Data'!$B:$B &lt;= $B1622)),0)"),1456367.46)</f>
        <v>1456367.46</v>
      </c>
      <c r="T1622" s="32"/>
      <c r="U1622" s="32"/>
      <c r="V1622" s="32">
        <f>IFERROR(__xludf.DUMMYFUNCTION("$D1622 - IFERROR(FILTER($D:$D,$C:$C = $C1622, $A:$A = $A1622, $B:$B = $B1622 - 1),0)"),0.0)</f>
        <v>0</v>
      </c>
      <c r="W1622" s="93">
        <f>IFERROR(__xludf.DUMMYFUNCTION("$E1622 - IFERROR(FILTER($E:$E,$C:$C = $C1622, $A:$A = $A1622, $B:$B = $B1622 - 1),0)"),0.0)</f>
        <v>0</v>
      </c>
      <c r="X1622" s="91">
        <f>IFERROR(__xludf.DUMMYFUNCTION("iFERROR((FILTER('Fund Investment Data'!$Z:$Z, 'Fund Investment Data'!$C:$C = $C1622, 'Fund Investment Data'!$A:$A = $A1622 - 1, 'Fund Investment Data'!$B:$B = 12) + FILTER('Fund Investment Data'!$AB:$AB, 'Fund Investment Data'!$C:$C = $C1622, 'Fund Invest"&amp;"ment Data'!$A:$A = $A1622 - 1, 'Fund Investment Data'!$B:$B = 12)) * (1 + AVERAGE(FILTER('Inflation Data'!$C:$C,'Inflation Data'!$A:$A = ($A1622 - 2)))) * Parameters!$A$4,0)"),48393.90516981818)</f>
        <v>48393.90517</v>
      </c>
      <c r="Y1622" s="91">
        <f>IFERROR(__xludf.DUMMYFUNCTION("IFERROR((IFERROR(FILTER('Fund Investment Data'!$P:$P,'Fund Investment Data'!$C:$C = $C1622,'Fund Investment Data'!$A:$A = ($A1622 - 2), 'Fund Investment Data'!$B:$B = 12),0) - SUM(FILTER('Fund Investment Data'!$V:$V, 'Fund Investment Data'!$C:$C = $C1622,"&amp;" 'Fund Investment Data'!$A:$A = ($A1622 - 2), 'Fund Investment Data'!$B:$B &gt; 3)))  * Parameters!$B$4 * (1 - Parameters!$A$4),0)"),20307.37014)</f>
        <v>20307.37014</v>
      </c>
      <c r="Z1622" s="91">
        <f t="shared" si="24"/>
        <v>68701.27531</v>
      </c>
      <c r="AA1622" s="91">
        <f>IFERROR(__xludf.DUMMYFUNCTION("((IFERROR((SUM(FILTER('Fund Investment Data'!$V:$V, 'Fund Investment Data'!$C:$C = $C1622, 'Fund Investment Data'!$A:$A = $A1622 - 1, 'Fund Investment Data'!$B:$B &gt;= 4, 'Fund Investment Data'!$B:$B &lt;= ($B1622 + 5))) / 12) * ($B1622 - 3) * Parameters!$B$4,"&amp;" 0) + IF($B1622 &gt;= 9, IFERROR(SUM(FILTER('Fund Investment Data'!$V:$V, 'Fund Investment Data'!$C:$C = $C1622, 'Fund Investment Data'!$A:$A = $A1622, 'Fund Investment Data'!$B:$B &lt;= 3)) * Parameters!$B$4, 0),0)))"),0.0)</f>
        <v>0</v>
      </c>
      <c r="AB1622" s="32">
        <f>IFERROR(__xludf.DUMMYFUNCTION("IFERROR(((IFERROR(SUM(FILTER('Fund Investment Data'!$V:$V, 'Fund Investment Data'!$C:$C = $C1622, 'Fund Investment Data'!$A:$A = $A1622 - 2, 'Fund Investment Data'!$B:$B &gt;= 4)) * Parameters!$B$4,0) + IFERROR(SUM(FILTER('Fund Investment Data'!$V:$V, 'Fund "&amp;"Investment Data'!$C:$C = $C1622, 'Fund Investment Data'!$A:$A = $A1622 - 1, 'Fund Investment Data'!$B:$B &lt;= 3)) * Parameters!$B$4,0))),0)"),450.0)</f>
        <v>450</v>
      </c>
      <c r="AC1622" s="32">
        <f>IFERROR(__xludf.DUMMYFUNCTION("IFERROR(FILTER($AF:$AF,$C:$C = $C1622,$A:$A = $A1622 - 1,$B:$B = 12),0)"),0.0)</f>
        <v>0</v>
      </c>
      <c r="AD1622" s="32">
        <f t="shared" si="23"/>
        <v>69151.27531</v>
      </c>
      <c r="AE1622" s="32">
        <f t="shared" si="2"/>
        <v>0.2753098182</v>
      </c>
      <c r="AF1622" s="32"/>
    </row>
    <row r="1623">
      <c r="A1623" s="86">
        <v>2019.0</v>
      </c>
      <c r="B1623" s="87">
        <v>12.0</v>
      </c>
      <c r="C1623" s="103" t="s">
        <v>31</v>
      </c>
      <c r="D1623" s="104">
        <v>100.0</v>
      </c>
      <c r="E1623" s="104">
        <v>-8740.0</v>
      </c>
      <c r="F1623" s="104">
        <v>0.0</v>
      </c>
      <c r="G1623" s="104">
        <v>-836.92</v>
      </c>
      <c r="H1623" s="104">
        <v>4406.27</v>
      </c>
      <c r="I1623" s="104">
        <v>7470.4</v>
      </c>
      <c r="J1623" s="104">
        <v>17596.12</v>
      </c>
      <c r="K1623" s="32"/>
      <c r="L1623" s="32"/>
      <c r="M1623" s="32"/>
      <c r="N1623" s="32"/>
      <c r="O1623" s="104">
        <v>185593.58</v>
      </c>
      <c r="P1623" s="91">
        <f>IFERROR(__xludf.DUMMYFUNCTION("IFERROR(sum(FILTER($D:$N,$C:$C = $C1623,$A:$A &lt; $A1623,$B:$B = 12)),0) + sum($D1623:$N1623)"),185593.59)</f>
        <v>185593.59</v>
      </c>
      <c r="Q1623" s="92">
        <f t="shared" si="1"/>
        <v>-0.01000000001</v>
      </c>
      <c r="R1623" s="91">
        <f t="array" ref="R1623">IFERROR(INDEX('Fund YTD Target Values'!$1:$1000, MATCH($C1623,'Fund YTD Target Values'!$A:$A,0), MATCH($A1623,'Fund YTD Target Values'!$1:$1,0)),0)</f>
        <v>214470.0821</v>
      </c>
      <c r="S1623" s="91">
        <f>IFERROR(__xludf.DUMMYFUNCTION("IFERROR(sum(FILTER('Fund Investment Data'!$V:$V, 'Fund Investment Data'!$C:$C = $C1623, 'Fund Investment Data'!$A:$A &lt; $A1623)),0) + IFERROR(sum(FILTER('Fund Investment Data'!$V:$V, 'Fund Investment Data'!$C:$C = $C1623, 'Fund Investment Data'!$A:$A = $A1"&amp;"623, 'Fund Investment Data'!$B:$B &lt;= $B1623)),0)"),158200.0)</f>
        <v>158200</v>
      </c>
      <c r="T1623" s="32"/>
      <c r="U1623" s="32"/>
      <c r="V1623" s="32">
        <f>IFERROR(__xludf.DUMMYFUNCTION("$D1623 - IFERROR(FILTER($D:$D,$C:$C = $C1623, $A:$A = $A1623, $B:$B = $B1623 - 1),0)"),0.0)</f>
        <v>0</v>
      </c>
      <c r="W1623" s="93">
        <f>IFERROR(__xludf.DUMMYFUNCTION("$E1623 - IFERROR(FILTER($E:$E,$C:$C = $C1623, $A:$A = $A1623, $B:$B = $B1623 - 1),0)"),0.0)</f>
        <v>0</v>
      </c>
      <c r="X1623" s="91">
        <f>IFERROR(__xludf.DUMMYFUNCTION("iFERROR((FILTER('Fund Investment Data'!$Z:$Z, 'Fund Investment Data'!$C:$C = $C1623, 'Fund Investment Data'!$A:$A = $A1623 - 1, 'Fund Investment Data'!$B:$B = 12) + FILTER('Fund Investment Data'!$AB:$AB, 'Fund Investment Data'!$C:$C = $C1623, 'Fund Invest"&amp;"ment Data'!$A:$A = $A1623 - 1, 'Fund Investment Data'!$B:$B = 12)) * (1 + AVERAGE(FILTER('Inflation Data'!$C:$C,'Inflation Data'!$A:$A = ($A1623 - 2)))) * Parameters!$A$4,0)"),6185.263738478203)</f>
        <v>6185.263738</v>
      </c>
      <c r="Y1623" s="91">
        <f>IFERROR(__xludf.DUMMYFUNCTION("IFERROR((IFERROR(FILTER('Fund Investment Data'!$P:$P,'Fund Investment Data'!$C:$C = $C1623,'Fund Investment Data'!$A:$A = ($A1623 - 2), 'Fund Investment Data'!$B:$B = 12),0) - SUM(FILTER('Fund Investment Data'!$V:$V, 'Fund Investment Data'!$C:$C = $C1623,"&amp;" 'Fund Investment Data'!$A:$A = ($A1623 - 2), 'Fund Investment Data'!$B:$B &gt; 3)))  * Parameters!$B$4 * (1 - Parameters!$A$4),0)"),2555.001225000001)</f>
        <v>2555.001225</v>
      </c>
      <c r="Z1623" s="91">
        <f t="shared" si="24"/>
        <v>8740.264963</v>
      </c>
      <c r="AA1623" s="91">
        <f>IFERROR(__xludf.DUMMYFUNCTION("((IFERROR((SUM(FILTER('Fund Investment Data'!$V:$V, 'Fund Investment Data'!$C:$C = $C1623, 'Fund Investment Data'!$A:$A = $A1623 - 1, 'Fund Investment Data'!$B:$B &gt;= 4, 'Fund Investment Data'!$B:$B &lt;= ($B1623 + 5))) / 12) * ($B1623 - 3) * Parameters!$B$4,"&amp;" 0) + IF($B1623 &gt;= 9, IFERROR(SUM(FILTER('Fund Investment Data'!$V:$V, 'Fund Investment Data'!$C:$C = $C1623, 'Fund Investment Data'!$A:$A = $A1623, 'Fund Investment Data'!$B:$B &lt;= 3)) * Parameters!$B$4, 0),0)))"),0.0)</f>
        <v>0</v>
      </c>
      <c r="AB1623" s="32">
        <f>IFERROR(__xludf.DUMMYFUNCTION("IFERROR(((IFERROR(SUM(FILTER('Fund Investment Data'!$V:$V, 'Fund Investment Data'!$C:$C = $C1623, 'Fund Investment Data'!$A:$A = $A1623 - 2, 'Fund Investment Data'!$B:$B &gt;= 4)) * Parameters!$B$4,0) + IFERROR(SUM(FILTER('Fund Investment Data'!$V:$V, 'Fund "&amp;"Investment Data'!$C:$C = $C1623, 'Fund Investment Data'!$A:$A = $A1623 - 1, 'Fund Investment Data'!$B:$B &lt;= 3)) * Parameters!$B$4,0))),0)"),0.0)</f>
        <v>0</v>
      </c>
      <c r="AC1623" s="32">
        <f>IFERROR(__xludf.DUMMYFUNCTION("IFERROR(FILTER($AF:$AF,$C:$C = $C1623,$A:$A = $A1623 - 1,$B:$B = 12),0)"),0.0)</f>
        <v>0</v>
      </c>
      <c r="AD1623" s="32">
        <f t="shared" si="23"/>
        <v>8740.264963</v>
      </c>
      <c r="AE1623" s="32">
        <f t="shared" si="2"/>
        <v>0.2649634782</v>
      </c>
      <c r="AF1623" s="32"/>
    </row>
    <row r="1624">
      <c r="A1624" s="86">
        <v>2019.0</v>
      </c>
      <c r="B1624" s="87">
        <v>12.0</v>
      </c>
      <c r="C1624" s="103" t="s">
        <v>39</v>
      </c>
      <c r="D1624" s="104">
        <v>15000.0</v>
      </c>
      <c r="E1624" s="104">
        <v>-8740.0</v>
      </c>
      <c r="F1624" s="104">
        <v>0.0</v>
      </c>
      <c r="G1624" s="104">
        <v>-874.5</v>
      </c>
      <c r="H1624" s="104">
        <v>4645.13</v>
      </c>
      <c r="I1624" s="104">
        <v>5812.82</v>
      </c>
      <c r="J1624" s="104">
        <v>20872.75</v>
      </c>
      <c r="K1624" s="32"/>
      <c r="L1624" s="32"/>
      <c r="M1624" s="32"/>
      <c r="N1624" s="32"/>
      <c r="O1624" s="104">
        <v>207536.46</v>
      </c>
      <c r="P1624" s="91">
        <f>IFERROR(__xludf.DUMMYFUNCTION("IFERROR(sum(FILTER($D:$N,$C:$C = $C1624,$A:$A &lt; $A1624,$B:$B = 12)),0) + sum($D1624:$N1624)"),207536.46000000002)</f>
        <v>207536.46</v>
      </c>
      <c r="Q1624" s="92">
        <f t="shared" si="1"/>
        <v>0</v>
      </c>
      <c r="R1624" s="91">
        <f t="array" ref="R1624">IFERROR(INDEX('Fund YTD Target Values'!$1:$1000, MATCH($C1624,'Fund YTD Target Values'!$A:$A,0), MATCH($A1624,'Fund YTD Target Values'!$1:$1,0)),0)</f>
        <v>203233.3066</v>
      </c>
      <c r="S1624" s="91">
        <f>IFERROR(__xludf.DUMMYFUNCTION("IFERROR(sum(FILTER('Fund Investment Data'!$V:$V, 'Fund Investment Data'!$C:$C = $C1624, 'Fund Investment Data'!$A:$A &lt; $A1624)),0) + IFERROR(sum(FILTER('Fund Investment Data'!$V:$V, 'Fund Investment Data'!$C:$C = $C1624, 'Fund Investment Data'!$A:$A = $A1"&amp;"624, 'Fund Investment Data'!$B:$B &lt;= $B1624)),0)"),185000.0)</f>
        <v>185000</v>
      </c>
      <c r="T1624" s="32"/>
      <c r="U1624" s="32"/>
      <c r="V1624" s="32">
        <f>IFERROR(__xludf.DUMMYFUNCTION("$D1624 - IFERROR(FILTER($D:$D,$C:$C = $C1624, $A:$A = $A1624, $B:$B = $B1624 - 1),0)"),0.0)</f>
        <v>0</v>
      </c>
      <c r="W1624" s="93">
        <f>IFERROR(__xludf.DUMMYFUNCTION("$E1624 - IFERROR(FILTER($E:$E,$C:$C = $C1624, $A:$A = $A1624, $B:$B = $B1624 - 1),0)"),0.0)</f>
        <v>0</v>
      </c>
      <c r="X1624" s="91">
        <f>IFERROR(__xludf.DUMMYFUNCTION("iFERROR((FILTER('Fund Investment Data'!$Z:$Z, 'Fund Investment Data'!$C:$C = $C1624, 'Fund Investment Data'!$A:$A = $A1624 - 1, 'Fund Investment Data'!$B:$B = 12) + FILTER('Fund Investment Data'!$AB:$AB, 'Fund Investment Data'!$C:$C = $C1624, 'Fund Invest"&amp;"ment Data'!$A:$A = $A1624 - 1, 'Fund Investment Data'!$B:$B = 12)) * (1 + AVERAGE(FILTER('Inflation Data'!$C:$C,'Inflation Data'!$A:$A = ($A1624 - 2)))) * Parameters!$A$4,0)"),5335.081378121052)</f>
        <v>5335.081378</v>
      </c>
      <c r="Y1624" s="91">
        <f>IFERROR(__xludf.DUMMYFUNCTION("IFERROR((IFERROR(FILTER('Fund Investment Data'!$P:$P,'Fund Investment Data'!$C:$C = $C1624,'Fund Investment Data'!$A:$A = ($A1624 - 2), 'Fund Investment Data'!$B:$B = 12),0) - SUM(FILTER('Fund Investment Data'!$V:$V, 'Fund Investment Data'!$C:$C = $C1624,"&amp;" 'Fund Investment Data'!$A:$A = ($A1624 - 2), 'Fund Investment Data'!$B:$B &gt; 3)))  * Parameters!$B$4 * (1 - Parameters!$A$4),0)"),2223.764010000001)</f>
        <v>2223.76401</v>
      </c>
      <c r="Z1624" s="91">
        <f t="shared" si="24"/>
        <v>7558.845388</v>
      </c>
      <c r="AA1624" s="91">
        <f>IFERROR(__xludf.DUMMYFUNCTION("((IFERROR((SUM(FILTER('Fund Investment Data'!$V:$V, 'Fund Investment Data'!$C:$C = $C1624, 'Fund Investment Data'!$A:$A = $A1624 - 1, 'Fund Investment Data'!$B:$B &gt;= 4, 'Fund Investment Data'!$B:$B &lt;= ($B1624 + 5))) / 12) * ($B1624 - 3) * Parameters!$B$4,"&amp;" 0) + IF($B1624 &gt;= 9, IFERROR(SUM(FILTER('Fund Investment Data'!$V:$V, 'Fund Investment Data'!$C:$C = $C1624, 'Fund Investment Data'!$A:$A = $A1624, 'Fund Investment Data'!$B:$B &lt;= 3)) * Parameters!$B$4, 0),0)))"),506.25)</f>
        <v>506.25</v>
      </c>
      <c r="AB1624" s="32">
        <f>IFERROR(__xludf.DUMMYFUNCTION("IFERROR(((IFERROR(SUM(FILTER('Fund Investment Data'!$V:$V, 'Fund Investment Data'!$C:$C = $C1624, 'Fund Investment Data'!$A:$A = $A1624 - 2, 'Fund Investment Data'!$B:$B &gt;= 4)) * Parameters!$B$4,0) + IFERROR(SUM(FILTER('Fund Investment Data'!$V:$V, 'Fund "&amp;"Investment Data'!$C:$C = $C1624, 'Fund Investment Data'!$A:$A = $A1624 - 1, 'Fund Investment Data'!$B:$B &lt;= 3)) * Parameters!$B$4,0))),0)"),675.0)</f>
        <v>675</v>
      </c>
      <c r="AC1624" s="32">
        <f>IFERROR(__xludf.DUMMYFUNCTION("IFERROR(FILTER($AF:$AF,$C:$C = $C1624,$A:$A = $A1624 - 1,$B:$B = 12),0)"),0.0)</f>
        <v>0</v>
      </c>
      <c r="AD1624" s="32">
        <f t="shared" si="23"/>
        <v>8740.095388</v>
      </c>
      <c r="AE1624" s="32">
        <f t="shared" si="2"/>
        <v>0.09538812105</v>
      </c>
      <c r="AF1624" s="32"/>
    </row>
    <row r="1625">
      <c r="A1625" s="86">
        <v>2019.0</v>
      </c>
      <c r="B1625" s="87">
        <v>12.0</v>
      </c>
      <c r="C1625" s="103" t="s">
        <v>50</v>
      </c>
      <c r="D1625" s="104">
        <v>0.0</v>
      </c>
      <c r="E1625" s="104">
        <v>-10388.0</v>
      </c>
      <c r="F1625" s="104">
        <v>0.0</v>
      </c>
      <c r="G1625" s="104">
        <v>-971.49</v>
      </c>
      <c r="H1625" s="104">
        <v>5082.88</v>
      </c>
      <c r="I1625" s="104">
        <v>6080.13</v>
      </c>
      <c r="J1625" s="104">
        <v>22633.83</v>
      </c>
      <c r="K1625" s="32"/>
      <c r="L1625" s="32"/>
      <c r="M1625" s="32"/>
      <c r="N1625" s="32"/>
      <c r="O1625" s="104">
        <v>211991.71</v>
      </c>
      <c r="P1625" s="91">
        <f>IFERROR(__xludf.DUMMYFUNCTION("IFERROR(sum(FILTER($D:$N,$C:$C = $C1625,$A:$A &lt; $A1625,$B:$B = 12)),0) + sum($D1625:$N1625)"),211991.18000000002)</f>
        <v>211991.18</v>
      </c>
      <c r="Q1625" s="92">
        <f t="shared" si="1"/>
        <v>0.53</v>
      </c>
      <c r="R1625" s="91">
        <f t="array" ref="R1625">IFERROR(INDEX('Fund YTD Target Values'!$1:$1000, MATCH($C1625,'Fund YTD Target Values'!$A:$A,0), MATCH($A1625,'Fund YTD Target Values'!$1:$1,0)),0)</f>
        <v>221607.3864</v>
      </c>
      <c r="S1625" s="91">
        <f>IFERROR(__xludf.DUMMYFUNCTION("IFERROR(sum(FILTER('Fund Investment Data'!$V:$V, 'Fund Investment Data'!$C:$C = $C1625, 'Fund Investment Data'!$A:$A &lt; $A1625)),0) + IFERROR(sum(FILTER('Fund Investment Data'!$V:$V, 'Fund Investment Data'!$C:$C = $C1625, 'Fund Investment Data'!$A:$A = $A1"&amp;"625, 'Fund Investment Data'!$B:$B &lt;= $B1625)),0)"),185189.56)</f>
        <v>185189.56</v>
      </c>
      <c r="T1625" s="32"/>
      <c r="U1625" s="32"/>
      <c r="V1625" s="32">
        <f>IFERROR(__xludf.DUMMYFUNCTION("$D1625 - IFERROR(FILTER($D:$D,$C:$C = $C1625, $A:$A = $A1625, $B:$B = $B1625 - 1),0)"),0.0)</f>
        <v>0</v>
      </c>
      <c r="W1625" s="93">
        <f>IFERROR(__xludf.DUMMYFUNCTION("$E1625 - IFERROR(FILTER($E:$E,$C:$C = $C1625, $A:$A = $A1625, $B:$B = $B1625 - 1),0)"),0.0)</f>
        <v>0</v>
      </c>
      <c r="X1625" s="91">
        <f>IFERROR(__xludf.DUMMYFUNCTION("iFERROR((FILTER('Fund Investment Data'!$Z:$Z, 'Fund Investment Data'!$C:$C = $C1625, 'Fund Investment Data'!$A:$A = $A1625 - 1, 'Fund Investment Data'!$B:$B = 12) + FILTER('Fund Investment Data'!$AB:$AB, 'Fund Investment Data'!$C:$C = $C1625, 'Fund Invest"&amp;"ment Data'!$A:$A = $A1625 - 1, 'Fund Investment Data'!$B:$B = 12)) * (1 + AVERAGE(FILTER('Inflation Data'!$C:$C,'Inflation Data'!$A:$A = ($A1625 - 2)))) * Parameters!$A$4,0)"),7479.015292624062)</f>
        <v>7479.015293</v>
      </c>
      <c r="Y1625" s="91">
        <f>IFERROR(__xludf.DUMMYFUNCTION("IFERROR((IFERROR(FILTER('Fund Investment Data'!$P:$P,'Fund Investment Data'!$C:$C = $C1625,'Fund Investment Data'!$A:$A = ($A1625 - 2), 'Fund Investment Data'!$B:$B = 12),0) - SUM(FILTER('Fund Investment Data'!$V:$V, 'Fund Investment Data'!$C:$C = $C1625,"&amp;" 'Fund Investment Data'!$A:$A = ($A1625 - 2), 'Fund Investment Data'!$B:$B &gt; 3)))  * Parameters!$B$4 * (1 - Parameters!$A$4),0)"),2908.7654850000004)</f>
        <v>2908.765485</v>
      </c>
      <c r="Z1625" s="91">
        <f t="shared" si="24"/>
        <v>10387.78078</v>
      </c>
      <c r="AA1625" s="91">
        <f>IFERROR(__xludf.DUMMYFUNCTION("((IFERROR((SUM(FILTER('Fund Investment Data'!$V:$V, 'Fund Investment Data'!$C:$C = $C1625, 'Fund Investment Data'!$A:$A = $A1625 - 1, 'Fund Investment Data'!$B:$B &gt;= 4, 'Fund Investment Data'!$B:$B &lt;= ($B1625 + 5))) / 12) * ($B1625 - 3) * Parameters!$B$4,"&amp;" 0) + IF($B1625 &gt;= 9, IFERROR(SUM(FILTER('Fund Investment Data'!$V:$V, 'Fund Investment Data'!$C:$C = $C1625, 'Fund Investment Data'!$A:$A = $A1625, 'Fund Investment Data'!$B:$B &lt;= 3)) * Parameters!$B$4, 0),0)))"),0.0)</f>
        <v>0</v>
      </c>
      <c r="AB1625" s="32">
        <f>IFERROR(__xludf.DUMMYFUNCTION("IFERROR(((IFERROR(SUM(FILTER('Fund Investment Data'!$V:$V, 'Fund Investment Data'!$C:$C = $C1625, 'Fund Investment Data'!$A:$A = $A1625 - 2, 'Fund Investment Data'!$B:$B &gt;= 4)) * Parameters!$B$4,0) + IFERROR(SUM(FILTER('Fund Investment Data'!$V:$V, 'Fund "&amp;"Investment Data'!$C:$C = $C1625, 'Fund Investment Data'!$A:$A = $A1625 - 1, 'Fund Investment Data'!$B:$B &lt;= 3)) * Parameters!$B$4,0))),0)"),0.0)</f>
        <v>0</v>
      </c>
      <c r="AC1625" s="32">
        <f>IFERROR(__xludf.DUMMYFUNCTION("IFERROR(FILTER($AF:$AF,$C:$C = $C1625,$A:$A = $A1625 - 1,$B:$B = 12),0)"),0.0)</f>
        <v>0</v>
      </c>
      <c r="AD1625" s="32">
        <f t="shared" si="23"/>
        <v>10387.78078</v>
      </c>
      <c r="AE1625" s="32">
        <f t="shared" si="2"/>
        <v>-0.2192223759</v>
      </c>
      <c r="AF1625" s="32"/>
    </row>
    <row r="1626">
      <c r="A1626" s="86">
        <v>2019.0</v>
      </c>
      <c r="B1626" s="87">
        <v>12.0</v>
      </c>
      <c r="C1626" s="103" t="s">
        <v>32</v>
      </c>
      <c r="D1626" s="104">
        <v>0.0</v>
      </c>
      <c r="E1626" s="104">
        <v>-2440.0</v>
      </c>
      <c r="F1626" s="104">
        <v>0.0</v>
      </c>
      <c r="G1626" s="104">
        <v>-242.65</v>
      </c>
      <c r="H1626" s="104">
        <v>1271.23</v>
      </c>
      <c r="I1626" s="104">
        <v>1547.68</v>
      </c>
      <c r="J1626" s="104">
        <v>5666.89</v>
      </c>
      <c r="K1626" s="32"/>
      <c r="L1626" s="32"/>
      <c r="M1626" s="32"/>
      <c r="N1626" s="32"/>
      <c r="O1626" s="104">
        <v>53253.7</v>
      </c>
      <c r="P1626" s="91">
        <f>IFERROR(__xludf.DUMMYFUNCTION("IFERROR(sum(FILTER($D:$N,$C:$C = $C1626,$A:$A &lt; $A1626,$B:$B = 12)),0) + sum($D1626:$N1626)"),53253.300000000025)</f>
        <v>53253.3</v>
      </c>
      <c r="Q1626" s="92">
        <f t="shared" si="1"/>
        <v>0.4</v>
      </c>
      <c r="R1626" s="91">
        <f t="array" ref="R1626">IFERROR(INDEX('Fund YTD Target Values'!$1:$1000, MATCH($C1626,'Fund YTD Target Values'!$A:$A,0), MATCH($A1626,'Fund YTD Target Values'!$1:$1,0)),0)</f>
        <v>80613.71135</v>
      </c>
      <c r="S1626" s="91">
        <f>IFERROR(__xludf.DUMMYFUNCTION("IFERROR(sum(FILTER('Fund Investment Data'!$V:$V, 'Fund Investment Data'!$C:$C = $C1626, 'Fund Investment Data'!$A:$A &lt; $A1626)),0) + IFERROR(sum(FILTER('Fund Investment Data'!$V:$V, 'Fund Investment Data'!$C:$C = $C1626, 'Fund Investment Data'!$A:$A = $A1"&amp;"626, 'Fund Investment Data'!$B:$B &lt;= $B1626)),0)"),49449.04)</f>
        <v>49449.04</v>
      </c>
      <c r="T1626" s="32"/>
      <c r="U1626" s="32"/>
      <c r="V1626" s="32">
        <f>IFERROR(__xludf.DUMMYFUNCTION("$D1626 - IFERROR(FILTER($D:$D,$C:$C = $C1626, $A:$A = $A1626, $B:$B = $B1626 - 1),0)"),0.0)</f>
        <v>0</v>
      </c>
      <c r="W1626" s="93">
        <f>IFERROR(__xludf.DUMMYFUNCTION("$E1626 - IFERROR(FILTER($E:$E,$C:$C = $C1626, $A:$A = $A1626, $B:$B = $B1626 - 1),0)"),0.0)</f>
        <v>0</v>
      </c>
      <c r="X1626" s="91">
        <f>IFERROR(__xludf.DUMMYFUNCTION("iFERROR((FILTER('Fund Investment Data'!$Z:$Z, 'Fund Investment Data'!$C:$C = $C1626, 'Fund Investment Data'!$A:$A = $A1626 - 1, 'Fund Investment Data'!$B:$B = 12) + FILTER('Fund Investment Data'!$AB:$AB, 'Fund Investment Data'!$C:$C = $C1626, 'Fund Invest"&amp;"ment Data'!$A:$A = $A1626 - 1, 'Fund Investment Data'!$B:$B = 12)) * (1 + AVERAGE(FILTER('Inflation Data'!$C:$C,'Inflation Data'!$A:$A = ($A1626 - 2)))) * Parameters!$A$4,0)"),1718.9474190106023)</f>
        <v>1718.947419</v>
      </c>
      <c r="Y1626" s="91">
        <f>IFERROR(__xludf.DUMMYFUNCTION("IFERROR((IFERROR(FILTER('Fund Investment Data'!$P:$P,'Fund Investment Data'!$C:$C = $C1626,'Fund Investment Data'!$A:$A = ($A1626 - 2), 'Fund Investment Data'!$B:$B = 12),0) - SUM(FILTER('Fund Investment Data'!$V:$V, 'Fund Investment Data'!$C:$C = $C1626,"&amp;" 'Fund Investment Data'!$A:$A = ($A1626 - 2), 'Fund Investment Data'!$B:$B &gt; 3)))  * Parameters!$B$4 * (1 - Parameters!$A$4),0)"),721.3160700000005)</f>
        <v>721.31607</v>
      </c>
      <c r="Z1626" s="91">
        <f t="shared" si="24"/>
        <v>2440.263489</v>
      </c>
      <c r="AA1626" s="91">
        <f>IFERROR(__xludf.DUMMYFUNCTION("((IFERROR((SUM(FILTER('Fund Investment Data'!$V:$V, 'Fund Investment Data'!$C:$C = $C1626, 'Fund Investment Data'!$A:$A = $A1626 - 1, 'Fund Investment Data'!$B:$B &gt;= 4, 'Fund Investment Data'!$B:$B &lt;= ($B1626 + 5))) / 12) * ($B1626 - 3) * Parameters!$B$4,"&amp;" 0) + IF($B1626 &gt;= 9, IFERROR(SUM(FILTER('Fund Investment Data'!$V:$V, 'Fund Investment Data'!$C:$C = $C1626, 'Fund Investment Data'!$A:$A = $A1626, 'Fund Investment Data'!$B:$B &lt;= 3)) * Parameters!$B$4, 0),0)))"),0.0)</f>
        <v>0</v>
      </c>
      <c r="AB1626" s="32">
        <f>IFERROR(__xludf.DUMMYFUNCTION("IFERROR(((IFERROR(SUM(FILTER('Fund Investment Data'!$V:$V, 'Fund Investment Data'!$C:$C = $C1626, 'Fund Investment Data'!$A:$A = $A1626 - 2, 'Fund Investment Data'!$B:$B &gt;= 4)) * Parameters!$B$4,0) + IFERROR(SUM(FILTER('Fund Investment Data'!$V:$V, 'Fund "&amp;"Investment Data'!$C:$C = $C1626, 'Fund Investment Data'!$A:$A = $A1626 - 1, 'Fund Investment Data'!$B:$B &lt;= 3)) * Parameters!$B$4,0))),0)"),0.0)</f>
        <v>0</v>
      </c>
      <c r="AC1626" s="32">
        <f>IFERROR(__xludf.DUMMYFUNCTION("IFERROR(FILTER($AF:$AF,$C:$C = $C1626,$A:$A = $A1626 - 1,$B:$B = 12),0)"),0.0)</f>
        <v>0</v>
      </c>
      <c r="AD1626" s="32">
        <f t="shared" si="23"/>
        <v>2440.263489</v>
      </c>
      <c r="AE1626" s="32">
        <f t="shared" si="2"/>
        <v>0.2634890106</v>
      </c>
      <c r="AF1626" s="32"/>
    </row>
    <row r="1627">
      <c r="A1627" s="86">
        <v>2019.0</v>
      </c>
      <c r="B1627" s="87">
        <v>12.0</v>
      </c>
      <c r="C1627" s="103" t="s">
        <v>40</v>
      </c>
      <c r="D1627" s="104">
        <v>0.0</v>
      </c>
      <c r="E1627" s="104">
        <v>-7071.0</v>
      </c>
      <c r="F1627" s="104">
        <v>0.0</v>
      </c>
      <c r="G1627" s="104">
        <v>-686.39</v>
      </c>
      <c r="H1627" s="104">
        <v>3619.13</v>
      </c>
      <c r="I1627" s="104">
        <v>5857.62</v>
      </c>
      <c r="J1627" s="104">
        <v>14881.68</v>
      </c>
      <c r="K1627" s="32"/>
      <c r="L1627" s="32"/>
      <c r="M1627" s="32"/>
      <c r="N1627" s="32"/>
      <c r="O1627" s="104">
        <v>153046.19</v>
      </c>
      <c r="P1627" s="91">
        <f>IFERROR(__xludf.DUMMYFUNCTION("IFERROR(sum(FILTER($D:$N,$C:$C = $C1627,$A:$A &lt; $A1627,$B:$B = 12)),0) + sum($D1627:$N1627)"),153046.14999999994)</f>
        <v>153046.15</v>
      </c>
      <c r="Q1627" s="92">
        <f t="shared" si="1"/>
        <v>0.04000000007</v>
      </c>
      <c r="R1627" s="91">
        <f t="array" ref="R1627">IFERROR(INDEX('Fund YTD Target Values'!$1:$1000, MATCH($C1627,'Fund YTD Target Values'!$A:$A,0), MATCH($A1627,'Fund YTD Target Values'!$1:$1,0)),0)</f>
        <v>164286.6043</v>
      </c>
      <c r="S1627" s="91">
        <f>IFERROR(__xludf.DUMMYFUNCTION("IFERROR(sum(FILTER('Fund Investment Data'!$V:$V, 'Fund Investment Data'!$C:$C = $C1627, 'Fund Investment Data'!$A:$A &lt; $A1627)),0) + IFERROR(sum(FILTER('Fund Investment Data'!$V:$V, 'Fund Investment Data'!$C:$C = $C1627, 'Fund Investment Data'!$A:$A = $A1"&amp;"627, 'Fund Investment Data'!$B:$B &lt;= $B1627)),0)"),129703.74)</f>
        <v>129703.74</v>
      </c>
      <c r="T1627" s="32"/>
      <c r="U1627" s="32"/>
      <c r="V1627" s="32">
        <f>IFERROR(__xludf.DUMMYFUNCTION("$D1627 - IFERROR(FILTER($D:$D,$C:$C = $C1627, $A:$A = $A1627, $B:$B = $B1627 - 1),0)"),0.0)</f>
        <v>0</v>
      </c>
      <c r="W1627" s="93">
        <f>IFERROR(__xludf.DUMMYFUNCTION("$E1627 - IFERROR(FILTER($E:$E,$C:$C = $C1627, $A:$A = $A1627, $B:$B = $B1627 - 1),0)"),0.0)</f>
        <v>0</v>
      </c>
      <c r="X1627" s="91">
        <f>IFERROR(__xludf.DUMMYFUNCTION("iFERROR((FILTER('Fund Investment Data'!$Z:$Z, 'Fund Investment Data'!$C:$C = $C1627, 'Fund Investment Data'!$A:$A = $A1627 - 1, 'Fund Investment Data'!$B:$B = 12) + FILTER('Fund Investment Data'!$AB:$AB, 'Fund Investment Data'!$C:$C = $C1627, 'Fund Invest"&amp;"ment Data'!$A:$A = $A1627 - 1, 'Fund Investment Data'!$B:$B = 12)) * (1 + AVERAGE(FILTER('Inflation Data'!$C:$C,'Inflation Data'!$A:$A = ($A1627 - 2)))) * Parameters!$A$4,0)"),4980.550706212943)</f>
        <v>4980.550706</v>
      </c>
      <c r="Y1627" s="91">
        <f>IFERROR(__xludf.DUMMYFUNCTION("IFERROR((IFERROR(FILTER('Fund Investment Data'!$P:$P,'Fund Investment Data'!$C:$C = $C1627,'Fund Investment Data'!$A:$A = ($A1627 - 2), 'Fund Investment Data'!$B:$B = 12),0) - SUM(FILTER('Fund Investment Data'!$V:$V, 'Fund Investment Data'!$C:$C = $C1627,"&amp;" 'Fund Investment Data'!$A:$A = ($A1627 - 2), 'Fund Investment Data'!$B:$B &gt; 3)))  * Parameters!$B$4 * (1 - Parameters!$A$4),0)"),2089.971585)</f>
        <v>2089.971585</v>
      </c>
      <c r="Z1627" s="91">
        <f t="shared" si="24"/>
        <v>7070.522291</v>
      </c>
      <c r="AA1627" s="91">
        <f>IFERROR(__xludf.DUMMYFUNCTION("((IFERROR((SUM(FILTER('Fund Investment Data'!$V:$V, 'Fund Investment Data'!$C:$C = $C1627, 'Fund Investment Data'!$A:$A = $A1627 - 1, 'Fund Investment Data'!$B:$B &gt;= 4, 'Fund Investment Data'!$B:$B &lt;= ($B1627 + 5))) / 12) * ($B1627 - 3) * Parameters!$B$4,"&amp;" 0) + IF($B1627 &gt;= 9, IFERROR(SUM(FILTER('Fund Investment Data'!$V:$V, 'Fund Investment Data'!$C:$C = $C1627, 'Fund Investment Data'!$A:$A = $A1627, 'Fund Investment Data'!$B:$B &lt;= 3)) * Parameters!$B$4, 0),0)))"),0.0)</f>
        <v>0</v>
      </c>
      <c r="AB1627" s="32">
        <f>IFERROR(__xludf.DUMMYFUNCTION("IFERROR(((IFERROR(SUM(FILTER('Fund Investment Data'!$V:$V, 'Fund Investment Data'!$C:$C = $C1627, 'Fund Investment Data'!$A:$A = $A1627 - 2, 'Fund Investment Data'!$B:$B &gt;= 4)) * Parameters!$B$4,0) + IFERROR(SUM(FILTER('Fund Investment Data'!$V:$V, 'Fund "&amp;"Investment Data'!$C:$C = $C1627, 'Fund Investment Data'!$A:$A = $A1627 - 1, 'Fund Investment Data'!$B:$B &lt;= 3)) * Parameters!$B$4,0))),0)"),0.0)</f>
        <v>0</v>
      </c>
      <c r="AC1627" s="32">
        <f>IFERROR(__xludf.DUMMYFUNCTION("IFERROR(FILTER($AF:$AF,$C:$C = $C1627,$A:$A = $A1627 - 1,$B:$B = 12),0)"),0.0)</f>
        <v>0</v>
      </c>
      <c r="AD1627" s="32">
        <f t="shared" si="23"/>
        <v>7070.522291</v>
      </c>
      <c r="AE1627" s="32">
        <f t="shared" si="2"/>
        <v>-0.4777087871</v>
      </c>
      <c r="AF1627" s="32"/>
    </row>
    <row r="1628">
      <c r="A1628" s="86">
        <v>2019.0</v>
      </c>
      <c r="B1628" s="87">
        <v>12.0</v>
      </c>
      <c r="C1628" s="103" t="s">
        <v>51</v>
      </c>
      <c r="D1628" s="104">
        <v>1000.0</v>
      </c>
      <c r="E1628" s="104">
        <v>-35459.0</v>
      </c>
      <c r="F1628" s="104">
        <v>0.0</v>
      </c>
      <c r="G1628" s="104">
        <v>-2256.06</v>
      </c>
      <c r="H1628" s="104">
        <v>11723.01</v>
      </c>
      <c r="I1628" s="104">
        <v>15072.51</v>
      </c>
      <c r="J1628" s="104">
        <v>49649.05</v>
      </c>
      <c r="K1628" s="32"/>
      <c r="L1628" s="32"/>
      <c r="M1628" s="32"/>
      <c r="N1628" s="32"/>
      <c r="O1628" s="104">
        <v>481859.54</v>
      </c>
      <c r="P1628" s="91">
        <f>IFERROR(__xludf.DUMMYFUNCTION("IFERROR(sum(FILTER($D:$N,$C:$C = $C1628,$A:$A &lt; $A1628,$B:$B = 12)),0) + sum($D1628:$N1628)"),481859.5200000001)</f>
        <v>481859.52</v>
      </c>
      <c r="Q1628" s="92">
        <f t="shared" si="1"/>
        <v>0.0199999999</v>
      </c>
      <c r="R1628" s="91">
        <f t="array" ref="R1628">IFERROR(INDEX('Fund YTD Target Values'!$1:$1000, MATCH($C1628,'Fund YTD Target Values'!$A:$A,0), MATCH($A1628,'Fund YTD Target Values'!$1:$1,0)),0)</f>
        <v>460355.013</v>
      </c>
      <c r="S1628" s="91">
        <f>IFERROR(__xludf.DUMMYFUNCTION("IFERROR(sum(FILTER('Fund Investment Data'!$V:$V, 'Fund Investment Data'!$C:$C = $C1628, 'Fund Investment Data'!$A:$A &lt; $A1628)),0) + IFERROR(sum(FILTER('Fund Investment Data'!$V:$V, 'Fund Investment Data'!$C:$C = $C1628, 'Fund Investment Data'!$A:$A = $A1"&amp;"628, 'Fund Investment Data'!$B:$B &lt;= $B1628)),0)"),420073.55)</f>
        <v>420073.55</v>
      </c>
      <c r="T1628" s="32"/>
      <c r="U1628" s="32"/>
      <c r="V1628" s="32">
        <f>IFERROR(__xludf.DUMMYFUNCTION("$D1628 - IFERROR(FILTER($D:$D,$C:$C = $C1628, $A:$A = $A1628, $B:$B = $B1628 - 1),0)"),0.0)</f>
        <v>0</v>
      </c>
      <c r="W1628" s="93">
        <f>IFERROR(__xludf.DUMMYFUNCTION("$E1628 - IFERROR(FILTER($E:$E,$C:$C = $C1628, $A:$A = $A1628, $B:$B = $B1628 - 1),0)"),0.0)</f>
        <v>0</v>
      </c>
      <c r="X1628" s="91">
        <f>IFERROR(__xludf.DUMMYFUNCTION("iFERROR((FILTER('Fund Investment Data'!$Z:$Z, 'Fund Investment Data'!$C:$C = $C1628, 'Fund Investment Data'!$A:$A = $A1628 - 1, 'Fund Investment Data'!$B:$B = 12) + FILTER('Fund Investment Data'!$AB:$AB, 'Fund Investment Data'!$C:$C = $C1628, 'Fund Invest"&amp;"ment Data'!$A:$A = $A1628 - 1, 'Fund Investment Data'!$B:$B = 12)) * (1 + AVERAGE(FILTER('Inflation Data'!$C:$C,'Inflation Data'!$A:$A = ($A1628 - 2)))) * Parameters!$A$4,0)"),14060.066994776611)</f>
        <v>14060.06699</v>
      </c>
      <c r="Y1628" s="91">
        <f>IFERROR(__xludf.DUMMYFUNCTION("IFERROR((IFERROR(FILTER('Fund Investment Data'!$P:$P,'Fund Investment Data'!$C:$C = $C1628,'Fund Investment Data'!$A:$A = ($A1628 - 2), 'Fund Investment Data'!$B:$B = 12),0) - SUM(FILTER('Fund Investment Data'!$V:$V, 'Fund Investment Data'!$C:$C = $C1628,"&amp;" 'Fund Investment Data'!$A:$A = ($A1628 - 2), 'Fund Investment Data'!$B:$B &gt; 3)))  * Parameters!$B$4 * (1 - Parameters!$A$4),0)"),6507.701055)</f>
        <v>6507.701055</v>
      </c>
      <c r="Z1628" s="91">
        <f t="shared" si="24"/>
        <v>20567.76805</v>
      </c>
      <c r="AA1628" s="91">
        <f>IFERROR(__xludf.DUMMYFUNCTION("((IFERROR((SUM(FILTER('Fund Investment Data'!$V:$V, 'Fund Investment Data'!$C:$C = $C1628, 'Fund Investment Data'!$A:$A = $A1628 - 1, 'Fund Investment Data'!$B:$B &gt;= 4, 'Fund Investment Data'!$B:$B &lt;= ($B1628 + 5))) / 12) * ($B1628 - 3) * Parameters!$B$4,"&amp;" 0) + IF($B1628 &gt;= 9, IFERROR(SUM(FILTER('Fund Investment Data'!$V:$V, 'Fund Investment Data'!$C:$C = $C1628, 'Fund Investment Data'!$A:$A = $A1628, 'Fund Investment Data'!$B:$B &lt;= 3)) * Parameters!$B$4, 0),0)))"),86.0625)</f>
        <v>86.0625</v>
      </c>
      <c r="AB1628" s="32">
        <f>IFERROR(__xludf.DUMMYFUNCTION("IFERROR(((IFERROR(SUM(FILTER('Fund Investment Data'!$V:$V, 'Fund Investment Data'!$C:$C = $C1628, 'Fund Investment Data'!$A:$A = $A1628 - 2, 'Fund Investment Data'!$B:$B &gt;= 4)) * Parameters!$B$4,0) + IFERROR(SUM(FILTER('Fund Investment Data'!$V:$V, 'Fund "&amp;"Investment Data'!$C:$C = $C1628, 'Fund Investment Data'!$A:$A = $A1628 - 1, 'Fund Investment Data'!$B:$B &lt;= 3)) * Parameters!$B$4,0))),0)"),153.0)</f>
        <v>153</v>
      </c>
      <c r="AC1628" s="32">
        <f>IFERROR(__xludf.DUMMYFUNCTION("IFERROR(FILTER($AF:$AF,$C:$C = $C1628,$A:$A = $A1628 - 1,$B:$B = 12),0)"),14700.0)</f>
        <v>14700</v>
      </c>
      <c r="AD1628" s="32">
        <f t="shared" si="23"/>
        <v>35506.83055</v>
      </c>
      <c r="AE1628" s="32">
        <f t="shared" si="2"/>
        <v>47.83054978</v>
      </c>
      <c r="AF1628" s="32"/>
    </row>
    <row r="1629">
      <c r="A1629" s="86">
        <v>2019.0</v>
      </c>
      <c r="B1629" s="87">
        <v>12.0</v>
      </c>
      <c r="C1629" s="103" t="s">
        <v>48</v>
      </c>
      <c r="D1629" s="104">
        <v>0.0</v>
      </c>
      <c r="E1629" s="104">
        <v>-57027.0</v>
      </c>
      <c r="F1629" s="104">
        <v>0.0</v>
      </c>
      <c r="G1629" s="104">
        <v>-5518.74</v>
      </c>
      <c r="H1629" s="104">
        <v>29091.57</v>
      </c>
      <c r="I1629" s="104">
        <v>50473.85</v>
      </c>
      <c r="J1629" s="104">
        <v>115715.51</v>
      </c>
      <c r="K1629" s="32"/>
      <c r="L1629" s="32"/>
      <c r="M1629" s="32"/>
      <c r="N1629" s="32"/>
      <c r="O1629" s="104">
        <v>1225949.9</v>
      </c>
      <c r="P1629" s="91">
        <f>IFERROR(__xludf.DUMMYFUNCTION("IFERROR(sum(FILTER($D:$N,$C:$C = $C1629,$A:$A &lt; $A1629,$B:$B = 12)),0) + sum($D1629:$N1629)"),1225948.5799999996)</f>
        <v>1225948.58</v>
      </c>
      <c r="Q1629" s="92">
        <f t="shared" si="1"/>
        <v>1.32</v>
      </c>
      <c r="R1629" s="91">
        <f t="array" ref="R1629">IFERROR(INDEX('Fund YTD Target Values'!$1:$1000, MATCH($C1629,'Fund YTD Target Values'!$A:$A,0), MATCH($A1629,'Fund YTD Target Values'!$1:$1,0)),0)</f>
        <v>1930631.639</v>
      </c>
      <c r="S1629" s="91">
        <f>IFERROR(__xludf.DUMMYFUNCTION("IFERROR(sum(FILTER('Fund Investment Data'!$V:$V, 'Fund Investment Data'!$C:$C = $C1629, 'Fund Investment Data'!$A:$A &lt; $A1629)),0) + IFERROR(sum(FILTER('Fund Investment Data'!$V:$V, 'Fund Investment Data'!$C:$C = $C1629, 'Fund Investment Data'!$A:$A = $A1"&amp;"629, 'Fund Investment Data'!$B:$B &lt;= $B1629)),0)"),1183929.39)</f>
        <v>1183929.39</v>
      </c>
      <c r="T1629" s="32"/>
      <c r="U1629" s="32"/>
      <c r="V1629" s="32">
        <f>IFERROR(__xludf.DUMMYFUNCTION("$D1629 - IFERROR(FILTER($D:$D,$C:$C = $C1629, $A:$A = $A1629, $B:$B = $B1629 - 1),0)"),0.0)</f>
        <v>0</v>
      </c>
      <c r="W1629" s="93">
        <f>IFERROR(__xludf.DUMMYFUNCTION("$E1629 - IFERROR(FILTER($E:$E,$C:$C = $C1629, $A:$A = $A1629, $B:$B = $B1629 - 1),0)"),0.0)</f>
        <v>0</v>
      </c>
      <c r="X1629" s="91">
        <f>IFERROR(__xludf.DUMMYFUNCTION("iFERROR((FILTER('Fund Investment Data'!$Z:$Z, 'Fund Investment Data'!$C:$C = $C1629, 'Fund Investment Data'!$A:$A = $A1629 - 1, 'Fund Investment Data'!$B:$B = 12) + FILTER('Fund Investment Data'!$AB:$AB, 'Fund Investment Data'!$C:$C = $C1629, 'Fund Invest"&amp;"ment Data'!$A:$A = $A1629 - 1, 'Fund Investment Data'!$B:$B = 12)) * (1 + AVERAGE(FILTER('Inflation Data'!$C:$C,'Inflation Data'!$A:$A = ($A1629 - 2)))) * Parameters!$A$4,0)"),40170.623919220896)</f>
        <v>40170.62392</v>
      </c>
      <c r="Y1629" s="91">
        <f>IFERROR(__xludf.DUMMYFUNCTION("IFERROR((IFERROR(FILTER('Fund Investment Data'!$P:$P,'Fund Investment Data'!$C:$C = $C1629,'Fund Investment Data'!$A:$A = ($A1629 - 2), 'Fund Investment Data'!$B:$B = 12),0) - SUM(FILTER('Fund Investment Data'!$V:$V, 'Fund Investment Data'!$C:$C = $C1629,"&amp;" 'Fund Investment Data'!$A:$A = ($A1629 - 2), 'Fund Investment Data'!$B:$B &gt; 3)))  * Parameters!$B$4 * (1 - Parameters!$A$4),0)"),16856.662545)</f>
        <v>16856.66255</v>
      </c>
      <c r="Z1629" s="91">
        <f t="shared" si="24"/>
        <v>57027.28646</v>
      </c>
      <c r="AA1629" s="91">
        <f>IFERROR(__xludf.DUMMYFUNCTION("((IFERROR((SUM(FILTER('Fund Investment Data'!$V:$V, 'Fund Investment Data'!$C:$C = $C1629, 'Fund Investment Data'!$A:$A = $A1629 - 1, 'Fund Investment Data'!$B:$B &gt;= 4, 'Fund Investment Data'!$B:$B &lt;= ($B1629 + 5))) / 12) * ($B1629 - 3) * Parameters!$B$4,"&amp;" 0) + IF($B1629 &gt;= 9, IFERROR(SUM(FILTER('Fund Investment Data'!$V:$V, 'Fund Investment Data'!$C:$C = $C1629, 'Fund Investment Data'!$A:$A = $A1629, 'Fund Investment Data'!$B:$B &lt;= 3)) * Parameters!$B$4, 0),0)))"),0.0)</f>
        <v>0</v>
      </c>
      <c r="AB1629" s="32">
        <f>IFERROR(__xludf.DUMMYFUNCTION("IFERROR(((IFERROR(SUM(FILTER('Fund Investment Data'!$V:$V, 'Fund Investment Data'!$C:$C = $C1629, 'Fund Investment Data'!$A:$A = $A1629 - 2, 'Fund Investment Data'!$B:$B &gt;= 4)) * Parameters!$B$4,0) + IFERROR(SUM(FILTER('Fund Investment Data'!$V:$V, 'Fund "&amp;"Investment Data'!$C:$C = $C1629, 'Fund Investment Data'!$A:$A = $A1629 - 1, 'Fund Investment Data'!$B:$B &lt;= 3)) * Parameters!$B$4,0))),0)"),0.0)</f>
        <v>0</v>
      </c>
      <c r="AC1629" s="32">
        <f>IFERROR(__xludf.DUMMYFUNCTION("IFERROR(FILTER($AF:$AF,$C:$C = $C1629,$A:$A = $A1629 - 1,$B:$B = 12),0)"),0.0)</f>
        <v>0</v>
      </c>
      <c r="AD1629" s="32">
        <f t="shared" si="23"/>
        <v>57027.28646</v>
      </c>
      <c r="AE1629" s="32">
        <f t="shared" si="2"/>
        <v>0.2864642209</v>
      </c>
      <c r="AF1629" s="32"/>
    </row>
    <row r="1630">
      <c r="A1630" s="86">
        <v>2019.0</v>
      </c>
      <c r="B1630" s="87">
        <v>12.0</v>
      </c>
      <c r="C1630" s="103" t="s">
        <v>49</v>
      </c>
      <c r="D1630" s="104">
        <v>0.0</v>
      </c>
      <c r="E1630" s="104">
        <v>-25015.0</v>
      </c>
      <c r="F1630" s="104">
        <v>0.0</v>
      </c>
      <c r="G1630" s="104">
        <v>-2389.66</v>
      </c>
      <c r="H1630" s="104">
        <v>12605.19</v>
      </c>
      <c r="I1630" s="104">
        <v>21936.78</v>
      </c>
      <c r="J1630" s="104">
        <v>50131.05</v>
      </c>
      <c r="K1630" s="32"/>
      <c r="L1630" s="32"/>
      <c r="M1630" s="32"/>
      <c r="N1630" s="32"/>
      <c r="O1630" s="104">
        <v>531502.38</v>
      </c>
      <c r="P1630" s="91">
        <f>IFERROR(__xludf.DUMMYFUNCTION("IFERROR(sum(FILTER($D:$N,$C:$C = $C1630,$A:$A &lt; $A1630,$B:$B = 12)),0) + sum($D1630:$N1630)"),531502.6799999998)</f>
        <v>531502.68</v>
      </c>
      <c r="Q1630" s="92">
        <f t="shared" si="1"/>
        <v>-0.2999999998</v>
      </c>
      <c r="R1630" s="91">
        <f t="array" ref="R1630">IFERROR(INDEX('Fund YTD Target Values'!$1:$1000, MATCH($C1630,'Fund YTD Target Values'!$A:$A,0), MATCH($A1630,'Fund YTD Target Values'!$1:$1,0)),0)</f>
        <v>714091.1961</v>
      </c>
      <c r="S1630" s="91">
        <f>IFERROR(__xludf.DUMMYFUNCTION("IFERROR(sum(FILTER('Fund Investment Data'!$V:$V, 'Fund Investment Data'!$C:$C = $C1630, 'Fund Investment Data'!$A:$A &lt; $A1630)),0) + IFERROR(sum(FILTER('Fund Investment Data'!$V:$V, 'Fund Investment Data'!$C:$C = $C1630, 'Fund Investment Data'!$A:$A = $A1"&amp;"630, 'Fund Investment Data'!$B:$B &lt;= $B1630)),0)"),500000.0)</f>
        <v>500000</v>
      </c>
      <c r="T1630" s="32"/>
      <c r="U1630" s="32"/>
      <c r="V1630" s="32">
        <f>IFERROR(__xludf.DUMMYFUNCTION("$D1630 - IFERROR(FILTER($D:$D,$C:$C = $C1630, $A:$A = $A1630, $B:$B = $B1630 - 1),0)"),0.0)</f>
        <v>0</v>
      </c>
      <c r="W1630" s="93">
        <f>IFERROR(__xludf.DUMMYFUNCTION("$E1630 - IFERROR(FILTER($E:$E,$C:$C = $C1630, $A:$A = $A1630, $B:$B = $B1630 - 1),0)"),0.0)</f>
        <v>0</v>
      </c>
      <c r="X1630" s="91">
        <f>IFERROR(__xludf.DUMMYFUNCTION("iFERROR((FILTER('Fund Investment Data'!$Z:$Z, 'Fund Investment Data'!$C:$C = $C1630, 'Fund Investment Data'!$A:$A = $A1630 - 1, 'Fund Investment Data'!$B:$B = 12) + FILTER('Fund Investment Data'!$AB:$AB, 'Fund Investment Data'!$C:$C = $C1630, 'Fund Invest"&amp;"ment Data'!$A:$A = $A1630 - 1, 'Fund Investment Data'!$B:$B = 12)) * (1 + AVERAGE(FILTER('Inflation Data'!$C:$C,'Inflation Data'!$A:$A = ($A1630 - 2)))) * Parameters!$A$4,0)"),17620.730663710416)</f>
        <v>17620.73066</v>
      </c>
      <c r="Y1630" s="91">
        <f>IFERROR(__xludf.DUMMYFUNCTION("IFERROR((IFERROR(FILTER('Fund Investment Data'!$P:$P,'Fund Investment Data'!$C:$C = $C1630,'Fund Investment Data'!$A:$A = ($A1630 - 2), 'Fund Investment Data'!$B:$B = 12),0) - SUM(FILTER('Fund Investment Data'!$V:$V, 'Fund Investment Data'!$C:$C = $C1630,"&amp;" 'Fund Investment Data'!$A:$A = ($A1630 - 2), 'Fund Investment Data'!$B:$B &gt; 3)))  * Parameters!$B$4 * (1 - Parameters!$A$4),0)"),7394.127389999999)</f>
        <v>7394.12739</v>
      </c>
      <c r="Z1630" s="91">
        <f t="shared" si="24"/>
        <v>25014.85805</v>
      </c>
      <c r="AA1630" s="91">
        <f>IFERROR(__xludf.DUMMYFUNCTION("((IFERROR((SUM(FILTER('Fund Investment Data'!$V:$V, 'Fund Investment Data'!$C:$C = $C1630, 'Fund Investment Data'!$A:$A = $A1630 - 1, 'Fund Investment Data'!$B:$B &gt;= 4, 'Fund Investment Data'!$B:$B &lt;= ($B1630 + 5))) / 12) * ($B1630 - 3) * Parameters!$B$4,"&amp;" 0) + IF($B1630 &gt;= 9, IFERROR(SUM(FILTER('Fund Investment Data'!$V:$V, 'Fund Investment Data'!$C:$C = $C1630, 'Fund Investment Data'!$A:$A = $A1630, 'Fund Investment Data'!$B:$B &lt;= 3)) * Parameters!$B$4, 0),0)))"),0.0)</f>
        <v>0</v>
      </c>
      <c r="AB1630" s="32">
        <f>IFERROR(__xludf.DUMMYFUNCTION("IFERROR(((IFERROR(SUM(FILTER('Fund Investment Data'!$V:$V, 'Fund Investment Data'!$C:$C = $C1630, 'Fund Investment Data'!$A:$A = $A1630 - 2, 'Fund Investment Data'!$B:$B &gt;= 4)) * Parameters!$B$4,0) + IFERROR(SUM(FILTER('Fund Investment Data'!$V:$V, 'Fund "&amp;"Investment Data'!$C:$C = $C1630, 'Fund Investment Data'!$A:$A = $A1630 - 1, 'Fund Investment Data'!$B:$B &lt;= 3)) * Parameters!$B$4,0))),0)"),0.0)</f>
        <v>0</v>
      </c>
      <c r="AC1630" s="32">
        <f>IFERROR(__xludf.DUMMYFUNCTION("IFERROR(FILTER($AF:$AF,$C:$C = $C1630,$A:$A = $A1630 - 1,$B:$B = 12),0)"),0.0)</f>
        <v>0</v>
      </c>
      <c r="AD1630" s="32">
        <f t="shared" si="23"/>
        <v>25014.85805</v>
      </c>
      <c r="AE1630" s="32">
        <f t="shared" si="2"/>
        <v>-0.1419462896</v>
      </c>
      <c r="AF1630" s="32"/>
    </row>
    <row r="1631">
      <c r="A1631" s="86">
        <v>2019.0</v>
      </c>
      <c r="B1631" s="87">
        <v>12.0</v>
      </c>
      <c r="C1631" s="103" t="s">
        <v>41</v>
      </c>
      <c r="D1631" s="104">
        <v>0.0</v>
      </c>
      <c r="E1631" s="104">
        <v>-27282.0</v>
      </c>
      <c r="F1631" s="104">
        <v>0.0</v>
      </c>
      <c r="G1631" s="104">
        <v>-2975.38</v>
      </c>
      <c r="H1631" s="104">
        <v>15630.07</v>
      </c>
      <c r="I1631" s="104">
        <v>25140.61</v>
      </c>
      <c r="J1631" s="104">
        <v>63632.09</v>
      </c>
      <c r="K1631" s="32"/>
      <c r="L1631" s="32"/>
      <c r="M1631" s="32"/>
      <c r="N1631" s="32"/>
      <c r="O1631" s="104">
        <v>657322.86</v>
      </c>
      <c r="P1631" s="91">
        <f>IFERROR(__xludf.DUMMYFUNCTION("IFERROR(sum(FILTER($D:$N,$C:$C = $C1631,$A:$A &lt; $A1631,$B:$B = 12)),0) + sum($D1631:$N1631)"),657323.7100000001)</f>
        <v>657323.71</v>
      </c>
      <c r="Q1631" s="92">
        <f t="shared" si="1"/>
        <v>-0.8500000001</v>
      </c>
      <c r="R1631" s="91">
        <f t="array" ref="R1631">IFERROR(INDEX('Fund YTD Target Values'!$1:$1000, MATCH($C1631,'Fund YTD Target Values'!$A:$A,0), MATCH($A1631,'Fund YTD Target Values'!$1:$1,0)),0)</f>
        <v>598621.3568</v>
      </c>
      <c r="S1631" s="91">
        <f>IFERROR(__xludf.DUMMYFUNCTION("IFERROR(sum(FILTER('Fund Investment Data'!$V:$V, 'Fund Investment Data'!$C:$C = $C1631, 'Fund Investment Data'!$A:$A &lt; $A1631)),0) + IFERROR(sum(FILTER('Fund Investment Data'!$V:$V, 'Fund Investment Data'!$C:$C = $C1631, 'Fund Investment Data'!$A:$A = $A1"&amp;"631, 'Fund Investment Data'!$B:$B &lt;= $B1631)),0)"),433755.86)</f>
        <v>433755.86</v>
      </c>
      <c r="T1631" s="32"/>
      <c r="U1631" s="32"/>
      <c r="V1631" s="32">
        <f>IFERROR(__xludf.DUMMYFUNCTION("$D1631 - IFERROR(FILTER($D:$D,$C:$C = $C1631, $A:$A = $A1631, $B:$B = $B1631 - 1),0)"),0.0)</f>
        <v>0</v>
      </c>
      <c r="W1631" s="93">
        <f>IFERROR(__xludf.DUMMYFUNCTION("$E1631 - IFERROR(FILTER($E:$E,$C:$C = $C1631, $A:$A = $A1631, $B:$B = $B1631 - 1),0)"),0.0)</f>
        <v>0</v>
      </c>
      <c r="X1631" s="91">
        <f>IFERROR(__xludf.DUMMYFUNCTION("iFERROR((FILTER('Fund Investment Data'!$Z:$Z, 'Fund Investment Data'!$C:$C = $C1631, 'Fund Investment Data'!$A:$A = $A1631 - 1, 'Fund Investment Data'!$B:$B = 12) + FILTER('Fund Investment Data'!$AB:$AB, 'Fund Investment Data'!$C:$C = $C1631, 'Fund Invest"&amp;"ment Data'!$A:$A = $A1631 - 1, 'Fund Investment Data'!$B:$B = 12)) * (1 + AVERAGE(FILTER('Inflation Data'!$C:$C,'Inflation Data'!$A:$A = ($A1631 - 2)))) * Parameters!$A$4,0)"),18464.76285534869)</f>
        <v>18464.76286</v>
      </c>
      <c r="Y1631" s="91">
        <f>IFERROR(__xludf.DUMMYFUNCTION("IFERROR((IFERROR(FILTER('Fund Investment Data'!$P:$P,'Fund Investment Data'!$C:$C = $C1631,'Fund Investment Data'!$A:$A = ($A1631 - 2), 'Fund Investment Data'!$B:$B = 12),0) - SUM(FILTER('Fund Investment Data'!$V:$V, 'Fund Investment Data'!$C:$C = $C1631,"&amp;" 'Fund Investment Data'!$A:$A = ($A1631 - 2), 'Fund Investment Data'!$B:$B &gt; 3)))  * Parameters!$B$4 * (1 - Parameters!$A$4),0)"),8817.111225000002)</f>
        <v>8817.111225</v>
      </c>
      <c r="Z1631" s="91">
        <f t="shared" si="24"/>
        <v>27281.87408</v>
      </c>
      <c r="AA1631" s="91">
        <f>IFERROR(__xludf.DUMMYFUNCTION("((IFERROR((SUM(FILTER('Fund Investment Data'!$V:$V, 'Fund Investment Data'!$C:$C = $C1631, 'Fund Investment Data'!$A:$A = $A1631 - 1, 'Fund Investment Data'!$B:$B &gt;= 4, 'Fund Investment Data'!$B:$B &lt;= ($B1631 + 5))) / 12) * ($B1631 - 3) * Parameters!$B$4,"&amp;" 0) + IF($B1631 &gt;= 9, IFERROR(SUM(FILTER('Fund Investment Data'!$V:$V, 'Fund Investment Data'!$C:$C = $C1631, 'Fund Investment Data'!$A:$A = $A1631, 'Fund Investment Data'!$B:$B &lt;= 3)) * Parameters!$B$4, 0),0)))"),0.0)</f>
        <v>0</v>
      </c>
      <c r="AB1631" s="32">
        <f>IFERROR(__xludf.DUMMYFUNCTION("IFERROR(((IFERROR(SUM(FILTER('Fund Investment Data'!$V:$V, 'Fund Investment Data'!$C:$C = $C1631, 'Fund Investment Data'!$A:$A = $A1631 - 2, 'Fund Investment Data'!$B:$B &gt;= 4)) * Parameters!$B$4,0) + IFERROR(SUM(FILTER('Fund Investment Data'!$V:$V, 'Fund "&amp;"Investment Data'!$C:$C = $C1631, 'Fund Investment Data'!$A:$A = $A1631 - 1, 'Fund Investment Data'!$B:$B &lt;= 3)) * Parameters!$B$4,0))),0)"),0.0)</f>
        <v>0</v>
      </c>
      <c r="AC1631" s="32">
        <f>IFERROR(__xludf.DUMMYFUNCTION("IFERROR(FILTER($AF:$AF,$C:$C = $C1631,$A:$A = $A1631 - 1,$B:$B = 12),0)"),0.0)</f>
        <v>0</v>
      </c>
      <c r="AD1631" s="32">
        <f t="shared" si="23"/>
        <v>27281.87408</v>
      </c>
      <c r="AE1631" s="32">
        <f t="shared" si="2"/>
        <v>-0.1259196513</v>
      </c>
      <c r="AF1631" s="32"/>
    </row>
    <row r="1632">
      <c r="A1632" s="86">
        <v>2019.0</v>
      </c>
      <c r="B1632" s="87">
        <v>12.0</v>
      </c>
      <c r="C1632" s="103" t="s">
        <v>25</v>
      </c>
      <c r="D1632" s="104">
        <v>0.0</v>
      </c>
      <c r="E1632" s="104">
        <v>-4616.0</v>
      </c>
      <c r="F1632" s="104">
        <v>0.0</v>
      </c>
      <c r="G1632" s="104">
        <v>-383.96</v>
      </c>
      <c r="H1632" s="104">
        <v>2003.48</v>
      </c>
      <c r="I1632" s="104">
        <v>3500.76</v>
      </c>
      <c r="J1632" s="104">
        <v>7804.82</v>
      </c>
      <c r="K1632" s="32"/>
      <c r="L1632" s="32"/>
      <c r="M1632" s="32"/>
      <c r="N1632" s="32"/>
      <c r="O1632" s="104">
        <v>83147.08</v>
      </c>
      <c r="P1632" s="91">
        <f>IFERROR(__xludf.DUMMYFUNCTION("IFERROR(sum(FILTER($D:$N,$C:$C = $C1632,$A:$A &lt; $A1632,$B:$B = 12)),0) + sum($D1632:$N1632)"),83147.07)</f>
        <v>83147.07</v>
      </c>
      <c r="Q1632" s="92">
        <f t="shared" si="1"/>
        <v>0.009999999995</v>
      </c>
      <c r="R1632" s="91">
        <f t="array" ref="R1632">IFERROR(INDEX('Fund YTD Target Values'!$1:$1000, MATCH($C1632,'Fund YTD Target Values'!$A:$A,0), MATCH($A1632,'Fund YTD Target Values'!$1:$1,0)),0)</f>
        <v>111153.3247</v>
      </c>
      <c r="S1632" s="91">
        <f>IFERROR(__xludf.DUMMYFUNCTION("IFERROR(sum(FILTER('Fund Investment Data'!$V:$V, 'Fund Investment Data'!$C:$C = $C1632, 'Fund Investment Data'!$A:$A &lt; $A1632)),0) + IFERROR(sum(FILTER('Fund Investment Data'!$V:$V, 'Fund Investment Data'!$C:$C = $C1632, 'Fund Investment Data'!$A:$A = $A1"&amp;"632, 'Fund Investment Data'!$B:$B &lt;= $B1632)),0)"),81000.0)</f>
        <v>81000</v>
      </c>
      <c r="T1632" s="32"/>
      <c r="U1632" s="32"/>
      <c r="V1632" s="32">
        <f>IFERROR(__xludf.DUMMYFUNCTION("$D1632 - IFERROR(FILTER($D:$D,$C:$C = $C1632, $A:$A = $A1632, $B:$B = $B1632 - 1),0)"),0.0)</f>
        <v>0</v>
      </c>
      <c r="W1632" s="93">
        <f>IFERROR(__xludf.DUMMYFUNCTION("$E1632 - IFERROR(FILTER($E:$E,$C:$C = $C1632, $A:$A = $A1632, $B:$B = $B1632 - 1),0)"),0.0)</f>
        <v>0</v>
      </c>
      <c r="X1632" s="91">
        <f>IFERROR(__xludf.DUMMYFUNCTION("iFERROR((FILTER('Fund Investment Data'!$Z:$Z, 'Fund Investment Data'!$C:$C = $C1632, 'Fund Investment Data'!$A:$A = $A1632 - 1, 'Fund Investment Data'!$B:$B = 12) + FILTER('Fund Investment Data'!$AB:$AB, 'Fund Investment Data'!$C:$C = $C1632, 'Fund Invest"&amp;"ment Data'!$A:$A = $A1632 - 1, 'Fund Investment Data'!$B:$B = 12)) * (1 + AVERAGE(FILTER('Inflation Data'!$C:$C,'Inflation Data'!$A:$A = ($A1632 - 2)))) * Parameters!$A$4,0)"),3251.4512616945367)</f>
        <v>3251.451262</v>
      </c>
      <c r="Y1632" s="91">
        <f>IFERROR(__xludf.DUMMYFUNCTION("IFERROR((IFERROR(FILTER('Fund Investment Data'!$P:$P,'Fund Investment Data'!$C:$C = $C1632,'Fund Investment Data'!$A:$A = ($A1632 - 2), 'Fund Investment Data'!$B:$B = 12),0) - SUM(FILTER('Fund Investment Data'!$V:$V, 'Fund Investment Data'!$C:$C = $C1632,"&amp;" 'Fund Investment Data'!$A:$A = ($A1632 - 2), 'Fund Investment Data'!$B:$B &gt; 3)))  * Parameters!$B$4 * (1 - Parameters!$A$4),0)"),1364.3954549999999)</f>
        <v>1364.395455</v>
      </c>
      <c r="Z1632" s="91">
        <f t="shared" si="24"/>
        <v>4615.846717</v>
      </c>
      <c r="AA1632" s="91">
        <f>IFERROR(__xludf.DUMMYFUNCTION("((IFERROR((SUM(FILTER('Fund Investment Data'!$V:$V, 'Fund Investment Data'!$C:$C = $C1632, 'Fund Investment Data'!$A:$A = $A1632 - 1, 'Fund Investment Data'!$B:$B &gt;= 4, 'Fund Investment Data'!$B:$B &lt;= ($B1632 + 5))) / 12) * ($B1632 - 3) * Parameters!$B$4,"&amp;" 0) + IF($B1632 &gt;= 9, IFERROR(SUM(FILTER('Fund Investment Data'!$V:$V, 'Fund Investment Data'!$C:$C = $C1632, 'Fund Investment Data'!$A:$A = $A1632, 'Fund Investment Data'!$B:$B &lt;= 3)) * Parameters!$B$4, 0),0)))"),0.0)</f>
        <v>0</v>
      </c>
      <c r="AB1632" s="32">
        <f>IFERROR(__xludf.DUMMYFUNCTION("IFERROR(((IFERROR(SUM(FILTER('Fund Investment Data'!$V:$V, 'Fund Investment Data'!$C:$C = $C1632, 'Fund Investment Data'!$A:$A = $A1632 - 2, 'Fund Investment Data'!$B:$B &gt;= 4)) * Parameters!$B$4,0) + IFERROR(SUM(FILTER('Fund Investment Data'!$V:$V, 'Fund "&amp;"Investment Data'!$C:$C = $C1632, 'Fund Investment Data'!$A:$A = $A1632 - 1, 'Fund Investment Data'!$B:$B &lt;= 3)) * Parameters!$B$4,0))),0)"),0.0)</f>
        <v>0</v>
      </c>
      <c r="AC1632" s="32">
        <f>IFERROR(__xludf.DUMMYFUNCTION("IFERROR(FILTER($AF:$AF,$C:$C = $C1632,$A:$A = $A1632 - 1,$B:$B = 12),0)"),0.0)</f>
        <v>0</v>
      </c>
      <c r="AD1632" s="32">
        <f t="shared" si="23"/>
        <v>4615.846717</v>
      </c>
      <c r="AE1632" s="32">
        <f t="shared" si="2"/>
        <v>-0.1532833055</v>
      </c>
      <c r="AF1632" s="32"/>
    </row>
    <row r="1633">
      <c r="A1633" s="86">
        <v>2019.0</v>
      </c>
      <c r="B1633" s="87">
        <v>12.0</v>
      </c>
      <c r="C1633" s="103" t="s">
        <v>42</v>
      </c>
      <c r="D1633" s="104">
        <v>0.0</v>
      </c>
      <c r="E1633" s="104">
        <v>-11585.0</v>
      </c>
      <c r="F1633" s="104">
        <v>0.0</v>
      </c>
      <c r="G1633" s="104">
        <v>-1390.34</v>
      </c>
      <c r="H1633" s="104">
        <v>7290.48</v>
      </c>
      <c r="I1633" s="104">
        <v>9514.44</v>
      </c>
      <c r="J1633" s="104">
        <v>31577.66</v>
      </c>
      <c r="K1633" s="32"/>
      <c r="L1633" s="32"/>
      <c r="M1633" s="32"/>
      <c r="N1633" s="32"/>
      <c r="O1633" s="104">
        <v>306283.74</v>
      </c>
      <c r="P1633" s="91">
        <f>IFERROR(__xludf.DUMMYFUNCTION("IFERROR(sum(FILTER($D:$N,$C:$C = $C1633,$A:$A &lt; $A1633,$B:$B = 12)),0) + sum($D1633:$N1633)"),306283.2100000001)</f>
        <v>306283.21</v>
      </c>
      <c r="Q1633" s="92">
        <f t="shared" si="1"/>
        <v>0.5299999999</v>
      </c>
      <c r="R1633" s="91">
        <f t="array" ref="R1633">IFERROR(INDEX('Fund YTD Target Values'!$1:$1000, MATCH($C1633,'Fund YTD Target Values'!$A:$A,0), MATCH($A1633,'Fund YTD Target Values'!$1:$1,0)),0)</f>
        <v>244537.4928</v>
      </c>
      <c r="S1633" s="91">
        <f>IFERROR(__xludf.DUMMYFUNCTION("IFERROR(sum(FILTER('Fund Investment Data'!$V:$V, 'Fund Investment Data'!$C:$C = $C1633, 'Fund Investment Data'!$A:$A &lt; $A1633)),0) + IFERROR(sum(FILTER('Fund Investment Data'!$V:$V, 'Fund Investment Data'!$C:$C = $C1633, 'Fund Investment Data'!$A:$A = $A1"&amp;"633, 'Fund Investment Data'!$B:$B &lt;= $B1633)),0)"),194469.0)</f>
        <v>194469</v>
      </c>
      <c r="T1633" s="32"/>
      <c r="U1633" s="32"/>
      <c r="V1633" s="32">
        <f>IFERROR(__xludf.DUMMYFUNCTION("$D1633 - IFERROR(FILTER($D:$D,$C:$C = $C1633, $A:$A = $A1633, $B:$B = $B1633 - 1),0)"),0.0)</f>
        <v>0</v>
      </c>
      <c r="W1633" s="93">
        <f>IFERROR(__xludf.DUMMYFUNCTION("$E1633 - IFERROR(FILTER($E:$E,$C:$C = $C1633, $A:$A = $A1633, $B:$B = $B1633 - 1),0)"),0.0)</f>
        <v>0</v>
      </c>
      <c r="X1633" s="91">
        <f>IFERROR(__xludf.DUMMYFUNCTION("iFERROR((FILTER('Fund Investment Data'!$Z:$Z, 'Fund Investment Data'!$C:$C = $C1633, 'Fund Investment Data'!$A:$A = $A1633 - 1, 'Fund Investment Data'!$B:$B = 12) + FILTER('Fund Investment Data'!$AB:$AB, 'Fund Investment Data'!$C:$C = $C1633, 'Fund Invest"&amp;"ment Data'!$A:$A = $A1633 - 1, 'Fund Investment Data'!$B:$B = 12)) * (1 + AVERAGE(FILTER('Inflation Data'!$C:$C,'Inflation Data'!$A:$A = ($A1633 - 2)))) * Parameters!$A$4,0)"),7542.876247032937)</f>
        <v>7542.876247</v>
      </c>
      <c r="Y1633" s="91">
        <f>IFERROR(__xludf.DUMMYFUNCTION("IFERROR((IFERROR(FILTER('Fund Investment Data'!$P:$P,'Fund Investment Data'!$C:$C = $C1633,'Fund Investment Data'!$A:$A = ($A1633 - 2), 'Fund Investment Data'!$B:$B = 12),0) - SUM(FILTER('Fund Investment Data'!$V:$V, 'Fund Investment Data'!$C:$C = $C1633,"&amp;" 'Fund Investment Data'!$A:$A = ($A1633 - 2), 'Fund Investment Data'!$B:$B &gt; 3)))  * Parameters!$B$4 * (1 - Parameters!$A$4),0)"),4042.544760000002)</f>
        <v>4042.54476</v>
      </c>
      <c r="Z1633" s="91">
        <f t="shared" si="24"/>
        <v>11585.42101</v>
      </c>
      <c r="AA1633" s="91">
        <f>IFERROR(__xludf.DUMMYFUNCTION("((IFERROR((SUM(FILTER('Fund Investment Data'!$V:$V, 'Fund Investment Data'!$C:$C = $C1633, 'Fund Investment Data'!$A:$A = $A1633 - 1, 'Fund Investment Data'!$B:$B &gt;= 4, 'Fund Investment Data'!$B:$B &lt;= ($B1633 + 5))) / 12) * ($B1633 - 3) * Parameters!$B$4,"&amp;" 0) + IF($B1633 &gt;= 9, IFERROR(SUM(FILTER('Fund Investment Data'!$V:$V, 'Fund Investment Data'!$C:$C = $C1633, 'Fund Investment Data'!$A:$A = $A1633, 'Fund Investment Data'!$B:$B &lt;= 3)) * Parameters!$B$4, 0),0)))"),0.0)</f>
        <v>0</v>
      </c>
      <c r="AB1633" s="32">
        <f>IFERROR(__xludf.DUMMYFUNCTION("IFERROR(((IFERROR(SUM(FILTER('Fund Investment Data'!$V:$V, 'Fund Investment Data'!$C:$C = $C1633, 'Fund Investment Data'!$A:$A = $A1633 - 2, 'Fund Investment Data'!$B:$B &gt;= 4)) * Parameters!$B$4,0) + IFERROR(SUM(FILTER('Fund Investment Data'!$V:$V, 'Fund "&amp;"Investment Data'!$C:$C = $C1633, 'Fund Investment Data'!$A:$A = $A1633 - 1, 'Fund Investment Data'!$B:$B &lt;= 3)) * Parameters!$B$4,0))),0)"),0.0)</f>
        <v>0</v>
      </c>
      <c r="AC1633" s="32">
        <f>IFERROR(__xludf.DUMMYFUNCTION("IFERROR(FILTER($AF:$AF,$C:$C = $C1633,$A:$A = $A1633 - 1,$B:$B = 12),0)"),0.0)</f>
        <v>0</v>
      </c>
      <c r="AD1633" s="32">
        <f t="shared" si="23"/>
        <v>11585.42101</v>
      </c>
      <c r="AE1633" s="32">
        <f t="shared" si="2"/>
        <v>0.4210070329</v>
      </c>
      <c r="AF1633" s="32"/>
    </row>
    <row r="1634">
      <c r="A1634" s="86">
        <v>2019.0</v>
      </c>
      <c r="B1634" s="87">
        <v>12.0</v>
      </c>
      <c r="C1634" s="103" t="s">
        <v>43</v>
      </c>
      <c r="D1634" s="104">
        <v>0.0</v>
      </c>
      <c r="E1634" s="104">
        <v>-5732.0</v>
      </c>
      <c r="F1634" s="104">
        <v>0.0</v>
      </c>
      <c r="G1634" s="104">
        <v>-557.03</v>
      </c>
      <c r="H1634" s="104">
        <v>2928.91</v>
      </c>
      <c r="I1634" s="104">
        <v>4907.5</v>
      </c>
      <c r="J1634" s="104">
        <v>11857.16</v>
      </c>
      <c r="K1634" s="32"/>
      <c r="L1634" s="32"/>
      <c r="M1634" s="32"/>
      <c r="N1634" s="32"/>
      <c r="O1634" s="104">
        <v>123702.76</v>
      </c>
      <c r="P1634" s="91">
        <f>IFERROR(__xludf.DUMMYFUNCTION("IFERROR(sum(FILTER($D:$N,$C:$C = $C1634,$A:$A &lt; $A1634,$B:$B = 12)),0) + sum($D1634:$N1634)"),123702.02000000002)</f>
        <v>123702.02</v>
      </c>
      <c r="Q1634" s="92">
        <f t="shared" si="1"/>
        <v>0.74</v>
      </c>
      <c r="R1634" s="91">
        <f t="array" ref="R1634">IFERROR(INDEX('Fund YTD Target Values'!$1:$1000, MATCH($C1634,'Fund YTD Target Values'!$A:$A,0), MATCH($A1634,'Fund YTD Target Values'!$1:$1,0)),0)</f>
        <v>133065.1141</v>
      </c>
      <c r="S1634" s="91">
        <f>IFERROR(__xludf.DUMMYFUNCTION("IFERROR(sum(FILTER('Fund Investment Data'!$V:$V, 'Fund Investment Data'!$C:$C = $C1634, 'Fund Investment Data'!$A:$A &lt; $A1634)),0) + IFERROR(sum(FILTER('Fund Investment Data'!$V:$V, 'Fund Investment Data'!$C:$C = $C1634, 'Fund Investment Data'!$A:$A = $A1"&amp;"634, 'Fund Investment Data'!$B:$B &lt;= $B1634)),0)"),100000.0)</f>
        <v>100000</v>
      </c>
      <c r="T1634" s="32"/>
      <c r="U1634" s="32"/>
      <c r="V1634" s="32">
        <f>IFERROR(__xludf.DUMMYFUNCTION("$D1634 - IFERROR(FILTER($D:$D,$C:$C = $C1634, $A:$A = $A1634, $B:$B = $B1634 - 1),0)"),0.0)</f>
        <v>0</v>
      </c>
      <c r="W1634" s="93">
        <f>IFERROR(__xludf.DUMMYFUNCTION("$E1634 - IFERROR(FILTER($E:$E,$C:$C = $C1634, $A:$A = $A1634, $B:$B = $B1634 - 1),0)"),0.0)</f>
        <v>0</v>
      </c>
      <c r="X1634" s="91">
        <f>IFERROR(__xludf.DUMMYFUNCTION("iFERROR((FILTER('Fund Investment Data'!$Z:$Z, 'Fund Investment Data'!$C:$C = $C1634, 'Fund Investment Data'!$A:$A = $A1634 - 1, 'Fund Investment Data'!$B:$B = 12) + FILTER('Fund Investment Data'!$AB:$AB, 'Fund Investment Data'!$C:$C = $C1634, 'Fund Invest"&amp;"ment Data'!$A:$A = $A1634 - 1, 'Fund Investment Data'!$B:$B = 12)) * (1 + AVERAGE(FILTER('Inflation Data'!$C:$C,'Inflation Data'!$A:$A = ($A1634 - 2)))) * Parameters!$A$4,0)"),4037.921818829265)</f>
        <v>4037.921819</v>
      </c>
      <c r="Y1634" s="91">
        <f>IFERROR(__xludf.DUMMYFUNCTION("IFERROR((IFERROR(FILTER('Fund Investment Data'!$P:$P,'Fund Investment Data'!$C:$C = $C1634,'Fund Investment Data'!$A:$A = ($A1634 - 2), 'Fund Investment Data'!$B:$B = 12),0) - SUM(FILTER('Fund Investment Data'!$V:$V, 'Fund Investment Data'!$C:$C = $C1634,"&amp;" 'Fund Investment Data'!$A:$A = ($A1634 - 2), 'Fund Investment Data'!$B:$B &gt; 3)))  * Parameters!$B$4 * (1 - Parameters!$A$4),0)"),1694.4194250000005)</f>
        <v>1694.419425</v>
      </c>
      <c r="Z1634" s="91">
        <f t="shared" si="24"/>
        <v>5732.341244</v>
      </c>
      <c r="AA1634" s="91">
        <f>IFERROR(__xludf.DUMMYFUNCTION("((IFERROR((SUM(FILTER('Fund Investment Data'!$V:$V, 'Fund Investment Data'!$C:$C = $C1634, 'Fund Investment Data'!$A:$A = $A1634 - 1, 'Fund Investment Data'!$B:$B &gt;= 4, 'Fund Investment Data'!$B:$B &lt;= ($B1634 + 5))) / 12) * ($B1634 - 3) * Parameters!$B$4,"&amp;" 0) + IF($B1634 &gt;= 9, IFERROR(SUM(FILTER('Fund Investment Data'!$V:$V, 'Fund Investment Data'!$C:$C = $C1634, 'Fund Investment Data'!$A:$A = $A1634, 'Fund Investment Data'!$B:$B &lt;= 3)) * Parameters!$B$4, 0),0)))"),0.0)</f>
        <v>0</v>
      </c>
      <c r="AB1634" s="32">
        <f>IFERROR(__xludf.DUMMYFUNCTION("IFERROR(((IFERROR(SUM(FILTER('Fund Investment Data'!$V:$V, 'Fund Investment Data'!$C:$C = $C1634, 'Fund Investment Data'!$A:$A = $A1634 - 2, 'Fund Investment Data'!$B:$B &gt;= 4)) * Parameters!$B$4,0) + IFERROR(SUM(FILTER('Fund Investment Data'!$V:$V, 'Fund "&amp;"Investment Data'!$C:$C = $C1634, 'Fund Investment Data'!$A:$A = $A1634 - 1, 'Fund Investment Data'!$B:$B &lt;= 3)) * Parameters!$B$4,0))),0)"),0.0)</f>
        <v>0</v>
      </c>
      <c r="AC1634" s="32">
        <f>IFERROR(__xludf.DUMMYFUNCTION("IFERROR(FILTER($AF:$AF,$C:$C = $C1634,$A:$A = $A1634 - 1,$B:$B = 12),0)"),0.0)</f>
        <v>0</v>
      </c>
      <c r="AD1634" s="32">
        <f t="shared" si="23"/>
        <v>5732.341244</v>
      </c>
      <c r="AE1634" s="32">
        <f t="shared" si="2"/>
        <v>0.3412438293</v>
      </c>
      <c r="AF1634" s="32"/>
    </row>
    <row r="1635">
      <c r="A1635" s="86">
        <v>2019.0</v>
      </c>
      <c r="B1635" s="87">
        <v>12.0</v>
      </c>
      <c r="C1635" s="103" t="s">
        <v>52</v>
      </c>
      <c r="D1635" s="104">
        <v>1000.0</v>
      </c>
      <c r="E1635" s="104">
        <v>-52853.0</v>
      </c>
      <c r="F1635" s="104">
        <v>0.0</v>
      </c>
      <c r="G1635" s="104">
        <v>-5525.32</v>
      </c>
      <c r="H1635" s="104">
        <v>29086.14</v>
      </c>
      <c r="I1635" s="104">
        <v>35278.8</v>
      </c>
      <c r="J1635" s="104">
        <v>130268.0</v>
      </c>
      <c r="K1635" s="32"/>
      <c r="L1635" s="32"/>
      <c r="M1635" s="32"/>
      <c r="N1635" s="32"/>
      <c r="O1635" s="104">
        <v>1228794.97</v>
      </c>
      <c r="P1635" s="91">
        <f>IFERROR(__xludf.DUMMYFUNCTION("IFERROR(sum(FILTER($D:$N,$C:$C = $C1635,$A:$A &lt; $A1635,$B:$B = 12)),0) + sum($D1635:$N1635)"),1228794.65)</f>
        <v>1228794.65</v>
      </c>
      <c r="Q1635" s="92">
        <f t="shared" si="1"/>
        <v>0.3200000001</v>
      </c>
      <c r="R1635" s="91">
        <f t="array" ref="R1635">IFERROR(INDEX('Fund YTD Target Values'!$1:$1000, MATCH($C1635,'Fund YTD Target Values'!$A:$A,0), MATCH($A1635,'Fund YTD Target Values'!$1:$1,0)),0)</f>
        <v>1170797.015</v>
      </c>
      <c r="S1635" s="91">
        <f>IFERROR(__xludf.DUMMYFUNCTION("IFERROR(sum(FILTER('Fund Investment Data'!$V:$V, 'Fund Investment Data'!$C:$C = $C1635, 'Fund Investment Data'!$A:$A &lt; $A1635)),0) + IFERROR(sum(FILTER('Fund Investment Data'!$V:$V, 'Fund Investment Data'!$C:$C = $C1635, 'Fund Investment Data'!$A:$A = $A1"&amp;"635, 'Fund Investment Data'!$B:$B &lt;= $B1635)),0)"),1081136.0)</f>
        <v>1081136</v>
      </c>
      <c r="T1635" s="32"/>
      <c r="U1635" s="32"/>
      <c r="V1635" s="32">
        <f>IFERROR(__xludf.DUMMYFUNCTION("$D1635 - IFERROR(FILTER($D:$D,$C:$C = $C1635, $A:$A = $A1635, $B:$B = $B1635 - 1),0)"),0.0)</f>
        <v>0</v>
      </c>
      <c r="W1635" s="93">
        <f>IFERROR(__xludf.DUMMYFUNCTION("$E1635 - IFERROR(FILTER($E:$E,$C:$C = $C1635, $A:$A = $A1635, $B:$B = $B1635 - 1),0)"),12700.0)</f>
        <v>12700</v>
      </c>
      <c r="X1635" s="91">
        <f>IFERROR(__xludf.DUMMYFUNCTION("iFERROR((FILTER('Fund Investment Data'!$Z:$Z, 'Fund Investment Data'!$C:$C = $C1635, 'Fund Investment Data'!$A:$A = $A1635 - 1, 'Fund Investment Data'!$B:$B = 12) + FILTER('Fund Investment Data'!$AB:$AB, 'Fund Investment Data'!$C:$C = $C1635, 'Fund Invest"&amp;"ment Data'!$A:$A = $A1635 - 1, 'Fund Investment Data'!$B:$B = 12)) * (1 + AVERAGE(FILTER('Inflation Data'!$C:$C,'Inflation Data'!$A:$A = ($A1635 - 2)))) * Parameters!$A$4,0)"),33647.195102028425)</f>
        <v>33647.1951</v>
      </c>
      <c r="Y1635" s="91">
        <f>IFERROR(__xludf.DUMMYFUNCTION("IFERROR((IFERROR(FILTER('Fund Investment Data'!$P:$P,'Fund Investment Data'!$C:$C = $C1635,'Fund Investment Data'!$A:$A = ($A1635 - 2), 'Fund Investment Data'!$B:$B = 12),0) - SUM(FILTER('Fund Investment Data'!$V:$V, 'Fund Investment Data'!$C:$C = $C1635,"&amp;" 'Fund Investment Data'!$A:$A = ($A1635 - 2), 'Fund Investment Data'!$B:$B &gt; 3)))  * Parameters!$B$4 * (1 - Parameters!$A$4),0)"),15672.907755)</f>
        <v>15672.90776</v>
      </c>
      <c r="Z1635" s="91">
        <f t="shared" si="24"/>
        <v>49320.10286</v>
      </c>
      <c r="AA1635" s="91">
        <f>IFERROR(__xludf.DUMMYFUNCTION("((IFERROR((SUM(FILTER('Fund Investment Data'!$V:$V, 'Fund Investment Data'!$C:$C = $C1635, 'Fund Investment Data'!$A:$A = $A1635 - 1, 'Fund Investment Data'!$B:$B &gt;= 4, 'Fund Investment Data'!$B:$B &lt;= ($B1635 + 5))) / 12) * ($B1635 - 3) * Parameters!$B$4,"&amp;" 0) + IF($B1635 &gt;= 9, IFERROR(SUM(FILTER('Fund Investment Data'!$V:$V, 'Fund Investment Data'!$C:$C = $C1635, 'Fund Investment Data'!$A:$A = $A1635, 'Fund Investment Data'!$B:$B &lt;= 3)) * Parameters!$B$4, 0),0)))"),45.0)</f>
        <v>45</v>
      </c>
      <c r="AB1635" s="32">
        <f>IFERROR(__xludf.DUMMYFUNCTION("IFERROR(((IFERROR(SUM(FILTER('Fund Investment Data'!$V:$V, 'Fund Investment Data'!$C:$C = $C1635, 'Fund Investment Data'!$A:$A = $A1635 - 2, 'Fund Investment Data'!$B:$B &gt;= 4)) * Parameters!$B$4,0) + IFERROR(SUM(FILTER('Fund Investment Data'!$V:$V, 'Fund "&amp;"Investment Data'!$C:$C = $C1635, 'Fund Investment Data'!$A:$A = $A1635 - 1, 'Fund Investment Data'!$B:$B &lt;= 3)) * Parameters!$B$4,0))),0)"),3532.5)</f>
        <v>3532.5</v>
      </c>
      <c r="AC1635" s="32">
        <f>IFERROR(__xludf.DUMMYFUNCTION("IFERROR(FILTER($AF:$AF,$C:$C = $C1635,$A:$A = $A1635 - 1,$B:$B = 12),0)"),0.0)</f>
        <v>0</v>
      </c>
      <c r="AD1635" s="32">
        <f t="shared" si="23"/>
        <v>52897.60286</v>
      </c>
      <c r="AE1635" s="32">
        <f t="shared" si="2"/>
        <v>44.60285703</v>
      </c>
      <c r="AF1635" s="32"/>
    </row>
    <row r="1636">
      <c r="A1636" s="86">
        <v>2019.0</v>
      </c>
      <c r="B1636" s="87">
        <v>12.0</v>
      </c>
      <c r="C1636" s="103" t="s">
        <v>33</v>
      </c>
      <c r="D1636" s="104">
        <v>0.0</v>
      </c>
      <c r="E1636" s="104">
        <v>-16308.0</v>
      </c>
      <c r="F1636" s="104">
        <v>0.0</v>
      </c>
      <c r="G1636" s="104">
        <v>-1600.21</v>
      </c>
      <c r="H1636" s="104">
        <v>8414.13</v>
      </c>
      <c r="I1636" s="104">
        <v>10228.56</v>
      </c>
      <c r="J1636" s="104">
        <v>37685.93</v>
      </c>
      <c r="K1636" s="32"/>
      <c r="L1636" s="32"/>
      <c r="M1636" s="32"/>
      <c r="N1636" s="32"/>
      <c r="O1636" s="104">
        <v>351365.37</v>
      </c>
      <c r="P1636" s="91">
        <f>IFERROR(__xludf.DUMMYFUNCTION("IFERROR(sum(FILTER($D:$N,$C:$C = $C1636,$A:$A &lt; $A1636,$B:$B = 12)),0) + sum($D1636:$N1636)"),351365.58999999985)</f>
        <v>351365.59</v>
      </c>
      <c r="Q1636" s="92">
        <f t="shared" si="1"/>
        <v>-0.2199999999</v>
      </c>
      <c r="R1636" s="91">
        <f t="array" ref="R1636">IFERROR(INDEX('Fund YTD Target Values'!$1:$1000, MATCH($C1636,'Fund YTD Target Values'!$A:$A,0), MATCH($A1636,'Fund YTD Target Values'!$1:$1,0)),0)</f>
        <v>522221.9976</v>
      </c>
      <c r="S1636" s="91">
        <f>IFERROR(__xludf.DUMMYFUNCTION("IFERROR(sum(FILTER('Fund Investment Data'!$V:$V, 'Fund Investment Data'!$C:$C = $C1636, 'Fund Investment Data'!$A:$A &lt; $A1636)),0) + IFERROR(sum(FILTER('Fund Investment Data'!$V:$V, 'Fund Investment Data'!$C:$C = $C1636, 'Fund Investment Data'!$A:$A = $A1"&amp;"636, 'Fund Investment Data'!$B:$B &lt;= $B1636)),0)"),325871.6399999999)</f>
        <v>325871.64</v>
      </c>
      <c r="T1636" s="32"/>
      <c r="U1636" s="32"/>
      <c r="V1636" s="32">
        <f>IFERROR(__xludf.DUMMYFUNCTION("$D1636 - IFERROR(FILTER($D:$D,$C:$C = $C1636, $A:$A = $A1636, $B:$B = $B1636 - 1),0)"),0.0)</f>
        <v>0</v>
      </c>
      <c r="W1636" s="93">
        <f>IFERROR(__xludf.DUMMYFUNCTION("$E1636 - IFERROR(FILTER($E:$E,$C:$C = $C1636, $A:$A = $A1636, $B:$B = $B1636 - 1),0)"),-12700.0)</f>
        <v>-12700</v>
      </c>
      <c r="X1636" s="91">
        <f>IFERROR(__xludf.DUMMYFUNCTION("iFERROR((FILTER('Fund Investment Data'!$Z:$Z, 'Fund Investment Data'!$C:$C = $C1636, 'Fund Investment Data'!$A:$A = $A1636 - 1, 'Fund Investment Data'!$B:$B = 12) + FILTER('Fund Investment Data'!$AB:$AB, 'Fund Investment Data'!$C:$C = $C1636, 'Fund Invest"&amp;"ment Data'!$A:$A = $A1636 - 1, 'Fund Investment Data'!$B:$B = 12)) * (1 + AVERAGE(FILTER('Inflation Data'!$C:$C,'Inflation Data'!$A:$A = ($A1636 - 2)))) * Parameters!$A$4,0)"),11487.702435867292)</f>
        <v>11487.70244</v>
      </c>
      <c r="Y1636" s="91">
        <f>IFERROR(__xludf.DUMMYFUNCTION("IFERROR((IFERROR(FILTER('Fund Investment Data'!$P:$P,'Fund Investment Data'!$C:$C = $C1636,'Fund Investment Data'!$A:$A = ($A1636 - 2), 'Fund Investment Data'!$B:$B = 12),0) - SUM(FILTER('Fund Investment Data'!$V:$V, 'Fund Investment Data'!$C:$C = $C1636,"&amp;" 'Fund Investment Data'!$A:$A = ($A1636 - 2), 'Fund Investment Data'!$B:$B &gt; 3)))  * Parameters!$B$4 * (1 - Parameters!$A$4),0)"),4820.5455749999965)</f>
        <v>4820.545575</v>
      </c>
      <c r="Z1636" s="91">
        <f t="shared" si="24"/>
        <v>16308.24801</v>
      </c>
      <c r="AA1636" s="91">
        <f>IFERROR(__xludf.DUMMYFUNCTION("((IFERROR((SUM(FILTER('Fund Investment Data'!$V:$V, 'Fund Investment Data'!$C:$C = $C1636, 'Fund Investment Data'!$A:$A = $A1636 - 1, 'Fund Investment Data'!$B:$B &gt;= 4, 'Fund Investment Data'!$B:$B &lt;= ($B1636 + 5))) / 12) * ($B1636 - 3) * Parameters!$B$4,"&amp;" 0) + IF($B1636 &gt;= 9, IFERROR(SUM(FILTER('Fund Investment Data'!$V:$V, 'Fund Investment Data'!$C:$C = $C1636, 'Fund Investment Data'!$A:$A = $A1636, 'Fund Investment Data'!$B:$B &lt;= 3)) * Parameters!$B$4, 0),0)))"),0.0)</f>
        <v>0</v>
      </c>
      <c r="AB1636" s="32">
        <f>IFERROR(__xludf.DUMMYFUNCTION("IFERROR(((IFERROR(SUM(FILTER('Fund Investment Data'!$V:$V, 'Fund Investment Data'!$C:$C = $C1636, 'Fund Investment Data'!$A:$A = $A1636 - 2, 'Fund Investment Data'!$B:$B &gt;= 4)) * Parameters!$B$4,0) + IFERROR(SUM(FILTER('Fund Investment Data'!$V:$V, 'Fund "&amp;"Investment Data'!$C:$C = $C1636, 'Fund Investment Data'!$A:$A = $A1636 - 1, 'Fund Investment Data'!$B:$B &lt;= 3)) * Parameters!$B$4,0))),0)"),0.0)</f>
        <v>0</v>
      </c>
      <c r="AC1636" s="32">
        <f>IFERROR(__xludf.DUMMYFUNCTION("IFERROR(FILTER($AF:$AF,$C:$C = $C1636,$A:$A = $A1636 - 1,$B:$B = 12),0)"),0.0)</f>
        <v>0</v>
      </c>
      <c r="AD1636" s="32">
        <f t="shared" si="23"/>
        <v>16308.24801</v>
      </c>
      <c r="AE1636" s="32">
        <f t="shared" si="2"/>
        <v>0.2480108673</v>
      </c>
      <c r="AF1636" s="32"/>
    </row>
    <row r="1637">
      <c r="A1637" s="86">
        <v>2019.0</v>
      </c>
      <c r="B1637" s="87">
        <v>12.0</v>
      </c>
      <c r="C1637" s="103" t="s">
        <v>53</v>
      </c>
      <c r="D1637" s="104">
        <v>0.0</v>
      </c>
      <c r="E1637" s="104">
        <v>-144084.0</v>
      </c>
      <c r="F1637" s="104">
        <v>0.0</v>
      </c>
      <c r="G1637" s="104">
        <v>-10312.57</v>
      </c>
      <c r="H1637" s="104">
        <v>53941.54</v>
      </c>
      <c r="I1637" s="104">
        <v>77516.75</v>
      </c>
      <c r="J1637" s="104">
        <v>225569.4</v>
      </c>
      <c r="K1637" s="32"/>
      <c r="L1637" s="32"/>
      <c r="M1637" s="32"/>
      <c r="N1637" s="32"/>
      <c r="O1637" s="104">
        <v>2249166.0</v>
      </c>
      <c r="P1637" s="91">
        <f>IFERROR(__xludf.DUMMYFUNCTION("IFERROR(sum(FILTER($D:$N,$C:$C = $C1637,$A:$A &lt; $A1637,$B:$B = 12)),0) + sum($D1637:$N1637)"),2249166.0)</f>
        <v>2249166</v>
      </c>
      <c r="Q1637" s="92">
        <f t="shared" si="1"/>
        <v>0</v>
      </c>
      <c r="R1637" s="91">
        <f t="array" ref="R1637">IFERROR(INDEX('Fund YTD Target Values'!$1:$1000, MATCH($C1637,'Fund YTD Target Values'!$A:$A,0), MATCH($A1637,'Fund YTD Target Values'!$1:$1,0)),0)</f>
        <v>2265063.703</v>
      </c>
      <c r="S1637" s="91">
        <f>IFERROR(__xludf.DUMMYFUNCTION("IFERROR(sum(FILTER('Fund Investment Data'!$V:$V, 'Fund Investment Data'!$C:$C = $C1637, 'Fund Investment Data'!$A:$A &lt; $A1637)),0) + IFERROR(sum(FILTER('Fund Investment Data'!$V:$V, 'Fund Investment Data'!$C:$C = $C1637, 'Fund Investment Data'!$A:$A = $A1"&amp;"637, 'Fund Investment Data'!$B:$B &lt;= $B1637)),0)"),2005500.0)</f>
        <v>2005500</v>
      </c>
      <c r="T1637" s="32"/>
      <c r="U1637" s="32"/>
      <c r="V1637" s="32">
        <f>IFERROR(__xludf.DUMMYFUNCTION("$D1637 - IFERROR(FILTER($D:$D,$C:$C = $C1637, $A:$A = $A1637, $B:$B = $B1637 - 1),0)"),0.0)</f>
        <v>0</v>
      </c>
      <c r="W1637" s="93">
        <f>IFERROR(__xludf.DUMMYFUNCTION("$E1637 - IFERROR(FILTER($E:$E,$C:$C = $C1637, $A:$A = $A1637, $B:$B = $B1637 - 1),0)"),24800.0)</f>
        <v>24800</v>
      </c>
      <c r="X1637" s="91">
        <f>IFERROR(__xludf.DUMMYFUNCTION("iFERROR((FILTER('Fund Investment Data'!$Z:$Z, 'Fund Investment Data'!$C:$C = $C1637, 'Fund Investment Data'!$A:$A = $A1637 - 1, 'Fund Investment Data'!$B:$B = 12) + FILTER('Fund Investment Data'!$AB:$AB, 'Fund Investment Data'!$C:$C = $C1637, 'Fund Invest"&amp;"ment Data'!$A:$A = $A1637 - 1, 'Fund Investment Data'!$B:$B = 12)) * (1 + AVERAGE(FILTER('Inflation Data'!$C:$C,'Inflation Data'!$A:$A = ($A1637 - 2)))) * Parameters!$A$4,0)"),69866.97627398264)</f>
        <v>69866.97627</v>
      </c>
      <c r="Y1637" s="91">
        <f>IFERROR(__xludf.DUMMYFUNCTION("IFERROR((IFERROR(FILTER('Fund Investment Data'!$P:$P,'Fund Investment Data'!$C:$C = $C1637,'Fund Investment Data'!$A:$A = ($A1637 - 2), 'Fund Investment Data'!$B:$B = 12),0) - SUM(FILTER('Fund Investment Data'!$V:$V, 'Fund Investment Data'!$C:$C = $C1637,"&amp;" 'Fund Investment Data'!$A:$A = ($A1637 - 2), 'Fund Investment Data'!$B:$B &gt; 3)))  * Parameters!$B$4 * (1 - Parameters!$A$4),0)"),30716.748180000002)</f>
        <v>30716.74818</v>
      </c>
      <c r="Z1637" s="91">
        <f t="shared" si="24"/>
        <v>100583.7245</v>
      </c>
      <c r="AA1637" s="91">
        <f>IFERROR(__xludf.DUMMYFUNCTION("((IFERROR((SUM(FILTER('Fund Investment Data'!$V:$V, 'Fund Investment Data'!$C:$C = $C1637, 'Fund Investment Data'!$A:$A = $A1637 - 1, 'Fund Investment Data'!$B:$B &gt;= 4, 'Fund Investment Data'!$B:$B &lt;= ($B1637 + 5))) / 12) * ($B1637 - 3) * Parameters!$B$4,"&amp;" 0) + IF($B1637 &gt;= 9, IFERROR(SUM(FILTER('Fund Investment Data'!$V:$V, 'Fund Investment Data'!$C:$C = $C1637, 'Fund Investment Data'!$A:$A = $A1637, 'Fund Investment Data'!$B:$B &lt;= 3)) * Parameters!$B$4, 0),0)))"),0.0)</f>
        <v>0</v>
      </c>
      <c r="AB1637" s="32">
        <f>IFERROR(__xludf.DUMMYFUNCTION("IFERROR(((IFERROR(SUM(FILTER('Fund Investment Data'!$V:$V, 'Fund Investment Data'!$C:$C = $C1637, 'Fund Investment Data'!$A:$A = $A1637 - 2, 'Fund Investment Data'!$B:$B &gt;= 4)) * Parameters!$B$4,0) + IFERROR(SUM(FILTER('Fund Investment Data'!$V:$V, 'Fund "&amp;"Investment Data'!$C:$C = $C1637, 'Fund Investment Data'!$A:$A = $A1637 - 1, 'Fund Investment Data'!$B:$B &lt;= 3)) * Parameters!$B$4,0))),0)"),0.0)</f>
        <v>0</v>
      </c>
      <c r="AC1637" s="32">
        <f>IFERROR(__xludf.DUMMYFUNCTION("IFERROR(FILTER($AF:$AF,$C:$C = $C1637,$A:$A = $A1637 - 1,$B:$B = 12),0)"),43500.0)</f>
        <v>43500</v>
      </c>
      <c r="AD1637" s="32">
        <f t="shared" si="23"/>
        <v>144083.7245</v>
      </c>
      <c r="AE1637" s="32">
        <f t="shared" si="2"/>
        <v>-0.2755460174</v>
      </c>
      <c r="AF1637" s="32"/>
    </row>
    <row r="1638">
      <c r="A1638" s="86">
        <v>2019.0</v>
      </c>
      <c r="B1638" s="87">
        <v>12.0</v>
      </c>
      <c r="C1638" s="103" t="s">
        <v>34</v>
      </c>
      <c r="D1638" s="104">
        <v>0.0</v>
      </c>
      <c r="E1638" s="104">
        <v>-6475.0</v>
      </c>
      <c r="F1638" s="104">
        <v>0.0</v>
      </c>
      <c r="G1638" s="104">
        <v>-665.65</v>
      </c>
      <c r="H1638" s="104">
        <v>3502.68</v>
      </c>
      <c r="I1638" s="104">
        <v>4298.19</v>
      </c>
      <c r="J1638" s="104">
        <v>15628.16</v>
      </c>
      <c r="K1638" s="32"/>
      <c r="L1638" s="32"/>
      <c r="M1638" s="32"/>
      <c r="N1638" s="32"/>
      <c r="O1638" s="104">
        <v>147727.65</v>
      </c>
      <c r="P1638" s="91">
        <f>IFERROR(__xludf.DUMMYFUNCTION("IFERROR(sum(FILTER($D:$N,$C:$C = $C1638,$A:$A &lt; $A1638,$B:$B = 12)),0) + sum($D1638:$N1638)"),147727.64999999997)</f>
        <v>147727.65</v>
      </c>
      <c r="Q1638" s="92">
        <f t="shared" si="1"/>
        <v>0</v>
      </c>
      <c r="R1638" s="91">
        <f t="array" ref="R1638">IFERROR(INDEX('Fund YTD Target Values'!$1:$1000, MATCH($C1638,'Fund YTD Target Values'!$A:$A,0), MATCH($A1638,'Fund YTD Target Values'!$1:$1,0)),0)</f>
        <v>137779.5763</v>
      </c>
      <c r="S1638" s="91">
        <f>IFERROR(__xludf.DUMMYFUNCTION("IFERROR(sum(FILTER('Fund Investment Data'!$V:$V, 'Fund Investment Data'!$C:$C = $C1638, 'Fund Investment Data'!$A:$A &lt; $A1638)),0) + IFERROR(sum(FILTER('Fund Investment Data'!$V:$V, 'Fund Investment Data'!$C:$C = $C1638, 'Fund Investment Data'!$A:$A = $A1"&amp;"638, 'Fund Investment Data'!$B:$B &lt;= $B1638)),0)"),125000.0)</f>
        <v>125000</v>
      </c>
      <c r="T1638" s="32"/>
      <c r="U1638" s="32"/>
      <c r="V1638" s="32">
        <f>IFERROR(__xludf.DUMMYFUNCTION("$D1638 - IFERROR(FILTER($D:$D,$C:$C = $C1638, $A:$A = $A1638, $B:$B = $B1638 - 1),0)"),0.0)</f>
        <v>0</v>
      </c>
      <c r="W1638" s="93">
        <f>IFERROR(__xludf.DUMMYFUNCTION("$E1638 - IFERROR(FILTER($E:$E,$C:$C = $C1638, $A:$A = $A1638, $B:$B = $B1638 - 1),0)"),0.0)</f>
        <v>0</v>
      </c>
      <c r="X1638" s="91">
        <f>IFERROR(__xludf.DUMMYFUNCTION("iFERROR((FILTER('Fund Investment Data'!$Z:$Z, 'Fund Investment Data'!$C:$C = $C1638, 'Fund Investment Data'!$A:$A = $A1638 - 1, 'Fund Investment Data'!$B:$B = 12) + FILTER('Fund Investment Data'!$AB:$AB, 'Fund Investment Data'!$C:$C = $C1638, 'Fund Invest"&amp;"ment Data'!$A:$A = $A1638 - 1, 'Fund Investment Data'!$B:$B = 12)) * (1 + AVERAGE(FILTER('Inflation Data'!$C:$C,'Inflation Data'!$A:$A = ($A1638 - 2)))) * Parameters!$A$4,0)"),4414.569951711041)</f>
        <v>4414.569952</v>
      </c>
      <c r="Y1638" s="91">
        <f>IFERROR(__xludf.DUMMYFUNCTION("IFERROR((IFERROR(FILTER('Fund Investment Data'!$P:$P,'Fund Investment Data'!$C:$C = $C1638,'Fund Investment Data'!$A:$A = ($A1638 - 2), 'Fund Investment Data'!$B:$B = 12),0) - SUM(FILTER('Fund Investment Data'!$V:$V, 'Fund Investment Data'!$C:$C = $C1638,"&amp;" 'Fund Investment Data'!$A:$A = ($A1638 - 2), 'Fund Investment Data'!$B:$B &gt; 3)))  * Parameters!$B$4 * (1 - Parameters!$A$4),0)"),1947.8901600000004)</f>
        <v>1947.89016</v>
      </c>
      <c r="Z1638" s="91">
        <f t="shared" si="24"/>
        <v>6362.460112</v>
      </c>
      <c r="AA1638" s="91">
        <f>IFERROR(__xludf.DUMMYFUNCTION("((IFERROR((SUM(FILTER('Fund Investment Data'!$V:$V, 'Fund Investment Data'!$C:$C = $C1638, 'Fund Investment Data'!$A:$A = $A1638 - 1, 'Fund Investment Data'!$B:$B &gt;= 4, 'Fund Investment Data'!$B:$B &lt;= ($B1638 + 5))) / 12) * ($B1638 - 3) * Parameters!$B$4,"&amp;" 0) + IF($B1638 &gt;= 9, IFERROR(SUM(FILTER('Fund Investment Data'!$V:$V, 'Fund Investment Data'!$C:$C = $C1638, 'Fund Investment Data'!$A:$A = $A1638, 'Fund Investment Data'!$B:$B &lt;= 3)) * Parameters!$B$4, 0),0)))"),168.75)</f>
        <v>168.75</v>
      </c>
      <c r="AB1638" s="32">
        <f>IFERROR(__xludf.DUMMYFUNCTION("IFERROR(((IFERROR(SUM(FILTER('Fund Investment Data'!$V:$V, 'Fund Investment Data'!$C:$C = $C1638, 'Fund Investment Data'!$A:$A = $A1638 - 2, 'Fund Investment Data'!$B:$B &gt;= 4)) * Parameters!$B$4,0) + IFERROR(SUM(FILTER('Fund Investment Data'!$V:$V, 'Fund "&amp;"Investment Data'!$C:$C = $C1638, 'Fund Investment Data'!$A:$A = $A1638 - 1, 'Fund Investment Data'!$B:$B &lt;= 3)) * Parameters!$B$4,0))),0)"),0.0)</f>
        <v>0</v>
      </c>
      <c r="AC1638" s="32">
        <f>IFERROR(__xludf.DUMMYFUNCTION("IFERROR(FILTER($AF:$AF,$C:$C = $C1638,$A:$A = $A1638 - 1,$B:$B = 12),0)"),0.0)</f>
        <v>0</v>
      </c>
      <c r="AD1638" s="32">
        <f t="shared" si="23"/>
        <v>6531.210112</v>
      </c>
      <c r="AE1638" s="32">
        <f t="shared" si="2"/>
        <v>56.21011171</v>
      </c>
      <c r="AF1638" s="32"/>
    </row>
    <row r="1639">
      <c r="A1639" s="86">
        <v>2019.0</v>
      </c>
      <c r="B1639" s="87">
        <v>12.0</v>
      </c>
      <c r="C1639" s="103" t="s">
        <v>54</v>
      </c>
      <c r="D1639" s="104">
        <v>508.04</v>
      </c>
      <c r="E1639" s="104">
        <v>-7650.0</v>
      </c>
      <c r="F1639" s="104">
        <v>0.0</v>
      </c>
      <c r="G1639" s="104">
        <v>-789.38</v>
      </c>
      <c r="H1639" s="104">
        <v>4149.13</v>
      </c>
      <c r="I1639" s="104">
        <v>5015.31</v>
      </c>
      <c r="J1639" s="104">
        <v>18466.0</v>
      </c>
      <c r="K1639" s="32"/>
      <c r="L1639" s="32"/>
      <c r="M1639" s="32"/>
      <c r="N1639" s="32"/>
      <c r="O1639" s="104">
        <v>174665.18</v>
      </c>
      <c r="P1639" s="91">
        <f>IFERROR(__xludf.DUMMYFUNCTION("IFERROR(sum(FILTER($D:$N,$C:$C = $C1639,$A:$A &lt; $A1639,$B:$B = 12)),0) + sum($D1639:$N1639)"),174666.14999999997)</f>
        <v>174666.15</v>
      </c>
      <c r="Q1639" s="92">
        <f t="shared" si="1"/>
        <v>-0.97</v>
      </c>
      <c r="R1639" s="91">
        <f t="array" ref="R1639">IFERROR(INDEX('Fund YTD Target Values'!$1:$1000, MATCH($C1639,'Fund YTD Target Values'!$A:$A,0), MATCH($A1639,'Fund YTD Target Values'!$1:$1,0)),0)</f>
        <v>158496.8702</v>
      </c>
      <c r="S1639" s="91">
        <f>IFERROR(__xludf.DUMMYFUNCTION("IFERROR(sum(FILTER('Fund Investment Data'!$V:$V, 'Fund Investment Data'!$C:$C = $C1639, 'Fund Investment Data'!$A:$A &lt; $A1639)),0) + IFERROR(sum(FILTER('Fund Investment Data'!$V:$V, 'Fund Investment Data'!$C:$C = $C1639, 'Fund Investment Data'!$A:$A = $A1"&amp;"639, 'Fund Investment Data'!$B:$B &lt;= $B1639)),0)"),112975.14999999998)</f>
        <v>112975.15</v>
      </c>
      <c r="T1639" s="32"/>
      <c r="U1639" s="32"/>
      <c r="V1639" s="32">
        <f>IFERROR(__xludf.DUMMYFUNCTION("$D1639 - IFERROR(FILTER($D:$D,$C:$C = $C1639, $A:$A = $A1639, $B:$B = $B1639 - 1),0)"),352.04)</f>
        <v>352.04</v>
      </c>
      <c r="W1639" s="93">
        <f>IFERROR(__xludf.DUMMYFUNCTION("$E1639 - IFERROR(FILTER($E:$E,$C:$C = $C1639, $A:$A = $A1639, $B:$B = $B1639 - 1),0)"),0.0)</f>
        <v>0</v>
      </c>
      <c r="X1639" s="91">
        <f>IFERROR(__xludf.DUMMYFUNCTION("iFERROR((FILTER('Fund Investment Data'!$Z:$Z, 'Fund Investment Data'!$C:$C = $C1639, 'Fund Investment Data'!$A:$A = $A1639 - 1, 'Fund Investment Data'!$B:$B = 12) + FILTER('Fund Investment Data'!$AB:$AB, 'Fund Investment Data'!$C:$C = $C1639, 'Fund Invest"&amp;"ment Data'!$A:$A = $A1639 - 1, 'Fund Investment Data'!$B:$B = 12)) * (1 + AVERAGE(FILTER('Inflation Data'!$C:$C,'Inflation Data'!$A:$A = ($A1639 - 2)))) * Parameters!$A$4,0)"),5306.102894924851)</f>
        <v>5306.102895</v>
      </c>
      <c r="Y1639" s="91">
        <f>IFERROR(__xludf.DUMMYFUNCTION("IFERROR((IFERROR(FILTER('Fund Investment Data'!$P:$P,'Fund Investment Data'!$C:$C = $C1639,'Fund Investment Data'!$A:$A = ($A1639 - 2), 'Fund Investment Data'!$B:$B = 12),0) - SUM(FILTER('Fund Investment Data'!$V:$V, 'Fund Investment Data'!$C:$C = $C1639,"&amp;" 'Fund Investment Data'!$A:$A = ($A1639 - 2), 'Fund Investment Data'!$B:$B &gt; 3)))  * Parameters!$B$4 * (1 - Parameters!$A$4),0)"),2330.059095)</f>
        <v>2330.059095</v>
      </c>
      <c r="Z1639" s="91">
        <f t="shared" si="24"/>
        <v>7636.16199</v>
      </c>
      <c r="AA1639" s="91">
        <f>IFERROR(__xludf.DUMMYFUNCTION("((IFERROR((SUM(FILTER('Fund Investment Data'!$V:$V, 'Fund Investment Data'!$C:$C = $C1639, 'Fund Investment Data'!$A:$A = $A1639 - 1, 'Fund Investment Data'!$B:$B &gt;= 4, 'Fund Investment Data'!$B:$B &lt;= ($B1639 + 5))) / 12) * ($B1639 - 3) * Parameters!$B$4,"&amp;" 0) + IF($B1639 &gt;= 9, IFERROR(SUM(FILTER('Fund Investment Data'!$V:$V, 'Fund Investment Data'!$C:$C = $C1639, 'Fund Investment Data'!$A:$A = $A1639, 'Fund Investment Data'!$B:$B &lt;= 3)) * Parameters!$B$4, 0),0)))"),5.68125)</f>
        <v>5.68125</v>
      </c>
      <c r="AB1639" s="32">
        <f>IFERROR(__xludf.DUMMYFUNCTION("IFERROR(((IFERROR(SUM(FILTER('Fund Investment Data'!$V:$V, 'Fund Investment Data'!$C:$C = $C1639, 'Fund Investment Data'!$A:$A = $A1639 - 2, 'Fund Investment Data'!$B:$B &gt;= 4)) * Parameters!$B$4,0) + IFERROR(SUM(FILTER('Fund Investment Data'!$V:$V, 'Fund "&amp;"Investment Data'!$C:$C = $C1639, 'Fund Investment Data'!$A:$A = $A1639 - 1, 'Fund Investment Data'!$B:$B &lt;= 3)) * Parameters!$B$4,0))),0)"),13.32)</f>
        <v>13.32</v>
      </c>
      <c r="AC1639" s="32">
        <f>IFERROR(__xludf.DUMMYFUNCTION("IFERROR(FILTER($AF:$AF,$C:$C = $C1639,$A:$A = $A1639 - 1,$B:$B = 12),0)"),0.0)</f>
        <v>0</v>
      </c>
      <c r="AD1639" s="32">
        <f t="shared" si="23"/>
        <v>7655.16324</v>
      </c>
      <c r="AE1639" s="32">
        <f t="shared" si="2"/>
        <v>5.163239925</v>
      </c>
      <c r="AF1639" s="32"/>
    </row>
    <row r="1640">
      <c r="A1640" s="86">
        <v>2019.0</v>
      </c>
      <c r="B1640" s="87">
        <v>12.0</v>
      </c>
      <c r="C1640" s="103" t="s">
        <v>55</v>
      </c>
      <c r="D1640" s="104">
        <v>70000.0</v>
      </c>
      <c r="E1640" s="104">
        <v>-18228.0</v>
      </c>
      <c r="F1640" s="104">
        <v>0.0</v>
      </c>
      <c r="G1640" s="104">
        <v>-1426.7</v>
      </c>
      <c r="H1640" s="104">
        <v>7566.35</v>
      </c>
      <c r="I1640" s="104">
        <v>10298.89</v>
      </c>
      <c r="J1640" s="104">
        <v>24780.87</v>
      </c>
      <c r="K1640" s="32"/>
      <c r="L1640" s="32"/>
      <c r="M1640" s="32"/>
      <c r="N1640" s="32"/>
      <c r="O1640" s="104">
        <v>370522.35</v>
      </c>
      <c r="P1640" s="91">
        <f>IFERROR(__xludf.DUMMYFUNCTION("IFERROR(sum(FILTER($D:$N,$C:$C = $C1640,$A:$A &lt; $A1640,$B:$B = 12)),0) + sum($D1640:$N1640)"),370522.35)</f>
        <v>370522.35</v>
      </c>
      <c r="Q1640" s="92">
        <f t="shared" si="1"/>
        <v>0</v>
      </c>
      <c r="R1640" s="91">
        <f t="array" ref="R1640">IFERROR(INDEX('Fund YTD Target Values'!$1:$1000, MATCH($C1640,'Fund YTD Target Values'!$A:$A,0), MATCH($A1640,'Fund YTD Target Values'!$1:$1,0)),0)</f>
        <v>364349.1694</v>
      </c>
      <c r="S1640" s="91">
        <f>IFERROR(__xludf.DUMMYFUNCTION("IFERROR(sum(FILTER('Fund Investment Data'!$V:$V, 'Fund Investment Data'!$C:$C = $C1640, 'Fund Investment Data'!$A:$A &lt; $A1640)),0) + IFERROR(sum(FILTER('Fund Investment Data'!$V:$V, 'Fund Investment Data'!$C:$C = $C1640, 'Fund Investment Data'!$A:$A = $A1"&amp;"640, 'Fund Investment Data'!$B:$B &lt;= $B1640)),0)"),350000.0)</f>
        <v>350000</v>
      </c>
      <c r="T1640" s="32"/>
      <c r="U1640" s="32"/>
      <c r="V1640" s="32">
        <f>IFERROR(__xludf.DUMMYFUNCTION("$D1640 - IFERROR(FILTER($D:$D,$C:$C = $C1640, $A:$A = $A1640, $B:$B = $B1640 - 1),0)"),70000.0)</f>
        <v>70000</v>
      </c>
      <c r="W1640" s="93">
        <f>IFERROR(__xludf.DUMMYFUNCTION("$E1640 - IFERROR(FILTER($E:$E,$C:$C = $C1640, $A:$A = $A1640, $B:$B = $B1640 - 1),0)"),0.0)</f>
        <v>0</v>
      </c>
      <c r="X1640" s="91">
        <f>IFERROR(__xludf.DUMMYFUNCTION("iFERROR((FILTER('Fund Investment Data'!$Z:$Z, 'Fund Investment Data'!$C:$C = $C1640, 'Fund Investment Data'!$A:$A = $A1640 - 1, 'Fund Investment Data'!$B:$B = 12) + FILTER('Fund Investment Data'!$AB:$AB, 'Fund Investment Data'!$C:$C = $C1640, 'Fund Invest"&amp;"ment Data'!$A:$A = $A1640 - 1, 'Fund Investment Data'!$B:$B = 12)) * (1 + AVERAGE(FILTER('Inflation Data'!$C:$C,'Inflation Data'!$A:$A = ($A1640 - 2)))) * Parameters!$A$4,0)"),6881.036839036868)</f>
        <v>6881.036839</v>
      </c>
      <c r="Y1640" s="91">
        <f>IFERROR(__xludf.DUMMYFUNCTION("IFERROR((IFERROR(FILTER('Fund Investment Data'!$P:$P,'Fund Investment Data'!$C:$C = $C1640,'Fund Investment Data'!$A:$A = ($A1640 - 2), 'Fund Investment Data'!$B:$B = 12),0) - SUM(FILTER('Fund Investment Data'!$V:$V, 'Fund Investment Data'!$C:$C = $C1640,"&amp;" 'Fund Investment Data'!$A:$A = ($A1640 - 2), 'Fund Investment Data'!$B:$B &gt; 3)))  * Parameters!$B$4 * (1 - Parameters!$A$4),0)"),2147.3742599999996)</f>
        <v>2147.37426</v>
      </c>
      <c r="Z1640" s="91">
        <f t="shared" si="24"/>
        <v>9028.411099</v>
      </c>
      <c r="AA1640" s="91">
        <f>IFERROR(__xludf.DUMMYFUNCTION("((IFERROR((SUM(FILTER('Fund Investment Data'!$V:$V, 'Fund Investment Data'!$C:$C = $C1640, 'Fund Investment Data'!$A:$A = $A1640 - 1, 'Fund Investment Data'!$B:$B &gt;= 4, 'Fund Investment Data'!$B:$B &lt;= ($B1640 + 5))) / 12) * ($B1640 - 3) * Parameters!$B$4,"&amp;" 0) + IF($B1640 &gt;= 9, IFERROR(SUM(FILTER('Fund Investment Data'!$V:$V, 'Fund Investment Data'!$C:$C = $C1640, 'Fund Investment Data'!$A:$A = $A1640, 'Fund Investment Data'!$B:$B &lt;= 3)) * Parameters!$B$4, 0),0)))"),2362.5)</f>
        <v>2362.5</v>
      </c>
      <c r="AB1640" s="32">
        <f>IFERROR(__xludf.DUMMYFUNCTION("IFERROR(((IFERROR(SUM(FILTER('Fund Investment Data'!$V:$V, 'Fund Investment Data'!$C:$C = $C1640, 'Fund Investment Data'!$A:$A = $A1640 - 2, 'Fund Investment Data'!$B:$B &gt;= 4)) * Parameters!$B$4,0) + IFERROR(SUM(FILTER('Fund Investment Data'!$V:$V, 'Fund "&amp;"Investment Data'!$C:$C = $C1640, 'Fund Investment Data'!$A:$A = $A1640 - 1, 'Fund Investment Data'!$B:$B &lt;= 3)) * Parameters!$B$4,0))),0)"),3150.0)</f>
        <v>3150</v>
      </c>
      <c r="AC1640" s="32">
        <f>IFERROR(__xludf.DUMMYFUNCTION("IFERROR(FILTER($AF:$AF,$C:$C = $C1640,$A:$A = $A1640 - 1,$B:$B = 12),0)"),5000.0)</f>
        <v>5000</v>
      </c>
      <c r="AD1640" s="32">
        <f t="shared" si="23"/>
        <v>19540.9111</v>
      </c>
      <c r="AE1640" s="32">
        <f t="shared" si="2"/>
        <v>1312.911099</v>
      </c>
      <c r="AF1640" s="32"/>
    </row>
    <row r="1641">
      <c r="A1641" s="86">
        <v>2019.0</v>
      </c>
      <c r="B1641" s="87">
        <v>12.0</v>
      </c>
      <c r="C1641" s="103" t="s">
        <v>44</v>
      </c>
      <c r="D1641" s="104">
        <v>0.0</v>
      </c>
      <c r="E1641" s="104">
        <v>-13091.0</v>
      </c>
      <c r="F1641" s="104">
        <v>0.0</v>
      </c>
      <c r="G1641" s="104">
        <v>-1260.8</v>
      </c>
      <c r="H1641" s="104">
        <v>6648.52</v>
      </c>
      <c r="I1641" s="104">
        <v>11439.01</v>
      </c>
      <c r="J1641" s="104">
        <v>26665.22</v>
      </c>
      <c r="K1641" s="32"/>
      <c r="L1641" s="32"/>
      <c r="M1641" s="32"/>
      <c r="N1641" s="32"/>
      <c r="O1641" s="104">
        <v>281118.99</v>
      </c>
      <c r="P1641" s="91">
        <f>IFERROR(__xludf.DUMMYFUNCTION("IFERROR(sum(FILTER($D:$N,$C:$C = $C1641,$A:$A &lt; $A1641,$B:$B = 12)),0) + sum($D1641:$N1641)"),281119.88000000006)</f>
        <v>281119.88</v>
      </c>
      <c r="Q1641" s="92">
        <f t="shared" si="1"/>
        <v>-0.8900000001</v>
      </c>
      <c r="R1641" s="91">
        <f t="array" ref="R1641">IFERROR(INDEX('Fund YTD Target Values'!$1:$1000, MATCH($C1641,'Fund YTD Target Values'!$A:$A,0), MATCH($A1641,'Fund YTD Target Values'!$1:$1,0)),0)</f>
        <v>327413.1867</v>
      </c>
      <c r="S1641" s="91">
        <f>IFERROR(__xludf.DUMMYFUNCTION("IFERROR(sum(FILTER('Fund Investment Data'!$V:$V, 'Fund Investment Data'!$C:$C = $C1641, 'Fund Investment Data'!$A:$A &lt; $A1641)),0) + IFERROR(sum(FILTER('Fund Investment Data'!$V:$V, 'Fund Investment Data'!$C:$C = $C1641, 'Fund Investment Data'!$A:$A = $A1"&amp;"641, 'Fund Investment Data'!$B:$B &lt;= $B1641)),0)"),250000.0)</f>
        <v>250000</v>
      </c>
      <c r="T1641" s="32"/>
      <c r="U1641" s="32"/>
      <c r="V1641" s="32">
        <f>IFERROR(__xludf.DUMMYFUNCTION("$D1641 - IFERROR(FILTER($D:$D,$C:$C = $C1641, $A:$A = $A1641, $B:$B = $B1641 - 1),0)"),0.0)</f>
        <v>0</v>
      </c>
      <c r="W1641" s="93">
        <f>IFERROR(__xludf.DUMMYFUNCTION("$E1641 - IFERROR(FILTER($E:$E,$C:$C = $C1641, $A:$A = $A1641, $B:$B = $B1641 - 1),0)"),0.0)</f>
        <v>0</v>
      </c>
      <c r="X1641" s="91">
        <f>IFERROR(__xludf.DUMMYFUNCTION("iFERROR((FILTER('Fund Investment Data'!$Z:$Z, 'Fund Investment Data'!$C:$C = $C1641, 'Fund Investment Data'!$A:$A = $A1641 - 1, 'Fund Investment Data'!$B:$B = 12) + FILTER('Fund Investment Data'!$AB:$AB, 'Fund Investment Data'!$C:$C = $C1641, 'Fund Invest"&amp;"ment Data'!$A:$A = $A1641 - 1, 'Fund Investment Data'!$B:$B = 12)) * (1 + AVERAGE(FILTER('Inflation Data'!$C:$C,'Inflation Data'!$A:$A = ($A1641 - 2)))) * Parameters!$A$4,0)"),9221.513356912916)</f>
        <v>9221.513357</v>
      </c>
      <c r="Y1641" s="91">
        <f>IFERROR(__xludf.DUMMYFUNCTION("IFERROR((IFERROR(FILTER('Fund Investment Data'!$P:$P,'Fund Investment Data'!$C:$C = $C1641,'Fund Investment Data'!$A:$A = ($A1641 - 2), 'Fund Investment Data'!$B:$B = 12),0) - SUM(FILTER('Fund Investment Data'!$V:$V, 'Fund Investment Data'!$C:$C = $C1641,"&amp;" 'Fund Investment Data'!$A:$A = ($A1641 - 2), 'Fund Investment Data'!$B:$B &gt; 3)))  * Parameters!$B$4 * (1 - Parameters!$A$4),0)"),3869.5923450000028)</f>
        <v>3869.592345</v>
      </c>
      <c r="Z1641" s="91">
        <f t="shared" si="24"/>
        <v>13091.1057</v>
      </c>
      <c r="AA1641" s="91">
        <f>IFERROR(__xludf.DUMMYFUNCTION("((IFERROR((SUM(FILTER('Fund Investment Data'!$V:$V, 'Fund Investment Data'!$C:$C = $C1641, 'Fund Investment Data'!$A:$A = $A1641 - 1, 'Fund Investment Data'!$B:$B &gt;= 4, 'Fund Investment Data'!$B:$B &lt;= ($B1641 + 5))) / 12) * ($B1641 - 3) * Parameters!$B$4,"&amp;" 0) + IF($B1641 &gt;= 9, IFERROR(SUM(FILTER('Fund Investment Data'!$V:$V, 'Fund Investment Data'!$C:$C = $C1641, 'Fund Investment Data'!$A:$A = $A1641, 'Fund Investment Data'!$B:$B &lt;= 3)) * Parameters!$B$4, 0),0)))"),0.0)</f>
        <v>0</v>
      </c>
      <c r="AB1641" s="32">
        <f>IFERROR(__xludf.DUMMYFUNCTION("IFERROR(((IFERROR(SUM(FILTER('Fund Investment Data'!$V:$V, 'Fund Investment Data'!$C:$C = $C1641, 'Fund Investment Data'!$A:$A = $A1641 - 2, 'Fund Investment Data'!$B:$B &gt;= 4)) * Parameters!$B$4,0) + IFERROR(SUM(FILTER('Fund Investment Data'!$V:$V, 'Fund "&amp;"Investment Data'!$C:$C = $C1641, 'Fund Investment Data'!$A:$A = $A1641 - 1, 'Fund Investment Data'!$B:$B &lt;= 3)) * Parameters!$B$4,0))),0)"),0.0)</f>
        <v>0</v>
      </c>
      <c r="AC1641" s="32">
        <f>IFERROR(__xludf.DUMMYFUNCTION("IFERROR(FILTER($AF:$AF,$C:$C = $C1641,$A:$A = $A1641 - 1,$B:$B = 12),0)"),0.0)</f>
        <v>0</v>
      </c>
      <c r="AD1641" s="32">
        <f t="shared" si="23"/>
        <v>13091.1057</v>
      </c>
      <c r="AE1641" s="32">
        <f t="shared" si="2"/>
        <v>0.1057019129</v>
      </c>
      <c r="AF1641" s="32"/>
    </row>
    <row r="1642">
      <c r="A1642" s="86">
        <v>2019.0</v>
      </c>
      <c r="B1642" s="87">
        <v>12.0</v>
      </c>
      <c r="C1642" s="103" t="s">
        <v>45</v>
      </c>
      <c r="D1642" s="104">
        <v>0.0</v>
      </c>
      <c r="E1642" s="104">
        <v>-5811.0</v>
      </c>
      <c r="F1642" s="104">
        <v>0.0</v>
      </c>
      <c r="G1642" s="104">
        <v>-673.85</v>
      </c>
      <c r="H1642" s="104">
        <v>3546.24</v>
      </c>
      <c r="I1642" s="104">
        <v>4948.88</v>
      </c>
      <c r="J1642" s="104">
        <v>15167.98</v>
      </c>
      <c r="K1642" s="32"/>
      <c r="L1642" s="32"/>
      <c r="M1642" s="32"/>
      <c r="N1642" s="32"/>
      <c r="O1642" s="104">
        <v>149514.16</v>
      </c>
      <c r="P1642" s="91">
        <f>IFERROR(__xludf.DUMMYFUNCTION("IFERROR(sum(FILTER($D:$N,$C:$C = $C1642,$A:$A &lt; $A1642,$B:$B = 12)),0) + sum($D1642:$N1642)"),149514.36999999997)</f>
        <v>149514.37</v>
      </c>
      <c r="Q1642" s="92">
        <f t="shared" si="1"/>
        <v>-0.21</v>
      </c>
      <c r="R1642" s="91">
        <f t="array" ref="R1642">IFERROR(INDEX('Fund YTD Target Values'!$1:$1000, MATCH($C1642,'Fund YTD Target Values'!$A:$A,0), MATCH($A1642,'Fund YTD Target Values'!$1:$1,0)),0)</f>
        <v>123438.8442</v>
      </c>
      <c r="S1642" s="91">
        <f>IFERROR(__xludf.DUMMYFUNCTION("IFERROR(sum(FILTER('Fund Investment Data'!$V:$V, 'Fund Investment Data'!$C:$C = $C1642, 'Fund Investment Data'!$A:$A &lt; $A1642)),0) + IFERROR(sum(FILTER('Fund Investment Data'!$V:$V, 'Fund Investment Data'!$C:$C = $C1642, 'Fund Investment Data'!$A:$A = $A1"&amp;"642, 'Fund Investment Data'!$B:$B &lt;= $B1642)),0)"),100000.0)</f>
        <v>100000</v>
      </c>
      <c r="T1642" s="32"/>
      <c r="U1642" s="32"/>
      <c r="V1642" s="32">
        <f>IFERROR(__xludf.DUMMYFUNCTION("$D1642 - IFERROR(FILTER($D:$D,$C:$C = $C1642, $A:$A = $A1642, $B:$B = $B1642 - 1),0)"),0.0)</f>
        <v>0</v>
      </c>
      <c r="W1642" s="93">
        <f>IFERROR(__xludf.DUMMYFUNCTION("$E1642 - IFERROR(FILTER($E:$E,$C:$C = $C1642, $A:$A = $A1642, $B:$B = $B1642 - 1),0)"),0.0)</f>
        <v>0</v>
      </c>
      <c r="X1642" s="91">
        <f>IFERROR(__xludf.DUMMYFUNCTION("iFERROR((FILTER('Fund Investment Data'!$Z:$Z, 'Fund Investment Data'!$C:$C = $C1642, 'Fund Investment Data'!$A:$A = $A1642 - 1, 'Fund Investment Data'!$B:$B = 12) + FILTER('Fund Investment Data'!$AB:$AB, 'Fund Investment Data'!$C:$C = $C1642, 'Fund Invest"&amp;"ment Data'!$A:$A = $A1642 - 1, 'Fund Investment Data'!$B:$B = 12)) * (1 + AVERAGE(FILTER('Inflation Data'!$C:$C,'Inflation Data'!$A:$A = ($A1642 - 2)))) * Parameters!$A$4,0)"),3807.5303509611413)</f>
        <v>3807.530351</v>
      </c>
      <c r="Y1642" s="91">
        <f>IFERROR(__xludf.DUMMYFUNCTION("IFERROR((IFERROR(FILTER('Fund Investment Data'!$P:$P,'Fund Investment Data'!$C:$C = $C1642,'Fund Investment Data'!$A:$A = ($A1642 - 2), 'Fund Investment Data'!$B:$B = 12),0) - SUM(FILTER('Fund Investment Data'!$V:$V, 'Fund Investment Data'!$C:$C = $C1642,"&amp;" 'Fund Investment Data'!$A:$A = ($A1642 - 2), 'Fund Investment Data'!$B:$B &gt; 3)))  * Parameters!$B$4 * (1 - Parameters!$A$4),0)"),2003.430915)</f>
        <v>2003.430915</v>
      </c>
      <c r="Z1642" s="91">
        <f t="shared" si="24"/>
        <v>5810.961266</v>
      </c>
      <c r="AA1642" s="91">
        <f>IFERROR(__xludf.DUMMYFUNCTION("((IFERROR((SUM(FILTER('Fund Investment Data'!$V:$V, 'Fund Investment Data'!$C:$C = $C1642, 'Fund Investment Data'!$A:$A = $A1642 - 1, 'Fund Investment Data'!$B:$B &gt;= 4, 'Fund Investment Data'!$B:$B &lt;= ($B1642 + 5))) / 12) * ($B1642 - 3) * Parameters!$B$4,"&amp;" 0) + IF($B1642 &gt;= 9, IFERROR(SUM(FILTER('Fund Investment Data'!$V:$V, 'Fund Investment Data'!$C:$C = $C1642, 'Fund Investment Data'!$A:$A = $A1642, 'Fund Investment Data'!$B:$B &lt;= 3)) * Parameters!$B$4, 0),0)))"),0.0)</f>
        <v>0</v>
      </c>
      <c r="AB1642" s="32">
        <f>IFERROR(__xludf.DUMMYFUNCTION("IFERROR(((IFERROR(SUM(FILTER('Fund Investment Data'!$V:$V, 'Fund Investment Data'!$C:$C = $C1642, 'Fund Investment Data'!$A:$A = $A1642 - 2, 'Fund Investment Data'!$B:$B &gt;= 4)) * Parameters!$B$4,0) + IFERROR(SUM(FILTER('Fund Investment Data'!$V:$V, 'Fund "&amp;"Investment Data'!$C:$C = $C1642, 'Fund Investment Data'!$A:$A = $A1642 - 1, 'Fund Investment Data'!$B:$B &lt;= 3)) * Parameters!$B$4,0))),0)"),0.0)</f>
        <v>0</v>
      </c>
      <c r="AC1642" s="32">
        <f>IFERROR(__xludf.DUMMYFUNCTION("IFERROR(FILTER($AF:$AF,$C:$C = $C1642,$A:$A = $A1642 - 1,$B:$B = 12),0)"),0.0)</f>
        <v>0</v>
      </c>
      <c r="AD1642" s="32">
        <f t="shared" si="23"/>
        <v>5810.961266</v>
      </c>
      <c r="AE1642" s="32">
        <f t="shared" si="2"/>
        <v>-0.03873403886</v>
      </c>
      <c r="AF1642" s="32"/>
    </row>
    <row r="1643">
      <c r="A1643" s="86">
        <v>2019.0</v>
      </c>
      <c r="B1643" s="87">
        <v>12.0</v>
      </c>
      <c r="C1643" s="103" t="s">
        <v>35</v>
      </c>
      <c r="D1643" s="104">
        <v>0.0</v>
      </c>
      <c r="E1643" s="104">
        <v>-66961.0</v>
      </c>
      <c r="F1643" s="104">
        <v>0.0</v>
      </c>
      <c r="G1643" s="104">
        <v>-6601.37</v>
      </c>
      <c r="H1643" s="104">
        <v>34659.62</v>
      </c>
      <c r="I1643" s="104">
        <v>49411.06</v>
      </c>
      <c r="J1643" s="104">
        <v>147631.89</v>
      </c>
      <c r="K1643" s="32"/>
      <c r="L1643" s="32"/>
      <c r="M1643" s="32"/>
      <c r="N1643" s="32"/>
      <c r="O1643" s="104">
        <v>1452127.04</v>
      </c>
      <c r="P1643" s="91">
        <f>IFERROR(__xludf.DUMMYFUNCTION("IFERROR(sum(FILTER($D:$N,$C:$C = $C1643,$A:$A &lt; $A1643,$B:$B = 12)),0) + sum($D1643:$N1643)"),1452126.2700000005)</f>
        <v>1452126.27</v>
      </c>
      <c r="Q1643" s="92">
        <f t="shared" si="1"/>
        <v>0.7699999996</v>
      </c>
      <c r="R1643" s="91">
        <f t="array" ref="R1643">IFERROR(INDEX('Fund YTD Target Values'!$1:$1000, MATCH($C1643,'Fund YTD Target Values'!$A:$A,0), MATCH($A1643,'Fund YTD Target Values'!$1:$1,0)),0)</f>
        <v>1607860.761</v>
      </c>
      <c r="S1643" s="91">
        <f>IFERROR(__xludf.DUMMYFUNCTION("IFERROR(sum(FILTER('Fund Investment Data'!$V:$V, 'Fund Investment Data'!$C:$C = $C1643, 'Fund Investment Data'!$A:$A &lt; $A1643)),0) + IFERROR(sum(FILTER('Fund Investment Data'!$V:$V, 'Fund Investment Data'!$C:$C = $C1643, 'Fund Investment Data'!$A:$A = $A1"&amp;"643, 'Fund Investment Data'!$B:$B &lt;= $B1643)),0)"),1086625.0)</f>
        <v>1086625</v>
      </c>
      <c r="T1643" s="32"/>
      <c r="U1643" s="32"/>
      <c r="V1643" s="32">
        <f>IFERROR(__xludf.DUMMYFUNCTION("$D1643 - IFERROR(FILTER($D:$D,$C:$C = $C1643, $A:$A = $A1643, $B:$B = $B1643 - 1),0)"),0.0)</f>
        <v>0</v>
      </c>
      <c r="W1643" s="93">
        <f>IFERROR(__xludf.DUMMYFUNCTION("$E1643 - IFERROR(FILTER($E:$E,$C:$C = $C1643, $A:$A = $A1643, $B:$B = $B1643 - 1),0)"),-24800.0)</f>
        <v>-24800</v>
      </c>
      <c r="X1643" s="91">
        <f>IFERROR(__xludf.DUMMYFUNCTION("iFERROR((FILTER('Fund Investment Data'!$Z:$Z, 'Fund Investment Data'!$C:$C = $C1643, 'Fund Investment Data'!$A:$A = $A1643 - 1, 'Fund Investment Data'!$B:$B = 12) + FILTER('Fund Investment Data'!$AB:$AB, 'Fund Investment Data'!$C:$C = $C1643, 'Fund Invest"&amp;"ment Data'!$A:$A = $A1643 - 1, 'Fund Investment Data'!$B:$B = 12)) * (1 + AVERAGE(FILTER('Inflation Data'!$C:$C,'Inflation Data'!$A:$A = ($A1643 - 2)))) * Parameters!$A$4,0)"),47167.912647909514)</f>
        <v>47167.91265</v>
      </c>
      <c r="Y1643" s="91">
        <f>IFERROR(__xludf.DUMMYFUNCTION("IFERROR((IFERROR(FILTER('Fund Investment Data'!$P:$P,'Fund Investment Data'!$C:$C = $C1643,'Fund Investment Data'!$A:$A = ($A1643 - 2), 'Fund Investment Data'!$B:$B = 12),0) - SUM(FILTER('Fund Investment Data'!$V:$V, 'Fund Investment Data'!$C:$C = $C1643,"&amp;" 'Fund Investment Data'!$A:$A = ($A1643 - 2), 'Fund Investment Data'!$B:$B &gt; 3)))  * Parameters!$B$4 * (1 - Parameters!$A$4),0)"),19792.911060000006)</f>
        <v>19792.91106</v>
      </c>
      <c r="Z1643" s="91">
        <f t="shared" si="24"/>
        <v>66960.82371</v>
      </c>
      <c r="AA1643" s="91">
        <f>IFERROR(__xludf.DUMMYFUNCTION("((IFERROR((SUM(FILTER('Fund Investment Data'!$V:$V, 'Fund Investment Data'!$C:$C = $C1643, 'Fund Investment Data'!$A:$A = $A1643 - 1, 'Fund Investment Data'!$B:$B &gt;= 4, 'Fund Investment Data'!$B:$B &lt;= ($B1643 + 5))) / 12) * ($B1643 - 3) * Parameters!$B$4,"&amp;" 0) + IF($B1643 &gt;= 9, IFERROR(SUM(FILTER('Fund Investment Data'!$V:$V, 'Fund Investment Data'!$C:$C = $C1643, 'Fund Investment Data'!$A:$A = $A1643, 'Fund Investment Data'!$B:$B &lt;= 3)) * Parameters!$B$4, 0),0)))"),0.0)</f>
        <v>0</v>
      </c>
      <c r="AB1643" s="32">
        <f>IFERROR(__xludf.DUMMYFUNCTION("IFERROR(((IFERROR(SUM(FILTER('Fund Investment Data'!$V:$V, 'Fund Investment Data'!$C:$C = $C1643, 'Fund Investment Data'!$A:$A = $A1643 - 2, 'Fund Investment Data'!$B:$B &gt;= 4)) * Parameters!$B$4,0) + IFERROR(SUM(FILTER('Fund Investment Data'!$V:$V, 'Fund "&amp;"Investment Data'!$C:$C = $C1643, 'Fund Investment Data'!$A:$A = $A1643 - 1, 'Fund Investment Data'!$B:$B &lt;= 3)) * Parameters!$B$4,0))),0)"),0.0)</f>
        <v>0</v>
      </c>
      <c r="AC1643" s="32">
        <f>IFERROR(__xludf.DUMMYFUNCTION("IFERROR(FILTER($AF:$AF,$C:$C = $C1643,$A:$A = $A1643 - 1,$B:$B = 12),0)"),0.0)</f>
        <v>0</v>
      </c>
      <c r="AD1643" s="32">
        <f t="shared" si="23"/>
        <v>66960.82371</v>
      </c>
      <c r="AE1643" s="32">
        <f t="shared" si="2"/>
        <v>-0.1762920905</v>
      </c>
      <c r="AF1643" s="32"/>
    </row>
    <row r="1644">
      <c r="A1644" s="86">
        <v>2019.0</v>
      </c>
      <c r="B1644" s="87">
        <v>12.0</v>
      </c>
      <c r="C1644" s="103" t="s">
        <v>56</v>
      </c>
      <c r="D1644" s="104">
        <v>0.0</v>
      </c>
      <c r="E1644" s="104">
        <v>-48607.0</v>
      </c>
      <c r="F1644" s="104">
        <v>0.0</v>
      </c>
      <c r="G1644" s="104">
        <v>-5127.41</v>
      </c>
      <c r="H1644" s="104">
        <v>26861.25</v>
      </c>
      <c r="I1644" s="104">
        <v>32287.03</v>
      </c>
      <c r="J1644" s="104">
        <v>119441.25</v>
      </c>
      <c r="K1644" s="32"/>
      <c r="L1644" s="32"/>
      <c r="M1644" s="32"/>
      <c r="N1644" s="32"/>
      <c r="O1644" s="104">
        <v>1124267.83</v>
      </c>
      <c r="P1644" s="91">
        <f>IFERROR(__xludf.DUMMYFUNCTION("IFERROR(sum(FILTER($D:$N,$C:$C = $C1644,$A:$A &lt; $A1644,$B:$B = 12)),0) + sum($D1644:$N1644)"),1124267.8299999998)</f>
        <v>1124267.83</v>
      </c>
      <c r="Q1644" s="92">
        <f t="shared" si="1"/>
        <v>0.0000000002328306437</v>
      </c>
      <c r="R1644" s="91">
        <f t="array" ref="R1644">IFERROR(INDEX('Fund YTD Target Values'!$1:$1000, MATCH($C1644,'Fund YTD Target Values'!$A:$A,0), MATCH($A1644,'Fund YTD Target Values'!$1:$1,0)),0)</f>
        <v>1079944.217</v>
      </c>
      <c r="S1644" s="91">
        <f>IFERROR(__xludf.DUMMYFUNCTION("IFERROR(sum(FILTER('Fund Investment Data'!$V:$V, 'Fund Investment Data'!$C:$C = $C1644, 'Fund Investment Data'!$A:$A &lt; $A1644)),0) + IFERROR(sum(FILTER('Fund Investment Data'!$V:$V, 'Fund Investment Data'!$C:$C = $C1644, 'Fund Investment Data'!$A:$A = $A1"&amp;"644, 'Fund Investment Data'!$B:$B &lt;= $B1644)),0)"),1000000.0)</f>
        <v>1000000</v>
      </c>
      <c r="T1644" s="32"/>
      <c r="U1644" s="32"/>
      <c r="V1644" s="32">
        <f>IFERROR(__xludf.DUMMYFUNCTION("$D1644 - IFERROR(FILTER($D:$D,$C:$C = $C1644, $A:$A = $A1644, $B:$B = $B1644 - 1),0)"),0.0)</f>
        <v>0</v>
      </c>
      <c r="W1644" s="93">
        <f>IFERROR(__xludf.DUMMYFUNCTION("$E1644 - IFERROR(FILTER($E:$E,$C:$C = $C1644, $A:$A = $A1644, $B:$B = $B1644 - 1),0)"),0.0)</f>
        <v>0</v>
      </c>
      <c r="X1644" s="91">
        <f>IFERROR(__xludf.DUMMYFUNCTION("iFERROR((FILTER('Fund Investment Data'!$Z:$Z, 'Fund Investment Data'!$C:$C = $C1644, 'Fund Investment Data'!$A:$A = $A1644 - 1, 'Fund Investment Data'!$B:$B = 12) + FILTER('Fund Investment Data'!$AB:$AB, 'Fund Investment Data'!$C:$C = $C1644, 'Fund Invest"&amp;"ment Data'!$A:$A = $A1644 - 1, 'Fund Investment Data'!$B:$B = 12)) * (1 + AVERAGE(FILTER('Inflation Data'!$C:$C,'Inflation Data'!$A:$A = ($A1644 - 2)))) * Parameters!$A$4,0)"),33311.397321480836)</f>
        <v>33311.39732</v>
      </c>
      <c r="Y1644" s="91">
        <f>IFERROR(__xludf.DUMMYFUNCTION("IFERROR((IFERROR(FILTER('Fund Investment Data'!$P:$P,'Fund Investment Data'!$C:$C = $C1644,'Fund Investment Data'!$A:$A = ($A1644 - 2), 'Fund Investment Data'!$B:$B = 12),0) - SUM(FILTER('Fund Investment Data'!$V:$V, 'Fund Investment Data'!$C:$C = $C1644,"&amp;" 'Fund Investment Data'!$A:$A = ($A1644 - 2), 'Fund Investment Data'!$B:$B &gt; 3)))  * Parameters!$B$4 * (1 - Parameters!$A$4),0)"),15295.200705)</f>
        <v>15295.20071</v>
      </c>
      <c r="Z1644" s="91">
        <f t="shared" si="24"/>
        <v>48606.59803</v>
      </c>
      <c r="AA1644" s="91">
        <f>IFERROR(__xludf.DUMMYFUNCTION("((IFERROR((SUM(FILTER('Fund Investment Data'!$V:$V, 'Fund Investment Data'!$C:$C = $C1644, 'Fund Investment Data'!$A:$A = $A1644 - 1, 'Fund Investment Data'!$B:$B &gt;= 4, 'Fund Investment Data'!$B:$B &lt;= ($B1644 + 5))) / 12) * ($B1644 - 3) * Parameters!$B$4,"&amp;" 0) + IF($B1644 &gt;= 9, IFERROR(SUM(FILTER('Fund Investment Data'!$V:$V, 'Fund Investment Data'!$C:$C = $C1644, 'Fund Investment Data'!$A:$A = $A1644, 'Fund Investment Data'!$B:$B &lt;= 3)) * Parameters!$B$4, 0),0)))"),0.0)</f>
        <v>0</v>
      </c>
      <c r="AB1644" s="32">
        <f>IFERROR(__xludf.DUMMYFUNCTION("IFERROR(((IFERROR(SUM(FILTER('Fund Investment Data'!$V:$V, 'Fund Investment Data'!$C:$C = $C1644, 'Fund Investment Data'!$A:$A = $A1644 - 2, 'Fund Investment Data'!$B:$B &gt;= 4)) * Parameters!$B$4,0) + IFERROR(SUM(FILTER('Fund Investment Data'!$V:$V, 'Fund "&amp;"Investment Data'!$C:$C = $C1644, 'Fund Investment Data'!$A:$A = $A1644 - 1, 'Fund Investment Data'!$B:$B &lt;= 3)) * Parameters!$B$4,0))),0)"),0.0)</f>
        <v>0</v>
      </c>
      <c r="AC1644" s="32">
        <f>IFERROR(__xludf.DUMMYFUNCTION("IFERROR(FILTER($AF:$AF,$C:$C = $C1644,$A:$A = $A1644 - 1,$B:$B = 12),0)"),0.0)</f>
        <v>0</v>
      </c>
      <c r="AD1644" s="32">
        <f t="shared" si="23"/>
        <v>48606.59803</v>
      </c>
      <c r="AE1644" s="32">
        <f t="shared" si="2"/>
        <v>-0.4019735192</v>
      </c>
      <c r="AF1644" s="32"/>
    </row>
    <row r="1645">
      <c r="A1645" s="86">
        <v>2019.0</v>
      </c>
      <c r="B1645" s="87">
        <v>12.0</v>
      </c>
      <c r="C1645" s="103" t="s">
        <v>57</v>
      </c>
      <c r="D1645" s="104">
        <v>0.0</v>
      </c>
      <c r="E1645" s="104">
        <v>-135475.0</v>
      </c>
      <c r="F1645" s="104">
        <v>0.0</v>
      </c>
      <c r="G1645" s="104">
        <v>-9573.9</v>
      </c>
      <c r="H1645" s="104">
        <v>49900.1</v>
      </c>
      <c r="I1645" s="104">
        <v>60294.22</v>
      </c>
      <c r="J1645" s="104">
        <v>218892.09</v>
      </c>
      <c r="K1645" s="32"/>
      <c r="L1645" s="32"/>
      <c r="M1645" s="32"/>
      <c r="N1645" s="32"/>
      <c r="O1645" s="104">
        <v>2064551.98</v>
      </c>
      <c r="P1645" s="91">
        <f>IFERROR(__xludf.DUMMYFUNCTION("IFERROR(sum(FILTER($D:$N,$C:$C = $C1645,$A:$A &lt; $A1645,$B:$B = 12)),0) + sum($D1645:$N1645)"),2064551.98)</f>
        <v>2064551.98</v>
      </c>
      <c r="Q1645" s="92">
        <f t="shared" si="1"/>
        <v>0</v>
      </c>
      <c r="R1645" s="91">
        <f t="array" ref="R1645">IFERROR(INDEX('Fund YTD Target Values'!$1:$1000, MATCH($C1645,'Fund YTD Target Values'!$A:$A,0), MATCH($A1645,'Fund YTD Target Values'!$1:$1,0)),0)</f>
        <v>2085975.586</v>
      </c>
      <c r="S1645" s="91">
        <f>IFERROR(__xludf.DUMMYFUNCTION("IFERROR(sum(FILTER('Fund Investment Data'!$V:$V, 'Fund Investment Data'!$C:$C = $C1645, 'Fund Investment Data'!$A:$A &lt; $A1645)),0) + IFERROR(sum(FILTER('Fund Investment Data'!$V:$V, 'Fund Investment Data'!$C:$C = $C1645, 'Fund Investment Data'!$A:$A = $A1"&amp;"645, 'Fund Investment Data'!$B:$B &lt;= $B1645)),0)"),2000000.0)</f>
        <v>2000000</v>
      </c>
      <c r="T1645" s="32"/>
      <c r="U1645" s="32"/>
      <c r="V1645" s="32">
        <f>IFERROR(__xludf.DUMMYFUNCTION("$D1645 - IFERROR(FILTER($D:$D,$C:$C = $C1645, $A:$A = $A1645, $B:$B = $B1645 - 1),0)"),0.0)</f>
        <v>0</v>
      </c>
      <c r="W1645" s="93">
        <f>IFERROR(__xludf.DUMMYFUNCTION("$E1645 - IFERROR(FILTER($E:$E,$C:$C = $C1645, $A:$A = $A1645, $B:$B = $B1645 - 1),0)"),0.0)</f>
        <v>0</v>
      </c>
      <c r="X1645" s="91">
        <f>IFERROR(__xludf.DUMMYFUNCTION("iFERROR((FILTER('Fund Investment Data'!$Z:$Z, 'Fund Investment Data'!$C:$C = $C1645, 'Fund Investment Data'!$A:$A = $A1645 - 1, 'Fund Investment Data'!$B:$B = 12) + FILTER('Fund Investment Data'!$AB:$AB, 'Fund Investment Data'!$C:$C = $C1645, 'Fund Invest"&amp;"ment Data'!$A:$A = $A1645 - 1, 'Fund Investment Data'!$B:$B = 12)) * (1 + AVERAGE(FILTER('Inflation Data'!$C:$C,'Inflation Data'!$A:$A = ($A1645 - 2)))) * Parameters!$A$4,0)"),0.0)</f>
        <v>0</v>
      </c>
      <c r="Y1645" s="91">
        <f>IFERROR(__xludf.DUMMYFUNCTION("IFERROR((IFERROR(FILTER('Fund Investment Data'!$P:$P,'Fund Investment Data'!$C:$C = $C1645,'Fund Investment Data'!$A:$A = ($A1645 - 2), 'Fund Investment Data'!$B:$B = 12),0) - SUM(FILTER('Fund Investment Data'!$V:$V, 'Fund Investment Data'!$C:$C = $C1645,"&amp;" 'Fund Investment Data'!$A:$A = ($A1645 - 2), 'Fund Investment Data'!$B:$B &gt; 3)))  * Parameters!$B$4 * (1 - Parameters!$A$4),0)"),474.91420500000106)</f>
        <v>474.914205</v>
      </c>
      <c r="Z1645" s="91">
        <f t="shared" si="24"/>
        <v>474.914205</v>
      </c>
      <c r="AA1645" s="91">
        <f>IFERROR(__xludf.DUMMYFUNCTION("((IFERROR((SUM(FILTER('Fund Investment Data'!$V:$V, 'Fund Investment Data'!$C:$C = $C1645, 'Fund Investment Data'!$A:$A = $A1645 - 1, 'Fund Investment Data'!$B:$B &gt;= 4, 'Fund Investment Data'!$B:$B &lt;= ($B1645 + 5))) / 12) * ($B1645 - 3) * Parameters!$B$4,"&amp;" 0) + IF($B1645 &gt;= 9, IFERROR(SUM(FILTER('Fund Investment Data'!$V:$V, 'Fund Investment Data'!$C:$C = $C1645, 'Fund Investment Data'!$A:$A = $A1645, 'Fund Investment Data'!$B:$B &lt;= 3)) * Parameters!$B$4, 0),0)))"),0.0)</f>
        <v>0</v>
      </c>
      <c r="AB1645" s="32">
        <f>IFERROR(__xludf.DUMMYFUNCTION("IFERROR(((IFERROR(SUM(FILTER('Fund Investment Data'!$V:$V, 'Fund Investment Data'!$C:$C = $C1645, 'Fund Investment Data'!$A:$A = $A1645 - 2, 'Fund Investment Data'!$B:$B &gt;= 4)) * Parameters!$B$4,0) + IFERROR(SUM(FILTER('Fund Investment Data'!$V:$V, 'Fund "&amp;"Investment Data'!$C:$C = $C1645, 'Fund Investment Data'!$A:$A = $A1645 - 1, 'Fund Investment Data'!$B:$B &lt;= 3)) * Parameters!$B$4,0))),0)"),90000.0)</f>
        <v>90000</v>
      </c>
      <c r="AC1645" s="32">
        <f>IFERROR(__xludf.DUMMYFUNCTION("IFERROR(FILTER($AF:$AF,$C:$C = $C1645,$A:$A = $A1645 - 1,$B:$B = 12),0)"),45000.0)</f>
        <v>45000</v>
      </c>
      <c r="AD1645" s="32">
        <f t="shared" si="23"/>
        <v>135474.9142</v>
      </c>
      <c r="AE1645" s="32">
        <f t="shared" si="2"/>
        <v>-0.08579499999</v>
      </c>
      <c r="AF1645" s="32"/>
    </row>
    <row r="1646">
      <c r="A1646" s="86">
        <v>2019.0</v>
      </c>
      <c r="B1646" s="87">
        <v>12.0</v>
      </c>
      <c r="C1646" s="103" t="s">
        <v>58</v>
      </c>
      <c r="D1646" s="104">
        <v>0.0</v>
      </c>
      <c r="E1646" s="104">
        <v>-115475.0</v>
      </c>
      <c r="F1646" s="104">
        <v>0.0</v>
      </c>
      <c r="G1646" s="104">
        <v>-9462.68</v>
      </c>
      <c r="H1646" s="104">
        <v>49502.27</v>
      </c>
      <c r="I1646" s="104">
        <v>60287.92</v>
      </c>
      <c r="J1646" s="104">
        <v>218883.26</v>
      </c>
      <c r="K1646" s="32"/>
      <c r="L1646" s="32"/>
      <c r="M1646" s="32"/>
      <c r="N1646" s="32"/>
      <c r="O1646" s="104">
        <v>2064250.22</v>
      </c>
      <c r="P1646" s="91">
        <f>IFERROR(__xludf.DUMMYFUNCTION("IFERROR(sum(FILTER($D:$N,$C:$C = $C1646,$A:$A &lt; $A1646,$B:$B = 12)),0) + sum($D1646:$N1646)"),2064250.22)</f>
        <v>2064250.22</v>
      </c>
      <c r="Q1646" s="92">
        <f t="shared" si="1"/>
        <v>0</v>
      </c>
      <c r="R1646" s="91">
        <f t="array" ref="R1646">IFERROR(INDEX('Fund YTD Target Values'!$1:$1000, MATCH($C1646,'Fund YTD Target Values'!$A:$A,0), MATCH($A1646,'Fund YTD Target Values'!$1:$1,0)),0)</f>
        <v>2085975.586</v>
      </c>
      <c r="S1646" s="91">
        <f>IFERROR(__xludf.DUMMYFUNCTION("IFERROR(sum(FILTER('Fund Investment Data'!$V:$V, 'Fund Investment Data'!$C:$C = $C1646, 'Fund Investment Data'!$A:$A &lt; $A1646)),0) + IFERROR(sum(FILTER('Fund Investment Data'!$V:$V, 'Fund Investment Data'!$C:$C = $C1646, 'Fund Investment Data'!$A:$A = $A1"&amp;"646, 'Fund Investment Data'!$B:$B &lt;= $B1646)),0)"),2000000.0)</f>
        <v>2000000</v>
      </c>
      <c r="T1646" s="32"/>
      <c r="U1646" s="32"/>
      <c r="V1646" s="32">
        <f>IFERROR(__xludf.DUMMYFUNCTION("$D1646 - IFERROR(FILTER($D:$D,$C:$C = $C1646, $A:$A = $A1646, $B:$B = $B1646 - 1),0)"),0.0)</f>
        <v>0</v>
      </c>
      <c r="W1646" s="93">
        <f>IFERROR(__xludf.DUMMYFUNCTION("$E1646 - IFERROR(FILTER($E:$E,$C:$C = $C1646, $A:$A = $A1646, $B:$B = $B1646 - 1),0)"),0.0)</f>
        <v>0</v>
      </c>
      <c r="X1646" s="91">
        <f>IFERROR(__xludf.DUMMYFUNCTION("iFERROR((FILTER('Fund Investment Data'!$Z:$Z, 'Fund Investment Data'!$C:$C = $C1646, 'Fund Investment Data'!$A:$A = $A1646 - 1, 'Fund Investment Data'!$B:$B = 12) + FILTER('Fund Investment Data'!$AB:$AB, 'Fund Investment Data'!$C:$C = $C1646, 'Fund Invest"&amp;"ment Data'!$A:$A = $A1646 - 1, 'Fund Investment Data'!$B:$B = 12)) * (1 + AVERAGE(FILTER('Inflation Data'!$C:$C,'Inflation Data'!$A:$A = ($A1646 - 2)))) * Parameters!$A$4,0)"),0.0)</f>
        <v>0</v>
      </c>
      <c r="Y1646" s="91">
        <f>IFERROR(__xludf.DUMMYFUNCTION("IFERROR((IFERROR(FILTER('Fund Investment Data'!$P:$P,'Fund Investment Data'!$C:$C = $C1646,'Fund Investment Data'!$A:$A = ($A1646 - 2), 'Fund Investment Data'!$B:$B = 12),0) - SUM(FILTER('Fund Investment Data'!$V:$V, 'Fund Investment Data'!$C:$C = $C1646,"&amp;" 'Fund Investment Data'!$A:$A = ($A1646 - 2), 'Fund Investment Data'!$B:$B &gt; 3)))  * Parameters!$B$4 * (1 - Parameters!$A$4),0)"),474.91420500000106)</f>
        <v>474.914205</v>
      </c>
      <c r="Z1646" s="91">
        <f t="shared" si="24"/>
        <v>474.914205</v>
      </c>
      <c r="AA1646" s="91">
        <f>IFERROR(__xludf.DUMMYFUNCTION("((IFERROR((SUM(FILTER('Fund Investment Data'!$V:$V, 'Fund Investment Data'!$C:$C = $C1646, 'Fund Investment Data'!$A:$A = $A1646 - 1, 'Fund Investment Data'!$B:$B &gt;= 4, 'Fund Investment Data'!$B:$B &lt;= ($B1646 + 5))) / 12) * ($B1646 - 3) * Parameters!$B$4,"&amp;" 0) + IF($B1646 &gt;= 9, IFERROR(SUM(FILTER('Fund Investment Data'!$V:$V, 'Fund Investment Data'!$C:$C = $C1646, 'Fund Investment Data'!$A:$A = $A1646, 'Fund Investment Data'!$B:$B &lt;= 3)) * Parameters!$B$4, 0),0)))"),0.0)</f>
        <v>0</v>
      </c>
      <c r="AB1646" s="32">
        <f>IFERROR(__xludf.DUMMYFUNCTION("IFERROR(((IFERROR(SUM(FILTER('Fund Investment Data'!$V:$V, 'Fund Investment Data'!$C:$C = $C1646, 'Fund Investment Data'!$A:$A = $A1646 - 2, 'Fund Investment Data'!$B:$B &gt;= 4)) * Parameters!$B$4,0) + IFERROR(SUM(FILTER('Fund Investment Data'!$V:$V, 'Fund "&amp;"Investment Data'!$C:$C = $C1646, 'Fund Investment Data'!$A:$A = $A1646 - 1, 'Fund Investment Data'!$B:$B &lt;= 3)) * Parameters!$B$4,0))),0)"),90000.0)</f>
        <v>90000</v>
      </c>
      <c r="AC1646" s="32">
        <f>IFERROR(__xludf.DUMMYFUNCTION("IFERROR(FILTER($AF:$AF,$C:$C = $C1646,$A:$A = $A1646 - 1,$B:$B = 12),0)"),25000.0)</f>
        <v>25000</v>
      </c>
      <c r="AD1646" s="32">
        <f t="shared" si="23"/>
        <v>115474.9142</v>
      </c>
      <c r="AE1646" s="32">
        <f t="shared" si="2"/>
        <v>-0.08579499999</v>
      </c>
      <c r="AF1646" s="32"/>
    </row>
    <row r="1647">
      <c r="A1647" s="86">
        <v>2020.0</v>
      </c>
      <c r="B1647" s="87">
        <v>1.0</v>
      </c>
      <c r="C1647" s="103" t="s">
        <v>26</v>
      </c>
      <c r="D1647" s="104">
        <v>0.0</v>
      </c>
      <c r="E1647" s="104">
        <v>0.0</v>
      </c>
      <c r="F1647" s="104">
        <v>0.0</v>
      </c>
      <c r="G1647" s="104">
        <v>-133.71</v>
      </c>
      <c r="H1647" s="104">
        <v>281.7</v>
      </c>
      <c r="I1647" s="104">
        <v>16035.07</v>
      </c>
      <c r="J1647" s="104">
        <v>-17407.48</v>
      </c>
      <c r="K1647" s="32"/>
      <c r="L1647" s="32"/>
      <c r="M1647" s="32"/>
      <c r="N1647" s="32"/>
      <c r="O1647" s="104">
        <v>351946.13</v>
      </c>
      <c r="P1647" s="91">
        <f>IFERROR(__xludf.DUMMYFUNCTION("IFERROR(sum(FILTER($D:$N,$C:$C = $C1647,$A:$A &lt; $A1647,$B:$B = 12)),0) + sum($D1647:$N1647)"),351944.67)</f>
        <v>351944.67</v>
      </c>
      <c r="Q1647" s="92">
        <f t="shared" si="1"/>
        <v>1.46</v>
      </c>
      <c r="R1647" s="91">
        <f t="array" ref="R1647">IFERROR(INDEX('Fund YTD Target Values'!$1:$1000, MATCH($C1647,'Fund YTD Target Values'!$A:$A,0), MATCH($A1647,'Fund YTD Target Values'!$1:$1,0)),0)</f>
        <v>401541.8823</v>
      </c>
      <c r="S1647" s="91">
        <f>IFERROR(__xludf.DUMMYFUNCTION("IFERROR(sum(FILTER('Fund Investment Data'!$V:$V, 'Fund Investment Data'!$C:$C = $C1647, 'Fund Investment Data'!$A:$A &lt; $A1647)),0) + IFERROR(sum(FILTER('Fund Investment Data'!$V:$V, 'Fund Investment Data'!$C:$C = $C1647, 'Fund Investment Data'!$A:$A = $A1"&amp;"647, 'Fund Investment Data'!$B:$B &lt;= $B1647)),0)"),317377.01)</f>
        <v>317377.01</v>
      </c>
      <c r="T1647" s="32"/>
      <c r="U1647" s="32"/>
      <c r="V1647" s="32">
        <f>IFERROR(__xludf.DUMMYFUNCTION("$D1647 - IFERROR(FILTER($D:$D,$C:$C = $C1647, $A:$A = $A1647, $B:$B = $B1647 - 1),0)"),0.0)</f>
        <v>0</v>
      </c>
      <c r="W1647" s="93">
        <f>IFERROR(__xludf.DUMMYFUNCTION("$E1647 - IFERROR(FILTER($E:$E,$C:$C = $C1647, $A:$A = $A1647, $B:$B = $B1647 - 1),0)"),0.0)</f>
        <v>0</v>
      </c>
      <c r="X1647" s="91">
        <f>IFERROR(__xludf.DUMMYFUNCTION("iFERROR((FILTER('Fund Investment Data'!$Z:$Z, 'Fund Investment Data'!$C:$C = $C1647, 'Fund Investment Data'!$A:$A = $A1647 - 1, 'Fund Investment Data'!$B:$B = 12) + FILTER('Fund Investment Data'!$AB:$AB, 'Fund Investment Data'!$C:$C = $C1647, 'Fund Invest"&amp;"ment Data'!$A:$A = $A1647 - 1, 'Fund Investment Data'!$B:$B = 12)) * (1 + AVERAGE(FILTER('Inflation Data'!$C:$C,'Inflation Data'!$A:$A = ($A1647 - 2)))) * Parameters!$A$4,0)"),11939.770681709342)</f>
        <v>11939.77068</v>
      </c>
      <c r="Y1647" s="91">
        <f>IFERROR(__xludf.DUMMYFUNCTION("IFERROR((IFERROR(FILTER('Fund Investment Data'!$P:$P,'Fund Investment Data'!$C:$C = $C1647,'Fund Investment Data'!$A:$A = ($A1647 - 2), 'Fund Investment Data'!$B:$B = 12),0) - SUM(FILTER('Fund Investment Data'!$V:$V, 'Fund Investment Data'!$C:$C = $C1647,"&amp;" 'Fund Investment Data'!$A:$A = ($A1647 - 2), 'Fund Investment Data'!$B:$B &gt; 3)))  * Parameters!$B$4 * (1 - Parameters!$A$4),0)"),4169.1699)</f>
        <v>4169.1699</v>
      </c>
      <c r="Z1647" s="91">
        <f t="shared" si="24"/>
        <v>16108.94058</v>
      </c>
      <c r="AA1647" s="91">
        <f>IFERROR(__xludf.DUMMYFUNCTION("((IFERROR((SUM(FILTER('Fund Investment Data'!$V:$V, 'Fund Investment Data'!$C:$C = $C1647, 'Fund Investment Data'!$A:$A = $A1647 - 1, 'Fund Investment Data'!$B:$B &gt;= 4, 'Fund Investment Data'!$B:$B &lt;= ($B1647 + 5))) / 12) * ($B1647 - 3) * Parameters!$B$4,"&amp;" 0) + IF($B1647 &gt;= 9, IFERROR(SUM(FILTER('Fund Investment Data'!$V:$V, 'Fund Investment Data'!$C:$C = $C1647, 'Fund Investment Data'!$A:$A = $A1647, 'Fund Investment Data'!$B:$B &lt;= 3)) * Parameters!$B$4, 0),0)))"),0.0)</f>
        <v>0</v>
      </c>
      <c r="AB1647" s="32">
        <f>IFERROR(__xludf.DUMMYFUNCTION("IFERROR(((IFERROR(SUM(FILTER('Fund Investment Data'!$V:$V, 'Fund Investment Data'!$C:$C = $C1647, 'Fund Investment Data'!$A:$A = $A1647 - 2, 'Fund Investment Data'!$B:$B &gt;= 4)) * Parameters!$B$4,0) + IFERROR(SUM(FILTER('Fund Investment Data'!$V:$V, 'Fund "&amp;"Investment Data'!$C:$C = $C1647, 'Fund Investment Data'!$A:$A = $A1647 - 1, 'Fund Investment Data'!$B:$B &lt;= 3)) * Parameters!$B$4,0))),0)"),320.76)</f>
        <v>320.76</v>
      </c>
      <c r="AC1647" s="32" t="str">
        <f>IFERROR(__xludf.DUMMYFUNCTION("IFERROR(FILTER($AF:$AF,$C:$C = $C1647,$A:$A = $A1647 - 1,$B:$B = 12),0)"),"")</f>
        <v/>
      </c>
      <c r="AD1647" s="32">
        <f t="shared" si="23"/>
        <v>16429.70058</v>
      </c>
      <c r="AE1647" s="32">
        <f t="shared" si="2"/>
        <v>16429.70058</v>
      </c>
      <c r="AF1647" s="32"/>
    </row>
    <row r="1648">
      <c r="A1648" s="86">
        <v>2020.0</v>
      </c>
      <c r="B1648" s="87">
        <v>1.0</v>
      </c>
      <c r="C1648" s="103" t="s">
        <v>27</v>
      </c>
      <c r="D1648" s="104">
        <v>0.0</v>
      </c>
      <c r="E1648" s="104">
        <v>0.0</v>
      </c>
      <c r="F1648" s="104">
        <v>0.0</v>
      </c>
      <c r="G1648" s="104">
        <v>-114.96</v>
      </c>
      <c r="H1648" s="104">
        <v>242.2</v>
      </c>
      <c r="I1648" s="104">
        <v>13786.81</v>
      </c>
      <c r="J1648" s="104">
        <v>-14966.79</v>
      </c>
      <c r="K1648" s="32"/>
      <c r="L1648" s="32"/>
      <c r="M1648" s="32"/>
      <c r="N1648" s="32"/>
      <c r="O1648" s="104">
        <v>302600.12</v>
      </c>
      <c r="P1648" s="91">
        <f>IFERROR(__xludf.DUMMYFUNCTION("IFERROR(sum(FILTER($D:$N,$C:$C = $C1648,$A:$A &lt; $A1648,$B:$B = 12)),0) + sum($D1648:$N1648)"),302600.4600000001)</f>
        <v>302600.46</v>
      </c>
      <c r="Q1648" s="92">
        <f t="shared" si="1"/>
        <v>-0.3400000001</v>
      </c>
      <c r="R1648" s="91">
        <f t="array" ref="R1648">IFERROR(INDEX('Fund YTD Target Values'!$1:$1000, MATCH($C1648,'Fund YTD Target Values'!$A:$A,0), MATCH($A1648,'Fund YTD Target Values'!$1:$1,0)),0)</f>
        <v>410076.5954</v>
      </c>
      <c r="S1648" s="91">
        <f>IFERROR(__xludf.DUMMYFUNCTION("IFERROR(sum(FILTER('Fund Investment Data'!$V:$V, 'Fund Investment Data'!$C:$C = $C1648, 'Fund Investment Data'!$A:$A &lt; $A1648)),0) + IFERROR(sum(FILTER('Fund Investment Data'!$V:$V, 'Fund Investment Data'!$C:$C = $C1648, 'Fund Investment Data'!$A:$A = $A1"&amp;"648, 'Fund Investment Data'!$B:$B &lt;= $B1648)),0)"),276213.69999999995)</f>
        <v>276213.7</v>
      </c>
      <c r="T1648" s="32"/>
      <c r="U1648" s="32"/>
      <c r="V1648" s="32">
        <f>IFERROR(__xludf.DUMMYFUNCTION("$D1648 - IFERROR(FILTER($D:$D,$C:$C = $C1648, $A:$A = $A1648, $B:$B = $B1648 - 1),0)"),0.0)</f>
        <v>0</v>
      </c>
      <c r="W1648" s="93">
        <f>IFERROR(__xludf.DUMMYFUNCTION("$E1648 - IFERROR(FILTER($E:$E,$C:$C = $C1648, $A:$A = $A1648, $B:$B = $B1648 - 1),0)"),0.0)</f>
        <v>0</v>
      </c>
      <c r="X1648" s="91">
        <f>IFERROR(__xludf.DUMMYFUNCTION("iFERROR((FILTER('Fund Investment Data'!$Z:$Z, 'Fund Investment Data'!$C:$C = $C1648, 'Fund Investment Data'!$A:$A = $A1648 - 1, 'Fund Investment Data'!$B:$B = 12) + FILTER('Fund Investment Data'!$AB:$AB, 'Fund Investment Data'!$C:$C = $C1648, 'Fund Invest"&amp;"ment Data'!$A:$A = $A1648 - 1, 'Fund Investment Data'!$B:$B = 12)) * (1 + AVERAGE(FILTER('Inflation Data'!$C:$C,'Inflation Data'!$A:$A = ($A1648 - 2)))) * Parameters!$A$4,0)"),10103.189252444476)</f>
        <v>10103.18925</v>
      </c>
      <c r="Y1648" s="91">
        <f>IFERROR(__xludf.DUMMYFUNCTION("IFERROR((IFERROR(FILTER('Fund Investment Data'!$P:$P,'Fund Investment Data'!$C:$C = $C1648,'Fund Investment Data'!$A:$A = ($A1648 - 2), 'Fund Investment Data'!$B:$B = 12),0) - SUM(FILTER('Fund Investment Data'!$V:$V, 'Fund Investment Data'!$C:$C = $C1648,"&amp;" 'Fund Investment Data'!$A:$A = ($A1648 - 2), 'Fund Investment Data'!$B:$B &gt; 3)))  * Parameters!$B$4 * (1 - Parameters!$A$4),0)"),3656.9314350000013)</f>
        <v>3656.931435</v>
      </c>
      <c r="Z1648" s="91">
        <f t="shared" si="24"/>
        <v>13760.12069</v>
      </c>
      <c r="AA1648" s="91">
        <f>IFERROR(__xludf.DUMMYFUNCTION("((IFERROR((SUM(FILTER('Fund Investment Data'!$V:$V, 'Fund Investment Data'!$C:$C = $C1648, 'Fund Investment Data'!$A:$A = $A1648 - 1, 'Fund Investment Data'!$B:$B &gt;= 4, 'Fund Investment Data'!$B:$B &lt;= ($B1648 + 5))) / 12) * ($B1648 - 3) * Parameters!$B$4,"&amp;" 0) + IF($B1648 &gt;= 9, IFERROR(SUM(FILTER('Fund Investment Data'!$V:$V, 'Fund Investment Data'!$C:$C = $C1648, 'Fund Investment Data'!$A:$A = $A1648, 'Fund Investment Data'!$B:$B &lt;= 3)) * Parameters!$B$4, 0),0)))"),0.0)</f>
        <v>0</v>
      </c>
      <c r="AB1648" s="32">
        <f>IFERROR(__xludf.DUMMYFUNCTION("IFERROR(((IFERROR(SUM(FILTER('Fund Investment Data'!$V:$V, 'Fund Investment Data'!$C:$C = $C1648, 'Fund Investment Data'!$A:$A = $A1648 - 2, 'Fund Investment Data'!$B:$B &gt;= 4)) * Parameters!$B$4,0) + IFERROR(SUM(FILTER('Fund Investment Data'!$V:$V, 'Fund "&amp;"Investment Data'!$C:$C = $C1648, 'Fund Investment Data'!$A:$A = $A1648 - 1, 'Fund Investment Data'!$B:$B &lt;= 3)) * Parameters!$B$4,0))),0)"),0.0)</f>
        <v>0</v>
      </c>
      <c r="AC1648" s="32" t="str">
        <f>IFERROR(__xludf.DUMMYFUNCTION("IFERROR(FILTER($AF:$AF,$C:$C = $C1648,$A:$A = $A1648 - 1,$B:$B = 12),0)"),"")</f>
        <v/>
      </c>
      <c r="AD1648" s="32">
        <f t="shared" si="23"/>
        <v>13760.12069</v>
      </c>
      <c r="AE1648" s="32">
        <f t="shared" si="2"/>
        <v>13760.12069</v>
      </c>
      <c r="AF1648" s="32"/>
    </row>
    <row r="1649">
      <c r="A1649" s="86">
        <v>2020.0</v>
      </c>
      <c r="B1649" s="87">
        <v>1.0</v>
      </c>
      <c r="C1649" s="103" t="s">
        <v>28</v>
      </c>
      <c r="D1649" s="104">
        <v>0.0</v>
      </c>
      <c r="E1649" s="104">
        <v>0.0</v>
      </c>
      <c r="F1649" s="104">
        <v>0.0</v>
      </c>
      <c r="G1649" s="104">
        <v>-1231.9</v>
      </c>
      <c r="H1649" s="104">
        <v>2595.34</v>
      </c>
      <c r="I1649" s="104">
        <v>147733.83</v>
      </c>
      <c r="J1649" s="104">
        <v>-160378.02</v>
      </c>
      <c r="K1649" s="32"/>
      <c r="L1649" s="32"/>
      <c r="M1649" s="32"/>
      <c r="N1649" s="32"/>
      <c r="O1649" s="104">
        <v>3242539.19</v>
      </c>
      <c r="P1649" s="91">
        <f>IFERROR(__xludf.DUMMYFUNCTION("IFERROR(sum(FILTER($D:$N,$C:$C = $C1649,$A:$A &lt; $A1649,$B:$B = 12)),0) + sum($D1649:$N1649)"),3242538.2600000002)</f>
        <v>3242538.26</v>
      </c>
      <c r="Q1649" s="92">
        <f t="shared" si="1"/>
        <v>0.9299999997</v>
      </c>
      <c r="R1649" s="91">
        <f t="array" ref="R1649">IFERROR(INDEX('Fund YTD Target Values'!$1:$1000, MATCH($C1649,'Fund YTD Target Values'!$A:$A,0), MATCH($A1649,'Fund YTD Target Values'!$1:$1,0)),0)</f>
        <v>4004331.875</v>
      </c>
      <c r="S1649" s="91">
        <f>IFERROR(__xludf.DUMMYFUNCTION("IFERROR(sum(FILTER('Fund Investment Data'!$V:$V, 'Fund Investment Data'!$C:$C = $C1649, 'Fund Investment Data'!$A:$A &lt; $A1649)),0) + IFERROR(sum(FILTER('Fund Investment Data'!$V:$V, 'Fund Investment Data'!$C:$C = $C1649, 'Fund Investment Data'!$A:$A = $A1"&amp;"649, 'Fund Investment Data'!$B:$B &lt;= $B1649)),0)"),2960091.25)</f>
        <v>2960091.25</v>
      </c>
      <c r="T1649" s="32"/>
      <c r="U1649" s="32"/>
      <c r="V1649" s="32">
        <f>IFERROR(__xludf.DUMMYFUNCTION("$D1649 - IFERROR(FILTER($D:$D,$C:$C = $C1649, $A:$A = $A1649, $B:$B = $B1649 - 1),0)"),0.0)</f>
        <v>0</v>
      </c>
      <c r="W1649" s="93">
        <f>IFERROR(__xludf.DUMMYFUNCTION("$E1649 - IFERROR(FILTER($E:$E,$C:$C = $C1649, $A:$A = $A1649, $B:$B = $B1649 - 1),0)"),0.0)</f>
        <v>0</v>
      </c>
      <c r="X1649" s="91">
        <f>IFERROR(__xludf.DUMMYFUNCTION("iFERROR((FILTER('Fund Investment Data'!$Z:$Z, 'Fund Investment Data'!$C:$C = $C1649, 'Fund Investment Data'!$A:$A = $A1649 - 1, 'Fund Investment Data'!$B:$B = 12) + FILTER('Fund Investment Data'!$AB:$AB, 'Fund Investment Data'!$C:$C = $C1649, 'Fund Invest"&amp;"ment Data'!$A:$A = $A1649 - 1, 'Fund Investment Data'!$B:$B = 12)) * (1 + AVERAGE(FILTER('Inflation Data'!$C:$C,'Inflation Data'!$A:$A = ($A1649 - 2)))) * Parameters!$A$4,0)"),108380.29049132655)</f>
        <v>108380.2905</v>
      </c>
      <c r="Y1649" s="91">
        <f>IFERROR(__xludf.DUMMYFUNCTION("IFERROR((IFERROR(FILTER('Fund Investment Data'!$P:$P,'Fund Investment Data'!$C:$C = $C1649,'Fund Investment Data'!$A:$A = ($A1649 - 2), 'Fund Investment Data'!$B:$B = 12),0) - SUM(FILTER('Fund Investment Data'!$V:$V, 'Fund Investment Data'!$C:$C = $C1649,"&amp;" 'Fund Investment Data'!$A:$A = ($A1649 - 2), 'Fund Investment Data'!$B:$B &gt; 3)))  * Parameters!$B$4 * (1 - Parameters!$A$4),0)"),39180.23244000001)</f>
        <v>39180.23244</v>
      </c>
      <c r="Z1649" s="91">
        <f t="shared" si="24"/>
        <v>147560.5229</v>
      </c>
      <c r="AA1649" s="91">
        <f>IFERROR(__xludf.DUMMYFUNCTION("((IFERROR((SUM(FILTER('Fund Investment Data'!$V:$V, 'Fund Investment Data'!$C:$C = $C1649, 'Fund Investment Data'!$A:$A = $A1649 - 1, 'Fund Investment Data'!$B:$B &gt;= 4, 'Fund Investment Data'!$B:$B &lt;= ($B1649 + 5))) / 12) * ($B1649 - 3) * Parameters!$B$4,"&amp;" 0) + IF($B1649 &gt;= 9, IFERROR(SUM(FILTER('Fund Investment Data'!$V:$V, 'Fund Investment Data'!$C:$C = $C1649, 'Fund Investment Data'!$A:$A = $A1649, 'Fund Investment Data'!$B:$B &lt;= 3)) * Parameters!$B$4, 0),0)))"),0.0)</f>
        <v>0</v>
      </c>
      <c r="AB1649" s="32">
        <f>IFERROR(__xludf.DUMMYFUNCTION("IFERROR(((IFERROR(SUM(FILTER('Fund Investment Data'!$V:$V, 'Fund Investment Data'!$C:$C = $C1649, 'Fund Investment Data'!$A:$A = $A1649 - 2, 'Fund Investment Data'!$B:$B &gt;= 4)) * Parameters!$B$4,0) + IFERROR(SUM(FILTER('Fund Investment Data'!$V:$V, 'Fund "&amp;"Investment Data'!$C:$C = $C1649, 'Fund Investment Data'!$A:$A = $A1649 - 1, 'Fund Investment Data'!$B:$B &lt;= 3)) * Parameters!$B$4,0))),0)"),0.0)</f>
        <v>0</v>
      </c>
      <c r="AC1649" s="32" t="str">
        <f>IFERROR(__xludf.DUMMYFUNCTION("IFERROR(FILTER($AF:$AF,$C:$C = $C1649,$A:$A = $A1649 - 1,$B:$B = 12),0)"),"")</f>
        <v/>
      </c>
      <c r="AD1649" s="32">
        <f t="shared" si="23"/>
        <v>147560.5229</v>
      </c>
      <c r="AE1649" s="32">
        <f t="shared" si="2"/>
        <v>147560.5229</v>
      </c>
      <c r="AF1649" s="32"/>
    </row>
    <row r="1650">
      <c r="A1650" s="86">
        <v>2020.0</v>
      </c>
      <c r="B1650" s="87">
        <v>1.0</v>
      </c>
      <c r="C1650" s="105" t="s">
        <v>46</v>
      </c>
      <c r="D1650" s="106">
        <v>0.0</v>
      </c>
      <c r="E1650" s="106">
        <v>0.0</v>
      </c>
      <c r="F1650" s="106">
        <v>0.0</v>
      </c>
      <c r="G1650" s="106">
        <v>-141.87</v>
      </c>
      <c r="H1650" s="106">
        <v>298.87</v>
      </c>
      <c r="I1650" s="106">
        <v>17013.01</v>
      </c>
      <c r="J1650" s="106">
        <v>-18469.12</v>
      </c>
      <c r="K1650" s="32"/>
      <c r="L1650" s="32"/>
      <c r="M1650" s="32"/>
      <c r="N1650" s="32"/>
      <c r="O1650" s="106">
        <v>373410.55</v>
      </c>
      <c r="P1650" s="91">
        <f>IFERROR(__xludf.DUMMYFUNCTION("IFERROR(sum(FILTER($D:$N,$C:$C = $C1650,$A:$A &lt; $A1650,$B:$B = 12)),0) + sum($D1650:$N1650)"),373410.97)</f>
        <v>373410.97</v>
      </c>
      <c r="Q1650" s="92">
        <f t="shared" si="1"/>
        <v>-0.42</v>
      </c>
      <c r="R1650" s="91">
        <f t="array" ref="R1650">IFERROR(INDEX('Fund YTD Target Values'!$1:$1000, MATCH($C1650,'Fund YTD Target Values'!$A:$A,0), MATCH($A1650,'Fund YTD Target Values'!$1:$1,0)),0)</f>
        <v>476024.3486</v>
      </c>
      <c r="S1650" s="91">
        <f>IFERROR(__xludf.DUMMYFUNCTION("IFERROR(sum(FILTER('Fund Investment Data'!$V:$V, 'Fund Investment Data'!$C:$C = $C1650, 'Fund Investment Data'!$A:$A &lt; $A1650)),0) + IFERROR(sum(FILTER('Fund Investment Data'!$V:$V, 'Fund Investment Data'!$C:$C = $C1650, 'Fund Investment Data'!$A:$A = $A1"&amp;"650, 'Fund Investment Data'!$B:$B &lt;= $B1650)),0)"),366400.0)</f>
        <v>366400</v>
      </c>
      <c r="T1650" s="32"/>
      <c r="U1650" s="32"/>
      <c r="V1650" s="32">
        <f>IFERROR(__xludf.DUMMYFUNCTION("$D1650 - IFERROR(FILTER($D:$D,$C:$C = $C1650, $A:$A = $A1650, $B:$B = $B1650 - 1),0)"),0.0)</f>
        <v>0</v>
      </c>
      <c r="W1650" s="93">
        <f>IFERROR(__xludf.DUMMYFUNCTION("$E1650 - IFERROR(FILTER($E:$E,$C:$C = $C1650, $A:$A = $A1650, $B:$B = $B1650 - 1),0)"),0.0)</f>
        <v>0</v>
      </c>
      <c r="X1650" s="91">
        <f>IFERROR(__xludf.DUMMYFUNCTION("iFERROR((FILTER('Fund Investment Data'!$Z:$Z, 'Fund Investment Data'!$C:$C = $C1650, 'Fund Investment Data'!$A:$A = $A1650 - 1, 'Fund Investment Data'!$B:$B = 12) + FILTER('Fund Investment Data'!$AB:$AB, 'Fund Investment Data'!$C:$C = $C1650, 'Fund Invest"&amp;"ment Data'!$A:$A = $A1650 - 1, 'Fund Investment Data'!$B:$B = 12)) * (1 + AVERAGE(FILTER('Inflation Data'!$C:$C,'Inflation Data'!$A:$A = ($A1650 - 2)))) * Parameters!$A$4,0)"),12887.748857049877)</f>
        <v>12887.74886</v>
      </c>
      <c r="Y1650" s="91">
        <f>IFERROR(__xludf.DUMMYFUNCTION("IFERROR((IFERROR(FILTER('Fund Investment Data'!$P:$P,'Fund Investment Data'!$C:$C = $C1650,'Fund Investment Data'!$A:$A = ($A1650 - 2), 'Fund Investment Data'!$B:$B = 12),0) - SUM(FILTER('Fund Investment Data'!$V:$V, 'Fund Investment Data'!$C:$C = $C1650,"&amp;" 'Fund Investment Data'!$A:$A = ($A1650 - 2), 'Fund Investment Data'!$B:$B &gt; 3)))  * Parameters!$B$4 * (1 - Parameters!$A$4),0)"),4519.68363)</f>
        <v>4519.68363</v>
      </c>
      <c r="Z1650" s="91">
        <f t="shared" si="24"/>
        <v>17407.43249</v>
      </c>
      <c r="AA1650" s="91">
        <f>IFERROR(__xludf.DUMMYFUNCTION("((IFERROR((SUM(FILTER('Fund Investment Data'!$V:$V, 'Fund Investment Data'!$C:$C = $C1650, 'Fund Investment Data'!$A:$A = $A1650 - 1, 'Fund Investment Data'!$B:$B &gt;= 4, 'Fund Investment Data'!$B:$B &lt;= ($B1650 + 5))) / 12) * ($B1650 - 3) * Parameters!$B$4,"&amp;" 0) + IF($B1650 &gt;= 9, IFERROR(SUM(FILTER('Fund Investment Data'!$V:$V, 'Fund Investment Data'!$C:$C = $C1650, 'Fund Investment Data'!$A:$A = $A1650, 'Fund Investment Data'!$B:$B &lt;= 3)) * Parameters!$B$4, 0),0)))"),0.0)</f>
        <v>0</v>
      </c>
      <c r="AB1650" s="32">
        <f>IFERROR(__xludf.DUMMYFUNCTION("IFERROR(((IFERROR(SUM(FILTER('Fund Investment Data'!$V:$V, 'Fund Investment Data'!$C:$C = $C1650, 'Fund Investment Data'!$A:$A = $A1650 - 2, 'Fund Investment Data'!$B:$B &gt;= 4)) * Parameters!$B$4,0) + IFERROR(SUM(FILTER('Fund Investment Data'!$V:$V, 'Fund "&amp;"Investment Data'!$C:$C = $C1650, 'Fund Investment Data'!$A:$A = $A1650 - 1, 'Fund Investment Data'!$B:$B &lt;= 3)) * Parameters!$B$4,0))),0)"),0.0)</f>
        <v>0</v>
      </c>
      <c r="AC1650" s="32" t="str">
        <f>IFERROR(__xludf.DUMMYFUNCTION("IFERROR(FILTER($AF:$AF,$C:$C = $C1650,$A:$A = $A1650 - 1,$B:$B = 12),0)"),"")</f>
        <v/>
      </c>
      <c r="AD1650" s="32">
        <f t="shared" si="23"/>
        <v>17407.43249</v>
      </c>
      <c r="AE1650" s="32">
        <f t="shared" si="2"/>
        <v>17407.43249</v>
      </c>
      <c r="AF1650" s="32"/>
    </row>
    <row r="1651">
      <c r="A1651" s="86">
        <v>2020.0</v>
      </c>
      <c r="B1651" s="87">
        <v>1.0</v>
      </c>
      <c r="C1651" s="105" t="s">
        <v>36</v>
      </c>
      <c r="D1651" s="106">
        <v>0.0</v>
      </c>
      <c r="E1651" s="106">
        <v>0.0</v>
      </c>
      <c r="F1651" s="106">
        <v>0.0</v>
      </c>
      <c r="G1651" s="106">
        <v>-167.12</v>
      </c>
      <c r="H1651" s="106">
        <v>352.09</v>
      </c>
      <c r="I1651" s="106">
        <v>20041.91</v>
      </c>
      <c r="J1651" s="106">
        <v>-21757.25</v>
      </c>
      <c r="K1651" s="32"/>
      <c r="L1651" s="32"/>
      <c r="M1651" s="32"/>
      <c r="N1651" s="32"/>
      <c r="O1651" s="106">
        <v>439890.23</v>
      </c>
      <c r="P1651" s="91">
        <f>IFERROR(__xludf.DUMMYFUNCTION("IFERROR(sum(FILTER($D:$N,$C:$C = $C1651,$A:$A &lt; $A1651,$B:$B = 12)),0) + sum($D1651:$N1651)"),439889.78)</f>
        <v>439889.78</v>
      </c>
      <c r="Q1651" s="92">
        <f t="shared" si="1"/>
        <v>0.45</v>
      </c>
      <c r="R1651" s="91">
        <f t="array" ref="R1651">IFERROR(INDEX('Fund YTD Target Values'!$1:$1000, MATCH($C1651,'Fund YTD Target Values'!$A:$A,0), MATCH($A1651,'Fund YTD Target Values'!$1:$1,0)),0)</f>
        <v>662598.0199</v>
      </c>
      <c r="S1651" s="91">
        <f>IFERROR(__xludf.DUMMYFUNCTION("IFERROR(sum(FILTER('Fund Investment Data'!$V:$V, 'Fund Investment Data'!$C:$C = $C1651, 'Fund Investment Data'!$A:$A &lt; $A1651)),0) + IFERROR(sum(FILTER('Fund Investment Data'!$V:$V, 'Fund Investment Data'!$C:$C = $C1651, 'Fund Investment Data'!$A:$A = $A1"&amp;"651, 'Fund Investment Data'!$B:$B &lt;= $B1651)),0)"),429067.24)</f>
        <v>429067.24</v>
      </c>
      <c r="T1651" s="32"/>
      <c r="U1651" s="32"/>
      <c r="V1651" s="32">
        <f>IFERROR(__xludf.DUMMYFUNCTION("$D1651 - IFERROR(FILTER($D:$D,$C:$C = $C1651, $A:$A = $A1651, $B:$B = $B1651 - 1),0)"),0.0)</f>
        <v>0</v>
      </c>
      <c r="W1651" s="93">
        <f>IFERROR(__xludf.DUMMYFUNCTION("$E1651 - IFERROR(FILTER($E:$E,$C:$C = $C1651, $A:$A = $A1651, $B:$B = $B1651 - 1),0)"),0.0)</f>
        <v>0</v>
      </c>
      <c r="X1651" s="91">
        <f>IFERROR(__xludf.DUMMYFUNCTION("iFERROR((FILTER('Fund Investment Data'!$Z:$Z, 'Fund Investment Data'!$C:$C = $C1651, 'Fund Investment Data'!$A:$A = $A1651 - 1, 'Fund Investment Data'!$B:$B = 12) + FILTER('Fund Investment Data'!$AB:$AB, 'Fund Investment Data'!$C:$C = $C1651, 'Fund Invest"&amp;"ment Data'!$A:$A = $A1651 - 1, 'Fund Investment Data'!$B:$B = 12)) * (1 + AVERAGE(FILTER('Inflation Data'!$C:$C,'Inflation Data'!$A:$A = ($A1651 - 2)))) * Parameters!$A$4,0)"),14762.63581927512)</f>
        <v>14762.63582</v>
      </c>
      <c r="Y1651" s="91">
        <f>IFERROR(__xludf.DUMMYFUNCTION("IFERROR((IFERROR(FILTER('Fund Investment Data'!$P:$P,'Fund Investment Data'!$C:$C = $C1651,'Fund Investment Data'!$A:$A = ($A1651 - 2), 'Fund Investment Data'!$B:$B = 12),0) - SUM(FILTER('Fund Investment Data'!$V:$V, 'Fund Investment Data'!$C:$C = $C1651,"&amp;" 'Fund Investment Data'!$A:$A = ($A1651 - 2), 'Fund Investment Data'!$B:$B &gt; 3)))  * Parameters!$B$4 * (1 - Parameters!$A$4),0)"),5318.06499)</f>
        <v>5318.06499</v>
      </c>
      <c r="Z1651" s="91">
        <f t="shared" si="24"/>
        <v>20080.70081</v>
      </c>
      <c r="AA1651" s="91">
        <f>IFERROR(__xludf.DUMMYFUNCTION("((IFERROR((SUM(FILTER('Fund Investment Data'!$V:$V, 'Fund Investment Data'!$C:$C = $C1651, 'Fund Investment Data'!$A:$A = $A1651 - 1, 'Fund Investment Data'!$B:$B &gt;= 4, 'Fund Investment Data'!$B:$B &lt;= ($B1651 + 5))) / 12) * ($B1651 - 3) * Parameters!$B$4,"&amp;" 0) + IF($B1651 &gt;= 9, IFERROR(SUM(FILTER('Fund Investment Data'!$V:$V, 'Fund Investment Data'!$C:$C = $C1651, 'Fund Investment Data'!$A:$A = $A1651, 'Fund Investment Data'!$B:$B &lt;= 3)) * Parameters!$B$4, 0),0)))"),0.0)</f>
        <v>0</v>
      </c>
      <c r="AB1651" s="32">
        <f>IFERROR(__xludf.DUMMYFUNCTION("IFERROR(((IFERROR(SUM(FILTER('Fund Investment Data'!$V:$V, 'Fund Investment Data'!$C:$C = $C1651, 'Fund Investment Data'!$A:$A = $A1651 - 2, 'Fund Investment Data'!$B:$B &gt;= 4)) * Parameters!$B$4,0) + IFERROR(SUM(FILTER('Fund Investment Data'!$V:$V, 'Fund "&amp;"Investment Data'!$C:$C = $C1651, 'Fund Investment Data'!$A:$A = $A1651 - 1, 'Fund Investment Data'!$B:$B &lt;= 3)) * Parameters!$B$4,0))),0)"),0.0)</f>
        <v>0</v>
      </c>
      <c r="AC1651" s="32" t="str">
        <f>IFERROR(__xludf.DUMMYFUNCTION("IFERROR(FILTER($AF:$AF,$C:$C = $C1651,$A:$A = $A1651 - 1,$B:$B = 12),0)"),"")</f>
        <v/>
      </c>
      <c r="AD1651" s="32">
        <f t="shared" si="23"/>
        <v>20080.70081</v>
      </c>
      <c r="AE1651" s="32">
        <f t="shared" si="2"/>
        <v>20080.70081</v>
      </c>
      <c r="AF1651" s="32"/>
    </row>
    <row r="1652">
      <c r="A1652" s="86">
        <v>2020.0</v>
      </c>
      <c r="B1652" s="87">
        <v>1.0</v>
      </c>
      <c r="C1652" s="105" t="s">
        <v>37</v>
      </c>
      <c r="D1652" s="106">
        <v>0.0</v>
      </c>
      <c r="E1652" s="106">
        <v>0.0</v>
      </c>
      <c r="F1652" s="106">
        <v>0.0</v>
      </c>
      <c r="G1652" s="106">
        <v>-306.83</v>
      </c>
      <c r="H1652" s="106">
        <v>646.43</v>
      </c>
      <c r="I1652" s="106">
        <v>36796.21</v>
      </c>
      <c r="J1652" s="106">
        <v>-39945.51</v>
      </c>
      <c r="K1652" s="32"/>
      <c r="L1652" s="32"/>
      <c r="M1652" s="32"/>
      <c r="N1652" s="32"/>
      <c r="O1652" s="106">
        <v>807622.45</v>
      </c>
      <c r="P1652" s="91">
        <f>IFERROR(__xludf.DUMMYFUNCTION("IFERROR(sum(FILTER($D:$N,$C:$C = $C1652,$A:$A &lt; $A1652,$B:$B = 12)),0) + sum($D1652:$N1652)"),807622.45)</f>
        <v>807622.45</v>
      </c>
      <c r="Q1652" s="92">
        <f t="shared" si="1"/>
        <v>0</v>
      </c>
      <c r="R1652" s="91">
        <f t="array" ref="R1652">IFERROR(INDEX('Fund YTD Target Values'!$1:$1000, MATCH($C1652,'Fund YTD Target Values'!$A:$A,0), MATCH($A1652,'Fund YTD Target Values'!$1:$1,0)),0)</f>
        <v>881697.5887</v>
      </c>
      <c r="S1652" s="91">
        <f>IFERROR(__xludf.DUMMYFUNCTION("IFERROR(sum(FILTER('Fund Investment Data'!$V:$V, 'Fund Investment Data'!$C:$C = $C1652, 'Fund Investment Data'!$A:$A &lt; $A1652)),0) + IFERROR(sum(FILTER('Fund Investment Data'!$V:$V, 'Fund Investment Data'!$C:$C = $C1652, 'Fund Investment Data'!$A:$A = $A1"&amp;"652, 'Fund Investment Data'!$B:$B &lt;= $B1652)),0)"),758137.86)</f>
        <v>758137.86</v>
      </c>
      <c r="T1652" s="32"/>
      <c r="U1652" s="32"/>
      <c r="V1652" s="32">
        <f>IFERROR(__xludf.DUMMYFUNCTION("$D1652 - IFERROR(FILTER($D:$D,$C:$C = $C1652, $A:$A = $A1652, $B:$B = $B1652 - 1),0)"),0.0)</f>
        <v>0</v>
      </c>
      <c r="W1652" s="93">
        <f>IFERROR(__xludf.DUMMYFUNCTION("$E1652 - IFERROR(FILTER($E:$E,$C:$C = $C1652, $A:$A = $A1652, $B:$B = $B1652 - 1),0)"),0.0)</f>
        <v>0</v>
      </c>
      <c r="X1652" s="91">
        <f>IFERROR(__xludf.DUMMYFUNCTION("iFERROR((FILTER('Fund Investment Data'!$Z:$Z, 'Fund Investment Data'!$C:$C = $C1652, 'Fund Investment Data'!$A:$A = $A1652 - 1, 'Fund Investment Data'!$B:$B = 12) + FILTER('Fund Investment Data'!$AB:$AB, 'Fund Investment Data'!$C:$C = $C1652, 'Fund Invest"&amp;"ment Data'!$A:$A = $A1652 - 1, 'Fund Investment Data'!$B:$B = 12)) * (1 + AVERAGE(FILTER('Inflation Data'!$C:$C,'Inflation Data'!$A:$A = ($A1652 - 2)))) * Parameters!$A$4,0)"),26964.813014785388)</f>
        <v>26964.81301</v>
      </c>
      <c r="Y1652" s="91">
        <f>IFERROR(__xludf.DUMMYFUNCTION("IFERROR((IFERROR(FILTER('Fund Investment Data'!$P:$P,'Fund Investment Data'!$C:$C = $C1652,'Fund Investment Data'!$A:$A = ($A1652 - 2), 'Fund Investment Data'!$B:$B = 12),0) - SUM(FILTER('Fund Investment Data'!$V:$V, 'Fund Investment Data'!$C:$C = $C1652,"&amp;" 'Fund Investment Data'!$A:$A = ($A1652 - 2), 'Fund Investment Data'!$B:$B &gt; 3)))  * Parameters!$B$4 * (1 - Parameters!$A$4),0)"),9760.690485)</f>
        <v>9760.690485</v>
      </c>
      <c r="Z1652" s="91">
        <f t="shared" si="24"/>
        <v>36725.5035</v>
      </c>
      <c r="AA1652" s="91">
        <f>IFERROR(__xludf.DUMMYFUNCTION("((IFERROR((SUM(FILTER('Fund Investment Data'!$V:$V, 'Fund Investment Data'!$C:$C = $C1652, 'Fund Investment Data'!$A:$A = $A1652 - 1, 'Fund Investment Data'!$B:$B &gt;= 4, 'Fund Investment Data'!$B:$B &lt;= ($B1652 + 5))) / 12) * ($B1652 - 3) * Parameters!$B$4,"&amp;" 0) + IF($B1652 &gt;= 9, IFERROR(SUM(FILTER('Fund Investment Data'!$V:$V, 'Fund Investment Data'!$C:$C = $C1652, 'Fund Investment Data'!$A:$A = $A1652, 'Fund Investment Data'!$B:$B &lt;= 3)) * Parameters!$B$4, 0),0)))"),0.0)</f>
        <v>0</v>
      </c>
      <c r="AB1652" s="32">
        <f>IFERROR(__xludf.DUMMYFUNCTION("IFERROR(((IFERROR(SUM(FILTER('Fund Investment Data'!$V:$V, 'Fund Investment Data'!$C:$C = $C1652, 'Fund Investment Data'!$A:$A = $A1652 - 2, 'Fund Investment Data'!$B:$B &gt;= 4)) * Parameters!$B$4,0) + IFERROR(SUM(FILTER('Fund Investment Data'!$V:$V, 'Fund "&amp;"Investment Data'!$C:$C = $C1652, 'Fund Investment Data'!$A:$A = $A1652 - 1, 'Fund Investment Data'!$B:$B &lt;= 3)) * Parameters!$B$4,0))),0)"),0.0)</f>
        <v>0</v>
      </c>
      <c r="AC1652" s="32" t="str">
        <f>IFERROR(__xludf.DUMMYFUNCTION("IFERROR(FILTER($AF:$AF,$C:$C = $C1652,$A:$A = $A1652 - 1,$B:$B = 12),0)"),"")</f>
        <v/>
      </c>
      <c r="AD1652" s="32">
        <f t="shared" si="23"/>
        <v>36725.5035</v>
      </c>
      <c r="AE1652" s="32">
        <f t="shared" si="2"/>
        <v>36725.5035</v>
      </c>
      <c r="AF1652" s="32"/>
    </row>
    <row r="1653">
      <c r="A1653" s="86">
        <v>2020.0</v>
      </c>
      <c r="B1653" s="87">
        <v>1.0</v>
      </c>
      <c r="C1653" s="105" t="s">
        <v>29</v>
      </c>
      <c r="D1653" s="106">
        <v>0.0</v>
      </c>
      <c r="E1653" s="106">
        <v>0.0</v>
      </c>
      <c r="F1653" s="106">
        <v>0.0</v>
      </c>
      <c r="G1653" s="106">
        <v>-22.83</v>
      </c>
      <c r="H1653" s="106">
        <v>48.09</v>
      </c>
      <c r="I1653" s="106">
        <v>2737.81</v>
      </c>
      <c r="J1653" s="106">
        <v>-2972.13</v>
      </c>
      <c r="K1653" s="32"/>
      <c r="L1653" s="32"/>
      <c r="M1653" s="32"/>
      <c r="N1653" s="32"/>
      <c r="O1653" s="106">
        <v>60090.81</v>
      </c>
      <c r="P1653" s="91">
        <f>IFERROR(__xludf.DUMMYFUNCTION("IFERROR(sum(FILTER($D:$N,$C:$C = $C1653,$A:$A &lt; $A1653,$B:$B = 12)),0) + sum($D1653:$N1653)"),60090.83999999992)</f>
        <v>60090.84</v>
      </c>
      <c r="Q1653" s="92">
        <f t="shared" si="1"/>
        <v>-0.02999999992</v>
      </c>
      <c r="R1653" s="91">
        <f t="array" ref="R1653">IFERROR(INDEX('Fund YTD Target Values'!$1:$1000, MATCH($C1653,'Fund YTD Target Values'!$A:$A,0), MATCH($A1653,'Fund YTD Target Values'!$1:$1,0)),0)</f>
        <v>80343.33092</v>
      </c>
      <c r="S1653" s="91">
        <f>IFERROR(__xludf.DUMMYFUNCTION("IFERROR(sum(FILTER('Fund Investment Data'!$V:$V, 'Fund Investment Data'!$C:$C = $C1653, 'Fund Investment Data'!$A:$A &lt; $A1653)),0) + IFERROR(sum(FILTER('Fund Investment Data'!$V:$V, 'Fund Investment Data'!$C:$C = $C1653, 'Fund Investment Data'!$A:$A = $A1"&amp;"653, 'Fund Investment Data'!$B:$B &lt;= $B1653)),0)"),50000.0)</f>
        <v>50000</v>
      </c>
      <c r="T1653" s="32"/>
      <c r="U1653" s="32"/>
      <c r="V1653" s="32">
        <f>IFERROR(__xludf.DUMMYFUNCTION("$D1653 - IFERROR(FILTER($D:$D,$C:$C = $C1653, $A:$A = $A1653, $B:$B = $B1653 - 1),0)"),0.0)</f>
        <v>0</v>
      </c>
      <c r="W1653" s="93">
        <f>IFERROR(__xludf.DUMMYFUNCTION("$E1653 - IFERROR(FILTER($E:$E,$C:$C = $C1653, $A:$A = $A1653, $B:$B = $B1653 - 1),0)"),0.0)</f>
        <v>0</v>
      </c>
      <c r="X1653" s="91">
        <f>IFERROR(__xludf.DUMMYFUNCTION("iFERROR((FILTER('Fund Investment Data'!$Z:$Z, 'Fund Investment Data'!$C:$C = $C1653, 'Fund Investment Data'!$A:$A = $A1653 - 1, 'Fund Investment Data'!$B:$B = 12) + FILTER('Fund Investment Data'!$AB:$AB, 'Fund Investment Data'!$C:$C = $C1653, 'Fund Invest"&amp;"ment Data'!$A:$A = $A1653 - 1, 'Fund Investment Data'!$B:$B = 12)) * (1 + AVERAGE(FILTER('Inflation Data'!$C:$C,'Inflation Data'!$A:$A = ($A1653 - 2)))) * Parameters!$A$4,0)"),1904.8380315570544)</f>
        <v>1904.838032</v>
      </c>
      <c r="Y1653" s="91">
        <f>IFERROR(__xludf.DUMMYFUNCTION("IFERROR((IFERROR(FILTER('Fund Investment Data'!$P:$P,'Fund Investment Data'!$C:$C = $C1653,'Fund Investment Data'!$A:$A = ($A1653 - 2), 'Fund Investment Data'!$B:$B = 12),0) - SUM(FILTER('Fund Investment Data'!$V:$V, 'Fund Investment Data'!$C:$C = $C1653,"&amp;" 'Fund Investment Data'!$A:$A = ($A1653 - 2), 'Fund Investment Data'!$B:$B &gt; 3)))  * Parameters!$B$4 * (1 - Parameters!$A$4),0)"),725.319764999999)</f>
        <v>725.319765</v>
      </c>
      <c r="Z1653" s="91">
        <f t="shared" si="24"/>
        <v>2630.157797</v>
      </c>
      <c r="AA1653" s="91">
        <f>IFERROR(__xludf.DUMMYFUNCTION("((IFERROR((SUM(FILTER('Fund Investment Data'!$V:$V, 'Fund Investment Data'!$C:$C = $C1653, 'Fund Investment Data'!$A:$A = $A1653 - 1, 'Fund Investment Data'!$B:$B &gt;= 4, 'Fund Investment Data'!$B:$B &lt;= ($B1653 + 5))) / 12) * ($B1653 - 3) * Parameters!$B$4,"&amp;" 0) + IF($B1653 &gt;= 9, IFERROR(SUM(FILTER('Fund Investment Data'!$V:$V, 'Fund Investment Data'!$C:$C = $C1653, 'Fund Investment Data'!$A:$A = $A1653, 'Fund Investment Data'!$B:$B &lt;= 3)) * Parameters!$B$4, 0),0)))"),0.0)</f>
        <v>0</v>
      </c>
      <c r="AB1653" s="32">
        <f>IFERROR(__xludf.DUMMYFUNCTION("IFERROR(((IFERROR(SUM(FILTER('Fund Investment Data'!$V:$V, 'Fund Investment Data'!$C:$C = $C1653, 'Fund Investment Data'!$A:$A = $A1653 - 2, 'Fund Investment Data'!$B:$B &gt;= 4)) * Parameters!$B$4,0) + IFERROR(SUM(FILTER('Fund Investment Data'!$V:$V, 'Fund "&amp;"Investment Data'!$C:$C = $C1653, 'Fund Investment Data'!$A:$A = $A1653 - 1, 'Fund Investment Data'!$B:$B &lt;= 3)) * Parameters!$B$4,0))),0)"),0.0)</f>
        <v>0</v>
      </c>
      <c r="AC1653" s="32" t="str">
        <f>IFERROR(__xludf.DUMMYFUNCTION("IFERROR(FILTER($AF:$AF,$C:$C = $C1653,$A:$A = $A1653 - 1,$B:$B = 12),0)"),"")</f>
        <v/>
      </c>
      <c r="AD1653" s="32">
        <f t="shared" si="23"/>
        <v>2630.157797</v>
      </c>
      <c r="AE1653" s="32">
        <f t="shared" si="2"/>
        <v>2630.157797</v>
      </c>
      <c r="AF1653" s="32"/>
    </row>
    <row r="1654">
      <c r="A1654" s="86">
        <v>2020.0</v>
      </c>
      <c r="B1654" s="87">
        <v>1.0</v>
      </c>
      <c r="C1654" s="105" t="s">
        <v>38</v>
      </c>
      <c r="D1654" s="106">
        <v>0.0</v>
      </c>
      <c r="E1654" s="106">
        <v>0.0</v>
      </c>
      <c r="F1654" s="106">
        <v>0.0</v>
      </c>
      <c r="G1654" s="106">
        <v>-312.54</v>
      </c>
      <c r="H1654" s="106">
        <v>658.45</v>
      </c>
      <c r="I1654" s="106">
        <v>37480.71</v>
      </c>
      <c r="J1654" s="106">
        <v>-40688.6</v>
      </c>
      <c r="K1654" s="32"/>
      <c r="L1654" s="32"/>
      <c r="M1654" s="32"/>
      <c r="N1654" s="32"/>
      <c r="O1654" s="106">
        <v>822646.36</v>
      </c>
      <c r="P1654" s="91">
        <f>IFERROR(__xludf.DUMMYFUNCTION("IFERROR(sum(FILTER($D:$N,$C:$C = $C1654,$A:$A &lt; $A1654,$B:$B = 12)),0) + sum($D1654:$N1654)"),822645.3200000001)</f>
        <v>822645.32</v>
      </c>
      <c r="Q1654" s="92">
        <f t="shared" si="1"/>
        <v>1.04</v>
      </c>
      <c r="R1654" s="91">
        <f t="array" ref="R1654">IFERROR(INDEX('Fund YTD Target Values'!$1:$1000, MATCH($C1654,'Fund YTD Target Values'!$A:$A,0), MATCH($A1654,'Fund YTD Target Values'!$1:$1,0)),0)</f>
        <v>732485.9458</v>
      </c>
      <c r="S1654" s="91">
        <f>IFERROR(__xludf.DUMMYFUNCTION("IFERROR(sum(FILTER('Fund Investment Data'!$V:$V, 'Fund Investment Data'!$C:$C = $C1654, 'Fund Investment Data'!$A:$A &lt; $A1654)),0) + IFERROR(sum(FILTER('Fund Investment Data'!$V:$V, 'Fund Investment Data'!$C:$C = $C1654, 'Fund Investment Data'!$A:$A = $A1"&amp;"654, 'Fund Investment Data'!$B:$B &lt;= $B1654)),0)"),556601.64)</f>
        <v>556601.64</v>
      </c>
      <c r="T1654" s="32"/>
      <c r="U1654" s="32"/>
      <c r="V1654" s="32">
        <f>IFERROR(__xludf.DUMMYFUNCTION("$D1654 - IFERROR(FILTER($D:$D,$C:$C = $C1654, $A:$A = $A1654, $B:$B = $B1654 - 1),0)"),0.0)</f>
        <v>0</v>
      </c>
      <c r="W1654" s="93">
        <f>IFERROR(__xludf.DUMMYFUNCTION("$E1654 - IFERROR(FILTER($E:$E,$C:$C = $C1654, $A:$A = $A1654, $B:$B = $B1654 - 1),0)"),0.0)</f>
        <v>0</v>
      </c>
      <c r="X1654" s="91">
        <f>IFERROR(__xludf.DUMMYFUNCTION("iFERROR((FILTER('Fund Investment Data'!$Z:$Z, 'Fund Investment Data'!$C:$C = $C1654, 'Fund Investment Data'!$A:$A = $A1654 - 1, 'Fund Investment Data'!$B:$B = 12) + FILTER('Fund Investment Data'!$AB:$AB, 'Fund Investment Data'!$C:$C = $C1654, 'Fund Invest"&amp;"ment Data'!$A:$A = $A1654 - 1, 'Fund Investment Data'!$B:$B = 12)) * (1 + AVERAGE(FILTER('Inflation Data'!$C:$C,'Inflation Data'!$A:$A = ($A1654 - 2)))) * Parameters!$A$4,0)"),23714.482768130645)</f>
        <v>23714.48277</v>
      </c>
      <c r="Y1654" s="91">
        <f>IFERROR(__xludf.DUMMYFUNCTION("IFERROR((IFERROR(FILTER('Fund Investment Data'!$P:$P,'Fund Investment Data'!$C:$C = $C1654,'Fund Investment Data'!$A:$A = ($A1654 - 2), 'Fund Investment Data'!$B:$B = 12),0) - SUM(FILTER('Fund Investment Data'!$V:$V, 'Fund Investment Data'!$C:$C = $C1654,"&amp;" 'Fund Investment Data'!$A:$A = ($A1654 - 2), 'Fund Investment Data'!$B:$B &gt; 3)))  * Parameters!$B$4 * (1 - Parameters!$A$4),0)"),9744.43716)</f>
        <v>9744.43716</v>
      </c>
      <c r="Z1654" s="91">
        <f t="shared" si="24"/>
        <v>33458.91993</v>
      </c>
      <c r="AA1654" s="91">
        <f>IFERROR(__xludf.DUMMYFUNCTION("((IFERROR((SUM(FILTER('Fund Investment Data'!$V:$V, 'Fund Investment Data'!$C:$C = $C1654, 'Fund Investment Data'!$A:$A = $A1654 - 1, 'Fund Investment Data'!$B:$B &gt;= 4, 'Fund Investment Data'!$B:$B &lt;= ($B1654 + 5))) / 12) * ($B1654 - 3) * Parameters!$B$4,"&amp;" 0) + IF($B1654 &gt;= 9, IFERROR(SUM(FILTER('Fund Investment Data'!$V:$V, 'Fund Investment Data'!$C:$C = $C1654, 'Fund Investment Data'!$A:$A = $A1654, 'Fund Investment Data'!$B:$B &lt;= 3)) * Parameters!$B$4, 0),0)))"),0.0)</f>
        <v>0</v>
      </c>
      <c r="AB1654" s="32">
        <f>IFERROR(__xludf.DUMMYFUNCTION("IFERROR(((IFERROR(SUM(FILTER('Fund Investment Data'!$V:$V, 'Fund Investment Data'!$C:$C = $C1654, 'Fund Investment Data'!$A:$A = $A1654 - 2, 'Fund Investment Data'!$B:$B &gt;= 4)) * Parameters!$B$4,0) + IFERROR(SUM(FILTER('Fund Investment Data'!$V:$V, 'Fund "&amp;"Investment Data'!$C:$C = $C1654, 'Fund Investment Data'!$A:$A = $A1654 - 1, 'Fund Investment Data'!$B:$B &lt;= 3)) * Parameters!$B$4,0))),0)"),0.0)</f>
        <v>0</v>
      </c>
      <c r="AC1654" s="32" t="str">
        <f>IFERROR(__xludf.DUMMYFUNCTION("IFERROR(FILTER($AF:$AF,$C:$C = $C1654,$A:$A = $A1654 - 1,$B:$B = 12),0)"),"")</f>
        <v/>
      </c>
      <c r="AD1654" s="32">
        <f t="shared" si="23"/>
        <v>33458.91993</v>
      </c>
      <c r="AE1654" s="32">
        <f t="shared" si="2"/>
        <v>33458.91993</v>
      </c>
      <c r="AF1654" s="32"/>
    </row>
    <row r="1655">
      <c r="A1655" s="86">
        <v>2020.0</v>
      </c>
      <c r="B1655" s="87">
        <v>1.0</v>
      </c>
      <c r="C1655" s="105" t="s">
        <v>30</v>
      </c>
      <c r="D1655" s="106">
        <v>0.0</v>
      </c>
      <c r="E1655" s="106">
        <v>0.0</v>
      </c>
      <c r="F1655" s="106">
        <v>0.0</v>
      </c>
      <c r="G1655" s="106">
        <v>-6.82</v>
      </c>
      <c r="H1655" s="106">
        <v>14.36</v>
      </c>
      <c r="I1655" s="106">
        <v>817.49</v>
      </c>
      <c r="J1655" s="106">
        <v>-887.45</v>
      </c>
      <c r="K1655" s="32"/>
      <c r="L1655" s="32"/>
      <c r="M1655" s="32"/>
      <c r="N1655" s="32"/>
      <c r="O1655" s="106">
        <v>17942.59</v>
      </c>
      <c r="P1655" s="91">
        <f>IFERROR(__xludf.DUMMYFUNCTION("IFERROR(sum(FILTER($D:$N,$C:$C = $C1655,$A:$A &lt; $A1655,$B:$B = 12)),0) + sum($D1655:$N1655)"),17940.959999999985)</f>
        <v>17940.96</v>
      </c>
      <c r="Q1655" s="92">
        <f t="shared" si="1"/>
        <v>1.63</v>
      </c>
      <c r="R1655" s="91">
        <f t="array" ref="R1655">IFERROR(INDEX('Fund YTD Target Values'!$1:$1000, MATCH($C1655,'Fund YTD Target Values'!$A:$A,0), MATCH($A1655,'Fund YTD Target Values'!$1:$1,0)),0)</f>
        <v>19273.16693</v>
      </c>
      <c r="S1655" s="91">
        <f>IFERROR(__xludf.DUMMYFUNCTION("IFERROR(sum(FILTER('Fund Investment Data'!$V:$V, 'Fund Investment Data'!$C:$C = $C1655, 'Fund Investment Data'!$A:$A &lt; $A1655)),0) + IFERROR(sum(FILTER('Fund Investment Data'!$V:$V, 'Fund Investment Data'!$C:$C = $C1655, 'Fund Investment Data'!$A:$A = $A1"&amp;"655, 'Fund Investment Data'!$B:$B &lt;= $B1655)),0)"),11540.75)</f>
        <v>11540.75</v>
      </c>
      <c r="T1655" s="32"/>
      <c r="U1655" s="32"/>
      <c r="V1655" s="32">
        <f>IFERROR(__xludf.DUMMYFUNCTION("$D1655 - IFERROR(FILTER($D:$D,$C:$C = $C1655, $A:$A = $A1655, $B:$B = $B1655 - 1),0)"),0.0)</f>
        <v>0</v>
      </c>
      <c r="W1655" s="93">
        <f>IFERROR(__xludf.DUMMYFUNCTION("$E1655 - IFERROR(FILTER($E:$E,$C:$C = $C1655, $A:$A = $A1655, $B:$B = $B1655 - 1),0)"),0.0)</f>
        <v>0</v>
      </c>
      <c r="X1655" s="91">
        <f>IFERROR(__xludf.DUMMYFUNCTION("iFERROR((FILTER('Fund Investment Data'!$Z:$Z, 'Fund Investment Data'!$C:$C = $C1655, 'Fund Investment Data'!$A:$A = $A1655 - 1, 'Fund Investment Data'!$B:$B = 12) + FILTER('Fund Investment Data'!$AB:$AB, 'Fund Investment Data'!$C:$C = $C1655, 'Fund Invest"&amp;"ment Data'!$A:$A = $A1655 - 1, 'Fund Investment Data'!$B:$B = 12)) * (1 + AVERAGE(FILTER('Inflation Data'!$C:$C,'Inflation Data'!$A:$A = ($A1655 - 2)))) * Parameters!$A$4,0)"),568.7991394561834)</f>
        <v>568.7991395</v>
      </c>
      <c r="Y1655" s="91">
        <f>IFERROR(__xludf.DUMMYFUNCTION("IFERROR((IFERROR(FILTER('Fund Investment Data'!$P:$P,'Fund Investment Data'!$C:$C = $C1655,'Fund Investment Data'!$A:$A = ($A1655 - 2), 'Fund Investment Data'!$B:$B = 12),0) - SUM(FILTER('Fund Investment Data'!$V:$V, 'Fund Investment Data'!$C:$C = $C1655,"&amp;" 'Fund Investment Data'!$A:$A = ($A1655 - 2), 'Fund Investment Data'!$B:$B &gt; 3)))  * Parameters!$B$4 * (1 - Parameters!$A$4),0)"),216.52757999999983)</f>
        <v>216.52758</v>
      </c>
      <c r="Z1655" s="91">
        <f t="shared" si="24"/>
        <v>785.3267195</v>
      </c>
      <c r="AA1655" s="91">
        <f>IFERROR(__xludf.DUMMYFUNCTION("((IFERROR((SUM(FILTER('Fund Investment Data'!$V:$V, 'Fund Investment Data'!$C:$C = $C1655, 'Fund Investment Data'!$A:$A = $A1655 - 1, 'Fund Investment Data'!$B:$B &gt;= 4, 'Fund Investment Data'!$B:$B &lt;= ($B1655 + 5))) / 12) * ($B1655 - 3) * Parameters!$B$4,"&amp;" 0) + IF($B1655 &gt;= 9, IFERROR(SUM(FILTER('Fund Investment Data'!$V:$V, 'Fund Investment Data'!$C:$C = $C1655, 'Fund Investment Data'!$A:$A = $A1655, 'Fund Investment Data'!$B:$B &lt;= 3)) * Parameters!$B$4, 0),0)))"),0.0)</f>
        <v>0</v>
      </c>
      <c r="AB1655" s="32">
        <f>IFERROR(__xludf.DUMMYFUNCTION("IFERROR(((IFERROR(SUM(FILTER('Fund Investment Data'!$V:$V, 'Fund Investment Data'!$C:$C = $C1655, 'Fund Investment Data'!$A:$A = $A1655 - 2, 'Fund Investment Data'!$B:$B &gt;= 4)) * Parameters!$B$4,0) + IFERROR(SUM(FILTER('Fund Investment Data'!$V:$V, 'Fund "&amp;"Investment Data'!$C:$C = $C1655, 'Fund Investment Data'!$A:$A = $A1655 - 1, 'Fund Investment Data'!$B:$B &lt;= 3)) * Parameters!$B$4,0))),0)"),0.0)</f>
        <v>0</v>
      </c>
      <c r="AC1655" s="32" t="str">
        <f>IFERROR(__xludf.DUMMYFUNCTION("IFERROR(FILTER($AF:$AF,$C:$C = $C1655,$A:$A = $A1655 - 1,$B:$B = 12),0)"),"")</f>
        <v/>
      </c>
      <c r="AD1655" s="32">
        <f t="shared" si="23"/>
        <v>785.3267195</v>
      </c>
      <c r="AE1655" s="32">
        <f t="shared" si="2"/>
        <v>785.3267195</v>
      </c>
      <c r="AF1655" s="32"/>
    </row>
    <row r="1656">
      <c r="A1656" s="86">
        <v>2020.0</v>
      </c>
      <c r="B1656" s="87">
        <v>1.0</v>
      </c>
      <c r="C1656" s="105" t="s">
        <v>47</v>
      </c>
      <c r="D1656" s="106">
        <v>0.0</v>
      </c>
      <c r="E1656" s="106">
        <v>0.0</v>
      </c>
      <c r="F1656" s="106">
        <v>0.0</v>
      </c>
      <c r="G1656" s="106">
        <v>-565.18</v>
      </c>
      <c r="H1656" s="106">
        <v>1190.7</v>
      </c>
      <c r="I1656" s="106">
        <v>67777.89</v>
      </c>
      <c r="J1656" s="106">
        <v>-73578.84</v>
      </c>
      <c r="K1656" s="32"/>
      <c r="L1656" s="32"/>
      <c r="M1656" s="32"/>
      <c r="N1656" s="32"/>
      <c r="O1656" s="106">
        <v>1487624.44</v>
      </c>
      <c r="P1656" s="91">
        <f>IFERROR(__xludf.DUMMYFUNCTION("IFERROR(sum(FILTER($D:$N,$C:$C = $C1656,$A:$A &lt; $A1656,$B:$B = 12)),0) + sum($D1656:$N1656)"),1487624.0899999996)</f>
        <v>1487624.09</v>
      </c>
      <c r="Q1656" s="92">
        <f t="shared" si="1"/>
        <v>0.3500000003</v>
      </c>
      <c r="R1656" s="91">
        <f t="array" ref="R1656">IFERROR(INDEX('Fund YTD Target Values'!$1:$1000, MATCH($C1656,'Fund YTD Target Values'!$A:$A,0), MATCH($A1656,'Fund YTD Target Values'!$1:$1,0)),0)</f>
        <v>2083999.77</v>
      </c>
      <c r="S1656" s="91">
        <f>IFERROR(__xludf.DUMMYFUNCTION("IFERROR(sum(FILTER('Fund Investment Data'!$V:$V, 'Fund Investment Data'!$C:$C = $C1656, 'Fund Investment Data'!$A:$A &lt; $A1656)),0) + IFERROR(sum(FILTER('Fund Investment Data'!$V:$V, 'Fund Investment Data'!$C:$C = $C1656, 'Fund Investment Data'!$A:$A = $A1"&amp;"656, 'Fund Investment Data'!$B:$B &lt;= $B1656)),0)"),1456367.46)</f>
        <v>1456367.46</v>
      </c>
      <c r="T1656" s="32"/>
      <c r="U1656" s="32"/>
      <c r="V1656" s="32">
        <f>IFERROR(__xludf.DUMMYFUNCTION("$D1656 - IFERROR(FILTER($D:$D,$C:$C = $C1656, $A:$A = $A1656, $B:$B = $B1656 - 1),0)"),0.0)</f>
        <v>0</v>
      </c>
      <c r="W1656" s="93">
        <f>IFERROR(__xludf.DUMMYFUNCTION("$E1656 - IFERROR(FILTER($E:$E,$C:$C = $C1656, $A:$A = $A1656, $B:$B = $B1656 - 1),0)"),0.0)</f>
        <v>0</v>
      </c>
      <c r="X1656" s="91">
        <f>IFERROR(__xludf.DUMMYFUNCTION("iFERROR((FILTER('Fund Investment Data'!$Z:$Z, 'Fund Investment Data'!$C:$C = $C1656, 'Fund Investment Data'!$A:$A = $A1656 - 1, 'Fund Investment Data'!$B:$B = 12) + FILTER('Fund Investment Data'!$AB:$AB, 'Fund Investment Data'!$C:$C = $C1656, 'Fund Invest"&amp;"ment Data'!$A:$A = $A1656 - 1, 'Fund Investment Data'!$B:$B = 12)) * (1 + AVERAGE(FILTER('Inflation Data'!$C:$C,'Inflation Data'!$A:$A = ($A1656 - 2)))) * Parameters!$A$4,0)"),49588.29599165883)</f>
        <v>49588.29599</v>
      </c>
      <c r="Y1656" s="91">
        <f>IFERROR(__xludf.DUMMYFUNCTION("IFERROR((IFERROR(FILTER('Fund Investment Data'!$P:$P,'Fund Investment Data'!$C:$C = $C1656,'Fund Investment Data'!$A:$A = ($A1656 - 2), 'Fund Investment Data'!$B:$B = 12),0) - SUM(FILTER('Fund Investment Data'!$V:$V, 'Fund Investment Data'!$C:$C = $C1656,"&amp;" 'Fund Investment Data'!$A:$A = ($A1656 - 2), 'Fund Investment Data'!$B:$B &gt; 3)))  * Parameters!$B$4 * (1 - Parameters!$A$4),0)"),17972.522459999996)</f>
        <v>17972.52246</v>
      </c>
      <c r="Z1656" s="91">
        <f t="shared" si="24"/>
        <v>67560.81845</v>
      </c>
      <c r="AA1656" s="91">
        <f>IFERROR(__xludf.DUMMYFUNCTION("((IFERROR((SUM(FILTER('Fund Investment Data'!$V:$V, 'Fund Investment Data'!$C:$C = $C1656, 'Fund Investment Data'!$A:$A = $A1656 - 1, 'Fund Investment Data'!$B:$B &gt;= 4, 'Fund Investment Data'!$B:$B &lt;= ($B1656 + 5))) / 12) * ($B1656 - 3) * Parameters!$B$4,"&amp;" 0) + IF($B1656 &gt;= 9, IFERROR(SUM(FILTER('Fund Investment Data'!$V:$V, 'Fund Investment Data'!$C:$C = $C1656, 'Fund Investment Data'!$A:$A = $A1656, 'Fund Investment Data'!$B:$B &lt;= 3)) * Parameters!$B$4, 0),0)))"),0.0)</f>
        <v>0</v>
      </c>
      <c r="AB1656" s="32">
        <f>IFERROR(__xludf.DUMMYFUNCTION("IFERROR(((IFERROR(SUM(FILTER('Fund Investment Data'!$V:$V, 'Fund Investment Data'!$C:$C = $C1656, 'Fund Investment Data'!$A:$A = $A1656 - 2, 'Fund Investment Data'!$B:$B &gt;= 4)) * Parameters!$B$4,0) + IFERROR(SUM(FILTER('Fund Investment Data'!$V:$V, 'Fund "&amp;"Investment Data'!$C:$C = $C1656, 'Fund Investment Data'!$A:$A = $A1656 - 1, 'Fund Investment Data'!$B:$B &lt;= 3)) * Parameters!$B$4,0))),0)"),0.0)</f>
        <v>0</v>
      </c>
      <c r="AC1656" s="32" t="str">
        <f>IFERROR(__xludf.DUMMYFUNCTION("IFERROR(FILTER($AF:$AF,$C:$C = $C1656,$A:$A = $A1656 - 1,$B:$B = 12),0)"),"")</f>
        <v/>
      </c>
      <c r="AD1656" s="32">
        <f t="shared" si="23"/>
        <v>67560.81845</v>
      </c>
      <c r="AE1656" s="32">
        <f t="shared" si="2"/>
        <v>67560.81845</v>
      </c>
      <c r="AF1656" s="32"/>
    </row>
    <row r="1657">
      <c r="A1657" s="86">
        <v>2020.0</v>
      </c>
      <c r="B1657" s="87">
        <v>1.0</v>
      </c>
      <c r="C1657" s="105" t="s">
        <v>31</v>
      </c>
      <c r="D1657" s="106">
        <v>0.0</v>
      </c>
      <c r="E1657" s="106">
        <v>0.0</v>
      </c>
      <c r="F1657" s="106">
        <v>0.0</v>
      </c>
      <c r="G1657" s="106">
        <v>-70.27</v>
      </c>
      <c r="H1657" s="106">
        <v>148.03</v>
      </c>
      <c r="I1657" s="106">
        <v>8426.54</v>
      </c>
      <c r="J1657" s="106">
        <v>-9147.75</v>
      </c>
      <c r="K1657" s="32"/>
      <c r="L1657" s="32"/>
      <c r="M1657" s="32"/>
      <c r="N1657" s="32"/>
      <c r="O1657" s="106">
        <v>184950.13</v>
      </c>
      <c r="P1657" s="91">
        <f>IFERROR(__xludf.DUMMYFUNCTION("IFERROR(sum(FILTER($D:$N,$C:$C = $C1657,$A:$A &lt; $A1657,$B:$B = 12)),0) + sum($D1657:$N1657)"),184950.13999999996)</f>
        <v>184950.14</v>
      </c>
      <c r="Q1657" s="92">
        <f t="shared" si="1"/>
        <v>-0.009999999951</v>
      </c>
      <c r="R1657" s="91">
        <f t="array" ref="R1657">IFERROR(INDEX('Fund YTD Target Values'!$1:$1000, MATCH($C1657,'Fund YTD Target Values'!$A:$A,0), MATCH($A1657,'Fund YTD Target Values'!$1:$1,0)),0)</f>
        <v>219640.3616</v>
      </c>
      <c r="S1657" s="91">
        <f>IFERROR(__xludf.DUMMYFUNCTION("IFERROR(sum(FILTER('Fund Investment Data'!$V:$V, 'Fund Investment Data'!$C:$C = $C1657, 'Fund Investment Data'!$A:$A &lt; $A1657)),0) + IFERROR(sum(FILTER('Fund Investment Data'!$V:$V, 'Fund Investment Data'!$C:$C = $C1657, 'Fund Investment Data'!$A:$A = $A1"&amp;"657, 'Fund Investment Data'!$B:$B &lt;= $B1657)),0)"),158200.0)</f>
        <v>158200</v>
      </c>
      <c r="T1657" s="32"/>
      <c r="U1657" s="32"/>
      <c r="V1657" s="32">
        <f>IFERROR(__xludf.DUMMYFUNCTION("$D1657 - IFERROR(FILTER($D:$D,$C:$C = $C1657, $A:$A = $A1657, $B:$B = $B1657 - 1),0)"),0.0)</f>
        <v>0</v>
      </c>
      <c r="W1657" s="93">
        <f>IFERROR(__xludf.DUMMYFUNCTION("$E1657 - IFERROR(FILTER($E:$E,$C:$C = $C1657, $A:$A = $A1657, $B:$B = $B1657 - 1),0)"),0.0)</f>
        <v>0</v>
      </c>
      <c r="X1657" s="91">
        <f>IFERROR(__xludf.DUMMYFUNCTION("iFERROR((FILTER('Fund Investment Data'!$Z:$Z, 'Fund Investment Data'!$C:$C = $C1657, 'Fund Investment Data'!$A:$A = $A1657 - 1, 'Fund Investment Data'!$B:$B = 12) + FILTER('Fund Investment Data'!$AB:$AB, 'Fund Investment Data'!$C:$C = $C1657, 'Fund Invest"&amp;"ment Data'!$A:$A = $A1657 - 1, 'Fund Investment Data'!$B:$B = 12)) * (1 + AVERAGE(FILTER('Inflation Data'!$C:$C,'Inflation Data'!$A:$A = ($A1657 - 2)))) * Parameters!$A$4,0)"),6267.63344728865)</f>
        <v>6267.633447</v>
      </c>
      <c r="Y1657" s="91">
        <f>IFERROR(__xludf.DUMMYFUNCTION("IFERROR((IFERROR(FILTER('Fund Investment Data'!$P:$P,'Fund Investment Data'!$C:$C = $C1657,'Fund Investment Data'!$A:$A = ($A1657 - 2), 'Fund Investment Data'!$B:$B = 12),0) - SUM(FILTER('Fund Investment Data'!$V:$V, 'Fund Investment Data'!$C:$C = $C1657,"&amp;" 'Fund Investment Data'!$A:$A = ($A1657 - 2), 'Fund Investment Data'!$B:$B &gt; 3)))  * Parameters!$B$4 * (1 - Parameters!$A$4),0)"),2235.5692200000008)</f>
        <v>2235.56922</v>
      </c>
      <c r="Z1657" s="91">
        <f t="shared" si="24"/>
        <v>8503.202667</v>
      </c>
      <c r="AA1657" s="91">
        <f>IFERROR(__xludf.DUMMYFUNCTION("((IFERROR((SUM(FILTER('Fund Investment Data'!$V:$V, 'Fund Investment Data'!$C:$C = $C1657, 'Fund Investment Data'!$A:$A = $A1657 - 1, 'Fund Investment Data'!$B:$B &gt;= 4, 'Fund Investment Data'!$B:$B &lt;= ($B1657 + 5))) / 12) * ($B1657 - 3) * Parameters!$B$4,"&amp;" 0) + IF($B1657 &gt;= 9, IFERROR(SUM(FILTER('Fund Investment Data'!$V:$V, 'Fund Investment Data'!$C:$C = $C1657, 'Fund Investment Data'!$A:$A = $A1657, 'Fund Investment Data'!$B:$B &lt;= 3)) * Parameters!$B$4, 0),0)))"),-0.75)</f>
        <v>-0.75</v>
      </c>
      <c r="AB1657" s="32">
        <f>IFERROR(__xludf.DUMMYFUNCTION("IFERROR(((IFERROR(SUM(FILTER('Fund Investment Data'!$V:$V, 'Fund Investment Data'!$C:$C = $C1657, 'Fund Investment Data'!$A:$A = $A1657 - 2, 'Fund Investment Data'!$B:$B &gt;= 4)) * Parameters!$B$4,0) + IFERROR(SUM(FILTER('Fund Investment Data'!$V:$V, 'Fund "&amp;"Investment Data'!$C:$C = $C1657, 'Fund Investment Data'!$A:$A = $A1657 - 1, 'Fund Investment Data'!$B:$B &lt;= 3)) * Parameters!$B$4,0))),0)"),0.0)</f>
        <v>0</v>
      </c>
      <c r="AC1657" s="32" t="str">
        <f>IFERROR(__xludf.DUMMYFUNCTION("IFERROR(FILTER($AF:$AF,$C:$C = $C1657,$A:$A = $A1657 - 1,$B:$B = 12),0)"),"")</f>
        <v/>
      </c>
      <c r="AD1657" s="32">
        <f t="shared" si="23"/>
        <v>8502.452667</v>
      </c>
      <c r="AE1657" s="32">
        <f t="shared" si="2"/>
        <v>8502.452667</v>
      </c>
      <c r="AF1657" s="32"/>
    </row>
    <row r="1658">
      <c r="A1658" s="86">
        <v>2020.0</v>
      </c>
      <c r="B1658" s="87">
        <v>1.0</v>
      </c>
      <c r="C1658" s="105" t="s">
        <v>39</v>
      </c>
      <c r="D1658" s="106">
        <v>0.0</v>
      </c>
      <c r="E1658" s="106">
        <v>0.0</v>
      </c>
      <c r="F1658" s="106">
        <v>0.0</v>
      </c>
      <c r="G1658" s="106">
        <v>-78.57</v>
      </c>
      <c r="H1658" s="106">
        <v>165.54</v>
      </c>
      <c r="I1658" s="106">
        <v>9422.82</v>
      </c>
      <c r="J1658" s="106">
        <v>-10229.3</v>
      </c>
      <c r="K1658" s="32"/>
      <c r="L1658" s="32"/>
      <c r="M1658" s="32"/>
      <c r="N1658" s="32"/>
      <c r="O1658" s="106">
        <v>206816.95</v>
      </c>
      <c r="P1658" s="91">
        <f>IFERROR(__xludf.DUMMYFUNCTION("IFERROR(sum(FILTER($D:$N,$C:$C = $C1658,$A:$A &lt; $A1658,$B:$B = 12)),0) + sum($D1658:$N1658)"),206816.95000000004)</f>
        <v>206816.95</v>
      </c>
      <c r="Q1658" s="92">
        <f t="shared" si="1"/>
        <v>0</v>
      </c>
      <c r="R1658" s="91">
        <f t="array" ref="R1658">IFERROR(INDEX('Fund YTD Target Values'!$1:$1000, MATCH($C1658,'Fund YTD Target Values'!$A:$A,0), MATCH($A1658,'Fund YTD Target Values'!$1:$1,0)),0)</f>
        <v>208132.6987</v>
      </c>
      <c r="S1658" s="91">
        <f>IFERROR(__xludf.DUMMYFUNCTION("IFERROR(sum(FILTER('Fund Investment Data'!$V:$V, 'Fund Investment Data'!$C:$C = $C1658, 'Fund Investment Data'!$A:$A &lt; $A1658)),0) + IFERROR(sum(FILTER('Fund Investment Data'!$V:$V, 'Fund Investment Data'!$C:$C = $C1658, 'Fund Investment Data'!$A:$A = $A1"&amp;"658, 'Fund Investment Data'!$B:$B &lt;= $B1658)),0)"),185000.0)</f>
        <v>185000</v>
      </c>
      <c r="T1658" s="32"/>
      <c r="U1658" s="32"/>
      <c r="V1658" s="32">
        <f>IFERROR(__xludf.DUMMYFUNCTION("$D1658 - IFERROR(FILTER($D:$D,$C:$C = $C1658, $A:$A = $A1658, $B:$B = $B1658 - 1),0)"),0.0)</f>
        <v>0</v>
      </c>
      <c r="W1658" s="93">
        <f>IFERROR(__xludf.DUMMYFUNCTION("$E1658 - IFERROR(FILTER($E:$E,$C:$C = $C1658, $A:$A = $A1658, $B:$B = $B1658 - 1),0)"),0.0)</f>
        <v>0</v>
      </c>
      <c r="X1658" s="91">
        <f>IFERROR(__xludf.DUMMYFUNCTION("iFERROR((FILTER('Fund Investment Data'!$Z:$Z, 'Fund Investment Data'!$C:$C = $C1658, 'Fund Investment Data'!$A:$A = $A1658 - 1, 'Fund Investment Data'!$B:$B = 12) + FILTER('Fund Investment Data'!$AB:$AB, 'Fund Investment Data'!$C:$C = $C1658, 'Fund Invest"&amp;"ment Data'!$A:$A = $A1658 - 1, 'Fund Investment Data'!$B:$B = 12)) * (1 + AVERAGE(FILTER('Inflation Data'!$C:$C,'Inflation Data'!$A:$A = ($A1658 - 2)))) * Parameters!$A$4,0)"),5904.480581542223)</f>
        <v>5904.480582</v>
      </c>
      <c r="Y1658" s="91">
        <f>IFERROR(__xludf.DUMMYFUNCTION("IFERROR((IFERROR(FILTER('Fund Investment Data'!$P:$P,'Fund Investment Data'!$C:$C = $C1658,'Fund Investment Data'!$A:$A = ($A1658 - 2), 'Fund Investment Data'!$B:$B = 12),0) - SUM(FILTER('Fund Investment Data'!$V:$V, 'Fund Investment Data'!$C:$C = $C1658,"&amp;" 'Fund Investment Data'!$A:$A = ($A1658 - 2), 'Fund Investment Data'!$B:$B &gt; 3)))  * Parameters!$B$4 * (1 - Parameters!$A$4),0)"),2103.5735100000006)</f>
        <v>2103.57351</v>
      </c>
      <c r="Z1658" s="91">
        <f t="shared" si="24"/>
        <v>8008.054092</v>
      </c>
      <c r="AA1658" s="91">
        <f>IFERROR(__xludf.DUMMYFUNCTION("((IFERROR((SUM(FILTER('Fund Investment Data'!$V:$V, 'Fund Investment Data'!$C:$C = $C1658, 'Fund Investment Data'!$A:$A = $A1658 - 1, 'Fund Investment Data'!$B:$B &gt;= 4, 'Fund Investment Data'!$B:$B &lt;= ($B1658 + 5))) / 12) * ($B1658 - 3) * Parameters!$B$4,"&amp;" 0) + IF($B1658 &gt;= 9, IFERROR(SUM(FILTER('Fund Investment Data'!$V:$V, 'Fund Investment Data'!$C:$C = $C1658, 'Fund Investment Data'!$A:$A = $A1658, 'Fund Investment Data'!$B:$B &lt;= 3)) * Parameters!$B$4, 0),0)))"),0.0)</f>
        <v>0</v>
      </c>
      <c r="AB1658" s="32">
        <f>IFERROR(__xludf.DUMMYFUNCTION("IFERROR(((IFERROR(SUM(FILTER('Fund Investment Data'!$V:$V, 'Fund Investment Data'!$C:$C = $C1658, 'Fund Investment Data'!$A:$A = $A1658 - 2, 'Fund Investment Data'!$B:$B &gt;= 4)) * Parameters!$B$4,0) + IFERROR(SUM(FILTER('Fund Investment Data'!$V:$V, 'Fund "&amp;"Investment Data'!$C:$C = $C1658, 'Fund Investment Data'!$A:$A = $A1658 - 1, 'Fund Investment Data'!$B:$B &lt;= 3)) * Parameters!$B$4,0))),0)"),675.0)</f>
        <v>675</v>
      </c>
      <c r="AC1658" s="32" t="str">
        <f>IFERROR(__xludf.DUMMYFUNCTION("IFERROR(FILTER($AF:$AF,$C:$C = $C1658,$A:$A = $A1658 - 1,$B:$B = 12),0)"),"")</f>
        <v/>
      </c>
      <c r="AD1658" s="32">
        <f t="shared" si="23"/>
        <v>8683.054092</v>
      </c>
      <c r="AE1658" s="32">
        <f t="shared" si="2"/>
        <v>8683.054092</v>
      </c>
      <c r="AF1658" s="32"/>
    </row>
    <row r="1659">
      <c r="A1659" s="86">
        <v>2020.0</v>
      </c>
      <c r="B1659" s="87">
        <v>1.0</v>
      </c>
      <c r="C1659" s="105" t="s">
        <v>50</v>
      </c>
      <c r="D1659" s="106">
        <v>0.0</v>
      </c>
      <c r="E1659" s="106">
        <v>0.0</v>
      </c>
      <c r="F1659" s="106">
        <v>0.0</v>
      </c>
      <c r="G1659" s="106">
        <v>-80.26</v>
      </c>
      <c r="H1659" s="106">
        <v>169.09</v>
      </c>
      <c r="I1659" s="106">
        <v>9625.1</v>
      </c>
      <c r="J1659" s="106">
        <v>-10448.89</v>
      </c>
      <c r="K1659" s="32"/>
      <c r="L1659" s="32"/>
      <c r="M1659" s="32"/>
      <c r="N1659" s="32"/>
      <c r="O1659" s="106">
        <v>211256.75</v>
      </c>
      <c r="P1659" s="91">
        <f>IFERROR(__xludf.DUMMYFUNCTION("IFERROR(sum(FILTER($D:$N,$C:$C = $C1659,$A:$A &lt; $A1659,$B:$B = 12)),0) + sum($D1659:$N1659)"),211256.22000000006)</f>
        <v>211256.22</v>
      </c>
      <c r="Q1659" s="92">
        <f t="shared" si="1"/>
        <v>0.5299999999</v>
      </c>
      <c r="R1659" s="91">
        <f t="array" ref="R1659">IFERROR(INDEX('Fund YTD Target Values'!$1:$1000, MATCH($C1659,'Fund YTD Target Values'!$A:$A,0), MATCH($A1659,'Fund YTD Target Values'!$1:$1,0)),0)</f>
        <v>226949.7266</v>
      </c>
      <c r="S1659" s="91">
        <f>IFERROR(__xludf.DUMMYFUNCTION("IFERROR(sum(FILTER('Fund Investment Data'!$V:$V, 'Fund Investment Data'!$C:$C = $C1659, 'Fund Investment Data'!$A:$A &lt; $A1659)),0) + IFERROR(sum(FILTER('Fund Investment Data'!$V:$V, 'Fund Investment Data'!$C:$C = $C1659, 'Fund Investment Data'!$A:$A = $A1"&amp;"659, 'Fund Investment Data'!$B:$B &lt;= $B1659)),0)"),185189.56)</f>
        <v>185189.56</v>
      </c>
      <c r="T1659" s="32"/>
      <c r="U1659" s="32"/>
      <c r="V1659" s="32">
        <f>IFERROR(__xludf.DUMMYFUNCTION("$D1659 - IFERROR(FILTER($D:$D,$C:$C = $C1659, $A:$A = $A1659, $B:$B = $B1659 - 1),0)"),0.0)</f>
        <v>0</v>
      </c>
      <c r="W1659" s="93">
        <f>IFERROR(__xludf.DUMMYFUNCTION("$E1659 - IFERROR(FILTER($E:$E,$C:$C = $C1659, $A:$A = $A1659, $B:$B = $B1659 - 1),0)"),0.0)</f>
        <v>0</v>
      </c>
      <c r="X1659" s="91">
        <f>IFERROR(__xludf.DUMMYFUNCTION("iFERROR((FILTER('Fund Investment Data'!$Z:$Z, 'Fund Investment Data'!$C:$C = $C1659, 'Fund Investment Data'!$A:$A = $A1659 - 1, 'Fund Investment Data'!$B:$B = 12) + FILTER('Fund Investment Data'!$AB:$AB, 'Fund Investment Data'!$C:$C = $C1659, 'Fund Invest"&amp;"ment Data'!$A:$A = $A1659 - 1, 'Fund Investment Data'!$B:$B = 12)) * (1 + AVERAGE(FILTER('Inflation Data'!$C:$C,'Inflation Data'!$A:$A = ($A1659 - 2)))) * Parameters!$A$4,0)"),7449.06504745473)</f>
        <v>7449.065047</v>
      </c>
      <c r="Y1659" s="91">
        <f>IFERROR(__xludf.DUMMYFUNCTION("IFERROR((IFERROR(FILTER('Fund Investment Data'!$P:$P,'Fund Investment Data'!$C:$C = $C1659,'Fund Investment Data'!$A:$A = ($A1659 - 2), 'Fund Investment Data'!$B:$B = 12),0) - SUM(FILTER('Fund Investment Data'!$V:$V, 'Fund Investment Data'!$C:$C = $C1659,"&amp;" 'Fund Investment Data'!$A:$A = ($A1659 - 2), 'Fund Investment Data'!$B:$B &gt; 3)))  * Parameters!$B$4 * (1 - Parameters!$A$4),0)"),2558.976705)</f>
        <v>2558.976705</v>
      </c>
      <c r="Z1659" s="91">
        <f t="shared" si="24"/>
        <v>10008.04175</v>
      </c>
      <c r="AA1659" s="91">
        <f>IFERROR(__xludf.DUMMYFUNCTION("((IFERROR((SUM(FILTER('Fund Investment Data'!$V:$V, 'Fund Investment Data'!$C:$C = $C1659, 'Fund Investment Data'!$A:$A = $A1659 - 1, 'Fund Investment Data'!$B:$B &gt;= 4, 'Fund Investment Data'!$B:$B &lt;= ($B1659 + 5))) / 12) * ($B1659 - 3) * Parameters!$B$4,"&amp;" 0) + IF($B1659 &gt;= 9, IFERROR(SUM(FILTER('Fund Investment Data'!$V:$V, 'Fund Investment Data'!$C:$C = $C1659, 'Fund Investment Data'!$A:$A = $A1659, 'Fund Investment Data'!$B:$B &lt;= 3)) * Parameters!$B$4, 0),0)))"),0.0)</f>
        <v>0</v>
      </c>
      <c r="AB1659" s="32">
        <f>IFERROR(__xludf.DUMMYFUNCTION("IFERROR(((IFERROR(SUM(FILTER('Fund Investment Data'!$V:$V, 'Fund Investment Data'!$C:$C = $C1659, 'Fund Investment Data'!$A:$A = $A1659 - 2, 'Fund Investment Data'!$B:$B &gt;= 4)) * Parameters!$B$4,0) + IFERROR(SUM(FILTER('Fund Investment Data'!$V:$V, 'Fund "&amp;"Investment Data'!$C:$C = $C1659, 'Fund Investment Data'!$A:$A = $A1659 - 1, 'Fund Investment Data'!$B:$B &lt;= 3)) * Parameters!$B$4,0))),0)"),0.0)</f>
        <v>0</v>
      </c>
      <c r="AC1659" s="32" t="str">
        <f>IFERROR(__xludf.DUMMYFUNCTION("IFERROR(FILTER($AF:$AF,$C:$C = $C1659,$A:$A = $A1659 - 1,$B:$B = 12),0)"),"")</f>
        <v/>
      </c>
      <c r="AD1659" s="32">
        <f t="shared" si="23"/>
        <v>10008.04175</v>
      </c>
      <c r="AE1659" s="32">
        <f t="shared" si="2"/>
        <v>10008.04175</v>
      </c>
      <c r="AF1659" s="32"/>
    </row>
    <row r="1660">
      <c r="A1660" s="86">
        <v>2020.0</v>
      </c>
      <c r="B1660" s="87">
        <v>1.0</v>
      </c>
      <c r="C1660" s="105" t="s">
        <v>32</v>
      </c>
      <c r="D1660" s="106">
        <v>0.0</v>
      </c>
      <c r="E1660" s="106">
        <v>0.0</v>
      </c>
      <c r="F1660" s="106">
        <v>0.0</v>
      </c>
      <c r="G1660" s="106">
        <v>-20.16</v>
      </c>
      <c r="H1660" s="106">
        <v>42.48</v>
      </c>
      <c r="I1660" s="106">
        <v>2417.89</v>
      </c>
      <c r="J1660" s="106">
        <v>-2624.83</v>
      </c>
      <c r="K1660" s="32"/>
      <c r="L1660" s="32"/>
      <c r="M1660" s="32"/>
      <c r="N1660" s="32"/>
      <c r="O1660" s="106">
        <v>53069.08</v>
      </c>
      <c r="P1660" s="91">
        <f>IFERROR(__xludf.DUMMYFUNCTION("IFERROR(sum(FILTER($D:$N,$C:$C = $C1660,$A:$A &lt; $A1660,$B:$B = 12)),0) + sum($D1660:$N1660)"),53068.68000000002)</f>
        <v>53068.68</v>
      </c>
      <c r="Q1660" s="92">
        <f t="shared" si="1"/>
        <v>0.4</v>
      </c>
      <c r="R1660" s="91">
        <f t="array" ref="R1660">IFERROR(INDEX('Fund YTD Target Values'!$1:$1000, MATCH($C1660,'Fund YTD Target Values'!$A:$A,0), MATCH($A1660,'Fund YTD Target Values'!$1:$1,0)),0)</f>
        <v>82557.08463</v>
      </c>
      <c r="S1660" s="91">
        <f>IFERROR(__xludf.DUMMYFUNCTION("IFERROR(sum(FILTER('Fund Investment Data'!$V:$V, 'Fund Investment Data'!$C:$C = $C1660, 'Fund Investment Data'!$A:$A &lt; $A1660)),0) + IFERROR(sum(FILTER('Fund Investment Data'!$V:$V, 'Fund Investment Data'!$C:$C = $C1660, 'Fund Investment Data'!$A:$A = $A1"&amp;"660, 'Fund Investment Data'!$B:$B &lt;= $B1660)),0)"),49449.04)</f>
        <v>49449.04</v>
      </c>
      <c r="T1660" s="32"/>
      <c r="U1660" s="32"/>
      <c r="V1660" s="32">
        <f>IFERROR(__xludf.DUMMYFUNCTION("$D1660 - IFERROR(FILTER($D:$D,$C:$C = $C1660, $A:$A = $A1660, $B:$B = $B1660 - 1),0)"),0.0)</f>
        <v>0</v>
      </c>
      <c r="W1660" s="93">
        <f>IFERROR(__xludf.DUMMYFUNCTION("$E1660 - IFERROR(FILTER($E:$E,$C:$C = $C1660, $A:$A = $A1660, $B:$B = $B1660 - 1),0)"),0.0)</f>
        <v>0</v>
      </c>
      <c r="X1660" s="91">
        <f>IFERROR(__xludf.DUMMYFUNCTION("iFERROR((FILTER('Fund Investment Data'!$Z:$Z, 'Fund Investment Data'!$C:$C = $C1660, 'Fund Investment Data'!$A:$A = $A1660 - 1, 'Fund Investment Data'!$B:$B = 12) + FILTER('Fund Investment Data'!$AB:$AB, 'Fund Investment Data'!$C:$C = $C1660, 'Fund Invest"&amp;"ment Data'!$A:$A = $A1660 - 1, 'Fund Investment Data'!$B:$B = 12)) * (1 + AVERAGE(FILTER('Inflation Data'!$C:$C,'Inflation Data'!$A:$A = ($A1660 - 2)))) * Parameters!$A$4,0)"),1749.9100001922152)</f>
        <v>1749.91</v>
      </c>
      <c r="Y1660" s="91">
        <f>IFERROR(__xludf.DUMMYFUNCTION("IFERROR((IFERROR(FILTER('Fund Investment Data'!$P:$P,'Fund Investment Data'!$C:$C = $C1660,'Fund Investment Data'!$A:$A = ($A1660 - 2), 'Fund Investment Data'!$B:$B = 12),0) - SUM(FILTER('Fund Investment Data'!$V:$V, 'Fund Investment Data'!$C:$C = $C1660,"&amp;" 'Fund Investment Data'!$A:$A = ($A1660 - 2), 'Fund Investment Data'!$B:$B &gt; 3)))  * Parameters!$B$4 * (1 - Parameters!$A$4),0)"),640.5770250000005)</f>
        <v>640.577025</v>
      </c>
      <c r="Z1660" s="91">
        <f t="shared" si="24"/>
        <v>2390.487025</v>
      </c>
      <c r="AA1660" s="91">
        <f>IFERROR(__xludf.DUMMYFUNCTION("((IFERROR((SUM(FILTER('Fund Investment Data'!$V:$V, 'Fund Investment Data'!$C:$C = $C1660, 'Fund Investment Data'!$A:$A = $A1660 - 1, 'Fund Investment Data'!$B:$B &gt;= 4, 'Fund Investment Data'!$B:$B &lt;= ($B1660 + 5))) / 12) * ($B1660 - 3) * Parameters!$B$4,"&amp;" 0) + IF($B1660 &gt;= 9, IFERROR(SUM(FILTER('Fund Investment Data'!$V:$V, 'Fund Investment Data'!$C:$C = $C1660, 'Fund Investment Data'!$A:$A = $A1660, 'Fund Investment Data'!$B:$B &lt;= 3)) * Parameters!$B$4, 0),0)))"),0.0)</f>
        <v>0</v>
      </c>
      <c r="AB1660" s="32">
        <f>IFERROR(__xludf.DUMMYFUNCTION("IFERROR(((IFERROR(SUM(FILTER('Fund Investment Data'!$V:$V, 'Fund Investment Data'!$C:$C = $C1660, 'Fund Investment Data'!$A:$A = $A1660 - 2, 'Fund Investment Data'!$B:$B &gt;= 4)) * Parameters!$B$4,0) + IFERROR(SUM(FILTER('Fund Investment Data'!$V:$V, 'Fund "&amp;"Investment Data'!$C:$C = $C1660, 'Fund Investment Data'!$A:$A = $A1660 - 1, 'Fund Investment Data'!$B:$B &lt;= 3)) * Parameters!$B$4,0))),0)"),0.0)</f>
        <v>0</v>
      </c>
      <c r="AC1660" s="32" t="str">
        <f>IFERROR(__xludf.DUMMYFUNCTION("IFERROR(FILTER($AF:$AF,$C:$C = $C1660,$A:$A = $A1660 - 1,$B:$B = 12),0)"),"")</f>
        <v/>
      </c>
      <c r="AD1660" s="32">
        <f t="shared" si="23"/>
        <v>2390.487025</v>
      </c>
      <c r="AE1660" s="32">
        <f t="shared" si="2"/>
        <v>2390.487025</v>
      </c>
      <c r="AF1660" s="32"/>
    </row>
    <row r="1661">
      <c r="A1661" s="86">
        <v>2020.0</v>
      </c>
      <c r="B1661" s="87">
        <v>1.0</v>
      </c>
      <c r="C1661" s="105" t="s">
        <v>40</v>
      </c>
      <c r="D1661" s="106">
        <v>0.0</v>
      </c>
      <c r="E1661" s="106">
        <v>0.0</v>
      </c>
      <c r="F1661" s="106">
        <v>0.0</v>
      </c>
      <c r="G1661" s="106">
        <v>-57.94</v>
      </c>
      <c r="H1661" s="106">
        <v>122.07</v>
      </c>
      <c r="I1661" s="106">
        <v>6948.78</v>
      </c>
      <c r="J1661" s="106">
        <v>-7543.52</v>
      </c>
      <c r="K1661" s="32"/>
      <c r="L1661" s="32"/>
      <c r="M1661" s="32"/>
      <c r="N1661" s="32"/>
      <c r="O1661" s="106">
        <v>152515.58</v>
      </c>
      <c r="P1661" s="91">
        <f>IFERROR(__xludf.DUMMYFUNCTION("IFERROR(sum(FILTER($D:$N,$C:$C = $C1661,$A:$A &lt; $A1661,$B:$B = 12)),0) + sum($D1661:$N1661)"),152515.53999999992)</f>
        <v>152515.54</v>
      </c>
      <c r="Q1661" s="92">
        <f t="shared" si="1"/>
        <v>0.04000000007</v>
      </c>
      <c r="R1661" s="91">
        <f t="array" ref="R1661">IFERROR(INDEX('Fund YTD Target Values'!$1:$1000, MATCH($C1661,'Fund YTD Target Values'!$A:$A,0), MATCH($A1661,'Fund YTD Target Values'!$1:$1,0)),0)</f>
        <v>168247.0993</v>
      </c>
      <c r="S1661" s="91">
        <f>IFERROR(__xludf.DUMMYFUNCTION("IFERROR(sum(FILTER('Fund Investment Data'!$V:$V, 'Fund Investment Data'!$C:$C = $C1661, 'Fund Investment Data'!$A:$A &lt; $A1661)),0) + IFERROR(sum(FILTER('Fund Investment Data'!$V:$V, 'Fund Investment Data'!$C:$C = $C1661, 'Fund Investment Data'!$A:$A = $A1"&amp;"661, 'Fund Investment Data'!$B:$B &lt;= $B1661)),0)"),129703.74)</f>
        <v>129703.74</v>
      </c>
      <c r="T1661" s="32"/>
      <c r="U1661" s="32"/>
      <c r="V1661" s="32">
        <f>IFERROR(__xludf.DUMMYFUNCTION("$D1661 - IFERROR(FILTER($D:$D,$C:$C = $C1661, $A:$A = $A1661, $B:$B = $B1661 - 1),0)"),0.0)</f>
        <v>0</v>
      </c>
      <c r="W1661" s="93">
        <f>IFERROR(__xludf.DUMMYFUNCTION("$E1661 - IFERROR(FILTER($E:$E,$C:$C = $C1661, $A:$A = $A1661, $B:$B = $B1661 - 1),0)"),0.0)</f>
        <v>0</v>
      </c>
      <c r="X1661" s="91">
        <f>IFERROR(__xludf.DUMMYFUNCTION("iFERROR((FILTER('Fund Investment Data'!$Z:$Z, 'Fund Investment Data'!$C:$C = $C1661, 'Fund Investment Data'!$A:$A = $A1661 - 1, 'Fund Investment Data'!$B:$B = 12) + FILTER('Fund Investment Data'!$AB:$AB, 'Fund Investment Data'!$C:$C = $C1661, 'Fund Invest"&amp;"ment Data'!$A:$A = $A1661 - 1, 'Fund Investment Data'!$B:$B = 12)) * (1 + AVERAGE(FILTER('Inflation Data'!$C:$C,'Inflation Data'!$A:$A = ($A1661 - 2)))) * Parameters!$A$4,0)"),5070.262994014637)</f>
        <v>5070.262994</v>
      </c>
      <c r="Y1661" s="91">
        <f>IFERROR(__xludf.DUMMYFUNCTION("IFERROR((IFERROR(FILTER('Fund Investment Data'!$P:$P,'Fund Investment Data'!$C:$C = $C1661,'Fund Investment Data'!$A:$A = ($A1661 - 2), 'Fund Investment Data'!$B:$B = 12),0) - SUM(FILTER('Fund Investment Data'!$V:$V, 'Fund Investment Data'!$C:$C = $C1661,"&amp;" 'Fund Investment Data'!$A:$A = ($A1661 - 2), 'Fund Investment Data'!$B:$B &gt; 3)))  * Parameters!$B$4 * (1 - Parameters!$A$4),0)"),1842.0089849999993)</f>
        <v>1842.008985</v>
      </c>
      <c r="Z1661" s="91">
        <f t="shared" si="24"/>
        <v>6912.271979</v>
      </c>
      <c r="AA1661" s="91">
        <f>IFERROR(__xludf.DUMMYFUNCTION("((IFERROR((SUM(FILTER('Fund Investment Data'!$V:$V, 'Fund Investment Data'!$C:$C = $C1661, 'Fund Investment Data'!$A:$A = $A1661 - 1, 'Fund Investment Data'!$B:$B &gt;= 4, 'Fund Investment Data'!$B:$B &lt;= ($B1661 + 5))) / 12) * ($B1661 - 3) * Parameters!$B$4,"&amp;" 0) + IF($B1661 &gt;= 9, IFERROR(SUM(FILTER('Fund Investment Data'!$V:$V, 'Fund Investment Data'!$C:$C = $C1661, 'Fund Investment Data'!$A:$A = $A1661, 'Fund Investment Data'!$B:$B &lt;= 3)) * Parameters!$B$4, 0),0)))"),0.0)</f>
        <v>0</v>
      </c>
      <c r="AB1661" s="32">
        <f>IFERROR(__xludf.DUMMYFUNCTION("IFERROR(((IFERROR(SUM(FILTER('Fund Investment Data'!$V:$V, 'Fund Investment Data'!$C:$C = $C1661, 'Fund Investment Data'!$A:$A = $A1661 - 2, 'Fund Investment Data'!$B:$B &gt;= 4)) * Parameters!$B$4,0) + IFERROR(SUM(FILTER('Fund Investment Data'!$V:$V, 'Fund "&amp;"Investment Data'!$C:$C = $C1661, 'Fund Investment Data'!$A:$A = $A1661 - 1, 'Fund Investment Data'!$B:$B &lt;= 3)) * Parameters!$B$4,0))),0)"),0.0)</f>
        <v>0</v>
      </c>
      <c r="AC1661" s="32" t="str">
        <f>IFERROR(__xludf.DUMMYFUNCTION("IFERROR(FILTER($AF:$AF,$C:$C = $C1661,$A:$A = $A1661 - 1,$B:$B = 12),0)"),"")</f>
        <v/>
      </c>
      <c r="AD1661" s="32">
        <f t="shared" si="23"/>
        <v>6912.271979</v>
      </c>
      <c r="AE1661" s="32">
        <f t="shared" si="2"/>
        <v>6912.271979</v>
      </c>
      <c r="AF1661" s="32"/>
    </row>
    <row r="1662">
      <c r="A1662" s="86">
        <v>2020.0</v>
      </c>
      <c r="B1662" s="87">
        <v>1.0</v>
      </c>
      <c r="C1662" s="105" t="s">
        <v>51</v>
      </c>
      <c r="D1662" s="106">
        <v>5000.0</v>
      </c>
      <c r="E1662" s="106">
        <v>0.0</v>
      </c>
      <c r="F1662" s="106">
        <v>5000.0</v>
      </c>
      <c r="G1662" s="106">
        <v>-182.43</v>
      </c>
      <c r="H1662" s="106">
        <v>384.35</v>
      </c>
      <c r="I1662" s="106">
        <v>21877.96</v>
      </c>
      <c r="J1662" s="106">
        <v>-23750.44</v>
      </c>
      <c r="K1662" s="32"/>
      <c r="L1662" s="32"/>
      <c r="M1662" s="32"/>
      <c r="N1662" s="32"/>
      <c r="O1662" s="106">
        <v>490188.98</v>
      </c>
      <c r="P1662" s="91">
        <f>IFERROR(__xludf.DUMMYFUNCTION("IFERROR(sum(FILTER($D:$N,$C:$C = $C1662,$A:$A &lt; $A1662,$B:$B = 12)),0) + sum($D1662:$N1662)"),490188.9600000001)</f>
        <v>490188.96</v>
      </c>
      <c r="Q1662" s="92">
        <f t="shared" si="1"/>
        <v>0.0199999999</v>
      </c>
      <c r="R1662" s="91">
        <f t="array" ref="R1662">IFERROR(INDEX('Fund YTD Target Values'!$1:$1000, MATCH($C1662,'Fund YTD Target Values'!$A:$A,0), MATCH($A1662,'Fund YTD Target Values'!$1:$1,0)),0)</f>
        <v>471452.8972</v>
      </c>
      <c r="S1662" s="91">
        <f>IFERROR(__xludf.DUMMYFUNCTION("IFERROR(sum(FILTER('Fund Investment Data'!$V:$V, 'Fund Investment Data'!$C:$C = $C1662, 'Fund Investment Data'!$A:$A &lt; $A1662)),0) + IFERROR(sum(FILTER('Fund Investment Data'!$V:$V, 'Fund Investment Data'!$C:$C = $C1662, 'Fund Investment Data'!$A:$A = $A1"&amp;"662, 'Fund Investment Data'!$B:$B &lt;= $B1662)),0)"),425073.55)</f>
        <v>425073.55</v>
      </c>
      <c r="T1662" s="32"/>
      <c r="U1662" s="32"/>
      <c r="V1662" s="32">
        <f>IFERROR(__xludf.DUMMYFUNCTION("$D1662 - IFERROR(FILTER($D:$D,$C:$C = $C1662, $A:$A = $A1662, $B:$B = $B1662 - 1),0)"),5000.0)</f>
        <v>5000</v>
      </c>
      <c r="W1662" s="93">
        <f>IFERROR(__xludf.DUMMYFUNCTION("$E1662 - IFERROR(FILTER($E:$E,$C:$C = $C1662, $A:$A = $A1662, $B:$B = $B1662 - 1),0)"),0.0)</f>
        <v>0</v>
      </c>
      <c r="X1662" s="91">
        <f>IFERROR(__xludf.DUMMYFUNCTION("iFERROR((FILTER('Fund Investment Data'!$Z:$Z, 'Fund Investment Data'!$C:$C = $C1662, 'Fund Investment Data'!$A:$A = $A1662 - 1, 'Fund Investment Data'!$B:$B = 12) + FILTER('Fund Investment Data'!$AB:$AB, 'Fund Investment Data'!$C:$C = $C1662, 'Fund Invest"&amp;"ment Data'!$A:$A = $A1662 - 1, 'Fund Investment Data'!$B:$B = 12)) * (1 + AVERAGE(FILTER('Inflation Data'!$C:$C,'Inflation Data'!$A:$A = ($A1662 - 2)))) * Parameters!$A$4,0)"),14858.837738325023)</f>
        <v>14858.83774</v>
      </c>
      <c r="Y1662" s="91">
        <f>IFERROR(__xludf.DUMMYFUNCTION("IFERROR((IFERROR(FILTER('Fund Investment Data'!$P:$P,'Fund Investment Data'!$C:$C = $C1662,'Fund Investment Data'!$A:$A = ($A1662 - 2), 'Fund Investment Data'!$B:$B = 12),0) - SUM(FILTER('Fund Investment Data'!$V:$V, 'Fund Investment Data'!$C:$C = $C1662,"&amp;" 'Fund Investment Data'!$A:$A = ($A1662 - 2), 'Fund Investment Data'!$B:$B &gt; 3)))  * Parameters!$B$4 * (1 - Parameters!$A$4),0)"),5934.330135000001)</f>
        <v>5934.330135</v>
      </c>
      <c r="Z1662" s="91">
        <f t="shared" si="24"/>
        <v>20793.16787</v>
      </c>
      <c r="AA1662" s="91">
        <f>IFERROR(__xludf.DUMMYFUNCTION("((IFERROR((SUM(FILTER('Fund Investment Data'!$V:$V, 'Fund Investment Data'!$C:$C = $C1662, 'Fund Investment Data'!$A:$A = $A1662 - 1, 'Fund Investment Data'!$B:$B &gt;= 4, 'Fund Investment Data'!$B:$B &lt;= ($B1662 + 5))) / 12) * ($B1662 - 3) * Parameters!$B$4,"&amp;" 0) + IF($B1662 &gt;= 9, IFERROR(SUM(FILTER('Fund Investment Data'!$V:$V, 'Fund Investment Data'!$C:$C = $C1662, 'Fund Investment Data'!$A:$A = $A1662, 'Fund Investment Data'!$B:$B &lt;= 3)) * Parameters!$B$4, 0),0)))"),-7.499999999999999)</f>
        <v>-7.5</v>
      </c>
      <c r="AB1662" s="32">
        <f>IFERROR(__xludf.DUMMYFUNCTION("IFERROR(((IFERROR(SUM(FILTER('Fund Investment Data'!$V:$V, 'Fund Investment Data'!$C:$C = $C1662, 'Fund Investment Data'!$A:$A = $A1662 - 2, 'Fund Investment Data'!$B:$B &gt;= 4)) * Parameters!$B$4,0) + IFERROR(SUM(FILTER('Fund Investment Data'!$V:$V, 'Fund "&amp;"Investment Data'!$C:$C = $C1662, 'Fund Investment Data'!$A:$A = $A1662 - 1, 'Fund Investment Data'!$B:$B &lt;= 3)) * Parameters!$B$4,0))),0)"),114.75)</f>
        <v>114.75</v>
      </c>
      <c r="AC1662" s="32" t="str">
        <f>IFERROR(__xludf.DUMMYFUNCTION("IFERROR(FILTER($AF:$AF,$C:$C = $C1662,$A:$A = $A1662 - 1,$B:$B = 12),0)"),"")</f>
        <v/>
      </c>
      <c r="AD1662" s="32">
        <f t="shared" si="23"/>
        <v>20900.41787</v>
      </c>
      <c r="AE1662" s="32">
        <f t="shared" si="2"/>
        <v>20900.41787</v>
      </c>
      <c r="AF1662" s="32"/>
    </row>
    <row r="1663">
      <c r="A1663" s="86">
        <v>2020.0</v>
      </c>
      <c r="B1663" s="87">
        <v>1.0</v>
      </c>
      <c r="C1663" s="105" t="s">
        <v>48</v>
      </c>
      <c r="D1663" s="106">
        <v>0.0</v>
      </c>
      <c r="E1663" s="106">
        <v>0.0</v>
      </c>
      <c r="F1663" s="106">
        <v>0.0</v>
      </c>
      <c r="G1663" s="106">
        <v>-464.15</v>
      </c>
      <c r="H1663" s="106">
        <v>977.85</v>
      </c>
      <c r="I1663" s="106">
        <v>55662.05</v>
      </c>
      <c r="J1663" s="106">
        <v>-60426.03</v>
      </c>
      <c r="K1663" s="32"/>
      <c r="L1663" s="32"/>
      <c r="M1663" s="32"/>
      <c r="N1663" s="32"/>
      <c r="O1663" s="106">
        <v>1221699.62</v>
      </c>
      <c r="P1663" s="91">
        <f>IFERROR(__xludf.DUMMYFUNCTION("IFERROR(sum(FILTER($D:$N,$C:$C = $C1663,$A:$A &lt; $A1663,$B:$B = 12)),0) + sum($D1663:$N1663)"),1221698.2999999998)</f>
        <v>1221698.3</v>
      </c>
      <c r="Q1663" s="92">
        <f t="shared" si="1"/>
        <v>1.32</v>
      </c>
      <c r="R1663" s="91">
        <f t="array" ref="R1663">IFERROR(INDEX('Fund YTD Target Values'!$1:$1000, MATCH($C1663,'Fund YTD Target Values'!$A:$A,0), MATCH($A1663,'Fund YTD Target Values'!$1:$1,0)),0)</f>
        <v>1977173.82</v>
      </c>
      <c r="S1663" s="91">
        <f>IFERROR(__xludf.DUMMYFUNCTION("IFERROR(sum(FILTER('Fund Investment Data'!$V:$V, 'Fund Investment Data'!$C:$C = $C1663, 'Fund Investment Data'!$A:$A &lt; $A1663)),0) + IFERROR(sum(FILTER('Fund Investment Data'!$V:$V, 'Fund Investment Data'!$C:$C = $C1663, 'Fund Investment Data'!$A:$A = $A1"&amp;"663, 'Fund Investment Data'!$B:$B &lt;= $B1663)),0)"),1183929.39)</f>
        <v>1183929.39</v>
      </c>
      <c r="T1663" s="32"/>
      <c r="U1663" s="32"/>
      <c r="V1663" s="32">
        <f>IFERROR(__xludf.DUMMYFUNCTION("$D1663 - IFERROR(FILTER($D:$D,$C:$C = $C1663, $A:$A = $A1663, $B:$B = $B1663 - 1),0)"),0.0)</f>
        <v>0</v>
      </c>
      <c r="W1663" s="93">
        <f>IFERROR(__xludf.DUMMYFUNCTION("$E1663 - IFERROR(FILTER($E:$E,$C:$C = $C1663, $A:$A = $A1663, $B:$B = $B1663 - 1),0)"),0.0)</f>
        <v>0</v>
      </c>
      <c r="X1663" s="91">
        <f>IFERROR(__xludf.DUMMYFUNCTION("iFERROR((FILTER('Fund Investment Data'!$Z:$Z, 'Fund Investment Data'!$C:$C = $C1663, 'Fund Investment Data'!$A:$A = $A1663 - 1, 'Fund Investment Data'!$B:$B = 12) + FILTER('Fund Investment Data'!$AB:$AB, 'Fund Investment Data'!$C:$C = $C1663, 'Fund Invest"&amp;"ment Data'!$A:$A = $A1663 - 1, 'Fund Investment Data'!$B:$B = 12)) * (1 + AVERAGE(FILTER('Inflation Data'!$C:$C,'Inflation Data'!$A:$A = ($A1663 - 2)))) * Parameters!$A$4,0)"),40894.198235956435)</f>
        <v>40894.19824</v>
      </c>
      <c r="Y1663" s="91">
        <f>IFERROR(__xludf.DUMMYFUNCTION("IFERROR((IFERROR(FILTER('Fund Investment Data'!$P:$P,'Fund Investment Data'!$C:$C = $C1663,'Fund Investment Data'!$A:$A = ($A1663 - 2), 'Fund Investment Data'!$B:$B = 12),0) - SUM(FILTER('Fund Investment Data'!$V:$V, 'Fund Investment Data'!$C:$C = $C1663,"&amp;" 'Fund Investment Data'!$A:$A = ($A1663 - 2), 'Fund Investment Data'!$B:$B &gt; 3)))  * Parameters!$B$4 * (1 - Parameters!$A$4),0)"),14758.380764999996)</f>
        <v>14758.38077</v>
      </c>
      <c r="Z1663" s="91">
        <f t="shared" si="24"/>
        <v>55652.579</v>
      </c>
      <c r="AA1663" s="91">
        <f>IFERROR(__xludf.DUMMYFUNCTION("((IFERROR((SUM(FILTER('Fund Investment Data'!$V:$V, 'Fund Investment Data'!$C:$C = $C1663, 'Fund Investment Data'!$A:$A = $A1663 - 1, 'Fund Investment Data'!$B:$B &gt;= 4, 'Fund Investment Data'!$B:$B &lt;= ($B1663 + 5))) / 12) * ($B1663 - 3) * Parameters!$B$4,"&amp;" 0) + IF($B1663 &gt;= 9, IFERROR(SUM(FILTER('Fund Investment Data'!$V:$V, 'Fund Investment Data'!$C:$C = $C1663, 'Fund Investment Data'!$A:$A = $A1663, 'Fund Investment Data'!$B:$B &lt;= 3)) * Parameters!$B$4, 0),0)))"),0.0)</f>
        <v>0</v>
      </c>
      <c r="AB1663" s="32">
        <f>IFERROR(__xludf.DUMMYFUNCTION("IFERROR(((IFERROR(SUM(FILTER('Fund Investment Data'!$V:$V, 'Fund Investment Data'!$C:$C = $C1663, 'Fund Investment Data'!$A:$A = $A1663 - 2, 'Fund Investment Data'!$B:$B &gt;= 4)) * Parameters!$B$4,0) + IFERROR(SUM(FILTER('Fund Investment Data'!$V:$V, 'Fund "&amp;"Investment Data'!$C:$C = $C1663, 'Fund Investment Data'!$A:$A = $A1663 - 1, 'Fund Investment Data'!$B:$B &lt;= 3)) * Parameters!$B$4,0))),0)"),0.0)</f>
        <v>0</v>
      </c>
      <c r="AC1663" s="32" t="str">
        <f>IFERROR(__xludf.DUMMYFUNCTION("IFERROR(FILTER($AF:$AF,$C:$C = $C1663,$A:$A = $A1663 - 1,$B:$B = 12),0)"),"")</f>
        <v/>
      </c>
      <c r="AD1663" s="32">
        <f t="shared" si="23"/>
        <v>55652.579</v>
      </c>
      <c r="AE1663" s="32">
        <f t="shared" si="2"/>
        <v>55652.579</v>
      </c>
      <c r="AF1663" s="32"/>
    </row>
    <row r="1664">
      <c r="A1664" s="86">
        <v>2020.0</v>
      </c>
      <c r="B1664" s="87">
        <v>1.0</v>
      </c>
      <c r="C1664" s="105" t="s">
        <v>49</v>
      </c>
      <c r="D1664" s="106">
        <v>0.0</v>
      </c>
      <c r="E1664" s="106">
        <v>0.0</v>
      </c>
      <c r="F1664" s="106">
        <v>0.0</v>
      </c>
      <c r="G1664" s="106">
        <v>-201.23</v>
      </c>
      <c r="H1664" s="106">
        <v>423.94</v>
      </c>
      <c r="I1664" s="106">
        <v>24131.91</v>
      </c>
      <c r="J1664" s="106">
        <v>-26197.3</v>
      </c>
      <c r="K1664" s="32"/>
      <c r="L1664" s="32"/>
      <c r="M1664" s="32"/>
      <c r="N1664" s="32"/>
      <c r="O1664" s="106">
        <v>529659.7</v>
      </c>
      <c r="P1664" s="91">
        <f>IFERROR(__xludf.DUMMYFUNCTION("IFERROR(sum(FILTER($D:$N,$C:$C = $C1664,$A:$A &lt; $A1664,$B:$B = 12)),0) + sum($D1664:$N1664)"),529659.9999999999)</f>
        <v>529660</v>
      </c>
      <c r="Q1664" s="92">
        <f t="shared" si="1"/>
        <v>-0.2999999999</v>
      </c>
      <c r="R1664" s="91">
        <f t="array" ref="R1664">IFERROR(INDEX('Fund YTD Target Values'!$1:$1000, MATCH($C1664,'Fund YTD Target Values'!$A:$A,0), MATCH($A1664,'Fund YTD Target Values'!$1:$1,0)),0)</f>
        <v>731305.9568</v>
      </c>
      <c r="S1664" s="91">
        <f>IFERROR(__xludf.DUMMYFUNCTION("IFERROR(sum(FILTER('Fund Investment Data'!$V:$V, 'Fund Investment Data'!$C:$C = $C1664, 'Fund Investment Data'!$A:$A &lt; $A1664)),0) + IFERROR(sum(FILTER('Fund Investment Data'!$V:$V, 'Fund Investment Data'!$C:$C = $C1664, 'Fund Investment Data'!$A:$A = $A1"&amp;"664, 'Fund Investment Data'!$B:$B &lt;= $B1664)),0)"),500000.0)</f>
        <v>500000</v>
      </c>
      <c r="T1664" s="32"/>
      <c r="U1664" s="32"/>
      <c r="V1664" s="32">
        <f>IFERROR(__xludf.DUMMYFUNCTION("$D1664 - IFERROR(FILTER($D:$D,$C:$C = $C1664, $A:$A = $A1664, $B:$B = $B1664 - 1),0)"),0.0)</f>
        <v>0</v>
      </c>
      <c r="W1664" s="93">
        <f>IFERROR(__xludf.DUMMYFUNCTION("$E1664 - IFERROR(FILTER($E:$E,$C:$C = $C1664, $A:$A = $A1664, $B:$B = $B1664 - 1),0)"),0.0)</f>
        <v>0</v>
      </c>
      <c r="X1664" s="91">
        <f>IFERROR(__xludf.DUMMYFUNCTION("iFERROR((FILTER('Fund Investment Data'!$Z:$Z, 'Fund Investment Data'!$C:$C = $C1664, 'Fund Investment Data'!$A:$A = $A1664 - 1, 'Fund Investment Data'!$B:$B = 12) + FILTER('Fund Investment Data'!$AB:$AB, 'Fund Investment Data'!$C:$C = $C1664, 'Fund Invest"&amp;"ment Data'!$A:$A = $A1664 - 1, 'Fund Investment Data'!$B:$B = 12)) * (1 + AVERAGE(FILTER('Inflation Data'!$C:$C,'Inflation Data'!$A:$A = ($A1664 - 2)))) * Parameters!$A$4,0)"),17938.124492992578)</f>
        <v>17938.12449</v>
      </c>
      <c r="Y1664" s="91">
        <f>IFERROR(__xludf.DUMMYFUNCTION("IFERROR((IFERROR(FILTER('Fund Investment Data'!$P:$P,'Fund Investment Data'!$C:$C = $C1664,'Fund Investment Data'!$A:$A = ($A1664 - 2), 'Fund Investment Data'!$B:$B = 12),0) - SUM(FILTER('Fund Investment Data'!$V:$V, 'Fund Investment Data'!$C:$C = $C1664,"&amp;" 'Fund Investment Data'!$A:$A = ($A1664 - 2), 'Fund Investment Data'!$B:$B &gt; 3)))  * Parameters!$B$4 * (1 - Parameters!$A$4),0)"),6402.16332)</f>
        <v>6402.16332</v>
      </c>
      <c r="Z1664" s="91">
        <f t="shared" si="24"/>
        <v>24340.28781</v>
      </c>
      <c r="AA1664" s="91">
        <f>IFERROR(__xludf.DUMMYFUNCTION("((IFERROR((SUM(FILTER('Fund Investment Data'!$V:$V, 'Fund Investment Data'!$C:$C = $C1664, 'Fund Investment Data'!$A:$A = $A1664 - 1, 'Fund Investment Data'!$B:$B &gt;= 4, 'Fund Investment Data'!$B:$B &lt;= ($B1664 + 5))) / 12) * ($B1664 - 3) * Parameters!$B$4,"&amp;" 0) + IF($B1664 &gt;= 9, IFERROR(SUM(FILTER('Fund Investment Data'!$V:$V, 'Fund Investment Data'!$C:$C = $C1664, 'Fund Investment Data'!$A:$A = $A1664, 'Fund Investment Data'!$B:$B &lt;= 3)) * Parameters!$B$4, 0),0)))"),0.0)</f>
        <v>0</v>
      </c>
      <c r="AB1664" s="32">
        <f>IFERROR(__xludf.DUMMYFUNCTION("IFERROR(((IFERROR(SUM(FILTER('Fund Investment Data'!$V:$V, 'Fund Investment Data'!$C:$C = $C1664, 'Fund Investment Data'!$A:$A = $A1664 - 2, 'Fund Investment Data'!$B:$B &gt;= 4)) * Parameters!$B$4,0) + IFERROR(SUM(FILTER('Fund Investment Data'!$V:$V, 'Fund "&amp;"Investment Data'!$C:$C = $C1664, 'Fund Investment Data'!$A:$A = $A1664 - 1, 'Fund Investment Data'!$B:$B &lt;= 3)) * Parameters!$B$4,0))),0)"),0.0)</f>
        <v>0</v>
      </c>
      <c r="AC1664" s="32" t="str">
        <f>IFERROR(__xludf.DUMMYFUNCTION("IFERROR(FILTER($AF:$AF,$C:$C = $C1664,$A:$A = $A1664 - 1,$B:$B = 12),0)"),"")</f>
        <v/>
      </c>
      <c r="AD1664" s="32">
        <f t="shared" si="23"/>
        <v>24340.28781</v>
      </c>
      <c r="AE1664" s="32">
        <f t="shared" si="2"/>
        <v>24340.28781</v>
      </c>
      <c r="AF1664" s="32"/>
    </row>
    <row r="1665">
      <c r="A1665" s="86">
        <v>2020.0</v>
      </c>
      <c r="B1665" s="87">
        <v>1.0</v>
      </c>
      <c r="C1665" s="105" t="s">
        <v>41</v>
      </c>
      <c r="D1665" s="106">
        <v>0.0</v>
      </c>
      <c r="E1665" s="106">
        <v>0.0</v>
      </c>
      <c r="F1665" s="106">
        <v>0.0</v>
      </c>
      <c r="G1665" s="106">
        <v>-248.86</v>
      </c>
      <c r="H1665" s="106">
        <v>524.3</v>
      </c>
      <c r="I1665" s="106">
        <v>29844.55</v>
      </c>
      <c r="J1665" s="106">
        <v>-32398.89</v>
      </c>
      <c r="K1665" s="32"/>
      <c r="L1665" s="32"/>
      <c r="M1665" s="32"/>
      <c r="N1665" s="32"/>
      <c r="O1665" s="106">
        <v>655043.96</v>
      </c>
      <c r="P1665" s="91">
        <f>IFERROR(__xludf.DUMMYFUNCTION("IFERROR(sum(FILTER($D:$N,$C:$C = $C1665,$A:$A &lt; $A1665,$B:$B = 12)),0) + sum($D1665:$N1665)"),655044.8099999999)</f>
        <v>655044.81</v>
      </c>
      <c r="Q1665" s="92">
        <f t="shared" si="1"/>
        <v>-0.85</v>
      </c>
      <c r="R1665" s="91">
        <f t="array" ref="R1665">IFERROR(INDEX('Fund YTD Target Values'!$1:$1000, MATCH($C1665,'Fund YTD Target Values'!$A:$A,0), MATCH($A1665,'Fund YTD Target Values'!$1:$1,0)),0)</f>
        <v>613052.4595</v>
      </c>
      <c r="S1665" s="91">
        <f>IFERROR(__xludf.DUMMYFUNCTION("IFERROR(sum(FILTER('Fund Investment Data'!$V:$V, 'Fund Investment Data'!$C:$C = $C1665, 'Fund Investment Data'!$A:$A &lt; $A1665)),0) + IFERROR(sum(FILTER('Fund Investment Data'!$V:$V, 'Fund Investment Data'!$C:$C = $C1665, 'Fund Investment Data'!$A:$A = $A1"&amp;"665, 'Fund Investment Data'!$B:$B &lt;= $B1665)),0)"),433755.86)</f>
        <v>433755.86</v>
      </c>
      <c r="T1665" s="32"/>
      <c r="U1665" s="32"/>
      <c r="V1665" s="32">
        <f>IFERROR(__xludf.DUMMYFUNCTION("$D1665 - IFERROR(FILTER($D:$D,$C:$C = $C1665, $A:$A = $A1665, $B:$B = $B1665 - 1),0)"),0.0)</f>
        <v>0</v>
      </c>
      <c r="W1665" s="93">
        <f>IFERROR(__xludf.DUMMYFUNCTION("$E1665 - IFERROR(FILTER($E:$E,$C:$C = $C1665, $A:$A = $A1665, $B:$B = $B1665 - 1),0)"),0.0)</f>
        <v>0</v>
      </c>
      <c r="X1665" s="91">
        <f>IFERROR(__xludf.DUMMYFUNCTION("iFERROR((FILTER('Fund Investment Data'!$Z:$Z, 'Fund Investment Data'!$C:$C = $C1665, 'Fund Investment Data'!$A:$A = $A1665 - 1, 'Fund Investment Data'!$B:$B = 12) + FILTER('Fund Investment Data'!$AB:$AB, 'Fund Investment Data'!$C:$C = $C1665, 'Fund Invest"&amp;"ment Data'!$A:$A = $A1665 - 1, 'Fund Investment Data'!$B:$B = 12)) * (1 + AVERAGE(FILTER('Inflation Data'!$C:$C,'Inflation Data'!$A:$A = ($A1665 - 2)))) * Parameters!$A$4,0)"),19563.798947196206)</f>
        <v>19563.79895</v>
      </c>
      <c r="Y1665" s="91">
        <f>IFERROR(__xludf.DUMMYFUNCTION("IFERROR((IFERROR(FILTER('Fund Investment Data'!$P:$P,'Fund Investment Data'!$C:$C = $C1665,'Fund Investment Data'!$A:$A = ($A1665 - 2), 'Fund Investment Data'!$B:$B = 12),0) - SUM(FILTER('Fund Investment Data'!$V:$V, 'Fund Investment Data'!$C:$C = $C1665,"&amp;" 'Fund Investment Data'!$A:$A = ($A1665 - 2), 'Fund Investment Data'!$B:$B &gt; 3)))  * Parameters!$B$4 * (1 - Parameters!$A$4),0)"),7872.907320000002)</f>
        <v>7872.90732</v>
      </c>
      <c r="Z1665" s="91">
        <f t="shared" si="24"/>
        <v>27436.70627</v>
      </c>
      <c r="AA1665" s="91">
        <f>IFERROR(__xludf.DUMMYFUNCTION("((IFERROR((SUM(FILTER('Fund Investment Data'!$V:$V, 'Fund Investment Data'!$C:$C = $C1665, 'Fund Investment Data'!$A:$A = $A1665 - 1, 'Fund Investment Data'!$B:$B &gt;= 4, 'Fund Investment Data'!$B:$B &lt;= ($B1665 + 5))) / 12) * ($B1665 - 3) * Parameters!$B$4,"&amp;" 0) + IF($B1665 &gt;= 9, IFERROR(SUM(FILTER('Fund Investment Data'!$V:$V, 'Fund Investment Data'!$C:$C = $C1665, 'Fund Investment Data'!$A:$A = $A1665, 'Fund Investment Data'!$B:$B &lt;= 3)) * Parameters!$B$4, 0),0)))"),0.0)</f>
        <v>0</v>
      </c>
      <c r="AB1665" s="32">
        <f>IFERROR(__xludf.DUMMYFUNCTION("IFERROR(((IFERROR(SUM(FILTER('Fund Investment Data'!$V:$V, 'Fund Investment Data'!$C:$C = $C1665, 'Fund Investment Data'!$A:$A = $A1665 - 2, 'Fund Investment Data'!$B:$B &gt;= 4)) * Parameters!$B$4,0) + IFERROR(SUM(FILTER('Fund Investment Data'!$V:$V, 'Fund "&amp;"Investment Data'!$C:$C = $C1665, 'Fund Investment Data'!$A:$A = $A1665 - 1, 'Fund Investment Data'!$B:$B &lt;= 3)) * Parameters!$B$4,0))),0)"),0.0)</f>
        <v>0</v>
      </c>
      <c r="AC1665" s="32" t="str">
        <f>IFERROR(__xludf.DUMMYFUNCTION("IFERROR(FILTER($AF:$AF,$C:$C = $C1665,$A:$A = $A1665 - 1,$B:$B = 12),0)"),"")</f>
        <v/>
      </c>
      <c r="AD1665" s="32">
        <f t="shared" si="23"/>
        <v>27436.70627</v>
      </c>
      <c r="AE1665" s="32">
        <f t="shared" si="2"/>
        <v>27436.70627</v>
      </c>
      <c r="AF1665" s="32"/>
    </row>
    <row r="1666">
      <c r="A1666" s="86">
        <v>2020.0</v>
      </c>
      <c r="B1666" s="87">
        <v>1.0</v>
      </c>
      <c r="C1666" s="105" t="s">
        <v>25</v>
      </c>
      <c r="D1666" s="106">
        <v>0.0</v>
      </c>
      <c r="E1666" s="106">
        <v>0.0</v>
      </c>
      <c r="F1666" s="106">
        <v>0.0</v>
      </c>
      <c r="G1666" s="106">
        <v>-31.48</v>
      </c>
      <c r="H1666" s="106">
        <v>66.32</v>
      </c>
      <c r="I1666" s="106">
        <v>3775.15</v>
      </c>
      <c r="J1666" s="106">
        <v>-4098.25</v>
      </c>
      <c r="K1666" s="32"/>
      <c r="L1666" s="32"/>
      <c r="M1666" s="32"/>
      <c r="N1666" s="32"/>
      <c r="O1666" s="106">
        <v>82858.82</v>
      </c>
      <c r="P1666" s="91">
        <f>IFERROR(__xludf.DUMMYFUNCTION("IFERROR(sum(FILTER($D:$N,$C:$C = $C1666,$A:$A &lt; $A1666,$B:$B = 12)),0) + sum($D1666:$N1666)"),82858.80999999998)</f>
        <v>82858.81</v>
      </c>
      <c r="Q1666" s="92">
        <f t="shared" si="1"/>
        <v>0.01000000002</v>
      </c>
      <c r="R1666" s="91">
        <f t="array" ref="R1666">IFERROR(INDEX('Fund YTD Target Values'!$1:$1000, MATCH($C1666,'Fund YTD Target Values'!$A:$A,0), MATCH($A1666,'Fund YTD Target Values'!$1:$1,0)),0)</f>
        <v>113832.9235</v>
      </c>
      <c r="S1666" s="91">
        <f>IFERROR(__xludf.DUMMYFUNCTION("IFERROR(sum(FILTER('Fund Investment Data'!$V:$V, 'Fund Investment Data'!$C:$C = $C1666, 'Fund Investment Data'!$A:$A &lt; $A1666)),0) + IFERROR(sum(FILTER('Fund Investment Data'!$V:$V, 'Fund Investment Data'!$C:$C = $C1666, 'Fund Investment Data'!$A:$A = $A1"&amp;"666, 'Fund Investment Data'!$B:$B &lt;= $B1666)),0)"),81000.0)</f>
        <v>81000</v>
      </c>
      <c r="T1666" s="32"/>
      <c r="U1666" s="32"/>
      <c r="V1666" s="32">
        <f>IFERROR(__xludf.DUMMYFUNCTION("$D1666 - IFERROR(FILTER($D:$D,$C:$C = $C1666, $A:$A = $A1666, $B:$B = $B1666 - 1),0)"),0.0)</f>
        <v>0</v>
      </c>
      <c r="W1666" s="93">
        <f>IFERROR(__xludf.DUMMYFUNCTION("$E1666 - IFERROR(FILTER($E:$E,$C:$C = $C1666, $A:$A = $A1666, $B:$B = $B1666 - 1),0)"),0.0)</f>
        <v>0</v>
      </c>
      <c r="X1666" s="91">
        <f>IFERROR(__xludf.DUMMYFUNCTION("iFERROR((FILTER('Fund Investment Data'!$Z:$Z, 'Fund Investment Data'!$C:$C = $C1666, 'Fund Investment Data'!$A:$A = $A1666 - 1, 'Fund Investment Data'!$B:$B = 12) + FILTER('Fund Investment Data'!$AB:$AB, 'Fund Investment Data'!$C:$C = $C1666, 'Fund Invest"&amp;"ment Data'!$A:$A = $A1666 - 1, 'Fund Investment Data'!$B:$B = 12)) * (1 + AVERAGE(FILTER('Inflation Data'!$C:$C,'Inflation Data'!$A:$A = ($A1666 - 2)))) * Parameters!$A$4,0)"),3310.018104714215)</f>
        <v>3310.018105</v>
      </c>
      <c r="Y1666" s="91">
        <f>IFERROR(__xludf.DUMMYFUNCTION("IFERROR((IFERROR(FILTER('Fund Investment Data'!$P:$P,'Fund Investment Data'!$C:$C = $C1666,'Fund Investment Data'!$A:$A = ($A1666 - 2), 'Fund Investment Data'!$B:$B = 12),0) - SUM(FILTER('Fund Investment Data'!$V:$V, 'Fund Investment Data'!$C:$C = $C1666,"&amp;" 'Fund Investment Data'!$A:$A = ($A1666 - 2), 'Fund Investment Data'!$B:$B &gt; 3)))  * Parameters!$B$4 * (1 - Parameters!$A$4),0)"),1010.3125950000002)</f>
        <v>1010.312595</v>
      </c>
      <c r="Z1666" s="91">
        <f t="shared" si="24"/>
        <v>4320.3307</v>
      </c>
      <c r="AA1666" s="91">
        <f>IFERROR(__xludf.DUMMYFUNCTION("((IFERROR((SUM(FILTER('Fund Investment Data'!$V:$V, 'Fund Investment Data'!$C:$C = $C1666, 'Fund Investment Data'!$A:$A = $A1666 - 1, 'Fund Investment Data'!$B:$B &gt;= 4, 'Fund Investment Data'!$B:$B &lt;= ($B1666 + 5))) / 12) * ($B1666 - 3) * Parameters!$B$4,"&amp;" 0) + IF($B1666 &gt;= 9, IFERROR(SUM(FILTER('Fund Investment Data'!$V:$V, 'Fund Investment Data'!$C:$C = $C1666, 'Fund Investment Data'!$A:$A = $A1666, 'Fund Investment Data'!$B:$B &lt;= 3)) * Parameters!$B$4, 0),0)))"),0.0)</f>
        <v>0</v>
      </c>
      <c r="AB1666" s="32">
        <f>IFERROR(__xludf.DUMMYFUNCTION("IFERROR(((IFERROR(SUM(FILTER('Fund Investment Data'!$V:$V, 'Fund Investment Data'!$C:$C = $C1666, 'Fund Investment Data'!$A:$A = $A1666 - 2, 'Fund Investment Data'!$B:$B &gt;= 4)) * Parameters!$B$4,0) + IFERROR(SUM(FILTER('Fund Investment Data'!$V:$V, 'Fund "&amp;"Investment Data'!$C:$C = $C1666, 'Fund Investment Data'!$A:$A = $A1666 - 1, 'Fund Investment Data'!$B:$B &lt;= 3)) * Parameters!$B$4,0))),0)"),0.0)</f>
        <v>0</v>
      </c>
      <c r="AC1666" s="32" t="str">
        <f>IFERROR(__xludf.DUMMYFUNCTION("IFERROR(FILTER($AF:$AF,$C:$C = $C1666,$A:$A = $A1666 - 1,$B:$B = 12),0)"),"")</f>
        <v/>
      </c>
      <c r="AD1666" s="32">
        <f t="shared" si="23"/>
        <v>4320.3307</v>
      </c>
      <c r="AE1666" s="32">
        <f t="shared" si="2"/>
        <v>4320.3307</v>
      </c>
      <c r="AF1666" s="32"/>
    </row>
    <row r="1667">
      <c r="A1667" s="86">
        <v>2020.0</v>
      </c>
      <c r="B1667" s="87">
        <v>1.0</v>
      </c>
      <c r="C1667" s="105" t="s">
        <v>42</v>
      </c>
      <c r="D1667" s="106">
        <v>0.0</v>
      </c>
      <c r="E1667" s="106">
        <v>0.0</v>
      </c>
      <c r="F1667" s="106">
        <v>0.0</v>
      </c>
      <c r="G1667" s="106">
        <v>-115.96</v>
      </c>
      <c r="H1667" s="106">
        <v>244.3</v>
      </c>
      <c r="I1667" s="106">
        <v>13906.26</v>
      </c>
      <c r="J1667" s="106">
        <v>-15096.46</v>
      </c>
      <c r="K1667" s="32"/>
      <c r="L1667" s="32"/>
      <c r="M1667" s="32"/>
      <c r="N1667" s="32"/>
      <c r="O1667" s="106">
        <v>305221.88</v>
      </c>
      <c r="P1667" s="91">
        <f>IFERROR(__xludf.DUMMYFUNCTION("IFERROR(sum(FILTER($D:$N,$C:$C = $C1667,$A:$A &lt; $A1667,$B:$B = 12)),0) + sum($D1667:$N1667)"),305221.3500000001)</f>
        <v>305221.35</v>
      </c>
      <c r="Q1667" s="92">
        <f t="shared" si="1"/>
        <v>0.5299999999</v>
      </c>
      <c r="R1667" s="91">
        <f t="array" ref="R1667">IFERROR(INDEX('Fund YTD Target Values'!$1:$1000, MATCH($C1667,'Fund YTD Target Values'!$A:$A,0), MATCH($A1667,'Fund YTD Target Values'!$1:$1,0)),0)</f>
        <v>250432.6143</v>
      </c>
      <c r="S1667" s="91">
        <f>IFERROR(__xludf.DUMMYFUNCTION("IFERROR(sum(FILTER('Fund Investment Data'!$V:$V, 'Fund Investment Data'!$C:$C = $C1667, 'Fund Investment Data'!$A:$A &lt; $A1667)),0) + IFERROR(sum(FILTER('Fund Investment Data'!$V:$V, 'Fund Investment Data'!$C:$C = $C1667, 'Fund Investment Data'!$A:$A = $A1"&amp;"667, 'Fund Investment Data'!$B:$B &lt;= $B1667)),0)"),194469.0)</f>
        <v>194469</v>
      </c>
      <c r="T1667" s="32"/>
      <c r="U1667" s="32"/>
      <c r="V1667" s="32">
        <f>IFERROR(__xludf.DUMMYFUNCTION("$D1667 - IFERROR(FILTER($D:$D,$C:$C = $C1667, $A:$A = $A1667, $B:$B = $B1667 - 1),0)"),0.0)</f>
        <v>0</v>
      </c>
      <c r="W1667" s="93">
        <f>IFERROR(__xludf.DUMMYFUNCTION("$E1667 - IFERROR(FILTER($E:$E,$C:$C = $C1667, $A:$A = $A1667, $B:$B = $B1667 - 1),0)"),0.0)</f>
        <v>0</v>
      </c>
      <c r="X1667" s="91">
        <f>IFERROR(__xludf.DUMMYFUNCTION("iFERROR((FILTER('Fund Investment Data'!$Z:$Z, 'Fund Investment Data'!$C:$C = $C1667, 'Fund Investment Data'!$A:$A = $A1667 - 1, 'Fund Investment Data'!$B:$B = 12) + FILTER('Fund Investment Data'!$AB:$AB, 'Fund Investment Data'!$C:$C = $C1667, 'Fund Invest"&amp;"ment Data'!$A:$A = $A1667 - 1, 'Fund Investment Data'!$B:$B = 12)) * (1 + AVERAGE(FILTER('Inflation Data'!$C:$C,'Inflation Data'!$A:$A = ($A1667 - 2)))) * Parameters!$A$4,0)"),8307.89140924438)</f>
        <v>8307.891409</v>
      </c>
      <c r="Y1667" s="91">
        <f>IFERROR(__xludf.DUMMYFUNCTION("IFERROR((IFERROR(FILTER('Fund Investment Data'!$P:$P,'Fund Investment Data'!$C:$C = $C1667,'Fund Investment Data'!$A:$A = ($A1667 - 2), 'Fund Investment Data'!$B:$B = 12),0) - SUM(FILTER('Fund Investment Data'!$V:$V, 'Fund Investment Data'!$C:$C = $C1667,"&amp;" 'Fund Investment Data'!$A:$A = ($A1667 - 2), 'Fund Investment Data'!$B:$B &gt; 3)))  * Parameters!$B$4 * (1 - Parameters!$A$4),0)"),3656.8255950000025)</f>
        <v>3656.825595</v>
      </c>
      <c r="Z1667" s="91">
        <f t="shared" si="24"/>
        <v>11964.717</v>
      </c>
      <c r="AA1667" s="91">
        <f>IFERROR(__xludf.DUMMYFUNCTION("((IFERROR((SUM(FILTER('Fund Investment Data'!$V:$V, 'Fund Investment Data'!$C:$C = $C1667, 'Fund Investment Data'!$A:$A = $A1667 - 1, 'Fund Investment Data'!$B:$B &gt;= 4, 'Fund Investment Data'!$B:$B &lt;= ($B1667 + 5))) / 12) * ($B1667 - 3) * Parameters!$B$4,"&amp;" 0) + IF($B1667 &gt;= 9, IFERROR(SUM(FILTER('Fund Investment Data'!$V:$V, 'Fund Investment Data'!$C:$C = $C1667, 'Fund Investment Data'!$A:$A = $A1667, 'Fund Investment Data'!$B:$B &lt;= 3)) * Parameters!$B$4, 0),0)))"),0.0)</f>
        <v>0</v>
      </c>
      <c r="AB1667" s="32">
        <f>IFERROR(__xludf.DUMMYFUNCTION("IFERROR(((IFERROR(SUM(FILTER('Fund Investment Data'!$V:$V, 'Fund Investment Data'!$C:$C = $C1667, 'Fund Investment Data'!$A:$A = $A1667 - 2, 'Fund Investment Data'!$B:$B &gt;= 4)) * Parameters!$B$4,0) + IFERROR(SUM(FILTER('Fund Investment Data'!$V:$V, 'Fund "&amp;"Investment Data'!$C:$C = $C1667, 'Fund Investment Data'!$A:$A = $A1667 - 1, 'Fund Investment Data'!$B:$B &lt;= 3)) * Parameters!$B$4,0))),0)"),0.0)</f>
        <v>0</v>
      </c>
      <c r="AC1667" s="32" t="str">
        <f>IFERROR(__xludf.DUMMYFUNCTION("IFERROR(FILTER($AF:$AF,$C:$C = $C1667,$A:$A = $A1667 - 1,$B:$B = 12),0)"),"")</f>
        <v/>
      </c>
      <c r="AD1667" s="32">
        <f t="shared" si="23"/>
        <v>11964.717</v>
      </c>
      <c r="AE1667" s="32">
        <f t="shared" si="2"/>
        <v>11964.717</v>
      </c>
      <c r="AF1667" s="32"/>
    </row>
    <row r="1668">
      <c r="A1668" s="86">
        <v>2020.0</v>
      </c>
      <c r="B1668" s="87">
        <v>1.0</v>
      </c>
      <c r="C1668" s="105" t="s">
        <v>43</v>
      </c>
      <c r="D1668" s="106">
        <v>0.0</v>
      </c>
      <c r="E1668" s="106">
        <v>0.0</v>
      </c>
      <c r="F1668" s="106">
        <v>0.0</v>
      </c>
      <c r="G1668" s="106">
        <v>-46.83</v>
      </c>
      <c r="H1668" s="106">
        <v>98.67</v>
      </c>
      <c r="I1668" s="106">
        <v>5616.5</v>
      </c>
      <c r="J1668" s="106">
        <v>-6097.21</v>
      </c>
      <c r="K1668" s="32"/>
      <c r="L1668" s="32"/>
      <c r="M1668" s="32"/>
      <c r="N1668" s="32"/>
      <c r="O1668" s="106">
        <v>123273.89</v>
      </c>
      <c r="P1668" s="91">
        <f>IFERROR(__xludf.DUMMYFUNCTION("IFERROR(sum(FILTER($D:$N,$C:$C = $C1668,$A:$A &lt; $A1668,$B:$B = 12)),0) + sum($D1668:$N1668)"),123273.15000000004)</f>
        <v>123273.15</v>
      </c>
      <c r="Q1668" s="92">
        <f t="shared" si="1"/>
        <v>0.74</v>
      </c>
      <c r="R1668" s="91">
        <f t="array" ref="R1668">IFERROR(INDEX('Fund YTD Target Values'!$1:$1000, MATCH($C1668,'Fund YTD Target Values'!$A:$A,0), MATCH($A1668,'Fund YTD Target Values'!$1:$1,0)),0)</f>
        <v>136272.9454</v>
      </c>
      <c r="S1668" s="91">
        <f>IFERROR(__xludf.DUMMYFUNCTION("IFERROR(sum(FILTER('Fund Investment Data'!$V:$V, 'Fund Investment Data'!$C:$C = $C1668, 'Fund Investment Data'!$A:$A &lt; $A1668)),0) + IFERROR(sum(FILTER('Fund Investment Data'!$V:$V, 'Fund Investment Data'!$C:$C = $C1668, 'Fund Investment Data'!$A:$A = $A1"&amp;"668, 'Fund Investment Data'!$B:$B &lt;= $B1668)),0)"),100000.0)</f>
        <v>100000</v>
      </c>
      <c r="T1668" s="32"/>
      <c r="U1668" s="32"/>
      <c r="V1668" s="32">
        <f>IFERROR(__xludf.DUMMYFUNCTION("$D1668 - IFERROR(FILTER($D:$D,$C:$C = $C1668, $A:$A = $A1668, $B:$B = $B1668 - 1),0)"),0.0)</f>
        <v>0</v>
      </c>
      <c r="W1668" s="93">
        <f>IFERROR(__xludf.DUMMYFUNCTION("$E1668 - IFERROR(FILTER($E:$E,$C:$C = $C1668, $A:$A = $A1668, $B:$B = $B1668 - 1),0)"),0.0)</f>
        <v>0</v>
      </c>
      <c r="X1668" s="91">
        <f>IFERROR(__xludf.DUMMYFUNCTION("iFERROR((FILTER('Fund Investment Data'!$Z:$Z, 'Fund Investment Data'!$C:$C = $C1668, 'Fund Investment Data'!$A:$A = $A1668 - 1, 'Fund Investment Data'!$B:$B = 12) + FILTER('Fund Investment Data'!$AB:$AB, 'Fund Investment Data'!$C:$C = $C1668, 'Fund Invest"&amp;"ment Data'!$A:$A = $A1668 - 1, 'Fund Investment Data'!$B:$B = 12)) * (1 + AVERAGE(FILTER('Inflation Data'!$C:$C,'Inflation Data'!$A:$A = ($A1668 - 2)))) * Parameters!$A$4,0)"),4110.654981425052)</f>
        <v>4110.654981</v>
      </c>
      <c r="Y1668" s="91">
        <f>IFERROR(__xludf.DUMMYFUNCTION("IFERROR((IFERROR(FILTER('Fund Investment Data'!$P:$P,'Fund Investment Data'!$C:$C = $C1668,'Fund Investment Data'!$A:$A = ($A1668 - 2), 'Fund Investment Data'!$B:$B = 12),0) - SUM(FILTER('Fund Investment Data'!$V:$V, 'Fund Investment Data'!$C:$C = $C1668,"&amp;" 'Fund Investment Data'!$A:$A = ($A1668 - 2), 'Fund Investment Data'!$B:$B &gt; 3)))  * Parameters!$B$4 * (1 - Parameters!$A$4),0)"),1489.0159800000004)</f>
        <v>1489.01598</v>
      </c>
      <c r="Z1668" s="91">
        <f t="shared" si="24"/>
        <v>5599.670961</v>
      </c>
      <c r="AA1668" s="91">
        <f>IFERROR(__xludf.DUMMYFUNCTION("((IFERROR((SUM(FILTER('Fund Investment Data'!$V:$V, 'Fund Investment Data'!$C:$C = $C1668, 'Fund Investment Data'!$A:$A = $A1668 - 1, 'Fund Investment Data'!$B:$B &gt;= 4, 'Fund Investment Data'!$B:$B &lt;= ($B1668 + 5))) / 12) * ($B1668 - 3) * Parameters!$B$4,"&amp;" 0) + IF($B1668 &gt;= 9, IFERROR(SUM(FILTER('Fund Investment Data'!$V:$V, 'Fund Investment Data'!$C:$C = $C1668, 'Fund Investment Data'!$A:$A = $A1668, 'Fund Investment Data'!$B:$B &lt;= 3)) * Parameters!$B$4, 0),0)))"),0.0)</f>
        <v>0</v>
      </c>
      <c r="AB1668" s="32">
        <f>IFERROR(__xludf.DUMMYFUNCTION("IFERROR(((IFERROR(SUM(FILTER('Fund Investment Data'!$V:$V, 'Fund Investment Data'!$C:$C = $C1668, 'Fund Investment Data'!$A:$A = $A1668 - 2, 'Fund Investment Data'!$B:$B &gt;= 4)) * Parameters!$B$4,0) + IFERROR(SUM(FILTER('Fund Investment Data'!$V:$V, 'Fund "&amp;"Investment Data'!$C:$C = $C1668, 'Fund Investment Data'!$A:$A = $A1668 - 1, 'Fund Investment Data'!$B:$B &lt;= 3)) * Parameters!$B$4,0))),0)"),0.0)</f>
        <v>0</v>
      </c>
      <c r="AC1668" s="32" t="str">
        <f>IFERROR(__xludf.DUMMYFUNCTION("IFERROR(FILTER($AF:$AF,$C:$C = $C1668,$A:$A = $A1668 - 1,$B:$B = 12),0)"),"")</f>
        <v/>
      </c>
      <c r="AD1668" s="32">
        <f t="shared" si="23"/>
        <v>5599.670961</v>
      </c>
      <c r="AE1668" s="32">
        <f t="shared" si="2"/>
        <v>5599.670961</v>
      </c>
      <c r="AF1668" s="32"/>
    </row>
    <row r="1669">
      <c r="A1669" s="86">
        <v>2020.0</v>
      </c>
      <c r="B1669" s="87">
        <v>1.0</v>
      </c>
      <c r="C1669" s="105" t="s">
        <v>52</v>
      </c>
      <c r="D1669" s="106">
        <v>0.0</v>
      </c>
      <c r="E1669" s="106">
        <v>0.0</v>
      </c>
      <c r="F1669" s="106">
        <v>0.0</v>
      </c>
      <c r="G1669" s="106">
        <v>-465.22</v>
      </c>
      <c r="H1669" s="106">
        <v>980.12</v>
      </c>
      <c r="I1669" s="106">
        <v>55791.22</v>
      </c>
      <c r="J1669" s="106">
        <v>-60566.26</v>
      </c>
      <c r="K1669" s="32"/>
      <c r="L1669" s="32"/>
      <c r="M1669" s="32"/>
      <c r="N1669" s="32"/>
      <c r="O1669" s="106">
        <v>1224534.83</v>
      </c>
      <c r="P1669" s="91">
        <f>IFERROR(__xludf.DUMMYFUNCTION("IFERROR(sum(FILTER($D:$N,$C:$C = $C1669,$A:$A &lt; $A1669,$B:$B = 12)),0) + sum($D1669:$N1669)"),1224534.51)</f>
        <v>1224534.51</v>
      </c>
      <c r="Q1669" s="92">
        <f t="shared" si="1"/>
        <v>0.3200000001</v>
      </c>
      <c r="R1669" s="91">
        <f t="array" ref="R1669">IFERROR(INDEX('Fund YTD Target Values'!$1:$1000, MATCH($C1669,'Fund YTD Target Values'!$A:$A,0), MATCH($A1669,'Fund YTD Target Values'!$1:$1,0)),0)</f>
        <v>1199021.687</v>
      </c>
      <c r="S1669" s="91">
        <f>IFERROR(__xludf.DUMMYFUNCTION("IFERROR(sum(FILTER('Fund Investment Data'!$V:$V, 'Fund Investment Data'!$C:$C = $C1669, 'Fund Investment Data'!$A:$A &lt; $A1669)),0) + IFERROR(sum(FILTER('Fund Investment Data'!$V:$V, 'Fund Investment Data'!$C:$C = $C1669, 'Fund Investment Data'!$A:$A = $A1"&amp;"669, 'Fund Investment Data'!$B:$B &lt;= $B1669)),0)"),1081136.0)</f>
        <v>1081136</v>
      </c>
      <c r="T1669" s="32"/>
      <c r="U1669" s="32"/>
      <c r="V1669" s="32">
        <f>IFERROR(__xludf.DUMMYFUNCTION("$D1669 - IFERROR(FILTER($D:$D,$C:$C = $C1669, $A:$A = $A1669, $B:$B = $B1669 - 1),0)"),0.0)</f>
        <v>0</v>
      </c>
      <c r="W1669" s="93">
        <f>IFERROR(__xludf.DUMMYFUNCTION("$E1669 - IFERROR(FILTER($E:$E,$C:$C = $C1669, $A:$A = $A1669, $B:$B = $B1669 - 1),0)"),0.0)</f>
        <v>0</v>
      </c>
      <c r="X1669" s="91">
        <f>IFERROR(__xludf.DUMMYFUNCTION("iFERROR((FILTER('Fund Investment Data'!$Z:$Z, 'Fund Investment Data'!$C:$C = $C1669, 'Fund Investment Data'!$A:$A = $A1669 - 1, 'Fund Investment Data'!$B:$B = 12) + FILTER('Fund Investment Data'!$AB:$AB, 'Fund Investment Data'!$C:$C = $C1669, 'Fund Invest"&amp;"ment Data'!$A:$A = $A1669 - 1, 'Fund Investment Data'!$B:$B = 12)) * (1 + AVERAGE(FILTER('Inflation Data'!$C:$C,'Inflation Data'!$A:$A = ($A1669 - 2)))) * Parameters!$A$4,0)"),37900.53766415215)</f>
        <v>37900.53766</v>
      </c>
      <c r="Y1669" s="91">
        <f>IFERROR(__xludf.DUMMYFUNCTION("IFERROR((IFERROR(FILTER('Fund Investment Data'!$P:$P,'Fund Investment Data'!$C:$C = $C1669,'Fund Investment Data'!$A:$A = ($A1669 - 2), 'Fund Investment Data'!$B:$B = 12),0) - SUM(FILTER('Fund Investment Data'!$V:$V, 'Fund Investment Data'!$C:$C = $C1669,"&amp;" 'Fund Investment Data'!$A:$A = ($A1669 - 2), 'Fund Investment Data'!$B:$B &gt; 3)))  * Parameters!$B$4 * (1 - Parameters!$A$4),0)"),14735.790404999998)</f>
        <v>14735.79041</v>
      </c>
      <c r="Z1669" s="91">
        <f t="shared" si="24"/>
        <v>52636.32807</v>
      </c>
      <c r="AA1669" s="91">
        <f>IFERROR(__xludf.DUMMYFUNCTION("((IFERROR((SUM(FILTER('Fund Investment Data'!$V:$V, 'Fund Investment Data'!$C:$C = $C1669, 'Fund Investment Data'!$A:$A = $A1669 - 1, 'Fund Investment Data'!$B:$B &gt;= 4, 'Fund Investment Data'!$B:$B &lt;= ($B1669 + 5))) / 12) * ($B1669 - 3) * Parameters!$B$4,"&amp;" 0) + IF($B1669 &gt;= 9, IFERROR(SUM(FILTER('Fund Investment Data'!$V:$V, 'Fund Investment Data'!$C:$C = $C1669, 'Fund Investment Data'!$A:$A = $A1669, 'Fund Investment Data'!$B:$B &lt;= 3)) * Parameters!$B$4, 0),0)))"),0.0)</f>
        <v>0</v>
      </c>
      <c r="AB1669" s="32">
        <f>IFERROR(__xludf.DUMMYFUNCTION("IFERROR(((IFERROR(SUM(FILTER('Fund Investment Data'!$V:$V, 'Fund Investment Data'!$C:$C = $C1669, 'Fund Investment Data'!$A:$A = $A1669 - 2, 'Fund Investment Data'!$B:$B &gt;= 4)) * Parameters!$B$4,0) + IFERROR(SUM(FILTER('Fund Investment Data'!$V:$V, 'Fund "&amp;"Investment Data'!$C:$C = $C1669, 'Fund Investment Data'!$A:$A = $A1669 - 1, 'Fund Investment Data'!$B:$B &lt;= 3)) * Parameters!$B$4,0))),0)"),45.0)</f>
        <v>45</v>
      </c>
      <c r="AC1669" s="32" t="str">
        <f>IFERROR(__xludf.DUMMYFUNCTION("IFERROR(FILTER($AF:$AF,$C:$C = $C1669,$A:$A = $A1669 - 1,$B:$B = 12),0)"),"")</f>
        <v/>
      </c>
      <c r="AD1669" s="32">
        <f t="shared" si="23"/>
        <v>52681.32807</v>
      </c>
      <c r="AE1669" s="32">
        <f t="shared" si="2"/>
        <v>52681.32807</v>
      </c>
      <c r="AF1669" s="32"/>
    </row>
    <row r="1670">
      <c r="A1670" s="86">
        <v>2020.0</v>
      </c>
      <c r="B1670" s="87">
        <v>1.0</v>
      </c>
      <c r="C1670" s="105" t="s">
        <v>33</v>
      </c>
      <c r="D1670" s="106">
        <v>0.0</v>
      </c>
      <c r="E1670" s="106">
        <v>0.0</v>
      </c>
      <c r="F1670" s="106">
        <v>0.0</v>
      </c>
      <c r="G1670" s="106">
        <v>-133.03</v>
      </c>
      <c r="H1670" s="106">
        <v>280.25</v>
      </c>
      <c r="I1670" s="106">
        <v>15953.11</v>
      </c>
      <c r="J1670" s="106">
        <v>-17318.5</v>
      </c>
      <c r="K1670" s="32"/>
      <c r="L1670" s="32"/>
      <c r="M1670" s="32"/>
      <c r="N1670" s="32"/>
      <c r="O1670" s="106">
        <v>350147.2</v>
      </c>
      <c r="P1670" s="91">
        <f>IFERROR(__xludf.DUMMYFUNCTION("IFERROR(sum(FILTER($D:$N,$C:$C = $C1670,$A:$A &lt; $A1670,$B:$B = 12)),0) + sum($D1670:$N1670)"),350147.4199999998)</f>
        <v>350147.42</v>
      </c>
      <c r="Q1670" s="92">
        <f t="shared" si="1"/>
        <v>-0.2199999998</v>
      </c>
      <c r="R1670" s="91">
        <f t="array" ref="R1670">IFERROR(INDEX('Fund YTD Target Values'!$1:$1000, MATCH($C1670,'Fund YTD Target Values'!$A:$A,0), MATCH($A1670,'Fund YTD Target Values'!$1:$1,0)),0)</f>
        <v>534811.3234</v>
      </c>
      <c r="S1670" s="91">
        <f>IFERROR(__xludf.DUMMYFUNCTION("IFERROR(sum(FILTER('Fund Investment Data'!$V:$V, 'Fund Investment Data'!$C:$C = $C1670, 'Fund Investment Data'!$A:$A &lt; $A1670)),0) + IFERROR(sum(FILTER('Fund Investment Data'!$V:$V, 'Fund Investment Data'!$C:$C = $C1670, 'Fund Investment Data'!$A:$A = $A1"&amp;"670, 'Fund Investment Data'!$B:$B &lt;= $B1670)),0)"),325871.6399999999)</f>
        <v>325871.64</v>
      </c>
      <c r="T1670" s="32"/>
      <c r="U1670" s="32"/>
      <c r="V1670" s="32">
        <f>IFERROR(__xludf.DUMMYFUNCTION("$D1670 - IFERROR(FILTER($D:$D,$C:$C = $C1670, $A:$A = $A1670, $B:$B = $B1670 - 1),0)"),0.0)</f>
        <v>0</v>
      </c>
      <c r="W1670" s="93">
        <f>IFERROR(__xludf.DUMMYFUNCTION("$E1670 - IFERROR(FILTER($E:$E,$C:$C = $C1670, $A:$A = $A1670, $B:$B = $B1670 - 1),0)"),0.0)</f>
        <v>0</v>
      </c>
      <c r="X1670" s="91">
        <f>IFERROR(__xludf.DUMMYFUNCTION("iFERROR((FILTER('Fund Investment Data'!$Z:$Z, 'Fund Investment Data'!$C:$C = $C1670, 'Fund Investment Data'!$A:$A = $A1670 - 1, 'Fund Investment Data'!$B:$B = 12) + FILTER('Fund Investment Data'!$AB:$AB, 'Fund Investment Data'!$C:$C = $C1670, 'Fund Invest"&amp;"ment Data'!$A:$A = $A1670 - 1, 'Fund Investment Data'!$B:$B = 12)) * (1 + AVERAGE(FILTER('Inflation Data'!$C:$C,'Inflation Data'!$A:$A = ($A1670 - 2)))) * Parameters!$A$4,0)"),11694.624948637042)</f>
        <v>11694.62495</v>
      </c>
      <c r="Y1670" s="91">
        <f>IFERROR(__xludf.DUMMYFUNCTION("IFERROR((IFERROR(FILTER('Fund Investment Data'!$P:$P,'Fund Investment Data'!$C:$C = $C1670,'Fund Investment Data'!$A:$A = ($A1670 - 2), 'Fund Investment Data'!$B:$B = 12),0) - SUM(FILTER('Fund Investment Data'!$V:$V, 'Fund Investment Data'!$C:$C = $C1670,"&amp;" 'Fund Investment Data'!$A:$A = ($A1670 - 2), 'Fund Investment Data'!$B:$B &gt; 3)))  * Parameters!$B$4 * (1 - Parameters!$A$4),0)"),4224.759929999998)</f>
        <v>4224.75993</v>
      </c>
      <c r="Z1670" s="91">
        <f t="shared" si="24"/>
        <v>15919.38488</v>
      </c>
      <c r="AA1670" s="91">
        <f>IFERROR(__xludf.DUMMYFUNCTION("((IFERROR((SUM(FILTER('Fund Investment Data'!$V:$V, 'Fund Investment Data'!$C:$C = $C1670, 'Fund Investment Data'!$A:$A = $A1670 - 1, 'Fund Investment Data'!$B:$B &gt;= 4, 'Fund Investment Data'!$B:$B &lt;= ($B1670 + 5))) / 12) * ($B1670 - 3) * Parameters!$B$4,"&amp;" 0) + IF($B1670 &gt;= 9, IFERROR(SUM(FILTER('Fund Investment Data'!$V:$V, 'Fund Investment Data'!$C:$C = $C1670, 'Fund Investment Data'!$A:$A = $A1670, 'Fund Investment Data'!$B:$B &lt;= 3)) * Parameters!$B$4, 0),0)))"),0.0)</f>
        <v>0</v>
      </c>
      <c r="AB1670" s="32">
        <f>IFERROR(__xludf.DUMMYFUNCTION("IFERROR(((IFERROR(SUM(FILTER('Fund Investment Data'!$V:$V, 'Fund Investment Data'!$C:$C = $C1670, 'Fund Investment Data'!$A:$A = $A1670 - 2, 'Fund Investment Data'!$B:$B &gt;= 4)) * Parameters!$B$4,0) + IFERROR(SUM(FILTER('Fund Investment Data'!$V:$V, 'Fund "&amp;"Investment Data'!$C:$C = $C1670, 'Fund Investment Data'!$A:$A = $A1670 - 1, 'Fund Investment Data'!$B:$B &lt;= 3)) * Parameters!$B$4,0))),0)"),0.0)</f>
        <v>0</v>
      </c>
      <c r="AC1670" s="32" t="str">
        <f>IFERROR(__xludf.DUMMYFUNCTION("IFERROR(FILTER($AF:$AF,$C:$C = $C1670,$A:$A = $A1670 - 1,$B:$B = 12),0)"),"")</f>
        <v/>
      </c>
      <c r="AD1670" s="32">
        <f t="shared" si="23"/>
        <v>15919.38488</v>
      </c>
      <c r="AE1670" s="32">
        <f t="shared" si="2"/>
        <v>15919.38488</v>
      </c>
      <c r="AF1670" s="32"/>
    </row>
    <row r="1671">
      <c r="A1671" s="86">
        <v>2020.0</v>
      </c>
      <c r="B1671" s="87">
        <v>1.0</v>
      </c>
      <c r="C1671" s="105" t="s">
        <v>53</v>
      </c>
      <c r="D1671" s="106">
        <v>0.0</v>
      </c>
      <c r="E1671" s="106">
        <v>0.0</v>
      </c>
      <c r="F1671" s="106">
        <v>0.0</v>
      </c>
      <c r="G1671" s="106">
        <v>-851.54</v>
      </c>
      <c r="H1671" s="106">
        <v>1794.0</v>
      </c>
      <c r="I1671" s="106">
        <v>102119.33</v>
      </c>
      <c r="J1671" s="106">
        <v>-110859.48</v>
      </c>
      <c r="K1671" s="32"/>
      <c r="L1671" s="32"/>
      <c r="M1671" s="32"/>
      <c r="N1671" s="32"/>
      <c r="O1671" s="106">
        <v>2241368.31</v>
      </c>
      <c r="P1671" s="91">
        <f>IFERROR(__xludf.DUMMYFUNCTION("IFERROR(sum(FILTER($D:$N,$C:$C = $C1671,$A:$A &lt; $A1671,$B:$B = 12)),0) + sum($D1671:$N1671)"),2241368.31)</f>
        <v>2241368.31</v>
      </c>
      <c r="Q1671" s="92">
        <f t="shared" si="1"/>
        <v>0</v>
      </c>
      <c r="R1671" s="91">
        <f t="array" ref="R1671">IFERROR(INDEX('Fund YTD Target Values'!$1:$1000, MATCH($C1671,'Fund YTD Target Values'!$A:$A,0), MATCH($A1671,'Fund YTD Target Values'!$1:$1,0)),0)</f>
        <v>2319668.115</v>
      </c>
      <c r="S1671" s="91">
        <f>IFERROR(__xludf.DUMMYFUNCTION("IFERROR(sum(FILTER('Fund Investment Data'!$V:$V, 'Fund Investment Data'!$C:$C = $C1671, 'Fund Investment Data'!$A:$A &lt; $A1671)),0) + IFERROR(sum(FILTER('Fund Investment Data'!$V:$V, 'Fund Investment Data'!$C:$C = $C1671, 'Fund Investment Data'!$A:$A = $A1"&amp;"671, 'Fund Investment Data'!$B:$B &lt;= $B1671)),0)"),2005500.0)</f>
        <v>2005500</v>
      </c>
      <c r="T1671" s="32"/>
      <c r="U1671" s="32"/>
      <c r="V1671" s="32">
        <f>IFERROR(__xludf.DUMMYFUNCTION("$D1671 - IFERROR(FILTER($D:$D,$C:$C = $C1671, $A:$A = $A1671, $B:$B = $B1671 - 1),0)"),0.0)</f>
        <v>0</v>
      </c>
      <c r="W1671" s="93">
        <f>IFERROR(__xludf.DUMMYFUNCTION("$E1671 - IFERROR(FILTER($E:$E,$C:$C = $C1671, $A:$A = $A1671, $B:$B = $B1671 - 1),0)"),0.0)</f>
        <v>0</v>
      </c>
      <c r="X1671" s="91">
        <f>IFERROR(__xludf.DUMMYFUNCTION("iFERROR((FILTER('Fund Investment Data'!$Z:$Z, 'Fund Investment Data'!$C:$C = $C1671, 'Fund Investment Data'!$A:$A = $A1671 - 1, 'Fund Investment Data'!$B:$B = 12) + FILTER('Fund Investment Data'!$AB:$AB, 'Fund Investment Data'!$C:$C = $C1671, 'Fund Invest"&amp;"ment Data'!$A:$A = $A1671 - 1, 'Fund Investment Data'!$B:$B = 12)) * (1 + AVERAGE(FILTER('Inflation Data'!$C:$C,'Inflation Data'!$A:$A = ($A1671 - 2)))) * Parameters!$A$4,0)"),72128.4673033264)</f>
        <v>72128.4673</v>
      </c>
      <c r="Y1671" s="91">
        <f>IFERROR(__xludf.DUMMYFUNCTION("IFERROR((IFERROR(FILTER('Fund Investment Data'!$P:$P,'Fund Investment Data'!$C:$C = $C1671,'Fund Investment Data'!$A:$A = ($A1671 - 2), 'Fund Investment Data'!$B:$B = 12),0) - SUM(FILTER('Fund Investment Data'!$V:$V, 'Fund Investment Data'!$C:$C = $C1671,"&amp;" 'Fund Investment Data'!$A:$A = ($A1671 - 2), 'Fund Investment Data'!$B:$B &gt; 3)))  * Parameters!$B$4 * (1 - Parameters!$A$4),0)"),27628.22088)</f>
        <v>27628.22088</v>
      </c>
      <c r="Z1671" s="91">
        <f t="shared" si="24"/>
        <v>99756.68818</v>
      </c>
      <c r="AA1671" s="91">
        <f>IFERROR(__xludf.DUMMYFUNCTION("((IFERROR((SUM(FILTER('Fund Investment Data'!$V:$V, 'Fund Investment Data'!$C:$C = $C1671, 'Fund Investment Data'!$A:$A = $A1671 - 1, 'Fund Investment Data'!$B:$B &gt;= 4, 'Fund Investment Data'!$B:$B &lt;= ($B1671 + 5))) / 12) * ($B1671 - 3) * Parameters!$B$4,"&amp;" 0) + IF($B1671 &gt;= 9, IFERROR(SUM(FILTER('Fund Investment Data'!$V:$V, 'Fund Investment Data'!$C:$C = $C1671, 'Fund Investment Data'!$A:$A = $A1671, 'Fund Investment Data'!$B:$B &lt;= 3)) * Parameters!$B$4, 0),0)))"),0.0)</f>
        <v>0</v>
      </c>
      <c r="AB1671" s="32">
        <f>IFERROR(__xludf.DUMMYFUNCTION("IFERROR(((IFERROR(SUM(FILTER('Fund Investment Data'!$V:$V, 'Fund Investment Data'!$C:$C = $C1671, 'Fund Investment Data'!$A:$A = $A1671 - 2, 'Fund Investment Data'!$B:$B &gt;= 4)) * Parameters!$B$4,0) + IFERROR(SUM(FILTER('Fund Investment Data'!$V:$V, 'Fund "&amp;"Investment Data'!$C:$C = $C1671, 'Fund Investment Data'!$A:$A = $A1671 - 1, 'Fund Investment Data'!$B:$B &lt;= 3)) * Parameters!$B$4,0))),0)"),0.0)</f>
        <v>0</v>
      </c>
      <c r="AC1671" s="32" t="str">
        <f>IFERROR(__xludf.DUMMYFUNCTION("IFERROR(FILTER($AF:$AF,$C:$C = $C1671,$A:$A = $A1671 - 1,$B:$B = 12),0)"),"")</f>
        <v/>
      </c>
      <c r="AD1671" s="32">
        <f t="shared" si="23"/>
        <v>99756.68818</v>
      </c>
      <c r="AE1671" s="32">
        <f t="shared" si="2"/>
        <v>99756.68818</v>
      </c>
      <c r="AF1671" s="32"/>
    </row>
    <row r="1672">
      <c r="A1672" s="86">
        <v>2020.0</v>
      </c>
      <c r="B1672" s="87">
        <v>1.0</v>
      </c>
      <c r="C1672" s="105" t="s">
        <v>34</v>
      </c>
      <c r="D1672" s="106">
        <v>0.0</v>
      </c>
      <c r="E1672" s="106">
        <v>0.0</v>
      </c>
      <c r="F1672" s="106">
        <v>0.0</v>
      </c>
      <c r="G1672" s="106">
        <v>-55.93</v>
      </c>
      <c r="H1672" s="106">
        <v>117.83</v>
      </c>
      <c r="I1672" s="106">
        <v>6707.3</v>
      </c>
      <c r="J1672" s="106">
        <v>-7281.37</v>
      </c>
      <c r="K1672" s="32"/>
      <c r="L1672" s="32"/>
      <c r="M1672" s="32"/>
      <c r="N1672" s="32"/>
      <c r="O1672" s="106">
        <v>147215.48</v>
      </c>
      <c r="P1672" s="91">
        <f>IFERROR(__xludf.DUMMYFUNCTION("IFERROR(sum(FILTER($D:$N,$C:$C = $C1672,$A:$A &lt; $A1672,$B:$B = 12)),0) + sum($D1672:$N1672)"),147215.47999999995)</f>
        <v>147215.48</v>
      </c>
      <c r="Q1672" s="92">
        <f t="shared" si="1"/>
        <v>0</v>
      </c>
      <c r="R1672" s="91">
        <f t="array" ref="R1672">IFERROR(INDEX('Fund YTD Target Values'!$1:$1000, MATCH($C1672,'Fund YTD Target Values'!$A:$A,0), MATCH($A1672,'Fund YTD Target Values'!$1:$1,0)),0)</f>
        <v>141101.0603</v>
      </c>
      <c r="S1672" s="91">
        <f>IFERROR(__xludf.DUMMYFUNCTION("IFERROR(sum(FILTER('Fund Investment Data'!$V:$V, 'Fund Investment Data'!$C:$C = $C1672, 'Fund Investment Data'!$A:$A &lt; $A1672)),0) + IFERROR(sum(FILTER('Fund Investment Data'!$V:$V, 'Fund Investment Data'!$C:$C = $C1672, 'Fund Investment Data'!$A:$A = $A1"&amp;"672, 'Fund Investment Data'!$B:$B &lt;= $B1672)),0)"),125000.0)</f>
        <v>125000</v>
      </c>
      <c r="T1672" s="32"/>
      <c r="U1672" s="32"/>
      <c r="V1672" s="32">
        <f>IFERROR(__xludf.DUMMYFUNCTION("$D1672 - IFERROR(FILTER($D:$D,$C:$C = $C1672, $A:$A = $A1672, $B:$B = $B1672 - 1),0)"),0.0)</f>
        <v>0</v>
      </c>
      <c r="W1672" s="93">
        <f>IFERROR(__xludf.DUMMYFUNCTION("$E1672 - IFERROR(FILTER($E:$E,$C:$C = $C1672, $A:$A = $A1672, $B:$B = $B1672 - 1),0)"),0.0)</f>
        <v>0</v>
      </c>
      <c r="X1672" s="91">
        <f>IFERROR(__xludf.DUMMYFUNCTION("iFERROR((FILTER('Fund Investment Data'!$Z:$Z, 'Fund Investment Data'!$C:$C = $C1672, 'Fund Investment Data'!$A:$A = $A1672 - 1, 'Fund Investment Data'!$B:$B = 12) + FILTER('Fund Investment Data'!$AB:$AB, 'Fund Investment Data'!$C:$C = $C1672, 'Fund Invest"&amp;"ment Data'!$A:$A = $A1672 - 1, 'Fund Investment Data'!$B:$B = 12)) * (1 + AVERAGE(FILTER('Inflation Data'!$C:$C,'Inflation Data'!$A:$A = ($A1672 - 2)))) * Parameters!$A$4,0)"),4562.512460415234)</f>
        <v>4562.51246</v>
      </c>
      <c r="Y1672" s="91">
        <f>IFERROR(__xludf.DUMMYFUNCTION("IFERROR((IFERROR(FILTER('Fund Investment Data'!$P:$P,'Fund Investment Data'!$C:$C = $C1672,'Fund Investment Data'!$A:$A = ($A1672 - 2), 'Fund Investment Data'!$B:$B = 12),0) - SUM(FILTER('Fund Investment Data'!$V:$V, 'Fund Investment Data'!$C:$C = $C1672,"&amp;" 'Fund Investment Data'!$A:$A = ($A1672 - 2), 'Fund Investment Data'!$B:$B &gt; 3)))  * Parameters!$B$4 * (1 - Parameters!$A$4),0)"),1706.9301450000003)</f>
        <v>1706.930145</v>
      </c>
      <c r="Z1672" s="91">
        <f t="shared" si="24"/>
        <v>6269.442605</v>
      </c>
      <c r="AA1672" s="91">
        <f>IFERROR(__xludf.DUMMYFUNCTION("((IFERROR((SUM(FILTER('Fund Investment Data'!$V:$V, 'Fund Investment Data'!$C:$C = $C1672, 'Fund Investment Data'!$A:$A = $A1672 - 1, 'Fund Investment Data'!$B:$B &gt;= 4, 'Fund Investment Data'!$B:$B &lt;= ($B1672 + 5))) / 12) * ($B1672 - 3) * Parameters!$B$4,"&amp;" 0) + IF($B1672 &gt;= 9, IFERROR(SUM(FILTER('Fund Investment Data'!$V:$V, 'Fund Investment Data'!$C:$C = $C1672, 'Fund Investment Data'!$A:$A = $A1672, 'Fund Investment Data'!$B:$B &lt;= 3)) * Parameters!$B$4, 0),0)))"),0.0)</f>
        <v>0</v>
      </c>
      <c r="AB1672" s="32">
        <f>IFERROR(__xludf.DUMMYFUNCTION("IFERROR(((IFERROR(SUM(FILTER('Fund Investment Data'!$V:$V, 'Fund Investment Data'!$C:$C = $C1672, 'Fund Investment Data'!$A:$A = $A1672 - 2, 'Fund Investment Data'!$B:$B &gt;= 4)) * Parameters!$B$4,0) + IFERROR(SUM(FILTER('Fund Investment Data'!$V:$V, 'Fund "&amp;"Investment Data'!$C:$C = $C1672, 'Fund Investment Data'!$A:$A = $A1672 - 1, 'Fund Investment Data'!$B:$B &lt;= 3)) * Parameters!$B$4,0))),0)"),225.0)</f>
        <v>225</v>
      </c>
      <c r="AC1672" s="32" t="str">
        <f>IFERROR(__xludf.DUMMYFUNCTION("IFERROR(FILTER($AF:$AF,$C:$C = $C1672,$A:$A = $A1672 - 1,$B:$B = 12),0)"),"")</f>
        <v/>
      </c>
      <c r="AD1672" s="32">
        <f t="shared" si="23"/>
        <v>6494.442605</v>
      </c>
      <c r="AE1672" s="32">
        <f t="shared" si="2"/>
        <v>6494.442605</v>
      </c>
      <c r="AF1672" s="32"/>
    </row>
    <row r="1673">
      <c r="A1673" s="86">
        <v>2020.0</v>
      </c>
      <c r="B1673" s="87">
        <v>1.0</v>
      </c>
      <c r="C1673" s="105" t="s">
        <v>54</v>
      </c>
      <c r="D1673" s="106">
        <v>250.0</v>
      </c>
      <c r="E1673" s="106">
        <v>0.0</v>
      </c>
      <c r="F1673" s="106">
        <v>0.0</v>
      </c>
      <c r="G1673" s="106">
        <v>-66.13</v>
      </c>
      <c r="H1673" s="106">
        <v>139.32</v>
      </c>
      <c r="I1673" s="106">
        <v>7930.36</v>
      </c>
      <c r="J1673" s="106">
        <v>-8609.1</v>
      </c>
      <c r="K1673" s="32"/>
      <c r="L1673" s="32"/>
      <c r="M1673" s="32"/>
      <c r="N1673" s="32"/>
      <c r="O1673" s="106">
        <v>174309.63</v>
      </c>
      <c r="P1673" s="91">
        <f>IFERROR(__xludf.DUMMYFUNCTION("IFERROR(sum(FILTER($D:$N,$C:$C = $C1673,$A:$A &lt; $A1673,$B:$B = 12)),0) + sum($D1673:$N1673)"),174310.59999999998)</f>
        <v>174310.6</v>
      </c>
      <c r="Q1673" s="92">
        <f t="shared" si="1"/>
        <v>-0.97</v>
      </c>
      <c r="R1673" s="91">
        <f t="array" ref="R1673">IFERROR(INDEX('Fund YTD Target Values'!$1:$1000, MATCH($C1673,'Fund YTD Target Values'!$A:$A,0), MATCH($A1673,'Fund YTD Target Values'!$1:$1,0)),0)</f>
        <v>162317.7907</v>
      </c>
      <c r="S1673" s="91">
        <f>IFERROR(__xludf.DUMMYFUNCTION("IFERROR(sum(FILTER('Fund Investment Data'!$V:$V, 'Fund Investment Data'!$C:$C = $C1673, 'Fund Investment Data'!$A:$A &lt; $A1673)),0) + IFERROR(sum(FILTER('Fund Investment Data'!$V:$V, 'Fund Investment Data'!$C:$C = $C1673, 'Fund Investment Data'!$A:$A = $A1"&amp;"673, 'Fund Investment Data'!$B:$B &lt;= $B1673)),0)"),113225.14999999998)</f>
        <v>113225.15</v>
      </c>
      <c r="T1673" s="32"/>
      <c r="U1673" s="32"/>
      <c r="V1673" s="32">
        <f>IFERROR(__xludf.DUMMYFUNCTION("$D1673 - IFERROR(FILTER($D:$D,$C:$C = $C1673, $A:$A = $A1673, $B:$B = $B1673 - 1),0)"),250.0)</f>
        <v>250</v>
      </c>
      <c r="W1673" s="93">
        <f>IFERROR(__xludf.DUMMYFUNCTION("$E1673 - IFERROR(FILTER($E:$E,$C:$C = $C1673, $A:$A = $A1673, $B:$B = $B1673 - 1),0)"),0.0)</f>
        <v>0</v>
      </c>
      <c r="X1673" s="91">
        <f>IFERROR(__xludf.DUMMYFUNCTION("iFERROR((FILTER('Fund Investment Data'!$Z:$Z, 'Fund Investment Data'!$C:$C = $C1673, 'Fund Investment Data'!$A:$A = $A1673 - 1, 'Fund Investment Data'!$B:$B = 12) + FILTER('Fund Investment Data'!$AB:$AB, 'Fund Investment Data'!$C:$C = $C1673, 'Fund Invest"&amp;"ment Data'!$A:$A = $A1673 - 1, 'Fund Investment Data'!$B:$B = 12)) * (1 + AVERAGE(FILTER('Inflation Data'!$C:$C,'Inflation Data'!$A:$A = ($A1673 - 2)))) * Parameters!$A$4,0)"),5485.4342945921035)</f>
        <v>5485.434295</v>
      </c>
      <c r="Y1673" s="91">
        <f>IFERROR(__xludf.DUMMYFUNCTION("IFERROR((IFERROR(FILTER('Fund Investment Data'!$P:$P,'Fund Investment Data'!$C:$C = $C1673,'Fund Investment Data'!$A:$A = ($A1673 - 2), 'Fund Investment Data'!$B:$B = 12),0) - SUM(FILTER('Fund Investment Data'!$V:$V, 'Fund Investment Data'!$C:$C = $C1673,"&amp;" 'Fund Investment Data'!$A:$A = ($A1673 - 2), 'Fund Investment Data'!$B:$B &gt; 3)))  * Parameters!$B$4 * (1 - Parameters!$A$4),0)"),2091.582674999999)</f>
        <v>2091.582675</v>
      </c>
      <c r="Z1673" s="91">
        <f t="shared" si="24"/>
        <v>7577.01697</v>
      </c>
      <c r="AA1673" s="91">
        <f>IFERROR(__xludf.DUMMYFUNCTION("((IFERROR((SUM(FILTER('Fund Investment Data'!$V:$V, 'Fund Investment Data'!$C:$C = $C1673, 'Fund Investment Data'!$A:$A = $A1673 - 1, 'Fund Investment Data'!$B:$B &gt;= 4, 'Fund Investment Data'!$B:$B &lt;= ($B1673 + 5))) / 12) * ($B1673 - 3) * Parameters!$B$4,"&amp;" 0) + IF($B1673 &gt;= 9, IFERROR(SUM(FILTER('Fund Investment Data'!$V:$V, 'Fund Investment Data'!$C:$C = $C1673, 'Fund Investment Data'!$A:$A = $A1673, 'Fund Investment Data'!$B:$B &lt;= 3)) * Parameters!$B$4, 0),0)))"),-0.42)</f>
        <v>-0.42</v>
      </c>
      <c r="AB1673" s="32">
        <f>IFERROR(__xludf.DUMMYFUNCTION("IFERROR(((IFERROR(SUM(FILTER('Fund Investment Data'!$V:$V, 'Fund Investment Data'!$C:$C = $C1673, 'Fund Investment Data'!$A:$A = $A1673 - 2, 'Fund Investment Data'!$B:$B &gt;= 4)) * Parameters!$B$4,0) + IFERROR(SUM(FILTER('Fund Investment Data'!$V:$V, 'Fund "&amp;"Investment Data'!$C:$C = $C1673, 'Fund Investment Data'!$A:$A = $A1673 - 1, 'Fund Investment Data'!$B:$B &lt;= 3)) * Parameters!$B$4,0))),0)"),6.075)</f>
        <v>6.075</v>
      </c>
      <c r="AC1673" s="32" t="str">
        <f>IFERROR(__xludf.DUMMYFUNCTION("IFERROR(FILTER($AF:$AF,$C:$C = $C1673,$A:$A = $A1673 - 1,$B:$B = 12),0)"),"")</f>
        <v/>
      </c>
      <c r="AD1673" s="32">
        <f t="shared" si="23"/>
        <v>7582.67197</v>
      </c>
      <c r="AE1673" s="32">
        <f t="shared" si="2"/>
        <v>7582.67197</v>
      </c>
      <c r="AF1673" s="32"/>
    </row>
    <row r="1674">
      <c r="A1674" s="86">
        <v>2020.0</v>
      </c>
      <c r="B1674" s="87">
        <v>1.0</v>
      </c>
      <c r="C1674" s="105" t="s">
        <v>55</v>
      </c>
      <c r="D1674" s="106">
        <v>0.0</v>
      </c>
      <c r="E1674" s="106">
        <v>0.0</v>
      </c>
      <c r="F1674" s="106">
        <v>0.0</v>
      </c>
      <c r="G1674" s="106">
        <v>-140.28</v>
      </c>
      <c r="H1674" s="106">
        <v>295.54</v>
      </c>
      <c r="I1674" s="106">
        <v>16822.9</v>
      </c>
      <c r="J1674" s="106">
        <v>-18262.73</v>
      </c>
      <c r="K1674" s="32"/>
      <c r="L1674" s="32"/>
      <c r="M1674" s="32"/>
      <c r="N1674" s="32"/>
      <c r="O1674" s="106">
        <v>369237.78</v>
      </c>
      <c r="P1674" s="91">
        <f>IFERROR(__xludf.DUMMYFUNCTION("IFERROR(sum(FILTER($D:$N,$C:$C = $C1674,$A:$A &lt; $A1674,$B:$B = 12)),0) + sum($D1674:$N1674)"),369237.7799999999)</f>
        <v>369237.78</v>
      </c>
      <c r="Q1674" s="92">
        <f t="shared" si="1"/>
        <v>0.0000000001164153218</v>
      </c>
      <c r="R1674" s="91">
        <f t="array" ref="R1674">IFERROR(INDEX('Fund YTD Target Values'!$1:$1000, MATCH($C1674,'Fund YTD Target Values'!$A:$A,0), MATCH($A1674,'Fund YTD Target Values'!$1:$1,0)),0)</f>
        <v>373132.6187</v>
      </c>
      <c r="S1674" s="91">
        <f>IFERROR(__xludf.DUMMYFUNCTION("IFERROR(sum(FILTER('Fund Investment Data'!$V:$V, 'Fund Investment Data'!$C:$C = $C1674, 'Fund Investment Data'!$A:$A &lt; $A1674)),0) + IFERROR(sum(FILTER('Fund Investment Data'!$V:$V, 'Fund Investment Data'!$C:$C = $C1674, 'Fund Investment Data'!$A:$A = $A1"&amp;"674, 'Fund Investment Data'!$B:$B &lt;= $B1674)),0)"),350000.0)</f>
        <v>350000</v>
      </c>
      <c r="T1674" s="32"/>
      <c r="U1674" s="32"/>
      <c r="V1674" s="32">
        <f>IFERROR(__xludf.DUMMYFUNCTION("$D1674 - IFERROR(FILTER($D:$D,$C:$C = $C1674, $A:$A = $A1674, $B:$B = $B1674 - 1),0)"),0.0)</f>
        <v>0</v>
      </c>
      <c r="W1674" s="93">
        <f>IFERROR(__xludf.DUMMYFUNCTION("$E1674 - IFERROR(FILTER($E:$E,$C:$C = $C1674, $A:$A = $A1674, $B:$B = $B1674 - 1),0)"),0.0)</f>
        <v>0</v>
      </c>
      <c r="X1674" s="91">
        <f>IFERROR(__xludf.DUMMYFUNCTION("iFERROR((FILTER('Fund Investment Data'!$Z:$Z, 'Fund Investment Data'!$C:$C = $C1674, 'Fund Investment Data'!$A:$A = $A1674 - 1, 'Fund Investment Data'!$B:$B = 12) + FILTER('Fund Investment Data'!$AB:$AB, 'Fund Investment Data'!$C:$C = $C1674, 'Fund Invest"&amp;"ment Data'!$A:$A = $A1674 - 1, 'Fund Investment Data'!$B:$B = 12)) * (1 + AVERAGE(FILTER('Inflation Data'!$C:$C,'Inflation Data'!$A:$A = ($A1674 - 2)))) * Parameters!$A$4,0)"),8733.12388790319)</f>
        <v>8733.123888</v>
      </c>
      <c r="Y1674" s="91">
        <f>IFERROR(__xludf.DUMMYFUNCTION("IFERROR((IFERROR(FILTER('Fund Investment Data'!$P:$P,'Fund Investment Data'!$C:$C = $C1674,'Fund Investment Data'!$A:$A = ($A1674 - 2), 'Fund Investment Data'!$B:$B = 12),0) - SUM(FILTER('Fund Investment Data'!$V:$V, 'Fund Investment Data'!$C:$C = $C1674,"&amp;" 'Fund Investment Data'!$A:$A = ($A1674 - 2), 'Fund Investment Data'!$B:$B &gt; 3)))  * Parameters!$B$4 * (1 - Parameters!$A$4),0)"),2801.6676899999998)</f>
        <v>2801.66769</v>
      </c>
      <c r="Z1674" s="91">
        <f t="shared" si="24"/>
        <v>11534.79158</v>
      </c>
      <c r="AA1674" s="91">
        <f>IFERROR(__xludf.DUMMYFUNCTION("((IFERROR((SUM(FILTER('Fund Investment Data'!$V:$V, 'Fund Investment Data'!$C:$C = $C1674, 'Fund Investment Data'!$A:$A = $A1674 - 1, 'Fund Investment Data'!$B:$B &gt;= 4, 'Fund Investment Data'!$B:$B &lt;= ($B1674 + 5))) / 12) * ($B1674 - 3) * Parameters!$B$4,"&amp;" 0) + IF($B1674 &gt;= 9, IFERROR(SUM(FILTER('Fund Investment Data'!$V:$V, 'Fund Investment Data'!$C:$C = $C1674, 'Fund Investment Data'!$A:$A = $A1674, 'Fund Investment Data'!$B:$B &lt;= 3)) * Parameters!$B$4, 0),0)))"),0.0)</f>
        <v>0</v>
      </c>
      <c r="AB1674" s="32">
        <f>IFERROR(__xludf.DUMMYFUNCTION("IFERROR(((IFERROR(SUM(FILTER('Fund Investment Data'!$V:$V, 'Fund Investment Data'!$C:$C = $C1674, 'Fund Investment Data'!$A:$A = $A1674 - 2, 'Fund Investment Data'!$B:$B &gt;= 4)) * Parameters!$B$4,0) + IFERROR(SUM(FILTER('Fund Investment Data'!$V:$V, 'Fund "&amp;"Investment Data'!$C:$C = $C1674, 'Fund Investment Data'!$A:$A = $A1674 - 1, 'Fund Investment Data'!$B:$B &lt;= 3)) * Parameters!$B$4,0))),0)"),3150.0)</f>
        <v>3150</v>
      </c>
      <c r="AC1674" s="32" t="str">
        <f>IFERROR(__xludf.DUMMYFUNCTION("IFERROR(FILTER($AF:$AF,$C:$C = $C1674,$A:$A = $A1674 - 1,$B:$B = 12),0)"),"")</f>
        <v/>
      </c>
      <c r="AD1674" s="32">
        <f t="shared" si="23"/>
        <v>14684.79158</v>
      </c>
      <c r="AE1674" s="32">
        <f t="shared" si="2"/>
        <v>14684.79158</v>
      </c>
      <c r="AF1674" s="32"/>
    </row>
    <row r="1675">
      <c r="A1675" s="86">
        <v>2020.0</v>
      </c>
      <c r="B1675" s="87">
        <v>1.0</v>
      </c>
      <c r="C1675" s="105" t="s">
        <v>44</v>
      </c>
      <c r="D1675" s="106">
        <v>0.0</v>
      </c>
      <c r="E1675" s="106">
        <v>0.0</v>
      </c>
      <c r="F1675" s="106">
        <v>0.0</v>
      </c>
      <c r="G1675" s="106">
        <v>-106.43</v>
      </c>
      <c r="H1675" s="106">
        <v>224.23</v>
      </c>
      <c r="I1675" s="106">
        <v>12763.7</v>
      </c>
      <c r="J1675" s="106">
        <v>-13856.12</v>
      </c>
      <c r="K1675" s="32"/>
      <c r="L1675" s="32"/>
      <c r="M1675" s="32"/>
      <c r="N1675" s="32"/>
      <c r="O1675" s="106">
        <v>280144.37</v>
      </c>
      <c r="P1675" s="91">
        <f>IFERROR(__xludf.DUMMYFUNCTION("IFERROR(sum(FILTER($D:$N,$C:$C = $C1675,$A:$A &lt; $A1675,$B:$B = 12)),0) + sum($D1675:$N1675)"),280145.26000000007)</f>
        <v>280145.26</v>
      </c>
      <c r="Q1675" s="92">
        <f t="shared" si="1"/>
        <v>-0.8900000001</v>
      </c>
      <c r="R1675" s="91">
        <f t="array" ref="R1675">IFERROR(INDEX('Fund YTD Target Values'!$1:$1000, MATCH($C1675,'Fund YTD Target Values'!$A:$A,0), MATCH($A1675,'Fund YTD Target Values'!$1:$1,0)),0)</f>
        <v>335306.2117</v>
      </c>
      <c r="S1675" s="91">
        <f>IFERROR(__xludf.DUMMYFUNCTION("IFERROR(sum(FILTER('Fund Investment Data'!$V:$V, 'Fund Investment Data'!$C:$C = $C1675, 'Fund Investment Data'!$A:$A &lt; $A1675)),0) + IFERROR(sum(FILTER('Fund Investment Data'!$V:$V, 'Fund Investment Data'!$C:$C = $C1675, 'Fund Investment Data'!$A:$A = $A1"&amp;"675, 'Fund Investment Data'!$B:$B &lt;= $B1675)),0)"),250000.0)</f>
        <v>250000</v>
      </c>
      <c r="T1675" s="32"/>
      <c r="U1675" s="32"/>
      <c r="V1675" s="32">
        <f>IFERROR(__xludf.DUMMYFUNCTION("$D1675 - IFERROR(FILTER($D:$D,$C:$C = $C1675, $A:$A = $A1675, $B:$B = $B1675 - 1),0)"),0.0)</f>
        <v>0</v>
      </c>
      <c r="W1675" s="93">
        <f>IFERROR(__xludf.DUMMYFUNCTION("$E1675 - IFERROR(FILTER($E:$E,$C:$C = $C1675, $A:$A = $A1675, $B:$B = $B1675 - 1),0)"),0.0)</f>
        <v>0</v>
      </c>
      <c r="X1675" s="91">
        <f>IFERROR(__xludf.DUMMYFUNCTION("iFERROR((FILTER('Fund Investment Data'!$Z:$Z, 'Fund Investment Data'!$C:$C = $C1675, 'Fund Investment Data'!$A:$A = $A1675 - 1, 'Fund Investment Data'!$B:$B = 12) + FILTER('Fund Investment Data'!$AB:$AB, 'Fund Investment Data'!$C:$C = $C1675, 'Fund Invest"&amp;"ment Data'!$A:$A = $A1675 - 1, 'Fund Investment Data'!$B:$B = 12)) * (1 + AVERAGE(FILTER('Inflation Data'!$C:$C,'Inflation Data'!$A:$A = ($A1675 - 2)))) * Parameters!$A$4,0)"),9387.616085113343)</f>
        <v>9387.616085</v>
      </c>
      <c r="Y1675" s="91">
        <f>IFERROR(__xludf.DUMMYFUNCTION("IFERROR((IFERROR(FILTER('Fund Investment Data'!$P:$P,'Fund Investment Data'!$C:$C = $C1675,'Fund Investment Data'!$A:$A = ($A1675 - 2), 'Fund Investment Data'!$B:$B = 12),0) - SUM(FILTER('Fund Investment Data'!$V:$V, 'Fund Investment Data'!$C:$C = $C1675,"&amp;" 'Fund Investment Data'!$A:$A = ($A1675 - 2), 'Fund Investment Data'!$B:$B &gt; 3)))  * Parameters!$B$4 * (1 - Parameters!$A$4),0)"),3384.7055550000014)</f>
        <v>3384.705555</v>
      </c>
      <c r="Z1675" s="91">
        <f t="shared" si="24"/>
        <v>12772.32164</v>
      </c>
      <c r="AA1675" s="91">
        <f>IFERROR(__xludf.DUMMYFUNCTION("((IFERROR((SUM(FILTER('Fund Investment Data'!$V:$V, 'Fund Investment Data'!$C:$C = $C1675, 'Fund Investment Data'!$A:$A = $A1675 - 1, 'Fund Investment Data'!$B:$B &gt;= 4, 'Fund Investment Data'!$B:$B &lt;= ($B1675 + 5))) / 12) * ($B1675 - 3) * Parameters!$B$4,"&amp;" 0) + IF($B1675 &gt;= 9, IFERROR(SUM(FILTER('Fund Investment Data'!$V:$V, 'Fund Investment Data'!$C:$C = $C1675, 'Fund Investment Data'!$A:$A = $A1675, 'Fund Investment Data'!$B:$B &lt;= 3)) * Parameters!$B$4, 0),0)))"),0.0)</f>
        <v>0</v>
      </c>
      <c r="AB1675" s="32">
        <f>IFERROR(__xludf.DUMMYFUNCTION("IFERROR(((IFERROR(SUM(FILTER('Fund Investment Data'!$V:$V, 'Fund Investment Data'!$C:$C = $C1675, 'Fund Investment Data'!$A:$A = $A1675 - 2, 'Fund Investment Data'!$B:$B &gt;= 4)) * Parameters!$B$4,0) + IFERROR(SUM(FILTER('Fund Investment Data'!$V:$V, 'Fund "&amp;"Investment Data'!$C:$C = $C1675, 'Fund Investment Data'!$A:$A = $A1675 - 1, 'Fund Investment Data'!$B:$B &lt;= 3)) * Parameters!$B$4,0))),0)"),0.0)</f>
        <v>0</v>
      </c>
      <c r="AC1675" s="32" t="str">
        <f>IFERROR(__xludf.DUMMYFUNCTION("IFERROR(FILTER($AF:$AF,$C:$C = $C1675,$A:$A = $A1675 - 1,$B:$B = 12),0)"),"")</f>
        <v/>
      </c>
      <c r="AD1675" s="32">
        <f t="shared" si="23"/>
        <v>12772.32164</v>
      </c>
      <c r="AE1675" s="32">
        <f t="shared" si="2"/>
        <v>12772.32164</v>
      </c>
      <c r="AF1675" s="32"/>
    </row>
    <row r="1676">
      <c r="A1676" s="86">
        <v>2020.0</v>
      </c>
      <c r="B1676" s="87">
        <v>1.0</v>
      </c>
      <c r="C1676" s="105" t="s">
        <v>45</v>
      </c>
      <c r="D1676" s="106">
        <v>0.0</v>
      </c>
      <c r="E1676" s="106">
        <v>0.0</v>
      </c>
      <c r="F1676" s="106">
        <v>0.0</v>
      </c>
      <c r="G1676" s="106">
        <v>-56.61</v>
      </c>
      <c r="H1676" s="106">
        <v>119.25</v>
      </c>
      <c r="I1676" s="106">
        <v>6788.42</v>
      </c>
      <c r="J1676" s="106">
        <v>-7369.42</v>
      </c>
      <c r="K1676" s="32"/>
      <c r="L1676" s="32"/>
      <c r="M1676" s="32"/>
      <c r="N1676" s="32"/>
      <c r="O1676" s="106">
        <v>148995.8</v>
      </c>
      <c r="P1676" s="91">
        <f>IFERROR(__xludf.DUMMYFUNCTION("IFERROR(sum(FILTER($D:$N,$C:$C = $C1676,$A:$A &lt; $A1676,$B:$B = 12)),0) + sum($D1676:$N1676)"),148996.00999999998)</f>
        <v>148996.01</v>
      </c>
      <c r="Q1676" s="92">
        <f t="shared" si="1"/>
        <v>-0.21</v>
      </c>
      <c r="R1676" s="91">
        <f t="array" ref="R1676">IFERROR(INDEX('Fund YTD Target Values'!$1:$1000, MATCH($C1676,'Fund YTD Target Values'!$A:$A,0), MATCH($A1676,'Fund YTD Target Values'!$1:$1,0)),0)</f>
        <v>126414.6128</v>
      </c>
      <c r="S1676" s="91">
        <f>IFERROR(__xludf.DUMMYFUNCTION("IFERROR(sum(FILTER('Fund Investment Data'!$V:$V, 'Fund Investment Data'!$C:$C = $C1676, 'Fund Investment Data'!$A:$A &lt; $A1676)),0) + IFERROR(sum(FILTER('Fund Investment Data'!$V:$V, 'Fund Investment Data'!$C:$C = $C1676, 'Fund Investment Data'!$A:$A = $A1"&amp;"676, 'Fund Investment Data'!$B:$B &lt;= $B1676)),0)"),100000.0)</f>
        <v>100000</v>
      </c>
      <c r="T1676" s="32"/>
      <c r="U1676" s="32"/>
      <c r="V1676" s="32">
        <f>IFERROR(__xludf.DUMMYFUNCTION("$D1676 - IFERROR(FILTER($D:$D,$C:$C = $C1676, $A:$A = $A1676, $B:$B = $B1676 - 1),0)"),0.0)</f>
        <v>0</v>
      </c>
      <c r="W1676" s="93">
        <f>IFERROR(__xludf.DUMMYFUNCTION("$E1676 - IFERROR(FILTER($E:$E,$C:$C = $C1676, $A:$A = $A1676, $B:$B = $B1676 - 1),0)"),0.0)</f>
        <v>0</v>
      </c>
      <c r="X1676" s="91">
        <f>IFERROR(__xludf.DUMMYFUNCTION("iFERROR((FILTER('Fund Investment Data'!$Z:$Z, 'Fund Investment Data'!$C:$C = $C1676, 'Fund Investment Data'!$A:$A = $A1676 - 1, 'Fund Investment Data'!$B:$B = 12) + FILTER('Fund Investment Data'!$AB:$AB, 'Fund Investment Data'!$C:$C = $C1676, 'Fund Invest"&amp;"ment Data'!$A:$A = $A1676 - 1, 'Fund Investment Data'!$B:$B = 12)) * (1 + AVERAGE(FILTER('Inflation Data'!$C:$C,'Inflation Data'!$A:$A = ($A1676 - 2)))) * Parameters!$A$4,0)"),4167.033304324799)</f>
        <v>4167.033304</v>
      </c>
      <c r="Y1676" s="91">
        <f>IFERROR(__xludf.DUMMYFUNCTION("IFERROR((IFERROR(FILTER('Fund Investment Data'!$P:$P,'Fund Investment Data'!$C:$C = $C1676,'Fund Investment Data'!$A:$A = ($A1676 - 2), 'Fund Investment Data'!$B:$B = 12),0) - SUM(FILTER('Fund Investment Data'!$V:$V, 'Fund Investment Data'!$C:$C = $C1676,"&amp;" 'Fund Investment Data'!$A:$A = ($A1676 - 2), 'Fund Investment Data'!$B:$B &gt; 3)))  * Parameters!$B$4 * (1 - Parameters!$A$4),0)"),1786.5376199999996)</f>
        <v>1786.53762</v>
      </c>
      <c r="Z1676" s="91">
        <f t="shared" si="24"/>
        <v>5953.570924</v>
      </c>
      <c r="AA1676" s="91">
        <f>IFERROR(__xludf.DUMMYFUNCTION("((IFERROR((SUM(FILTER('Fund Investment Data'!$V:$V, 'Fund Investment Data'!$C:$C = $C1676, 'Fund Investment Data'!$A:$A = $A1676 - 1, 'Fund Investment Data'!$B:$B &gt;= 4, 'Fund Investment Data'!$B:$B &lt;= ($B1676 + 5))) / 12) * ($B1676 - 3) * Parameters!$B$4,"&amp;" 0) + IF($B1676 &gt;= 9, IFERROR(SUM(FILTER('Fund Investment Data'!$V:$V, 'Fund Investment Data'!$C:$C = $C1676, 'Fund Investment Data'!$A:$A = $A1676, 'Fund Investment Data'!$B:$B &lt;= 3)) * Parameters!$B$4, 0),0)))"),0.0)</f>
        <v>0</v>
      </c>
      <c r="AB1676" s="32">
        <f>IFERROR(__xludf.DUMMYFUNCTION("IFERROR(((IFERROR(SUM(FILTER('Fund Investment Data'!$V:$V, 'Fund Investment Data'!$C:$C = $C1676, 'Fund Investment Data'!$A:$A = $A1676 - 2, 'Fund Investment Data'!$B:$B &gt;= 4)) * Parameters!$B$4,0) + IFERROR(SUM(FILTER('Fund Investment Data'!$V:$V, 'Fund "&amp;"Investment Data'!$C:$C = $C1676, 'Fund Investment Data'!$A:$A = $A1676 - 1, 'Fund Investment Data'!$B:$B &lt;= 3)) * Parameters!$B$4,0))),0)"),0.0)</f>
        <v>0</v>
      </c>
      <c r="AC1676" s="32" t="str">
        <f>IFERROR(__xludf.DUMMYFUNCTION("IFERROR(FILTER($AF:$AF,$C:$C = $C1676,$A:$A = $A1676 - 1,$B:$B = 12),0)"),"")</f>
        <v/>
      </c>
      <c r="AD1676" s="32">
        <f t="shared" si="23"/>
        <v>5953.570924</v>
      </c>
      <c r="AE1676" s="32">
        <f t="shared" si="2"/>
        <v>5953.570924</v>
      </c>
      <c r="AF1676" s="32"/>
    </row>
    <row r="1677">
      <c r="A1677" s="86">
        <v>2020.0</v>
      </c>
      <c r="B1677" s="87">
        <v>1.0</v>
      </c>
      <c r="C1677" s="105" t="s">
        <v>35</v>
      </c>
      <c r="D1677" s="106">
        <v>0.0</v>
      </c>
      <c r="E1677" s="106">
        <v>0.0</v>
      </c>
      <c r="F1677" s="106">
        <v>0.0</v>
      </c>
      <c r="G1677" s="106">
        <v>-549.78</v>
      </c>
      <c r="H1677" s="106">
        <v>1158.26</v>
      </c>
      <c r="I1677" s="106">
        <v>65931.21</v>
      </c>
      <c r="J1677" s="106">
        <v>-71574.11</v>
      </c>
      <c r="K1677" s="32"/>
      <c r="L1677" s="32"/>
      <c r="M1677" s="32"/>
      <c r="N1677" s="32"/>
      <c r="O1677" s="106">
        <v>1447092.62</v>
      </c>
      <c r="P1677" s="91">
        <f>IFERROR(__xludf.DUMMYFUNCTION("IFERROR(sum(FILTER($D:$N,$C:$C = $C1677,$A:$A &lt; $A1677,$B:$B = 12)),0) + sum($D1677:$N1677)"),1447091.8500000006)</f>
        <v>1447091.85</v>
      </c>
      <c r="Q1677" s="92">
        <f t="shared" si="1"/>
        <v>0.7699999996</v>
      </c>
      <c r="R1677" s="91">
        <f t="array" ref="R1677">IFERROR(INDEX('Fund YTD Target Values'!$1:$1000, MATCH($C1677,'Fund YTD Target Values'!$A:$A,0), MATCH($A1677,'Fund YTD Target Values'!$1:$1,0)),0)</f>
        <v>1646621.83</v>
      </c>
      <c r="S1677" s="91">
        <f>IFERROR(__xludf.DUMMYFUNCTION("IFERROR(sum(FILTER('Fund Investment Data'!$V:$V, 'Fund Investment Data'!$C:$C = $C1677, 'Fund Investment Data'!$A:$A &lt; $A1677)),0) + IFERROR(sum(FILTER('Fund Investment Data'!$V:$V, 'Fund Investment Data'!$C:$C = $C1677, 'Fund Investment Data'!$A:$A = $A1"&amp;"677, 'Fund Investment Data'!$B:$B &lt;= $B1677)),0)"),1086625.0)</f>
        <v>1086625</v>
      </c>
      <c r="T1677" s="32"/>
      <c r="U1677" s="32"/>
      <c r="V1677" s="32">
        <f>IFERROR(__xludf.DUMMYFUNCTION("$D1677 - IFERROR(FILTER($D:$D,$C:$C = $C1677, $A:$A = $A1677, $B:$B = $B1677 - 1),0)"),0.0)</f>
        <v>0</v>
      </c>
      <c r="W1677" s="93">
        <f>IFERROR(__xludf.DUMMYFUNCTION("$E1677 - IFERROR(FILTER($E:$E,$C:$C = $C1677, $A:$A = $A1677, $B:$B = $B1677 - 1),0)"),0.0)</f>
        <v>0</v>
      </c>
      <c r="X1677" s="91">
        <f>IFERROR(__xludf.DUMMYFUNCTION("iFERROR((FILTER('Fund Investment Data'!$Z:$Z, 'Fund Investment Data'!$C:$C = $C1677, 'Fund Investment Data'!$A:$A = $A1677 - 1, 'Fund Investment Data'!$B:$B = 12) + FILTER('Fund Investment Data'!$AB:$AB, 'Fund Investment Data'!$C:$C = $C1677, 'Fund Invest"&amp;"ment Data'!$A:$A = $A1677 - 1, 'Fund Investment Data'!$B:$B = 12)) * (1 + AVERAGE(FILTER('Inflation Data'!$C:$C,'Inflation Data'!$A:$A = ($A1677 - 2)))) * Parameters!$A$4,0)"),48017.5257939409)</f>
        <v>48017.52579</v>
      </c>
      <c r="Y1677" s="91">
        <f>IFERROR(__xludf.DUMMYFUNCTION("IFERROR((IFERROR(FILTER('Fund Investment Data'!$P:$P,'Fund Investment Data'!$C:$C = $C1677,'Fund Investment Data'!$A:$A = ($A1677 - 2), 'Fund Investment Data'!$B:$B = 12),0) - SUM(FILTER('Fund Investment Data'!$V:$V, 'Fund Investment Data'!$C:$C = $C1677,"&amp;" 'Fund Investment Data'!$A:$A = ($A1677 - 2), 'Fund Investment Data'!$B:$B &gt; 3)))  * Parameters!$B$4 * (1 - Parameters!$A$4),0)"),17468.81194500001)</f>
        <v>17468.81195</v>
      </c>
      <c r="Z1677" s="91">
        <f t="shared" si="24"/>
        <v>65486.33774</v>
      </c>
      <c r="AA1677" s="91">
        <f>IFERROR(__xludf.DUMMYFUNCTION("((IFERROR((SUM(FILTER('Fund Investment Data'!$V:$V, 'Fund Investment Data'!$C:$C = $C1677, 'Fund Investment Data'!$A:$A = $A1677 - 1, 'Fund Investment Data'!$B:$B &gt;= 4, 'Fund Investment Data'!$B:$B &lt;= ($B1677 + 5))) / 12) * ($B1677 - 3) * Parameters!$B$4,"&amp;" 0) + IF($B1677 &gt;= 9, IFERROR(SUM(FILTER('Fund Investment Data'!$V:$V, 'Fund Investment Data'!$C:$C = $C1677, 'Fund Investment Data'!$A:$A = $A1677, 'Fund Investment Data'!$B:$B &lt;= 3)) * Parameters!$B$4, 0),0)))"),0.0)</f>
        <v>0</v>
      </c>
      <c r="AB1677" s="32">
        <f>IFERROR(__xludf.DUMMYFUNCTION("IFERROR(((IFERROR(SUM(FILTER('Fund Investment Data'!$V:$V, 'Fund Investment Data'!$C:$C = $C1677, 'Fund Investment Data'!$A:$A = $A1677 - 2, 'Fund Investment Data'!$B:$B &gt;= 4)) * Parameters!$B$4,0) + IFERROR(SUM(FILTER('Fund Investment Data'!$V:$V, 'Fund "&amp;"Investment Data'!$C:$C = $C1677, 'Fund Investment Data'!$A:$A = $A1677 - 1, 'Fund Investment Data'!$B:$B &lt;= 3)) * Parameters!$B$4,0))),0)"),0.0)</f>
        <v>0</v>
      </c>
      <c r="AC1677" s="32" t="str">
        <f>IFERROR(__xludf.DUMMYFUNCTION("IFERROR(FILTER($AF:$AF,$C:$C = $C1677,$A:$A = $A1677 - 1,$B:$B = 12),0)"),"")</f>
        <v/>
      </c>
      <c r="AD1677" s="32">
        <f t="shared" si="23"/>
        <v>65486.33774</v>
      </c>
      <c r="AE1677" s="32">
        <f t="shared" si="2"/>
        <v>65486.33774</v>
      </c>
      <c r="AF1677" s="32"/>
    </row>
    <row r="1678">
      <c r="A1678" s="86">
        <v>2020.0</v>
      </c>
      <c r="B1678" s="87">
        <v>1.0</v>
      </c>
      <c r="C1678" s="105" t="s">
        <v>56</v>
      </c>
      <c r="D1678" s="106">
        <v>0.0</v>
      </c>
      <c r="E1678" s="106">
        <v>0.0</v>
      </c>
      <c r="F1678" s="106">
        <v>0.0</v>
      </c>
      <c r="G1678" s="106">
        <v>-425.65</v>
      </c>
      <c r="H1678" s="106">
        <v>896.75</v>
      </c>
      <c r="I1678" s="106">
        <v>51045.35</v>
      </c>
      <c r="J1678" s="106">
        <v>-55414.21</v>
      </c>
      <c r="K1678" s="32"/>
      <c r="L1678" s="32"/>
      <c r="M1678" s="32"/>
      <c r="N1678" s="32"/>
      <c r="O1678" s="106">
        <v>1120370.07</v>
      </c>
      <c r="P1678" s="91">
        <f>IFERROR(__xludf.DUMMYFUNCTION("IFERROR(sum(FILTER($D:$N,$C:$C = $C1678,$A:$A &lt; $A1678,$B:$B = 12)),0) + sum($D1678:$N1678)"),1120370.0699999998)</f>
        <v>1120370.07</v>
      </c>
      <c r="Q1678" s="92">
        <f t="shared" si="1"/>
        <v>0.0000000002328306437</v>
      </c>
      <c r="R1678" s="91">
        <f t="array" ref="R1678">IFERROR(INDEX('Fund YTD Target Values'!$1:$1000, MATCH($C1678,'Fund YTD Target Values'!$A:$A,0), MATCH($A1678,'Fund YTD Target Values'!$1:$1,0)),0)</f>
        <v>1105978.68</v>
      </c>
      <c r="S1678" s="91">
        <f>IFERROR(__xludf.DUMMYFUNCTION("IFERROR(sum(FILTER('Fund Investment Data'!$V:$V, 'Fund Investment Data'!$C:$C = $C1678, 'Fund Investment Data'!$A:$A &lt; $A1678)),0) + IFERROR(sum(FILTER('Fund Investment Data'!$V:$V, 'Fund Investment Data'!$C:$C = $C1678, 'Fund Investment Data'!$A:$A = $A1"&amp;"678, 'Fund Investment Data'!$B:$B &lt;= $B1678)),0)"),1000000.0)</f>
        <v>1000000</v>
      </c>
      <c r="T1678" s="32"/>
      <c r="U1678" s="32"/>
      <c r="V1678" s="32">
        <f>IFERROR(__xludf.DUMMYFUNCTION("$D1678 - IFERROR(FILTER($D:$D,$C:$C = $C1678, $A:$A = $A1678, $B:$B = $B1678 - 1),0)"),0.0)</f>
        <v>0</v>
      </c>
      <c r="W1678" s="93">
        <f>IFERROR(__xludf.DUMMYFUNCTION("$E1678 - IFERROR(FILTER($E:$E,$C:$C = $C1678, $A:$A = $A1678, $B:$B = $B1678 - 1),0)"),0.0)</f>
        <v>0</v>
      </c>
      <c r="X1678" s="91">
        <f>IFERROR(__xludf.DUMMYFUNCTION("iFERROR((FILTER('Fund Investment Data'!$Z:$Z, 'Fund Investment Data'!$C:$C = $C1678, 'Fund Investment Data'!$A:$A = $A1678 - 1, 'Fund Investment Data'!$B:$B = 12) + FILTER('Fund Investment Data'!$AB:$AB, 'Fund Investment Data'!$C:$C = $C1678, 'Fund Invest"&amp;"ment Data'!$A:$A = $A1678 - 1, 'Fund Investment Data'!$B:$B = 12)) * (1 + AVERAGE(FILTER('Inflation Data'!$C:$C,'Inflation Data'!$A:$A = ($A1678 - 2)))) * Parameters!$A$4,0)"),34855.73272923416)</f>
        <v>34855.73273</v>
      </c>
      <c r="Y1678" s="91">
        <f>IFERROR(__xludf.DUMMYFUNCTION("IFERROR((IFERROR(FILTER('Fund Investment Data'!$P:$P,'Fund Investment Data'!$C:$C = $C1678,'Fund Investment Data'!$A:$A = ($A1678 - 2), 'Fund Investment Data'!$B:$B = 12),0) - SUM(FILTER('Fund Investment Data'!$V:$V, 'Fund Investment Data'!$C:$C = $C1678,"&amp;" 'Fund Investment Data'!$A:$A = ($A1678 - 2), 'Fund Investment Data'!$B:$B &gt; 3)))  * Parameters!$B$4 * (1 - Parameters!$A$4),0)"),13492.071585)</f>
        <v>13492.07159</v>
      </c>
      <c r="Z1678" s="91">
        <f t="shared" si="24"/>
        <v>48347.80431</v>
      </c>
      <c r="AA1678" s="91">
        <f>IFERROR(__xludf.DUMMYFUNCTION("((IFERROR((SUM(FILTER('Fund Investment Data'!$V:$V, 'Fund Investment Data'!$C:$C = $C1678, 'Fund Investment Data'!$A:$A = $A1678 - 1, 'Fund Investment Data'!$B:$B &gt;= 4, 'Fund Investment Data'!$B:$B &lt;= ($B1678 + 5))) / 12) * ($B1678 - 3) * Parameters!$B$4,"&amp;" 0) + IF($B1678 &gt;= 9, IFERROR(SUM(FILTER('Fund Investment Data'!$V:$V, 'Fund Investment Data'!$C:$C = $C1678, 'Fund Investment Data'!$A:$A = $A1678, 'Fund Investment Data'!$B:$B &lt;= 3)) * Parameters!$B$4, 0),0)))"),0.0)</f>
        <v>0</v>
      </c>
      <c r="AB1678" s="32">
        <f>IFERROR(__xludf.DUMMYFUNCTION("IFERROR(((IFERROR(SUM(FILTER('Fund Investment Data'!$V:$V, 'Fund Investment Data'!$C:$C = $C1678, 'Fund Investment Data'!$A:$A = $A1678 - 2, 'Fund Investment Data'!$B:$B &gt;= 4)) * Parameters!$B$4,0) + IFERROR(SUM(FILTER('Fund Investment Data'!$V:$V, 'Fund "&amp;"Investment Data'!$C:$C = $C1678, 'Fund Investment Data'!$A:$A = $A1678 - 1, 'Fund Investment Data'!$B:$B &lt;= 3)) * Parameters!$B$4,0))),0)"),0.0)</f>
        <v>0</v>
      </c>
      <c r="AC1678" s="32" t="str">
        <f>IFERROR(__xludf.DUMMYFUNCTION("IFERROR(FILTER($AF:$AF,$C:$C = $C1678,$A:$A = $A1678 - 1,$B:$B = 12),0)"),"")</f>
        <v/>
      </c>
      <c r="AD1678" s="32">
        <f t="shared" si="23"/>
        <v>48347.80431</v>
      </c>
      <c r="AE1678" s="32">
        <f t="shared" si="2"/>
        <v>48347.80431</v>
      </c>
      <c r="AF1678" s="32"/>
    </row>
    <row r="1679">
      <c r="A1679" s="86">
        <v>2020.0</v>
      </c>
      <c r="B1679" s="87">
        <v>1.0</v>
      </c>
      <c r="C1679" s="105" t="s">
        <v>57</v>
      </c>
      <c r="D1679" s="106">
        <v>0.0</v>
      </c>
      <c r="E1679" s="106">
        <v>0.0</v>
      </c>
      <c r="F1679" s="106">
        <v>0.0</v>
      </c>
      <c r="G1679" s="106">
        <v>-781.64</v>
      </c>
      <c r="H1679" s="106">
        <v>1646.74</v>
      </c>
      <c r="I1679" s="106">
        <v>93737.26</v>
      </c>
      <c r="J1679" s="106">
        <v>-101760.01</v>
      </c>
      <c r="K1679" s="32"/>
      <c r="L1679" s="32"/>
      <c r="M1679" s="32"/>
      <c r="N1679" s="32"/>
      <c r="O1679" s="106">
        <v>2057394.33</v>
      </c>
      <c r="P1679" s="91">
        <f>IFERROR(__xludf.DUMMYFUNCTION("IFERROR(sum(FILTER($D:$N,$C:$C = $C1679,$A:$A &lt; $A1679,$B:$B = 12)),0) + sum($D1679:$N1679)"),2057394.3300000003)</f>
        <v>2057394.33</v>
      </c>
      <c r="Q1679" s="92">
        <f t="shared" si="1"/>
        <v>-0.0000000002328306437</v>
      </c>
      <c r="R1679" s="91">
        <f t="array" ref="R1679">IFERROR(INDEX('Fund YTD Target Values'!$1:$1000, MATCH($C1679,'Fund YTD Target Values'!$A:$A,0), MATCH($A1679,'Fund YTD Target Values'!$1:$1,0)),0)</f>
        <v>2136262.679</v>
      </c>
      <c r="S1679" s="91">
        <f>IFERROR(__xludf.DUMMYFUNCTION("IFERROR(sum(FILTER('Fund Investment Data'!$V:$V, 'Fund Investment Data'!$C:$C = $C1679, 'Fund Investment Data'!$A:$A &lt; $A1679)),0) + IFERROR(sum(FILTER('Fund Investment Data'!$V:$V, 'Fund Investment Data'!$C:$C = $C1679, 'Fund Investment Data'!$A:$A = $A1"&amp;"679, 'Fund Investment Data'!$B:$B &lt;= $B1679)),0)"),2000000.0)</f>
        <v>2000000</v>
      </c>
      <c r="T1679" s="32"/>
      <c r="U1679" s="32"/>
      <c r="V1679" s="32">
        <f>IFERROR(__xludf.DUMMYFUNCTION("$D1679 - IFERROR(FILTER($D:$D,$C:$C = $C1679, $A:$A = $A1679, $B:$B = $B1679 - 1),0)"),0.0)</f>
        <v>0</v>
      </c>
      <c r="W1679" s="93">
        <f>IFERROR(__xludf.DUMMYFUNCTION("$E1679 - IFERROR(FILTER($E:$E,$C:$C = $C1679, $A:$A = $A1679, $B:$B = $B1679 - 1),0)"),0.0)</f>
        <v>0</v>
      </c>
      <c r="X1679" s="91">
        <f>IFERROR(__xludf.DUMMYFUNCTION("iFERROR((FILTER('Fund Investment Data'!$Z:$Z, 'Fund Investment Data'!$C:$C = $C1679, 'Fund Investment Data'!$A:$A = $A1679 - 1, 'Fund Investment Data'!$B:$B = 12) + FILTER('Fund Investment Data'!$AB:$AB, 'Fund Investment Data'!$C:$C = $C1679, 'Fund Invest"&amp;"ment Data'!$A:$A = $A1679 - 1, 'Fund Investment Data'!$B:$B = 12)) * (1 + AVERAGE(FILTER('Inflation Data'!$C:$C,'Inflation Data'!$A:$A = ($A1679 - 2)))) * Parameters!$A$4,0)"),64879.45168497103)</f>
        <v>64879.45168</v>
      </c>
      <c r="Y1679" s="91">
        <f>IFERROR(__xludf.DUMMYFUNCTION("IFERROR((IFERROR(FILTER('Fund Investment Data'!$P:$P,'Fund Investment Data'!$C:$C = $C1679,'Fund Investment Data'!$A:$A = ($A1679 - 2), 'Fund Investment Data'!$B:$B = 12),0) - SUM(FILTER('Fund Investment Data'!$V:$V, 'Fund Investment Data'!$C:$C = $C1679,"&amp;" 'Fund Investment Data'!$A:$A = ($A1679 - 2), 'Fund Investment Data'!$B:$B &gt; 3)))  * Parameters!$B$4 * (1 - Parameters!$A$4),0)"),25386.945345000004)</f>
        <v>25386.94535</v>
      </c>
      <c r="Z1679" s="91">
        <f t="shared" si="24"/>
        <v>90266.39703</v>
      </c>
      <c r="AA1679" s="91">
        <f>IFERROR(__xludf.DUMMYFUNCTION("((IFERROR((SUM(FILTER('Fund Investment Data'!$V:$V, 'Fund Investment Data'!$C:$C = $C1679, 'Fund Investment Data'!$A:$A = $A1679 - 1, 'Fund Investment Data'!$B:$B &gt;= 4, 'Fund Investment Data'!$B:$B &lt;= ($B1679 + 5))) / 12) * ($B1679 - 3) * Parameters!$B$4,"&amp;" 0) + IF($B1679 &gt;= 9, IFERROR(SUM(FILTER('Fund Investment Data'!$V:$V, 'Fund Investment Data'!$C:$C = $C1679, 'Fund Investment Data'!$A:$A = $A1679, 'Fund Investment Data'!$B:$B &lt;= 3)) * Parameters!$B$4, 0),0)))"),0.0)</f>
        <v>0</v>
      </c>
      <c r="AB1679" s="32">
        <f>IFERROR(__xludf.DUMMYFUNCTION("IFERROR(((IFERROR(SUM(FILTER('Fund Investment Data'!$V:$V, 'Fund Investment Data'!$C:$C = $C1679, 'Fund Investment Data'!$A:$A = $A1679 - 2, 'Fund Investment Data'!$B:$B &gt;= 4)) * Parameters!$B$4,0) + IFERROR(SUM(FILTER('Fund Investment Data'!$V:$V, 'Fund "&amp;"Investment Data'!$C:$C = $C1679, 'Fund Investment Data'!$A:$A = $A1679 - 1, 'Fund Investment Data'!$B:$B &lt;= 3)) * Parameters!$B$4,0))),0)"),0.0)</f>
        <v>0</v>
      </c>
      <c r="AC1679" s="32" t="str">
        <f>IFERROR(__xludf.DUMMYFUNCTION("IFERROR(FILTER($AF:$AF,$C:$C = $C1679,$A:$A = $A1679 - 1,$B:$B = 12),0)"),"")</f>
        <v/>
      </c>
      <c r="AD1679" s="32">
        <f t="shared" si="23"/>
        <v>90266.39703</v>
      </c>
      <c r="AE1679" s="32">
        <f t="shared" si="2"/>
        <v>90266.39703</v>
      </c>
      <c r="AF1679" s="32"/>
    </row>
    <row r="1680">
      <c r="A1680" s="86">
        <v>2020.0</v>
      </c>
      <c r="B1680" s="87">
        <v>1.0</v>
      </c>
      <c r="C1680" s="105" t="s">
        <v>58</v>
      </c>
      <c r="D1680" s="106">
        <v>0.0</v>
      </c>
      <c r="E1680" s="106">
        <v>0.0</v>
      </c>
      <c r="F1680" s="106">
        <v>0.0</v>
      </c>
      <c r="G1680" s="106">
        <v>-781.52</v>
      </c>
      <c r="H1680" s="106">
        <v>1646.5</v>
      </c>
      <c r="I1680" s="106">
        <v>93723.56</v>
      </c>
      <c r="J1680" s="106">
        <v>-101745.14</v>
      </c>
      <c r="K1680" s="32"/>
      <c r="L1680" s="32"/>
      <c r="M1680" s="32"/>
      <c r="N1680" s="32"/>
      <c r="O1680" s="106">
        <v>2057093.62</v>
      </c>
      <c r="P1680" s="91">
        <f>IFERROR(__xludf.DUMMYFUNCTION("IFERROR(sum(FILTER($D:$N,$C:$C = $C1680,$A:$A &lt; $A1680,$B:$B = 12)),0) + sum($D1680:$N1680)"),2057093.6199999999)</f>
        <v>2057093.62</v>
      </c>
      <c r="Q1680" s="92">
        <f t="shared" si="1"/>
        <v>0.0000000002328306437</v>
      </c>
      <c r="R1680" s="91">
        <f t="array" ref="R1680">IFERROR(INDEX('Fund YTD Target Values'!$1:$1000, MATCH($C1680,'Fund YTD Target Values'!$A:$A,0), MATCH($A1680,'Fund YTD Target Values'!$1:$1,0)),0)</f>
        <v>2136262.679</v>
      </c>
      <c r="S1680" s="91">
        <f>IFERROR(__xludf.DUMMYFUNCTION("IFERROR(sum(FILTER('Fund Investment Data'!$V:$V, 'Fund Investment Data'!$C:$C = $C1680, 'Fund Investment Data'!$A:$A &lt; $A1680)),0) + IFERROR(sum(FILTER('Fund Investment Data'!$V:$V, 'Fund Investment Data'!$C:$C = $C1680, 'Fund Investment Data'!$A:$A = $A1"&amp;"680, 'Fund Investment Data'!$B:$B &lt;= $B1680)),0)"),2000000.0)</f>
        <v>2000000</v>
      </c>
      <c r="T1680" s="32"/>
      <c r="U1680" s="32"/>
      <c r="V1680" s="32">
        <f>IFERROR(__xludf.DUMMYFUNCTION("$D1680 - IFERROR(FILTER($D:$D,$C:$C = $C1680, $A:$A = $A1680, $B:$B = $B1680 - 1),0)"),0.0)</f>
        <v>0</v>
      </c>
      <c r="W1680" s="93">
        <f>IFERROR(__xludf.DUMMYFUNCTION("$E1680 - IFERROR(FILTER($E:$E,$C:$C = $C1680, $A:$A = $A1680, $B:$B = $B1680 - 1),0)"),0.0)</f>
        <v>0</v>
      </c>
      <c r="X1680" s="91">
        <f>IFERROR(__xludf.DUMMYFUNCTION("iFERROR((FILTER('Fund Investment Data'!$Z:$Z, 'Fund Investment Data'!$C:$C = $C1680, 'Fund Investment Data'!$A:$A = $A1680 - 1, 'Fund Investment Data'!$B:$B = 12) + FILTER('Fund Investment Data'!$AB:$AB, 'Fund Investment Data'!$C:$C = $C1680, 'Fund Invest"&amp;"ment Data'!$A:$A = $A1680 - 1, 'Fund Investment Data'!$B:$B = 12)) * (1 + AVERAGE(FILTER('Inflation Data'!$C:$C,'Inflation Data'!$A:$A = ($A1680 - 2)))) * Parameters!$A$4,0)"),64879.45168497103)</f>
        <v>64879.45168</v>
      </c>
      <c r="Y1680" s="91">
        <f>IFERROR(__xludf.DUMMYFUNCTION("IFERROR((IFERROR(FILTER('Fund Investment Data'!$P:$P,'Fund Investment Data'!$C:$C = $C1680,'Fund Investment Data'!$A:$A = ($A1680 - 2), 'Fund Investment Data'!$B:$B = 12),0) - SUM(FILTER('Fund Investment Data'!$V:$V, 'Fund Investment Data'!$C:$C = $C1680,"&amp;" 'Fund Investment Data'!$A:$A = ($A1680 - 2), 'Fund Investment Data'!$B:$B &gt; 3)))  * Parameters!$B$4 * (1 - Parameters!$A$4),0)"),25116.945075000007)</f>
        <v>25116.94508</v>
      </c>
      <c r="Z1680" s="91">
        <f t="shared" si="24"/>
        <v>89996.39676</v>
      </c>
      <c r="AA1680" s="91">
        <f>IFERROR(__xludf.DUMMYFUNCTION("((IFERROR((SUM(FILTER('Fund Investment Data'!$V:$V, 'Fund Investment Data'!$C:$C = $C1680, 'Fund Investment Data'!$A:$A = $A1680 - 1, 'Fund Investment Data'!$B:$B &gt;= 4, 'Fund Investment Data'!$B:$B &lt;= ($B1680 + 5))) / 12) * ($B1680 - 3) * Parameters!$B$4,"&amp;" 0) + IF($B1680 &gt;= 9, IFERROR(SUM(FILTER('Fund Investment Data'!$V:$V, 'Fund Investment Data'!$C:$C = $C1680, 'Fund Investment Data'!$A:$A = $A1680, 'Fund Investment Data'!$B:$B &lt;= 3)) * Parameters!$B$4, 0),0)))"),0.0)</f>
        <v>0</v>
      </c>
      <c r="AB1680" s="32">
        <f>IFERROR(__xludf.DUMMYFUNCTION("IFERROR(((IFERROR(SUM(FILTER('Fund Investment Data'!$V:$V, 'Fund Investment Data'!$C:$C = $C1680, 'Fund Investment Data'!$A:$A = $A1680 - 2, 'Fund Investment Data'!$B:$B &gt;= 4)) * Parameters!$B$4,0) + IFERROR(SUM(FILTER('Fund Investment Data'!$V:$V, 'Fund "&amp;"Investment Data'!$C:$C = $C1680, 'Fund Investment Data'!$A:$A = $A1680 - 1, 'Fund Investment Data'!$B:$B &lt;= 3)) * Parameters!$B$4,0))),0)"),0.0)</f>
        <v>0</v>
      </c>
      <c r="AC1680" s="32" t="str">
        <f>IFERROR(__xludf.DUMMYFUNCTION("IFERROR(FILTER($AF:$AF,$C:$C = $C1680,$A:$A = $A1680 - 1,$B:$B = 12),0)"),"")</f>
        <v/>
      </c>
      <c r="AD1680" s="32">
        <f t="shared" si="23"/>
        <v>89996.39676</v>
      </c>
      <c r="AE1680" s="32">
        <f t="shared" si="2"/>
        <v>89996.39676</v>
      </c>
      <c r="AF1680" s="32"/>
    </row>
    <row r="1681">
      <c r="A1681" s="86">
        <v>2020.0</v>
      </c>
      <c r="B1681" s="87">
        <v>2.0</v>
      </c>
      <c r="C1681" s="103" t="s">
        <v>26</v>
      </c>
      <c r="D1681" s="104">
        <v>0.0</v>
      </c>
      <c r="E1681" s="104">
        <v>0.0</v>
      </c>
      <c r="F1681" s="104">
        <v>0.0</v>
      </c>
      <c r="G1681" s="104">
        <v>-267.0</v>
      </c>
      <c r="H1681" s="104">
        <v>829.97</v>
      </c>
      <c r="I1681" s="104">
        <v>17400.95</v>
      </c>
      <c r="J1681" s="104">
        <v>-35460.16</v>
      </c>
      <c r="K1681" s="32"/>
      <c r="L1681" s="32"/>
      <c r="M1681" s="32"/>
      <c r="N1681" s="32"/>
      <c r="O1681" s="104">
        <v>335674.31</v>
      </c>
      <c r="P1681" s="91">
        <f>IFERROR(__xludf.DUMMYFUNCTION("IFERROR(sum(FILTER($D:$N,$C:$C = $C1681,$A:$A &lt; $A1681,$B:$B = 12)),0) + sum($D1681:$N1681)"),335672.85)</f>
        <v>335672.85</v>
      </c>
      <c r="Q1681" s="92">
        <f t="shared" si="1"/>
        <v>1.46</v>
      </c>
      <c r="R1681" s="91">
        <f t="array" ref="R1681">IFERROR(INDEX('Fund YTD Target Values'!$1:$1000, MATCH($C1681,'Fund YTD Target Values'!$A:$A,0), MATCH($A1681,'Fund YTD Target Values'!$1:$1,0)),0)</f>
        <v>401541.8823</v>
      </c>
      <c r="S1681" s="91">
        <f>IFERROR(__xludf.DUMMYFUNCTION("IFERROR(sum(FILTER('Fund Investment Data'!$V:$V, 'Fund Investment Data'!$C:$C = $C1681, 'Fund Investment Data'!$A:$A &lt; $A1681)),0) + IFERROR(sum(FILTER('Fund Investment Data'!$V:$V, 'Fund Investment Data'!$C:$C = $C1681, 'Fund Investment Data'!$A:$A = $A1"&amp;"681, 'Fund Investment Data'!$B:$B &lt;= $B1681)),0)"),317377.01)</f>
        <v>317377.01</v>
      </c>
      <c r="T1681" s="32"/>
      <c r="U1681" s="32"/>
      <c r="V1681" s="32">
        <f>IFERROR(__xludf.DUMMYFUNCTION("$D1681 - IFERROR(FILTER($D:$D,$C:$C = $C1681, $A:$A = $A1681, $B:$B = $B1681 - 1),0)"),0.0)</f>
        <v>0</v>
      </c>
      <c r="W1681" s="93">
        <f>IFERROR(__xludf.DUMMYFUNCTION("$E1681 - IFERROR(FILTER($E:$E,$C:$C = $C1681, $A:$A = $A1681, $B:$B = $B1681 - 1),0)"),0.0)</f>
        <v>0</v>
      </c>
      <c r="X1681" s="91">
        <f>IFERROR(__xludf.DUMMYFUNCTION("iFERROR((FILTER('Fund Investment Data'!$Z:$Z, 'Fund Investment Data'!$C:$C = $C1681, 'Fund Investment Data'!$A:$A = $A1681 - 1, 'Fund Investment Data'!$B:$B = 12) + FILTER('Fund Investment Data'!$AB:$AB, 'Fund Investment Data'!$C:$C = $C1681, 'Fund Invest"&amp;"ment Data'!$A:$A = $A1681 - 1, 'Fund Investment Data'!$B:$B = 12)) * (1 + AVERAGE(FILTER('Inflation Data'!$C:$C,'Inflation Data'!$A:$A = ($A1681 - 2)))) * Parameters!$A$4,0)"),11939.770681709342)</f>
        <v>11939.77068</v>
      </c>
      <c r="Y1681" s="91">
        <f>IFERROR(__xludf.DUMMYFUNCTION("IFERROR((IFERROR(FILTER('Fund Investment Data'!$P:$P,'Fund Investment Data'!$C:$C = $C1681,'Fund Investment Data'!$A:$A = ($A1681 - 2), 'Fund Investment Data'!$B:$B = 12),0) - SUM(FILTER('Fund Investment Data'!$V:$V, 'Fund Investment Data'!$C:$C = $C1681,"&amp;" 'Fund Investment Data'!$A:$A = ($A1681 - 2), 'Fund Investment Data'!$B:$B &gt; 3)))  * Parameters!$B$4 * (1 - Parameters!$A$4),0)"),4169.1699)</f>
        <v>4169.1699</v>
      </c>
      <c r="Z1681" s="91">
        <f t="shared" si="24"/>
        <v>16108.94058</v>
      </c>
      <c r="AA1681" s="91">
        <f>IFERROR(__xludf.DUMMYFUNCTION("((IFERROR((SUM(FILTER('Fund Investment Data'!$V:$V, 'Fund Investment Data'!$C:$C = $C1681, 'Fund Investment Data'!$A:$A = $A1681 - 1, 'Fund Investment Data'!$B:$B &gt;= 4, 'Fund Investment Data'!$B:$B &lt;= ($B1681 + 5))) / 12) * ($B1681 - 3) * Parameters!$B$4,"&amp;" 0) + IF($B1681 &gt;= 9, IFERROR(SUM(FILTER('Fund Investment Data'!$V:$V, 'Fund Investment Data'!$C:$C = $C1681, 'Fund Investment Data'!$A:$A = $A1681, 'Fund Investment Data'!$B:$B &lt;= 3)) * Parameters!$B$4, 0),0)))"),0.0)</f>
        <v>0</v>
      </c>
      <c r="AB1681" s="32">
        <f>IFERROR(__xludf.DUMMYFUNCTION("IFERROR(((IFERROR(SUM(FILTER('Fund Investment Data'!$V:$V, 'Fund Investment Data'!$C:$C = $C1681, 'Fund Investment Data'!$A:$A = $A1681 - 2, 'Fund Investment Data'!$B:$B &gt;= 4)) * Parameters!$B$4,0) + IFERROR(SUM(FILTER('Fund Investment Data'!$V:$V, 'Fund "&amp;"Investment Data'!$C:$C = $C1681, 'Fund Investment Data'!$A:$A = $A1681 - 1, 'Fund Investment Data'!$B:$B &lt;= 3)) * Parameters!$B$4,0))),0)"),320.76)</f>
        <v>320.76</v>
      </c>
      <c r="AC1681" s="32" t="str">
        <f>IFERROR(__xludf.DUMMYFUNCTION("IFERROR(FILTER($AF:$AF,$C:$C = $C1681,$A:$A = $A1681 - 1,$B:$B = 12),0)"),"")</f>
        <v/>
      </c>
      <c r="AD1681" s="32">
        <f t="shared" si="23"/>
        <v>16429.70058</v>
      </c>
      <c r="AE1681" s="32">
        <f t="shared" si="2"/>
        <v>16429.70058</v>
      </c>
      <c r="AF1681" s="32"/>
    </row>
    <row r="1682">
      <c r="A1682" s="86">
        <v>2020.0</v>
      </c>
      <c r="B1682" s="87">
        <v>2.0</v>
      </c>
      <c r="C1682" s="103" t="s">
        <v>27</v>
      </c>
      <c r="D1682" s="104">
        <v>0.0</v>
      </c>
      <c r="E1682" s="104">
        <v>0.0</v>
      </c>
      <c r="F1682" s="104">
        <v>0.0</v>
      </c>
      <c r="G1682" s="104">
        <v>-229.56</v>
      </c>
      <c r="H1682" s="104">
        <v>713.59</v>
      </c>
      <c r="I1682" s="104">
        <v>14961.18</v>
      </c>
      <c r="J1682" s="104">
        <v>-30488.33</v>
      </c>
      <c r="K1682" s="32"/>
      <c r="L1682" s="32"/>
      <c r="M1682" s="32"/>
      <c r="N1682" s="32"/>
      <c r="O1682" s="104">
        <v>288609.74</v>
      </c>
      <c r="P1682" s="91">
        <f>IFERROR(__xludf.DUMMYFUNCTION("IFERROR(sum(FILTER($D:$N,$C:$C = $C1682,$A:$A &lt; $A1682,$B:$B = 12)),0) + sum($D1682:$N1682)"),288610.0800000001)</f>
        <v>288610.08</v>
      </c>
      <c r="Q1682" s="92">
        <f t="shared" si="1"/>
        <v>-0.3400000001</v>
      </c>
      <c r="R1682" s="91">
        <f t="array" ref="R1682">IFERROR(INDEX('Fund YTD Target Values'!$1:$1000, MATCH($C1682,'Fund YTD Target Values'!$A:$A,0), MATCH($A1682,'Fund YTD Target Values'!$1:$1,0)),0)</f>
        <v>410076.5954</v>
      </c>
      <c r="S1682" s="91">
        <f>IFERROR(__xludf.DUMMYFUNCTION("IFERROR(sum(FILTER('Fund Investment Data'!$V:$V, 'Fund Investment Data'!$C:$C = $C1682, 'Fund Investment Data'!$A:$A &lt; $A1682)),0) + IFERROR(sum(FILTER('Fund Investment Data'!$V:$V, 'Fund Investment Data'!$C:$C = $C1682, 'Fund Investment Data'!$A:$A = $A1"&amp;"682, 'Fund Investment Data'!$B:$B &lt;= $B1682)),0)"),276213.69999999995)</f>
        <v>276213.7</v>
      </c>
      <c r="T1682" s="32"/>
      <c r="U1682" s="32"/>
      <c r="V1682" s="32">
        <f>IFERROR(__xludf.DUMMYFUNCTION("$D1682 - IFERROR(FILTER($D:$D,$C:$C = $C1682, $A:$A = $A1682, $B:$B = $B1682 - 1),0)"),0.0)</f>
        <v>0</v>
      </c>
      <c r="W1682" s="93">
        <f>IFERROR(__xludf.DUMMYFUNCTION("$E1682 - IFERROR(FILTER($E:$E,$C:$C = $C1682, $A:$A = $A1682, $B:$B = $B1682 - 1),0)"),0.0)</f>
        <v>0</v>
      </c>
      <c r="X1682" s="91">
        <f>IFERROR(__xludf.DUMMYFUNCTION("iFERROR((FILTER('Fund Investment Data'!$Z:$Z, 'Fund Investment Data'!$C:$C = $C1682, 'Fund Investment Data'!$A:$A = $A1682 - 1, 'Fund Investment Data'!$B:$B = 12) + FILTER('Fund Investment Data'!$AB:$AB, 'Fund Investment Data'!$C:$C = $C1682, 'Fund Invest"&amp;"ment Data'!$A:$A = $A1682 - 1, 'Fund Investment Data'!$B:$B = 12)) * (1 + AVERAGE(FILTER('Inflation Data'!$C:$C,'Inflation Data'!$A:$A = ($A1682 - 2)))) * Parameters!$A$4,0)"),10103.189252444476)</f>
        <v>10103.18925</v>
      </c>
      <c r="Y1682" s="91">
        <f>IFERROR(__xludf.DUMMYFUNCTION("IFERROR((IFERROR(FILTER('Fund Investment Data'!$P:$P,'Fund Investment Data'!$C:$C = $C1682,'Fund Investment Data'!$A:$A = ($A1682 - 2), 'Fund Investment Data'!$B:$B = 12),0) - SUM(FILTER('Fund Investment Data'!$V:$V, 'Fund Investment Data'!$C:$C = $C1682,"&amp;" 'Fund Investment Data'!$A:$A = ($A1682 - 2), 'Fund Investment Data'!$B:$B &gt; 3)))  * Parameters!$B$4 * (1 - Parameters!$A$4),0)"),3656.9314350000013)</f>
        <v>3656.931435</v>
      </c>
      <c r="Z1682" s="91">
        <f t="shared" si="24"/>
        <v>13760.12069</v>
      </c>
      <c r="AA1682" s="91">
        <f>IFERROR(__xludf.DUMMYFUNCTION("((IFERROR((SUM(FILTER('Fund Investment Data'!$V:$V, 'Fund Investment Data'!$C:$C = $C1682, 'Fund Investment Data'!$A:$A = $A1682 - 1, 'Fund Investment Data'!$B:$B &gt;= 4, 'Fund Investment Data'!$B:$B &lt;= ($B1682 + 5))) / 12) * ($B1682 - 3) * Parameters!$B$4,"&amp;" 0) + IF($B1682 &gt;= 9, IFERROR(SUM(FILTER('Fund Investment Data'!$V:$V, 'Fund Investment Data'!$C:$C = $C1682, 'Fund Investment Data'!$A:$A = $A1682, 'Fund Investment Data'!$B:$B &lt;= 3)) * Parameters!$B$4, 0),0)))"),0.0)</f>
        <v>0</v>
      </c>
      <c r="AB1682" s="32">
        <f>IFERROR(__xludf.DUMMYFUNCTION("IFERROR(((IFERROR(SUM(FILTER('Fund Investment Data'!$V:$V, 'Fund Investment Data'!$C:$C = $C1682, 'Fund Investment Data'!$A:$A = $A1682 - 2, 'Fund Investment Data'!$B:$B &gt;= 4)) * Parameters!$B$4,0) + IFERROR(SUM(FILTER('Fund Investment Data'!$V:$V, 'Fund "&amp;"Investment Data'!$C:$C = $C1682, 'Fund Investment Data'!$A:$A = $A1682 - 1, 'Fund Investment Data'!$B:$B &lt;= 3)) * Parameters!$B$4,0))),0)"),0.0)</f>
        <v>0</v>
      </c>
      <c r="AC1682" s="32" t="str">
        <f>IFERROR(__xludf.DUMMYFUNCTION("IFERROR(FILTER($AF:$AF,$C:$C = $C1682,$A:$A = $A1682 - 1,$B:$B = 12),0)"),"")</f>
        <v/>
      </c>
      <c r="AD1682" s="32">
        <f t="shared" si="23"/>
        <v>13760.12069</v>
      </c>
      <c r="AE1682" s="32">
        <f t="shared" si="2"/>
        <v>13760.12069</v>
      </c>
      <c r="AF1682" s="32"/>
    </row>
    <row r="1683">
      <c r="A1683" s="86">
        <v>2020.0</v>
      </c>
      <c r="B1683" s="87">
        <v>2.0</v>
      </c>
      <c r="C1683" s="103" t="s">
        <v>28</v>
      </c>
      <c r="D1683" s="104">
        <v>0.0</v>
      </c>
      <c r="E1683" s="104">
        <v>0.0</v>
      </c>
      <c r="F1683" s="104">
        <v>0.0</v>
      </c>
      <c r="G1683" s="104">
        <v>-2459.93</v>
      </c>
      <c r="H1683" s="104">
        <v>7646.6</v>
      </c>
      <c r="I1683" s="104">
        <v>160317.93</v>
      </c>
      <c r="J1683" s="104">
        <v>-326700.44</v>
      </c>
      <c r="K1683" s="32"/>
      <c r="L1683" s="32"/>
      <c r="M1683" s="32"/>
      <c r="N1683" s="32"/>
      <c r="O1683" s="104">
        <v>3092624.1</v>
      </c>
      <c r="P1683" s="91">
        <f>IFERROR(__xludf.DUMMYFUNCTION("IFERROR(sum(FILTER($D:$N,$C:$C = $C1683,$A:$A &lt; $A1683,$B:$B = 12)),0) + sum($D1683:$N1683)"),3092623.1700000004)</f>
        <v>3092623.17</v>
      </c>
      <c r="Q1683" s="92">
        <f t="shared" si="1"/>
        <v>0.9299999997</v>
      </c>
      <c r="R1683" s="91">
        <f t="array" ref="R1683">IFERROR(INDEX('Fund YTD Target Values'!$1:$1000, MATCH($C1683,'Fund YTD Target Values'!$A:$A,0), MATCH($A1683,'Fund YTD Target Values'!$1:$1,0)),0)</f>
        <v>4004331.875</v>
      </c>
      <c r="S1683" s="91">
        <f>IFERROR(__xludf.DUMMYFUNCTION("IFERROR(sum(FILTER('Fund Investment Data'!$V:$V, 'Fund Investment Data'!$C:$C = $C1683, 'Fund Investment Data'!$A:$A &lt; $A1683)),0) + IFERROR(sum(FILTER('Fund Investment Data'!$V:$V, 'Fund Investment Data'!$C:$C = $C1683, 'Fund Investment Data'!$A:$A = $A1"&amp;"683, 'Fund Investment Data'!$B:$B &lt;= $B1683)),0)"),2960091.25)</f>
        <v>2960091.25</v>
      </c>
      <c r="T1683" s="32"/>
      <c r="U1683" s="32"/>
      <c r="V1683" s="32">
        <f>IFERROR(__xludf.DUMMYFUNCTION("$D1683 - IFERROR(FILTER($D:$D,$C:$C = $C1683, $A:$A = $A1683, $B:$B = $B1683 - 1),0)"),0.0)</f>
        <v>0</v>
      </c>
      <c r="W1683" s="93">
        <f>IFERROR(__xludf.DUMMYFUNCTION("$E1683 - IFERROR(FILTER($E:$E,$C:$C = $C1683, $A:$A = $A1683, $B:$B = $B1683 - 1),0)"),0.0)</f>
        <v>0</v>
      </c>
      <c r="X1683" s="91">
        <f>IFERROR(__xludf.DUMMYFUNCTION("iFERROR((FILTER('Fund Investment Data'!$Z:$Z, 'Fund Investment Data'!$C:$C = $C1683, 'Fund Investment Data'!$A:$A = $A1683 - 1, 'Fund Investment Data'!$B:$B = 12) + FILTER('Fund Investment Data'!$AB:$AB, 'Fund Investment Data'!$C:$C = $C1683, 'Fund Invest"&amp;"ment Data'!$A:$A = $A1683 - 1, 'Fund Investment Data'!$B:$B = 12)) * (1 + AVERAGE(FILTER('Inflation Data'!$C:$C,'Inflation Data'!$A:$A = ($A1683 - 2)))) * Parameters!$A$4,0)"),108380.29049132655)</f>
        <v>108380.2905</v>
      </c>
      <c r="Y1683" s="91">
        <f>IFERROR(__xludf.DUMMYFUNCTION("IFERROR((IFERROR(FILTER('Fund Investment Data'!$P:$P,'Fund Investment Data'!$C:$C = $C1683,'Fund Investment Data'!$A:$A = ($A1683 - 2), 'Fund Investment Data'!$B:$B = 12),0) - SUM(FILTER('Fund Investment Data'!$V:$V, 'Fund Investment Data'!$C:$C = $C1683,"&amp;" 'Fund Investment Data'!$A:$A = ($A1683 - 2), 'Fund Investment Data'!$B:$B &gt; 3)))  * Parameters!$B$4 * (1 - Parameters!$A$4),0)"),39180.23244000001)</f>
        <v>39180.23244</v>
      </c>
      <c r="Z1683" s="91">
        <f t="shared" si="24"/>
        <v>147560.5229</v>
      </c>
      <c r="AA1683" s="91">
        <f>IFERROR(__xludf.DUMMYFUNCTION("((IFERROR((SUM(FILTER('Fund Investment Data'!$V:$V, 'Fund Investment Data'!$C:$C = $C1683, 'Fund Investment Data'!$A:$A = $A1683 - 1, 'Fund Investment Data'!$B:$B &gt;= 4, 'Fund Investment Data'!$B:$B &lt;= ($B1683 + 5))) / 12) * ($B1683 - 3) * Parameters!$B$4,"&amp;" 0) + IF($B1683 &gt;= 9, IFERROR(SUM(FILTER('Fund Investment Data'!$V:$V, 'Fund Investment Data'!$C:$C = $C1683, 'Fund Investment Data'!$A:$A = $A1683, 'Fund Investment Data'!$B:$B &lt;= 3)) * Parameters!$B$4, 0),0)))"),0.0)</f>
        <v>0</v>
      </c>
      <c r="AB1683" s="32">
        <f>IFERROR(__xludf.DUMMYFUNCTION("IFERROR(((IFERROR(SUM(FILTER('Fund Investment Data'!$V:$V, 'Fund Investment Data'!$C:$C = $C1683, 'Fund Investment Data'!$A:$A = $A1683 - 2, 'Fund Investment Data'!$B:$B &gt;= 4)) * Parameters!$B$4,0) + IFERROR(SUM(FILTER('Fund Investment Data'!$V:$V, 'Fund "&amp;"Investment Data'!$C:$C = $C1683, 'Fund Investment Data'!$A:$A = $A1683 - 1, 'Fund Investment Data'!$B:$B &lt;= 3)) * Parameters!$B$4,0))),0)"),0.0)</f>
        <v>0</v>
      </c>
      <c r="AC1683" s="32" t="str">
        <f>IFERROR(__xludf.DUMMYFUNCTION("IFERROR(FILTER($AF:$AF,$C:$C = $C1683,$A:$A = $A1683 - 1,$B:$B = 12),0)"),"")</f>
        <v/>
      </c>
      <c r="AD1683" s="32">
        <f t="shared" si="23"/>
        <v>147560.5229</v>
      </c>
      <c r="AE1683" s="32">
        <f t="shared" si="2"/>
        <v>147560.5229</v>
      </c>
      <c r="AF1683" s="32"/>
    </row>
    <row r="1684">
      <c r="A1684" s="86">
        <v>2020.0</v>
      </c>
      <c r="B1684" s="87">
        <v>2.0</v>
      </c>
      <c r="C1684" s="105" t="s">
        <v>46</v>
      </c>
      <c r="D1684" s="104">
        <v>0.0</v>
      </c>
      <c r="E1684" s="104">
        <v>0.0</v>
      </c>
      <c r="F1684" s="104">
        <v>0.0</v>
      </c>
      <c r="G1684" s="104">
        <v>-283.29</v>
      </c>
      <c r="H1684" s="104">
        <v>880.58</v>
      </c>
      <c r="I1684" s="104">
        <v>18462.19</v>
      </c>
      <c r="J1684" s="104">
        <v>-37622.79</v>
      </c>
      <c r="K1684" s="32"/>
      <c r="L1684" s="32"/>
      <c r="M1684" s="32"/>
      <c r="N1684" s="32"/>
      <c r="O1684" s="106">
        <v>356146.35</v>
      </c>
      <c r="P1684" s="91">
        <f>IFERROR(__xludf.DUMMYFUNCTION("IFERROR(sum(FILTER($D:$N,$C:$C = $C1684,$A:$A &lt; $A1684,$B:$B = 12)),0) + sum($D1684:$N1684)"),356146.76999999996)</f>
        <v>356146.77</v>
      </c>
      <c r="Q1684" s="92">
        <f t="shared" si="1"/>
        <v>-0.42</v>
      </c>
      <c r="R1684" s="91">
        <f t="array" ref="R1684">IFERROR(INDEX('Fund YTD Target Values'!$1:$1000, MATCH($C1684,'Fund YTD Target Values'!$A:$A,0), MATCH($A1684,'Fund YTD Target Values'!$1:$1,0)),0)</f>
        <v>476024.3486</v>
      </c>
      <c r="S1684" s="91">
        <f>IFERROR(__xludf.DUMMYFUNCTION("IFERROR(sum(FILTER('Fund Investment Data'!$V:$V, 'Fund Investment Data'!$C:$C = $C1684, 'Fund Investment Data'!$A:$A &lt; $A1684)),0) + IFERROR(sum(FILTER('Fund Investment Data'!$V:$V, 'Fund Investment Data'!$C:$C = $C1684, 'Fund Investment Data'!$A:$A = $A1"&amp;"684, 'Fund Investment Data'!$B:$B &lt;= $B1684)),0)"),366400.0)</f>
        <v>366400</v>
      </c>
      <c r="T1684" s="32"/>
      <c r="U1684" s="32"/>
      <c r="V1684" s="32">
        <f>IFERROR(__xludf.DUMMYFUNCTION("$D1684 - IFERROR(FILTER($D:$D,$C:$C = $C1684, $A:$A = $A1684, $B:$B = $B1684 - 1),0)"),0.0)</f>
        <v>0</v>
      </c>
      <c r="W1684" s="93">
        <f>IFERROR(__xludf.DUMMYFUNCTION("$E1684 - IFERROR(FILTER($E:$E,$C:$C = $C1684, $A:$A = $A1684, $B:$B = $B1684 - 1),0)"),0.0)</f>
        <v>0</v>
      </c>
      <c r="X1684" s="91">
        <f>IFERROR(__xludf.DUMMYFUNCTION("iFERROR((FILTER('Fund Investment Data'!$Z:$Z, 'Fund Investment Data'!$C:$C = $C1684, 'Fund Investment Data'!$A:$A = $A1684 - 1, 'Fund Investment Data'!$B:$B = 12) + FILTER('Fund Investment Data'!$AB:$AB, 'Fund Investment Data'!$C:$C = $C1684, 'Fund Invest"&amp;"ment Data'!$A:$A = $A1684 - 1, 'Fund Investment Data'!$B:$B = 12)) * (1 + AVERAGE(FILTER('Inflation Data'!$C:$C,'Inflation Data'!$A:$A = ($A1684 - 2)))) * Parameters!$A$4,0)"),12887.748857049877)</f>
        <v>12887.74886</v>
      </c>
      <c r="Y1684" s="91">
        <f>IFERROR(__xludf.DUMMYFUNCTION("IFERROR((IFERROR(FILTER('Fund Investment Data'!$P:$P,'Fund Investment Data'!$C:$C = $C1684,'Fund Investment Data'!$A:$A = ($A1684 - 2), 'Fund Investment Data'!$B:$B = 12),0) - SUM(FILTER('Fund Investment Data'!$V:$V, 'Fund Investment Data'!$C:$C = $C1684,"&amp;" 'Fund Investment Data'!$A:$A = ($A1684 - 2), 'Fund Investment Data'!$B:$B &gt; 3)))  * Parameters!$B$4 * (1 - Parameters!$A$4),0)"),4519.68363)</f>
        <v>4519.68363</v>
      </c>
      <c r="Z1684" s="91">
        <f t="shared" si="24"/>
        <v>17407.43249</v>
      </c>
      <c r="AA1684" s="91">
        <f>IFERROR(__xludf.DUMMYFUNCTION("((IFERROR((SUM(FILTER('Fund Investment Data'!$V:$V, 'Fund Investment Data'!$C:$C = $C1684, 'Fund Investment Data'!$A:$A = $A1684 - 1, 'Fund Investment Data'!$B:$B &gt;= 4, 'Fund Investment Data'!$B:$B &lt;= ($B1684 + 5))) / 12) * ($B1684 - 3) * Parameters!$B$4,"&amp;" 0) + IF($B1684 &gt;= 9, IFERROR(SUM(FILTER('Fund Investment Data'!$V:$V, 'Fund Investment Data'!$C:$C = $C1684, 'Fund Investment Data'!$A:$A = $A1684, 'Fund Investment Data'!$B:$B &lt;= 3)) * Parameters!$B$4, 0),0)))"),0.0)</f>
        <v>0</v>
      </c>
      <c r="AB1684" s="32">
        <f>IFERROR(__xludf.DUMMYFUNCTION("IFERROR(((IFERROR(SUM(FILTER('Fund Investment Data'!$V:$V, 'Fund Investment Data'!$C:$C = $C1684, 'Fund Investment Data'!$A:$A = $A1684 - 2, 'Fund Investment Data'!$B:$B &gt;= 4)) * Parameters!$B$4,0) + IFERROR(SUM(FILTER('Fund Investment Data'!$V:$V, 'Fund "&amp;"Investment Data'!$C:$C = $C1684, 'Fund Investment Data'!$A:$A = $A1684 - 1, 'Fund Investment Data'!$B:$B &lt;= 3)) * Parameters!$B$4,0))),0)"),0.0)</f>
        <v>0</v>
      </c>
      <c r="AC1684" s="32" t="str">
        <f>IFERROR(__xludf.DUMMYFUNCTION("IFERROR(FILTER($AF:$AF,$C:$C = $C1684,$A:$A = $A1684 - 1,$B:$B = 12),0)"),"")</f>
        <v/>
      </c>
      <c r="AD1684" s="32">
        <f t="shared" si="23"/>
        <v>17407.43249</v>
      </c>
      <c r="AE1684" s="32">
        <f t="shared" si="2"/>
        <v>17407.43249</v>
      </c>
      <c r="AF1684" s="32"/>
    </row>
    <row r="1685">
      <c r="A1685" s="86">
        <v>2020.0</v>
      </c>
      <c r="B1685" s="87">
        <v>2.0</v>
      </c>
      <c r="C1685" s="105" t="s">
        <v>36</v>
      </c>
      <c r="D1685" s="104">
        <v>0.0</v>
      </c>
      <c r="E1685" s="104">
        <v>0.0</v>
      </c>
      <c r="F1685" s="104">
        <v>0.0</v>
      </c>
      <c r="G1685" s="104">
        <v>-333.72</v>
      </c>
      <c r="H1685" s="104">
        <v>1037.35</v>
      </c>
      <c r="I1685" s="104">
        <v>21749.1</v>
      </c>
      <c r="J1685" s="104">
        <v>-44320.93</v>
      </c>
      <c r="K1685" s="32"/>
      <c r="L1685" s="32"/>
      <c r="M1685" s="32"/>
      <c r="N1685" s="32"/>
      <c r="O1685" s="106">
        <v>419552.4</v>
      </c>
      <c r="P1685" s="91">
        <f>IFERROR(__xludf.DUMMYFUNCTION("IFERROR(sum(FILTER($D:$N,$C:$C = $C1685,$A:$A &lt; $A1685,$B:$B = 12)),0) + sum($D1685:$N1685)"),419551.95)</f>
        <v>419551.95</v>
      </c>
      <c r="Q1685" s="92">
        <f t="shared" si="1"/>
        <v>0.45</v>
      </c>
      <c r="R1685" s="91">
        <f t="array" ref="R1685">IFERROR(INDEX('Fund YTD Target Values'!$1:$1000, MATCH($C1685,'Fund YTD Target Values'!$A:$A,0), MATCH($A1685,'Fund YTD Target Values'!$1:$1,0)),0)</f>
        <v>662598.0199</v>
      </c>
      <c r="S1685" s="91">
        <f>IFERROR(__xludf.DUMMYFUNCTION("IFERROR(sum(FILTER('Fund Investment Data'!$V:$V, 'Fund Investment Data'!$C:$C = $C1685, 'Fund Investment Data'!$A:$A &lt; $A1685)),0) + IFERROR(sum(FILTER('Fund Investment Data'!$V:$V, 'Fund Investment Data'!$C:$C = $C1685, 'Fund Investment Data'!$A:$A = $A1"&amp;"685, 'Fund Investment Data'!$B:$B &lt;= $B1685)),0)"),429067.24)</f>
        <v>429067.24</v>
      </c>
      <c r="T1685" s="32"/>
      <c r="U1685" s="32"/>
      <c r="V1685" s="32">
        <f>IFERROR(__xludf.DUMMYFUNCTION("$D1685 - IFERROR(FILTER($D:$D,$C:$C = $C1685, $A:$A = $A1685, $B:$B = $B1685 - 1),0)"),0.0)</f>
        <v>0</v>
      </c>
      <c r="W1685" s="93">
        <f>IFERROR(__xludf.DUMMYFUNCTION("$E1685 - IFERROR(FILTER($E:$E,$C:$C = $C1685, $A:$A = $A1685, $B:$B = $B1685 - 1),0)"),0.0)</f>
        <v>0</v>
      </c>
      <c r="X1685" s="91">
        <f>IFERROR(__xludf.DUMMYFUNCTION("iFERROR((FILTER('Fund Investment Data'!$Z:$Z, 'Fund Investment Data'!$C:$C = $C1685, 'Fund Investment Data'!$A:$A = $A1685 - 1, 'Fund Investment Data'!$B:$B = 12) + FILTER('Fund Investment Data'!$AB:$AB, 'Fund Investment Data'!$C:$C = $C1685, 'Fund Invest"&amp;"ment Data'!$A:$A = $A1685 - 1, 'Fund Investment Data'!$B:$B = 12)) * (1 + AVERAGE(FILTER('Inflation Data'!$C:$C,'Inflation Data'!$A:$A = ($A1685 - 2)))) * Parameters!$A$4,0)"),14762.63581927512)</f>
        <v>14762.63582</v>
      </c>
      <c r="Y1685" s="91">
        <f>IFERROR(__xludf.DUMMYFUNCTION("IFERROR((IFERROR(FILTER('Fund Investment Data'!$P:$P,'Fund Investment Data'!$C:$C = $C1685,'Fund Investment Data'!$A:$A = ($A1685 - 2), 'Fund Investment Data'!$B:$B = 12),0) - SUM(FILTER('Fund Investment Data'!$V:$V, 'Fund Investment Data'!$C:$C = $C1685,"&amp;" 'Fund Investment Data'!$A:$A = ($A1685 - 2), 'Fund Investment Data'!$B:$B &gt; 3)))  * Parameters!$B$4 * (1 - Parameters!$A$4),0)"),5318.06499)</f>
        <v>5318.06499</v>
      </c>
      <c r="Z1685" s="91">
        <f t="shared" si="24"/>
        <v>20080.70081</v>
      </c>
      <c r="AA1685" s="91">
        <f>IFERROR(__xludf.DUMMYFUNCTION("((IFERROR((SUM(FILTER('Fund Investment Data'!$V:$V, 'Fund Investment Data'!$C:$C = $C1685, 'Fund Investment Data'!$A:$A = $A1685 - 1, 'Fund Investment Data'!$B:$B &gt;= 4, 'Fund Investment Data'!$B:$B &lt;= ($B1685 + 5))) / 12) * ($B1685 - 3) * Parameters!$B$4,"&amp;" 0) + IF($B1685 &gt;= 9, IFERROR(SUM(FILTER('Fund Investment Data'!$V:$V, 'Fund Investment Data'!$C:$C = $C1685, 'Fund Investment Data'!$A:$A = $A1685, 'Fund Investment Data'!$B:$B &lt;= 3)) * Parameters!$B$4, 0),0)))"),0.0)</f>
        <v>0</v>
      </c>
      <c r="AB1685" s="32">
        <f>IFERROR(__xludf.DUMMYFUNCTION("IFERROR(((IFERROR(SUM(FILTER('Fund Investment Data'!$V:$V, 'Fund Investment Data'!$C:$C = $C1685, 'Fund Investment Data'!$A:$A = $A1685 - 2, 'Fund Investment Data'!$B:$B &gt;= 4)) * Parameters!$B$4,0) + IFERROR(SUM(FILTER('Fund Investment Data'!$V:$V, 'Fund "&amp;"Investment Data'!$C:$C = $C1685, 'Fund Investment Data'!$A:$A = $A1685 - 1, 'Fund Investment Data'!$B:$B &lt;= 3)) * Parameters!$B$4,0))),0)"),0.0)</f>
        <v>0</v>
      </c>
      <c r="AC1685" s="32" t="str">
        <f>IFERROR(__xludf.DUMMYFUNCTION("IFERROR(FILTER($AF:$AF,$C:$C = $C1685,$A:$A = $A1685 - 1,$B:$B = 12),0)"),"")</f>
        <v/>
      </c>
      <c r="AD1685" s="32">
        <f t="shared" si="23"/>
        <v>20080.70081</v>
      </c>
      <c r="AE1685" s="32">
        <f t="shared" si="2"/>
        <v>20080.70081</v>
      </c>
      <c r="AF1685" s="32"/>
    </row>
    <row r="1686">
      <c r="A1686" s="86">
        <v>2020.0</v>
      </c>
      <c r="B1686" s="87">
        <v>2.0</v>
      </c>
      <c r="C1686" s="105" t="s">
        <v>37</v>
      </c>
      <c r="D1686" s="104">
        <v>0.0</v>
      </c>
      <c r="E1686" s="104">
        <v>0.0</v>
      </c>
      <c r="F1686" s="104">
        <v>0.0</v>
      </c>
      <c r="G1686" s="104">
        <v>-612.7</v>
      </c>
      <c r="H1686" s="104">
        <v>1904.56</v>
      </c>
      <c r="I1686" s="104">
        <v>39930.54</v>
      </c>
      <c r="J1686" s="104">
        <v>-81371.6</v>
      </c>
      <c r="K1686" s="32"/>
      <c r="L1686" s="32"/>
      <c r="M1686" s="32"/>
      <c r="N1686" s="32"/>
      <c r="O1686" s="106">
        <v>770282.95</v>
      </c>
      <c r="P1686" s="91">
        <f>IFERROR(__xludf.DUMMYFUNCTION("IFERROR(sum(FILTER($D:$N,$C:$C = $C1686,$A:$A &lt; $A1686,$B:$B = 12)),0) + sum($D1686:$N1686)"),770282.95)</f>
        <v>770282.95</v>
      </c>
      <c r="Q1686" s="92">
        <f t="shared" si="1"/>
        <v>0</v>
      </c>
      <c r="R1686" s="91">
        <f t="array" ref="R1686">IFERROR(INDEX('Fund YTD Target Values'!$1:$1000, MATCH($C1686,'Fund YTD Target Values'!$A:$A,0), MATCH($A1686,'Fund YTD Target Values'!$1:$1,0)),0)</f>
        <v>881697.5887</v>
      </c>
      <c r="S1686" s="91">
        <f>IFERROR(__xludf.DUMMYFUNCTION("IFERROR(sum(FILTER('Fund Investment Data'!$V:$V, 'Fund Investment Data'!$C:$C = $C1686, 'Fund Investment Data'!$A:$A &lt; $A1686)),0) + IFERROR(sum(FILTER('Fund Investment Data'!$V:$V, 'Fund Investment Data'!$C:$C = $C1686, 'Fund Investment Data'!$A:$A = $A1"&amp;"686, 'Fund Investment Data'!$B:$B &lt;= $B1686)),0)"),758137.86)</f>
        <v>758137.86</v>
      </c>
      <c r="T1686" s="32"/>
      <c r="U1686" s="32"/>
      <c r="V1686" s="32">
        <f>IFERROR(__xludf.DUMMYFUNCTION("$D1686 - IFERROR(FILTER($D:$D,$C:$C = $C1686, $A:$A = $A1686, $B:$B = $B1686 - 1),0)"),0.0)</f>
        <v>0</v>
      </c>
      <c r="W1686" s="93">
        <f>IFERROR(__xludf.DUMMYFUNCTION("$E1686 - IFERROR(FILTER($E:$E,$C:$C = $C1686, $A:$A = $A1686, $B:$B = $B1686 - 1),0)"),0.0)</f>
        <v>0</v>
      </c>
      <c r="X1686" s="91">
        <f>IFERROR(__xludf.DUMMYFUNCTION("iFERROR((FILTER('Fund Investment Data'!$Z:$Z, 'Fund Investment Data'!$C:$C = $C1686, 'Fund Investment Data'!$A:$A = $A1686 - 1, 'Fund Investment Data'!$B:$B = 12) + FILTER('Fund Investment Data'!$AB:$AB, 'Fund Investment Data'!$C:$C = $C1686, 'Fund Invest"&amp;"ment Data'!$A:$A = $A1686 - 1, 'Fund Investment Data'!$B:$B = 12)) * (1 + AVERAGE(FILTER('Inflation Data'!$C:$C,'Inflation Data'!$A:$A = ($A1686 - 2)))) * Parameters!$A$4,0)"),26964.813014785388)</f>
        <v>26964.81301</v>
      </c>
      <c r="Y1686" s="91">
        <f>IFERROR(__xludf.DUMMYFUNCTION("IFERROR((IFERROR(FILTER('Fund Investment Data'!$P:$P,'Fund Investment Data'!$C:$C = $C1686,'Fund Investment Data'!$A:$A = ($A1686 - 2), 'Fund Investment Data'!$B:$B = 12),0) - SUM(FILTER('Fund Investment Data'!$V:$V, 'Fund Investment Data'!$C:$C = $C1686,"&amp;" 'Fund Investment Data'!$A:$A = ($A1686 - 2), 'Fund Investment Data'!$B:$B &gt; 3)))  * Parameters!$B$4 * (1 - Parameters!$A$4),0)"),9760.690485)</f>
        <v>9760.690485</v>
      </c>
      <c r="Z1686" s="91">
        <f t="shared" si="24"/>
        <v>36725.5035</v>
      </c>
      <c r="AA1686" s="91">
        <f>IFERROR(__xludf.DUMMYFUNCTION("((IFERROR((SUM(FILTER('Fund Investment Data'!$V:$V, 'Fund Investment Data'!$C:$C = $C1686, 'Fund Investment Data'!$A:$A = $A1686 - 1, 'Fund Investment Data'!$B:$B &gt;= 4, 'Fund Investment Data'!$B:$B &lt;= ($B1686 + 5))) / 12) * ($B1686 - 3) * Parameters!$B$4,"&amp;" 0) + IF($B1686 &gt;= 9, IFERROR(SUM(FILTER('Fund Investment Data'!$V:$V, 'Fund Investment Data'!$C:$C = $C1686, 'Fund Investment Data'!$A:$A = $A1686, 'Fund Investment Data'!$B:$B &lt;= 3)) * Parameters!$B$4, 0),0)))"),0.0)</f>
        <v>0</v>
      </c>
      <c r="AB1686" s="32">
        <f>IFERROR(__xludf.DUMMYFUNCTION("IFERROR(((IFERROR(SUM(FILTER('Fund Investment Data'!$V:$V, 'Fund Investment Data'!$C:$C = $C1686, 'Fund Investment Data'!$A:$A = $A1686 - 2, 'Fund Investment Data'!$B:$B &gt;= 4)) * Parameters!$B$4,0) + IFERROR(SUM(FILTER('Fund Investment Data'!$V:$V, 'Fund "&amp;"Investment Data'!$C:$C = $C1686, 'Fund Investment Data'!$A:$A = $A1686 - 1, 'Fund Investment Data'!$B:$B &lt;= 3)) * Parameters!$B$4,0))),0)"),0.0)</f>
        <v>0</v>
      </c>
      <c r="AC1686" s="32" t="str">
        <f>IFERROR(__xludf.DUMMYFUNCTION("IFERROR(FILTER($AF:$AF,$C:$C = $C1686,$A:$A = $A1686 - 1,$B:$B = 12),0)"),"")</f>
        <v/>
      </c>
      <c r="AD1686" s="32">
        <f t="shared" si="23"/>
        <v>36725.5035</v>
      </c>
      <c r="AE1686" s="32">
        <f t="shared" si="2"/>
        <v>36725.5035</v>
      </c>
      <c r="AF1686" s="32"/>
    </row>
    <row r="1687">
      <c r="A1687" s="86">
        <v>2020.0</v>
      </c>
      <c r="B1687" s="87">
        <v>2.0</v>
      </c>
      <c r="C1687" s="105" t="s">
        <v>29</v>
      </c>
      <c r="D1687" s="104">
        <v>0.0</v>
      </c>
      <c r="E1687" s="104">
        <v>0.0</v>
      </c>
      <c r="F1687" s="104">
        <v>0.0</v>
      </c>
      <c r="G1687" s="104">
        <v>-45.59</v>
      </c>
      <c r="H1687" s="104">
        <v>141.7</v>
      </c>
      <c r="I1687" s="104">
        <v>2971.02</v>
      </c>
      <c r="J1687" s="104">
        <v>-6054.42</v>
      </c>
      <c r="K1687" s="32"/>
      <c r="L1687" s="32"/>
      <c r="M1687" s="32"/>
      <c r="N1687" s="32"/>
      <c r="O1687" s="106">
        <v>57312.58</v>
      </c>
      <c r="P1687" s="91">
        <f>IFERROR(__xludf.DUMMYFUNCTION("IFERROR(sum(FILTER($D:$N,$C:$C = $C1687,$A:$A &lt; $A1687,$B:$B = 12)),0) + sum($D1687:$N1687)"),57312.60999999991)</f>
        <v>57312.61</v>
      </c>
      <c r="Q1687" s="92">
        <f t="shared" si="1"/>
        <v>-0.02999999991</v>
      </c>
      <c r="R1687" s="91">
        <f t="array" ref="R1687">IFERROR(INDEX('Fund YTD Target Values'!$1:$1000, MATCH($C1687,'Fund YTD Target Values'!$A:$A,0), MATCH($A1687,'Fund YTD Target Values'!$1:$1,0)),0)</f>
        <v>80343.33092</v>
      </c>
      <c r="S1687" s="91">
        <f>IFERROR(__xludf.DUMMYFUNCTION("IFERROR(sum(FILTER('Fund Investment Data'!$V:$V, 'Fund Investment Data'!$C:$C = $C1687, 'Fund Investment Data'!$A:$A &lt; $A1687)),0) + IFERROR(sum(FILTER('Fund Investment Data'!$V:$V, 'Fund Investment Data'!$C:$C = $C1687, 'Fund Investment Data'!$A:$A = $A1"&amp;"687, 'Fund Investment Data'!$B:$B &lt;= $B1687)),0)"),50000.0)</f>
        <v>50000</v>
      </c>
      <c r="T1687" s="32"/>
      <c r="U1687" s="32"/>
      <c r="V1687" s="32">
        <f>IFERROR(__xludf.DUMMYFUNCTION("$D1687 - IFERROR(FILTER($D:$D,$C:$C = $C1687, $A:$A = $A1687, $B:$B = $B1687 - 1),0)"),0.0)</f>
        <v>0</v>
      </c>
      <c r="W1687" s="93">
        <f>IFERROR(__xludf.DUMMYFUNCTION("$E1687 - IFERROR(FILTER($E:$E,$C:$C = $C1687, $A:$A = $A1687, $B:$B = $B1687 - 1),0)"),0.0)</f>
        <v>0</v>
      </c>
      <c r="X1687" s="91">
        <f>IFERROR(__xludf.DUMMYFUNCTION("iFERROR((FILTER('Fund Investment Data'!$Z:$Z, 'Fund Investment Data'!$C:$C = $C1687, 'Fund Investment Data'!$A:$A = $A1687 - 1, 'Fund Investment Data'!$B:$B = 12) + FILTER('Fund Investment Data'!$AB:$AB, 'Fund Investment Data'!$C:$C = $C1687, 'Fund Invest"&amp;"ment Data'!$A:$A = $A1687 - 1, 'Fund Investment Data'!$B:$B = 12)) * (1 + AVERAGE(FILTER('Inflation Data'!$C:$C,'Inflation Data'!$A:$A = ($A1687 - 2)))) * Parameters!$A$4,0)"),1904.8380315570544)</f>
        <v>1904.838032</v>
      </c>
      <c r="Y1687" s="91">
        <f>IFERROR(__xludf.DUMMYFUNCTION("IFERROR((IFERROR(FILTER('Fund Investment Data'!$P:$P,'Fund Investment Data'!$C:$C = $C1687,'Fund Investment Data'!$A:$A = ($A1687 - 2), 'Fund Investment Data'!$B:$B = 12),0) - SUM(FILTER('Fund Investment Data'!$V:$V, 'Fund Investment Data'!$C:$C = $C1687,"&amp;" 'Fund Investment Data'!$A:$A = ($A1687 - 2), 'Fund Investment Data'!$B:$B &gt; 3)))  * Parameters!$B$4 * (1 - Parameters!$A$4),0)"),725.319764999999)</f>
        <v>725.319765</v>
      </c>
      <c r="Z1687" s="91">
        <f t="shared" si="24"/>
        <v>2630.157797</v>
      </c>
      <c r="AA1687" s="91">
        <f>IFERROR(__xludf.DUMMYFUNCTION("((IFERROR((SUM(FILTER('Fund Investment Data'!$V:$V, 'Fund Investment Data'!$C:$C = $C1687, 'Fund Investment Data'!$A:$A = $A1687 - 1, 'Fund Investment Data'!$B:$B &gt;= 4, 'Fund Investment Data'!$B:$B &lt;= ($B1687 + 5))) / 12) * ($B1687 - 3) * Parameters!$B$4,"&amp;" 0) + IF($B1687 &gt;= 9, IFERROR(SUM(FILTER('Fund Investment Data'!$V:$V, 'Fund Investment Data'!$C:$C = $C1687, 'Fund Investment Data'!$A:$A = $A1687, 'Fund Investment Data'!$B:$B &lt;= 3)) * Parameters!$B$4, 0),0)))"),0.0)</f>
        <v>0</v>
      </c>
      <c r="AB1687" s="32">
        <f>IFERROR(__xludf.DUMMYFUNCTION("IFERROR(((IFERROR(SUM(FILTER('Fund Investment Data'!$V:$V, 'Fund Investment Data'!$C:$C = $C1687, 'Fund Investment Data'!$A:$A = $A1687 - 2, 'Fund Investment Data'!$B:$B &gt;= 4)) * Parameters!$B$4,0) + IFERROR(SUM(FILTER('Fund Investment Data'!$V:$V, 'Fund "&amp;"Investment Data'!$C:$C = $C1687, 'Fund Investment Data'!$A:$A = $A1687 - 1, 'Fund Investment Data'!$B:$B &lt;= 3)) * Parameters!$B$4,0))),0)"),0.0)</f>
        <v>0</v>
      </c>
      <c r="AC1687" s="32" t="str">
        <f>IFERROR(__xludf.DUMMYFUNCTION("IFERROR(FILTER($AF:$AF,$C:$C = $C1687,$A:$A = $A1687 - 1,$B:$B = 12),0)"),"")</f>
        <v/>
      </c>
      <c r="AD1687" s="32">
        <f t="shared" si="23"/>
        <v>2630.157797</v>
      </c>
      <c r="AE1687" s="32">
        <f t="shared" si="2"/>
        <v>2630.157797</v>
      </c>
      <c r="AF1687" s="32"/>
    </row>
    <row r="1688">
      <c r="A1688" s="86">
        <v>2020.0</v>
      </c>
      <c r="B1688" s="87">
        <v>2.0</v>
      </c>
      <c r="C1688" s="105" t="s">
        <v>38</v>
      </c>
      <c r="D1688" s="104">
        <v>0.0</v>
      </c>
      <c r="E1688" s="104">
        <v>0.0</v>
      </c>
      <c r="F1688" s="104">
        <v>0.0</v>
      </c>
      <c r="G1688" s="104">
        <v>-624.1</v>
      </c>
      <c r="H1688" s="104">
        <v>1939.97</v>
      </c>
      <c r="I1688" s="104">
        <v>40673.35</v>
      </c>
      <c r="J1688" s="104">
        <v>-82885.32</v>
      </c>
      <c r="K1688" s="32"/>
      <c r="L1688" s="32"/>
      <c r="M1688" s="32"/>
      <c r="N1688" s="32"/>
      <c r="O1688" s="106">
        <v>784612.24</v>
      </c>
      <c r="P1688" s="91">
        <f>IFERROR(__xludf.DUMMYFUNCTION("IFERROR(sum(FILTER($D:$N,$C:$C = $C1688,$A:$A &lt; $A1688,$B:$B = 12)),0) + sum($D1688:$N1688)"),784611.2000000001)</f>
        <v>784611.2</v>
      </c>
      <c r="Q1688" s="92">
        <f t="shared" si="1"/>
        <v>1.04</v>
      </c>
      <c r="R1688" s="91">
        <f t="array" ref="R1688">IFERROR(INDEX('Fund YTD Target Values'!$1:$1000, MATCH($C1688,'Fund YTD Target Values'!$A:$A,0), MATCH($A1688,'Fund YTD Target Values'!$1:$1,0)),0)</f>
        <v>732485.9458</v>
      </c>
      <c r="S1688" s="91">
        <f>IFERROR(__xludf.DUMMYFUNCTION("IFERROR(sum(FILTER('Fund Investment Data'!$V:$V, 'Fund Investment Data'!$C:$C = $C1688, 'Fund Investment Data'!$A:$A &lt; $A1688)),0) + IFERROR(sum(FILTER('Fund Investment Data'!$V:$V, 'Fund Investment Data'!$C:$C = $C1688, 'Fund Investment Data'!$A:$A = $A1"&amp;"688, 'Fund Investment Data'!$B:$B &lt;= $B1688)),0)"),556601.64)</f>
        <v>556601.64</v>
      </c>
      <c r="T1688" s="32"/>
      <c r="U1688" s="32"/>
      <c r="V1688" s="32">
        <f>IFERROR(__xludf.DUMMYFUNCTION("$D1688 - IFERROR(FILTER($D:$D,$C:$C = $C1688, $A:$A = $A1688, $B:$B = $B1688 - 1),0)"),0.0)</f>
        <v>0</v>
      </c>
      <c r="W1688" s="93">
        <f>IFERROR(__xludf.DUMMYFUNCTION("$E1688 - IFERROR(FILTER($E:$E,$C:$C = $C1688, $A:$A = $A1688, $B:$B = $B1688 - 1),0)"),0.0)</f>
        <v>0</v>
      </c>
      <c r="X1688" s="91">
        <f>IFERROR(__xludf.DUMMYFUNCTION("iFERROR((FILTER('Fund Investment Data'!$Z:$Z, 'Fund Investment Data'!$C:$C = $C1688, 'Fund Investment Data'!$A:$A = $A1688 - 1, 'Fund Investment Data'!$B:$B = 12) + FILTER('Fund Investment Data'!$AB:$AB, 'Fund Investment Data'!$C:$C = $C1688, 'Fund Invest"&amp;"ment Data'!$A:$A = $A1688 - 1, 'Fund Investment Data'!$B:$B = 12)) * (1 + AVERAGE(FILTER('Inflation Data'!$C:$C,'Inflation Data'!$A:$A = ($A1688 - 2)))) * Parameters!$A$4,0)"),23714.482768130645)</f>
        <v>23714.48277</v>
      </c>
      <c r="Y1688" s="91">
        <f>IFERROR(__xludf.DUMMYFUNCTION("IFERROR((IFERROR(FILTER('Fund Investment Data'!$P:$P,'Fund Investment Data'!$C:$C = $C1688,'Fund Investment Data'!$A:$A = ($A1688 - 2), 'Fund Investment Data'!$B:$B = 12),0) - SUM(FILTER('Fund Investment Data'!$V:$V, 'Fund Investment Data'!$C:$C = $C1688,"&amp;" 'Fund Investment Data'!$A:$A = ($A1688 - 2), 'Fund Investment Data'!$B:$B &gt; 3)))  * Parameters!$B$4 * (1 - Parameters!$A$4),0)"),9744.43716)</f>
        <v>9744.43716</v>
      </c>
      <c r="Z1688" s="91">
        <f t="shared" si="24"/>
        <v>33458.91993</v>
      </c>
      <c r="AA1688" s="91">
        <f>IFERROR(__xludf.DUMMYFUNCTION("((IFERROR((SUM(FILTER('Fund Investment Data'!$V:$V, 'Fund Investment Data'!$C:$C = $C1688, 'Fund Investment Data'!$A:$A = $A1688 - 1, 'Fund Investment Data'!$B:$B &gt;= 4, 'Fund Investment Data'!$B:$B &lt;= ($B1688 + 5))) / 12) * ($B1688 - 3) * Parameters!$B$4,"&amp;" 0) + IF($B1688 &gt;= 9, IFERROR(SUM(FILTER('Fund Investment Data'!$V:$V, 'Fund Investment Data'!$C:$C = $C1688, 'Fund Investment Data'!$A:$A = $A1688, 'Fund Investment Data'!$B:$B &lt;= 3)) * Parameters!$B$4, 0),0)))"),0.0)</f>
        <v>0</v>
      </c>
      <c r="AB1688" s="32">
        <f>IFERROR(__xludf.DUMMYFUNCTION("IFERROR(((IFERROR(SUM(FILTER('Fund Investment Data'!$V:$V, 'Fund Investment Data'!$C:$C = $C1688, 'Fund Investment Data'!$A:$A = $A1688 - 2, 'Fund Investment Data'!$B:$B &gt;= 4)) * Parameters!$B$4,0) + IFERROR(SUM(FILTER('Fund Investment Data'!$V:$V, 'Fund "&amp;"Investment Data'!$C:$C = $C1688, 'Fund Investment Data'!$A:$A = $A1688 - 1, 'Fund Investment Data'!$B:$B &lt;= 3)) * Parameters!$B$4,0))),0)"),0.0)</f>
        <v>0</v>
      </c>
      <c r="AC1688" s="32" t="str">
        <f>IFERROR(__xludf.DUMMYFUNCTION("IFERROR(FILTER($AF:$AF,$C:$C = $C1688,$A:$A = $A1688 - 1,$B:$B = 12),0)"),"")</f>
        <v/>
      </c>
      <c r="AD1688" s="32">
        <f t="shared" si="23"/>
        <v>33458.91993</v>
      </c>
      <c r="AE1688" s="32">
        <f t="shared" si="2"/>
        <v>33458.91993</v>
      </c>
      <c r="AF1688" s="32"/>
    </row>
    <row r="1689">
      <c r="A1689" s="86">
        <v>2020.0</v>
      </c>
      <c r="B1689" s="87">
        <v>2.0</v>
      </c>
      <c r="C1689" s="105" t="s">
        <v>30</v>
      </c>
      <c r="D1689" s="104">
        <v>0.0</v>
      </c>
      <c r="E1689" s="104">
        <v>0.0</v>
      </c>
      <c r="F1689" s="104">
        <v>0.0</v>
      </c>
      <c r="G1689" s="104">
        <v>-13.62</v>
      </c>
      <c r="H1689" s="104">
        <v>42.31</v>
      </c>
      <c r="I1689" s="104">
        <v>887.12</v>
      </c>
      <c r="J1689" s="104">
        <v>-1807.8</v>
      </c>
      <c r="K1689" s="32"/>
      <c r="L1689" s="32"/>
      <c r="M1689" s="32"/>
      <c r="N1689" s="32"/>
      <c r="O1689" s="106">
        <v>17113.02</v>
      </c>
      <c r="P1689" s="91">
        <f>IFERROR(__xludf.DUMMYFUNCTION("IFERROR(sum(FILTER($D:$N,$C:$C = $C1689,$A:$A &lt; $A1689,$B:$B = 12)),0) + sum($D1689:$N1689)"),17111.389999999985)</f>
        <v>17111.39</v>
      </c>
      <c r="Q1689" s="92">
        <f t="shared" si="1"/>
        <v>1.63</v>
      </c>
      <c r="R1689" s="91">
        <f t="array" ref="R1689">IFERROR(INDEX('Fund YTD Target Values'!$1:$1000, MATCH($C1689,'Fund YTD Target Values'!$A:$A,0), MATCH($A1689,'Fund YTD Target Values'!$1:$1,0)),0)</f>
        <v>19273.16693</v>
      </c>
      <c r="S1689" s="91">
        <f>IFERROR(__xludf.DUMMYFUNCTION("IFERROR(sum(FILTER('Fund Investment Data'!$V:$V, 'Fund Investment Data'!$C:$C = $C1689, 'Fund Investment Data'!$A:$A &lt; $A1689)),0) + IFERROR(sum(FILTER('Fund Investment Data'!$V:$V, 'Fund Investment Data'!$C:$C = $C1689, 'Fund Investment Data'!$A:$A = $A1"&amp;"689, 'Fund Investment Data'!$B:$B &lt;= $B1689)),0)"),11540.75)</f>
        <v>11540.75</v>
      </c>
      <c r="T1689" s="32"/>
      <c r="U1689" s="32"/>
      <c r="V1689" s="32">
        <f>IFERROR(__xludf.DUMMYFUNCTION("$D1689 - IFERROR(FILTER($D:$D,$C:$C = $C1689, $A:$A = $A1689, $B:$B = $B1689 - 1),0)"),0.0)</f>
        <v>0</v>
      </c>
      <c r="W1689" s="93">
        <f>IFERROR(__xludf.DUMMYFUNCTION("$E1689 - IFERROR(FILTER($E:$E,$C:$C = $C1689, $A:$A = $A1689, $B:$B = $B1689 - 1),0)"),0.0)</f>
        <v>0</v>
      </c>
      <c r="X1689" s="91">
        <f>IFERROR(__xludf.DUMMYFUNCTION("iFERROR((FILTER('Fund Investment Data'!$Z:$Z, 'Fund Investment Data'!$C:$C = $C1689, 'Fund Investment Data'!$A:$A = $A1689 - 1, 'Fund Investment Data'!$B:$B = 12) + FILTER('Fund Investment Data'!$AB:$AB, 'Fund Investment Data'!$C:$C = $C1689, 'Fund Invest"&amp;"ment Data'!$A:$A = $A1689 - 1, 'Fund Investment Data'!$B:$B = 12)) * (1 + AVERAGE(FILTER('Inflation Data'!$C:$C,'Inflation Data'!$A:$A = ($A1689 - 2)))) * Parameters!$A$4,0)"),568.7991394561834)</f>
        <v>568.7991395</v>
      </c>
      <c r="Y1689" s="91">
        <f>IFERROR(__xludf.DUMMYFUNCTION("IFERROR((IFERROR(FILTER('Fund Investment Data'!$P:$P,'Fund Investment Data'!$C:$C = $C1689,'Fund Investment Data'!$A:$A = ($A1689 - 2), 'Fund Investment Data'!$B:$B = 12),0) - SUM(FILTER('Fund Investment Data'!$V:$V, 'Fund Investment Data'!$C:$C = $C1689,"&amp;" 'Fund Investment Data'!$A:$A = ($A1689 - 2), 'Fund Investment Data'!$B:$B &gt; 3)))  * Parameters!$B$4 * (1 - Parameters!$A$4),0)"),216.52757999999983)</f>
        <v>216.52758</v>
      </c>
      <c r="Z1689" s="91">
        <f t="shared" si="24"/>
        <v>785.3267195</v>
      </c>
      <c r="AA1689" s="91">
        <f>IFERROR(__xludf.DUMMYFUNCTION("((IFERROR((SUM(FILTER('Fund Investment Data'!$V:$V, 'Fund Investment Data'!$C:$C = $C1689, 'Fund Investment Data'!$A:$A = $A1689 - 1, 'Fund Investment Data'!$B:$B &gt;= 4, 'Fund Investment Data'!$B:$B &lt;= ($B1689 + 5))) / 12) * ($B1689 - 3) * Parameters!$B$4,"&amp;" 0) + IF($B1689 &gt;= 9, IFERROR(SUM(FILTER('Fund Investment Data'!$V:$V, 'Fund Investment Data'!$C:$C = $C1689, 'Fund Investment Data'!$A:$A = $A1689, 'Fund Investment Data'!$B:$B &lt;= 3)) * Parameters!$B$4, 0),0)))"),0.0)</f>
        <v>0</v>
      </c>
      <c r="AB1689" s="32">
        <f>IFERROR(__xludf.DUMMYFUNCTION("IFERROR(((IFERROR(SUM(FILTER('Fund Investment Data'!$V:$V, 'Fund Investment Data'!$C:$C = $C1689, 'Fund Investment Data'!$A:$A = $A1689 - 2, 'Fund Investment Data'!$B:$B &gt;= 4)) * Parameters!$B$4,0) + IFERROR(SUM(FILTER('Fund Investment Data'!$V:$V, 'Fund "&amp;"Investment Data'!$C:$C = $C1689, 'Fund Investment Data'!$A:$A = $A1689 - 1, 'Fund Investment Data'!$B:$B &lt;= 3)) * Parameters!$B$4,0))),0)"),0.0)</f>
        <v>0</v>
      </c>
      <c r="AC1689" s="32" t="str">
        <f>IFERROR(__xludf.DUMMYFUNCTION("IFERROR(FILTER($AF:$AF,$C:$C = $C1689,$A:$A = $A1689 - 1,$B:$B = 12),0)"),"")</f>
        <v/>
      </c>
      <c r="AD1689" s="32">
        <f t="shared" si="23"/>
        <v>785.3267195</v>
      </c>
      <c r="AE1689" s="32">
        <f t="shared" si="2"/>
        <v>785.3267195</v>
      </c>
      <c r="AF1689" s="32"/>
    </row>
    <row r="1690">
      <c r="A1690" s="86">
        <v>2020.0</v>
      </c>
      <c r="B1690" s="87">
        <v>2.0</v>
      </c>
      <c r="C1690" s="105" t="s">
        <v>47</v>
      </c>
      <c r="D1690" s="104">
        <v>0.0</v>
      </c>
      <c r="E1690" s="104">
        <v>0.0</v>
      </c>
      <c r="F1690" s="104">
        <v>0.0</v>
      </c>
      <c r="G1690" s="104">
        <v>-1128.58</v>
      </c>
      <c r="H1690" s="104">
        <v>3508.14</v>
      </c>
      <c r="I1690" s="104">
        <v>73551.27</v>
      </c>
      <c r="J1690" s="104">
        <v>-149884.87</v>
      </c>
      <c r="K1690" s="32"/>
      <c r="L1690" s="32"/>
      <c r="M1690" s="32"/>
      <c r="N1690" s="32"/>
      <c r="O1690" s="106">
        <v>1418845.83</v>
      </c>
      <c r="P1690" s="91">
        <f>IFERROR(__xludf.DUMMYFUNCTION("IFERROR(sum(FILTER($D:$N,$C:$C = $C1690,$A:$A &lt; $A1690,$B:$B = 12)),0) + sum($D1690:$N1690)"),1418845.4799999995)</f>
        <v>1418845.48</v>
      </c>
      <c r="Q1690" s="92">
        <f t="shared" si="1"/>
        <v>0.3500000006</v>
      </c>
      <c r="R1690" s="91">
        <f t="array" ref="R1690">IFERROR(INDEX('Fund YTD Target Values'!$1:$1000, MATCH($C1690,'Fund YTD Target Values'!$A:$A,0), MATCH($A1690,'Fund YTD Target Values'!$1:$1,0)),0)</f>
        <v>2083999.77</v>
      </c>
      <c r="S1690" s="91">
        <f>IFERROR(__xludf.DUMMYFUNCTION("IFERROR(sum(FILTER('Fund Investment Data'!$V:$V, 'Fund Investment Data'!$C:$C = $C1690, 'Fund Investment Data'!$A:$A &lt; $A1690)),0) + IFERROR(sum(FILTER('Fund Investment Data'!$V:$V, 'Fund Investment Data'!$C:$C = $C1690, 'Fund Investment Data'!$A:$A = $A1"&amp;"690, 'Fund Investment Data'!$B:$B &lt;= $B1690)),0)"),1456367.46)</f>
        <v>1456367.46</v>
      </c>
      <c r="T1690" s="32"/>
      <c r="U1690" s="32"/>
      <c r="V1690" s="32">
        <f>IFERROR(__xludf.DUMMYFUNCTION("$D1690 - IFERROR(FILTER($D:$D,$C:$C = $C1690, $A:$A = $A1690, $B:$B = $B1690 - 1),0)"),0.0)</f>
        <v>0</v>
      </c>
      <c r="W1690" s="93">
        <f>IFERROR(__xludf.DUMMYFUNCTION("$E1690 - IFERROR(FILTER($E:$E,$C:$C = $C1690, $A:$A = $A1690, $B:$B = $B1690 - 1),0)"),0.0)</f>
        <v>0</v>
      </c>
      <c r="X1690" s="91">
        <f>IFERROR(__xludf.DUMMYFUNCTION("iFERROR((FILTER('Fund Investment Data'!$Z:$Z, 'Fund Investment Data'!$C:$C = $C1690, 'Fund Investment Data'!$A:$A = $A1690 - 1, 'Fund Investment Data'!$B:$B = 12) + FILTER('Fund Investment Data'!$AB:$AB, 'Fund Investment Data'!$C:$C = $C1690, 'Fund Invest"&amp;"ment Data'!$A:$A = $A1690 - 1, 'Fund Investment Data'!$B:$B = 12)) * (1 + AVERAGE(FILTER('Inflation Data'!$C:$C,'Inflation Data'!$A:$A = ($A1690 - 2)))) * Parameters!$A$4,0)"),49588.29599165883)</f>
        <v>49588.29599</v>
      </c>
      <c r="Y1690" s="91">
        <f>IFERROR(__xludf.DUMMYFUNCTION("IFERROR((IFERROR(FILTER('Fund Investment Data'!$P:$P,'Fund Investment Data'!$C:$C = $C1690,'Fund Investment Data'!$A:$A = ($A1690 - 2), 'Fund Investment Data'!$B:$B = 12),0) - SUM(FILTER('Fund Investment Data'!$V:$V, 'Fund Investment Data'!$C:$C = $C1690,"&amp;" 'Fund Investment Data'!$A:$A = ($A1690 - 2), 'Fund Investment Data'!$B:$B &gt; 3)))  * Parameters!$B$4 * (1 - Parameters!$A$4),0)"),17972.522459999996)</f>
        <v>17972.52246</v>
      </c>
      <c r="Z1690" s="91">
        <f t="shared" si="24"/>
        <v>67560.81845</v>
      </c>
      <c r="AA1690" s="91">
        <f>IFERROR(__xludf.DUMMYFUNCTION("((IFERROR((SUM(FILTER('Fund Investment Data'!$V:$V, 'Fund Investment Data'!$C:$C = $C1690, 'Fund Investment Data'!$A:$A = $A1690 - 1, 'Fund Investment Data'!$B:$B &gt;= 4, 'Fund Investment Data'!$B:$B &lt;= ($B1690 + 5))) / 12) * ($B1690 - 3) * Parameters!$B$4,"&amp;" 0) + IF($B1690 &gt;= 9, IFERROR(SUM(FILTER('Fund Investment Data'!$V:$V, 'Fund Investment Data'!$C:$C = $C1690, 'Fund Investment Data'!$A:$A = $A1690, 'Fund Investment Data'!$B:$B &lt;= 3)) * Parameters!$B$4, 0),0)))"),0.0)</f>
        <v>0</v>
      </c>
      <c r="AB1690" s="32">
        <f>IFERROR(__xludf.DUMMYFUNCTION("IFERROR(((IFERROR(SUM(FILTER('Fund Investment Data'!$V:$V, 'Fund Investment Data'!$C:$C = $C1690, 'Fund Investment Data'!$A:$A = $A1690 - 2, 'Fund Investment Data'!$B:$B &gt;= 4)) * Parameters!$B$4,0) + IFERROR(SUM(FILTER('Fund Investment Data'!$V:$V, 'Fund "&amp;"Investment Data'!$C:$C = $C1690, 'Fund Investment Data'!$A:$A = $A1690 - 1, 'Fund Investment Data'!$B:$B &lt;= 3)) * Parameters!$B$4,0))),0)"),0.0)</f>
        <v>0</v>
      </c>
      <c r="AC1690" s="32" t="str">
        <f>IFERROR(__xludf.DUMMYFUNCTION("IFERROR(FILTER($AF:$AF,$C:$C = $C1690,$A:$A = $A1690 - 1,$B:$B = 12),0)"),"")</f>
        <v/>
      </c>
      <c r="AD1690" s="32">
        <f t="shared" si="23"/>
        <v>67560.81845</v>
      </c>
      <c r="AE1690" s="32">
        <f t="shared" si="2"/>
        <v>67560.81845</v>
      </c>
      <c r="AF1690" s="32"/>
    </row>
    <row r="1691">
      <c r="A1691" s="86">
        <v>2020.0</v>
      </c>
      <c r="B1691" s="87">
        <v>2.0</v>
      </c>
      <c r="C1691" s="105" t="s">
        <v>31</v>
      </c>
      <c r="D1691" s="104">
        <v>0.0</v>
      </c>
      <c r="E1691" s="104">
        <v>0.0</v>
      </c>
      <c r="F1691" s="104">
        <v>0.0</v>
      </c>
      <c r="G1691" s="104">
        <v>-140.32</v>
      </c>
      <c r="H1691" s="104">
        <v>436.15</v>
      </c>
      <c r="I1691" s="104">
        <v>9144.32</v>
      </c>
      <c r="J1691" s="104">
        <v>-18634.56</v>
      </c>
      <c r="K1691" s="32"/>
      <c r="L1691" s="32"/>
      <c r="M1691" s="32"/>
      <c r="N1691" s="32"/>
      <c r="O1691" s="106">
        <v>176399.17</v>
      </c>
      <c r="P1691" s="91">
        <f>IFERROR(__xludf.DUMMYFUNCTION("IFERROR(sum(FILTER($D:$N,$C:$C = $C1691,$A:$A &lt; $A1691,$B:$B = 12)),0) + sum($D1691:$N1691)"),176399.17999999996)</f>
        <v>176399.18</v>
      </c>
      <c r="Q1691" s="92">
        <f t="shared" si="1"/>
        <v>-0.009999999951</v>
      </c>
      <c r="R1691" s="91">
        <f t="array" ref="R1691">IFERROR(INDEX('Fund YTD Target Values'!$1:$1000, MATCH($C1691,'Fund YTD Target Values'!$A:$A,0), MATCH($A1691,'Fund YTD Target Values'!$1:$1,0)),0)</f>
        <v>219640.3616</v>
      </c>
      <c r="S1691" s="91">
        <f>IFERROR(__xludf.DUMMYFUNCTION("IFERROR(sum(FILTER('Fund Investment Data'!$V:$V, 'Fund Investment Data'!$C:$C = $C1691, 'Fund Investment Data'!$A:$A &lt; $A1691)),0) + IFERROR(sum(FILTER('Fund Investment Data'!$V:$V, 'Fund Investment Data'!$C:$C = $C1691, 'Fund Investment Data'!$A:$A = $A1"&amp;"691, 'Fund Investment Data'!$B:$B &lt;= $B1691)),0)"),158200.0)</f>
        <v>158200</v>
      </c>
      <c r="T1691" s="32"/>
      <c r="U1691" s="32"/>
      <c r="V1691" s="32">
        <f>IFERROR(__xludf.DUMMYFUNCTION("$D1691 - IFERROR(FILTER($D:$D,$C:$C = $C1691, $A:$A = $A1691, $B:$B = $B1691 - 1),0)"),0.0)</f>
        <v>0</v>
      </c>
      <c r="W1691" s="93">
        <f>IFERROR(__xludf.DUMMYFUNCTION("$E1691 - IFERROR(FILTER($E:$E,$C:$C = $C1691, $A:$A = $A1691, $B:$B = $B1691 - 1),0)"),0.0)</f>
        <v>0</v>
      </c>
      <c r="X1691" s="91">
        <f>IFERROR(__xludf.DUMMYFUNCTION("iFERROR((FILTER('Fund Investment Data'!$Z:$Z, 'Fund Investment Data'!$C:$C = $C1691, 'Fund Investment Data'!$A:$A = $A1691 - 1, 'Fund Investment Data'!$B:$B = 12) + FILTER('Fund Investment Data'!$AB:$AB, 'Fund Investment Data'!$C:$C = $C1691, 'Fund Invest"&amp;"ment Data'!$A:$A = $A1691 - 1, 'Fund Investment Data'!$B:$B = 12)) * (1 + AVERAGE(FILTER('Inflation Data'!$C:$C,'Inflation Data'!$A:$A = ($A1691 - 2)))) * Parameters!$A$4,0)"),6267.63344728865)</f>
        <v>6267.633447</v>
      </c>
      <c r="Y1691" s="91">
        <f>IFERROR(__xludf.DUMMYFUNCTION("IFERROR((IFERROR(FILTER('Fund Investment Data'!$P:$P,'Fund Investment Data'!$C:$C = $C1691,'Fund Investment Data'!$A:$A = ($A1691 - 2), 'Fund Investment Data'!$B:$B = 12),0) - SUM(FILTER('Fund Investment Data'!$V:$V, 'Fund Investment Data'!$C:$C = $C1691,"&amp;" 'Fund Investment Data'!$A:$A = ($A1691 - 2), 'Fund Investment Data'!$B:$B &gt; 3)))  * Parameters!$B$4 * (1 - Parameters!$A$4),0)"),2235.5692200000008)</f>
        <v>2235.56922</v>
      </c>
      <c r="Z1691" s="91">
        <f t="shared" si="24"/>
        <v>8503.202667</v>
      </c>
      <c r="AA1691" s="91">
        <f>IFERROR(__xludf.DUMMYFUNCTION("((IFERROR((SUM(FILTER('Fund Investment Data'!$V:$V, 'Fund Investment Data'!$C:$C = $C1691, 'Fund Investment Data'!$A:$A = $A1691 - 1, 'Fund Investment Data'!$B:$B &gt;= 4, 'Fund Investment Data'!$B:$B &lt;= ($B1691 + 5))) / 12) * ($B1691 - 3) * Parameters!$B$4,"&amp;" 0) + IF($B1691 &gt;= 9, IFERROR(SUM(FILTER('Fund Investment Data'!$V:$V, 'Fund Investment Data'!$C:$C = $C1691, 'Fund Investment Data'!$A:$A = $A1691, 'Fund Investment Data'!$B:$B &lt;= 3)) * Parameters!$B$4, 0),0)))"),-0.375)</f>
        <v>-0.375</v>
      </c>
      <c r="AB1691" s="32">
        <f>IFERROR(__xludf.DUMMYFUNCTION("IFERROR(((IFERROR(SUM(FILTER('Fund Investment Data'!$V:$V, 'Fund Investment Data'!$C:$C = $C1691, 'Fund Investment Data'!$A:$A = $A1691 - 2, 'Fund Investment Data'!$B:$B &gt;= 4)) * Parameters!$B$4,0) + IFERROR(SUM(FILTER('Fund Investment Data'!$V:$V, 'Fund "&amp;"Investment Data'!$C:$C = $C1691, 'Fund Investment Data'!$A:$A = $A1691 - 1, 'Fund Investment Data'!$B:$B &lt;= 3)) * Parameters!$B$4,0))),0)"),0.0)</f>
        <v>0</v>
      </c>
      <c r="AC1691" s="32" t="str">
        <f>IFERROR(__xludf.DUMMYFUNCTION("IFERROR(FILTER($AF:$AF,$C:$C = $C1691,$A:$A = $A1691 - 1,$B:$B = 12),0)"),"")</f>
        <v/>
      </c>
      <c r="AD1691" s="32">
        <f t="shared" si="23"/>
        <v>8502.827667</v>
      </c>
      <c r="AE1691" s="32">
        <f t="shared" si="2"/>
        <v>8502.827667</v>
      </c>
      <c r="AF1691" s="32"/>
    </row>
    <row r="1692">
      <c r="A1692" s="86">
        <v>2020.0</v>
      </c>
      <c r="B1692" s="87">
        <v>2.0</v>
      </c>
      <c r="C1692" s="105" t="s">
        <v>39</v>
      </c>
      <c r="D1692" s="104">
        <v>0.0</v>
      </c>
      <c r="E1692" s="104">
        <v>0.0</v>
      </c>
      <c r="F1692" s="104">
        <v>0.0</v>
      </c>
      <c r="G1692" s="104">
        <v>-156.9</v>
      </c>
      <c r="H1692" s="104">
        <v>487.72</v>
      </c>
      <c r="I1692" s="104">
        <v>10225.46</v>
      </c>
      <c r="J1692" s="104">
        <v>-20837.74</v>
      </c>
      <c r="K1692" s="32"/>
      <c r="L1692" s="32"/>
      <c r="M1692" s="32"/>
      <c r="N1692" s="32"/>
      <c r="O1692" s="106">
        <v>197255.0</v>
      </c>
      <c r="P1692" s="91">
        <f>IFERROR(__xludf.DUMMYFUNCTION("IFERROR(sum(FILTER($D:$N,$C:$C = $C1692,$A:$A &lt; $A1692,$B:$B = 12)),0) + sum($D1692:$N1692)"),197255.00000000006)</f>
        <v>197255</v>
      </c>
      <c r="Q1692" s="92">
        <f t="shared" si="1"/>
        <v>0</v>
      </c>
      <c r="R1692" s="91">
        <f t="array" ref="R1692">IFERROR(INDEX('Fund YTD Target Values'!$1:$1000, MATCH($C1692,'Fund YTD Target Values'!$A:$A,0), MATCH($A1692,'Fund YTD Target Values'!$1:$1,0)),0)</f>
        <v>208132.6987</v>
      </c>
      <c r="S1692" s="91">
        <f>IFERROR(__xludf.DUMMYFUNCTION("IFERROR(sum(FILTER('Fund Investment Data'!$V:$V, 'Fund Investment Data'!$C:$C = $C1692, 'Fund Investment Data'!$A:$A &lt; $A1692)),0) + IFERROR(sum(FILTER('Fund Investment Data'!$V:$V, 'Fund Investment Data'!$C:$C = $C1692, 'Fund Investment Data'!$A:$A = $A1"&amp;"692, 'Fund Investment Data'!$B:$B &lt;= $B1692)),0)"),185000.0)</f>
        <v>185000</v>
      </c>
      <c r="T1692" s="32"/>
      <c r="U1692" s="32"/>
      <c r="V1692" s="32">
        <f>IFERROR(__xludf.DUMMYFUNCTION("$D1692 - IFERROR(FILTER($D:$D,$C:$C = $C1692, $A:$A = $A1692, $B:$B = $B1692 - 1),0)"),0.0)</f>
        <v>0</v>
      </c>
      <c r="W1692" s="93">
        <f>IFERROR(__xludf.DUMMYFUNCTION("$E1692 - IFERROR(FILTER($E:$E,$C:$C = $C1692, $A:$A = $A1692, $B:$B = $B1692 - 1),0)"),0.0)</f>
        <v>0</v>
      </c>
      <c r="X1692" s="91">
        <f>IFERROR(__xludf.DUMMYFUNCTION("iFERROR((FILTER('Fund Investment Data'!$Z:$Z, 'Fund Investment Data'!$C:$C = $C1692, 'Fund Investment Data'!$A:$A = $A1692 - 1, 'Fund Investment Data'!$B:$B = 12) + FILTER('Fund Investment Data'!$AB:$AB, 'Fund Investment Data'!$C:$C = $C1692, 'Fund Invest"&amp;"ment Data'!$A:$A = $A1692 - 1, 'Fund Investment Data'!$B:$B = 12)) * (1 + AVERAGE(FILTER('Inflation Data'!$C:$C,'Inflation Data'!$A:$A = ($A1692 - 2)))) * Parameters!$A$4,0)"),5904.480581542223)</f>
        <v>5904.480582</v>
      </c>
      <c r="Y1692" s="91">
        <f>IFERROR(__xludf.DUMMYFUNCTION("IFERROR((IFERROR(FILTER('Fund Investment Data'!$P:$P,'Fund Investment Data'!$C:$C = $C1692,'Fund Investment Data'!$A:$A = ($A1692 - 2), 'Fund Investment Data'!$B:$B = 12),0) - SUM(FILTER('Fund Investment Data'!$V:$V, 'Fund Investment Data'!$C:$C = $C1692,"&amp;" 'Fund Investment Data'!$A:$A = ($A1692 - 2), 'Fund Investment Data'!$B:$B &gt; 3)))  * Parameters!$B$4 * (1 - Parameters!$A$4),0)"),2103.5735100000006)</f>
        <v>2103.57351</v>
      </c>
      <c r="Z1692" s="91">
        <f t="shared" si="24"/>
        <v>8008.054092</v>
      </c>
      <c r="AA1692" s="91">
        <f>IFERROR(__xludf.DUMMYFUNCTION("((IFERROR((SUM(FILTER('Fund Investment Data'!$V:$V, 'Fund Investment Data'!$C:$C = $C1692, 'Fund Investment Data'!$A:$A = $A1692 - 1, 'Fund Investment Data'!$B:$B &gt;= 4, 'Fund Investment Data'!$B:$B &lt;= ($B1692 + 5))) / 12) * ($B1692 - 3) * Parameters!$B$4,"&amp;" 0) + IF($B1692 &gt;= 9, IFERROR(SUM(FILTER('Fund Investment Data'!$V:$V, 'Fund Investment Data'!$C:$C = $C1692, 'Fund Investment Data'!$A:$A = $A1692, 'Fund Investment Data'!$B:$B &lt;= 3)) * Parameters!$B$4, 0),0)))"),0.0)</f>
        <v>0</v>
      </c>
      <c r="AB1692" s="32">
        <f>IFERROR(__xludf.DUMMYFUNCTION("IFERROR(((IFERROR(SUM(FILTER('Fund Investment Data'!$V:$V, 'Fund Investment Data'!$C:$C = $C1692, 'Fund Investment Data'!$A:$A = $A1692 - 2, 'Fund Investment Data'!$B:$B &gt;= 4)) * Parameters!$B$4,0) + IFERROR(SUM(FILTER('Fund Investment Data'!$V:$V, 'Fund "&amp;"Investment Data'!$C:$C = $C1692, 'Fund Investment Data'!$A:$A = $A1692 - 1, 'Fund Investment Data'!$B:$B &lt;= 3)) * Parameters!$B$4,0))),0)"),675.0)</f>
        <v>675</v>
      </c>
      <c r="AC1692" s="32" t="str">
        <f>IFERROR(__xludf.DUMMYFUNCTION("IFERROR(FILTER($AF:$AF,$C:$C = $C1692,$A:$A = $A1692 - 1,$B:$B = 12),0)"),"")</f>
        <v/>
      </c>
      <c r="AD1692" s="32">
        <f t="shared" si="23"/>
        <v>8683.054092</v>
      </c>
      <c r="AE1692" s="32">
        <f t="shared" si="2"/>
        <v>8683.054092</v>
      </c>
      <c r="AF1692" s="32"/>
    </row>
    <row r="1693">
      <c r="A1693" s="86">
        <v>2020.0</v>
      </c>
      <c r="B1693" s="87">
        <v>2.0</v>
      </c>
      <c r="C1693" s="105" t="s">
        <v>50</v>
      </c>
      <c r="D1693" s="104">
        <v>0.0</v>
      </c>
      <c r="E1693" s="104">
        <v>0.0</v>
      </c>
      <c r="F1693" s="104">
        <v>0.0</v>
      </c>
      <c r="G1693" s="104">
        <v>-160.27</v>
      </c>
      <c r="H1693" s="104">
        <v>498.19</v>
      </c>
      <c r="I1693" s="104">
        <v>10444.98</v>
      </c>
      <c r="J1693" s="104">
        <v>-21285.07</v>
      </c>
      <c r="K1693" s="32"/>
      <c r="L1693" s="32"/>
      <c r="M1693" s="32"/>
      <c r="N1693" s="32"/>
      <c r="O1693" s="106">
        <v>201489.54</v>
      </c>
      <c r="P1693" s="91">
        <f>IFERROR(__xludf.DUMMYFUNCTION("IFERROR(sum(FILTER($D:$N,$C:$C = $C1693,$A:$A &lt; $A1693,$B:$B = 12)),0) + sum($D1693:$N1693)"),201489.01000000004)</f>
        <v>201489.01</v>
      </c>
      <c r="Q1693" s="92">
        <f t="shared" si="1"/>
        <v>0.53</v>
      </c>
      <c r="R1693" s="91">
        <f t="array" ref="R1693">IFERROR(INDEX('Fund YTD Target Values'!$1:$1000, MATCH($C1693,'Fund YTD Target Values'!$A:$A,0), MATCH($A1693,'Fund YTD Target Values'!$1:$1,0)),0)</f>
        <v>226949.7266</v>
      </c>
      <c r="S1693" s="91">
        <f>IFERROR(__xludf.DUMMYFUNCTION("IFERROR(sum(FILTER('Fund Investment Data'!$V:$V, 'Fund Investment Data'!$C:$C = $C1693, 'Fund Investment Data'!$A:$A &lt; $A1693)),0) + IFERROR(sum(FILTER('Fund Investment Data'!$V:$V, 'Fund Investment Data'!$C:$C = $C1693, 'Fund Investment Data'!$A:$A = $A1"&amp;"693, 'Fund Investment Data'!$B:$B &lt;= $B1693)),0)"),185189.56)</f>
        <v>185189.56</v>
      </c>
      <c r="T1693" s="32"/>
      <c r="U1693" s="32"/>
      <c r="V1693" s="32">
        <f>IFERROR(__xludf.DUMMYFUNCTION("$D1693 - IFERROR(FILTER($D:$D,$C:$C = $C1693, $A:$A = $A1693, $B:$B = $B1693 - 1),0)"),0.0)</f>
        <v>0</v>
      </c>
      <c r="W1693" s="93">
        <f>IFERROR(__xludf.DUMMYFUNCTION("$E1693 - IFERROR(FILTER($E:$E,$C:$C = $C1693, $A:$A = $A1693, $B:$B = $B1693 - 1),0)"),0.0)</f>
        <v>0</v>
      </c>
      <c r="X1693" s="91">
        <f>IFERROR(__xludf.DUMMYFUNCTION("iFERROR((FILTER('Fund Investment Data'!$Z:$Z, 'Fund Investment Data'!$C:$C = $C1693, 'Fund Investment Data'!$A:$A = $A1693 - 1, 'Fund Investment Data'!$B:$B = 12) + FILTER('Fund Investment Data'!$AB:$AB, 'Fund Investment Data'!$C:$C = $C1693, 'Fund Invest"&amp;"ment Data'!$A:$A = $A1693 - 1, 'Fund Investment Data'!$B:$B = 12)) * (1 + AVERAGE(FILTER('Inflation Data'!$C:$C,'Inflation Data'!$A:$A = ($A1693 - 2)))) * Parameters!$A$4,0)"),7449.06504745473)</f>
        <v>7449.065047</v>
      </c>
      <c r="Y1693" s="91">
        <f>IFERROR(__xludf.DUMMYFUNCTION("IFERROR((IFERROR(FILTER('Fund Investment Data'!$P:$P,'Fund Investment Data'!$C:$C = $C1693,'Fund Investment Data'!$A:$A = ($A1693 - 2), 'Fund Investment Data'!$B:$B = 12),0) - SUM(FILTER('Fund Investment Data'!$V:$V, 'Fund Investment Data'!$C:$C = $C1693,"&amp;" 'Fund Investment Data'!$A:$A = ($A1693 - 2), 'Fund Investment Data'!$B:$B &gt; 3)))  * Parameters!$B$4 * (1 - Parameters!$A$4),0)"),2558.976705)</f>
        <v>2558.976705</v>
      </c>
      <c r="Z1693" s="91">
        <f t="shared" si="24"/>
        <v>10008.04175</v>
      </c>
      <c r="AA1693" s="91">
        <f>IFERROR(__xludf.DUMMYFUNCTION("((IFERROR((SUM(FILTER('Fund Investment Data'!$V:$V, 'Fund Investment Data'!$C:$C = $C1693, 'Fund Investment Data'!$A:$A = $A1693 - 1, 'Fund Investment Data'!$B:$B &gt;= 4, 'Fund Investment Data'!$B:$B &lt;= ($B1693 + 5))) / 12) * ($B1693 - 3) * Parameters!$B$4,"&amp;" 0) + IF($B1693 &gt;= 9, IFERROR(SUM(FILTER('Fund Investment Data'!$V:$V, 'Fund Investment Data'!$C:$C = $C1693, 'Fund Investment Data'!$A:$A = $A1693, 'Fund Investment Data'!$B:$B &lt;= 3)) * Parameters!$B$4, 0),0)))"),0.0)</f>
        <v>0</v>
      </c>
      <c r="AB1693" s="32">
        <f>IFERROR(__xludf.DUMMYFUNCTION("IFERROR(((IFERROR(SUM(FILTER('Fund Investment Data'!$V:$V, 'Fund Investment Data'!$C:$C = $C1693, 'Fund Investment Data'!$A:$A = $A1693 - 2, 'Fund Investment Data'!$B:$B &gt;= 4)) * Parameters!$B$4,0) + IFERROR(SUM(FILTER('Fund Investment Data'!$V:$V, 'Fund "&amp;"Investment Data'!$C:$C = $C1693, 'Fund Investment Data'!$A:$A = $A1693 - 1, 'Fund Investment Data'!$B:$B &lt;= 3)) * Parameters!$B$4,0))),0)"),0.0)</f>
        <v>0</v>
      </c>
      <c r="AC1693" s="32" t="str">
        <f>IFERROR(__xludf.DUMMYFUNCTION("IFERROR(FILTER($AF:$AF,$C:$C = $C1693,$A:$A = $A1693 - 1,$B:$B = 12),0)"),"")</f>
        <v/>
      </c>
      <c r="AD1693" s="32">
        <f t="shared" si="23"/>
        <v>10008.04175</v>
      </c>
      <c r="AE1693" s="32">
        <f t="shared" si="2"/>
        <v>10008.04175</v>
      </c>
      <c r="AF1693" s="32"/>
    </row>
    <row r="1694">
      <c r="A1694" s="86">
        <v>2020.0</v>
      </c>
      <c r="B1694" s="87">
        <v>2.0</v>
      </c>
      <c r="C1694" s="105" t="s">
        <v>32</v>
      </c>
      <c r="D1694" s="104">
        <v>0.0</v>
      </c>
      <c r="E1694" s="104">
        <v>0.0</v>
      </c>
      <c r="F1694" s="104">
        <v>0.0</v>
      </c>
      <c r="G1694" s="104">
        <v>-40.26</v>
      </c>
      <c r="H1694" s="104">
        <v>125.15</v>
      </c>
      <c r="I1694" s="104">
        <v>2623.84</v>
      </c>
      <c r="J1694" s="104">
        <v>-5346.95</v>
      </c>
      <c r="K1694" s="32"/>
      <c r="L1694" s="32"/>
      <c r="M1694" s="32"/>
      <c r="N1694" s="32"/>
      <c r="O1694" s="106">
        <v>50615.48</v>
      </c>
      <c r="P1694" s="91">
        <f>IFERROR(__xludf.DUMMYFUNCTION("IFERROR(sum(FILTER($D:$N,$C:$C = $C1694,$A:$A &lt; $A1694,$B:$B = 12)),0) + sum($D1694:$N1694)"),50615.08000000002)</f>
        <v>50615.08</v>
      </c>
      <c r="Q1694" s="92">
        <f t="shared" si="1"/>
        <v>0.4</v>
      </c>
      <c r="R1694" s="91">
        <f t="array" ref="R1694">IFERROR(INDEX('Fund YTD Target Values'!$1:$1000, MATCH($C1694,'Fund YTD Target Values'!$A:$A,0), MATCH($A1694,'Fund YTD Target Values'!$1:$1,0)),0)</f>
        <v>82557.08463</v>
      </c>
      <c r="S1694" s="91">
        <f>IFERROR(__xludf.DUMMYFUNCTION("IFERROR(sum(FILTER('Fund Investment Data'!$V:$V, 'Fund Investment Data'!$C:$C = $C1694, 'Fund Investment Data'!$A:$A &lt; $A1694)),0) + IFERROR(sum(FILTER('Fund Investment Data'!$V:$V, 'Fund Investment Data'!$C:$C = $C1694, 'Fund Investment Data'!$A:$A = $A1"&amp;"694, 'Fund Investment Data'!$B:$B &lt;= $B1694)),0)"),49449.04)</f>
        <v>49449.04</v>
      </c>
      <c r="T1694" s="32"/>
      <c r="U1694" s="32"/>
      <c r="V1694" s="32">
        <f>IFERROR(__xludf.DUMMYFUNCTION("$D1694 - IFERROR(FILTER($D:$D,$C:$C = $C1694, $A:$A = $A1694, $B:$B = $B1694 - 1),0)"),0.0)</f>
        <v>0</v>
      </c>
      <c r="W1694" s="93">
        <f>IFERROR(__xludf.DUMMYFUNCTION("$E1694 - IFERROR(FILTER($E:$E,$C:$C = $C1694, $A:$A = $A1694, $B:$B = $B1694 - 1),0)"),0.0)</f>
        <v>0</v>
      </c>
      <c r="X1694" s="91">
        <f>IFERROR(__xludf.DUMMYFUNCTION("iFERROR((FILTER('Fund Investment Data'!$Z:$Z, 'Fund Investment Data'!$C:$C = $C1694, 'Fund Investment Data'!$A:$A = $A1694 - 1, 'Fund Investment Data'!$B:$B = 12) + FILTER('Fund Investment Data'!$AB:$AB, 'Fund Investment Data'!$C:$C = $C1694, 'Fund Invest"&amp;"ment Data'!$A:$A = $A1694 - 1, 'Fund Investment Data'!$B:$B = 12)) * (1 + AVERAGE(FILTER('Inflation Data'!$C:$C,'Inflation Data'!$A:$A = ($A1694 - 2)))) * Parameters!$A$4,0)"),1749.9100001922152)</f>
        <v>1749.91</v>
      </c>
      <c r="Y1694" s="91">
        <f>IFERROR(__xludf.DUMMYFUNCTION("IFERROR((IFERROR(FILTER('Fund Investment Data'!$P:$P,'Fund Investment Data'!$C:$C = $C1694,'Fund Investment Data'!$A:$A = ($A1694 - 2), 'Fund Investment Data'!$B:$B = 12),0) - SUM(FILTER('Fund Investment Data'!$V:$V, 'Fund Investment Data'!$C:$C = $C1694,"&amp;" 'Fund Investment Data'!$A:$A = ($A1694 - 2), 'Fund Investment Data'!$B:$B &gt; 3)))  * Parameters!$B$4 * (1 - Parameters!$A$4),0)"),640.5770250000005)</f>
        <v>640.577025</v>
      </c>
      <c r="Z1694" s="91">
        <f t="shared" si="24"/>
        <v>2390.487025</v>
      </c>
      <c r="AA1694" s="91">
        <f>IFERROR(__xludf.DUMMYFUNCTION("((IFERROR((SUM(FILTER('Fund Investment Data'!$V:$V, 'Fund Investment Data'!$C:$C = $C1694, 'Fund Investment Data'!$A:$A = $A1694 - 1, 'Fund Investment Data'!$B:$B &gt;= 4, 'Fund Investment Data'!$B:$B &lt;= ($B1694 + 5))) / 12) * ($B1694 - 3) * Parameters!$B$4,"&amp;" 0) + IF($B1694 &gt;= 9, IFERROR(SUM(FILTER('Fund Investment Data'!$V:$V, 'Fund Investment Data'!$C:$C = $C1694, 'Fund Investment Data'!$A:$A = $A1694, 'Fund Investment Data'!$B:$B &lt;= 3)) * Parameters!$B$4, 0),0)))"),0.0)</f>
        <v>0</v>
      </c>
      <c r="AB1694" s="32">
        <f>IFERROR(__xludf.DUMMYFUNCTION("IFERROR(((IFERROR(SUM(FILTER('Fund Investment Data'!$V:$V, 'Fund Investment Data'!$C:$C = $C1694, 'Fund Investment Data'!$A:$A = $A1694 - 2, 'Fund Investment Data'!$B:$B &gt;= 4)) * Parameters!$B$4,0) + IFERROR(SUM(FILTER('Fund Investment Data'!$V:$V, 'Fund "&amp;"Investment Data'!$C:$C = $C1694, 'Fund Investment Data'!$A:$A = $A1694 - 1, 'Fund Investment Data'!$B:$B &lt;= 3)) * Parameters!$B$4,0))),0)"),0.0)</f>
        <v>0</v>
      </c>
      <c r="AC1694" s="32" t="str">
        <f>IFERROR(__xludf.DUMMYFUNCTION("IFERROR(FILTER($AF:$AF,$C:$C = $C1694,$A:$A = $A1694 - 1,$B:$B = 12),0)"),"")</f>
        <v/>
      </c>
      <c r="AD1694" s="32">
        <f t="shared" si="23"/>
        <v>2390.487025</v>
      </c>
      <c r="AE1694" s="32">
        <f t="shared" si="2"/>
        <v>2390.487025</v>
      </c>
      <c r="AF1694" s="32"/>
    </row>
    <row r="1695">
      <c r="A1695" s="86">
        <v>2020.0</v>
      </c>
      <c r="B1695" s="87">
        <v>2.0</v>
      </c>
      <c r="C1695" s="105" t="s">
        <v>40</v>
      </c>
      <c r="D1695" s="104">
        <v>0.0</v>
      </c>
      <c r="E1695" s="104">
        <v>0.0</v>
      </c>
      <c r="F1695" s="104">
        <v>0.0</v>
      </c>
      <c r="G1695" s="104">
        <v>-115.7</v>
      </c>
      <c r="H1695" s="104">
        <v>359.66</v>
      </c>
      <c r="I1695" s="104">
        <v>7540.69</v>
      </c>
      <c r="J1695" s="104">
        <v>-15366.64</v>
      </c>
      <c r="K1695" s="32"/>
      <c r="L1695" s="32"/>
      <c r="M1695" s="32"/>
      <c r="N1695" s="32"/>
      <c r="O1695" s="106">
        <v>145464.2</v>
      </c>
      <c r="P1695" s="91">
        <f>IFERROR(__xludf.DUMMYFUNCTION("IFERROR(sum(FILTER($D:$N,$C:$C = $C1695,$A:$A &lt; $A1695,$B:$B = 12)),0) + sum($D1695:$N1695)"),145464.15999999992)</f>
        <v>145464.16</v>
      </c>
      <c r="Q1695" s="92">
        <f t="shared" si="1"/>
        <v>0.0400000001</v>
      </c>
      <c r="R1695" s="91">
        <f t="array" ref="R1695">IFERROR(INDEX('Fund YTD Target Values'!$1:$1000, MATCH($C1695,'Fund YTD Target Values'!$A:$A,0), MATCH($A1695,'Fund YTD Target Values'!$1:$1,0)),0)</f>
        <v>168247.0993</v>
      </c>
      <c r="S1695" s="91">
        <f>IFERROR(__xludf.DUMMYFUNCTION("IFERROR(sum(FILTER('Fund Investment Data'!$V:$V, 'Fund Investment Data'!$C:$C = $C1695, 'Fund Investment Data'!$A:$A &lt; $A1695)),0) + IFERROR(sum(FILTER('Fund Investment Data'!$V:$V, 'Fund Investment Data'!$C:$C = $C1695, 'Fund Investment Data'!$A:$A = $A1"&amp;"695, 'Fund Investment Data'!$B:$B &lt;= $B1695)),0)"),129703.74)</f>
        <v>129703.74</v>
      </c>
      <c r="T1695" s="32"/>
      <c r="U1695" s="32"/>
      <c r="V1695" s="32">
        <f>IFERROR(__xludf.DUMMYFUNCTION("$D1695 - IFERROR(FILTER($D:$D,$C:$C = $C1695, $A:$A = $A1695, $B:$B = $B1695 - 1),0)"),0.0)</f>
        <v>0</v>
      </c>
      <c r="W1695" s="93">
        <f>IFERROR(__xludf.DUMMYFUNCTION("$E1695 - IFERROR(FILTER($E:$E,$C:$C = $C1695, $A:$A = $A1695, $B:$B = $B1695 - 1),0)"),0.0)</f>
        <v>0</v>
      </c>
      <c r="X1695" s="91">
        <f>IFERROR(__xludf.DUMMYFUNCTION("iFERROR((FILTER('Fund Investment Data'!$Z:$Z, 'Fund Investment Data'!$C:$C = $C1695, 'Fund Investment Data'!$A:$A = $A1695 - 1, 'Fund Investment Data'!$B:$B = 12) + FILTER('Fund Investment Data'!$AB:$AB, 'Fund Investment Data'!$C:$C = $C1695, 'Fund Invest"&amp;"ment Data'!$A:$A = $A1695 - 1, 'Fund Investment Data'!$B:$B = 12)) * (1 + AVERAGE(FILTER('Inflation Data'!$C:$C,'Inflation Data'!$A:$A = ($A1695 - 2)))) * Parameters!$A$4,0)"),5070.262994014637)</f>
        <v>5070.262994</v>
      </c>
      <c r="Y1695" s="91">
        <f>IFERROR(__xludf.DUMMYFUNCTION("IFERROR((IFERROR(FILTER('Fund Investment Data'!$P:$P,'Fund Investment Data'!$C:$C = $C1695,'Fund Investment Data'!$A:$A = ($A1695 - 2), 'Fund Investment Data'!$B:$B = 12),0) - SUM(FILTER('Fund Investment Data'!$V:$V, 'Fund Investment Data'!$C:$C = $C1695,"&amp;" 'Fund Investment Data'!$A:$A = ($A1695 - 2), 'Fund Investment Data'!$B:$B &gt; 3)))  * Parameters!$B$4 * (1 - Parameters!$A$4),0)"),1842.0089849999993)</f>
        <v>1842.008985</v>
      </c>
      <c r="Z1695" s="91">
        <f t="shared" si="24"/>
        <v>6912.271979</v>
      </c>
      <c r="AA1695" s="91">
        <f>IFERROR(__xludf.DUMMYFUNCTION("((IFERROR((SUM(FILTER('Fund Investment Data'!$V:$V, 'Fund Investment Data'!$C:$C = $C1695, 'Fund Investment Data'!$A:$A = $A1695 - 1, 'Fund Investment Data'!$B:$B &gt;= 4, 'Fund Investment Data'!$B:$B &lt;= ($B1695 + 5))) / 12) * ($B1695 - 3) * Parameters!$B$4,"&amp;" 0) + IF($B1695 &gt;= 9, IFERROR(SUM(FILTER('Fund Investment Data'!$V:$V, 'Fund Investment Data'!$C:$C = $C1695, 'Fund Investment Data'!$A:$A = $A1695, 'Fund Investment Data'!$B:$B &lt;= 3)) * Parameters!$B$4, 0),0)))"),0.0)</f>
        <v>0</v>
      </c>
      <c r="AB1695" s="32">
        <f>IFERROR(__xludf.DUMMYFUNCTION("IFERROR(((IFERROR(SUM(FILTER('Fund Investment Data'!$V:$V, 'Fund Investment Data'!$C:$C = $C1695, 'Fund Investment Data'!$A:$A = $A1695 - 2, 'Fund Investment Data'!$B:$B &gt;= 4)) * Parameters!$B$4,0) + IFERROR(SUM(FILTER('Fund Investment Data'!$V:$V, 'Fund "&amp;"Investment Data'!$C:$C = $C1695, 'Fund Investment Data'!$A:$A = $A1695 - 1, 'Fund Investment Data'!$B:$B &lt;= 3)) * Parameters!$B$4,0))),0)"),0.0)</f>
        <v>0</v>
      </c>
      <c r="AC1695" s="32" t="str">
        <f>IFERROR(__xludf.DUMMYFUNCTION("IFERROR(FILTER($AF:$AF,$C:$C = $C1695,$A:$A = $A1695 - 1,$B:$B = 12),0)"),"")</f>
        <v/>
      </c>
      <c r="AD1695" s="32">
        <f t="shared" si="23"/>
        <v>6912.271979</v>
      </c>
      <c r="AE1695" s="32">
        <f t="shared" si="2"/>
        <v>6912.271979</v>
      </c>
      <c r="AF1695" s="32"/>
    </row>
    <row r="1696">
      <c r="A1696" s="86">
        <v>2020.0</v>
      </c>
      <c r="B1696" s="87">
        <v>2.0</v>
      </c>
      <c r="C1696" s="105" t="s">
        <v>51</v>
      </c>
      <c r="D1696" s="104">
        <v>5000.0</v>
      </c>
      <c r="E1696" s="104">
        <v>0.0</v>
      </c>
      <c r="F1696" s="104">
        <v>0.0</v>
      </c>
      <c r="G1696" s="104">
        <v>-368.08</v>
      </c>
      <c r="H1696" s="104">
        <v>1147.97</v>
      </c>
      <c r="I1696" s="104">
        <v>23780.35</v>
      </c>
      <c r="J1696" s="104">
        <v>-48894.13</v>
      </c>
      <c r="K1696" s="32"/>
      <c r="L1696" s="32"/>
      <c r="M1696" s="32"/>
      <c r="N1696" s="32"/>
      <c r="O1696" s="106">
        <v>462525.65</v>
      </c>
      <c r="P1696" s="91">
        <f>IFERROR(__xludf.DUMMYFUNCTION("IFERROR(sum(FILTER($D:$N,$C:$C = $C1696,$A:$A &lt; $A1696,$B:$B = 12)),0) + sum($D1696:$N1696)"),462525.63000000006)</f>
        <v>462525.63</v>
      </c>
      <c r="Q1696" s="92">
        <f t="shared" si="1"/>
        <v>0.01999999996</v>
      </c>
      <c r="R1696" s="91">
        <f t="array" ref="R1696">IFERROR(INDEX('Fund YTD Target Values'!$1:$1000, MATCH($C1696,'Fund YTD Target Values'!$A:$A,0), MATCH($A1696,'Fund YTD Target Values'!$1:$1,0)),0)</f>
        <v>471452.8972</v>
      </c>
      <c r="S1696" s="91">
        <f>IFERROR(__xludf.DUMMYFUNCTION("IFERROR(sum(FILTER('Fund Investment Data'!$V:$V, 'Fund Investment Data'!$C:$C = $C1696, 'Fund Investment Data'!$A:$A &lt; $A1696)),0) + IFERROR(sum(FILTER('Fund Investment Data'!$V:$V, 'Fund Investment Data'!$C:$C = $C1696, 'Fund Investment Data'!$A:$A = $A1"&amp;"696, 'Fund Investment Data'!$B:$B &lt;= $B1696)),0)"),425073.55)</f>
        <v>425073.55</v>
      </c>
      <c r="T1696" s="32"/>
      <c r="U1696" s="32"/>
      <c r="V1696" s="32">
        <f>IFERROR(__xludf.DUMMYFUNCTION("$D1696 - IFERROR(FILTER($D:$D,$C:$C = $C1696, $A:$A = $A1696, $B:$B = $B1696 - 1),0)"),0.0)</f>
        <v>0</v>
      </c>
      <c r="W1696" s="93">
        <f>IFERROR(__xludf.DUMMYFUNCTION("$E1696 - IFERROR(FILTER($E:$E,$C:$C = $C1696, $A:$A = $A1696, $B:$B = $B1696 - 1),0)"),0.0)</f>
        <v>0</v>
      </c>
      <c r="X1696" s="91">
        <f>IFERROR(__xludf.DUMMYFUNCTION("iFERROR((FILTER('Fund Investment Data'!$Z:$Z, 'Fund Investment Data'!$C:$C = $C1696, 'Fund Investment Data'!$A:$A = $A1696 - 1, 'Fund Investment Data'!$B:$B = 12) + FILTER('Fund Investment Data'!$AB:$AB, 'Fund Investment Data'!$C:$C = $C1696, 'Fund Invest"&amp;"ment Data'!$A:$A = $A1696 - 1, 'Fund Investment Data'!$B:$B = 12)) * (1 + AVERAGE(FILTER('Inflation Data'!$C:$C,'Inflation Data'!$A:$A = ($A1696 - 2)))) * Parameters!$A$4,0)"),14858.837738325023)</f>
        <v>14858.83774</v>
      </c>
      <c r="Y1696" s="91">
        <f>IFERROR(__xludf.DUMMYFUNCTION("IFERROR((IFERROR(FILTER('Fund Investment Data'!$P:$P,'Fund Investment Data'!$C:$C = $C1696,'Fund Investment Data'!$A:$A = ($A1696 - 2), 'Fund Investment Data'!$B:$B = 12),0) - SUM(FILTER('Fund Investment Data'!$V:$V, 'Fund Investment Data'!$C:$C = $C1696,"&amp;" 'Fund Investment Data'!$A:$A = ($A1696 - 2), 'Fund Investment Data'!$B:$B &gt; 3)))  * Parameters!$B$4 * (1 - Parameters!$A$4),0)"),5934.330135000001)</f>
        <v>5934.330135</v>
      </c>
      <c r="Z1696" s="91">
        <f t="shared" si="24"/>
        <v>20793.16787</v>
      </c>
      <c r="AA1696" s="91">
        <f>IFERROR(__xludf.DUMMYFUNCTION("((IFERROR((SUM(FILTER('Fund Investment Data'!$V:$V, 'Fund Investment Data'!$C:$C = $C1696, 'Fund Investment Data'!$A:$A = $A1696 - 1, 'Fund Investment Data'!$B:$B &gt;= 4, 'Fund Investment Data'!$B:$B &lt;= ($B1696 + 5))) / 12) * ($B1696 - 3) * Parameters!$B$4,"&amp;" 0) + IF($B1696 &gt;= 9, IFERROR(SUM(FILTER('Fund Investment Data'!$V:$V, 'Fund Investment Data'!$C:$C = $C1696, 'Fund Investment Data'!$A:$A = $A1696, 'Fund Investment Data'!$B:$B &lt;= 3)) * Parameters!$B$4, 0),0)))"),-3.7499999999999996)</f>
        <v>-3.75</v>
      </c>
      <c r="AB1696" s="32">
        <f>IFERROR(__xludf.DUMMYFUNCTION("IFERROR(((IFERROR(SUM(FILTER('Fund Investment Data'!$V:$V, 'Fund Investment Data'!$C:$C = $C1696, 'Fund Investment Data'!$A:$A = $A1696 - 2, 'Fund Investment Data'!$B:$B &gt;= 4)) * Parameters!$B$4,0) + IFERROR(SUM(FILTER('Fund Investment Data'!$V:$V, 'Fund "&amp;"Investment Data'!$C:$C = $C1696, 'Fund Investment Data'!$A:$A = $A1696 - 1, 'Fund Investment Data'!$B:$B &lt;= 3)) * Parameters!$B$4,0))),0)"),114.75)</f>
        <v>114.75</v>
      </c>
      <c r="AC1696" s="32" t="str">
        <f>IFERROR(__xludf.DUMMYFUNCTION("IFERROR(FILTER($AF:$AF,$C:$C = $C1696,$A:$A = $A1696 - 1,$B:$B = 12),0)"),"")</f>
        <v/>
      </c>
      <c r="AD1696" s="32">
        <f t="shared" si="23"/>
        <v>20904.16787</v>
      </c>
      <c r="AE1696" s="32">
        <f t="shared" si="2"/>
        <v>20904.16787</v>
      </c>
      <c r="AF1696" s="32"/>
    </row>
    <row r="1697">
      <c r="A1697" s="86">
        <v>2020.0</v>
      </c>
      <c r="B1697" s="87">
        <v>2.0</v>
      </c>
      <c r="C1697" s="105" t="s">
        <v>48</v>
      </c>
      <c r="D1697" s="104">
        <v>0.0</v>
      </c>
      <c r="E1697" s="104">
        <v>0.0</v>
      </c>
      <c r="F1697" s="104">
        <v>0.0</v>
      </c>
      <c r="G1697" s="104">
        <v>-926.84</v>
      </c>
      <c r="H1697" s="104">
        <v>2881.03</v>
      </c>
      <c r="I1697" s="104">
        <v>60403.39</v>
      </c>
      <c r="J1697" s="104">
        <v>-123091.75</v>
      </c>
      <c r="K1697" s="32"/>
      <c r="L1697" s="32"/>
      <c r="M1697" s="32"/>
      <c r="N1697" s="32"/>
      <c r="O1697" s="106">
        <v>1165215.73</v>
      </c>
      <c r="P1697" s="91">
        <f>IFERROR(__xludf.DUMMYFUNCTION("IFERROR(sum(FILTER($D:$N,$C:$C = $C1697,$A:$A &lt; $A1697,$B:$B = 12)),0) + sum($D1697:$N1697)"),1165214.41)</f>
        <v>1165214.41</v>
      </c>
      <c r="Q1697" s="92">
        <f t="shared" si="1"/>
        <v>1.32</v>
      </c>
      <c r="R1697" s="91">
        <f t="array" ref="R1697">IFERROR(INDEX('Fund YTD Target Values'!$1:$1000, MATCH($C1697,'Fund YTD Target Values'!$A:$A,0), MATCH($A1697,'Fund YTD Target Values'!$1:$1,0)),0)</f>
        <v>1977173.82</v>
      </c>
      <c r="S1697" s="91">
        <f>IFERROR(__xludf.DUMMYFUNCTION("IFERROR(sum(FILTER('Fund Investment Data'!$V:$V, 'Fund Investment Data'!$C:$C = $C1697, 'Fund Investment Data'!$A:$A &lt; $A1697)),0) + IFERROR(sum(FILTER('Fund Investment Data'!$V:$V, 'Fund Investment Data'!$C:$C = $C1697, 'Fund Investment Data'!$A:$A = $A1"&amp;"697, 'Fund Investment Data'!$B:$B &lt;= $B1697)),0)"),1183929.39)</f>
        <v>1183929.39</v>
      </c>
      <c r="T1697" s="32"/>
      <c r="U1697" s="32"/>
      <c r="V1697" s="32">
        <f>IFERROR(__xludf.DUMMYFUNCTION("$D1697 - IFERROR(FILTER($D:$D,$C:$C = $C1697, $A:$A = $A1697, $B:$B = $B1697 - 1),0)"),0.0)</f>
        <v>0</v>
      </c>
      <c r="W1697" s="93">
        <f>IFERROR(__xludf.DUMMYFUNCTION("$E1697 - IFERROR(FILTER($E:$E,$C:$C = $C1697, $A:$A = $A1697, $B:$B = $B1697 - 1),0)"),0.0)</f>
        <v>0</v>
      </c>
      <c r="X1697" s="91">
        <f>IFERROR(__xludf.DUMMYFUNCTION("iFERROR((FILTER('Fund Investment Data'!$Z:$Z, 'Fund Investment Data'!$C:$C = $C1697, 'Fund Investment Data'!$A:$A = $A1697 - 1, 'Fund Investment Data'!$B:$B = 12) + FILTER('Fund Investment Data'!$AB:$AB, 'Fund Investment Data'!$C:$C = $C1697, 'Fund Invest"&amp;"ment Data'!$A:$A = $A1697 - 1, 'Fund Investment Data'!$B:$B = 12)) * (1 + AVERAGE(FILTER('Inflation Data'!$C:$C,'Inflation Data'!$A:$A = ($A1697 - 2)))) * Parameters!$A$4,0)"),40894.198235956435)</f>
        <v>40894.19824</v>
      </c>
      <c r="Y1697" s="91">
        <f>IFERROR(__xludf.DUMMYFUNCTION("IFERROR((IFERROR(FILTER('Fund Investment Data'!$P:$P,'Fund Investment Data'!$C:$C = $C1697,'Fund Investment Data'!$A:$A = ($A1697 - 2), 'Fund Investment Data'!$B:$B = 12),0) - SUM(FILTER('Fund Investment Data'!$V:$V, 'Fund Investment Data'!$C:$C = $C1697,"&amp;" 'Fund Investment Data'!$A:$A = ($A1697 - 2), 'Fund Investment Data'!$B:$B &gt; 3)))  * Parameters!$B$4 * (1 - Parameters!$A$4),0)"),14758.380764999996)</f>
        <v>14758.38077</v>
      </c>
      <c r="Z1697" s="91">
        <f t="shared" si="24"/>
        <v>55652.579</v>
      </c>
      <c r="AA1697" s="91">
        <f>IFERROR(__xludf.DUMMYFUNCTION("((IFERROR((SUM(FILTER('Fund Investment Data'!$V:$V, 'Fund Investment Data'!$C:$C = $C1697, 'Fund Investment Data'!$A:$A = $A1697 - 1, 'Fund Investment Data'!$B:$B &gt;= 4, 'Fund Investment Data'!$B:$B &lt;= ($B1697 + 5))) / 12) * ($B1697 - 3) * Parameters!$B$4,"&amp;" 0) + IF($B1697 &gt;= 9, IFERROR(SUM(FILTER('Fund Investment Data'!$V:$V, 'Fund Investment Data'!$C:$C = $C1697, 'Fund Investment Data'!$A:$A = $A1697, 'Fund Investment Data'!$B:$B &lt;= 3)) * Parameters!$B$4, 0),0)))"),0.0)</f>
        <v>0</v>
      </c>
      <c r="AB1697" s="32">
        <f>IFERROR(__xludf.DUMMYFUNCTION("IFERROR(((IFERROR(SUM(FILTER('Fund Investment Data'!$V:$V, 'Fund Investment Data'!$C:$C = $C1697, 'Fund Investment Data'!$A:$A = $A1697 - 2, 'Fund Investment Data'!$B:$B &gt;= 4)) * Parameters!$B$4,0) + IFERROR(SUM(FILTER('Fund Investment Data'!$V:$V, 'Fund "&amp;"Investment Data'!$C:$C = $C1697, 'Fund Investment Data'!$A:$A = $A1697 - 1, 'Fund Investment Data'!$B:$B &lt;= 3)) * Parameters!$B$4,0))),0)"),0.0)</f>
        <v>0</v>
      </c>
      <c r="AC1697" s="32" t="str">
        <f>IFERROR(__xludf.DUMMYFUNCTION("IFERROR(FILTER($AF:$AF,$C:$C = $C1697,$A:$A = $A1697 - 1,$B:$B = 12),0)"),"")</f>
        <v/>
      </c>
      <c r="AD1697" s="32">
        <f t="shared" si="23"/>
        <v>55652.579</v>
      </c>
      <c r="AE1697" s="32">
        <f t="shared" si="2"/>
        <v>55652.579</v>
      </c>
      <c r="AF1697" s="32"/>
    </row>
    <row r="1698">
      <c r="A1698" s="86">
        <v>2020.0</v>
      </c>
      <c r="B1698" s="87">
        <v>2.0</v>
      </c>
      <c r="C1698" s="105" t="s">
        <v>49</v>
      </c>
      <c r="D1698" s="104">
        <v>0.0</v>
      </c>
      <c r="E1698" s="104">
        <v>0.0</v>
      </c>
      <c r="F1698" s="104">
        <v>0.0</v>
      </c>
      <c r="G1698" s="104">
        <v>-401.83</v>
      </c>
      <c r="H1698" s="104">
        <v>1249.05</v>
      </c>
      <c r="I1698" s="104">
        <v>26187.49</v>
      </c>
      <c r="J1698" s="104">
        <v>-53365.6</v>
      </c>
      <c r="K1698" s="32"/>
      <c r="L1698" s="32"/>
      <c r="M1698" s="32"/>
      <c r="N1698" s="32"/>
      <c r="O1698" s="106">
        <v>505171.49</v>
      </c>
      <c r="P1698" s="91">
        <f>IFERROR(__xludf.DUMMYFUNCTION("IFERROR(sum(FILTER($D:$N,$C:$C = $C1698,$A:$A &lt; $A1698,$B:$B = 12)),0) + sum($D1698:$N1698)"),505171.7899999999)</f>
        <v>505171.79</v>
      </c>
      <c r="Q1698" s="92">
        <f t="shared" si="1"/>
        <v>-0.2999999999</v>
      </c>
      <c r="R1698" s="91">
        <f t="array" ref="R1698">IFERROR(INDEX('Fund YTD Target Values'!$1:$1000, MATCH($C1698,'Fund YTD Target Values'!$A:$A,0), MATCH($A1698,'Fund YTD Target Values'!$1:$1,0)),0)</f>
        <v>731305.9568</v>
      </c>
      <c r="S1698" s="91">
        <f>IFERROR(__xludf.DUMMYFUNCTION("IFERROR(sum(FILTER('Fund Investment Data'!$V:$V, 'Fund Investment Data'!$C:$C = $C1698, 'Fund Investment Data'!$A:$A &lt; $A1698)),0) + IFERROR(sum(FILTER('Fund Investment Data'!$V:$V, 'Fund Investment Data'!$C:$C = $C1698, 'Fund Investment Data'!$A:$A = $A1"&amp;"698, 'Fund Investment Data'!$B:$B &lt;= $B1698)),0)"),500000.0)</f>
        <v>500000</v>
      </c>
      <c r="T1698" s="32"/>
      <c r="U1698" s="32"/>
      <c r="V1698" s="32">
        <f>IFERROR(__xludf.DUMMYFUNCTION("$D1698 - IFERROR(FILTER($D:$D,$C:$C = $C1698, $A:$A = $A1698, $B:$B = $B1698 - 1),0)"),0.0)</f>
        <v>0</v>
      </c>
      <c r="W1698" s="93">
        <f>IFERROR(__xludf.DUMMYFUNCTION("$E1698 - IFERROR(FILTER($E:$E,$C:$C = $C1698, $A:$A = $A1698, $B:$B = $B1698 - 1),0)"),0.0)</f>
        <v>0</v>
      </c>
      <c r="X1698" s="91">
        <f>IFERROR(__xludf.DUMMYFUNCTION("iFERROR((FILTER('Fund Investment Data'!$Z:$Z, 'Fund Investment Data'!$C:$C = $C1698, 'Fund Investment Data'!$A:$A = $A1698 - 1, 'Fund Investment Data'!$B:$B = 12) + FILTER('Fund Investment Data'!$AB:$AB, 'Fund Investment Data'!$C:$C = $C1698, 'Fund Invest"&amp;"ment Data'!$A:$A = $A1698 - 1, 'Fund Investment Data'!$B:$B = 12)) * (1 + AVERAGE(FILTER('Inflation Data'!$C:$C,'Inflation Data'!$A:$A = ($A1698 - 2)))) * Parameters!$A$4,0)"),17938.124492992578)</f>
        <v>17938.12449</v>
      </c>
      <c r="Y1698" s="91">
        <f>IFERROR(__xludf.DUMMYFUNCTION("IFERROR((IFERROR(FILTER('Fund Investment Data'!$P:$P,'Fund Investment Data'!$C:$C = $C1698,'Fund Investment Data'!$A:$A = ($A1698 - 2), 'Fund Investment Data'!$B:$B = 12),0) - SUM(FILTER('Fund Investment Data'!$V:$V, 'Fund Investment Data'!$C:$C = $C1698,"&amp;" 'Fund Investment Data'!$A:$A = ($A1698 - 2), 'Fund Investment Data'!$B:$B &gt; 3)))  * Parameters!$B$4 * (1 - Parameters!$A$4),0)"),6402.16332)</f>
        <v>6402.16332</v>
      </c>
      <c r="Z1698" s="91">
        <f t="shared" si="24"/>
        <v>24340.28781</v>
      </c>
      <c r="AA1698" s="91">
        <f>IFERROR(__xludf.DUMMYFUNCTION("((IFERROR((SUM(FILTER('Fund Investment Data'!$V:$V, 'Fund Investment Data'!$C:$C = $C1698, 'Fund Investment Data'!$A:$A = $A1698 - 1, 'Fund Investment Data'!$B:$B &gt;= 4, 'Fund Investment Data'!$B:$B &lt;= ($B1698 + 5))) / 12) * ($B1698 - 3) * Parameters!$B$4,"&amp;" 0) + IF($B1698 &gt;= 9, IFERROR(SUM(FILTER('Fund Investment Data'!$V:$V, 'Fund Investment Data'!$C:$C = $C1698, 'Fund Investment Data'!$A:$A = $A1698, 'Fund Investment Data'!$B:$B &lt;= 3)) * Parameters!$B$4, 0),0)))"),0.0)</f>
        <v>0</v>
      </c>
      <c r="AB1698" s="32">
        <f>IFERROR(__xludf.DUMMYFUNCTION("IFERROR(((IFERROR(SUM(FILTER('Fund Investment Data'!$V:$V, 'Fund Investment Data'!$C:$C = $C1698, 'Fund Investment Data'!$A:$A = $A1698 - 2, 'Fund Investment Data'!$B:$B &gt;= 4)) * Parameters!$B$4,0) + IFERROR(SUM(FILTER('Fund Investment Data'!$V:$V, 'Fund "&amp;"Investment Data'!$C:$C = $C1698, 'Fund Investment Data'!$A:$A = $A1698 - 1, 'Fund Investment Data'!$B:$B &lt;= 3)) * Parameters!$B$4,0))),0)"),0.0)</f>
        <v>0</v>
      </c>
      <c r="AC1698" s="32" t="str">
        <f>IFERROR(__xludf.DUMMYFUNCTION("IFERROR(FILTER($AF:$AF,$C:$C = $C1698,$A:$A = $A1698 - 1,$B:$B = 12),0)"),"")</f>
        <v/>
      </c>
      <c r="AD1698" s="32">
        <f t="shared" si="23"/>
        <v>24340.28781</v>
      </c>
      <c r="AE1698" s="32">
        <f t="shared" si="2"/>
        <v>24340.28781</v>
      </c>
      <c r="AF1698" s="32"/>
    </row>
    <row r="1699">
      <c r="A1699" s="86">
        <v>2020.0</v>
      </c>
      <c r="B1699" s="87">
        <v>2.0</v>
      </c>
      <c r="C1699" s="105" t="s">
        <v>41</v>
      </c>
      <c r="D1699" s="104">
        <v>0.0</v>
      </c>
      <c r="E1699" s="104">
        <v>0.0</v>
      </c>
      <c r="F1699" s="104">
        <v>0.0</v>
      </c>
      <c r="G1699" s="104">
        <v>-496.94</v>
      </c>
      <c r="H1699" s="104">
        <v>1544.74</v>
      </c>
      <c r="I1699" s="104">
        <v>32386.73</v>
      </c>
      <c r="J1699" s="104">
        <v>-65998.63</v>
      </c>
      <c r="K1699" s="32"/>
      <c r="L1699" s="32"/>
      <c r="M1699" s="32"/>
      <c r="N1699" s="32"/>
      <c r="O1699" s="106">
        <v>624758.76</v>
      </c>
      <c r="P1699" s="91">
        <f>IFERROR(__xludf.DUMMYFUNCTION("IFERROR(sum(FILTER($D:$N,$C:$C = $C1699,$A:$A &lt; $A1699,$B:$B = 12)),0) + sum($D1699:$N1699)"),624759.61)</f>
        <v>624759.61</v>
      </c>
      <c r="Q1699" s="92">
        <f t="shared" si="1"/>
        <v>-0.85</v>
      </c>
      <c r="R1699" s="91">
        <f t="array" ref="R1699">IFERROR(INDEX('Fund YTD Target Values'!$1:$1000, MATCH($C1699,'Fund YTD Target Values'!$A:$A,0), MATCH($A1699,'Fund YTD Target Values'!$1:$1,0)),0)</f>
        <v>613052.4595</v>
      </c>
      <c r="S1699" s="91">
        <f>IFERROR(__xludf.DUMMYFUNCTION("IFERROR(sum(FILTER('Fund Investment Data'!$V:$V, 'Fund Investment Data'!$C:$C = $C1699, 'Fund Investment Data'!$A:$A &lt; $A1699)),0) + IFERROR(sum(FILTER('Fund Investment Data'!$V:$V, 'Fund Investment Data'!$C:$C = $C1699, 'Fund Investment Data'!$A:$A = $A1"&amp;"699, 'Fund Investment Data'!$B:$B &lt;= $B1699)),0)"),433755.86)</f>
        <v>433755.86</v>
      </c>
      <c r="T1699" s="32"/>
      <c r="U1699" s="32"/>
      <c r="V1699" s="32">
        <f>IFERROR(__xludf.DUMMYFUNCTION("$D1699 - IFERROR(FILTER($D:$D,$C:$C = $C1699, $A:$A = $A1699, $B:$B = $B1699 - 1),0)"),0.0)</f>
        <v>0</v>
      </c>
      <c r="W1699" s="93">
        <f>IFERROR(__xludf.DUMMYFUNCTION("$E1699 - IFERROR(FILTER($E:$E,$C:$C = $C1699, $A:$A = $A1699, $B:$B = $B1699 - 1),0)"),0.0)</f>
        <v>0</v>
      </c>
      <c r="X1699" s="91">
        <f>IFERROR(__xludf.DUMMYFUNCTION("iFERROR((FILTER('Fund Investment Data'!$Z:$Z, 'Fund Investment Data'!$C:$C = $C1699, 'Fund Investment Data'!$A:$A = $A1699 - 1, 'Fund Investment Data'!$B:$B = 12) + FILTER('Fund Investment Data'!$AB:$AB, 'Fund Investment Data'!$C:$C = $C1699, 'Fund Invest"&amp;"ment Data'!$A:$A = $A1699 - 1, 'Fund Investment Data'!$B:$B = 12)) * (1 + AVERAGE(FILTER('Inflation Data'!$C:$C,'Inflation Data'!$A:$A = ($A1699 - 2)))) * Parameters!$A$4,0)"),19563.798947196206)</f>
        <v>19563.79895</v>
      </c>
      <c r="Y1699" s="91">
        <f>IFERROR(__xludf.DUMMYFUNCTION("IFERROR((IFERROR(FILTER('Fund Investment Data'!$P:$P,'Fund Investment Data'!$C:$C = $C1699,'Fund Investment Data'!$A:$A = ($A1699 - 2), 'Fund Investment Data'!$B:$B = 12),0) - SUM(FILTER('Fund Investment Data'!$V:$V, 'Fund Investment Data'!$C:$C = $C1699,"&amp;" 'Fund Investment Data'!$A:$A = ($A1699 - 2), 'Fund Investment Data'!$B:$B &gt; 3)))  * Parameters!$B$4 * (1 - Parameters!$A$4),0)"),7872.907320000002)</f>
        <v>7872.90732</v>
      </c>
      <c r="Z1699" s="91">
        <f t="shared" si="24"/>
        <v>27436.70627</v>
      </c>
      <c r="AA1699" s="91">
        <f>IFERROR(__xludf.DUMMYFUNCTION("((IFERROR((SUM(FILTER('Fund Investment Data'!$V:$V, 'Fund Investment Data'!$C:$C = $C1699, 'Fund Investment Data'!$A:$A = $A1699 - 1, 'Fund Investment Data'!$B:$B &gt;= 4, 'Fund Investment Data'!$B:$B &lt;= ($B1699 + 5))) / 12) * ($B1699 - 3) * Parameters!$B$4,"&amp;" 0) + IF($B1699 &gt;= 9, IFERROR(SUM(FILTER('Fund Investment Data'!$V:$V, 'Fund Investment Data'!$C:$C = $C1699, 'Fund Investment Data'!$A:$A = $A1699, 'Fund Investment Data'!$B:$B &lt;= 3)) * Parameters!$B$4, 0),0)))"),0.0)</f>
        <v>0</v>
      </c>
      <c r="AB1699" s="32">
        <f>IFERROR(__xludf.DUMMYFUNCTION("IFERROR(((IFERROR(SUM(FILTER('Fund Investment Data'!$V:$V, 'Fund Investment Data'!$C:$C = $C1699, 'Fund Investment Data'!$A:$A = $A1699 - 2, 'Fund Investment Data'!$B:$B &gt;= 4)) * Parameters!$B$4,0) + IFERROR(SUM(FILTER('Fund Investment Data'!$V:$V, 'Fund "&amp;"Investment Data'!$C:$C = $C1699, 'Fund Investment Data'!$A:$A = $A1699 - 1, 'Fund Investment Data'!$B:$B &lt;= 3)) * Parameters!$B$4,0))),0)"),0.0)</f>
        <v>0</v>
      </c>
      <c r="AC1699" s="32" t="str">
        <f>IFERROR(__xludf.DUMMYFUNCTION("IFERROR(FILTER($AF:$AF,$C:$C = $C1699,$A:$A = $A1699 - 1,$B:$B = 12),0)"),"")</f>
        <v/>
      </c>
      <c r="AD1699" s="32">
        <f t="shared" si="23"/>
        <v>27436.70627</v>
      </c>
      <c r="AE1699" s="32">
        <f t="shared" si="2"/>
        <v>27436.70627</v>
      </c>
      <c r="AF1699" s="32"/>
    </row>
    <row r="1700">
      <c r="A1700" s="86">
        <v>2020.0</v>
      </c>
      <c r="B1700" s="87">
        <v>2.0</v>
      </c>
      <c r="C1700" s="105" t="s">
        <v>25</v>
      </c>
      <c r="D1700" s="104">
        <v>0.0</v>
      </c>
      <c r="E1700" s="104">
        <v>0.0</v>
      </c>
      <c r="F1700" s="104">
        <v>0.0</v>
      </c>
      <c r="G1700" s="104">
        <v>-62.86</v>
      </c>
      <c r="H1700" s="104">
        <v>195.39</v>
      </c>
      <c r="I1700" s="104">
        <v>4096.72</v>
      </c>
      <c r="J1700" s="104">
        <v>-8348.41</v>
      </c>
      <c r="K1700" s="32"/>
      <c r="L1700" s="32"/>
      <c r="M1700" s="32"/>
      <c r="N1700" s="32"/>
      <c r="O1700" s="106">
        <v>79027.92</v>
      </c>
      <c r="P1700" s="91">
        <f>IFERROR(__xludf.DUMMYFUNCTION("IFERROR(sum(FILTER($D:$N,$C:$C = $C1700,$A:$A &lt; $A1700,$B:$B = 12)),0) + sum($D1700:$N1700)"),79027.90999999997)</f>
        <v>79027.91</v>
      </c>
      <c r="Q1700" s="92">
        <f t="shared" si="1"/>
        <v>0.01000000002</v>
      </c>
      <c r="R1700" s="91">
        <f t="array" ref="R1700">IFERROR(INDEX('Fund YTD Target Values'!$1:$1000, MATCH($C1700,'Fund YTD Target Values'!$A:$A,0), MATCH($A1700,'Fund YTD Target Values'!$1:$1,0)),0)</f>
        <v>113832.9235</v>
      </c>
      <c r="S1700" s="91">
        <f>IFERROR(__xludf.DUMMYFUNCTION("IFERROR(sum(FILTER('Fund Investment Data'!$V:$V, 'Fund Investment Data'!$C:$C = $C1700, 'Fund Investment Data'!$A:$A &lt; $A1700)),0) + IFERROR(sum(FILTER('Fund Investment Data'!$V:$V, 'Fund Investment Data'!$C:$C = $C1700, 'Fund Investment Data'!$A:$A = $A1"&amp;"700, 'Fund Investment Data'!$B:$B &lt;= $B1700)),0)"),81000.0)</f>
        <v>81000</v>
      </c>
      <c r="T1700" s="32"/>
      <c r="U1700" s="32"/>
      <c r="V1700" s="32">
        <f>IFERROR(__xludf.DUMMYFUNCTION("$D1700 - IFERROR(FILTER($D:$D,$C:$C = $C1700, $A:$A = $A1700, $B:$B = $B1700 - 1),0)"),0.0)</f>
        <v>0</v>
      </c>
      <c r="W1700" s="93">
        <f>IFERROR(__xludf.DUMMYFUNCTION("$E1700 - IFERROR(FILTER($E:$E,$C:$C = $C1700, $A:$A = $A1700, $B:$B = $B1700 - 1),0)"),0.0)</f>
        <v>0</v>
      </c>
      <c r="X1700" s="91">
        <f>IFERROR(__xludf.DUMMYFUNCTION("iFERROR((FILTER('Fund Investment Data'!$Z:$Z, 'Fund Investment Data'!$C:$C = $C1700, 'Fund Investment Data'!$A:$A = $A1700 - 1, 'Fund Investment Data'!$B:$B = 12) + FILTER('Fund Investment Data'!$AB:$AB, 'Fund Investment Data'!$C:$C = $C1700, 'Fund Invest"&amp;"ment Data'!$A:$A = $A1700 - 1, 'Fund Investment Data'!$B:$B = 12)) * (1 + AVERAGE(FILTER('Inflation Data'!$C:$C,'Inflation Data'!$A:$A = ($A1700 - 2)))) * Parameters!$A$4,0)"),3310.018104714215)</f>
        <v>3310.018105</v>
      </c>
      <c r="Y1700" s="91">
        <f>IFERROR(__xludf.DUMMYFUNCTION("IFERROR((IFERROR(FILTER('Fund Investment Data'!$P:$P,'Fund Investment Data'!$C:$C = $C1700,'Fund Investment Data'!$A:$A = ($A1700 - 2), 'Fund Investment Data'!$B:$B = 12),0) - SUM(FILTER('Fund Investment Data'!$V:$V, 'Fund Investment Data'!$C:$C = $C1700,"&amp;" 'Fund Investment Data'!$A:$A = ($A1700 - 2), 'Fund Investment Data'!$B:$B &gt; 3)))  * Parameters!$B$4 * (1 - Parameters!$A$4),0)"),1010.3125950000002)</f>
        <v>1010.312595</v>
      </c>
      <c r="Z1700" s="91">
        <f t="shared" si="24"/>
        <v>4320.3307</v>
      </c>
      <c r="AA1700" s="91">
        <f>IFERROR(__xludf.DUMMYFUNCTION("((IFERROR((SUM(FILTER('Fund Investment Data'!$V:$V, 'Fund Investment Data'!$C:$C = $C1700, 'Fund Investment Data'!$A:$A = $A1700 - 1, 'Fund Investment Data'!$B:$B &gt;= 4, 'Fund Investment Data'!$B:$B &lt;= ($B1700 + 5))) / 12) * ($B1700 - 3) * Parameters!$B$4,"&amp;" 0) + IF($B1700 &gt;= 9, IFERROR(SUM(FILTER('Fund Investment Data'!$V:$V, 'Fund Investment Data'!$C:$C = $C1700, 'Fund Investment Data'!$A:$A = $A1700, 'Fund Investment Data'!$B:$B &lt;= 3)) * Parameters!$B$4, 0),0)))"),0.0)</f>
        <v>0</v>
      </c>
      <c r="AB1700" s="32">
        <f>IFERROR(__xludf.DUMMYFUNCTION("IFERROR(((IFERROR(SUM(FILTER('Fund Investment Data'!$V:$V, 'Fund Investment Data'!$C:$C = $C1700, 'Fund Investment Data'!$A:$A = $A1700 - 2, 'Fund Investment Data'!$B:$B &gt;= 4)) * Parameters!$B$4,0) + IFERROR(SUM(FILTER('Fund Investment Data'!$V:$V, 'Fund "&amp;"Investment Data'!$C:$C = $C1700, 'Fund Investment Data'!$A:$A = $A1700 - 1, 'Fund Investment Data'!$B:$B &lt;= 3)) * Parameters!$B$4,0))),0)"),0.0)</f>
        <v>0</v>
      </c>
      <c r="AC1700" s="32" t="str">
        <f>IFERROR(__xludf.DUMMYFUNCTION("IFERROR(FILTER($AF:$AF,$C:$C = $C1700,$A:$A = $A1700 - 1,$B:$B = 12),0)"),"")</f>
        <v/>
      </c>
      <c r="AD1700" s="32">
        <f t="shared" si="23"/>
        <v>4320.3307</v>
      </c>
      <c r="AE1700" s="32">
        <f t="shared" si="2"/>
        <v>4320.3307</v>
      </c>
      <c r="AF1700" s="32"/>
    </row>
    <row r="1701">
      <c r="A1701" s="86">
        <v>2020.0</v>
      </c>
      <c r="B1701" s="87">
        <v>2.0</v>
      </c>
      <c r="C1701" s="105" t="s">
        <v>42</v>
      </c>
      <c r="D1701" s="104">
        <v>0.0</v>
      </c>
      <c r="E1701" s="104">
        <v>0.0</v>
      </c>
      <c r="F1701" s="104">
        <v>0.0</v>
      </c>
      <c r="G1701" s="104">
        <v>-231.56</v>
      </c>
      <c r="H1701" s="104">
        <v>719.78</v>
      </c>
      <c r="I1701" s="104">
        <v>15090.81</v>
      </c>
      <c r="J1701" s="104">
        <v>-30752.47</v>
      </c>
      <c r="K1701" s="32"/>
      <c r="L1701" s="32"/>
      <c r="M1701" s="32"/>
      <c r="N1701" s="32"/>
      <c r="O1701" s="106">
        <v>291110.3</v>
      </c>
      <c r="P1701" s="91">
        <f>IFERROR(__xludf.DUMMYFUNCTION("IFERROR(sum(FILTER($D:$N,$C:$C = $C1701,$A:$A &lt; $A1701,$B:$B = 12)),0) + sum($D1701:$N1701)"),291109.7700000001)</f>
        <v>291109.77</v>
      </c>
      <c r="Q1701" s="92">
        <f t="shared" si="1"/>
        <v>0.5299999999</v>
      </c>
      <c r="R1701" s="91">
        <f t="array" ref="R1701">IFERROR(INDEX('Fund YTD Target Values'!$1:$1000, MATCH($C1701,'Fund YTD Target Values'!$A:$A,0), MATCH($A1701,'Fund YTD Target Values'!$1:$1,0)),0)</f>
        <v>250432.6143</v>
      </c>
      <c r="S1701" s="91">
        <f>IFERROR(__xludf.DUMMYFUNCTION("IFERROR(sum(FILTER('Fund Investment Data'!$V:$V, 'Fund Investment Data'!$C:$C = $C1701, 'Fund Investment Data'!$A:$A &lt; $A1701)),0) + IFERROR(sum(FILTER('Fund Investment Data'!$V:$V, 'Fund Investment Data'!$C:$C = $C1701, 'Fund Investment Data'!$A:$A = $A1"&amp;"701, 'Fund Investment Data'!$B:$B &lt;= $B1701)),0)"),194469.0)</f>
        <v>194469</v>
      </c>
      <c r="T1701" s="32"/>
      <c r="U1701" s="32"/>
      <c r="V1701" s="32">
        <f>IFERROR(__xludf.DUMMYFUNCTION("$D1701 - IFERROR(FILTER($D:$D,$C:$C = $C1701, $A:$A = $A1701, $B:$B = $B1701 - 1),0)"),0.0)</f>
        <v>0</v>
      </c>
      <c r="W1701" s="93">
        <f>IFERROR(__xludf.DUMMYFUNCTION("$E1701 - IFERROR(FILTER($E:$E,$C:$C = $C1701, $A:$A = $A1701, $B:$B = $B1701 - 1),0)"),0.0)</f>
        <v>0</v>
      </c>
      <c r="X1701" s="91">
        <f>IFERROR(__xludf.DUMMYFUNCTION("iFERROR((FILTER('Fund Investment Data'!$Z:$Z, 'Fund Investment Data'!$C:$C = $C1701, 'Fund Investment Data'!$A:$A = $A1701 - 1, 'Fund Investment Data'!$B:$B = 12) + FILTER('Fund Investment Data'!$AB:$AB, 'Fund Investment Data'!$C:$C = $C1701, 'Fund Invest"&amp;"ment Data'!$A:$A = $A1701 - 1, 'Fund Investment Data'!$B:$B = 12)) * (1 + AVERAGE(FILTER('Inflation Data'!$C:$C,'Inflation Data'!$A:$A = ($A1701 - 2)))) * Parameters!$A$4,0)"),8307.89140924438)</f>
        <v>8307.891409</v>
      </c>
      <c r="Y1701" s="91">
        <f>IFERROR(__xludf.DUMMYFUNCTION("IFERROR((IFERROR(FILTER('Fund Investment Data'!$P:$P,'Fund Investment Data'!$C:$C = $C1701,'Fund Investment Data'!$A:$A = ($A1701 - 2), 'Fund Investment Data'!$B:$B = 12),0) - SUM(FILTER('Fund Investment Data'!$V:$V, 'Fund Investment Data'!$C:$C = $C1701,"&amp;" 'Fund Investment Data'!$A:$A = ($A1701 - 2), 'Fund Investment Data'!$B:$B &gt; 3)))  * Parameters!$B$4 * (1 - Parameters!$A$4),0)"),3656.8255950000025)</f>
        <v>3656.825595</v>
      </c>
      <c r="Z1701" s="91">
        <f t="shared" si="24"/>
        <v>11964.717</v>
      </c>
      <c r="AA1701" s="91">
        <f>IFERROR(__xludf.DUMMYFUNCTION("((IFERROR((SUM(FILTER('Fund Investment Data'!$V:$V, 'Fund Investment Data'!$C:$C = $C1701, 'Fund Investment Data'!$A:$A = $A1701 - 1, 'Fund Investment Data'!$B:$B &gt;= 4, 'Fund Investment Data'!$B:$B &lt;= ($B1701 + 5))) / 12) * ($B1701 - 3) * Parameters!$B$4,"&amp;" 0) + IF($B1701 &gt;= 9, IFERROR(SUM(FILTER('Fund Investment Data'!$V:$V, 'Fund Investment Data'!$C:$C = $C1701, 'Fund Investment Data'!$A:$A = $A1701, 'Fund Investment Data'!$B:$B &lt;= 3)) * Parameters!$B$4, 0),0)))"),0.0)</f>
        <v>0</v>
      </c>
      <c r="AB1701" s="32">
        <f>IFERROR(__xludf.DUMMYFUNCTION("IFERROR(((IFERROR(SUM(FILTER('Fund Investment Data'!$V:$V, 'Fund Investment Data'!$C:$C = $C1701, 'Fund Investment Data'!$A:$A = $A1701 - 2, 'Fund Investment Data'!$B:$B &gt;= 4)) * Parameters!$B$4,0) + IFERROR(SUM(FILTER('Fund Investment Data'!$V:$V, 'Fund "&amp;"Investment Data'!$C:$C = $C1701, 'Fund Investment Data'!$A:$A = $A1701 - 1, 'Fund Investment Data'!$B:$B &lt;= 3)) * Parameters!$B$4,0))),0)"),0.0)</f>
        <v>0</v>
      </c>
      <c r="AC1701" s="32" t="str">
        <f>IFERROR(__xludf.DUMMYFUNCTION("IFERROR(FILTER($AF:$AF,$C:$C = $C1701,$A:$A = $A1701 - 1,$B:$B = 12),0)"),"")</f>
        <v/>
      </c>
      <c r="AD1701" s="32">
        <f t="shared" si="23"/>
        <v>11964.717</v>
      </c>
      <c r="AE1701" s="32">
        <f t="shared" si="2"/>
        <v>11964.717</v>
      </c>
      <c r="AF1701" s="32"/>
    </row>
    <row r="1702">
      <c r="A1702" s="86">
        <v>2020.0</v>
      </c>
      <c r="B1702" s="87">
        <v>2.0</v>
      </c>
      <c r="C1702" s="105" t="s">
        <v>43</v>
      </c>
      <c r="D1702" s="104">
        <v>0.0</v>
      </c>
      <c r="E1702" s="104">
        <v>0.0</v>
      </c>
      <c r="F1702" s="104">
        <v>0.0</v>
      </c>
      <c r="G1702" s="104">
        <v>-93.52</v>
      </c>
      <c r="H1702" s="104">
        <v>290.71</v>
      </c>
      <c r="I1702" s="104">
        <v>6094.92</v>
      </c>
      <c r="J1702" s="104">
        <v>-12420.41</v>
      </c>
      <c r="K1702" s="32"/>
      <c r="L1702" s="32"/>
      <c r="M1702" s="32"/>
      <c r="N1702" s="32"/>
      <c r="O1702" s="106">
        <v>117574.46</v>
      </c>
      <c r="P1702" s="91">
        <f>IFERROR(__xludf.DUMMYFUNCTION("IFERROR(sum(FILTER($D:$N,$C:$C = $C1702,$A:$A &lt; $A1702,$B:$B = 12)),0) + sum($D1702:$N1702)"),117573.72000000003)</f>
        <v>117573.72</v>
      </c>
      <c r="Q1702" s="92">
        <f t="shared" si="1"/>
        <v>0.74</v>
      </c>
      <c r="R1702" s="91">
        <f t="array" ref="R1702">IFERROR(INDEX('Fund YTD Target Values'!$1:$1000, MATCH($C1702,'Fund YTD Target Values'!$A:$A,0), MATCH($A1702,'Fund YTD Target Values'!$1:$1,0)),0)</f>
        <v>136272.9454</v>
      </c>
      <c r="S1702" s="91">
        <f>IFERROR(__xludf.DUMMYFUNCTION("IFERROR(sum(FILTER('Fund Investment Data'!$V:$V, 'Fund Investment Data'!$C:$C = $C1702, 'Fund Investment Data'!$A:$A &lt; $A1702)),0) + IFERROR(sum(FILTER('Fund Investment Data'!$V:$V, 'Fund Investment Data'!$C:$C = $C1702, 'Fund Investment Data'!$A:$A = $A1"&amp;"702, 'Fund Investment Data'!$B:$B &lt;= $B1702)),0)"),100000.0)</f>
        <v>100000</v>
      </c>
      <c r="T1702" s="32"/>
      <c r="U1702" s="32"/>
      <c r="V1702" s="32">
        <f>IFERROR(__xludf.DUMMYFUNCTION("$D1702 - IFERROR(FILTER($D:$D,$C:$C = $C1702, $A:$A = $A1702, $B:$B = $B1702 - 1),0)"),0.0)</f>
        <v>0</v>
      </c>
      <c r="W1702" s="93">
        <f>IFERROR(__xludf.DUMMYFUNCTION("$E1702 - IFERROR(FILTER($E:$E,$C:$C = $C1702, $A:$A = $A1702, $B:$B = $B1702 - 1),0)"),0.0)</f>
        <v>0</v>
      </c>
      <c r="X1702" s="91">
        <f>IFERROR(__xludf.DUMMYFUNCTION("iFERROR((FILTER('Fund Investment Data'!$Z:$Z, 'Fund Investment Data'!$C:$C = $C1702, 'Fund Investment Data'!$A:$A = $A1702 - 1, 'Fund Investment Data'!$B:$B = 12) + FILTER('Fund Investment Data'!$AB:$AB, 'Fund Investment Data'!$C:$C = $C1702, 'Fund Invest"&amp;"ment Data'!$A:$A = $A1702 - 1, 'Fund Investment Data'!$B:$B = 12)) * (1 + AVERAGE(FILTER('Inflation Data'!$C:$C,'Inflation Data'!$A:$A = ($A1702 - 2)))) * Parameters!$A$4,0)"),4110.654981425052)</f>
        <v>4110.654981</v>
      </c>
      <c r="Y1702" s="91">
        <f>IFERROR(__xludf.DUMMYFUNCTION("IFERROR((IFERROR(FILTER('Fund Investment Data'!$P:$P,'Fund Investment Data'!$C:$C = $C1702,'Fund Investment Data'!$A:$A = ($A1702 - 2), 'Fund Investment Data'!$B:$B = 12),0) - SUM(FILTER('Fund Investment Data'!$V:$V, 'Fund Investment Data'!$C:$C = $C1702,"&amp;" 'Fund Investment Data'!$A:$A = ($A1702 - 2), 'Fund Investment Data'!$B:$B &gt; 3)))  * Parameters!$B$4 * (1 - Parameters!$A$4),0)"),1489.0159800000004)</f>
        <v>1489.01598</v>
      </c>
      <c r="Z1702" s="91">
        <f t="shared" si="24"/>
        <v>5599.670961</v>
      </c>
      <c r="AA1702" s="91">
        <f>IFERROR(__xludf.DUMMYFUNCTION("((IFERROR((SUM(FILTER('Fund Investment Data'!$V:$V, 'Fund Investment Data'!$C:$C = $C1702, 'Fund Investment Data'!$A:$A = $A1702 - 1, 'Fund Investment Data'!$B:$B &gt;= 4, 'Fund Investment Data'!$B:$B &lt;= ($B1702 + 5))) / 12) * ($B1702 - 3) * Parameters!$B$4,"&amp;" 0) + IF($B1702 &gt;= 9, IFERROR(SUM(FILTER('Fund Investment Data'!$V:$V, 'Fund Investment Data'!$C:$C = $C1702, 'Fund Investment Data'!$A:$A = $A1702, 'Fund Investment Data'!$B:$B &lt;= 3)) * Parameters!$B$4, 0),0)))"),0.0)</f>
        <v>0</v>
      </c>
      <c r="AB1702" s="32">
        <f>IFERROR(__xludf.DUMMYFUNCTION("IFERROR(((IFERROR(SUM(FILTER('Fund Investment Data'!$V:$V, 'Fund Investment Data'!$C:$C = $C1702, 'Fund Investment Data'!$A:$A = $A1702 - 2, 'Fund Investment Data'!$B:$B &gt;= 4)) * Parameters!$B$4,0) + IFERROR(SUM(FILTER('Fund Investment Data'!$V:$V, 'Fund "&amp;"Investment Data'!$C:$C = $C1702, 'Fund Investment Data'!$A:$A = $A1702 - 1, 'Fund Investment Data'!$B:$B &lt;= 3)) * Parameters!$B$4,0))),0)"),0.0)</f>
        <v>0</v>
      </c>
      <c r="AC1702" s="32" t="str">
        <f>IFERROR(__xludf.DUMMYFUNCTION("IFERROR(FILTER($AF:$AF,$C:$C = $C1702,$A:$A = $A1702 - 1,$B:$B = 12),0)"),"")</f>
        <v/>
      </c>
      <c r="AD1702" s="32">
        <f t="shared" si="23"/>
        <v>5599.670961</v>
      </c>
      <c r="AE1702" s="32">
        <f t="shared" si="2"/>
        <v>5599.670961</v>
      </c>
      <c r="AF1702" s="32"/>
    </row>
    <row r="1703">
      <c r="A1703" s="86">
        <v>2020.0</v>
      </c>
      <c r="B1703" s="87">
        <v>2.0</v>
      </c>
      <c r="C1703" s="105" t="s">
        <v>52</v>
      </c>
      <c r="D1703" s="104">
        <v>0.0</v>
      </c>
      <c r="E1703" s="104">
        <v>0.0</v>
      </c>
      <c r="F1703" s="104">
        <v>0.0</v>
      </c>
      <c r="G1703" s="104">
        <v>-928.98</v>
      </c>
      <c r="H1703" s="104">
        <v>2887.71</v>
      </c>
      <c r="I1703" s="104">
        <v>60543.56</v>
      </c>
      <c r="J1703" s="104">
        <v>-123377.4</v>
      </c>
      <c r="K1703" s="32"/>
      <c r="L1703" s="32"/>
      <c r="M1703" s="32"/>
      <c r="N1703" s="32"/>
      <c r="O1703" s="106">
        <v>1167919.86</v>
      </c>
      <c r="P1703" s="91">
        <f>IFERROR(__xludf.DUMMYFUNCTION("IFERROR(sum(FILTER($D:$N,$C:$C = $C1703,$A:$A &lt; $A1703,$B:$B = 12)),0) + sum($D1703:$N1703)"),1167919.5399999998)</f>
        <v>1167919.54</v>
      </c>
      <c r="Q1703" s="92">
        <f t="shared" si="1"/>
        <v>0.3200000003</v>
      </c>
      <c r="R1703" s="91">
        <f t="array" ref="R1703">IFERROR(INDEX('Fund YTD Target Values'!$1:$1000, MATCH($C1703,'Fund YTD Target Values'!$A:$A,0), MATCH($A1703,'Fund YTD Target Values'!$1:$1,0)),0)</f>
        <v>1199021.687</v>
      </c>
      <c r="S1703" s="91">
        <f>IFERROR(__xludf.DUMMYFUNCTION("IFERROR(sum(FILTER('Fund Investment Data'!$V:$V, 'Fund Investment Data'!$C:$C = $C1703, 'Fund Investment Data'!$A:$A &lt; $A1703)),0) + IFERROR(sum(FILTER('Fund Investment Data'!$V:$V, 'Fund Investment Data'!$C:$C = $C1703, 'Fund Investment Data'!$A:$A = $A1"&amp;"703, 'Fund Investment Data'!$B:$B &lt;= $B1703)),0)"),1081136.0)</f>
        <v>1081136</v>
      </c>
      <c r="T1703" s="32"/>
      <c r="U1703" s="32"/>
      <c r="V1703" s="32">
        <f>IFERROR(__xludf.DUMMYFUNCTION("$D1703 - IFERROR(FILTER($D:$D,$C:$C = $C1703, $A:$A = $A1703, $B:$B = $B1703 - 1),0)"),0.0)</f>
        <v>0</v>
      </c>
      <c r="W1703" s="93">
        <f>IFERROR(__xludf.DUMMYFUNCTION("$E1703 - IFERROR(FILTER($E:$E,$C:$C = $C1703, $A:$A = $A1703, $B:$B = $B1703 - 1),0)"),0.0)</f>
        <v>0</v>
      </c>
      <c r="X1703" s="91">
        <f>IFERROR(__xludf.DUMMYFUNCTION("iFERROR((FILTER('Fund Investment Data'!$Z:$Z, 'Fund Investment Data'!$C:$C = $C1703, 'Fund Investment Data'!$A:$A = $A1703 - 1, 'Fund Investment Data'!$B:$B = 12) + FILTER('Fund Investment Data'!$AB:$AB, 'Fund Investment Data'!$C:$C = $C1703, 'Fund Invest"&amp;"ment Data'!$A:$A = $A1703 - 1, 'Fund Investment Data'!$B:$B = 12)) * (1 + AVERAGE(FILTER('Inflation Data'!$C:$C,'Inflation Data'!$A:$A = ($A1703 - 2)))) * Parameters!$A$4,0)"),37900.53766415215)</f>
        <v>37900.53766</v>
      </c>
      <c r="Y1703" s="91">
        <f>IFERROR(__xludf.DUMMYFUNCTION("IFERROR((IFERROR(FILTER('Fund Investment Data'!$P:$P,'Fund Investment Data'!$C:$C = $C1703,'Fund Investment Data'!$A:$A = ($A1703 - 2), 'Fund Investment Data'!$B:$B = 12),0) - SUM(FILTER('Fund Investment Data'!$V:$V, 'Fund Investment Data'!$C:$C = $C1703,"&amp;" 'Fund Investment Data'!$A:$A = ($A1703 - 2), 'Fund Investment Data'!$B:$B &gt; 3)))  * Parameters!$B$4 * (1 - Parameters!$A$4),0)"),14735.790404999998)</f>
        <v>14735.79041</v>
      </c>
      <c r="Z1703" s="91">
        <f t="shared" si="24"/>
        <v>52636.32807</v>
      </c>
      <c r="AA1703" s="91">
        <f>IFERROR(__xludf.DUMMYFUNCTION("((IFERROR((SUM(FILTER('Fund Investment Data'!$V:$V, 'Fund Investment Data'!$C:$C = $C1703, 'Fund Investment Data'!$A:$A = $A1703 - 1, 'Fund Investment Data'!$B:$B &gt;= 4, 'Fund Investment Data'!$B:$B &lt;= ($B1703 + 5))) / 12) * ($B1703 - 3) * Parameters!$B$4,"&amp;" 0) + IF($B1703 &gt;= 9, IFERROR(SUM(FILTER('Fund Investment Data'!$V:$V, 'Fund Investment Data'!$C:$C = $C1703, 'Fund Investment Data'!$A:$A = $A1703, 'Fund Investment Data'!$B:$B &lt;= 3)) * Parameters!$B$4, 0),0)))"),0.0)</f>
        <v>0</v>
      </c>
      <c r="AB1703" s="32">
        <f>IFERROR(__xludf.DUMMYFUNCTION("IFERROR(((IFERROR(SUM(FILTER('Fund Investment Data'!$V:$V, 'Fund Investment Data'!$C:$C = $C1703, 'Fund Investment Data'!$A:$A = $A1703 - 2, 'Fund Investment Data'!$B:$B &gt;= 4)) * Parameters!$B$4,0) + IFERROR(SUM(FILTER('Fund Investment Data'!$V:$V, 'Fund "&amp;"Investment Data'!$C:$C = $C1703, 'Fund Investment Data'!$A:$A = $A1703 - 1, 'Fund Investment Data'!$B:$B &lt;= 3)) * Parameters!$B$4,0))),0)"),45.0)</f>
        <v>45</v>
      </c>
      <c r="AC1703" s="32" t="str">
        <f>IFERROR(__xludf.DUMMYFUNCTION("IFERROR(FILTER($AF:$AF,$C:$C = $C1703,$A:$A = $A1703 - 1,$B:$B = 12),0)"),"")</f>
        <v/>
      </c>
      <c r="AD1703" s="32">
        <f t="shared" si="23"/>
        <v>52681.32807</v>
      </c>
      <c r="AE1703" s="32">
        <f t="shared" si="2"/>
        <v>52681.32807</v>
      </c>
      <c r="AF1703" s="32"/>
    </row>
    <row r="1704">
      <c r="A1704" s="86">
        <v>2020.0</v>
      </c>
      <c r="B1704" s="87">
        <v>2.0</v>
      </c>
      <c r="C1704" s="105" t="s">
        <v>33</v>
      </c>
      <c r="D1704" s="104">
        <v>0.0</v>
      </c>
      <c r="E1704" s="104">
        <v>0.0</v>
      </c>
      <c r="F1704" s="104">
        <v>0.0</v>
      </c>
      <c r="G1704" s="104">
        <v>-265.64</v>
      </c>
      <c r="H1704" s="104">
        <v>825.72</v>
      </c>
      <c r="I1704" s="104">
        <v>17312.01</v>
      </c>
      <c r="J1704" s="104">
        <v>-35278.91</v>
      </c>
      <c r="K1704" s="32"/>
      <c r="L1704" s="32"/>
      <c r="M1704" s="32"/>
      <c r="N1704" s="32"/>
      <c r="O1704" s="106">
        <v>333958.55</v>
      </c>
      <c r="P1704" s="91">
        <f>IFERROR(__xludf.DUMMYFUNCTION("IFERROR(sum(FILTER($D:$N,$C:$C = $C1704,$A:$A &lt; $A1704,$B:$B = 12)),0) + sum($D1704:$N1704)"),333958.7699999998)</f>
        <v>333958.77</v>
      </c>
      <c r="Q1704" s="92">
        <f t="shared" si="1"/>
        <v>-0.2199999998</v>
      </c>
      <c r="R1704" s="91">
        <f t="array" ref="R1704">IFERROR(INDEX('Fund YTD Target Values'!$1:$1000, MATCH($C1704,'Fund YTD Target Values'!$A:$A,0), MATCH($A1704,'Fund YTD Target Values'!$1:$1,0)),0)</f>
        <v>534811.3234</v>
      </c>
      <c r="S1704" s="91">
        <f>IFERROR(__xludf.DUMMYFUNCTION("IFERROR(sum(FILTER('Fund Investment Data'!$V:$V, 'Fund Investment Data'!$C:$C = $C1704, 'Fund Investment Data'!$A:$A &lt; $A1704)),0) + IFERROR(sum(FILTER('Fund Investment Data'!$V:$V, 'Fund Investment Data'!$C:$C = $C1704, 'Fund Investment Data'!$A:$A = $A1"&amp;"704, 'Fund Investment Data'!$B:$B &lt;= $B1704)),0)"),325871.6399999999)</f>
        <v>325871.64</v>
      </c>
      <c r="T1704" s="32"/>
      <c r="U1704" s="32"/>
      <c r="V1704" s="32">
        <f>IFERROR(__xludf.DUMMYFUNCTION("$D1704 - IFERROR(FILTER($D:$D,$C:$C = $C1704, $A:$A = $A1704, $B:$B = $B1704 - 1),0)"),0.0)</f>
        <v>0</v>
      </c>
      <c r="W1704" s="93">
        <f>IFERROR(__xludf.DUMMYFUNCTION("$E1704 - IFERROR(FILTER($E:$E,$C:$C = $C1704, $A:$A = $A1704, $B:$B = $B1704 - 1),0)"),0.0)</f>
        <v>0</v>
      </c>
      <c r="X1704" s="91">
        <f>IFERROR(__xludf.DUMMYFUNCTION("iFERROR((FILTER('Fund Investment Data'!$Z:$Z, 'Fund Investment Data'!$C:$C = $C1704, 'Fund Investment Data'!$A:$A = $A1704 - 1, 'Fund Investment Data'!$B:$B = 12) + FILTER('Fund Investment Data'!$AB:$AB, 'Fund Investment Data'!$C:$C = $C1704, 'Fund Invest"&amp;"ment Data'!$A:$A = $A1704 - 1, 'Fund Investment Data'!$B:$B = 12)) * (1 + AVERAGE(FILTER('Inflation Data'!$C:$C,'Inflation Data'!$A:$A = ($A1704 - 2)))) * Parameters!$A$4,0)"),11694.624948637042)</f>
        <v>11694.62495</v>
      </c>
      <c r="Y1704" s="91">
        <f>IFERROR(__xludf.DUMMYFUNCTION("IFERROR((IFERROR(FILTER('Fund Investment Data'!$P:$P,'Fund Investment Data'!$C:$C = $C1704,'Fund Investment Data'!$A:$A = ($A1704 - 2), 'Fund Investment Data'!$B:$B = 12),0) - SUM(FILTER('Fund Investment Data'!$V:$V, 'Fund Investment Data'!$C:$C = $C1704,"&amp;" 'Fund Investment Data'!$A:$A = ($A1704 - 2), 'Fund Investment Data'!$B:$B &gt; 3)))  * Parameters!$B$4 * (1 - Parameters!$A$4),0)"),4224.759929999998)</f>
        <v>4224.75993</v>
      </c>
      <c r="Z1704" s="91">
        <f t="shared" si="24"/>
        <v>15919.38488</v>
      </c>
      <c r="AA1704" s="91">
        <f>IFERROR(__xludf.DUMMYFUNCTION("((IFERROR((SUM(FILTER('Fund Investment Data'!$V:$V, 'Fund Investment Data'!$C:$C = $C1704, 'Fund Investment Data'!$A:$A = $A1704 - 1, 'Fund Investment Data'!$B:$B &gt;= 4, 'Fund Investment Data'!$B:$B &lt;= ($B1704 + 5))) / 12) * ($B1704 - 3) * Parameters!$B$4,"&amp;" 0) + IF($B1704 &gt;= 9, IFERROR(SUM(FILTER('Fund Investment Data'!$V:$V, 'Fund Investment Data'!$C:$C = $C1704, 'Fund Investment Data'!$A:$A = $A1704, 'Fund Investment Data'!$B:$B &lt;= 3)) * Parameters!$B$4, 0),0)))"),0.0)</f>
        <v>0</v>
      </c>
      <c r="AB1704" s="32">
        <f>IFERROR(__xludf.DUMMYFUNCTION("IFERROR(((IFERROR(SUM(FILTER('Fund Investment Data'!$V:$V, 'Fund Investment Data'!$C:$C = $C1704, 'Fund Investment Data'!$A:$A = $A1704 - 2, 'Fund Investment Data'!$B:$B &gt;= 4)) * Parameters!$B$4,0) + IFERROR(SUM(FILTER('Fund Investment Data'!$V:$V, 'Fund "&amp;"Investment Data'!$C:$C = $C1704, 'Fund Investment Data'!$A:$A = $A1704 - 1, 'Fund Investment Data'!$B:$B &lt;= 3)) * Parameters!$B$4,0))),0)"),0.0)</f>
        <v>0</v>
      </c>
      <c r="AC1704" s="32" t="str">
        <f>IFERROR(__xludf.DUMMYFUNCTION("IFERROR(FILTER($AF:$AF,$C:$C = $C1704,$A:$A = $A1704 - 1,$B:$B = 12),0)"),"")</f>
        <v/>
      </c>
      <c r="AD1704" s="32">
        <f t="shared" si="23"/>
        <v>15919.38488</v>
      </c>
      <c r="AE1704" s="32">
        <f t="shared" si="2"/>
        <v>15919.38488</v>
      </c>
      <c r="AF1704" s="32"/>
    </row>
    <row r="1705">
      <c r="A1705" s="86">
        <v>2020.0</v>
      </c>
      <c r="B1705" s="87">
        <v>2.0</v>
      </c>
      <c r="C1705" s="105" t="s">
        <v>53</v>
      </c>
      <c r="D1705" s="104">
        <v>0.0</v>
      </c>
      <c r="E1705" s="104">
        <v>0.0</v>
      </c>
      <c r="F1705" s="104">
        <v>0.0</v>
      </c>
      <c r="G1705" s="104">
        <v>-1700.4</v>
      </c>
      <c r="H1705" s="104">
        <v>5285.63</v>
      </c>
      <c r="I1705" s="104">
        <v>110817.94</v>
      </c>
      <c r="J1705" s="104">
        <v>-225827.96</v>
      </c>
      <c r="K1705" s="32"/>
      <c r="L1705" s="32"/>
      <c r="M1705" s="32"/>
      <c r="N1705" s="32"/>
      <c r="O1705" s="106">
        <v>2137741.21</v>
      </c>
      <c r="P1705" s="91">
        <f>IFERROR(__xludf.DUMMYFUNCTION("IFERROR(sum(FILTER($D:$N,$C:$C = $C1705,$A:$A &lt; $A1705,$B:$B = 12)),0) + sum($D1705:$N1705)"),2137741.21)</f>
        <v>2137741.21</v>
      </c>
      <c r="Q1705" s="92">
        <f t="shared" si="1"/>
        <v>0</v>
      </c>
      <c r="R1705" s="91">
        <f t="array" ref="R1705">IFERROR(INDEX('Fund YTD Target Values'!$1:$1000, MATCH($C1705,'Fund YTD Target Values'!$A:$A,0), MATCH($A1705,'Fund YTD Target Values'!$1:$1,0)),0)</f>
        <v>2319668.115</v>
      </c>
      <c r="S1705" s="91">
        <f>IFERROR(__xludf.DUMMYFUNCTION("IFERROR(sum(FILTER('Fund Investment Data'!$V:$V, 'Fund Investment Data'!$C:$C = $C1705, 'Fund Investment Data'!$A:$A &lt; $A1705)),0) + IFERROR(sum(FILTER('Fund Investment Data'!$V:$V, 'Fund Investment Data'!$C:$C = $C1705, 'Fund Investment Data'!$A:$A = $A1"&amp;"705, 'Fund Investment Data'!$B:$B &lt;= $B1705)),0)"),2005500.0)</f>
        <v>2005500</v>
      </c>
      <c r="T1705" s="32"/>
      <c r="U1705" s="32"/>
      <c r="V1705" s="32">
        <f>IFERROR(__xludf.DUMMYFUNCTION("$D1705 - IFERROR(FILTER($D:$D,$C:$C = $C1705, $A:$A = $A1705, $B:$B = $B1705 - 1),0)"),0.0)</f>
        <v>0</v>
      </c>
      <c r="W1705" s="93">
        <f>IFERROR(__xludf.DUMMYFUNCTION("$E1705 - IFERROR(FILTER($E:$E,$C:$C = $C1705, $A:$A = $A1705, $B:$B = $B1705 - 1),0)"),0.0)</f>
        <v>0</v>
      </c>
      <c r="X1705" s="91">
        <f>IFERROR(__xludf.DUMMYFUNCTION("iFERROR((FILTER('Fund Investment Data'!$Z:$Z, 'Fund Investment Data'!$C:$C = $C1705, 'Fund Investment Data'!$A:$A = $A1705 - 1, 'Fund Investment Data'!$B:$B = 12) + FILTER('Fund Investment Data'!$AB:$AB, 'Fund Investment Data'!$C:$C = $C1705, 'Fund Invest"&amp;"ment Data'!$A:$A = $A1705 - 1, 'Fund Investment Data'!$B:$B = 12)) * (1 + AVERAGE(FILTER('Inflation Data'!$C:$C,'Inflation Data'!$A:$A = ($A1705 - 2)))) * Parameters!$A$4,0)"),72128.4673033264)</f>
        <v>72128.4673</v>
      </c>
      <c r="Y1705" s="91">
        <f>IFERROR(__xludf.DUMMYFUNCTION("IFERROR((IFERROR(FILTER('Fund Investment Data'!$P:$P,'Fund Investment Data'!$C:$C = $C1705,'Fund Investment Data'!$A:$A = ($A1705 - 2), 'Fund Investment Data'!$B:$B = 12),0) - SUM(FILTER('Fund Investment Data'!$V:$V, 'Fund Investment Data'!$C:$C = $C1705,"&amp;" 'Fund Investment Data'!$A:$A = ($A1705 - 2), 'Fund Investment Data'!$B:$B &gt; 3)))  * Parameters!$B$4 * (1 - Parameters!$A$4),0)"),27628.22088)</f>
        <v>27628.22088</v>
      </c>
      <c r="Z1705" s="91">
        <f t="shared" si="24"/>
        <v>99756.68818</v>
      </c>
      <c r="AA1705" s="91">
        <f>IFERROR(__xludf.DUMMYFUNCTION("((IFERROR((SUM(FILTER('Fund Investment Data'!$V:$V, 'Fund Investment Data'!$C:$C = $C1705, 'Fund Investment Data'!$A:$A = $A1705 - 1, 'Fund Investment Data'!$B:$B &gt;= 4, 'Fund Investment Data'!$B:$B &lt;= ($B1705 + 5))) / 12) * ($B1705 - 3) * Parameters!$B$4,"&amp;" 0) + IF($B1705 &gt;= 9, IFERROR(SUM(FILTER('Fund Investment Data'!$V:$V, 'Fund Investment Data'!$C:$C = $C1705, 'Fund Investment Data'!$A:$A = $A1705, 'Fund Investment Data'!$B:$B &lt;= 3)) * Parameters!$B$4, 0),0)))"),0.0)</f>
        <v>0</v>
      </c>
      <c r="AB1705" s="32">
        <f>IFERROR(__xludf.DUMMYFUNCTION("IFERROR(((IFERROR(SUM(FILTER('Fund Investment Data'!$V:$V, 'Fund Investment Data'!$C:$C = $C1705, 'Fund Investment Data'!$A:$A = $A1705 - 2, 'Fund Investment Data'!$B:$B &gt;= 4)) * Parameters!$B$4,0) + IFERROR(SUM(FILTER('Fund Investment Data'!$V:$V, 'Fund "&amp;"Investment Data'!$C:$C = $C1705, 'Fund Investment Data'!$A:$A = $A1705 - 1, 'Fund Investment Data'!$B:$B &lt;= 3)) * Parameters!$B$4,0))),0)"),0.0)</f>
        <v>0</v>
      </c>
      <c r="AC1705" s="32" t="str">
        <f>IFERROR(__xludf.DUMMYFUNCTION("IFERROR(FILTER($AF:$AF,$C:$C = $C1705,$A:$A = $A1705 - 1,$B:$B = 12),0)"),"")</f>
        <v/>
      </c>
      <c r="AD1705" s="32">
        <f t="shared" si="23"/>
        <v>99756.68818</v>
      </c>
      <c r="AE1705" s="32">
        <f t="shared" si="2"/>
        <v>99756.68818</v>
      </c>
      <c r="AF1705" s="32"/>
    </row>
    <row r="1706">
      <c r="A1706" s="86">
        <v>2020.0</v>
      </c>
      <c r="B1706" s="87">
        <v>2.0</v>
      </c>
      <c r="C1706" s="105" t="s">
        <v>34</v>
      </c>
      <c r="D1706" s="104">
        <v>0.0</v>
      </c>
      <c r="E1706" s="104">
        <v>0.0</v>
      </c>
      <c r="F1706" s="104">
        <v>0.0</v>
      </c>
      <c r="G1706" s="104">
        <v>-111.68</v>
      </c>
      <c r="H1706" s="104">
        <v>347.16</v>
      </c>
      <c r="I1706" s="104">
        <v>7278.64</v>
      </c>
      <c r="J1706" s="104">
        <v>-14832.62</v>
      </c>
      <c r="K1706" s="32"/>
      <c r="L1706" s="32"/>
      <c r="M1706" s="32"/>
      <c r="N1706" s="32"/>
      <c r="O1706" s="106">
        <v>140409.15</v>
      </c>
      <c r="P1706" s="91">
        <f>IFERROR(__xludf.DUMMYFUNCTION("IFERROR(sum(FILTER($D:$N,$C:$C = $C1706,$A:$A &lt; $A1706,$B:$B = 12)),0) + sum($D1706:$N1706)"),140409.14999999997)</f>
        <v>140409.15</v>
      </c>
      <c r="Q1706" s="92">
        <f t="shared" si="1"/>
        <v>0</v>
      </c>
      <c r="R1706" s="91">
        <f t="array" ref="R1706">IFERROR(INDEX('Fund YTD Target Values'!$1:$1000, MATCH($C1706,'Fund YTD Target Values'!$A:$A,0), MATCH($A1706,'Fund YTD Target Values'!$1:$1,0)),0)</f>
        <v>141101.0603</v>
      </c>
      <c r="S1706" s="91">
        <f>IFERROR(__xludf.DUMMYFUNCTION("IFERROR(sum(FILTER('Fund Investment Data'!$V:$V, 'Fund Investment Data'!$C:$C = $C1706, 'Fund Investment Data'!$A:$A &lt; $A1706)),0) + IFERROR(sum(FILTER('Fund Investment Data'!$V:$V, 'Fund Investment Data'!$C:$C = $C1706, 'Fund Investment Data'!$A:$A = $A1"&amp;"706, 'Fund Investment Data'!$B:$B &lt;= $B1706)),0)"),125000.0)</f>
        <v>125000</v>
      </c>
      <c r="T1706" s="32"/>
      <c r="U1706" s="32"/>
      <c r="V1706" s="32">
        <f>IFERROR(__xludf.DUMMYFUNCTION("$D1706 - IFERROR(FILTER($D:$D,$C:$C = $C1706, $A:$A = $A1706, $B:$B = $B1706 - 1),0)"),0.0)</f>
        <v>0</v>
      </c>
      <c r="W1706" s="93">
        <f>IFERROR(__xludf.DUMMYFUNCTION("$E1706 - IFERROR(FILTER($E:$E,$C:$C = $C1706, $A:$A = $A1706, $B:$B = $B1706 - 1),0)"),0.0)</f>
        <v>0</v>
      </c>
      <c r="X1706" s="91">
        <f>IFERROR(__xludf.DUMMYFUNCTION("iFERROR((FILTER('Fund Investment Data'!$Z:$Z, 'Fund Investment Data'!$C:$C = $C1706, 'Fund Investment Data'!$A:$A = $A1706 - 1, 'Fund Investment Data'!$B:$B = 12) + FILTER('Fund Investment Data'!$AB:$AB, 'Fund Investment Data'!$C:$C = $C1706, 'Fund Invest"&amp;"ment Data'!$A:$A = $A1706 - 1, 'Fund Investment Data'!$B:$B = 12)) * (1 + AVERAGE(FILTER('Inflation Data'!$C:$C,'Inflation Data'!$A:$A = ($A1706 - 2)))) * Parameters!$A$4,0)"),4562.512460415234)</f>
        <v>4562.51246</v>
      </c>
      <c r="Y1706" s="91">
        <f>IFERROR(__xludf.DUMMYFUNCTION("IFERROR((IFERROR(FILTER('Fund Investment Data'!$P:$P,'Fund Investment Data'!$C:$C = $C1706,'Fund Investment Data'!$A:$A = ($A1706 - 2), 'Fund Investment Data'!$B:$B = 12),0) - SUM(FILTER('Fund Investment Data'!$V:$V, 'Fund Investment Data'!$C:$C = $C1706,"&amp;" 'Fund Investment Data'!$A:$A = ($A1706 - 2), 'Fund Investment Data'!$B:$B &gt; 3)))  * Parameters!$B$4 * (1 - Parameters!$A$4),0)"),1706.9301450000003)</f>
        <v>1706.930145</v>
      </c>
      <c r="Z1706" s="91">
        <f t="shared" si="24"/>
        <v>6269.442605</v>
      </c>
      <c r="AA1706" s="91">
        <f>IFERROR(__xludf.DUMMYFUNCTION("((IFERROR((SUM(FILTER('Fund Investment Data'!$V:$V, 'Fund Investment Data'!$C:$C = $C1706, 'Fund Investment Data'!$A:$A = $A1706 - 1, 'Fund Investment Data'!$B:$B &gt;= 4, 'Fund Investment Data'!$B:$B &lt;= ($B1706 + 5))) / 12) * ($B1706 - 3) * Parameters!$B$4,"&amp;" 0) + IF($B1706 &gt;= 9, IFERROR(SUM(FILTER('Fund Investment Data'!$V:$V, 'Fund Investment Data'!$C:$C = $C1706, 'Fund Investment Data'!$A:$A = $A1706, 'Fund Investment Data'!$B:$B &lt;= 3)) * Parameters!$B$4, 0),0)))"),0.0)</f>
        <v>0</v>
      </c>
      <c r="AB1706" s="32">
        <f>IFERROR(__xludf.DUMMYFUNCTION("IFERROR(((IFERROR(SUM(FILTER('Fund Investment Data'!$V:$V, 'Fund Investment Data'!$C:$C = $C1706, 'Fund Investment Data'!$A:$A = $A1706 - 2, 'Fund Investment Data'!$B:$B &gt;= 4)) * Parameters!$B$4,0) + IFERROR(SUM(FILTER('Fund Investment Data'!$V:$V, 'Fund "&amp;"Investment Data'!$C:$C = $C1706, 'Fund Investment Data'!$A:$A = $A1706 - 1, 'Fund Investment Data'!$B:$B &lt;= 3)) * Parameters!$B$4,0))),0)"),225.0)</f>
        <v>225</v>
      </c>
      <c r="AC1706" s="32" t="str">
        <f>IFERROR(__xludf.DUMMYFUNCTION("IFERROR(FILTER($AF:$AF,$C:$C = $C1706,$A:$A = $A1706 - 1,$B:$B = 12),0)"),"")</f>
        <v/>
      </c>
      <c r="AD1706" s="32">
        <f t="shared" si="23"/>
        <v>6494.442605</v>
      </c>
      <c r="AE1706" s="32">
        <f t="shared" si="2"/>
        <v>6494.442605</v>
      </c>
      <c r="AF1706" s="32"/>
    </row>
    <row r="1707">
      <c r="A1707" s="86">
        <v>2020.0</v>
      </c>
      <c r="B1707" s="87">
        <v>2.0</v>
      </c>
      <c r="C1707" s="105" t="s">
        <v>54</v>
      </c>
      <c r="D1707" s="104">
        <v>250.0</v>
      </c>
      <c r="E1707" s="104">
        <v>0.0</v>
      </c>
      <c r="F1707" s="104">
        <v>0.0</v>
      </c>
      <c r="G1707" s="104">
        <v>-132.15</v>
      </c>
      <c r="H1707" s="104">
        <v>410.86</v>
      </c>
      <c r="I1707" s="104">
        <v>8606.84</v>
      </c>
      <c r="J1707" s="104">
        <v>-17550.12</v>
      </c>
      <c r="K1707" s="32"/>
      <c r="L1707" s="32"/>
      <c r="M1707" s="32"/>
      <c r="N1707" s="32"/>
      <c r="O1707" s="106">
        <v>166250.61</v>
      </c>
      <c r="P1707" s="91">
        <f>IFERROR(__xludf.DUMMYFUNCTION("IFERROR(sum(FILTER($D:$N,$C:$C = $C1707,$A:$A &lt; $A1707,$B:$B = 12)),0) + sum($D1707:$N1707)"),166251.57999999996)</f>
        <v>166251.58</v>
      </c>
      <c r="Q1707" s="92">
        <f t="shared" si="1"/>
        <v>-0.97</v>
      </c>
      <c r="R1707" s="91">
        <f t="array" ref="R1707">IFERROR(INDEX('Fund YTD Target Values'!$1:$1000, MATCH($C1707,'Fund YTD Target Values'!$A:$A,0), MATCH($A1707,'Fund YTD Target Values'!$1:$1,0)),0)</f>
        <v>162317.7907</v>
      </c>
      <c r="S1707" s="91">
        <f>IFERROR(__xludf.DUMMYFUNCTION("IFERROR(sum(FILTER('Fund Investment Data'!$V:$V, 'Fund Investment Data'!$C:$C = $C1707, 'Fund Investment Data'!$A:$A &lt; $A1707)),0) + IFERROR(sum(FILTER('Fund Investment Data'!$V:$V, 'Fund Investment Data'!$C:$C = $C1707, 'Fund Investment Data'!$A:$A = $A1"&amp;"707, 'Fund Investment Data'!$B:$B &lt;= $B1707)),0)"),113225.14999999998)</f>
        <v>113225.15</v>
      </c>
      <c r="T1707" s="32"/>
      <c r="U1707" s="32"/>
      <c r="V1707" s="32">
        <f>IFERROR(__xludf.DUMMYFUNCTION("$D1707 - IFERROR(FILTER($D:$D,$C:$C = $C1707, $A:$A = $A1707, $B:$B = $B1707 - 1),0)"),0.0)</f>
        <v>0</v>
      </c>
      <c r="W1707" s="93">
        <f>IFERROR(__xludf.DUMMYFUNCTION("$E1707 - IFERROR(FILTER($E:$E,$C:$C = $C1707, $A:$A = $A1707, $B:$B = $B1707 - 1),0)"),0.0)</f>
        <v>0</v>
      </c>
      <c r="X1707" s="91">
        <f>IFERROR(__xludf.DUMMYFUNCTION("iFERROR((FILTER('Fund Investment Data'!$Z:$Z, 'Fund Investment Data'!$C:$C = $C1707, 'Fund Investment Data'!$A:$A = $A1707 - 1, 'Fund Investment Data'!$B:$B = 12) + FILTER('Fund Investment Data'!$AB:$AB, 'Fund Investment Data'!$C:$C = $C1707, 'Fund Invest"&amp;"ment Data'!$A:$A = $A1707 - 1, 'Fund Investment Data'!$B:$B = 12)) * (1 + AVERAGE(FILTER('Inflation Data'!$C:$C,'Inflation Data'!$A:$A = ($A1707 - 2)))) * Parameters!$A$4,0)"),5485.4342945921035)</f>
        <v>5485.434295</v>
      </c>
      <c r="Y1707" s="91">
        <f>IFERROR(__xludf.DUMMYFUNCTION("IFERROR((IFERROR(FILTER('Fund Investment Data'!$P:$P,'Fund Investment Data'!$C:$C = $C1707,'Fund Investment Data'!$A:$A = ($A1707 - 2), 'Fund Investment Data'!$B:$B = 12),0) - SUM(FILTER('Fund Investment Data'!$V:$V, 'Fund Investment Data'!$C:$C = $C1707,"&amp;" 'Fund Investment Data'!$A:$A = ($A1707 - 2), 'Fund Investment Data'!$B:$B &gt; 3)))  * Parameters!$B$4 * (1 - Parameters!$A$4),0)"),2091.582674999999)</f>
        <v>2091.582675</v>
      </c>
      <c r="Z1707" s="91">
        <f t="shared" si="24"/>
        <v>7577.01697</v>
      </c>
      <c r="AA1707" s="91">
        <f>IFERROR(__xludf.DUMMYFUNCTION("((IFERROR((SUM(FILTER('Fund Investment Data'!$V:$V, 'Fund Investment Data'!$C:$C = $C1707, 'Fund Investment Data'!$A:$A = $A1707 - 1, 'Fund Investment Data'!$B:$B &gt;= 4, 'Fund Investment Data'!$B:$B &lt;= ($B1707 + 5))) / 12) * ($B1707 - 3) * Parameters!$B$4,"&amp;" 0) + IF($B1707 &gt;= 9, IFERROR(SUM(FILTER('Fund Investment Data'!$V:$V, 'Fund Investment Data'!$C:$C = $C1707, 'Fund Investment Data'!$A:$A = $A1707, 'Fund Investment Data'!$B:$B &lt;= 3)) * Parameters!$B$4, 0),0)))"),-0.21)</f>
        <v>-0.21</v>
      </c>
      <c r="AB1707" s="32">
        <f>IFERROR(__xludf.DUMMYFUNCTION("IFERROR(((IFERROR(SUM(FILTER('Fund Investment Data'!$V:$V, 'Fund Investment Data'!$C:$C = $C1707, 'Fund Investment Data'!$A:$A = $A1707 - 2, 'Fund Investment Data'!$B:$B &gt;= 4)) * Parameters!$B$4,0) + IFERROR(SUM(FILTER('Fund Investment Data'!$V:$V, 'Fund "&amp;"Investment Data'!$C:$C = $C1707, 'Fund Investment Data'!$A:$A = $A1707 - 1, 'Fund Investment Data'!$B:$B &lt;= 3)) * Parameters!$B$4,0))),0)"),6.075)</f>
        <v>6.075</v>
      </c>
      <c r="AC1707" s="32" t="str">
        <f>IFERROR(__xludf.DUMMYFUNCTION("IFERROR(FILTER($AF:$AF,$C:$C = $C1707,$A:$A = $A1707 - 1,$B:$B = 12),0)"),"")</f>
        <v/>
      </c>
      <c r="AD1707" s="32">
        <f t="shared" si="23"/>
        <v>7582.88197</v>
      </c>
      <c r="AE1707" s="32">
        <f t="shared" si="2"/>
        <v>7582.88197</v>
      </c>
      <c r="AF1707" s="32"/>
    </row>
    <row r="1708">
      <c r="A1708" s="86">
        <v>2020.0</v>
      </c>
      <c r="B1708" s="87">
        <v>2.0</v>
      </c>
      <c r="C1708" s="105" t="s">
        <v>55</v>
      </c>
      <c r="D1708" s="104">
        <v>0.0</v>
      </c>
      <c r="E1708" s="104">
        <v>0.0</v>
      </c>
      <c r="F1708" s="104">
        <v>0.0</v>
      </c>
      <c r="G1708" s="104">
        <v>-280.12</v>
      </c>
      <c r="H1708" s="104">
        <v>870.74</v>
      </c>
      <c r="I1708" s="104">
        <v>18255.89</v>
      </c>
      <c r="J1708" s="104">
        <v>-37202.37</v>
      </c>
      <c r="K1708" s="32"/>
      <c r="L1708" s="32"/>
      <c r="M1708" s="32"/>
      <c r="N1708" s="32"/>
      <c r="O1708" s="106">
        <v>352166.49</v>
      </c>
      <c r="P1708" s="91">
        <f>IFERROR(__xludf.DUMMYFUNCTION("IFERROR(sum(FILTER($D:$N,$C:$C = $C1708,$A:$A &lt; $A1708,$B:$B = 12)),0) + sum($D1708:$N1708)"),352166.48999999993)</f>
        <v>352166.49</v>
      </c>
      <c r="Q1708" s="92">
        <f t="shared" si="1"/>
        <v>0</v>
      </c>
      <c r="R1708" s="91">
        <f t="array" ref="R1708">IFERROR(INDEX('Fund YTD Target Values'!$1:$1000, MATCH($C1708,'Fund YTD Target Values'!$A:$A,0), MATCH($A1708,'Fund YTD Target Values'!$1:$1,0)),0)</f>
        <v>373132.6187</v>
      </c>
      <c r="S1708" s="91">
        <f>IFERROR(__xludf.DUMMYFUNCTION("IFERROR(sum(FILTER('Fund Investment Data'!$V:$V, 'Fund Investment Data'!$C:$C = $C1708, 'Fund Investment Data'!$A:$A &lt; $A1708)),0) + IFERROR(sum(FILTER('Fund Investment Data'!$V:$V, 'Fund Investment Data'!$C:$C = $C1708, 'Fund Investment Data'!$A:$A = $A1"&amp;"708, 'Fund Investment Data'!$B:$B &lt;= $B1708)),0)"),350000.0)</f>
        <v>350000</v>
      </c>
      <c r="T1708" s="32"/>
      <c r="U1708" s="32"/>
      <c r="V1708" s="32">
        <f>IFERROR(__xludf.DUMMYFUNCTION("$D1708 - IFERROR(FILTER($D:$D,$C:$C = $C1708, $A:$A = $A1708, $B:$B = $B1708 - 1),0)"),0.0)</f>
        <v>0</v>
      </c>
      <c r="W1708" s="93">
        <f>IFERROR(__xludf.DUMMYFUNCTION("$E1708 - IFERROR(FILTER($E:$E,$C:$C = $C1708, $A:$A = $A1708, $B:$B = $B1708 - 1),0)"),0.0)</f>
        <v>0</v>
      </c>
      <c r="X1708" s="91">
        <f>IFERROR(__xludf.DUMMYFUNCTION("iFERROR((FILTER('Fund Investment Data'!$Z:$Z, 'Fund Investment Data'!$C:$C = $C1708, 'Fund Investment Data'!$A:$A = $A1708 - 1, 'Fund Investment Data'!$B:$B = 12) + FILTER('Fund Investment Data'!$AB:$AB, 'Fund Investment Data'!$C:$C = $C1708, 'Fund Invest"&amp;"ment Data'!$A:$A = $A1708 - 1, 'Fund Investment Data'!$B:$B = 12)) * (1 + AVERAGE(FILTER('Inflation Data'!$C:$C,'Inflation Data'!$A:$A = ($A1708 - 2)))) * Parameters!$A$4,0)"),8733.12388790319)</f>
        <v>8733.123888</v>
      </c>
      <c r="Y1708" s="91">
        <f>IFERROR(__xludf.DUMMYFUNCTION("IFERROR((IFERROR(FILTER('Fund Investment Data'!$P:$P,'Fund Investment Data'!$C:$C = $C1708,'Fund Investment Data'!$A:$A = ($A1708 - 2), 'Fund Investment Data'!$B:$B = 12),0) - SUM(FILTER('Fund Investment Data'!$V:$V, 'Fund Investment Data'!$C:$C = $C1708,"&amp;" 'Fund Investment Data'!$A:$A = ($A1708 - 2), 'Fund Investment Data'!$B:$B &gt; 3)))  * Parameters!$B$4 * (1 - Parameters!$A$4),0)"),2801.6676899999998)</f>
        <v>2801.66769</v>
      </c>
      <c r="Z1708" s="91">
        <f t="shared" si="24"/>
        <v>11534.79158</v>
      </c>
      <c r="AA1708" s="91">
        <f>IFERROR(__xludf.DUMMYFUNCTION("((IFERROR((SUM(FILTER('Fund Investment Data'!$V:$V, 'Fund Investment Data'!$C:$C = $C1708, 'Fund Investment Data'!$A:$A = $A1708 - 1, 'Fund Investment Data'!$B:$B &gt;= 4, 'Fund Investment Data'!$B:$B &lt;= ($B1708 + 5))) / 12) * ($B1708 - 3) * Parameters!$B$4,"&amp;" 0) + IF($B1708 &gt;= 9, IFERROR(SUM(FILTER('Fund Investment Data'!$V:$V, 'Fund Investment Data'!$C:$C = $C1708, 'Fund Investment Data'!$A:$A = $A1708, 'Fund Investment Data'!$B:$B &lt;= 3)) * Parameters!$B$4, 0),0)))"),0.0)</f>
        <v>0</v>
      </c>
      <c r="AB1708" s="32">
        <f>IFERROR(__xludf.DUMMYFUNCTION("IFERROR(((IFERROR(SUM(FILTER('Fund Investment Data'!$V:$V, 'Fund Investment Data'!$C:$C = $C1708, 'Fund Investment Data'!$A:$A = $A1708 - 2, 'Fund Investment Data'!$B:$B &gt;= 4)) * Parameters!$B$4,0) + IFERROR(SUM(FILTER('Fund Investment Data'!$V:$V, 'Fund "&amp;"Investment Data'!$C:$C = $C1708, 'Fund Investment Data'!$A:$A = $A1708 - 1, 'Fund Investment Data'!$B:$B &lt;= 3)) * Parameters!$B$4,0))),0)"),3150.0)</f>
        <v>3150</v>
      </c>
      <c r="AC1708" s="32" t="str">
        <f>IFERROR(__xludf.DUMMYFUNCTION("IFERROR(FILTER($AF:$AF,$C:$C = $C1708,$A:$A = $A1708 - 1,$B:$B = 12),0)"),"")</f>
        <v/>
      </c>
      <c r="AD1708" s="32">
        <f t="shared" si="23"/>
        <v>14684.79158</v>
      </c>
      <c r="AE1708" s="32">
        <f t="shared" si="2"/>
        <v>14684.79158</v>
      </c>
      <c r="AF1708" s="32"/>
    </row>
    <row r="1709">
      <c r="A1709" s="86">
        <v>2020.0</v>
      </c>
      <c r="B1709" s="87">
        <v>2.0</v>
      </c>
      <c r="C1709" s="105" t="s">
        <v>44</v>
      </c>
      <c r="D1709" s="104">
        <v>0.0</v>
      </c>
      <c r="E1709" s="104">
        <v>0.0</v>
      </c>
      <c r="F1709" s="104">
        <v>0.0</v>
      </c>
      <c r="G1709" s="104">
        <v>-212.53</v>
      </c>
      <c r="H1709" s="104">
        <v>660.65</v>
      </c>
      <c r="I1709" s="104">
        <v>13850.92</v>
      </c>
      <c r="J1709" s="104">
        <v>-28225.81</v>
      </c>
      <c r="K1709" s="32"/>
      <c r="L1709" s="32"/>
      <c r="M1709" s="32"/>
      <c r="N1709" s="32"/>
      <c r="O1709" s="106">
        <v>267192.22</v>
      </c>
      <c r="P1709" s="91">
        <f>IFERROR(__xludf.DUMMYFUNCTION("IFERROR(sum(FILTER($D:$N,$C:$C = $C1709,$A:$A &lt; $A1709,$B:$B = 12)),0) + sum($D1709:$N1709)"),267193.11000000004)</f>
        <v>267193.11</v>
      </c>
      <c r="Q1709" s="92">
        <f t="shared" si="1"/>
        <v>-0.8900000001</v>
      </c>
      <c r="R1709" s="91">
        <f t="array" ref="R1709">IFERROR(INDEX('Fund YTD Target Values'!$1:$1000, MATCH($C1709,'Fund YTD Target Values'!$A:$A,0), MATCH($A1709,'Fund YTD Target Values'!$1:$1,0)),0)</f>
        <v>335306.2117</v>
      </c>
      <c r="S1709" s="91">
        <f>IFERROR(__xludf.DUMMYFUNCTION("IFERROR(sum(FILTER('Fund Investment Data'!$V:$V, 'Fund Investment Data'!$C:$C = $C1709, 'Fund Investment Data'!$A:$A &lt; $A1709)),0) + IFERROR(sum(FILTER('Fund Investment Data'!$V:$V, 'Fund Investment Data'!$C:$C = $C1709, 'Fund Investment Data'!$A:$A = $A1"&amp;"709, 'Fund Investment Data'!$B:$B &lt;= $B1709)),0)"),250000.0)</f>
        <v>250000</v>
      </c>
      <c r="T1709" s="32"/>
      <c r="U1709" s="32"/>
      <c r="V1709" s="32">
        <f>IFERROR(__xludf.DUMMYFUNCTION("$D1709 - IFERROR(FILTER($D:$D,$C:$C = $C1709, $A:$A = $A1709, $B:$B = $B1709 - 1),0)"),0.0)</f>
        <v>0</v>
      </c>
      <c r="W1709" s="93">
        <f>IFERROR(__xludf.DUMMYFUNCTION("$E1709 - IFERROR(FILTER($E:$E,$C:$C = $C1709, $A:$A = $A1709, $B:$B = $B1709 - 1),0)"),0.0)</f>
        <v>0</v>
      </c>
      <c r="X1709" s="91">
        <f>IFERROR(__xludf.DUMMYFUNCTION("iFERROR((FILTER('Fund Investment Data'!$Z:$Z, 'Fund Investment Data'!$C:$C = $C1709, 'Fund Investment Data'!$A:$A = $A1709 - 1, 'Fund Investment Data'!$B:$B = 12) + FILTER('Fund Investment Data'!$AB:$AB, 'Fund Investment Data'!$C:$C = $C1709, 'Fund Invest"&amp;"ment Data'!$A:$A = $A1709 - 1, 'Fund Investment Data'!$B:$B = 12)) * (1 + AVERAGE(FILTER('Inflation Data'!$C:$C,'Inflation Data'!$A:$A = ($A1709 - 2)))) * Parameters!$A$4,0)"),9387.616085113343)</f>
        <v>9387.616085</v>
      </c>
      <c r="Y1709" s="91">
        <f>IFERROR(__xludf.DUMMYFUNCTION("IFERROR((IFERROR(FILTER('Fund Investment Data'!$P:$P,'Fund Investment Data'!$C:$C = $C1709,'Fund Investment Data'!$A:$A = ($A1709 - 2), 'Fund Investment Data'!$B:$B = 12),0) - SUM(FILTER('Fund Investment Data'!$V:$V, 'Fund Investment Data'!$C:$C = $C1709,"&amp;" 'Fund Investment Data'!$A:$A = ($A1709 - 2), 'Fund Investment Data'!$B:$B &gt; 3)))  * Parameters!$B$4 * (1 - Parameters!$A$4),0)"),3384.7055550000014)</f>
        <v>3384.705555</v>
      </c>
      <c r="Z1709" s="91">
        <f t="shared" si="24"/>
        <v>12772.32164</v>
      </c>
      <c r="AA1709" s="91">
        <f>IFERROR(__xludf.DUMMYFUNCTION("((IFERROR((SUM(FILTER('Fund Investment Data'!$V:$V, 'Fund Investment Data'!$C:$C = $C1709, 'Fund Investment Data'!$A:$A = $A1709 - 1, 'Fund Investment Data'!$B:$B &gt;= 4, 'Fund Investment Data'!$B:$B &lt;= ($B1709 + 5))) / 12) * ($B1709 - 3) * Parameters!$B$4,"&amp;" 0) + IF($B1709 &gt;= 9, IFERROR(SUM(FILTER('Fund Investment Data'!$V:$V, 'Fund Investment Data'!$C:$C = $C1709, 'Fund Investment Data'!$A:$A = $A1709, 'Fund Investment Data'!$B:$B &lt;= 3)) * Parameters!$B$4, 0),0)))"),0.0)</f>
        <v>0</v>
      </c>
      <c r="AB1709" s="32">
        <f>IFERROR(__xludf.DUMMYFUNCTION("IFERROR(((IFERROR(SUM(FILTER('Fund Investment Data'!$V:$V, 'Fund Investment Data'!$C:$C = $C1709, 'Fund Investment Data'!$A:$A = $A1709 - 2, 'Fund Investment Data'!$B:$B &gt;= 4)) * Parameters!$B$4,0) + IFERROR(SUM(FILTER('Fund Investment Data'!$V:$V, 'Fund "&amp;"Investment Data'!$C:$C = $C1709, 'Fund Investment Data'!$A:$A = $A1709 - 1, 'Fund Investment Data'!$B:$B &lt;= 3)) * Parameters!$B$4,0))),0)"),0.0)</f>
        <v>0</v>
      </c>
      <c r="AC1709" s="32" t="str">
        <f>IFERROR(__xludf.DUMMYFUNCTION("IFERROR(FILTER($AF:$AF,$C:$C = $C1709,$A:$A = $A1709 - 1,$B:$B = 12),0)"),"")</f>
        <v/>
      </c>
      <c r="AD1709" s="32">
        <f t="shared" si="23"/>
        <v>12772.32164</v>
      </c>
      <c r="AE1709" s="32">
        <f t="shared" si="2"/>
        <v>12772.32164</v>
      </c>
      <c r="AF1709" s="32"/>
    </row>
    <row r="1710">
      <c r="A1710" s="86">
        <v>2020.0</v>
      </c>
      <c r="B1710" s="87">
        <v>2.0</v>
      </c>
      <c r="C1710" s="105" t="s">
        <v>45</v>
      </c>
      <c r="D1710" s="104">
        <v>0.0</v>
      </c>
      <c r="E1710" s="104">
        <v>0.0</v>
      </c>
      <c r="F1710" s="104">
        <v>0.0</v>
      </c>
      <c r="G1710" s="104">
        <v>-113.04</v>
      </c>
      <c r="H1710" s="104">
        <v>351.35</v>
      </c>
      <c r="I1710" s="104">
        <v>7366.67</v>
      </c>
      <c r="J1710" s="104">
        <v>-15011.99</v>
      </c>
      <c r="K1710" s="32"/>
      <c r="L1710" s="32"/>
      <c r="M1710" s="32"/>
      <c r="N1710" s="32"/>
      <c r="O1710" s="106">
        <v>142107.15</v>
      </c>
      <c r="P1710" s="91">
        <f>IFERROR(__xludf.DUMMYFUNCTION("IFERROR(sum(FILTER($D:$N,$C:$C = $C1710,$A:$A &lt; $A1710,$B:$B = 12)),0) + sum($D1710:$N1710)"),142107.35999999996)</f>
        <v>142107.36</v>
      </c>
      <c r="Q1710" s="92">
        <f t="shared" si="1"/>
        <v>-0.21</v>
      </c>
      <c r="R1710" s="91">
        <f t="array" ref="R1710">IFERROR(INDEX('Fund YTD Target Values'!$1:$1000, MATCH($C1710,'Fund YTD Target Values'!$A:$A,0), MATCH($A1710,'Fund YTD Target Values'!$1:$1,0)),0)</f>
        <v>126414.6128</v>
      </c>
      <c r="S1710" s="91">
        <f>IFERROR(__xludf.DUMMYFUNCTION("IFERROR(sum(FILTER('Fund Investment Data'!$V:$V, 'Fund Investment Data'!$C:$C = $C1710, 'Fund Investment Data'!$A:$A &lt; $A1710)),0) + IFERROR(sum(FILTER('Fund Investment Data'!$V:$V, 'Fund Investment Data'!$C:$C = $C1710, 'Fund Investment Data'!$A:$A = $A1"&amp;"710, 'Fund Investment Data'!$B:$B &lt;= $B1710)),0)"),100000.0)</f>
        <v>100000</v>
      </c>
      <c r="T1710" s="32"/>
      <c r="U1710" s="32"/>
      <c r="V1710" s="32">
        <f>IFERROR(__xludf.DUMMYFUNCTION("$D1710 - IFERROR(FILTER($D:$D,$C:$C = $C1710, $A:$A = $A1710, $B:$B = $B1710 - 1),0)"),0.0)</f>
        <v>0</v>
      </c>
      <c r="W1710" s="93">
        <f>IFERROR(__xludf.DUMMYFUNCTION("$E1710 - IFERROR(FILTER($E:$E,$C:$C = $C1710, $A:$A = $A1710, $B:$B = $B1710 - 1),0)"),0.0)</f>
        <v>0</v>
      </c>
      <c r="X1710" s="91">
        <f>IFERROR(__xludf.DUMMYFUNCTION("iFERROR((FILTER('Fund Investment Data'!$Z:$Z, 'Fund Investment Data'!$C:$C = $C1710, 'Fund Investment Data'!$A:$A = $A1710 - 1, 'Fund Investment Data'!$B:$B = 12) + FILTER('Fund Investment Data'!$AB:$AB, 'Fund Investment Data'!$C:$C = $C1710, 'Fund Invest"&amp;"ment Data'!$A:$A = $A1710 - 1, 'Fund Investment Data'!$B:$B = 12)) * (1 + AVERAGE(FILTER('Inflation Data'!$C:$C,'Inflation Data'!$A:$A = ($A1710 - 2)))) * Parameters!$A$4,0)"),4167.033304324799)</f>
        <v>4167.033304</v>
      </c>
      <c r="Y1710" s="91">
        <f>IFERROR(__xludf.DUMMYFUNCTION("IFERROR((IFERROR(FILTER('Fund Investment Data'!$P:$P,'Fund Investment Data'!$C:$C = $C1710,'Fund Investment Data'!$A:$A = ($A1710 - 2), 'Fund Investment Data'!$B:$B = 12),0) - SUM(FILTER('Fund Investment Data'!$V:$V, 'Fund Investment Data'!$C:$C = $C1710,"&amp;" 'Fund Investment Data'!$A:$A = ($A1710 - 2), 'Fund Investment Data'!$B:$B &gt; 3)))  * Parameters!$B$4 * (1 - Parameters!$A$4),0)"),1786.5376199999996)</f>
        <v>1786.53762</v>
      </c>
      <c r="Z1710" s="91">
        <f t="shared" si="24"/>
        <v>5953.570924</v>
      </c>
      <c r="AA1710" s="91">
        <f>IFERROR(__xludf.DUMMYFUNCTION("((IFERROR((SUM(FILTER('Fund Investment Data'!$V:$V, 'Fund Investment Data'!$C:$C = $C1710, 'Fund Investment Data'!$A:$A = $A1710 - 1, 'Fund Investment Data'!$B:$B &gt;= 4, 'Fund Investment Data'!$B:$B &lt;= ($B1710 + 5))) / 12) * ($B1710 - 3) * Parameters!$B$4,"&amp;" 0) + IF($B1710 &gt;= 9, IFERROR(SUM(FILTER('Fund Investment Data'!$V:$V, 'Fund Investment Data'!$C:$C = $C1710, 'Fund Investment Data'!$A:$A = $A1710, 'Fund Investment Data'!$B:$B &lt;= 3)) * Parameters!$B$4, 0),0)))"),0.0)</f>
        <v>0</v>
      </c>
      <c r="AB1710" s="32">
        <f>IFERROR(__xludf.DUMMYFUNCTION("IFERROR(((IFERROR(SUM(FILTER('Fund Investment Data'!$V:$V, 'Fund Investment Data'!$C:$C = $C1710, 'Fund Investment Data'!$A:$A = $A1710 - 2, 'Fund Investment Data'!$B:$B &gt;= 4)) * Parameters!$B$4,0) + IFERROR(SUM(FILTER('Fund Investment Data'!$V:$V, 'Fund "&amp;"Investment Data'!$C:$C = $C1710, 'Fund Investment Data'!$A:$A = $A1710 - 1, 'Fund Investment Data'!$B:$B &lt;= 3)) * Parameters!$B$4,0))),0)"),0.0)</f>
        <v>0</v>
      </c>
      <c r="AC1710" s="32" t="str">
        <f>IFERROR(__xludf.DUMMYFUNCTION("IFERROR(FILTER($AF:$AF,$C:$C = $C1710,$A:$A = $A1710 - 1,$B:$B = 12),0)"),"")</f>
        <v/>
      </c>
      <c r="AD1710" s="32">
        <f t="shared" si="23"/>
        <v>5953.570924</v>
      </c>
      <c r="AE1710" s="32">
        <f t="shared" si="2"/>
        <v>5953.570924</v>
      </c>
      <c r="AF1710" s="32"/>
    </row>
    <row r="1711">
      <c r="A1711" s="86">
        <v>2020.0</v>
      </c>
      <c r="B1711" s="87">
        <v>2.0</v>
      </c>
      <c r="C1711" s="105" t="s">
        <v>35</v>
      </c>
      <c r="D1711" s="104">
        <v>0.0</v>
      </c>
      <c r="E1711" s="104">
        <v>0.0</v>
      </c>
      <c r="F1711" s="104">
        <v>0.0</v>
      </c>
      <c r="G1711" s="104">
        <v>-1097.83</v>
      </c>
      <c r="H1711" s="104">
        <v>3412.56</v>
      </c>
      <c r="I1711" s="104">
        <v>71547.28</v>
      </c>
      <c r="J1711" s="104">
        <v>-145801.11</v>
      </c>
      <c r="K1711" s="32"/>
      <c r="L1711" s="32"/>
      <c r="M1711" s="32"/>
      <c r="N1711" s="32"/>
      <c r="O1711" s="106">
        <v>1380187.94</v>
      </c>
      <c r="P1711" s="91">
        <f>IFERROR(__xludf.DUMMYFUNCTION("IFERROR(sum(FILTER($D:$N,$C:$C = $C1711,$A:$A &lt; $A1711,$B:$B = 12)),0) + sum($D1711:$N1711)"),1380187.1700000004)</f>
        <v>1380187.17</v>
      </c>
      <c r="Q1711" s="92">
        <f t="shared" si="1"/>
        <v>0.7699999996</v>
      </c>
      <c r="R1711" s="91">
        <f t="array" ref="R1711">IFERROR(INDEX('Fund YTD Target Values'!$1:$1000, MATCH($C1711,'Fund YTD Target Values'!$A:$A,0), MATCH($A1711,'Fund YTD Target Values'!$1:$1,0)),0)</f>
        <v>1646621.83</v>
      </c>
      <c r="S1711" s="91">
        <f>IFERROR(__xludf.DUMMYFUNCTION("IFERROR(sum(FILTER('Fund Investment Data'!$V:$V, 'Fund Investment Data'!$C:$C = $C1711, 'Fund Investment Data'!$A:$A &lt; $A1711)),0) + IFERROR(sum(FILTER('Fund Investment Data'!$V:$V, 'Fund Investment Data'!$C:$C = $C1711, 'Fund Investment Data'!$A:$A = $A1"&amp;"711, 'Fund Investment Data'!$B:$B &lt;= $B1711)),0)"),1086625.0)</f>
        <v>1086625</v>
      </c>
      <c r="T1711" s="32"/>
      <c r="U1711" s="32"/>
      <c r="V1711" s="32">
        <f>IFERROR(__xludf.DUMMYFUNCTION("$D1711 - IFERROR(FILTER($D:$D,$C:$C = $C1711, $A:$A = $A1711, $B:$B = $B1711 - 1),0)"),0.0)</f>
        <v>0</v>
      </c>
      <c r="W1711" s="93">
        <f>IFERROR(__xludf.DUMMYFUNCTION("$E1711 - IFERROR(FILTER($E:$E,$C:$C = $C1711, $A:$A = $A1711, $B:$B = $B1711 - 1),0)"),0.0)</f>
        <v>0</v>
      </c>
      <c r="X1711" s="91">
        <f>IFERROR(__xludf.DUMMYFUNCTION("iFERROR((FILTER('Fund Investment Data'!$Z:$Z, 'Fund Investment Data'!$C:$C = $C1711, 'Fund Investment Data'!$A:$A = $A1711 - 1, 'Fund Investment Data'!$B:$B = 12) + FILTER('Fund Investment Data'!$AB:$AB, 'Fund Investment Data'!$C:$C = $C1711, 'Fund Invest"&amp;"ment Data'!$A:$A = $A1711 - 1, 'Fund Investment Data'!$B:$B = 12)) * (1 + AVERAGE(FILTER('Inflation Data'!$C:$C,'Inflation Data'!$A:$A = ($A1711 - 2)))) * Parameters!$A$4,0)"),48017.5257939409)</f>
        <v>48017.52579</v>
      </c>
      <c r="Y1711" s="91">
        <f>IFERROR(__xludf.DUMMYFUNCTION("IFERROR((IFERROR(FILTER('Fund Investment Data'!$P:$P,'Fund Investment Data'!$C:$C = $C1711,'Fund Investment Data'!$A:$A = ($A1711 - 2), 'Fund Investment Data'!$B:$B = 12),0) - SUM(FILTER('Fund Investment Data'!$V:$V, 'Fund Investment Data'!$C:$C = $C1711,"&amp;" 'Fund Investment Data'!$A:$A = ($A1711 - 2), 'Fund Investment Data'!$B:$B &gt; 3)))  * Parameters!$B$4 * (1 - Parameters!$A$4),0)"),17468.81194500001)</f>
        <v>17468.81195</v>
      </c>
      <c r="Z1711" s="91">
        <f t="shared" si="24"/>
        <v>65486.33774</v>
      </c>
      <c r="AA1711" s="91">
        <f>IFERROR(__xludf.DUMMYFUNCTION("((IFERROR((SUM(FILTER('Fund Investment Data'!$V:$V, 'Fund Investment Data'!$C:$C = $C1711, 'Fund Investment Data'!$A:$A = $A1711 - 1, 'Fund Investment Data'!$B:$B &gt;= 4, 'Fund Investment Data'!$B:$B &lt;= ($B1711 + 5))) / 12) * ($B1711 - 3) * Parameters!$B$4,"&amp;" 0) + IF($B1711 &gt;= 9, IFERROR(SUM(FILTER('Fund Investment Data'!$V:$V, 'Fund Investment Data'!$C:$C = $C1711, 'Fund Investment Data'!$A:$A = $A1711, 'Fund Investment Data'!$B:$B &lt;= 3)) * Parameters!$B$4, 0),0)))"),0.0)</f>
        <v>0</v>
      </c>
      <c r="AB1711" s="32">
        <f>IFERROR(__xludf.DUMMYFUNCTION("IFERROR(((IFERROR(SUM(FILTER('Fund Investment Data'!$V:$V, 'Fund Investment Data'!$C:$C = $C1711, 'Fund Investment Data'!$A:$A = $A1711 - 2, 'Fund Investment Data'!$B:$B &gt;= 4)) * Parameters!$B$4,0) + IFERROR(SUM(FILTER('Fund Investment Data'!$V:$V, 'Fund "&amp;"Investment Data'!$C:$C = $C1711, 'Fund Investment Data'!$A:$A = $A1711 - 1, 'Fund Investment Data'!$B:$B &lt;= 3)) * Parameters!$B$4,0))),0)"),0.0)</f>
        <v>0</v>
      </c>
      <c r="AC1711" s="32" t="str">
        <f>IFERROR(__xludf.DUMMYFUNCTION("IFERROR(FILTER($AF:$AF,$C:$C = $C1711,$A:$A = $A1711 - 1,$B:$B = 12),0)"),"")</f>
        <v/>
      </c>
      <c r="AD1711" s="32">
        <f t="shared" si="23"/>
        <v>65486.33774</v>
      </c>
      <c r="AE1711" s="32">
        <f t="shared" si="2"/>
        <v>65486.33774</v>
      </c>
      <c r="AF1711" s="32"/>
    </row>
    <row r="1712">
      <c r="A1712" s="86">
        <v>2020.0</v>
      </c>
      <c r="B1712" s="87">
        <v>2.0</v>
      </c>
      <c r="C1712" s="105" t="s">
        <v>56</v>
      </c>
      <c r="D1712" s="104">
        <v>0.0</v>
      </c>
      <c r="E1712" s="104">
        <v>0.0</v>
      </c>
      <c r="F1712" s="104">
        <v>0.0</v>
      </c>
      <c r="G1712" s="104">
        <v>-849.96</v>
      </c>
      <c r="H1712" s="104">
        <v>2642.07</v>
      </c>
      <c r="I1712" s="104">
        <v>55393.44</v>
      </c>
      <c r="J1712" s="104">
        <v>-112882.34</v>
      </c>
      <c r="K1712" s="32"/>
      <c r="L1712" s="32"/>
      <c r="M1712" s="32"/>
      <c r="N1712" s="32"/>
      <c r="O1712" s="106">
        <v>1068571.04</v>
      </c>
      <c r="P1712" s="91">
        <f>IFERROR(__xludf.DUMMYFUNCTION("IFERROR(sum(FILTER($D:$N,$C:$C = $C1712,$A:$A &lt; $A1712,$B:$B = 12)),0) + sum($D1712:$N1712)"),1068571.0399999998)</f>
        <v>1068571.04</v>
      </c>
      <c r="Q1712" s="92">
        <f t="shared" si="1"/>
        <v>0.0000000002328306437</v>
      </c>
      <c r="R1712" s="91">
        <f t="array" ref="R1712">IFERROR(INDEX('Fund YTD Target Values'!$1:$1000, MATCH($C1712,'Fund YTD Target Values'!$A:$A,0), MATCH($A1712,'Fund YTD Target Values'!$1:$1,0)),0)</f>
        <v>1105978.68</v>
      </c>
      <c r="S1712" s="91">
        <f>IFERROR(__xludf.DUMMYFUNCTION("IFERROR(sum(FILTER('Fund Investment Data'!$V:$V, 'Fund Investment Data'!$C:$C = $C1712, 'Fund Investment Data'!$A:$A &lt; $A1712)),0) + IFERROR(sum(FILTER('Fund Investment Data'!$V:$V, 'Fund Investment Data'!$C:$C = $C1712, 'Fund Investment Data'!$A:$A = $A1"&amp;"712, 'Fund Investment Data'!$B:$B &lt;= $B1712)),0)"),1000000.0)</f>
        <v>1000000</v>
      </c>
      <c r="T1712" s="32"/>
      <c r="U1712" s="32"/>
      <c r="V1712" s="32">
        <f>IFERROR(__xludf.DUMMYFUNCTION("$D1712 - IFERROR(FILTER($D:$D,$C:$C = $C1712, $A:$A = $A1712, $B:$B = $B1712 - 1),0)"),0.0)</f>
        <v>0</v>
      </c>
      <c r="W1712" s="93">
        <f>IFERROR(__xludf.DUMMYFUNCTION("$E1712 - IFERROR(FILTER($E:$E,$C:$C = $C1712, $A:$A = $A1712, $B:$B = $B1712 - 1),0)"),0.0)</f>
        <v>0</v>
      </c>
      <c r="X1712" s="91">
        <f>IFERROR(__xludf.DUMMYFUNCTION("iFERROR((FILTER('Fund Investment Data'!$Z:$Z, 'Fund Investment Data'!$C:$C = $C1712, 'Fund Investment Data'!$A:$A = $A1712 - 1, 'Fund Investment Data'!$B:$B = 12) + FILTER('Fund Investment Data'!$AB:$AB, 'Fund Investment Data'!$C:$C = $C1712, 'Fund Invest"&amp;"ment Data'!$A:$A = $A1712 - 1, 'Fund Investment Data'!$B:$B = 12)) * (1 + AVERAGE(FILTER('Inflation Data'!$C:$C,'Inflation Data'!$A:$A = ($A1712 - 2)))) * Parameters!$A$4,0)"),34855.73272923416)</f>
        <v>34855.73273</v>
      </c>
      <c r="Y1712" s="91">
        <f>IFERROR(__xludf.DUMMYFUNCTION("IFERROR((IFERROR(FILTER('Fund Investment Data'!$P:$P,'Fund Investment Data'!$C:$C = $C1712,'Fund Investment Data'!$A:$A = ($A1712 - 2), 'Fund Investment Data'!$B:$B = 12),0) - SUM(FILTER('Fund Investment Data'!$V:$V, 'Fund Investment Data'!$C:$C = $C1712,"&amp;" 'Fund Investment Data'!$A:$A = ($A1712 - 2), 'Fund Investment Data'!$B:$B &gt; 3)))  * Parameters!$B$4 * (1 - Parameters!$A$4),0)"),13492.071585)</f>
        <v>13492.07159</v>
      </c>
      <c r="Z1712" s="91">
        <f t="shared" si="24"/>
        <v>48347.80431</v>
      </c>
      <c r="AA1712" s="91">
        <f>IFERROR(__xludf.DUMMYFUNCTION("((IFERROR((SUM(FILTER('Fund Investment Data'!$V:$V, 'Fund Investment Data'!$C:$C = $C1712, 'Fund Investment Data'!$A:$A = $A1712 - 1, 'Fund Investment Data'!$B:$B &gt;= 4, 'Fund Investment Data'!$B:$B &lt;= ($B1712 + 5))) / 12) * ($B1712 - 3) * Parameters!$B$4,"&amp;" 0) + IF($B1712 &gt;= 9, IFERROR(SUM(FILTER('Fund Investment Data'!$V:$V, 'Fund Investment Data'!$C:$C = $C1712, 'Fund Investment Data'!$A:$A = $A1712, 'Fund Investment Data'!$B:$B &lt;= 3)) * Parameters!$B$4, 0),0)))"),0.0)</f>
        <v>0</v>
      </c>
      <c r="AB1712" s="32">
        <f>IFERROR(__xludf.DUMMYFUNCTION("IFERROR(((IFERROR(SUM(FILTER('Fund Investment Data'!$V:$V, 'Fund Investment Data'!$C:$C = $C1712, 'Fund Investment Data'!$A:$A = $A1712 - 2, 'Fund Investment Data'!$B:$B &gt;= 4)) * Parameters!$B$4,0) + IFERROR(SUM(FILTER('Fund Investment Data'!$V:$V, 'Fund "&amp;"Investment Data'!$C:$C = $C1712, 'Fund Investment Data'!$A:$A = $A1712 - 1, 'Fund Investment Data'!$B:$B &lt;= 3)) * Parameters!$B$4,0))),0)"),0.0)</f>
        <v>0</v>
      </c>
      <c r="AC1712" s="32" t="str">
        <f>IFERROR(__xludf.DUMMYFUNCTION("IFERROR(FILTER($AF:$AF,$C:$C = $C1712,$A:$A = $A1712 - 1,$B:$B = 12),0)"),"")</f>
        <v/>
      </c>
      <c r="AD1712" s="32">
        <f t="shared" si="23"/>
        <v>48347.80431</v>
      </c>
      <c r="AE1712" s="32">
        <f t="shared" si="2"/>
        <v>48347.80431</v>
      </c>
      <c r="AF1712" s="32"/>
    </row>
    <row r="1713">
      <c r="A1713" s="86">
        <v>2020.0</v>
      </c>
      <c r="B1713" s="87">
        <v>2.0</v>
      </c>
      <c r="C1713" s="105" t="s">
        <v>57</v>
      </c>
      <c r="D1713" s="104">
        <v>0.0</v>
      </c>
      <c r="E1713" s="104">
        <v>0.0</v>
      </c>
      <c r="F1713" s="104">
        <v>0.0</v>
      </c>
      <c r="G1713" s="104">
        <v>-1560.83</v>
      </c>
      <c r="H1713" s="104">
        <v>4851.78</v>
      </c>
      <c r="I1713" s="104">
        <v>101721.88</v>
      </c>
      <c r="J1713" s="104">
        <v>-207291.75</v>
      </c>
      <c r="K1713" s="32"/>
      <c r="L1713" s="32"/>
      <c r="M1713" s="32"/>
      <c r="N1713" s="32"/>
      <c r="O1713" s="106">
        <v>1962273.06</v>
      </c>
      <c r="P1713" s="91">
        <f>IFERROR(__xludf.DUMMYFUNCTION("IFERROR(sum(FILTER($D:$N,$C:$C = $C1713,$A:$A &lt; $A1713,$B:$B = 12)),0) + sum($D1713:$N1713)"),1962273.0600000003)</f>
        <v>1962273.06</v>
      </c>
      <c r="Q1713" s="92">
        <f t="shared" si="1"/>
        <v>-0.0000000002328306437</v>
      </c>
      <c r="R1713" s="91">
        <f t="array" ref="R1713">IFERROR(INDEX('Fund YTD Target Values'!$1:$1000, MATCH($C1713,'Fund YTD Target Values'!$A:$A,0), MATCH($A1713,'Fund YTD Target Values'!$1:$1,0)),0)</f>
        <v>2136262.679</v>
      </c>
      <c r="S1713" s="91">
        <f>IFERROR(__xludf.DUMMYFUNCTION("IFERROR(sum(FILTER('Fund Investment Data'!$V:$V, 'Fund Investment Data'!$C:$C = $C1713, 'Fund Investment Data'!$A:$A &lt; $A1713)),0) + IFERROR(sum(FILTER('Fund Investment Data'!$V:$V, 'Fund Investment Data'!$C:$C = $C1713, 'Fund Investment Data'!$A:$A = $A1"&amp;"713, 'Fund Investment Data'!$B:$B &lt;= $B1713)),0)"),2000000.0)</f>
        <v>2000000</v>
      </c>
      <c r="T1713" s="32"/>
      <c r="U1713" s="32"/>
      <c r="V1713" s="32">
        <f>IFERROR(__xludf.DUMMYFUNCTION("$D1713 - IFERROR(FILTER($D:$D,$C:$C = $C1713, $A:$A = $A1713, $B:$B = $B1713 - 1),0)"),0.0)</f>
        <v>0</v>
      </c>
      <c r="W1713" s="93">
        <f>IFERROR(__xludf.DUMMYFUNCTION("$E1713 - IFERROR(FILTER($E:$E,$C:$C = $C1713, $A:$A = $A1713, $B:$B = $B1713 - 1),0)"),0.0)</f>
        <v>0</v>
      </c>
      <c r="X1713" s="91">
        <f>IFERROR(__xludf.DUMMYFUNCTION("iFERROR((FILTER('Fund Investment Data'!$Z:$Z, 'Fund Investment Data'!$C:$C = $C1713, 'Fund Investment Data'!$A:$A = $A1713 - 1, 'Fund Investment Data'!$B:$B = 12) + FILTER('Fund Investment Data'!$AB:$AB, 'Fund Investment Data'!$C:$C = $C1713, 'Fund Invest"&amp;"ment Data'!$A:$A = $A1713 - 1, 'Fund Investment Data'!$B:$B = 12)) * (1 + AVERAGE(FILTER('Inflation Data'!$C:$C,'Inflation Data'!$A:$A = ($A1713 - 2)))) * Parameters!$A$4,0)"),64879.45168497103)</f>
        <v>64879.45168</v>
      </c>
      <c r="Y1713" s="91">
        <f>IFERROR(__xludf.DUMMYFUNCTION("IFERROR((IFERROR(FILTER('Fund Investment Data'!$P:$P,'Fund Investment Data'!$C:$C = $C1713,'Fund Investment Data'!$A:$A = ($A1713 - 2), 'Fund Investment Data'!$B:$B = 12),0) - SUM(FILTER('Fund Investment Data'!$V:$V, 'Fund Investment Data'!$C:$C = $C1713,"&amp;" 'Fund Investment Data'!$A:$A = ($A1713 - 2), 'Fund Investment Data'!$B:$B &gt; 3)))  * Parameters!$B$4 * (1 - Parameters!$A$4),0)"),25386.945345000004)</f>
        <v>25386.94535</v>
      </c>
      <c r="Z1713" s="91">
        <f t="shared" si="24"/>
        <v>90266.39703</v>
      </c>
      <c r="AA1713" s="91">
        <f>IFERROR(__xludf.DUMMYFUNCTION("((IFERROR((SUM(FILTER('Fund Investment Data'!$V:$V, 'Fund Investment Data'!$C:$C = $C1713, 'Fund Investment Data'!$A:$A = $A1713 - 1, 'Fund Investment Data'!$B:$B &gt;= 4, 'Fund Investment Data'!$B:$B &lt;= ($B1713 + 5))) / 12) * ($B1713 - 3) * Parameters!$B$4,"&amp;" 0) + IF($B1713 &gt;= 9, IFERROR(SUM(FILTER('Fund Investment Data'!$V:$V, 'Fund Investment Data'!$C:$C = $C1713, 'Fund Investment Data'!$A:$A = $A1713, 'Fund Investment Data'!$B:$B &lt;= 3)) * Parameters!$B$4, 0),0)))"),0.0)</f>
        <v>0</v>
      </c>
      <c r="AB1713" s="32">
        <f>IFERROR(__xludf.DUMMYFUNCTION("IFERROR(((IFERROR(SUM(FILTER('Fund Investment Data'!$V:$V, 'Fund Investment Data'!$C:$C = $C1713, 'Fund Investment Data'!$A:$A = $A1713 - 2, 'Fund Investment Data'!$B:$B &gt;= 4)) * Parameters!$B$4,0) + IFERROR(SUM(FILTER('Fund Investment Data'!$V:$V, 'Fund "&amp;"Investment Data'!$C:$C = $C1713, 'Fund Investment Data'!$A:$A = $A1713 - 1, 'Fund Investment Data'!$B:$B &lt;= 3)) * Parameters!$B$4,0))),0)"),0.0)</f>
        <v>0</v>
      </c>
      <c r="AC1713" s="32" t="str">
        <f>IFERROR(__xludf.DUMMYFUNCTION("IFERROR(FILTER($AF:$AF,$C:$C = $C1713,$A:$A = $A1713 - 1,$B:$B = 12),0)"),"")</f>
        <v/>
      </c>
      <c r="AD1713" s="32">
        <f t="shared" si="23"/>
        <v>90266.39703</v>
      </c>
      <c r="AE1713" s="32">
        <f t="shared" si="2"/>
        <v>90266.39703</v>
      </c>
      <c r="AF1713" s="32"/>
    </row>
    <row r="1714">
      <c r="A1714" s="86">
        <v>2020.0</v>
      </c>
      <c r="B1714" s="87">
        <v>2.0</v>
      </c>
      <c r="C1714" s="105" t="s">
        <v>58</v>
      </c>
      <c r="D1714" s="104">
        <v>0.0</v>
      </c>
      <c r="E1714" s="104">
        <v>0.0</v>
      </c>
      <c r="F1714" s="104">
        <v>0.0</v>
      </c>
      <c r="G1714" s="104">
        <v>-1560.55</v>
      </c>
      <c r="H1714" s="104">
        <v>4851.06</v>
      </c>
      <c r="I1714" s="104">
        <v>101707.01</v>
      </c>
      <c r="J1714" s="104">
        <v>-207261.45</v>
      </c>
      <c r="K1714" s="32"/>
      <c r="L1714" s="32"/>
      <c r="M1714" s="32"/>
      <c r="N1714" s="32"/>
      <c r="O1714" s="106">
        <v>1961986.29</v>
      </c>
      <c r="P1714" s="91">
        <f>IFERROR(__xludf.DUMMYFUNCTION("IFERROR(sum(FILTER($D:$N,$C:$C = $C1714,$A:$A &lt; $A1714,$B:$B = 12)),0) + sum($D1714:$N1714)"),1961986.29)</f>
        <v>1961986.29</v>
      </c>
      <c r="Q1714" s="92">
        <f t="shared" si="1"/>
        <v>0</v>
      </c>
      <c r="R1714" s="91">
        <f t="array" ref="R1714">IFERROR(INDEX('Fund YTD Target Values'!$1:$1000, MATCH($C1714,'Fund YTD Target Values'!$A:$A,0), MATCH($A1714,'Fund YTD Target Values'!$1:$1,0)),0)</f>
        <v>2136262.679</v>
      </c>
      <c r="S1714" s="91">
        <f>IFERROR(__xludf.DUMMYFUNCTION("IFERROR(sum(FILTER('Fund Investment Data'!$V:$V, 'Fund Investment Data'!$C:$C = $C1714, 'Fund Investment Data'!$A:$A &lt; $A1714)),0) + IFERROR(sum(FILTER('Fund Investment Data'!$V:$V, 'Fund Investment Data'!$C:$C = $C1714, 'Fund Investment Data'!$A:$A = $A1"&amp;"714, 'Fund Investment Data'!$B:$B &lt;= $B1714)),0)"),2000000.0)</f>
        <v>2000000</v>
      </c>
      <c r="T1714" s="32"/>
      <c r="U1714" s="32"/>
      <c r="V1714" s="32">
        <f>IFERROR(__xludf.DUMMYFUNCTION("$D1714 - IFERROR(FILTER($D:$D,$C:$C = $C1714, $A:$A = $A1714, $B:$B = $B1714 - 1),0)"),0.0)</f>
        <v>0</v>
      </c>
      <c r="W1714" s="93">
        <f>IFERROR(__xludf.DUMMYFUNCTION("$E1714 - IFERROR(FILTER($E:$E,$C:$C = $C1714, $A:$A = $A1714, $B:$B = $B1714 - 1),0)"),0.0)</f>
        <v>0</v>
      </c>
      <c r="X1714" s="91">
        <f>IFERROR(__xludf.DUMMYFUNCTION("iFERROR((FILTER('Fund Investment Data'!$Z:$Z, 'Fund Investment Data'!$C:$C = $C1714, 'Fund Investment Data'!$A:$A = $A1714 - 1, 'Fund Investment Data'!$B:$B = 12) + FILTER('Fund Investment Data'!$AB:$AB, 'Fund Investment Data'!$C:$C = $C1714, 'Fund Invest"&amp;"ment Data'!$A:$A = $A1714 - 1, 'Fund Investment Data'!$B:$B = 12)) * (1 + AVERAGE(FILTER('Inflation Data'!$C:$C,'Inflation Data'!$A:$A = ($A1714 - 2)))) * Parameters!$A$4,0)"),64879.45168497103)</f>
        <v>64879.45168</v>
      </c>
      <c r="Y1714" s="91">
        <f>IFERROR(__xludf.DUMMYFUNCTION("IFERROR((IFERROR(FILTER('Fund Investment Data'!$P:$P,'Fund Investment Data'!$C:$C = $C1714,'Fund Investment Data'!$A:$A = ($A1714 - 2), 'Fund Investment Data'!$B:$B = 12),0) - SUM(FILTER('Fund Investment Data'!$V:$V, 'Fund Investment Data'!$C:$C = $C1714,"&amp;" 'Fund Investment Data'!$A:$A = ($A1714 - 2), 'Fund Investment Data'!$B:$B &gt; 3)))  * Parameters!$B$4 * (1 - Parameters!$A$4),0)"),25116.945075000007)</f>
        <v>25116.94508</v>
      </c>
      <c r="Z1714" s="91">
        <f t="shared" si="24"/>
        <v>89996.39676</v>
      </c>
      <c r="AA1714" s="91">
        <f>IFERROR(__xludf.DUMMYFUNCTION("((IFERROR((SUM(FILTER('Fund Investment Data'!$V:$V, 'Fund Investment Data'!$C:$C = $C1714, 'Fund Investment Data'!$A:$A = $A1714 - 1, 'Fund Investment Data'!$B:$B &gt;= 4, 'Fund Investment Data'!$B:$B &lt;= ($B1714 + 5))) / 12) * ($B1714 - 3) * Parameters!$B$4,"&amp;" 0) + IF($B1714 &gt;= 9, IFERROR(SUM(FILTER('Fund Investment Data'!$V:$V, 'Fund Investment Data'!$C:$C = $C1714, 'Fund Investment Data'!$A:$A = $A1714, 'Fund Investment Data'!$B:$B &lt;= 3)) * Parameters!$B$4, 0),0)))"),0.0)</f>
        <v>0</v>
      </c>
      <c r="AB1714" s="32">
        <f>IFERROR(__xludf.DUMMYFUNCTION("IFERROR(((IFERROR(SUM(FILTER('Fund Investment Data'!$V:$V, 'Fund Investment Data'!$C:$C = $C1714, 'Fund Investment Data'!$A:$A = $A1714 - 2, 'Fund Investment Data'!$B:$B &gt;= 4)) * Parameters!$B$4,0) + IFERROR(SUM(FILTER('Fund Investment Data'!$V:$V, 'Fund "&amp;"Investment Data'!$C:$C = $C1714, 'Fund Investment Data'!$A:$A = $A1714 - 1, 'Fund Investment Data'!$B:$B &lt;= 3)) * Parameters!$B$4,0))),0)"),0.0)</f>
        <v>0</v>
      </c>
      <c r="AC1714" s="32" t="str">
        <f>IFERROR(__xludf.DUMMYFUNCTION("IFERROR(FILTER($AF:$AF,$C:$C = $C1714,$A:$A = $A1714 - 1,$B:$B = 12),0)"),"")</f>
        <v/>
      </c>
      <c r="AD1714" s="32">
        <f t="shared" si="23"/>
        <v>89996.39676</v>
      </c>
      <c r="AE1714" s="32">
        <f t="shared" si="2"/>
        <v>89996.39676</v>
      </c>
      <c r="AF1714" s="32"/>
    </row>
    <row r="1715">
      <c r="A1715" s="86">
        <v>2020.0</v>
      </c>
      <c r="B1715" s="87">
        <v>3.0</v>
      </c>
      <c r="C1715" s="88" t="s">
        <v>26</v>
      </c>
      <c r="D1715" s="104">
        <v>0.0</v>
      </c>
      <c r="E1715" s="104">
        <v>0.0</v>
      </c>
      <c r="F1715" s="104">
        <v>0.0</v>
      </c>
      <c r="G1715" s="104">
        <v>-394.8</v>
      </c>
      <c r="H1715" s="104">
        <v>2219.42</v>
      </c>
      <c r="I1715" s="104">
        <v>17591.43</v>
      </c>
      <c r="J1715" s="104">
        <v>-69243.16</v>
      </c>
      <c r="K1715" s="32"/>
      <c r="L1715" s="32"/>
      <c r="M1715" s="32"/>
      <c r="N1715" s="32"/>
      <c r="O1715" s="104">
        <v>303343.44</v>
      </c>
      <c r="P1715" s="91">
        <f>IFERROR(__xludf.DUMMYFUNCTION("IFERROR(sum(FILTER($D:$N,$C:$C = $C1715,$A:$A &lt; $A1715,$B:$B = 12)),0) + sum($D1715:$N1715)"),303341.98)</f>
        <v>303341.98</v>
      </c>
      <c r="Q1715" s="92">
        <f t="shared" si="1"/>
        <v>1.46</v>
      </c>
      <c r="R1715" s="91">
        <f t="array" ref="R1715">IFERROR(INDEX('Fund YTD Target Values'!$1:$1000, MATCH($C1715,'Fund YTD Target Values'!$A:$A,0), MATCH($A1715,'Fund YTD Target Values'!$1:$1,0)),0)</f>
        <v>401541.8823</v>
      </c>
      <c r="S1715" s="91">
        <f>IFERROR(__xludf.DUMMYFUNCTION("IFERROR(sum(FILTER('Fund Investment Data'!$V:$V, 'Fund Investment Data'!$C:$C = $C1715, 'Fund Investment Data'!$A:$A &lt; $A1715)),0) + IFERROR(sum(FILTER('Fund Investment Data'!$V:$V, 'Fund Investment Data'!$C:$C = $C1715, 'Fund Investment Data'!$A:$A = $A1"&amp;"715, 'Fund Investment Data'!$B:$B &lt;= $B1715)),0)"),317377.01)</f>
        <v>317377.01</v>
      </c>
      <c r="T1715" s="32"/>
      <c r="U1715" s="32"/>
      <c r="V1715" s="32">
        <f>IFERROR(__xludf.DUMMYFUNCTION("$D1715 - IFERROR(FILTER($D:$D,$C:$C = $C1715, $A:$A = $A1715, $B:$B = $B1715 - 1),0)"),0.0)</f>
        <v>0</v>
      </c>
      <c r="W1715" s="93">
        <f>IFERROR(__xludf.DUMMYFUNCTION("$E1715 - IFERROR(FILTER($E:$E,$C:$C = $C1715, $A:$A = $A1715, $B:$B = $B1715 - 1),0)"),0.0)</f>
        <v>0</v>
      </c>
      <c r="X1715" s="91">
        <f>IFERROR(__xludf.DUMMYFUNCTION("iFERROR((FILTER('Fund Investment Data'!$Z:$Z, 'Fund Investment Data'!$C:$C = $C1715, 'Fund Investment Data'!$A:$A = $A1715 - 1, 'Fund Investment Data'!$B:$B = 12) + FILTER('Fund Investment Data'!$AB:$AB, 'Fund Investment Data'!$C:$C = $C1715, 'Fund Invest"&amp;"ment Data'!$A:$A = $A1715 - 1, 'Fund Investment Data'!$B:$B = 12)) * (1 + AVERAGE(FILTER('Inflation Data'!$C:$C,'Inflation Data'!$A:$A = ($A1715 - 2)))) * Parameters!$A$4,0)"),11939.770681709342)</f>
        <v>11939.77068</v>
      </c>
      <c r="Y1715" s="91">
        <f>IFERROR(__xludf.DUMMYFUNCTION("IFERROR((IFERROR(FILTER('Fund Investment Data'!$P:$P,'Fund Investment Data'!$C:$C = $C1715,'Fund Investment Data'!$A:$A = ($A1715 - 2), 'Fund Investment Data'!$B:$B = 12),0) - SUM(FILTER('Fund Investment Data'!$V:$V, 'Fund Investment Data'!$C:$C = $C1715,"&amp;" 'Fund Investment Data'!$A:$A = ($A1715 - 2), 'Fund Investment Data'!$B:$B &gt; 3)))  * Parameters!$B$4 * (1 - Parameters!$A$4),0)"),4169.1699)</f>
        <v>4169.1699</v>
      </c>
      <c r="Z1715" s="91">
        <f t="shared" si="24"/>
        <v>16108.94058</v>
      </c>
      <c r="AA1715" s="91">
        <f>IFERROR(__xludf.DUMMYFUNCTION("((IFERROR((SUM(FILTER('Fund Investment Data'!$V:$V, 'Fund Investment Data'!$C:$C = $C1715, 'Fund Investment Data'!$A:$A = $A1715 - 1, 'Fund Investment Data'!$B:$B &gt;= 4, 'Fund Investment Data'!$B:$B &lt;= ($B1715 + 5))) / 12) * ($B1715 - 3) * Parameters!$B$4,"&amp;" 0) + IF($B1715 &gt;= 9, IFERROR(SUM(FILTER('Fund Investment Data'!$V:$V, 'Fund Investment Data'!$C:$C = $C1715, 'Fund Investment Data'!$A:$A = $A1715, 'Fund Investment Data'!$B:$B &lt;= 3)) * Parameters!$B$4, 0),0)))"),0.0)</f>
        <v>0</v>
      </c>
      <c r="AB1715" s="32">
        <f>IFERROR(__xludf.DUMMYFUNCTION("IFERROR(((IFERROR(SUM(FILTER('Fund Investment Data'!$V:$V, 'Fund Investment Data'!$C:$C = $C1715, 'Fund Investment Data'!$A:$A = $A1715 - 2, 'Fund Investment Data'!$B:$B &gt;= 4)) * Parameters!$B$4,0) + IFERROR(SUM(FILTER('Fund Investment Data'!$V:$V, 'Fund "&amp;"Investment Data'!$C:$C = $C1715, 'Fund Investment Data'!$A:$A = $A1715 - 1, 'Fund Investment Data'!$B:$B &lt;= 3)) * Parameters!$B$4,0))),0)"),320.76)</f>
        <v>320.76</v>
      </c>
      <c r="AC1715" s="32" t="str">
        <f>IFERROR(__xludf.DUMMYFUNCTION("IFERROR(FILTER($AF:$AF,$C:$C = $C1715,$A:$A = $A1715 - 1,$B:$B = 12),0)"),"")</f>
        <v/>
      </c>
      <c r="AD1715" s="32">
        <f t="shared" si="23"/>
        <v>16429.70058</v>
      </c>
      <c r="AE1715" s="32">
        <f t="shared" si="2"/>
        <v>16429.70058</v>
      </c>
      <c r="AF1715" s="32"/>
    </row>
    <row r="1716">
      <c r="A1716" s="86">
        <v>2020.0</v>
      </c>
      <c r="B1716" s="87">
        <v>3.0</v>
      </c>
      <c r="C1716" s="88" t="s">
        <v>27</v>
      </c>
      <c r="D1716" s="104">
        <v>0.0</v>
      </c>
      <c r="E1716" s="104">
        <v>0.0</v>
      </c>
      <c r="F1716" s="104">
        <v>0.0</v>
      </c>
      <c r="G1716" s="104">
        <v>-339.44</v>
      </c>
      <c r="H1716" s="104">
        <v>1908.23</v>
      </c>
      <c r="I1716" s="104">
        <v>15124.95</v>
      </c>
      <c r="J1716" s="104">
        <v>-59534.65</v>
      </c>
      <c r="K1716" s="32"/>
      <c r="L1716" s="32"/>
      <c r="M1716" s="32"/>
      <c r="N1716" s="32"/>
      <c r="O1716" s="104">
        <v>260811.95</v>
      </c>
      <c r="P1716" s="91">
        <f>IFERROR(__xludf.DUMMYFUNCTION("IFERROR(sum(FILTER($D:$N,$C:$C = $C1716,$A:$A &lt; $A1716,$B:$B = 12)),0) + sum($D1716:$N1716)"),260812.29000000007)</f>
        <v>260812.29</v>
      </c>
      <c r="Q1716" s="92">
        <f t="shared" si="1"/>
        <v>-0.3400000001</v>
      </c>
      <c r="R1716" s="91">
        <f t="array" ref="R1716">IFERROR(INDEX('Fund YTD Target Values'!$1:$1000, MATCH($C1716,'Fund YTD Target Values'!$A:$A,0), MATCH($A1716,'Fund YTD Target Values'!$1:$1,0)),0)</f>
        <v>410076.5954</v>
      </c>
      <c r="S1716" s="91">
        <f>IFERROR(__xludf.DUMMYFUNCTION("IFERROR(sum(FILTER('Fund Investment Data'!$V:$V, 'Fund Investment Data'!$C:$C = $C1716, 'Fund Investment Data'!$A:$A &lt; $A1716)),0) + IFERROR(sum(FILTER('Fund Investment Data'!$V:$V, 'Fund Investment Data'!$C:$C = $C1716, 'Fund Investment Data'!$A:$A = $A1"&amp;"716, 'Fund Investment Data'!$B:$B &lt;= $B1716)),0)"),276213.69999999995)</f>
        <v>276213.7</v>
      </c>
      <c r="T1716" s="32"/>
      <c r="U1716" s="32"/>
      <c r="V1716" s="32">
        <f>IFERROR(__xludf.DUMMYFUNCTION("$D1716 - IFERROR(FILTER($D:$D,$C:$C = $C1716, $A:$A = $A1716, $B:$B = $B1716 - 1),0)"),0.0)</f>
        <v>0</v>
      </c>
      <c r="W1716" s="93">
        <f>IFERROR(__xludf.DUMMYFUNCTION("$E1716 - IFERROR(FILTER($E:$E,$C:$C = $C1716, $A:$A = $A1716, $B:$B = $B1716 - 1),0)"),0.0)</f>
        <v>0</v>
      </c>
      <c r="X1716" s="91">
        <f>IFERROR(__xludf.DUMMYFUNCTION("iFERROR((FILTER('Fund Investment Data'!$Z:$Z, 'Fund Investment Data'!$C:$C = $C1716, 'Fund Investment Data'!$A:$A = $A1716 - 1, 'Fund Investment Data'!$B:$B = 12) + FILTER('Fund Investment Data'!$AB:$AB, 'Fund Investment Data'!$C:$C = $C1716, 'Fund Invest"&amp;"ment Data'!$A:$A = $A1716 - 1, 'Fund Investment Data'!$B:$B = 12)) * (1 + AVERAGE(FILTER('Inflation Data'!$C:$C,'Inflation Data'!$A:$A = ($A1716 - 2)))) * Parameters!$A$4,0)"),10103.189252444476)</f>
        <v>10103.18925</v>
      </c>
      <c r="Y1716" s="91">
        <f>IFERROR(__xludf.DUMMYFUNCTION("IFERROR((IFERROR(FILTER('Fund Investment Data'!$P:$P,'Fund Investment Data'!$C:$C = $C1716,'Fund Investment Data'!$A:$A = ($A1716 - 2), 'Fund Investment Data'!$B:$B = 12),0) - SUM(FILTER('Fund Investment Data'!$V:$V, 'Fund Investment Data'!$C:$C = $C1716,"&amp;" 'Fund Investment Data'!$A:$A = ($A1716 - 2), 'Fund Investment Data'!$B:$B &gt; 3)))  * Parameters!$B$4 * (1 - Parameters!$A$4),0)"),3656.9314350000013)</f>
        <v>3656.931435</v>
      </c>
      <c r="Z1716" s="91">
        <f t="shared" si="24"/>
        <v>13760.12069</v>
      </c>
      <c r="AA1716" s="91">
        <f>IFERROR(__xludf.DUMMYFUNCTION("((IFERROR((SUM(FILTER('Fund Investment Data'!$V:$V, 'Fund Investment Data'!$C:$C = $C1716, 'Fund Investment Data'!$A:$A = $A1716 - 1, 'Fund Investment Data'!$B:$B &gt;= 4, 'Fund Investment Data'!$B:$B &lt;= ($B1716 + 5))) / 12) * ($B1716 - 3) * Parameters!$B$4,"&amp;" 0) + IF($B1716 &gt;= 9, IFERROR(SUM(FILTER('Fund Investment Data'!$V:$V, 'Fund Investment Data'!$C:$C = $C1716, 'Fund Investment Data'!$A:$A = $A1716, 'Fund Investment Data'!$B:$B &lt;= 3)) * Parameters!$B$4, 0),0)))"),0.0)</f>
        <v>0</v>
      </c>
      <c r="AB1716" s="32">
        <f>IFERROR(__xludf.DUMMYFUNCTION("IFERROR(((IFERROR(SUM(FILTER('Fund Investment Data'!$V:$V, 'Fund Investment Data'!$C:$C = $C1716, 'Fund Investment Data'!$A:$A = $A1716 - 2, 'Fund Investment Data'!$B:$B &gt;= 4)) * Parameters!$B$4,0) + IFERROR(SUM(FILTER('Fund Investment Data'!$V:$V, 'Fund "&amp;"Investment Data'!$C:$C = $C1716, 'Fund Investment Data'!$A:$A = $A1716 - 1, 'Fund Investment Data'!$B:$B &lt;= 3)) * Parameters!$B$4,0))),0)"),0.0)</f>
        <v>0</v>
      </c>
      <c r="AC1716" s="32" t="str">
        <f>IFERROR(__xludf.DUMMYFUNCTION("IFERROR(FILTER($AF:$AF,$C:$C = $C1716,$A:$A = $A1716 - 1,$B:$B = 12),0)"),"")</f>
        <v/>
      </c>
      <c r="AD1716" s="32">
        <f t="shared" si="23"/>
        <v>13760.12069</v>
      </c>
      <c r="AE1716" s="32">
        <f t="shared" si="2"/>
        <v>13760.12069</v>
      </c>
      <c r="AF1716" s="32"/>
    </row>
    <row r="1717">
      <c r="A1717" s="86">
        <v>2020.0</v>
      </c>
      <c r="B1717" s="87">
        <v>3.0</v>
      </c>
      <c r="C1717" s="88" t="s">
        <v>28</v>
      </c>
      <c r="D1717" s="104">
        <v>0.0</v>
      </c>
      <c r="E1717" s="104">
        <v>0.0</v>
      </c>
      <c r="F1717" s="104">
        <v>0.0</v>
      </c>
      <c r="G1717" s="104">
        <v>-3637.38</v>
      </c>
      <c r="H1717" s="104">
        <v>20447.83</v>
      </c>
      <c r="I1717" s="104">
        <v>162072.85</v>
      </c>
      <c r="J1717" s="104">
        <v>-637948.92</v>
      </c>
      <c r="K1717" s="32"/>
      <c r="L1717" s="32"/>
      <c r="M1717" s="32"/>
      <c r="N1717" s="32"/>
      <c r="O1717" s="104">
        <v>2794754.32</v>
      </c>
      <c r="P1717" s="91">
        <f>IFERROR(__xludf.DUMMYFUNCTION("IFERROR(sum(FILTER($D:$N,$C:$C = $C1717,$A:$A &lt; $A1717,$B:$B = 12)),0) + sum($D1717:$N1717)"),2794753.39)</f>
        <v>2794753.39</v>
      </c>
      <c r="Q1717" s="92">
        <f t="shared" si="1"/>
        <v>0.9299999997</v>
      </c>
      <c r="R1717" s="91">
        <f t="array" ref="R1717">IFERROR(INDEX('Fund YTD Target Values'!$1:$1000, MATCH($C1717,'Fund YTD Target Values'!$A:$A,0), MATCH($A1717,'Fund YTD Target Values'!$1:$1,0)),0)</f>
        <v>4004331.875</v>
      </c>
      <c r="S1717" s="91">
        <f>IFERROR(__xludf.DUMMYFUNCTION("IFERROR(sum(FILTER('Fund Investment Data'!$V:$V, 'Fund Investment Data'!$C:$C = $C1717, 'Fund Investment Data'!$A:$A &lt; $A1717)),0) + IFERROR(sum(FILTER('Fund Investment Data'!$V:$V, 'Fund Investment Data'!$C:$C = $C1717, 'Fund Investment Data'!$A:$A = $A1"&amp;"717, 'Fund Investment Data'!$B:$B &lt;= $B1717)),0)"),2960091.25)</f>
        <v>2960091.25</v>
      </c>
      <c r="T1717" s="32"/>
      <c r="U1717" s="32"/>
      <c r="V1717" s="32">
        <f>IFERROR(__xludf.DUMMYFUNCTION("$D1717 - IFERROR(FILTER($D:$D,$C:$C = $C1717, $A:$A = $A1717, $B:$B = $B1717 - 1),0)"),0.0)</f>
        <v>0</v>
      </c>
      <c r="W1717" s="93">
        <f>IFERROR(__xludf.DUMMYFUNCTION("$E1717 - IFERROR(FILTER($E:$E,$C:$C = $C1717, $A:$A = $A1717, $B:$B = $B1717 - 1),0)"),0.0)</f>
        <v>0</v>
      </c>
      <c r="X1717" s="91">
        <f>IFERROR(__xludf.DUMMYFUNCTION("iFERROR((FILTER('Fund Investment Data'!$Z:$Z, 'Fund Investment Data'!$C:$C = $C1717, 'Fund Investment Data'!$A:$A = $A1717 - 1, 'Fund Investment Data'!$B:$B = 12) + FILTER('Fund Investment Data'!$AB:$AB, 'Fund Investment Data'!$C:$C = $C1717, 'Fund Invest"&amp;"ment Data'!$A:$A = $A1717 - 1, 'Fund Investment Data'!$B:$B = 12)) * (1 + AVERAGE(FILTER('Inflation Data'!$C:$C,'Inflation Data'!$A:$A = ($A1717 - 2)))) * Parameters!$A$4,0)"),108380.29049132655)</f>
        <v>108380.2905</v>
      </c>
      <c r="Y1717" s="91">
        <f>IFERROR(__xludf.DUMMYFUNCTION("IFERROR((IFERROR(FILTER('Fund Investment Data'!$P:$P,'Fund Investment Data'!$C:$C = $C1717,'Fund Investment Data'!$A:$A = ($A1717 - 2), 'Fund Investment Data'!$B:$B = 12),0) - SUM(FILTER('Fund Investment Data'!$V:$V, 'Fund Investment Data'!$C:$C = $C1717,"&amp;" 'Fund Investment Data'!$A:$A = ($A1717 - 2), 'Fund Investment Data'!$B:$B &gt; 3)))  * Parameters!$B$4 * (1 - Parameters!$A$4),0)"),39180.23244000001)</f>
        <v>39180.23244</v>
      </c>
      <c r="Z1717" s="91">
        <f t="shared" si="24"/>
        <v>147560.5229</v>
      </c>
      <c r="AA1717" s="91">
        <f>IFERROR(__xludf.DUMMYFUNCTION("((IFERROR((SUM(FILTER('Fund Investment Data'!$V:$V, 'Fund Investment Data'!$C:$C = $C1717, 'Fund Investment Data'!$A:$A = $A1717 - 1, 'Fund Investment Data'!$B:$B &gt;= 4, 'Fund Investment Data'!$B:$B &lt;= ($B1717 + 5))) / 12) * ($B1717 - 3) * Parameters!$B$4,"&amp;" 0) + IF($B1717 &gt;= 9, IFERROR(SUM(FILTER('Fund Investment Data'!$V:$V, 'Fund Investment Data'!$C:$C = $C1717, 'Fund Investment Data'!$A:$A = $A1717, 'Fund Investment Data'!$B:$B &lt;= 3)) * Parameters!$B$4, 0),0)))"),0.0)</f>
        <v>0</v>
      </c>
      <c r="AB1717" s="32">
        <f>IFERROR(__xludf.DUMMYFUNCTION("IFERROR(((IFERROR(SUM(FILTER('Fund Investment Data'!$V:$V, 'Fund Investment Data'!$C:$C = $C1717, 'Fund Investment Data'!$A:$A = $A1717 - 2, 'Fund Investment Data'!$B:$B &gt;= 4)) * Parameters!$B$4,0) + IFERROR(SUM(FILTER('Fund Investment Data'!$V:$V, 'Fund "&amp;"Investment Data'!$C:$C = $C1717, 'Fund Investment Data'!$A:$A = $A1717 - 1, 'Fund Investment Data'!$B:$B &lt;= 3)) * Parameters!$B$4,0))),0)"),0.0)</f>
        <v>0</v>
      </c>
      <c r="AC1717" s="32" t="str">
        <f>IFERROR(__xludf.DUMMYFUNCTION("IFERROR(FILTER($AF:$AF,$C:$C = $C1717,$A:$A = $A1717 - 1,$B:$B = 12),0)"),"")</f>
        <v/>
      </c>
      <c r="AD1717" s="32">
        <f t="shared" si="23"/>
        <v>147560.5229</v>
      </c>
      <c r="AE1717" s="32">
        <f t="shared" si="2"/>
        <v>147560.5229</v>
      </c>
      <c r="AF1717" s="32"/>
    </row>
    <row r="1718">
      <c r="A1718" s="86">
        <v>2020.0</v>
      </c>
      <c r="B1718" s="87">
        <v>3.0</v>
      </c>
      <c r="C1718" s="88" t="s">
        <v>46</v>
      </c>
      <c r="D1718" s="104">
        <v>0.0</v>
      </c>
      <c r="E1718" s="104">
        <v>0.0</v>
      </c>
      <c r="F1718" s="104">
        <v>0.0</v>
      </c>
      <c r="G1718" s="104">
        <v>-418.88</v>
      </c>
      <c r="H1718" s="104">
        <v>2354.77</v>
      </c>
      <c r="I1718" s="104">
        <v>18664.28</v>
      </c>
      <c r="J1718" s="104">
        <v>-73466.14</v>
      </c>
      <c r="K1718" s="32"/>
      <c r="L1718" s="32"/>
      <c r="M1718" s="32"/>
      <c r="N1718" s="32"/>
      <c r="O1718" s="106">
        <v>321843.69</v>
      </c>
      <c r="P1718" s="91">
        <f>IFERROR(__xludf.DUMMYFUNCTION("IFERROR(sum(FILTER($D:$N,$C:$C = $C1718,$A:$A &lt; $A1718,$B:$B = 12)),0) + sum($D1718:$N1718)"),321844.11)</f>
        <v>321844.11</v>
      </c>
      <c r="Q1718" s="92">
        <f t="shared" si="1"/>
        <v>-0.42</v>
      </c>
      <c r="R1718" s="91">
        <f t="array" ref="R1718">IFERROR(INDEX('Fund YTD Target Values'!$1:$1000, MATCH($C1718,'Fund YTD Target Values'!$A:$A,0), MATCH($A1718,'Fund YTD Target Values'!$1:$1,0)),0)</f>
        <v>476024.3486</v>
      </c>
      <c r="S1718" s="91">
        <f>IFERROR(__xludf.DUMMYFUNCTION("IFERROR(sum(FILTER('Fund Investment Data'!$V:$V, 'Fund Investment Data'!$C:$C = $C1718, 'Fund Investment Data'!$A:$A &lt; $A1718)),0) + IFERROR(sum(FILTER('Fund Investment Data'!$V:$V, 'Fund Investment Data'!$C:$C = $C1718, 'Fund Investment Data'!$A:$A = $A1"&amp;"718, 'Fund Investment Data'!$B:$B &lt;= $B1718)),0)"),366400.0)</f>
        <v>366400</v>
      </c>
      <c r="T1718" s="32"/>
      <c r="U1718" s="32"/>
      <c r="V1718" s="32">
        <f>IFERROR(__xludf.DUMMYFUNCTION("$D1718 - IFERROR(FILTER($D:$D,$C:$C = $C1718, $A:$A = $A1718, $B:$B = $B1718 - 1),0)"),0.0)</f>
        <v>0</v>
      </c>
      <c r="W1718" s="93">
        <f>IFERROR(__xludf.DUMMYFUNCTION("$E1718 - IFERROR(FILTER($E:$E,$C:$C = $C1718, $A:$A = $A1718, $B:$B = $B1718 - 1),0)"),0.0)</f>
        <v>0</v>
      </c>
      <c r="X1718" s="91">
        <f>IFERROR(__xludf.DUMMYFUNCTION("iFERROR((FILTER('Fund Investment Data'!$Z:$Z, 'Fund Investment Data'!$C:$C = $C1718, 'Fund Investment Data'!$A:$A = $A1718 - 1, 'Fund Investment Data'!$B:$B = 12) + FILTER('Fund Investment Data'!$AB:$AB, 'Fund Investment Data'!$C:$C = $C1718, 'Fund Invest"&amp;"ment Data'!$A:$A = $A1718 - 1, 'Fund Investment Data'!$B:$B = 12)) * (1 + AVERAGE(FILTER('Inflation Data'!$C:$C,'Inflation Data'!$A:$A = ($A1718 - 2)))) * Parameters!$A$4,0)"),12887.748857049877)</f>
        <v>12887.74886</v>
      </c>
      <c r="Y1718" s="91">
        <f>IFERROR(__xludf.DUMMYFUNCTION("IFERROR((IFERROR(FILTER('Fund Investment Data'!$P:$P,'Fund Investment Data'!$C:$C = $C1718,'Fund Investment Data'!$A:$A = ($A1718 - 2), 'Fund Investment Data'!$B:$B = 12),0) - SUM(FILTER('Fund Investment Data'!$V:$V, 'Fund Investment Data'!$C:$C = $C1718,"&amp;" 'Fund Investment Data'!$A:$A = ($A1718 - 2), 'Fund Investment Data'!$B:$B &gt; 3)))  * Parameters!$B$4 * (1 - Parameters!$A$4),0)"),4519.68363)</f>
        <v>4519.68363</v>
      </c>
      <c r="Z1718" s="91">
        <f t="shared" si="24"/>
        <v>17407.43249</v>
      </c>
      <c r="AA1718" s="91">
        <f>IFERROR(__xludf.DUMMYFUNCTION("((IFERROR((SUM(FILTER('Fund Investment Data'!$V:$V, 'Fund Investment Data'!$C:$C = $C1718, 'Fund Investment Data'!$A:$A = $A1718 - 1, 'Fund Investment Data'!$B:$B &gt;= 4, 'Fund Investment Data'!$B:$B &lt;= ($B1718 + 5))) / 12) * ($B1718 - 3) * Parameters!$B$4,"&amp;" 0) + IF($B1718 &gt;= 9, IFERROR(SUM(FILTER('Fund Investment Data'!$V:$V, 'Fund Investment Data'!$C:$C = $C1718, 'Fund Investment Data'!$A:$A = $A1718, 'Fund Investment Data'!$B:$B &lt;= 3)) * Parameters!$B$4, 0),0)))"),0.0)</f>
        <v>0</v>
      </c>
      <c r="AB1718" s="32">
        <f>IFERROR(__xludf.DUMMYFUNCTION("IFERROR(((IFERROR(SUM(FILTER('Fund Investment Data'!$V:$V, 'Fund Investment Data'!$C:$C = $C1718, 'Fund Investment Data'!$A:$A = $A1718 - 2, 'Fund Investment Data'!$B:$B &gt;= 4)) * Parameters!$B$4,0) + IFERROR(SUM(FILTER('Fund Investment Data'!$V:$V, 'Fund "&amp;"Investment Data'!$C:$C = $C1718, 'Fund Investment Data'!$A:$A = $A1718 - 1, 'Fund Investment Data'!$B:$B &lt;= 3)) * Parameters!$B$4,0))),0)"),0.0)</f>
        <v>0</v>
      </c>
      <c r="AC1718" s="32" t="str">
        <f>IFERROR(__xludf.DUMMYFUNCTION("IFERROR(FILTER($AF:$AF,$C:$C = $C1718,$A:$A = $A1718 - 1,$B:$B = 12),0)"),"")</f>
        <v/>
      </c>
      <c r="AD1718" s="32">
        <f t="shared" si="23"/>
        <v>17407.43249</v>
      </c>
      <c r="AE1718" s="32">
        <f t="shared" si="2"/>
        <v>17407.43249</v>
      </c>
      <c r="AF1718" s="32"/>
    </row>
    <row r="1719">
      <c r="A1719" s="86">
        <v>2020.0</v>
      </c>
      <c r="B1719" s="87">
        <v>3.0</v>
      </c>
      <c r="C1719" s="88" t="s">
        <v>36</v>
      </c>
      <c r="D1719" s="104">
        <v>0.0</v>
      </c>
      <c r="E1719" s="104">
        <v>0.0</v>
      </c>
      <c r="F1719" s="104">
        <v>0.0</v>
      </c>
      <c r="G1719" s="104">
        <v>-493.46</v>
      </c>
      <c r="H1719" s="104">
        <v>2773.99</v>
      </c>
      <c r="I1719" s="104">
        <v>21987.18</v>
      </c>
      <c r="J1719" s="104">
        <v>-86545.6</v>
      </c>
      <c r="K1719" s="32"/>
      <c r="L1719" s="32"/>
      <c r="M1719" s="32"/>
      <c r="N1719" s="32"/>
      <c r="O1719" s="106">
        <v>379142.71</v>
      </c>
      <c r="P1719" s="91">
        <f>IFERROR(__xludf.DUMMYFUNCTION("IFERROR(sum(FILTER($D:$N,$C:$C = $C1719,$A:$A &lt; $A1719,$B:$B = 12)),0) + sum($D1719:$N1719)"),379142.26)</f>
        <v>379142.26</v>
      </c>
      <c r="Q1719" s="92">
        <f t="shared" si="1"/>
        <v>0.45</v>
      </c>
      <c r="R1719" s="91">
        <f t="array" ref="R1719">IFERROR(INDEX('Fund YTD Target Values'!$1:$1000, MATCH($C1719,'Fund YTD Target Values'!$A:$A,0), MATCH($A1719,'Fund YTD Target Values'!$1:$1,0)),0)</f>
        <v>662598.0199</v>
      </c>
      <c r="S1719" s="91">
        <f>IFERROR(__xludf.DUMMYFUNCTION("IFERROR(sum(FILTER('Fund Investment Data'!$V:$V, 'Fund Investment Data'!$C:$C = $C1719, 'Fund Investment Data'!$A:$A &lt; $A1719)),0) + IFERROR(sum(FILTER('Fund Investment Data'!$V:$V, 'Fund Investment Data'!$C:$C = $C1719, 'Fund Investment Data'!$A:$A = $A1"&amp;"719, 'Fund Investment Data'!$B:$B &lt;= $B1719)),0)"),429067.24)</f>
        <v>429067.24</v>
      </c>
      <c r="T1719" s="32"/>
      <c r="U1719" s="32"/>
      <c r="V1719" s="32">
        <f>IFERROR(__xludf.DUMMYFUNCTION("$D1719 - IFERROR(FILTER($D:$D,$C:$C = $C1719, $A:$A = $A1719, $B:$B = $B1719 - 1),0)"),0.0)</f>
        <v>0</v>
      </c>
      <c r="W1719" s="93">
        <f>IFERROR(__xludf.DUMMYFUNCTION("$E1719 - IFERROR(FILTER($E:$E,$C:$C = $C1719, $A:$A = $A1719, $B:$B = $B1719 - 1),0)"),0.0)</f>
        <v>0</v>
      </c>
      <c r="X1719" s="91">
        <f>IFERROR(__xludf.DUMMYFUNCTION("iFERROR((FILTER('Fund Investment Data'!$Z:$Z, 'Fund Investment Data'!$C:$C = $C1719, 'Fund Investment Data'!$A:$A = $A1719 - 1, 'Fund Investment Data'!$B:$B = 12) + FILTER('Fund Investment Data'!$AB:$AB, 'Fund Investment Data'!$C:$C = $C1719, 'Fund Invest"&amp;"ment Data'!$A:$A = $A1719 - 1, 'Fund Investment Data'!$B:$B = 12)) * (1 + AVERAGE(FILTER('Inflation Data'!$C:$C,'Inflation Data'!$A:$A = ($A1719 - 2)))) * Parameters!$A$4,0)"),14762.63581927512)</f>
        <v>14762.63582</v>
      </c>
      <c r="Y1719" s="91">
        <f>IFERROR(__xludf.DUMMYFUNCTION("IFERROR((IFERROR(FILTER('Fund Investment Data'!$P:$P,'Fund Investment Data'!$C:$C = $C1719,'Fund Investment Data'!$A:$A = ($A1719 - 2), 'Fund Investment Data'!$B:$B = 12),0) - SUM(FILTER('Fund Investment Data'!$V:$V, 'Fund Investment Data'!$C:$C = $C1719,"&amp;" 'Fund Investment Data'!$A:$A = ($A1719 - 2), 'Fund Investment Data'!$B:$B &gt; 3)))  * Parameters!$B$4 * (1 - Parameters!$A$4),0)"),5318.06499)</f>
        <v>5318.06499</v>
      </c>
      <c r="Z1719" s="91">
        <f t="shared" si="24"/>
        <v>20080.70081</v>
      </c>
      <c r="AA1719" s="91">
        <f>IFERROR(__xludf.DUMMYFUNCTION("((IFERROR((SUM(FILTER('Fund Investment Data'!$V:$V, 'Fund Investment Data'!$C:$C = $C1719, 'Fund Investment Data'!$A:$A = $A1719 - 1, 'Fund Investment Data'!$B:$B &gt;= 4, 'Fund Investment Data'!$B:$B &lt;= ($B1719 + 5))) / 12) * ($B1719 - 3) * Parameters!$B$4,"&amp;" 0) + IF($B1719 &gt;= 9, IFERROR(SUM(FILTER('Fund Investment Data'!$V:$V, 'Fund Investment Data'!$C:$C = $C1719, 'Fund Investment Data'!$A:$A = $A1719, 'Fund Investment Data'!$B:$B &lt;= 3)) * Parameters!$B$4, 0),0)))"),0.0)</f>
        <v>0</v>
      </c>
      <c r="AB1719" s="32">
        <f>IFERROR(__xludf.DUMMYFUNCTION("IFERROR(((IFERROR(SUM(FILTER('Fund Investment Data'!$V:$V, 'Fund Investment Data'!$C:$C = $C1719, 'Fund Investment Data'!$A:$A = $A1719 - 2, 'Fund Investment Data'!$B:$B &gt;= 4)) * Parameters!$B$4,0) + IFERROR(SUM(FILTER('Fund Investment Data'!$V:$V, 'Fund "&amp;"Investment Data'!$C:$C = $C1719, 'Fund Investment Data'!$A:$A = $A1719 - 1, 'Fund Investment Data'!$B:$B &lt;= 3)) * Parameters!$B$4,0))),0)"),0.0)</f>
        <v>0</v>
      </c>
      <c r="AC1719" s="32" t="str">
        <f>IFERROR(__xludf.DUMMYFUNCTION("IFERROR(FILTER($AF:$AF,$C:$C = $C1719,$A:$A = $A1719 - 1,$B:$B = 12),0)"),"")</f>
        <v/>
      </c>
      <c r="AD1719" s="32">
        <f t="shared" si="23"/>
        <v>20080.70081</v>
      </c>
      <c r="AE1719" s="32">
        <f t="shared" si="2"/>
        <v>20080.70081</v>
      </c>
      <c r="AF1719" s="32"/>
    </row>
    <row r="1720">
      <c r="A1720" s="86">
        <v>2020.0</v>
      </c>
      <c r="B1720" s="87">
        <v>3.0</v>
      </c>
      <c r="C1720" s="88" t="s">
        <v>37</v>
      </c>
      <c r="D1720" s="104">
        <v>0.0</v>
      </c>
      <c r="E1720" s="104">
        <v>0.0</v>
      </c>
      <c r="F1720" s="104">
        <v>0.0</v>
      </c>
      <c r="G1720" s="104">
        <v>-905.97</v>
      </c>
      <c r="H1720" s="104">
        <v>5092.98</v>
      </c>
      <c r="I1720" s="104">
        <v>40367.64</v>
      </c>
      <c r="J1720" s="104">
        <v>-158894.57</v>
      </c>
      <c r="K1720" s="32"/>
      <c r="L1720" s="32"/>
      <c r="M1720" s="32"/>
      <c r="N1720" s="32"/>
      <c r="O1720" s="106">
        <v>696092.23</v>
      </c>
      <c r="P1720" s="91">
        <f>IFERROR(__xludf.DUMMYFUNCTION("IFERROR(sum(FILTER($D:$N,$C:$C = $C1720,$A:$A &lt; $A1720,$B:$B = 12)),0) + sum($D1720:$N1720)"),696092.2299999999)</f>
        <v>696092.23</v>
      </c>
      <c r="Q1720" s="92">
        <f t="shared" si="1"/>
        <v>0.0000000001164153218</v>
      </c>
      <c r="R1720" s="91">
        <f t="array" ref="R1720">IFERROR(INDEX('Fund YTD Target Values'!$1:$1000, MATCH($C1720,'Fund YTD Target Values'!$A:$A,0), MATCH($A1720,'Fund YTD Target Values'!$1:$1,0)),0)</f>
        <v>881697.5887</v>
      </c>
      <c r="S1720" s="91">
        <f>IFERROR(__xludf.DUMMYFUNCTION("IFERROR(sum(FILTER('Fund Investment Data'!$V:$V, 'Fund Investment Data'!$C:$C = $C1720, 'Fund Investment Data'!$A:$A &lt; $A1720)),0) + IFERROR(sum(FILTER('Fund Investment Data'!$V:$V, 'Fund Investment Data'!$C:$C = $C1720, 'Fund Investment Data'!$A:$A = $A1"&amp;"720, 'Fund Investment Data'!$B:$B &lt;= $B1720)),0)"),758137.86)</f>
        <v>758137.86</v>
      </c>
      <c r="T1720" s="32"/>
      <c r="U1720" s="32"/>
      <c r="V1720" s="32">
        <f>IFERROR(__xludf.DUMMYFUNCTION("$D1720 - IFERROR(FILTER($D:$D,$C:$C = $C1720, $A:$A = $A1720, $B:$B = $B1720 - 1),0)"),0.0)</f>
        <v>0</v>
      </c>
      <c r="W1720" s="93">
        <f>IFERROR(__xludf.DUMMYFUNCTION("$E1720 - IFERROR(FILTER($E:$E,$C:$C = $C1720, $A:$A = $A1720, $B:$B = $B1720 - 1),0)"),0.0)</f>
        <v>0</v>
      </c>
      <c r="X1720" s="91">
        <f>IFERROR(__xludf.DUMMYFUNCTION("iFERROR((FILTER('Fund Investment Data'!$Z:$Z, 'Fund Investment Data'!$C:$C = $C1720, 'Fund Investment Data'!$A:$A = $A1720 - 1, 'Fund Investment Data'!$B:$B = 12) + FILTER('Fund Investment Data'!$AB:$AB, 'Fund Investment Data'!$C:$C = $C1720, 'Fund Invest"&amp;"ment Data'!$A:$A = $A1720 - 1, 'Fund Investment Data'!$B:$B = 12)) * (1 + AVERAGE(FILTER('Inflation Data'!$C:$C,'Inflation Data'!$A:$A = ($A1720 - 2)))) * Parameters!$A$4,0)"),26964.813014785388)</f>
        <v>26964.81301</v>
      </c>
      <c r="Y1720" s="91">
        <f>IFERROR(__xludf.DUMMYFUNCTION("IFERROR((IFERROR(FILTER('Fund Investment Data'!$P:$P,'Fund Investment Data'!$C:$C = $C1720,'Fund Investment Data'!$A:$A = ($A1720 - 2), 'Fund Investment Data'!$B:$B = 12),0) - SUM(FILTER('Fund Investment Data'!$V:$V, 'Fund Investment Data'!$C:$C = $C1720,"&amp;" 'Fund Investment Data'!$A:$A = ($A1720 - 2), 'Fund Investment Data'!$B:$B &gt; 3)))  * Parameters!$B$4 * (1 - Parameters!$A$4),0)"),9760.690485)</f>
        <v>9760.690485</v>
      </c>
      <c r="Z1720" s="91">
        <f t="shared" si="24"/>
        <v>36725.5035</v>
      </c>
      <c r="AA1720" s="91">
        <f>IFERROR(__xludf.DUMMYFUNCTION("((IFERROR((SUM(FILTER('Fund Investment Data'!$V:$V, 'Fund Investment Data'!$C:$C = $C1720, 'Fund Investment Data'!$A:$A = $A1720 - 1, 'Fund Investment Data'!$B:$B &gt;= 4, 'Fund Investment Data'!$B:$B &lt;= ($B1720 + 5))) / 12) * ($B1720 - 3) * Parameters!$B$4,"&amp;" 0) + IF($B1720 &gt;= 9, IFERROR(SUM(FILTER('Fund Investment Data'!$V:$V, 'Fund Investment Data'!$C:$C = $C1720, 'Fund Investment Data'!$A:$A = $A1720, 'Fund Investment Data'!$B:$B &lt;= 3)) * Parameters!$B$4, 0),0)))"),0.0)</f>
        <v>0</v>
      </c>
      <c r="AB1720" s="32">
        <f>IFERROR(__xludf.DUMMYFUNCTION("IFERROR(((IFERROR(SUM(FILTER('Fund Investment Data'!$V:$V, 'Fund Investment Data'!$C:$C = $C1720, 'Fund Investment Data'!$A:$A = $A1720 - 2, 'Fund Investment Data'!$B:$B &gt;= 4)) * Parameters!$B$4,0) + IFERROR(SUM(FILTER('Fund Investment Data'!$V:$V, 'Fund "&amp;"Investment Data'!$C:$C = $C1720, 'Fund Investment Data'!$A:$A = $A1720 - 1, 'Fund Investment Data'!$B:$B &lt;= 3)) * Parameters!$B$4,0))),0)"),0.0)</f>
        <v>0</v>
      </c>
      <c r="AC1720" s="32" t="str">
        <f>IFERROR(__xludf.DUMMYFUNCTION("IFERROR(FILTER($AF:$AF,$C:$C = $C1720,$A:$A = $A1720 - 1,$B:$B = 12),0)"),"")</f>
        <v/>
      </c>
      <c r="AD1720" s="32">
        <f t="shared" si="23"/>
        <v>36725.5035</v>
      </c>
      <c r="AE1720" s="32">
        <f t="shared" si="2"/>
        <v>36725.5035</v>
      </c>
      <c r="AF1720" s="32"/>
    </row>
    <row r="1721">
      <c r="A1721" s="86">
        <v>2020.0</v>
      </c>
      <c r="B1721" s="87">
        <v>3.0</v>
      </c>
      <c r="C1721" s="88" t="s">
        <v>29</v>
      </c>
      <c r="D1721" s="104">
        <v>0.0</v>
      </c>
      <c r="E1721" s="104">
        <v>0.0</v>
      </c>
      <c r="F1721" s="104">
        <v>0.0</v>
      </c>
      <c r="G1721" s="104">
        <v>-67.41</v>
      </c>
      <c r="H1721" s="104">
        <v>378.93</v>
      </c>
      <c r="I1721" s="104">
        <v>3003.54</v>
      </c>
      <c r="J1721" s="104">
        <v>-11822.48</v>
      </c>
      <c r="K1721" s="32"/>
      <c r="L1721" s="32"/>
      <c r="M1721" s="32"/>
      <c r="N1721" s="32"/>
      <c r="O1721" s="106">
        <v>51792.45</v>
      </c>
      <c r="P1721" s="91">
        <f>IFERROR(__xludf.DUMMYFUNCTION("IFERROR(sum(FILTER($D:$N,$C:$C = $C1721,$A:$A &lt; $A1721,$B:$B = 12)),0) + sum($D1721:$N1721)"),51792.479999999916)</f>
        <v>51792.48</v>
      </c>
      <c r="Q1721" s="92">
        <f t="shared" si="1"/>
        <v>-0.02999999992</v>
      </c>
      <c r="R1721" s="91">
        <f t="array" ref="R1721">IFERROR(INDEX('Fund YTD Target Values'!$1:$1000, MATCH($C1721,'Fund YTD Target Values'!$A:$A,0), MATCH($A1721,'Fund YTD Target Values'!$1:$1,0)),0)</f>
        <v>80343.33092</v>
      </c>
      <c r="S1721" s="91">
        <f>IFERROR(__xludf.DUMMYFUNCTION("IFERROR(sum(FILTER('Fund Investment Data'!$V:$V, 'Fund Investment Data'!$C:$C = $C1721, 'Fund Investment Data'!$A:$A &lt; $A1721)),0) + IFERROR(sum(FILTER('Fund Investment Data'!$V:$V, 'Fund Investment Data'!$C:$C = $C1721, 'Fund Investment Data'!$A:$A = $A1"&amp;"721, 'Fund Investment Data'!$B:$B &lt;= $B1721)),0)"),50000.0)</f>
        <v>50000</v>
      </c>
      <c r="T1721" s="32"/>
      <c r="U1721" s="32"/>
      <c r="V1721" s="32">
        <f>IFERROR(__xludf.DUMMYFUNCTION("$D1721 - IFERROR(FILTER($D:$D,$C:$C = $C1721, $A:$A = $A1721, $B:$B = $B1721 - 1),0)"),0.0)</f>
        <v>0</v>
      </c>
      <c r="W1721" s="93">
        <f>IFERROR(__xludf.DUMMYFUNCTION("$E1721 - IFERROR(FILTER($E:$E,$C:$C = $C1721, $A:$A = $A1721, $B:$B = $B1721 - 1),0)"),0.0)</f>
        <v>0</v>
      </c>
      <c r="X1721" s="91">
        <f>IFERROR(__xludf.DUMMYFUNCTION("iFERROR((FILTER('Fund Investment Data'!$Z:$Z, 'Fund Investment Data'!$C:$C = $C1721, 'Fund Investment Data'!$A:$A = $A1721 - 1, 'Fund Investment Data'!$B:$B = 12) + FILTER('Fund Investment Data'!$AB:$AB, 'Fund Investment Data'!$C:$C = $C1721, 'Fund Invest"&amp;"ment Data'!$A:$A = $A1721 - 1, 'Fund Investment Data'!$B:$B = 12)) * (1 + AVERAGE(FILTER('Inflation Data'!$C:$C,'Inflation Data'!$A:$A = ($A1721 - 2)))) * Parameters!$A$4,0)"),1904.8380315570544)</f>
        <v>1904.838032</v>
      </c>
      <c r="Y1721" s="91">
        <f>IFERROR(__xludf.DUMMYFUNCTION("IFERROR((IFERROR(FILTER('Fund Investment Data'!$P:$P,'Fund Investment Data'!$C:$C = $C1721,'Fund Investment Data'!$A:$A = ($A1721 - 2), 'Fund Investment Data'!$B:$B = 12),0) - SUM(FILTER('Fund Investment Data'!$V:$V, 'Fund Investment Data'!$C:$C = $C1721,"&amp;" 'Fund Investment Data'!$A:$A = ($A1721 - 2), 'Fund Investment Data'!$B:$B &gt; 3)))  * Parameters!$B$4 * (1 - Parameters!$A$4),0)"),725.319764999999)</f>
        <v>725.319765</v>
      </c>
      <c r="Z1721" s="91">
        <f t="shared" si="24"/>
        <v>2630.157797</v>
      </c>
      <c r="AA1721" s="91">
        <f>IFERROR(__xludf.DUMMYFUNCTION("((IFERROR((SUM(FILTER('Fund Investment Data'!$V:$V, 'Fund Investment Data'!$C:$C = $C1721, 'Fund Investment Data'!$A:$A = $A1721 - 1, 'Fund Investment Data'!$B:$B &gt;= 4, 'Fund Investment Data'!$B:$B &lt;= ($B1721 + 5))) / 12) * ($B1721 - 3) * Parameters!$B$4,"&amp;" 0) + IF($B1721 &gt;= 9, IFERROR(SUM(FILTER('Fund Investment Data'!$V:$V, 'Fund Investment Data'!$C:$C = $C1721, 'Fund Investment Data'!$A:$A = $A1721, 'Fund Investment Data'!$B:$B &lt;= 3)) * Parameters!$B$4, 0),0)))"),0.0)</f>
        <v>0</v>
      </c>
      <c r="AB1721" s="32">
        <f>IFERROR(__xludf.DUMMYFUNCTION("IFERROR(((IFERROR(SUM(FILTER('Fund Investment Data'!$V:$V, 'Fund Investment Data'!$C:$C = $C1721, 'Fund Investment Data'!$A:$A = $A1721 - 2, 'Fund Investment Data'!$B:$B &gt;= 4)) * Parameters!$B$4,0) + IFERROR(SUM(FILTER('Fund Investment Data'!$V:$V, 'Fund "&amp;"Investment Data'!$C:$C = $C1721, 'Fund Investment Data'!$A:$A = $A1721 - 1, 'Fund Investment Data'!$B:$B &lt;= 3)) * Parameters!$B$4,0))),0)"),0.0)</f>
        <v>0</v>
      </c>
      <c r="AC1721" s="32" t="str">
        <f>IFERROR(__xludf.DUMMYFUNCTION("IFERROR(FILTER($AF:$AF,$C:$C = $C1721,$A:$A = $A1721 - 1,$B:$B = 12),0)"),"")</f>
        <v/>
      </c>
      <c r="AD1721" s="32">
        <f t="shared" si="23"/>
        <v>2630.157797</v>
      </c>
      <c r="AE1721" s="32">
        <f t="shared" si="2"/>
        <v>2630.157797</v>
      </c>
      <c r="AF1721" s="32"/>
    </row>
    <row r="1722">
      <c r="A1722" s="86">
        <v>2020.0</v>
      </c>
      <c r="B1722" s="87">
        <v>3.0</v>
      </c>
      <c r="C1722" s="88" t="s">
        <v>38</v>
      </c>
      <c r="D1722" s="104">
        <v>0.0</v>
      </c>
      <c r="E1722" s="104">
        <v>0.0</v>
      </c>
      <c r="F1722" s="104">
        <v>0.0</v>
      </c>
      <c r="G1722" s="104">
        <v>-922.82</v>
      </c>
      <c r="H1722" s="104">
        <v>5187.7</v>
      </c>
      <c r="I1722" s="104">
        <v>41118.58</v>
      </c>
      <c r="J1722" s="104">
        <v>-161850.42</v>
      </c>
      <c r="K1722" s="32"/>
      <c r="L1722" s="32"/>
      <c r="M1722" s="32"/>
      <c r="N1722" s="32"/>
      <c r="O1722" s="106">
        <v>709041.38</v>
      </c>
      <c r="P1722" s="91">
        <f>IFERROR(__xludf.DUMMYFUNCTION("IFERROR(sum(FILTER($D:$N,$C:$C = $C1722,$A:$A &lt; $A1722,$B:$B = 12)),0) + sum($D1722:$N1722)"),709040.3400000001)</f>
        <v>709040.34</v>
      </c>
      <c r="Q1722" s="92">
        <f t="shared" si="1"/>
        <v>1.04</v>
      </c>
      <c r="R1722" s="91">
        <f t="array" ref="R1722">IFERROR(INDEX('Fund YTD Target Values'!$1:$1000, MATCH($C1722,'Fund YTD Target Values'!$A:$A,0), MATCH($A1722,'Fund YTD Target Values'!$1:$1,0)),0)</f>
        <v>732485.9458</v>
      </c>
      <c r="S1722" s="91">
        <f>IFERROR(__xludf.DUMMYFUNCTION("IFERROR(sum(FILTER('Fund Investment Data'!$V:$V, 'Fund Investment Data'!$C:$C = $C1722, 'Fund Investment Data'!$A:$A &lt; $A1722)),0) + IFERROR(sum(FILTER('Fund Investment Data'!$V:$V, 'Fund Investment Data'!$C:$C = $C1722, 'Fund Investment Data'!$A:$A = $A1"&amp;"722, 'Fund Investment Data'!$B:$B &lt;= $B1722)),0)"),556601.64)</f>
        <v>556601.64</v>
      </c>
      <c r="T1722" s="32"/>
      <c r="U1722" s="32"/>
      <c r="V1722" s="32">
        <f>IFERROR(__xludf.DUMMYFUNCTION("$D1722 - IFERROR(FILTER($D:$D,$C:$C = $C1722, $A:$A = $A1722, $B:$B = $B1722 - 1),0)"),0.0)</f>
        <v>0</v>
      </c>
      <c r="W1722" s="93">
        <f>IFERROR(__xludf.DUMMYFUNCTION("$E1722 - IFERROR(FILTER($E:$E,$C:$C = $C1722, $A:$A = $A1722, $B:$B = $B1722 - 1),0)"),0.0)</f>
        <v>0</v>
      </c>
      <c r="X1722" s="91">
        <f>IFERROR(__xludf.DUMMYFUNCTION("iFERROR((FILTER('Fund Investment Data'!$Z:$Z, 'Fund Investment Data'!$C:$C = $C1722, 'Fund Investment Data'!$A:$A = $A1722 - 1, 'Fund Investment Data'!$B:$B = 12) + FILTER('Fund Investment Data'!$AB:$AB, 'Fund Investment Data'!$C:$C = $C1722, 'Fund Invest"&amp;"ment Data'!$A:$A = $A1722 - 1, 'Fund Investment Data'!$B:$B = 12)) * (1 + AVERAGE(FILTER('Inflation Data'!$C:$C,'Inflation Data'!$A:$A = ($A1722 - 2)))) * Parameters!$A$4,0)"),23714.482768130645)</f>
        <v>23714.48277</v>
      </c>
      <c r="Y1722" s="91">
        <f>IFERROR(__xludf.DUMMYFUNCTION("IFERROR((IFERROR(FILTER('Fund Investment Data'!$P:$P,'Fund Investment Data'!$C:$C = $C1722,'Fund Investment Data'!$A:$A = ($A1722 - 2), 'Fund Investment Data'!$B:$B = 12),0) - SUM(FILTER('Fund Investment Data'!$V:$V, 'Fund Investment Data'!$C:$C = $C1722,"&amp;" 'Fund Investment Data'!$A:$A = ($A1722 - 2), 'Fund Investment Data'!$B:$B &gt; 3)))  * Parameters!$B$4 * (1 - Parameters!$A$4),0)"),9744.43716)</f>
        <v>9744.43716</v>
      </c>
      <c r="Z1722" s="91">
        <f t="shared" si="24"/>
        <v>33458.91993</v>
      </c>
      <c r="AA1722" s="91">
        <f>IFERROR(__xludf.DUMMYFUNCTION("((IFERROR((SUM(FILTER('Fund Investment Data'!$V:$V, 'Fund Investment Data'!$C:$C = $C1722, 'Fund Investment Data'!$A:$A = $A1722 - 1, 'Fund Investment Data'!$B:$B &gt;= 4, 'Fund Investment Data'!$B:$B &lt;= ($B1722 + 5))) / 12) * ($B1722 - 3) * Parameters!$B$4,"&amp;" 0) + IF($B1722 &gt;= 9, IFERROR(SUM(FILTER('Fund Investment Data'!$V:$V, 'Fund Investment Data'!$C:$C = $C1722, 'Fund Investment Data'!$A:$A = $A1722, 'Fund Investment Data'!$B:$B &lt;= 3)) * Parameters!$B$4, 0),0)))"),0.0)</f>
        <v>0</v>
      </c>
      <c r="AB1722" s="32">
        <f>IFERROR(__xludf.DUMMYFUNCTION("IFERROR(((IFERROR(SUM(FILTER('Fund Investment Data'!$V:$V, 'Fund Investment Data'!$C:$C = $C1722, 'Fund Investment Data'!$A:$A = $A1722 - 2, 'Fund Investment Data'!$B:$B &gt;= 4)) * Parameters!$B$4,0) + IFERROR(SUM(FILTER('Fund Investment Data'!$V:$V, 'Fund "&amp;"Investment Data'!$C:$C = $C1722, 'Fund Investment Data'!$A:$A = $A1722 - 1, 'Fund Investment Data'!$B:$B &lt;= 3)) * Parameters!$B$4,0))),0)"),0.0)</f>
        <v>0</v>
      </c>
      <c r="AC1722" s="32" t="str">
        <f>IFERROR(__xludf.DUMMYFUNCTION("IFERROR(FILTER($AF:$AF,$C:$C = $C1722,$A:$A = $A1722 - 1,$B:$B = 12),0)"),"")</f>
        <v/>
      </c>
      <c r="AD1722" s="32">
        <f t="shared" si="23"/>
        <v>33458.91993</v>
      </c>
      <c r="AE1722" s="32">
        <f t="shared" si="2"/>
        <v>33458.91993</v>
      </c>
      <c r="AF1722" s="32"/>
    </row>
    <row r="1723">
      <c r="A1723" s="86">
        <v>2020.0</v>
      </c>
      <c r="B1723" s="87">
        <v>3.0</v>
      </c>
      <c r="C1723" s="88" t="s">
        <v>30</v>
      </c>
      <c r="D1723" s="104">
        <v>0.0</v>
      </c>
      <c r="E1723" s="104">
        <v>0.0</v>
      </c>
      <c r="F1723" s="104">
        <v>0.0</v>
      </c>
      <c r="G1723" s="104">
        <v>-20.14</v>
      </c>
      <c r="H1723" s="104">
        <v>113.14</v>
      </c>
      <c r="I1723" s="104">
        <v>896.83</v>
      </c>
      <c r="J1723" s="104">
        <v>-3530.09</v>
      </c>
      <c r="K1723" s="32"/>
      <c r="L1723" s="32"/>
      <c r="M1723" s="32"/>
      <c r="N1723" s="32"/>
      <c r="O1723" s="106">
        <v>15464.75</v>
      </c>
      <c r="P1723" s="91">
        <f>IFERROR(__xludf.DUMMYFUNCTION("IFERROR(sum(FILTER($D:$N,$C:$C = $C1723,$A:$A &lt; $A1723,$B:$B = 12)),0) + sum($D1723:$N1723)"),15463.119999999986)</f>
        <v>15463.12</v>
      </c>
      <c r="Q1723" s="92">
        <f t="shared" si="1"/>
        <v>1.63</v>
      </c>
      <c r="R1723" s="91">
        <f t="array" ref="R1723">IFERROR(INDEX('Fund YTD Target Values'!$1:$1000, MATCH($C1723,'Fund YTD Target Values'!$A:$A,0), MATCH($A1723,'Fund YTD Target Values'!$1:$1,0)),0)</f>
        <v>19273.16693</v>
      </c>
      <c r="S1723" s="91">
        <f>IFERROR(__xludf.DUMMYFUNCTION("IFERROR(sum(FILTER('Fund Investment Data'!$V:$V, 'Fund Investment Data'!$C:$C = $C1723, 'Fund Investment Data'!$A:$A &lt; $A1723)),0) + IFERROR(sum(FILTER('Fund Investment Data'!$V:$V, 'Fund Investment Data'!$C:$C = $C1723, 'Fund Investment Data'!$A:$A = $A1"&amp;"723, 'Fund Investment Data'!$B:$B &lt;= $B1723)),0)"),11540.75)</f>
        <v>11540.75</v>
      </c>
      <c r="T1723" s="32"/>
      <c r="U1723" s="32"/>
      <c r="V1723" s="32">
        <f>IFERROR(__xludf.DUMMYFUNCTION("$D1723 - IFERROR(FILTER($D:$D,$C:$C = $C1723, $A:$A = $A1723, $B:$B = $B1723 - 1),0)"),0.0)</f>
        <v>0</v>
      </c>
      <c r="W1723" s="93">
        <f>IFERROR(__xludf.DUMMYFUNCTION("$E1723 - IFERROR(FILTER($E:$E,$C:$C = $C1723, $A:$A = $A1723, $B:$B = $B1723 - 1),0)"),0.0)</f>
        <v>0</v>
      </c>
      <c r="X1723" s="91">
        <f>IFERROR(__xludf.DUMMYFUNCTION("iFERROR((FILTER('Fund Investment Data'!$Z:$Z, 'Fund Investment Data'!$C:$C = $C1723, 'Fund Investment Data'!$A:$A = $A1723 - 1, 'Fund Investment Data'!$B:$B = 12) + FILTER('Fund Investment Data'!$AB:$AB, 'Fund Investment Data'!$C:$C = $C1723, 'Fund Invest"&amp;"ment Data'!$A:$A = $A1723 - 1, 'Fund Investment Data'!$B:$B = 12)) * (1 + AVERAGE(FILTER('Inflation Data'!$C:$C,'Inflation Data'!$A:$A = ($A1723 - 2)))) * Parameters!$A$4,0)"),568.7991394561834)</f>
        <v>568.7991395</v>
      </c>
      <c r="Y1723" s="91">
        <f>IFERROR(__xludf.DUMMYFUNCTION("IFERROR((IFERROR(FILTER('Fund Investment Data'!$P:$P,'Fund Investment Data'!$C:$C = $C1723,'Fund Investment Data'!$A:$A = ($A1723 - 2), 'Fund Investment Data'!$B:$B = 12),0) - SUM(FILTER('Fund Investment Data'!$V:$V, 'Fund Investment Data'!$C:$C = $C1723,"&amp;" 'Fund Investment Data'!$A:$A = ($A1723 - 2), 'Fund Investment Data'!$B:$B &gt; 3)))  * Parameters!$B$4 * (1 - Parameters!$A$4),0)"),216.52757999999983)</f>
        <v>216.52758</v>
      </c>
      <c r="Z1723" s="91">
        <f t="shared" si="24"/>
        <v>785.3267195</v>
      </c>
      <c r="AA1723" s="91">
        <f>IFERROR(__xludf.DUMMYFUNCTION("((IFERROR((SUM(FILTER('Fund Investment Data'!$V:$V, 'Fund Investment Data'!$C:$C = $C1723, 'Fund Investment Data'!$A:$A = $A1723 - 1, 'Fund Investment Data'!$B:$B &gt;= 4, 'Fund Investment Data'!$B:$B &lt;= ($B1723 + 5))) / 12) * ($B1723 - 3) * Parameters!$B$4,"&amp;" 0) + IF($B1723 &gt;= 9, IFERROR(SUM(FILTER('Fund Investment Data'!$V:$V, 'Fund Investment Data'!$C:$C = $C1723, 'Fund Investment Data'!$A:$A = $A1723, 'Fund Investment Data'!$B:$B &lt;= 3)) * Parameters!$B$4, 0),0)))"),0.0)</f>
        <v>0</v>
      </c>
      <c r="AB1723" s="32">
        <f>IFERROR(__xludf.DUMMYFUNCTION("IFERROR(((IFERROR(SUM(FILTER('Fund Investment Data'!$V:$V, 'Fund Investment Data'!$C:$C = $C1723, 'Fund Investment Data'!$A:$A = $A1723 - 2, 'Fund Investment Data'!$B:$B &gt;= 4)) * Parameters!$B$4,0) + IFERROR(SUM(FILTER('Fund Investment Data'!$V:$V, 'Fund "&amp;"Investment Data'!$C:$C = $C1723, 'Fund Investment Data'!$A:$A = $A1723 - 1, 'Fund Investment Data'!$B:$B &lt;= 3)) * Parameters!$B$4,0))),0)"),0.0)</f>
        <v>0</v>
      </c>
      <c r="AC1723" s="32" t="str">
        <f>IFERROR(__xludf.DUMMYFUNCTION("IFERROR(FILTER($AF:$AF,$C:$C = $C1723,$A:$A = $A1723 - 1,$B:$B = 12),0)"),"")</f>
        <v/>
      </c>
      <c r="AD1723" s="32">
        <f t="shared" si="23"/>
        <v>785.3267195</v>
      </c>
      <c r="AE1723" s="32">
        <f t="shared" si="2"/>
        <v>785.3267195</v>
      </c>
      <c r="AF1723" s="32"/>
    </row>
    <row r="1724">
      <c r="A1724" s="86">
        <v>2020.0</v>
      </c>
      <c r="B1724" s="87">
        <v>3.0</v>
      </c>
      <c r="C1724" s="88" t="s">
        <v>47</v>
      </c>
      <c r="D1724" s="104">
        <v>0.0</v>
      </c>
      <c r="E1724" s="104">
        <v>0.0</v>
      </c>
      <c r="F1724" s="104">
        <v>0.0</v>
      </c>
      <c r="G1724" s="104">
        <v>-1668.77</v>
      </c>
      <c r="H1724" s="104">
        <v>9381.14</v>
      </c>
      <c r="I1724" s="104">
        <v>74356.4</v>
      </c>
      <c r="J1724" s="104">
        <v>-292680.63</v>
      </c>
      <c r="K1724" s="32"/>
      <c r="L1724" s="32"/>
      <c r="M1724" s="32"/>
      <c r="N1724" s="32"/>
      <c r="O1724" s="106">
        <v>1282188.01</v>
      </c>
      <c r="P1724" s="91">
        <f>IFERROR(__xludf.DUMMYFUNCTION("IFERROR(sum(FILTER($D:$N,$C:$C = $C1724,$A:$A &lt; $A1724,$B:$B = 12)),0) + sum($D1724:$N1724)"),1282187.6599999995)</f>
        <v>1282187.66</v>
      </c>
      <c r="Q1724" s="92">
        <f t="shared" si="1"/>
        <v>0.3500000006</v>
      </c>
      <c r="R1724" s="91">
        <f t="array" ref="R1724">IFERROR(INDEX('Fund YTD Target Values'!$1:$1000, MATCH($C1724,'Fund YTD Target Values'!$A:$A,0), MATCH($A1724,'Fund YTD Target Values'!$1:$1,0)),0)</f>
        <v>2083999.77</v>
      </c>
      <c r="S1724" s="91">
        <f>IFERROR(__xludf.DUMMYFUNCTION("IFERROR(sum(FILTER('Fund Investment Data'!$V:$V, 'Fund Investment Data'!$C:$C = $C1724, 'Fund Investment Data'!$A:$A &lt; $A1724)),0) + IFERROR(sum(FILTER('Fund Investment Data'!$V:$V, 'Fund Investment Data'!$C:$C = $C1724, 'Fund Investment Data'!$A:$A = $A1"&amp;"724, 'Fund Investment Data'!$B:$B &lt;= $B1724)),0)"),1456367.46)</f>
        <v>1456367.46</v>
      </c>
      <c r="T1724" s="32"/>
      <c r="U1724" s="32"/>
      <c r="V1724" s="32">
        <f>IFERROR(__xludf.DUMMYFUNCTION("$D1724 - IFERROR(FILTER($D:$D,$C:$C = $C1724, $A:$A = $A1724, $B:$B = $B1724 - 1),0)"),0.0)</f>
        <v>0</v>
      </c>
      <c r="W1724" s="93">
        <f>IFERROR(__xludf.DUMMYFUNCTION("$E1724 - IFERROR(FILTER($E:$E,$C:$C = $C1724, $A:$A = $A1724, $B:$B = $B1724 - 1),0)"),0.0)</f>
        <v>0</v>
      </c>
      <c r="X1724" s="91">
        <f>IFERROR(__xludf.DUMMYFUNCTION("iFERROR((FILTER('Fund Investment Data'!$Z:$Z, 'Fund Investment Data'!$C:$C = $C1724, 'Fund Investment Data'!$A:$A = $A1724 - 1, 'Fund Investment Data'!$B:$B = 12) + FILTER('Fund Investment Data'!$AB:$AB, 'Fund Investment Data'!$C:$C = $C1724, 'Fund Invest"&amp;"ment Data'!$A:$A = $A1724 - 1, 'Fund Investment Data'!$B:$B = 12)) * (1 + AVERAGE(FILTER('Inflation Data'!$C:$C,'Inflation Data'!$A:$A = ($A1724 - 2)))) * Parameters!$A$4,0)"),49588.29599165883)</f>
        <v>49588.29599</v>
      </c>
      <c r="Y1724" s="91">
        <f>IFERROR(__xludf.DUMMYFUNCTION("IFERROR((IFERROR(FILTER('Fund Investment Data'!$P:$P,'Fund Investment Data'!$C:$C = $C1724,'Fund Investment Data'!$A:$A = ($A1724 - 2), 'Fund Investment Data'!$B:$B = 12),0) - SUM(FILTER('Fund Investment Data'!$V:$V, 'Fund Investment Data'!$C:$C = $C1724,"&amp;" 'Fund Investment Data'!$A:$A = ($A1724 - 2), 'Fund Investment Data'!$B:$B &gt; 3)))  * Parameters!$B$4 * (1 - Parameters!$A$4),0)"),17972.522459999996)</f>
        <v>17972.52246</v>
      </c>
      <c r="Z1724" s="91">
        <f t="shared" si="24"/>
        <v>67560.81845</v>
      </c>
      <c r="AA1724" s="91">
        <f>IFERROR(__xludf.DUMMYFUNCTION("((IFERROR((SUM(FILTER('Fund Investment Data'!$V:$V, 'Fund Investment Data'!$C:$C = $C1724, 'Fund Investment Data'!$A:$A = $A1724 - 1, 'Fund Investment Data'!$B:$B &gt;= 4, 'Fund Investment Data'!$B:$B &lt;= ($B1724 + 5))) / 12) * ($B1724 - 3) * Parameters!$B$4,"&amp;" 0) + IF($B1724 &gt;= 9, IFERROR(SUM(FILTER('Fund Investment Data'!$V:$V, 'Fund Investment Data'!$C:$C = $C1724, 'Fund Investment Data'!$A:$A = $A1724, 'Fund Investment Data'!$B:$B &lt;= 3)) * Parameters!$B$4, 0),0)))"),0.0)</f>
        <v>0</v>
      </c>
      <c r="AB1724" s="32">
        <f>IFERROR(__xludf.DUMMYFUNCTION("IFERROR(((IFERROR(SUM(FILTER('Fund Investment Data'!$V:$V, 'Fund Investment Data'!$C:$C = $C1724, 'Fund Investment Data'!$A:$A = $A1724 - 2, 'Fund Investment Data'!$B:$B &gt;= 4)) * Parameters!$B$4,0) + IFERROR(SUM(FILTER('Fund Investment Data'!$V:$V, 'Fund "&amp;"Investment Data'!$C:$C = $C1724, 'Fund Investment Data'!$A:$A = $A1724 - 1, 'Fund Investment Data'!$B:$B &lt;= 3)) * Parameters!$B$4,0))),0)"),0.0)</f>
        <v>0</v>
      </c>
      <c r="AC1724" s="32" t="str">
        <f>IFERROR(__xludf.DUMMYFUNCTION("IFERROR(FILTER($AF:$AF,$C:$C = $C1724,$A:$A = $A1724 - 1,$B:$B = 12),0)"),"")</f>
        <v/>
      </c>
      <c r="AD1724" s="32">
        <f t="shared" si="23"/>
        <v>67560.81845</v>
      </c>
      <c r="AE1724" s="32">
        <f t="shared" si="2"/>
        <v>67560.81845</v>
      </c>
      <c r="AF1724" s="32"/>
    </row>
    <row r="1725">
      <c r="A1725" s="86">
        <v>2020.0</v>
      </c>
      <c r="B1725" s="87">
        <v>3.0</v>
      </c>
      <c r="C1725" s="88" t="s">
        <v>31</v>
      </c>
      <c r="D1725" s="104">
        <v>0.0</v>
      </c>
      <c r="E1725" s="104">
        <v>0.0</v>
      </c>
      <c r="F1725" s="104">
        <v>0.0</v>
      </c>
      <c r="G1725" s="104">
        <v>-207.48</v>
      </c>
      <c r="H1725" s="104">
        <v>1166.31</v>
      </c>
      <c r="I1725" s="104">
        <v>9244.42</v>
      </c>
      <c r="J1725" s="104">
        <v>-36387.76</v>
      </c>
      <c r="K1725" s="32"/>
      <c r="L1725" s="32"/>
      <c r="M1725" s="32"/>
      <c r="N1725" s="32"/>
      <c r="O1725" s="106">
        <v>159409.07</v>
      </c>
      <c r="P1725" s="91">
        <f>IFERROR(__xludf.DUMMYFUNCTION("IFERROR(sum(FILTER($D:$N,$C:$C = $C1725,$A:$A &lt; $A1725,$B:$B = 12)),0) + sum($D1725:$N1725)"),159409.07999999996)</f>
        <v>159409.08</v>
      </c>
      <c r="Q1725" s="92">
        <f t="shared" si="1"/>
        <v>-0.009999999951</v>
      </c>
      <c r="R1725" s="91">
        <f t="array" ref="R1725">IFERROR(INDEX('Fund YTD Target Values'!$1:$1000, MATCH($C1725,'Fund YTD Target Values'!$A:$A,0), MATCH($A1725,'Fund YTD Target Values'!$1:$1,0)),0)</f>
        <v>219640.3616</v>
      </c>
      <c r="S1725" s="91">
        <f>IFERROR(__xludf.DUMMYFUNCTION("IFERROR(sum(FILTER('Fund Investment Data'!$V:$V, 'Fund Investment Data'!$C:$C = $C1725, 'Fund Investment Data'!$A:$A &lt; $A1725)),0) + IFERROR(sum(FILTER('Fund Investment Data'!$V:$V, 'Fund Investment Data'!$C:$C = $C1725, 'Fund Investment Data'!$A:$A = $A1"&amp;"725, 'Fund Investment Data'!$B:$B &lt;= $B1725)),0)"),158200.0)</f>
        <v>158200</v>
      </c>
      <c r="T1725" s="32"/>
      <c r="U1725" s="32"/>
      <c r="V1725" s="32">
        <f>IFERROR(__xludf.DUMMYFUNCTION("$D1725 - IFERROR(FILTER($D:$D,$C:$C = $C1725, $A:$A = $A1725, $B:$B = $B1725 - 1),0)"),0.0)</f>
        <v>0</v>
      </c>
      <c r="W1725" s="93">
        <f>IFERROR(__xludf.DUMMYFUNCTION("$E1725 - IFERROR(FILTER($E:$E,$C:$C = $C1725, $A:$A = $A1725, $B:$B = $B1725 - 1),0)"),0.0)</f>
        <v>0</v>
      </c>
      <c r="X1725" s="91">
        <f>IFERROR(__xludf.DUMMYFUNCTION("iFERROR((FILTER('Fund Investment Data'!$Z:$Z, 'Fund Investment Data'!$C:$C = $C1725, 'Fund Investment Data'!$A:$A = $A1725 - 1, 'Fund Investment Data'!$B:$B = 12) + FILTER('Fund Investment Data'!$AB:$AB, 'Fund Investment Data'!$C:$C = $C1725, 'Fund Invest"&amp;"ment Data'!$A:$A = $A1725 - 1, 'Fund Investment Data'!$B:$B = 12)) * (1 + AVERAGE(FILTER('Inflation Data'!$C:$C,'Inflation Data'!$A:$A = ($A1725 - 2)))) * Parameters!$A$4,0)"),6267.63344728865)</f>
        <v>6267.633447</v>
      </c>
      <c r="Y1725" s="91">
        <f>IFERROR(__xludf.DUMMYFUNCTION("IFERROR((IFERROR(FILTER('Fund Investment Data'!$P:$P,'Fund Investment Data'!$C:$C = $C1725,'Fund Investment Data'!$A:$A = ($A1725 - 2), 'Fund Investment Data'!$B:$B = 12),0) - SUM(FILTER('Fund Investment Data'!$V:$V, 'Fund Investment Data'!$C:$C = $C1725,"&amp;" 'Fund Investment Data'!$A:$A = ($A1725 - 2), 'Fund Investment Data'!$B:$B &gt; 3)))  * Parameters!$B$4 * (1 - Parameters!$A$4),0)"),2235.5692200000008)</f>
        <v>2235.56922</v>
      </c>
      <c r="Z1725" s="91">
        <f t="shared" si="24"/>
        <v>8503.202667</v>
      </c>
      <c r="AA1725" s="91">
        <f>IFERROR(__xludf.DUMMYFUNCTION("((IFERROR((SUM(FILTER('Fund Investment Data'!$V:$V, 'Fund Investment Data'!$C:$C = $C1725, 'Fund Investment Data'!$A:$A = $A1725 - 1, 'Fund Investment Data'!$B:$B &gt;= 4, 'Fund Investment Data'!$B:$B &lt;= ($B1725 + 5))) / 12) * ($B1725 - 3) * Parameters!$B$4,"&amp;" 0) + IF($B1725 &gt;= 9, IFERROR(SUM(FILTER('Fund Investment Data'!$V:$V, 'Fund Investment Data'!$C:$C = $C1725, 'Fund Investment Data'!$A:$A = $A1725, 'Fund Investment Data'!$B:$B &lt;= 3)) * Parameters!$B$4, 0),0)))"),0.0)</f>
        <v>0</v>
      </c>
      <c r="AB1725" s="32">
        <f>IFERROR(__xludf.DUMMYFUNCTION("IFERROR(((IFERROR(SUM(FILTER('Fund Investment Data'!$V:$V, 'Fund Investment Data'!$C:$C = $C1725, 'Fund Investment Data'!$A:$A = $A1725 - 2, 'Fund Investment Data'!$B:$B &gt;= 4)) * Parameters!$B$4,0) + IFERROR(SUM(FILTER('Fund Investment Data'!$V:$V, 'Fund "&amp;"Investment Data'!$C:$C = $C1725, 'Fund Investment Data'!$A:$A = $A1725 - 1, 'Fund Investment Data'!$B:$B &lt;= 3)) * Parameters!$B$4,0))),0)"),0.0)</f>
        <v>0</v>
      </c>
      <c r="AC1725" s="32" t="str">
        <f>IFERROR(__xludf.DUMMYFUNCTION("IFERROR(FILTER($AF:$AF,$C:$C = $C1725,$A:$A = $A1725 - 1,$B:$B = 12),0)"),"")</f>
        <v/>
      </c>
      <c r="AD1725" s="32">
        <f t="shared" si="23"/>
        <v>8503.202667</v>
      </c>
      <c r="AE1725" s="32">
        <f t="shared" si="2"/>
        <v>8503.202667</v>
      </c>
      <c r="AF1725" s="32"/>
    </row>
    <row r="1726">
      <c r="A1726" s="86">
        <v>2020.0</v>
      </c>
      <c r="B1726" s="87">
        <v>3.0</v>
      </c>
      <c r="C1726" s="88" t="s">
        <v>39</v>
      </c>
      <c r="D1726" s="104">
        <v>0.0</v>
      </c>
      <c r="E1726" s="104">
        <v>0.0</v>
      </c>
      <c r="F1726" s="104">
        <v>0.0</v>
      </c>
      <c r="G1726" s="104">
        <v>-232.0</v>
      </c>
      <c r="H1726" s="104">
        <v>1304.22</v>
      </c>
      <c r="I1726" s="104">
        <v>10337.39</v>
      </c>
      <c r="J1726" s="104">
        <v>-40689.92</v>
      </c>
      <c r="K1726" s="32"/>
      <c r="L1726" s="32"/>
      <c r="M1726" s="32"/>
      <c r="N1726" s="32"/>
      <c r="O1726" s="106">
        <v>178256.15</v>
      </c>
      <c r="P1726" s="91">
        <f>IFERROR(__xludf.DUMMYFUNCTION("IFERROR(sum(FILTER($D:$N,$C:$C = $C1726,$A:$A &lt; $A1726,$B:$B = 12)),0) + sum($D1726:$N1726)"),178256.15000000005)</f>
        <v>178256.15</v>
      </c>
      <c r="Q1726" s="92">
        <f t="shared" si="1"/>
        <v>0</v>
      </c>
      <c r="R1726" s="91">
        <f t="array" ref="R1726">IFERROR(INDEX('Fund YTD Target Values'!$1:$1000, MATCH($C1726,'Fund YTD Target Values'!$A:$A,0), MATCH($A1726,'Fund YTD Target Values'!$1:$1,0)),0)</f>
        <v>208132.6987</v>
      </c>
      <c r="S1726" s="91">
        <f>IFERROR(__xludf.DUMMYFUNCTION("IFERROR(sum(FILTER('Fund Investment Data'!$V:$V, 'Fund Investment Data'!$C:$C = $C1726, 'Fund Investment Data'!$A:$A &lt; $A1726)),0) + IFERROR(sum(FILTER('Fund Investment Data'!$V:$V, 'Fund Investment Data'!$C:$C = $C1726, 'Fund Investment Data'!$A:$A = $A1"&amp;"726, 'Fund Investment Data'!$B:$B &lt;= $B1726)),0)"),185000.0)</f>
        <v>185000</v>
      </c>
      <c r="T1726" s="32"/>
      <c r="U1726" s="32"/>
      <c r="V1726" s="32">
        <f>IFERROR(__xludf.DUMMYFUNCTION("$D1726 - IFERROR(FILTER($D:$D,$C:$C = $C1726, $A:$A = $A1726, $B:$B = $B1726 - 1),0)"),0.0)</f>
        <v>0</v>
      </c>
      <c r="W1726" s="93">
        <f>IFERROR(__xludf.DUMMYFUNCTION("$E1726 - IFERROR(FILTER($E:$E,$C:$C = $C1726, $A:$A = $A1726, $B:$B = $B1726 - 1),0)"),0.0)</f>
        <v>0</v>
      </c>
      <c r="X1726" s="91">
        <f>IFERROR(__xludf.DUMMYFUNCTION("iFERROR((FILTER('Fund Investment Data'!$Z:$Z, 'Fund Investment Data'!$C:$C = $C1726, 'Fund Investment Data'!$A:$A = $A1726 - 1, 'Fund Investment Data'!$B:$B = 12) + FILTER('Fund Investment Data'!$AB:$AB, 'Fund Investment Data'!$C:$C = $C1726, 'Fund Invest"&amp;"ment Data'!$A:$A = $A1726 - 1, 'Fund Investment Data'!$B:$B = 12)) * (1 + AVERAGE(FILTER('Inflation Data'!$C:$C,'Inflation Data'!$A:$A = ($A1726 - 2)))) * Parameters!$A$4,0)"),5904.480581542223)</f>
        <v>5904.480582</v>
      </c>
      <c r="Y1726" s="91">
        <f>IFERROR(__xludf.DUMMYFUNCTION("IFERROR((IFERROR(FILTER('Fund Investment Data'!$P:$P,'Fund Investment Data'!$C:$C = $C1726,'Fund Investment Data'!$A:$A = ($A1726 - 2), 'Fund Investment Data'!$B:$B = 12),0) - SUM(FILTER('Fund Investment Data'!$V:$V, 'Fund Investment Data'!$C:$C = $C1726,"&amp;" 'Fund Investment Data'!$A:$A = ($A1726 - 2), 'Fund Investment Data'!$B:$B &gt; 3)))  * Parameters!$B$4 * (1 - Parameters!$A$4),0)"),2103.5735100000006)</f>
        <v>2103.57351</v>
      </c>
      <c r="Z1726" s="91">
        <f t="shared" si="24"/>
        <v>8008.054092</v>
      </c>
      <c r="AA1726" s="91">
        <f>IFERROR(__xludf.DUMMYFUNCTION("((IFERROR((SUM(FILTER('Fund Investment Data'!$V:$V, 'Fund Investment Data'!$C:$C = $C1726, 'Fund Investment Data'!$A:$A = $A1726 - 1, 'Fund Investment Data'!$B:$B &gt;= 4, 'Fund Investment Data'!$B:$B &lt;= ($B1726 + 5))) / 12) * ($B1726 - 3) * Parameters!$B$4,"&amp;" 0) + IF($B1726 &gt;= 9, IFERROR(SUM(FILTER('Fund Investment Data'!$V:$V, 'Fund Investment Data'!$C:$C = $C1726, 'Fund Investment Data'!$A:$A = $A1726, 'Fund Investment Data'!$B:$B &lt;= 3)) * Parameters!$B$4, 0),0)))"),0.0)</f>
        <v>0</v>
      </c>
      <c r="AB1726" s="32">
        <f>IFERROR(__xludf.DUMMYFUNCTION("IFERROR(((IFERROR(SUM(FILTER('Fund Investment Data'!$V:$V, 'Fund Investment Data'!$C:$C = $C1726, 'Fund Investment Data'!$A:$A = $A1726 - 2, 'Fund Investment Data'!$B:$B &gt;= 4)) * Parameters!$B$4,0) + IFERROR(SUM(FILTER('Fund Investment Data'!$V:$V, 'Fund "&amp;"Investment Data'!$C:$C = $C1726, 'Fund Investment Data'!$A:$A = $A1726 - 1, 'Fund Investment Data'!$B:$B &lt;= 3)) * Parameters!$B$4,0))),0)"),675.0)</f>
        <v>675</v>
      </c>
      <c r="AC1726" s="32" t="str">
        <f>IFERROR(__xludf.DUMMYFUNCTION("IFERROR(FILTER($AF:$AF,$C:$C = $C1726,$A:$A = $A1726 - 1,$B:$B = 12),0)"),"")</f>
        <v/>
      </c>
      <c r="AD1726" s="32">
        <f t="shared" si="23"/>
        <v>8683.054092</v>
      </c>
      <c r="AE1726" s="32">
        <f t="shared" si="2"/>
        <v>8683.054092</v>
      </c>
      <c r="AF1726" s="32"/>
    </row>
    <row r="1727">
      <c r="A1727" s="86">
        <v>2020.0</v>
      </c>
      <c r="B1727" s="87">
        <v>3.0</v>
      </c>
      <c r="C1727" s="88" t="s">
        <v>50</v>
      </c>
      <c r="D1727" s="104">
        <v>0.0</v>
      </c>
      <c r="E1727" s="104">
        <v>0.0</v>
      </c>
      <c r="F1727" s="104">
        <v>0.0</v>
      </c>
      <c r="G1727" s="104">
        <v>-236.98</v>
      </c>
      <c r="H1727" s="104">
        <v>1332.21</v>
      </c>
      <c r="I1727" s="104">
        <v>10559.32</v>
      </c>
      <c r="J1727" s="104">
        <v>-41563.42</v>
      </c>
      <c r="K1727" s="32"/>
      <c r="L1727" s="32"/>
      <c r="M1727" s="32"/>
      <c r="N1727" s="32"/>
      <c r="O1727" s="106">
        <v>182082.84</v>
      </c>
      <c r="P1727" s="91">
        <f>IFERROR(__xludf.DUMMYFUNCTION("IFERROR(sum(FILTER($D:$N,$C:$C = $C1727,$A:$A &lt; $A1727,$B:$B = 12)),0) + sum($D1727:$N1727)"),182082.31000000006)</f>
        <v>182082.31</v>
      </c>
      <c r="Q1727" s="92">
        <f t="shared" si="1"/>
        <v>0.5299999999</v>
      </c>
      <c r="R1727" s="91">
        <f t="array" ref="R1727">IFERROR(INDEX('Fund YTD Target Values'!$1:$1000, MATCH($C1727,'Fund YTD Target Values'!$A:$A,0), MATCH($A1727,'Fund YTD Target Values'!$1:$1,0)),0)</f>
        <v>226949.7266</v>
      </c>
      <c r="S1727" s="91">
        <f>IFERROR(__xludf.DUMMYFUNCTION("IFERROR(sum(FILTER('Fund Investment Data'!$V:$V, 'Fund Investment Data'!$C:$C = $C1727, 'Fund Investment Data'!$A:$A &lt; $A1727)),0) + IFERROR(sum(FILTER('Fund Investment Data'!$V:$V, 'Fund Investment Data'!$C:$C = $C1727, 'Fund Investment Data'!$A:$A = $A1"&amp;"727, 'Fund Investment Data'!$B:$B &lt;= $B1727)),0)"),185189.56)</f>
        <v>185189.56</v>
      </c>
      <c r="T1727" s="32"/>
      <c r="U1727" s="32"/>
      <c r="V1727" s="32">
        <f>IFERROR(__xludf.DUMMYFUNCTION("$D1727 - IFERROR(FILTER($D:$D,$C:$C = $C1727, $A:$A = $A1727, $B:$B = $B1727 - 1),0)"),0.0)</f>
        <v>0</v>
      </c>
      <c r="W1727" s="93">
        <f>IFERROR(__xludf.DUMMYFUNCTION("$E1727 - IFERROR(FILTER($E:$E,$C:$C = $C1727, $A:$A = $A1727, $B:$B = $B1727 - 1),0)"),0.0)</f>
        <v>0</v>
      </c>
      <c r="X1727" s="91">
        <f>IFERROR(__xludf.DUMMYFUNCTION("iFERROR((FILTER('Fund Investment Data'!$Z:$Z, 'Fund Investment Data'!$C:$C = $C1727, 'Fund Investment Data'!$A:$A = $A1727 - 1, 'Fund Investment Data'!$B:$B = 12) + FILTER('Fund Investment Data'!$AB:$AB, 'Fund Investment Data'!$C:$C = $C1727, 'Fund Invest"&amp;"ment Data'!$A:$A = $A1727 - 1, 'Fund Investment Data'!$B:$B = 12)) * (1 + AVERAGE(FILTER('Inflation Data'!$C:$C,'Inflation Data'!$A:$A = ($A1727 - 2)))) * Parameters!$A$4,0)"),7449.06504745473)</f>
        <v>7449.065047</v>
      </c>
      <c r="Y1727" s="91">
        <f>IFERROR(__xludf.DUMMYFUNCTION("IFERROR((IFERROR(FILTER('Fund Investment Data'!$P:$P,'Fund Investment Data'!$C:$C = $C1727,'Fund Investment Data'!$A:$A = ($A1727 - 2), 'Fund Investment Data'!$B:$B = 12),0) - SUM(FILTER('Fund Investment Data'!$V:$V, 'Fund Investment Data'!$C:$C = $C1727,"&amp;" 'Fund Investment Data'!$A:$A = ($A1727 - 2), 'Fund Investment Data'!$B:$B &gt; 3)))  * Parameters!$B$4 * (1 - Parameters!$A$4),0)"),2558.976705)</f>
        <v>2558.976705</v>
      </c>
      <c r="Z1727" s="91">
        <f t="shared" si="24"/>
        <v>10008.04175</v>
      </c>
      <c r="AA1727" s="91">
        <f>IFERROR(__xludf.DUMMYFUNCTION("((IFERROR((SUM(FILTER('Fund Investment Data'!$V:$V, 'Fund Investment Data'!$C:$C = $C1727, 'Fund Investment Data'!$A:$A = $A1727 - 1, 'Fund Investment Data'!$B:$B &gt;= 4, 'Fund Investment Data'!$B:$B &lt;= ($B1727 + 5))) / 12) * ($B1727 - 3) * Parameters!$B$4,"&amp;" 0) + IF($B1727 &gt;= 9, IFERROR(SUM(FILTER('Fund Investment Data'!$V:$V, 'Fund Investment Data'!$C:$C = $C1727, 'Fund Investment Data'!$A:$A = $A1727, 'Fund Investment Data'!$B:$B &lt;= 3)) * Parameters!$B$4, 0),0)))"),0.0)</f>
        <v>0</v>
      </c>
      <c r="AB1727" s="32">
        <f>IFERROR(__xludf.DUMMYFUNCTION("IFERROR(((IFERROR(SUM(FILTER('Fund Investment Data'!$V:$V, 'Fund Investment Data'!$C:$C = $C1727, 'Fund Investment Data'!$A:$A = $A1727 - 2, 'Fund Investment Data'!$B:$B &gt;= 4)) * Parameters!$B$4,0) + IFERROR(SUM(FILTER('Fund Investment Data'!$V:$V, 'Fund "&amp;"Investment Data'!$C:$C = $C1727, 'Fund Investment Data'!$A:$A = $A1727 - 1, 'Fund Investment Data'!$B:$B &lt;= 3)) * Parameters!$B$4,0))),0)"),0.0)</f>
        <v>0</v>
      </c>
      <c r="AC1727" s="32" t="str">
        <f>IFERROR(__xludf.DUMMYFUNCTION("IFERROR(FILTER($AF:$AF,$C:$C = $C1727,$A:$A = $A1727 - 1,$B:$B = 12),0)"),"")</f>
        <v/>
      </c>
      <c r="AD1727" s="32">
        <f t="shared" si="23"/>
        <v>10008.04175</v>
      </c>
      <c r="AE1727" s="32">
        <f t="shared" si="2"/>
        <v>10008.04175</v>
      </c>
      <c r="AF1727" s="32"/>
    </row>
    <row r="1728">
      <c r="A1728" s="86">
        <v>2020.0</v>
      </c>
      <c r="B1728" s="87">
        <v>3.0</v>
      </c>
      <c r="C1728" s="88" t="s">
        <v>32</v>
      </c>
      <c r="D1728" s="104">
        <v>0.0</v>
      </c>
      <c r="E1728" s="104">
        <v>0.0</v>
      </c>
      <c r="F1728" s="104">
        <v>0.0</v>
      </c>
      <c r="G1728" s="104">
        <v>-59.53</v>
      </c>
      <c r="H1728" s="104">
        <v>334.66</v>
      </c>
      <c r="I1728" s="104">
        <v>2652.56</v>
      </c>
      <c r="J1728" s="104">
        <v>-10441.0</v>
      </c>
      <c r="K1728" s="32"/>
      <c r="L1728" s="32"/>
      <c r="M1728" s="32"/>
      <c r="N1728" s="32"/>
      <c r="O1728" s="106">
        <v>45740.39</v>
      </c>
      <c r="P1728" s="91">
        <f>IFERROR(__xludf.DUMMYFUNCTION("IFERROR(sum(FILTER($D:$N,$C:$C = $C1728,$A:$A &lt; $A1728,$B:$B = 12)),0) + sum($D1728:$N1728)"),45739.99000000003)</f>
        <v>45739.99</v>
      </c>
      <c r="Q1728" s="92">
        <f t="shared" si="1"/>
        <v>0.4</v>
      </c>
      <c r="R1728" s="91">
        <f t="array" ref="R1728">IFERROR(INDEX('Fund YTD Target Values'!$1:$1000, MATCH($C1728,'Fund YTD Target Values'!$A:$A,0), MATCH($A1728,'Fund YTD Target Values'!$1:$1,0)),0)</f>
        <v>82557.08463</v>
      </c>
      <c r="S1728" s="91">
        <f>IFERROR(__xludf.DUMMYFUNCTION("IFERROR(sum(FILTER('Fund Investment Data'!$V:$V, 'Fund Investment Data'!$C:$C = $C1728, 'Fund Investment Data'!$A:$A &lt; $A1728)),0) + IFERROR(sum(FILTER('Fund Investment Data'!$V:$V, 'Fund Investment Data'!$C:$C = $C1728, 'Fund Investment Data'!$A:$A = $A1"&amp;"728, 'Fund Investment Data'!$B:$B &lt;= $B1728)),0)"),49449.04)</f>
        <v>49449.04</v>
      </c>
      <c r="T1728" s="32"/>
      <c r="U1728" s="32"/>
      <c r="V1728" s="32">
        <f>IFERROR(__xludf.DUMMYFUNCTION("$D1728 - IFERROR(FILTER($D:$D,$C:$C = $C1728, $A:$A = $A1728, $B:$B = $B1728 - 1),0)"),0.0)</f>
        <v>0</v>
      </c>
      <c r="W1728" s="93">
        <f>IFERROR(__xludf.DUMMYFUNCTION("$E1728 - IFERROR(FILTER($E:$E,$C:$C = $C1728, $A:$A = $A1728, $B:$B = $B1728 - 1),0)"),0.0)</f>
        <v>0</v>
      </c>
      <c r="X1728" s="91">
        <f>IFERROR(__xludf.DUMMYFUNCTION("iFERROR((FILTER('Fund Investment Data'!$Z:$Z, 'Fund Investment Data'!$C:$C = $C1728, 'Fund Investment Data'!$A:$A = $A1728 - 1, 'Fund Investment Data'!$B:$B = 12) + FILTER('Fund Investment Data'!$AB:$AB, 'Fund Investment Data'!$C:$C = $C1728, 'Fund Invest"&amp;"ment Data'!$A:$A = $A1728 - 1, 'Fund Investment Data'!$B:$B = 12)) * (1 + AVERAGE(FILTER('Inflation Data'!$C:$C,'Inflation Data'!$A:$A = ($A1728 - 2)))) * Parameters!$A$4,0)"),1749.9100001922152)</f>
        <v>1749.91</v>
      </c>
      <c r="Y1728" s="91">
        <f>IFERROR(__xludf.DUMMYFUNCTION("IFERROR((IFERROR(FILTER('Fund Investment Data'!$P:$P,'Fund Investment Data'!$C:$C = $C1728,'Fund Investment Data'!$A:$A = ($A1728 - 2), 'Fund Investment Data'!$B:$B = 12),0) - SUM(FILTER('Fund Investment Data'!$V:$V, 'Fund Investment Data'!$C:$C = $C1728,"&amp;" 'Fund Investment Data'!$A:$A = ($A1728 - 2), 'Fund Investment Data'!$B:$B &gt; 3)))  * Parameters!$B$4 * (1 - Parameters!$A$4),0)"),640.5770250000005)</f>
        <v>640.577025</v>
      </c>
      <c r="Z1728" s="91">
        <f t="shared" si="24"/>
        <v>2390.487025</v>
      </c>
      <c r="AA1728" s="91">
        <f>IFERROR(__xludf.DUMMYFUNCTION("((IFERROR((SUM(FILTER('Fund Investment Data'!$V:$V, 'Fund Investment Data'!$C:$C = $C1728, 'Fund Investment Data'!$A:$A = $A1728 - 1, 'Fund Investment Data'!$B:$B &gt;= 4, 'Fund Investment Data'!$B:$B &lt;= ($B1728 + 5))) / 12) * ($B1728 - 3) * Parameters!$B$4,"&amp;" 0) + IF($B1728 &gt;= 9, IFERROR(SUM(FILTER('Fund Investment Data'!$V:$V, 'Fund Investment Data'!$C:$C = $C1728, 'Fund Investment Data'!$A:$A = $A1728, 'Fund Investment Data'!$B:$B &lt;= 3)) * Parameters!$B$4, 0),0)))"),0.0)</f>
        <v>0</v>
      </c>
      <c r="AB1728" s="32">
        <f>IFERROR(__xludf.DUMMYFUNCTION("IFERROR(((IFERROR(SUM(FILTER('Fund Investment Data'!$V:$V, 'Fund Investment Data'!$C:$C = $C1728, 'Fund Investment Data'!$A:$A = $A1728 - 2, 'Fund Investment Data'!$B:$B &gt;= 4)) * Parameters!$B$4,0) + IFERROR(SUM(FILTER('Fund Investment Data'!$V:$V, 'Fund "&amp;"Investment Data'!$C:$C = $C1728, 'Fund Investment Data'!$A:$A = $A1728 - 1, 'Fund Investment Data'!$B:$B &lt;= 3)) * Parameters!$B$4,0))),0)"),0.0)</f>
        <v>0</v>
      </c>
      <c r="AC1728" s="32" t="str">
        <f>IFERROR(__xludf.DUMMYFUNCTION("IFERROR(FILTER($AF:$AF,$C:$C = $C1728,$A:$A = $A1728 - 1,$B:$B = 12),0)"),"")</f>
        <v/>
      </c>
      <c r="AD1728" s="32">
        <f t="shared" si="23"/>
        <v>2390.487025</v>
      </c>
      <c r="AE1728" s="32">
        <f t="shared" si="2"/>
        <v>2390.487025</v>
      </c>
      <c r="AF1728" s="32"/>
    </row>
    <row r="1729">
      <c r="A1729" s="86">
        <v>2020.0</v>
      </c>
      <c r="B1729" s="87">
        <v>3.0</v>
      </c>
      <c r="C1729" s="88" t="s">
        <v>40</v>
      </c>
      <c r="D1729" s="104">
        <v>0.0</v>
      </c>
      <c r="E1729" s="104">
        <v>0.0</v>
      </c>
      <c r="F1729" s="104">
        <v>0.0</v>
      </c>
      <c r="G1729" s="104">
        <v>-171.08</v>
      </c>
      <c r="H1729" s="104">
        <v>961.78</v>
      </c>
      <c r="I1729" s="104">
        <v>7623.23</v>
      </c>
      <c r="J1729" s="104">
        <v>-30006.48</v>
      </c>
      <c r="K1729" s="32"/>
      <c r="L1729" s="32"/>
      <c r="M1729" s="32"/>
      <c r="N1729" s="32"/>
      <c r="O1729" s="106">
        <v>131453.64</v>
      </c>
      <c r="P1729" s="91">
        <f>IFERROR(__xludf.DUMMYFUNCTION("IFERROR(sum(FILTER($D:$N,$C:$C = $C1729,$A:$A &lt; $A1729,$B:$B = 12)),0) + sum($D1729:$N1729)"),131453.59999999992)</f>
        <v>131453.6</v>
      </c>
      <c r="Q1729" s="92">
        <f t="shared" si="1"/>
        <v>0.0400000001</v>
      </c>
      <c r="R1729" s="91">
        <f t="array" ref="R1729">IFERROR(INDEX('Fund YTD Target Values'!$1:$1000, MATCH($C1729,'Fund YTD Target Values'!$A:$A,0), MATCH($A1729,'Fund YTD Target Values'!$1:$1,0)),0)</f>
        <v>168247.0993</v>
      </c>
      <c r="S1729" s="91">
        <f>IFERROR(__xludf.DUMMYFUNCTION("IFERROR(sum(FILTER('Fund Investment Data'!$V:$V, 'Fund Investment Data'!$C:$C = $C1729, 'Fund Investment Data'!$A:$A &lt; $A1729)),0) + IFERROR(sum(FILTER('Fund Investment Data'!$V:$V, 'Fund Investment Data'!$C:$C = $C1729, 'Fund Investment Data'!$A:$A = $A1"&amp;"729, 'Fund Investment Data'!$B:$B &lt;= $B1729)),0)"),129703.74)</f>
        <v>129703.74</v>
      </c>
      <c r="T1729" s="32"/>
      <c r="U1729" s="32"/>
      <c r="V1729" s="32">
        <f>IFERROR(__xludf.DUMMYFUNCTION("$D1729 - IFERROR(FILTER($D:$D,$C:$C = $C1729, $A:$A = $A1729, $B:$B = $B1729 - 1),0)"),0.0)</f>
        <v>0</v>
      </c>
      <c r="W1729" s="93">
        <f>IFERROR(__xludf.DUMMYFUNCTION("$E1729 - IFERROR(FILTER($E:$E,$C:$C = $C1729, $A:$A = $A1729, $B:$B = $B1729 - 1),0)"),0.0)</f>
        <v>0</v>
      </c>
      <c r="X1729" s="91">
        <f>IFERROR(__xludf.DUMMYFUNCTION("iFERROR((FILTER('Fund Investment Data'!$Z:$Z, 'Fund Investment Data'!$C:$C = $C1729, 'Fund Investment Data'!$A:$A = $A1729 - 1, 'Fund Investment Data'!$B:$B = 12) + FILTER('Fund Investment Data'!$AB:$AB, 'Fund Investment Data'!$C:$C = $C1729, 'Fund Invest"&amp;"ment Data'!$A:$A = $A1729 - 1, 'Fund Investment Data'!$B:$B = 12)) * (1 + AVERAGE(FILTER('Inflation Data'!$C:$C,'Inflation Data'!$A:$A = ($A1729 - 2)))) * Parameters!$A$4,0)"),5070.262994014637)</f>
        <v>5070.262994</v>
      </c>
      <c r="Y1729" s="91">
        <f>IFERROR(__xludf.DUMMYFUNCTION("IFERROR((IFERROR(FILTER('Fund Investment Data'!$P:$P,'Fund Investment Data'!$C:$C = $C1729,'Fund Investment Data'!$A:$A = ($A1729 - 2), 'Fund Investment Data'!$B:$B = 12),0) - SUM(FILTER('Fund Investment Data'!$V:$V, 'Fund Investment Data'!$C:$C = $C1729,"&amp;" 'Fund Investment Data'!$A:$A = ($A1729 - 2), 'Fund Investment Data'!$B:$B &gt; 3)))  * Parameters!$B$4 * (1 - Parameters!$A$4),0)"),1842.0089849999993)</f>
        <v>1842.008985</v>
      </c>
      <c r="Z1729" s="91">
        <f t="shared" si="24"/>
        <v>6912.271979</v>
      </c>
      <c r="AA1729" s="91">
        <f>IFERROR(__xludf.DUMMYFUNCTION("((IFERROR((SUM(FILTER('Fund Investment Data'!$V:$V, 'Fund Investment Data'!$C:$C = $C1729, 'Fund Investment Data'!$A:$A = $A1729 - 1, 'Fund Investment Data'!$B:$B &gt;= 4, 'Fund Investment Data'!$B:$B &lt;= ($B1729 + 5))) / 12) * ($B1729 - 3) * Parameters!$B$4,"&amp;" 0) + IF($B1729 &gt;= 9, IFERROR(SUM(FILTER('Fund Investment Data'!$V:$V, 'Fund Investment Data'!$C:$C = $C1729, 'Fund Investment Data'!$A:$A = $A1729, 'Fund Investment Data'!$B:$B &lt;= 3)) * Parameters!$B$4, 0),0)))"),0.0)</f>
        <v>0</v>
      </c>
      <c r="AB1729" s="32">
        <f>IFERROR(__xludf.DUMMYFUNCTION("IFERROR(((IFERROR(SUM(FILTER('Fund Investment Data'!$V:$V, 'Fund Investment Data'!$C:$C = $C1729, 'Fund Investment Data'!$A:$A = $A1729 - 2, 'Fund Investment Data'!$B:$B &gt;= 4)) * Parameters!$B$4,0) + IFERROR(SUM(FILTER('Fund Investment Data'!$V:$V, 'Fund "&amp;"Investment Data'!$C:$C = $C1729, 'Fund Investment Data'!$A:$A = $A1729 - 1, 'Fund Investment Data'!$B:$B &lt;= 3)) * Parameters!$B$4,0))),0)"),0.0)</f>
        <v>0</v>
      </c>
      <c r="AC1729" s="32" t="str">
        <f>IFERROR(__xludf.DUMMYFUNCTION("IFERROR(FILTER($AF:$AF,$C:$C = $C1729,$A:$A = $A1729 - 1,$B:$B = 12),0)"),"")</f>
        <v/>
      </c>
      <c r="AD1729" s="32">
        <f t="shared" si="23"/>
        <v>6912.271979</v>
      </c>
      <c r="AE1729" s="32">
        <f t="shared" si="2"/>
        <v>6912.271979</v>
      </c>
      <c r="AF1729" s="32"/>
    </row>
    <row r="1730">
      <c r="A1730" s="86">
        <v>2020.0</v>
      </c>
      <c r="B1730" s="87">
        <v>3.0</v>
      </c>
      <c r="C1730" s="88" t="s">
        <v>51</v>
      </c>
      <c r="D1730" s="104">
        <v>5000.0</v>
      </c>
      <c r="E1730" s="104">
        <v>0.0</v>
      </c>
      <c r="F1730" s="104">
        <v>0.0</v>
      </c>
      <c r="G1730" s="104">
        <v>-544.18</v>
      </c>
      <c r="H1730" s="104">
        <v>3062.49</v>
      </c>
      <c r="I1730" s="104">
        <v>24042.81</v>
      </c>
      <c r="J1730" s="104">
        <v>-95443.72</v>
      </c>
      <c r="K1730" s="32"/>
      <c r="L1730" s="32"/>
      <c r="M1730" s="32"/>
      <c r="N1730" s="32"/>
      <c r="O1730" s="106">
        <v>417976.94</v>
      </c>
      <c r="P1730" s="91">
        <f>IFERROR(__xludf.DUMMYFUNCTION("IFERROR(sum(FILTER($D:$N,$C:$C = $C1730,$A:$A &lt; $A1730,$B:$B = 12)),0) + sum($D1730:$N1730)"),417976.9200000001)</f>
        <v>417976.92</v>
      </c>
      <c r="Q1730" s="92">
        <f t="shared" si="1"/>
        <v>0.0199999999</v>
      </c>
      <c r="R1730" s="91">
        <f t="array" ref="R1730">IFERROR(INDEX('Fund YTD Target Values'!$1:$1000, MATCH($C1730,'Fund YTD Target Values'!$A:$A,0), MATCH($A1730,'Fund YTD Target Values'!$1:$1,0)),0)</f>
        <v>471452.8972</v>
      </c>
      <c r="S1730" s="91">
        <f>IFERROR(__xludf.DUMMYFUNCTION("IFERROR(sum(FILTER('Fund Investment Data'!$V:$V, 'Fund Investment Data'!$C:$C = $C1730, 'Fund Investment Data'!$A:$A &lt; $A1730)),0) + IFERROR(sum(FILTER('Fund Investment Data'!$V:$V, 'Fund Investment Data'!$C:$C = $C1730, 'Fund Investment Data'!$A:$A = $A1"&amp;"730, 'Fund Investment Data'!$B:$B &lt;= $B1730)),0)"),425073.55)</f>
        <v>425073.55</v>
      </c>
      <c r="T1730" s="32"/>
      <c r="U1730" s="32"/>
      <c r="V1730" s="32">
        <f>IFERROR(__xludf.DUMMYFUNCTION("$D1730 - IFERROR(FILTER($D:$D,$C:$C = $C1730, $A:$A = $A1730, $B:$B = $B1730 - 1),0)"),0.0)</f>
        <v>0</v>
      </c>
      <c r="W1730" s="93">
        <f>IFERROR(__xludf.DUMMYFUNCTION("$E1730 - IFERROR(FILTER($E:$E,$C:$C = $C1730, $A:$A = $A1730, $B:$B = $B1730 - 1),0)"),0.0)</f>
        <v>0</v>
      </c>
      <c r="X1730" s="91">
        <f>IFERROR(__xludf.DUMMYFUNCTION("iFERROR((FILTER('Fund Investment Data'!$Z:$Z, 'Fund Investment Data'!$C:$C = $C1730, 'Fund Investment Data'!$A:$A = $A1730 - 1, 'Fund Investment Data'!$B:$B = 12) + FILTER('Fund Investment Data'!$AB:$AB, 'Fund Investment Data'!$C:$C = $C1730, 'Fund Invest"&amp;"ment Data'!$A:$A = $A1730 - 1, 'Fund Investment Data'!$B:$B = 12)) * (1 + AVERAGE(FILTER('Inflation Data'!$C:$C,'Inflation Data'!$A:$A = ($A1730 - 2)))) * Parameters!$A$4,0)"),14858.837738325023)</f>
        <v>14858.83774</v>
      </c>
      <c r="Y1730" s="91">
        <f>IFERROR(__xludf.DUMMYFUNCTION("IFERROR((IFERROR(FILTER('Fund Investment Data'!$P:$P,'Fund Investment Data'!$C:$C = $C1730,'Fund Investment Data'!$A:$A = ($A1730 - 2), 'Fund Investment Data'!$B:$B = 12),0) - SUM(FILTER('Fund Investment Data'!$V:$V, 'Fund Investment Data'!$C:$C = $C1730,"&amp;" 'Fund Investment Data'!$A:$A = ($A1730 - 2), 'Fund Investment Data'!$B:$B &gt; 3)))  * Parameters!$B$4 * (1 - Parameters!$A$4),0)"),5934.330135000001)</f>
        <v>5934.330135</v>
      </c>
      <c r="Z1730" s="91">
        <f t="shared" si="24"/>
        <v>20793.16787</v>
      </c>
      <c r="AA1730" s="91">
        <f>IFERROR(__xludf.DUMMYFUNCTION("((IFERROR((SUM(FILTER('Fund Investment Data'!$V:$V, 'Fund Investment Data'!$C:$C = $C1730, 'Fund Investment Data'!$A:$A = $A1730 - 1, 'Fund Investment Data'!$B:$B &gt;= 4, 'Fund Investment Data'!$B:$B &lt;= ($B1730 + 5))) / 12) * ($B1730 - 3) * Parameters!$B$4,"&amp;" 0) + IF($B1730 &gt;= 9, IFERROR(SUM(FILTER('Fund Investment Data'!$V:$V, 'Fund Investment Data'!$C:$C = $C1730, 'Fund Investment Data'!$A:$A = $A1730, 'Fund Investment Data'!$B:$B &lt;= 3)) * Parameters!$B$4, 0),0)))"),0.0)</f>
        <v>0</v>
      </c>
      <c r="AB1730" s="32">
        <f>IFERROR(__xludf.DUMMYFUNCTION("IFERROR(((IFERROR(SUM(FILTER('Fund Investment Data'!$V:$V, 'Fund Investment Data'!$C:$C = $C1730, 'Fund Investment Data'!$A:$A = $A1730 - 2, 'Fund Investment Data'!$B:$B &gt;= 4)) * Parameters!$B$4,0) + IFERROR(SUM(FILTER('Fund Investment Data'!$V:$V, 'Fund "&amp;"Investment Data'!$C:$C = $C1730, 'Fund Investment Data'!$A:$A = $A1730 - 1, 'Fund Investment Data'!$B:$B &lt;= 3)) * Parameters!$B$4,0))),0)"),114.75)</f>
        <v>114.75</v>
      </c>
      <c r="AC1730" s="32" t="str">
        <f>IFERROR(__xludf.DUMMYFUNCTION("IFERROR(FILTER($AF:$AF,$C:$C = $C1730,$A:$A = $A1730 - 1,$B:$B = 12),0)"),"")</f>
        <v/>
      </c>
      <c r="AD1730" s="32">
        <f t="shared" si="23"/>
        <v>20907.91787</v>
      </c>
      <c r="AE1730" s="32">
        <f t="shared" si="2"/>
        <v>20907.91787</v>
      </c>
      <c r="AF1730" s="32"/>
    </row>
    <row r="1731">
      <c r="A1731" s="86">
        <v>2020.0</v>
      </c>
      <c r="B1731" s="87">
        <v>3.0</v>
      </c>
      <c r="C1731" s="88" t="s">
        <v>48</v>
      </c>
      <c r="D1731" s="104">
        <v>0.0</v>
      </c>
      <c r="E1731" s="104">
        <v>0.0</v>
      </c>
      <c r="F1731" s="104">
        <v>0.0</v>
      </c>
      <c r="G1731" s="104">
        <v>-1370.47</v>
      </c>
      <c r="H1731" s="104">
        <v>7704.18</v>
      </c>
      <c r="I1731" s="104">
        <v>61064.6</v>
      </c>
      <c r="J1731" s="104">
        <v>-240361.62</v>
      </c>
      <c r="K1731" s="32"/>
      <c r="L1731" s="32"/>
      <c r="M1731" s="32"/>
      <c r="N1731" s="32"/>
      <c r="O1731" s="106">
        <v>1052986.59</v>
      </c>
      <c r="P1731" s="91">
        <f>IFERROR(__xludf.DUMMYFUNCTION("IFERROR(sum(FILTER($D:$N,$C:$C = $C1731,$A:$A &lt; $A1731,$B:$B = 12)),0) + sum($D1731:$N1731)"),1052985.2699999998)</f>
        <v>1052985.27</v>
      </c>
      <c r="Q1731" s="92">
        <f t="shared" si="1"/>
        <v>1.32</v>
      </c>
      <c r="R1731" s="91">
        <f t="array" ref="R1731">IFERROR(INDEX('Fund YTD Target Values'!$1:$1000, MATCH($C1731,'Fund YTD Target Values'!$A:$A,0), MATCH($A1731,'Fund YTD Target Values'!$1:$1,0)),0)</f>
        <v>1977173.82</v>
      </c>
      <c r="S1731" s="91">
        <f>IFERROR(__xludf.DUMMYFUNCTION("IFERROR(sum(FILTER('Fund Investment Data'!$V:$V, 'Fund Investment Data'!$C:$C = $C1731, 'Fund Investment Data'!$A:$A &lt; $A1731)),0) + IFERROR(sum(FILTER('Fund Investment Data'!$V:$V, 'Fund Investment Data'!$C:$C = $C1731, 'Fund Investment Data'!$A:$A = $A1"&amp;"731, 'Fund Investment Data'!$B:$B &lt;= $B1731)),0)"),1183929.39)</f>
        <v>1183929.39</v>
      </c>
      <c r="T1731" s="32"/>
      <c r="U1731" s="32"/>
      <c r="V1731" s="32">
        <f>IFERROR(__xludf.DUMMYFUNCTION("$D1731 - IFERROR(FILTER($D:$D,$C:$C = $C1731, $A:$A = $A1731, $B:$B = $B1731 - 1),0)"),0.0)</f>
        <v>0</v>
      </c>
      <c r="W1731" s="93">
        <f>IFERROR(__xludf.DUMMYFUNCTION("$E1731 - IFERROR(FILTER($E:$E,$C:$C = $C1731, $A:$A = $A1731, $B:$B = $B1731 - 1),0)"),0.0)</f>
        <v>0</v>
      </c>
      <c r="X1731" s="91">
        <f>IFERROR(__xludf.DUMMYFUNCTION("iFERROR((FILTER('Fund Investment Data'!$Z:$Z, 'Fund Investment Data'!$C:$C = $C1731, 'Fund Investment Data'!$A:$A = $A1731 - 1, 'Fund Investment Data'!$B:$B = 12) + FILTER('Fund Investment Data'!$AB:$AB, 'Fund Investment Data'!$C:$C = $C1731, 'Fund Invest"&amp;"ment Data'!$A:$A = $A1731 - 1, 'Fund Investment Data'!$B:$B = 12)) * (1 + AVERAGE(FILTER('Inflation Data'!$C:$C,'Inflation Data'!$A:$A = ($A1731 - 2)))) * Parameters!$A$4,0)"),40894.198235956435)</f>
        <v>40894.19824</v>
      </c>
      <c r="Y1731" s="91">
        <f>IFERROR(__xludf.DUMMYFUNCTION("IFERROR((IFERROR(FILTER('Fund Investment Data'!$P:$P,'Fund Investment Data'!$C:$C = $C1731,'Fund Investment Data'!$A:$A = ($A1731 - 2), 'Fund Investment Data'!$B:$B = 12),0) - SUM(FILTER('Fund Investment Data'!$V:$V, 'Fund Investment Data'!$C:$C = $C1731,"&amp;" 'Fund Investment Data'!$A:$A = ($A1731 - 2), 'Fund Investment Data'!$B:$B &gt; 3)))  * Parameters!$B$4 * (1 - Parameters!$A$4),0)"),14758.380764999996)</f>
        <v>14758.38077</v>
      </c>
      <c r="Z1731" s="91">
        <f t="shared" si="24"/>
        <v>55652.579</v>
      </c>
      <c r="AA1731" s="91">
        <f>IFERROR(__xludf.DUMMYFUNCTION("((IFERROR((SUM(FILTER('Fund Investment Data'!$V:$V, 'Fund Investment Data'!$C:$C = $C1731, 'Fund Investment Data'!$A:$A = $A1731 - 1, 'Fund Investment Data'!$B:$B &gt;= 4, 'Fund Investment Data'!$B:$B &lt;= ($B1731 + 5))) / 12) * ($B1731 - 3) * Parameters!$B$4,"&amp;" 0) + IF($B1731 &gt;= 9, IFERROR(SUM(FILTER('Fund Investment Data'!$V:$V, 'Fund Investment Data'!$C:$C = $C1731, 'Fund Investment Data'!$A:$A = $A1731, 'Fund Investment Data'!$B:$B &lt;= 3)) * Parameters!$B$4, 0),0)))"),0.0)</f>
        <v>0</v>
      </c>
      <c r="AB1731" s="32">
        <f>IFERROR(__xludf.DUMMYFUNCTION("IFERROR(((IFERROR(SUM(FILTER('Fund Investment Data'!$V:$V, 'Fund Investment Data'!$C:$C = $C1731, 'Fund Investment Data'!$A:$A = $A1731 - 2, 'Fund Investment Data'!$B:$B &gt;= 4)) * Parameters!$B$4,0) + IFERROR(SUM(FILTER('Fund Investment Data'!$V:$V, 'Fund "&amp;"Investment Data'!$C:$C = $C1731, 'Fund Investment Data'!$A:$A = $A1731 - 1, 'Fund Investment Data'!$B:$B &lt;= 3)) * Parameters!$B$4,0))),0)"),0.0)</f>
        <v>0</v>
      </c>
      <c r="AC1731" s="32" t="str">
        <f>IFERROR(__xludf.DUMMYFUNCTION("IFERROR(FILTER($AF:$AF,$C:$C = $C1731,$A:$A = $A1731 - 1,$B:$B = 12),0)"),"")</f>
        <v/>
      </c>
      <c r="AD1731" s="32">
        <f t="shared" si="23"/>
        <v>55652.579</v>
      </c>
      <c r="AE1731" s="32">
        <f t="shared" si="2"/>
        <v>55652.579</v>
      </c>
      <c r="AF1731" s="32"/>
    </row>
    <row r="1732">
      <c r="A1732" s="86">
        <v>2020.0</v>
      </c>
      <c r="B1732" s="87">
        <v>3.0</v>
      </c>
      <c r="C1732" s="88" t="s">
        <v>49</v>
      </c>
      <c r="D1732" s="104">
        <v>0.0</v>
      </c>
      <c r="E1732" s="104">
        <v>0.0</v>
      </c>
      <c r="F1732" s="104">
        <v>0.0</v>
      </c>
      <c r="G1732" s="104">
        <v>-594.16</v>
      </c>
      <c r="H1732" s="104">
        <v>3340.1</v>
      </c>
      <c r="I1732" s="104">
        <v>26474.15</v>
      </c>
      <c r="J1732" s="104">
        <v>-104207.17</v>
      </c>
      <c r="K1732" s="32"/>
      <c r="L1732" s="32"/>
      <c r="M1732" s="32"/>
      <c r="N1732" s="32"/>
      <c r="O1732" s="106">
        <v>456515.3</v>
      </c>
      <c r="P1732" s="91">
        <f>IFERROR(__xludf.DUMMYFUNCTION("IFERROR(sum(FILTER($D:$N,$C:$C = $C1732,$A:$A &lt; $A1732,$B:$B = 12)),0) + sum($D1732:$N1732)"),456515.5999999999)</f>
        <v>456515.6</v>
      </c>
      <c r="Q1732" s="92">
        <f t="shared" si="1"/>
        <v>-0.2999999999</v>
      </c>
      <c r="R1732" s="91">
        <f t="array" ref="R1732">IFERROR(INDEX('Fund YTD Target Values'!$1:$1000, MATCH($C1732,'Fund YTD Target Values'!$A:$A,0), MATCH($A1732,'Fund YTD Target Values'!$1:$1,0)),0)</f>
        <v>731305.9568</v>
      </c>
      <c r="S1732" s="91">
        <f>IFERROR(__xludf.DUMMYFUNCTION("IFERROR(sum(FILTER('Fund Investment Data'!$V:$V, 'Fund Investment Data'!$C:$C = $C1732, 'Fund Investment Data'!$A:$A &lt; $A1732)),0) + IFERROR(sum(FILTER('Fund Investment Data'!$V:$V, 'Fund Investment Data'!$C:$C = $C1732, 'Fund Investment Data'!$A:$A = $A1"&amp;"732, 'Fund Investment Data'!$B:$B &lt;= $B1732)),0)"),500000.0)</f>
        <v>500000</v>
      </c>
      <c r="T1732" s="32"/>
      <c r="U1732" s="32"/>
      <c r="V1732" s="32">
        <f>IFERROR(__xludf.DUMMYFUNCTION("$D1732 - IFERROR(FILTER($D:$D,$C:$C = $C1732, $A:$A = $A1732, $B:$B = $B1732 - 1),0)"),0.0)</f>
        <v>0</v>
      </c>
      <c r="W1732" s="93">
        <f>IFERROR(__xludf.DUMMYFUNCTION("$E1732 - IFERROR(FILTER($E:$E,$C:$C = $C1732, $A:$A = $A1732, $B:$B = $B1732 - 1),0)"),0.0)</f>
        <v>0</v>
      </c>
      <c r="X1732" s="91">
        <f>IFERROR(__xludf.DUMMYFUNCTION("iFERROR((FILTER('Fund Investment Data'!$Z:$Z, 'Fund Investment Data'!$C:$C = $C1732, 'Fund Investment Data'!$A:$A = $A1732 - 1, 'Fund Investment Data'!$B:$B = 12) + FILTER('Fund Investment Data'!$AB:$AB, 'Fund Investment Data'!$C:$C = $C1732, 'Fund Invest"&amp;"ment Data'!$A:$A = $A1732 - 1, 'Fund Investment Data'!$B:$B = 12)) * (1 + AVERAGE(FILTER('Inflation Data'!$C:$C,'Inflation Data'!$A:$A = ($A1732 - 2)))) * Parameters!$A$4,0)"),17938.124492992578)</f>
        <v>17938.12449</v>
      </c>
      <c r="Y1732" s="91">
        <f>IFERROR(__xludf.DUMMYFUNCTION("IFERROR((IFERROR(FILTER('Fund Investment Data'!$P:$P,'Fund Investment Data'!$C:$C = $C1732,'Fund Investment Data'!$A:$A = ($A1732 - 2), 'Fund Investment Data'!$B:$B = 12),0) - SUM(FILTER('Fund Investment Data'!$V:$V, 'Fund Investment Data'!$C:$C = $C1732,"&amp;" 'Fund Investment Data'!$A:$A = ($A1732 - 2), 'Fund Investment Data'!$B:$B &gt; 3)))  * Parameters!$B$4 * (1 - Parameters!$A$4),0)"),6402.16332)</f>
        <v>6402.16332</v>
      </c>
      <c r="Z1732" s="91">
        <f t="shared" si="24"/>
        <v>24340.28781</v>
      </c>
      <c r="AA1732" s="91">
        <f>IFERROR(__xludf.DUMMYFUNCTION("((IFERROR((SUM(FILTER('Fund Investment Data'!$V:$V, 'Fund Investment Data'!$C:$C = $C1732, 'Fund Investment Data'!$A:$A = $A1732 - 1, 'Fund Investment Data'!$B:$B &gt;= 4, 'Fund Investment Data'!$B:$B &lt;= ($B1732 + 5))) / 12) * ($B1732 - 3) * Parameters!$B$4,"&amp;" 0) + IF($B1732 &gt;= 9, IFERROR(SUM(FILTER('Fund Investment Data'!$V:$V, 'Fund Investment Data'!$C:$C = $C1732, 'Fund Investment Data'!$A:$A = $A1732, 'Fund Investment Data'!$B:$B &lt;= 3)) * Parameters!$B$4, 0),0)))"),0.0)</f>
        <v>0</v>
      </c>
      <c r="AB1732" s="32">
        <f>IFERROR(__xludf.DUMMYFUNCTION("IFERROR(((IFERROR(SUM(FILTER('Fund Investment Data'!$V:$V, 'Fund Investment Data'!$C:$C = $C1732, 'Fund Investment Data'!$A:$A = $A1732 - 2, 'Fund Investment Data'!$B:$B &gt;= 4)) * Parameters!$B$4,0) + IFERROR(SUM(FILTER('Fund Investment Data'!$V:$V, 'Fund "&amp;"Investment Data'!$C:$C = $C1732, 'Fund Investment Data'!$A:$A = $A1732 - 1, 'Fund Investment Data'!$B:$B &lt;= 3)) * Parameters!$B$4,0))),0)"),0.0)</f>
        <v>0</v>
      </c>
      <c r="AC1732" s="32" t="str">
        <f>IFERROR(__xludf.DUMMYFUNCTION("IFERROR(FILTER($AF:$AF,$C:$C = $C1732,$A:$A = $A1732 - 1,$B:$B = 12),0)"),"")</f>
        <v/>
      </c>
      <c r="AD1732" s="32">
        <f t="shared" si="23"/>
        <v>24340.28781</v>
      </c>
      <c r="AE1732" s="32">
        <f t="shared" si="2"/>
        <v>24340.28781</v>
      </c>
      <c r="AF1732" s="32"/>
    </row>
    <row r="1733">
      <c r="A1733" s="86">
        <v>2020.0</v>
      </c>
      <c r="B1733" s="87">
        <v>3.0</v>
      </c>
      <c r="C1733" s="88" t="s">
        <v>41</v>
      </c>
      <c r="D1733" s="104">
        <v>0.0</v>
      </c>
      <c r="E1733" s="104">
        <v>0.0</v>
      </c>
      <c r="F1733" s="104">
        <v>0.0</v>
      </c>
      <c r="G1733" s="104">
        <v>-734.8</v>
      </c>
      <c r="H1733" s="104">
        <v>4130.79</v>
      </c>
      <c r="I1733" s="104">
        <v>32741.25</v>
      </c>
      <c r="J1733" s="104">
        <v>-128875.72</v>
      </c>
      <c r="K1733" s="32"/>
      <c r="L1733" s="32"/>
      <c r="M1733" s="32"/>
      <c r="N1733" s="32"/>
      <c r="O1733" s="106">
        <v>564584.38</v>
      </c>
      <c r="P1733" s="91">
        <f>IFERROR(__xludf.DUMMYFUNCTION("IFERROR(sum(FILTER($D:$N,$C:$C = $C1733,$A:$A &lt; $A1733,$B:$B = 12)),0) + sum($D1733:$N1733)"),564585.23)</f>
        <v>564585.23</v>
      </c>
      <c r="Q1733" s="92">
        <f t="shared" si="1"/>
        <v>-0.85</v>
      </c>
      <c r="R1733" s="91">
        <f t="array" ref="R1733">IFERROR(INDEX('Fund YTD Target Values'!$1:$1000, MATCH($C1733,'Fund YTD Target Values'!$A:$A,0), MATCH($A1733,'Fund YTD Target Values'!$1:$1,0)),0)</f>
        <v>613052.4595</v>
      </c>
      <c r="S1733" s="91">
        <f>IFERROR(__xludf.DUMMYFUNCTION("IFERROR(sum(FILTER('Fund Investment Data'!$V:$V, 'Fund Investment Data'!$C:$C = $C1733, 'Fund Investment Data'!$A:$A &lt; $A1733)),0) + IFERROR(sum(FILTER('Fund Investment Data'!$V:$V, 'Fund Investment Data'!$C:$C = $C1733, 'Fund Investment Data'!$A:$A = $A1"&amp;"733, 'Fund Investment Data'!$B:$B &lt;= $B1733)),0)"),433755.86)</f>
        <v>433755.86</v>
      </c>
      <c r="T1733" s="32"/>
      <c r="U1733" s="32"/>
      <c r="V1733" s="32">
        <f>IFERROR(__xludf.DUMMYFUNCTION("$D1733 - IFERROR(FILTER($D:$D,$C:$C = $C1733, $A:$A = $A1733, $B:$B = $B1733 - 1),0)"),0.0)</f>
        <v>0</v>
      </c>
      <c r="W1733" s="93">
        <f>IFERROR(__xludf.DUMMYFUNCTION("$E1733 - IFERROR(FILTER($E:$E,$C:$C = $C1733, $A:$A = $A1733, $B:$B = $B1733 - 1),0)"),0.0)</f>
        <v>0</v>
      </c>
      <c r="X1733" s="91">
        <f>IFERROR(__xludf.DUMMYFUNCTION("iFERROR((FILTER('Fund Investment Data'!$Z:$Z, 'Fund Investment Data'!$C:$C = $C1733, 'Fund Investment Data'!$A:$A = $A1733 - 1, 'Fund Investment Data'!$B:$B = 12) + FILTER('Fund Investment Data'!$AB:$AB, 'Fund Investment Data'!$C:$C = $C1733, 'Fund Invest"&amp;"ment Data'!$A:$A = $A1733 - 1, 'Fund Investment Data'!$B:$B = 12)) * (1 + AVERAGE(FILTER('Inflation Data'!$C:$C,'Inflation Data'!$A:$A = ($A1733 - 2)))) * Parameters!$A$4,0)"),19563.798947196206)</f>
        <v>19563.79895</v>
      </c>
      <c r="Y1733" s="91">
        <f>IFERROR(__xludf.DUMMYFUNCTION("IFERROR((IFERROR(FILTER('Fund Investment Data'!$P:$P,'Fund Investment Data'!$C:$C = $C1733,'Fund Investment Data'!$A:$A = ($A1733 - 2), 'Fund Investment Data'!$B:$B = 12),0) - SUM(FILTER('Fund Investment Data'!$V:$V, 'Fund Investment Data'!$C:$C = $C1733,"&amp;" 'Fund Investment Data'!$A:$A = ($A1733 - 2), 'Fund Investment Data'!$B:$B &gt; 3)))  * Parameters!$B$4 * (1 - Parameters!$A$4),0)"),7872.907320000002)</f>
        <v>7872.90732</v>
      </c>
      <c r="Z1733" s="91">
        <f t="shared" si="24"/>
        <v>27436.70627</v>
      </c>
      <c r="AA1733" s="91">
        <f>IFERROR(__xludf.DUMMYFUNCTION("((IFERROR((SUM(FILTER('Fund Investment Data'!$V:$V, 'Fund Investment Data'!$C:$C = $C1733, 'Fund Investment Data'!$A:$A = $A1733 - 1, 'Fund Investment Data'!$B:$B &gt;= 4, 'Fund Investment Data'!$B:$B &lt;= ($B1733 + 5))) / 12) * ($B1733 - 3) * Parameters!$B$4,"&amp;" 0) + IF($B1733 &gt;= 9, IFERROR(SUM(FILTER('Fund Investment Data'!$V:$V, 'Fund Investment Data'!$C:$C = $C1733, 'Fund Investment Data'!$A:$A = $A1733, 'Fund Investment Data'!$B:$B &lt;= 3)) * Parameters!$B$4, 0),0)))"),0.0)</f>
        <v>0</v>
      </c>
      <c r="AB1733" s="32">
        <f>IFERROR(__xludf.DUMMYFUNCTION("IFERROR(((IFERROR(SUM(FILTER('Fund Investment Data'!$V:$V, 'Fund Investment Data'!$C:$C = $C1733, 'Fund Investment Data'!$A:$A = $A1733 - 2, 'Fund Investment Data'!$B:$B &gt;= 4)) * Parameters!$B$4,0) + IFERROR(SUM(FILTER('Fund Investment Data'!$V:$V, 'Fund "&amp;"Investment Data'!$C:$C = $C1733, 'Fund Investment Data'!$A:$A = $A1733 - 1, 'Fund Investment Data'!$B:$B &lt;= 3)) * Parameters!$B$4,0))),0)"),0.0)</f>
        <v>0</v>
      </c>
      <c r="AC1733" s="32" t="str">
        <f>IFERROR(__xludf.DUMMYFUNCTION("IFERROR(FILTER($AF:$AF,$C:$C = $C1733,$A:$A = $A1733 - 1,$B:$B = 12),0)"),"")</f>
        <v/>
      </c>
      <c r="AD1733" s="32">
        <f t="shared" si="23"/>
        <v>27436.70627</v>
      </c>
      <c r="AE1733" s="32">
        <f t="shared" si="2"/>
        <v>27436.70627</v>
      </c>
      <c r="AF1733" s="32"/>
    </row>
    <row r="1734">
      <c r="A1734" s="86">
        <v>2020.0</v>
      </c>
      <c r="B1734" s="87">
        <v>3.0</v>
      </c>
      <c r="C1734" s="88" t="s">
        <v>25</v>
      </c>
      <c r="D1734" s="104">
        <v>0.0</v>
      </c>
      <c r="E1734" s="104">
        <v>0.0</v>
      </c>
      <c r="F1734" s="104">
        <v>0.0</v>
      </c>
      <c r="G1734" s="104">
        <v>-92.95</v>
      </c>
      <c r="H1734" s="104">
        <v>522.51</v>
      </c>
      <c r="I1734" s="104">
        <v>4141.56</v>
      </c>
      <c r="J1734" s="104">
        <v>-16301.96</v>
      </c>
      <c r="K1734" s="32"/>
      <c r="L1734" s="32"/>
      <c r="M1734" s="32"/>
      <c r="N1734" s="32"/>
      <c r="O1734" s="106">
        <v>71416.24</v>
      </c>
      <c r="P1734" s="91">
        <f>IFERROR(__xludf.DUMMYFUNCTION("IFERROR(sum(FILTER($D:$N,$C:$C = $C1734,$A:$A &lt; $A1734,$B:$B = 12)),0) + sum($D1734:$N1734)"),71416.22999999998)</f>
        <v>71416.23</v>
      </c>
      <c r="Q1734" s="92">
        <f t="shared" si="1"/>
        <v>0.01000000002</v>
      </c>
      <c r="R1734" s="91">
        <f t="array" ref="R1734">IFERROR(INDEX('Fund YTD Target Values'!$1:$1000, MATCH($C1734,'Fund YTD Target Values'!$A:$A,0), MATCH($A1734,'Fund YTD Target Values'!$1:$1,0)),0)</f>
        <v>113832.9235</v>
      </c>
      <c r="S1734" s="91">
        <f>IFERROR(__xludf.DUMMYFUNCTION("IFERROR(sum(FILTER('Fund Investment Data'!$V:$V, 'Fund Investment Data'!$C:$C = $C1734, 'Fund Investment Data'!$A:$A &lt; $A1734)),0) + IFERROR(sum(FILTER('Fund Investment Data'!$V:$V, 'Fund Investment Data'!$C:$C = $C1734, 'Fund Investment Data'!$A:$A = $A1"&amp;"734, 'Fund Investment Data'!$B:$B &lt;= $B1734)),0)"),81000.0)</f>
        <v>81000</v>
      </c>
      <c r="T1734" s="32"/>
      <c r="U1734" s="32"/>
      <c r="V1734" s="32">
        <f>IFERROR(__xludf.DUMMYFUNCTION("$D1734 - IFERROR(FILTER($D:$D,$C:$C = $C1734, $A:$A = $A1734, $B:$B = $B1734 - 1),0)"),0.0)</f>
        <v>0</v>
      </c>
      <c r="W1734" s="93">
        <f>IFERROR(__xludf.DUMMYFUNCTION("$E1734 - IFERROR(FILTER($E:$E,$C:$C = $C1734, $A:$A = $A1734, $B:$B = $B1734 - 1),0)"),0.0)</f>
        <v>0</v>
      </c>
      <c r="X1734" s="91">
        <f>IFERROR(__xludf.DUMMYFUNCTION("iFERROR((FILTER('Fund Investment Data'!$Z:$Z, 'Fund Investment Data'!$C:$C = $C1734, 'Fund Investment Data'!$A:$A = $A1734 - 1, 'Fund Investment Data'!$B:$B = 12) + FILTER('Fund Investment Data'!$AB:$AB, 'Fund Investment Data'!$C:$C = $C1734, 'Fund Invest"&amp;"ment Data'!$A:$A = $A1734 - 1, 'Fund Investment Data'!$B:$B = 12)) * (1 + AVERAGE(FILTER('Inflation Data'!$C:$C,'Inflation Data'!$A:$A = ($A1734 - 2)))) * Parameters!$A$4,0)"),3310.018104714215)</f>
        <v>3310.018105</v>
      </c>
      <c r="Y1734" s="91">
        <f>IFERROR(__xludf.DUMMYFUNCTION("IFERROR((IFERROR(FILTER('Fund Investment Data'!$P:$P,'Fund Investment Data'!$C:$C = $C1734,'Fund Investment Data'!$A:$A = ($A1734 - 2), 'Fund Investment Data'!$B:$B = 12),0) - SUM(FILTER('Fund Investment Data'!$V:$V, 'Fund Investment Data'!$C:$C = $C1734,"&amp;" 'Fund Investment Data'!$A:$A = ($A1734 - 2), 'Fund Investment Data'!$B:$B &gt; 3)))  * Parameters!$B$4 * (1 - Parameters!$A$4),0)"),1010.3125950000002)</f>
        <v>1010.312595</v>
      </c>
      <c r="Z1734" s="91">
        <f t="shared" si="24"/>
        <v>4320.3307</v>
      </c>
      <c r="AA1734" s="91">
        <f>IFERROR(__xludf.DUMMYFUNCTION("((IFERROR((SUM(FILTER('Fund Investment Data'!$V:$V, 'Fund Investment Data'!$C:$C = $C1734, 'Fund Investment Data'!$A:$A = $A1734 - 1, 'Fund Investment Data'!$B:$B &gt;= 4, 'Fund Investment Data'!$B:$B &lt;= ($B1734 + 5))) / 12) * ($B1734 - 3) * Parameters!$B$4,"&amp;" 0) + IF($B1734 &gt;= 9, IFERROR(SUM(FILTER('Fund Investment Data'!$V:$V, 'Fund Investment Data'!$C:$C = $C1734, 'Fund Investment Data'!$A:$A = $A1734, 'Fund Investment Data'!$B:$B &lt;= 3)) * Parameters!$B$4, 0),0)))"),0.0)</f>
        <v>0</v>
      </c>
      <c r="AB1734" s="32">
        <f>IFERROR(__xludf.DUMMYFUNCTION("IFERROR(((IFERROR(SUM(FILTER('Fund Investment Data'!$V:$V, 'Fund Investment Data'!$C:$C = $C1734, 'Fund Investment Data'!$A:$A = $A1734 - 2, 'Fund Investment Data'!$B:$B &gt;= 4)) * Parameters!$B$4,0) + IFERROR(SUM(FILTER('Fund Investment Data'!$V:$V, 'Fund "&amp;"Investment Data'!$C:$C = $C1734, 'Fund Investment Data'!$A:$A = $A1734 - 1, 'Fund Investment Data'!$B:$B &lt;= 3)) * Parameters!$B$4,0))),0)"),0.0)</f>
        <v>0</v>
      </c>
      <c r="AC1734" s="32" t="str">
        <f>IFERROR(__xludf.DUMMYFUNCTION("IFERROR(FILTER($AF:$AF,$C:$C = $C1734,$A:$A = $A1734 - 1,$B:$B = 12),0)"),"")</f>
        <v/>
      </c>
      <c r="AD1734" s="32">
        <f t="shared" si="23"/>
        <v>4320.3307</v>
      </c>
      <c r="AE1734" s="32">
        <f t="shared" si="2"/>
        <v>4320.3307</v>
      </c>
      <c r="AF1734" s="32"/>
    </row>
    <row r="1735">
      <c r="A1735" s="86">
        <v>2020.0</v>
      </c>
      <c r="B1735" s="87">
        <v>3.0</v>
      </c>
      <c r="C1735" s="88" t="s">
        <v>42</v>
      </c>
      <c r="D1735" s="104">
        <v>0.0</v>
      </c>
      <c r="E1735" s="104">
        <v>0.0</v>
      </c>
      <c r="F1735" s="104">
        <v>0.0</v>
      </c>
      <c r="G1735" s="104">
        <v>-342.39</v>
      </c>
      <c r="H1735" s="104">
        <v>1924.76</v>
      </c>
      <c r="I1735" s="104">
        <v>15256.01</v>
      </c>
      <c r="J1735" s="104">
        <v>-60050.45</v>
      </c>
      <c r="K1735" s="32"/>
      <c r="L1735" s="32"/>
      <c r="M1735" s="32"/>
      <c r="N1735" s="32"/>
      <c r="O1735" s="106">
        <v>263071.67</v>
      </c>
      <c r="P1735" s="91">
        <f>IFERROR(__xludf.DUMMYFUNCTION("IFERROR(sum(FILTER($D:$N,$C:$C = $C1735,$A:$A &lt; $A1735,$B:$B = 12)),0) + sum($D1735:$N1735)"),263071.1400000001)</f>
        <v>263071.14</v>
      </c>
      <c r="Q1735" s="92">
        <f t="shared" si="1"/>
        <v>0.5299999999</v>
      </c>
      <c r="R1735" s="91">
        <f t="array" ref="R1735">IFERROR(INDEX('Fund YTD Target Values'!$1:$1000, MATCH($C1735,'Fund YTD Target Values'!$A:$A,0), MATCH($A1735,'Fund YTD Target Values'!$1:$1,0)),0)</f>
        <v>250432.6143</v>
      </c>
      <c r="S1735" s="91">
        <f>IFERROR(__xludf.DUMMYFUNCTION("IFERROR(sum(FILTER('Fund Investment Data'!$V:$V, 'Fund Investment Data'!$C:$C = $C1735, 'Fund Investment Data'!$A:$A &lt; $A1735)),0) + IFERROR(sum(FILTER('Fund Investment Data'!$V:$V, 'Fund Investment Data'!$C:$C = $C1735, 'Fund Investment Data'!$A:$A = $A1"&amp;"735, 'Fund Investment Data'!$B:$B &lt;= $B1735)),0)"),194469.0)</f>
        <v>194469</v>
      </c>
      <c r="T1735" s="32"/>
      <c r="U1735" s="32"/>
      <c r="V1735" s="32">
        <f>IFERROR(__xludf.DUMMYFUNCTION("$D1735 - IFERROR(FILTER($D:$D,$C:$C = $C1735, $A:$A = $A1735, $B:$B = $B1735 - 1),0)"),0.0)</f>
        <v>0</v>
      </c>
      <c r="W1735" s="93">
        <f>IFERROR(__xludf.DUMMYFUNCTION("$E1735 - IFERROR(FILTER($E:$E,$C:$C = $C1735, $A:$A = $A1735, $B:$B = $B1735 - 1),0)"),0.0)</f>
        <v>0</v>
      </c>
      <c r="X1735" s="91">
        <f>IFERROR(__xludf.DUMMYFUNCTION("iFERROR((FILTER('Fund Investment Data'!$Z:$Z, 'Fund Investment Data'!$C:$C = $C1735, 'Fund Investment Data'!$A:$A = $A1735 - 1, 'Fund Investment Data'!$B:$B = 12) + FILTER('Fund Investment Data'!$AB:$AB, 'Fund Investment Data'!$C:$C = $C1735, 'Fund Invest"&amp;"ment Data'!$A:$A = $A1735 - 1, 'Fund Investment Data'!$B:$B = 12)) * (1 + AVERAGE(FILTER('Inflation Data'!$C:$C,'Inflation Data'!$A:$A = ($A1735 - 2)))) * Parameters!$A$4,0)"),8307.89140924438)</f>
        <v>8307.891409</v>
      </c>
      <c r="Y1735" s="91">
        <f>IFERROR(__xludf.DUMMYFUNCTION("IFERROR((IFERROR(FILTER('Fund Investment Data'!$P:$P,'Fund Investment Data'!$C:$C = $C1735,'Fund Investment Data'!$A:$A = ($A1735 - 2), 'Fund Investment Data'!$B:$B = 12),0) - SUM(FILTER('Fund Investment Data'!$V:$V, 'Fund Investment Data'!$C:$C = $C1735,"&amp;" 'Fund Investment Data'!$A:$A = ($A1735 - 2), 'Fund Investment Data'!$B:$B &gt; 3)))  * Parameters!$B$4 * (1 - Parameters!$A$4),0)"),3656.8255950000025)</f>
        <v>3656.825595</v>
      </c>
      <c r="Z1735" s="91">
        <f t="shared" si="24"/>
        <v>11964.717</v>
      </c>
      <c r="AA1735" s="91">
        <f>IFERROR(__xludf.DUMMYFUNCTION("((IFERROR((SUM(FILTER('Fund Investment Data'!$V:$V, 'Fund Investment Data'!$C:$C = $C1735, 'Fund Investment Data'!$A:$A = $A1735 - 1, 'Fund Investment Data'!$B:$B &gt;= 4, 'Fund Investment Data'!$B:$B &lt;= ($B1735 + 5))) / 12) * ($B1735 - 3) * Parameters!$B$4,"&amp;" 0) + IF($B1735 &gt;= 9, IFERROR(SUM(FILTER('Fund Investment Data'!$V:$V, 'Fund Investment Data'!$C:$C = $C1735, 'Fund Investment Data'!$A:$A = $A1735, 'Fund Investment Data'!$B:$B &lt;= 3)) * Parameters!$B$4, 0),0)))"),0.0)</f>
        <v>0</v>
      </c>
      <c r="AB1735" s="32">
        <f>IFERROR(__xludf.DUMMYFUNCTION("IFERROR(((IFERROR(SUM(FILTER('Fund Investment Data'!$V:$V, 'Fund Investment Data'!$C:$C = $C1735, 'Fund Investment Data'!$A:$A = $A1735 - 2, 'Fund Investment Data'!$B:$B &gt;= 4)) * Parameters!$B$4,0) + IFERROR(SUM(FILTER('Fund Investment Data'!$V:$V, 'Fund "&amp;"Investment Data'!$C:$C = $C1735, 'Fund Investment Data'!$A:$A = $A1735 - 1, 'Fund Investment Data'!$B:$B &lt;= 3)) * Parameters!$B$4,0))),0)"),0.0)</f>
        <v>0</v>
      </c>
      <c r="AC1735" s="32" t="str">
        <f>IFERROR(__xludf.DUMMYFUNCTION("IFERROR(FILTER($AF:$AF,$C:$C = $C1735,$A:$A = $A1735 - 1,$B:$B = 12),0)"),"")</f>
        <v/>
      </c>
      <c r="AD1735" s="32">
        <f t="shared" si="23"/>
        <v>11964.717</v>
      </c>
      <c r="AE1735" s="32">
        <f t="shared" si="2"/>
        <v>11964.717</v>
      </c>
      <c r="AF1735" s="32"/>
    </row>
    <row r="1736">
      <c r="A1736" s="86">
        <v>2020.0</v>
      </c>
      <c r="B1736" s="87">
        <v>3.0</v>
      </c>
      <c r="C1736" s="88" t="s">
        <v>43</v>
      </c>
      <c r="D1736" s="104">
        <v>0.0</v>
      </c>
      <c r="E1736" s="104">
        <v>0.0</v>
      </c>
      <c r="F1736" s="104">
        <v>0.0</v>
      </c>
      <c r="G1736" s="104">
        <v>-138.28</v>
      </c>
      <c r="H1736" s="104">
        <v>777.39</v>
      </c>
      <c r="I1736" s="104">
        <v>6161.63</v>
      </c>
      <c r="J1736" s="104">
        <v>-24253.36</v>
      </c>
      <c r="K1736" s="32"/>
      <c r="L1736" s="32"/>
      <c r="M1736" s="32"/>
      <c r="N1736" s="32"/>
      <c r="O1736" s="106">
        <v>106250.14</v>
      </c>
      <c r="P1736" s="91">
        <f>IFERROR(__xludf.DUMMYFUNCTION("IFERROR(sum(FILTER($D:$N,$C:$C = $C1736,$A:$A &lt; $A1736,$B:$B = 12)),0) + sum($D1736:$N1736)"),106249.40000000002)</f>
        <v>106249.4</v>
      </c>
      <c r="Q1736" s="92">
        <f t="shared" si="1"/>
        <v>0.74</v>
      </c>
      <c r="R1736" s="91">
        <f t="array" ref="R1736">IFERROR(INDEX('Fund YTD Target Values'!$1:$1000, MATCH($C1736,'Fund YTD Target Values'!$A:$A,0), MATCH($A1736,'Fund YTD Target Values'!$1:$1,0)),0)</f>
        <v>136272.9454</v>
      </c>
      <c r="S1736" s="91">
        <f>IFERROR(__xludf.DUMMYFUNCTION("IFERROR(sum(FILTER('Fund Investment Data'!$V:$V, 'Fund Investment Data'!$C:$C = $C1736, 'Fund Investment Data'!$A:$A &lt; $A1736)),0) + IFERROR(sum(FILTER('Fund Investment Data'!$V:$V, 'Fund Investment Data'!$C:$C = $C1736, 'Fund Investment Data'!$A:$A = $A1"&amp;"736, 'Fund Investment Data'!$B:$B &lt;= $B1736)),0)"),100000.0)</f>
        <v>100000</v>
      </c>
      <c r="T1736" s="32"/>
      <c r="U1736" s="32"/>
      <c r="V1736" s="32">
        <f>IFERROR(__xludf.DUMMYFUNCTION("$D1736 - IFERROR(FILTER($D:$D,$C:$C = $C1736, $A:$A = $A1736, $B:$B = $B1736 - 1),0)"),0.0)</f>
        <v>0</v>
      </c>
      <c r="W1736" s="93">
        <f>IFERROR(__xludf.DUMMYFUNCTION("$E1736 - IFERROR(FILTER($E:$E,$C:$C = $C1736, $A:$A = $A1736, $B:$B = $B1736 - 1),0)"),0.0)</f>
        <v>0</v>
      </c>
      <c r="X1736" s="91">
        <f>IFERROR(__xludf.DUMMYFUNCTION("iFERROR((FILTER('Fund Investment Data'!$Z:$Z, 'Fund Investment Data'!$C:$C = $C1736, 'Fund Investment Data'!$A:$A = $A1736 - 1, 'Fund Investment Data'!$B:$B = 12) + FILTER('Fund Investment Data'!$AB:$AB, 'Fund Investment Data'!$C:$C = $C1736, 'Fund Invest"&amp;"ment Data'!$A:$A = $A1736 - 1, 'Fund Investment Data'!$B:$B = 12)) * (1 + AVERAGE(FILTER('Inflation Data'!$C:$C,'Inflation Data'!$A:$A = ($A1736 - 2)))) * Parameters!$A$4,0)"),4110.654981425052)</f>
        <v>4110.654981</v>
      </c>
      <c r="Y1736" s="91">
        <f>IFERROR(__xludf.DUMMYFUNCTION("IFERROR((IFERROR(FILTER('Fund Investment Data'!$P:$P,'Fund Investment Data'!$C:$C = $C1736,'Fund Investment Data'!$A:$A = ($A1736 - 2), 'Fund Investment Data'!$B:$B = 12),0) - SUM(FILTER('Fund Investment Data'!$V:$V, 'Fund Investment Data'!$C:$C = $C1736,"&amp;" 'Fund Investment Data'!$A:$A = ($A1736 - 2), 'Fund Investment Data'!$B:$B &gt; 3)))  * Parameters!$B$4 * (1 - Parameters!$A$4),0)"),1489.0159800000004)</f>
        <v>1489.01598</v>
      </c>
      <c r="Z1736" s="91">
        <f t="shared" si="24"/>
        <v>5599.670961</v>
      </c>
      <c r="AA1736" s="91">
        <f>IFERROR(__xludf.DUMMYFUNCTION("((IFERROR((SUM(FILTER('Fund Investment Data'!$V:$V, 'Fund Investment Data'!$C:$C = $C1736, 'Fund Investment Data'!$A:$A = $A1736 - 1, 'Fund Investment Data'!$B:$B &gt;= 4, 'Fund Investment Data'!$B:$B &lt;= ($B1736 + 5))) / 12) * ($B1736 - 3) * Parameters!$B$4,"&amp;" 0) + IF($B1736 &gt;= 9, IFERROR(SUM(FILTER('Fund Investment Data'!$V:$V, 'Fund Investment Data'!$C:$C = $C1736, 'Fund Investment Data'!$A:$A = $A1736, 'Fund Investment Data'!$B:$B &lt;= 3)) * Parameters!$B$4, 0),0)))"),0.0)</f>
        <v>0</v>
      </c>
      <c r="AB1736" s="32">
        <f>IFERROR(__xludf.DUMMYFUNCTION("IFERROR(((IFERROR(SUM(FILTER('Fund Investment Data'!$V:$V, 'Fund Investment Data'!$C:$C = $C1736, 'Fund Investment Data'!$A:$A = $A1736 - 2, 'Fund Investment Data'!$B:$B &gt;= 4)) * Parameters!$B$4,0) + IFERROR(SUM(FILTER('Fund Investment Data'!$V:$V, 'Fund "&amp;"Investment Data'!$C:$C = $C1736, 'Fund Investment Data'!$A:$A = $A1736 - 1, 'Fund Investment Data'!$B:$B &lt;= 3)) * Parameters!$B$4,0))),0)"),0.0)</f>
        <v>0</v>
      </c>
      <c r="AC1736" s="32" t="str">
        <f>IFERROR(__xludf.DUMMYFUNCTION("IFERROR(FILTER($AF:$AF,$C:$C = $C1736,$A:$A = $A1736 - 1,$B:$B = 12),0)"),"")</f>
        <v/>
      </c>
      <c r="AD1736" s="32">
        <f t="shared" si="23"/>
        <v>5599.670961</v>
      </c>
      <c r="AE1736" s="32">
        <f t="shared" si="2"/>
        <v>5599.670961</v>
      </c>
      <c r="AF1736" s="32"/>
    </row>
    <row r="1737">
      <c r="A1737" s="86">
        <v>2020.0</v>
      </c>
      <c r="B1737" s="87">
        <v>3.0</v>
      </c>
      <c r="C1737" s="88" t="s">
        <v>52</v>
      </c>
      <c r="D1737" s="104">
        <v>0.0</v>
      </c>
      <c r="E1737" s="104">
        <v>0.0</v>
      </c>
      <c r="F1737" s="104">
        <v>0.0</v>
      </c>
      <c r="G1737" s="104">
        <v>-1373.64</v>
      </c>
      <c r="H1737" s="104">
        <v>7722.05</v>
      </c>
      <c r="I1737" s="104">
        <v>61206.3</v>
      </c>
      <c r="J1737" s="104">
        <v>-240919.42</v>
      </c>
      <c r="K1737" s="32"/>
      <c r="L1737" s="32"/>
      <c r="M1737" s="32"/>
      <c r="N1737" s="32"/>
      <c r="O1737" s="106">
        <v>1055430.26</v>
      </c>
      <c r="P1737" s="91">
        <f>IFERROR(__xludf.DUMMYFUNCTION("IFERROR(sum(FILTER($D:$N,$C:$C = $C1737,$A:$A &lt; $A1737,$B:$B = 12)),0) + sum($D1737:$N1737)"),1055429.94)</f>
        <v>1055429.94</v>
      </c>
      <c r="Q1737" s="92">
        <f t="shared" si="1"/>
        <v>0.3200000001</v>
      </c>
      <c r="R1737" s="91">
        <f t="array" ref="R1737">IFERROR(INDEX('Fund YTD Target Values'!$1:$1000, MATCH($C1737,'Fund YTD Target Values'!$A:$A,0), MATCH($A1737,'Fund YTD Target Values'!$1:$1,0)),0)</f>
        <v>1199021.687</v>
      </c>
      <c r="S1737" s="91">
        <f>IFERROR(__xludf.DUMMYFUNCTION("IFERROR(sum(FILTER('Fund Investment Data'!$V:$V, 'Fund Investment Data'!$C:$C = $C1737, 'Fund Investment Data'!$A:$A &lt; $A1737)),0) + IFERROR(sum(FILTER('Fund Investment Data'!$V:$V, 'Fund Investment Data'!$C:$C = $C1737, 'Fund Investment Data'!$A:$A = $A1"&amp;"737, 'Fund Investment Data'!$B:$B &lt;= $B1737)),0)"),1081136.0)</f>
        <v>1081136</v>
      </c>
      <c r="T1737" s="32"/>
      <c r="U1737" s="32"/>
      <c r="V1737" s="32">
        <f>IFERROR(__xludf.DUMMYFUNCTION("$D1737 - IFERROR(FILTER($D:$D,$C:$C = $C1737, $A:$A = $A1737, $B:$B = $B1737 - 1),0)"),0.0)</f>
        <v>0</v>
      </c>
      <c r="W1737" s="93">
        <f>IFERROR(__xludf.DUMMYFUNCTION("$E1737 - IFERROR(FILTER($E:$E,$C:$C = $C1737, $A:$A = $A1737, $B:$B = $B1737 - 1),0)"),0.0)</f>
        <v>0</v>
      </c>
      <c r="X1737" s="91">
        <f>IFERROR(__xludf.DUMMYFUNCTION("iFERROR((FILTER('Fund Investment Data'!$Z:$Z, 'Fund Investment Data'!$C:$C = $C1737, 'Fund Investment Data'!$A:$A = $A1737 - 1, 'Fund Investment Data'!$B:$B = 12) + FILTER('Fund Investment Data'!$AB:$AB, 'Fund Investment Data'!$C:$C = $C1737, 'Fund Invest"&amp;"ment Data'!$A:$A = $A1737 - 1, 'Fund Investment Data'!$B:$B = 12)) * (1 + AVERAGE(FILTER('Inflation Data'!$C:$C,'Inflation Data'!$A:$A = ($A1737 - 2)))) * Parameters!$A$4,0)"),37900.53766415215)</f>
        <v>37900.53766</v>
      </c>
      <c r="Y1737" s="91">
        <f>IFERROR(__xludf.DUMMYFUNCTION("IFERROR((IFERROR(FILTER('Fund Investment Data'!$P:$P,'Fund Investment Data'!$C:$C = $C1737,'Fund Investment Data'!$A:$A = ($A1737 - 2), 'Fund Investment Data'!$B:$B = 12),0) - SUM(FILTER('Fund Investment Data'!$V:$V, 'Fund Investment Data'!$C:$C = $C1737,"&amp;" 'Fund Investment Data'!$A:$A = ($A1737 - 2), 'Fund Investment Data'!$B:$B &gt; 3)))  * Parameters!$B$4 * (1 - Parameters!$A$4),0)"),14735.790404999998)</f>
        <v>14735.79041</v>
      </c>
      <c r="Z1737" s="91">
        <f t="shared" si="24"/>
        <v>52636.32807</v>
      </c>
      <c r="AA1737" s="91">
        <f>IFERROR(__xludf.DUMMYFUNCTION("((IFERROR((SUM(FILTER('Fund Investment Data'!$V:$V, 'Fund Investment Data'!$C:$C = $C1737, 'Fund Investment Data'!$A:$A = $A1737 - 1, 'Fund Investment Data'!$B:$B &gt;= 4, 'Fund Investment Data'!$B:$B &lt;= ($B1737 + 5))) / 12) * ($B1737 - 3) * Parameters!$B$4,"&amp;" 0) + IF($B1737 &gt;= 9, IFERROR(SUM(FILTER('Fund Investment Data'!$V:$V, 'Fund Investment Data'!$C:$C = $C1737, 'Fund Investment Data'!$A:$A = $A1737, 'Fund Investment Data'!$B:$B &lt;= 3)) * Parameters!$B$4, 0),0)))"),0.0)</f>
        <v>0</v>
      </c>
      <c r="AB1737" s="32">
        <f>IFERROR(__xludf.DUMMYFUNCTION("IFERROR(((IFERROR(SUM(FILTER('Fund Investment Data'!$V:$V, 'Fund Investment Data'!$C:$C = $C1737, 'Fund Investment Data'!$A:$A = $A1737 - 2, 'Fund Investment Data'!$B:$B &gt;= 4)) * Parameters!$B$4,0) + IFERROR(SUM(FILTER('Fund Investment Data'!$V:$V, 'Fund "&amp;"Investment Data'!$C:$C = $C1737, 'Fund Investment Data'!$A:$A = $A1737 - 1, 'Fund Investment Data'!$B:$B &lt;= 3)) * Parameters!$B$4,0))),0)"),45.0)</f>
        <v>45</v>
      </c>
      <c r="AC1737" s="32" t="str">
        <f>IFERROR(__xludf.DUMMYFUNCTION("IFERROR(FILTER($AF:$AF,$C:$C = $C1737,$A:$A = $A1737 - 1,$B:$B = 12),0)"),"")</f>
        <v/>
      </c>
      <c r="AD1737" s="32">
        <f t="shared" si="23"/>
        <v>52681.32807</v>
      </c>
      <c r="AE1737" s="32">
        <f t="shared" si="2"/>
        <v>52681.32807</v>
      </c>
      <c r="AF1737" s="32"/>
    </row>
    <row r="1738">
      <c r="A1738" s="86">
        <v>2020.0</v>
      </c>
      <c r="B1738" s="87">
        <v>3.0</v>
      </c>
      <c r="C1738" s="88" t="s">
        <v>33</v>
      </c>
      <c r="D1738" s="104">
        <v>0.0</v>
      </c>
      <c r="E1738" s="104">
        <v>0.0</v>
      </c>
      <c r="F1738" s="104">
        <v>0.0</v>
      </c>
      <c r="G1738" s="104">
        <v>-392.79</v>
      </c>
      <c r="H1738" s="104">
        <v>2208.07</v>
      </c>
      <c r="I1738" s="104">
        <v>17501.52</v>
      </c>
      <c r="J1738" s="104">
        <v>-68889.23</v>
      </c>
      <c r="K1738" s="32"/>
      <c r="L1738" s="32"/>
      <c r="M1738" s="32"/>
      <c r="N1738" s="32"/>
      <c r="O1738" s="106">
        <v>301792.94</v>
      </c>
      <c r="P1738" s="91">
        <f>IFERROR(__xludf.DUMMYFUNCTION("IFERROR(sum(FILTER($D:$N,$C:$C = $C1738,$A:$A &lt; $A1738,$B:$B = 12)),0) + sum($D1738:$N1738)"),301793.1599999998)</f>
        <v>301793.16</v>
      </c>
      <c r="Q1738" s="92">
        <f t="shared" si="1"/>
        <v>-0.2199999998</v>
      </c>
      <c r="R1738" s="91">
        <f t="array" ref="R1738">IFERROR(INDEX('Fund YTD Target Values'!$1:$1000, MATCH($C1738,'Fund YTD Target Values'!$A:$A,0), MATCH($A1738,'Fund YTD Target Values'!$1:$1,0)),0)</f>
        <v>534811.3234</v>
      </c>
      <c r="S1738" s="91">
        <f>IFERROR(__xludf.DUMMYFUNCTION("IFERROR(sum(FILTER('Fund Investment Data'!$V:$V, 'Fund Investment Data'!$C:$C = $C1738, 'Fund Investment Data'!$A:$A &lt; $A1738)),0) + IFERROR(sum(FILTER('Fund Investment Data'!$V:$V, 'Fund Investment Data'!$C:$C = $C1738, 'Fund Investment Data'!$A:$A = $A1"&amp;"738, 'Fund Investment Data'!$B:$B &lt;= $B1738)),0)"),325871.6399999999)</f>
        <v>325871.64</v>
      </c>
      <c r="T1738" s="32"/>
      <c r="U1738" s="32"/>
      <c r="V1738" s="32">
        <f>IFERROR(__xludf.DUMMYFUNCTION("$D1738 - IFERROR(FILTER($D:$D,$C:$C = $C1738, $A:$A = $A1738, $B:$B = $B1738 - 1),0)"),0.0)</f>
        <v>0</v>
      </c>
      <c r="W1738" s="93">
        <f>IFERROR(__xludf.DUMMYFUNCTION("$E1738 - IFERROR(FILTER($E:$E,$C:$C = $C1738, $A:$A = $A1738, $B:$B = $B1738 - 1),0)"),0.0)</f>
        <v>0</v>
      </c>
      <c r="X1738" s="91">
        <f>IFERROR(__xludf.DUMMYFUNCTION("iFERROR((FILTER('Fund Investment Data'!$Z:$Z, 'Fund Investment Data'!$C:$C = $C1738, 'Fund Investment Data'!$A:$A = $A1738 - 1, 'Fund Investment Data'!$B:$B = 12) + FILTER('Fund Investment Data'!$AB:$AB, 'Fund Investment Data'!$C:$C = $C1738, 'Fund Invest"&amp;"ment Data'!$A:$A = $A1738 - 1, 'Fund Investment Data'!$B:$B = 12)) * (1 + AVERAGE(FILTER('Inflation Data'!$C:$C,'Inflation Data'!$A:$A = ($A1738 - 2)))) * Parameters!$A$4,0)"),11694.624948637042)</f>
        <v>11694.62495</v>
      </c>
      <c r="Y1738" s="91">
        <f>IFERROR(__xludf.DUMMYFUNCTION("IFERROR((IFERROR(FILTER('Fund Investment Data'!$P:$P,'Fund Investment Data'!$C:$C = $C1738,'Fund Investment Data'!$A:$A = ($A1738 - 2), 'Fund Investment Data'!$B:$B = 12),0) - SUM(FILTER('Fund Investment Data'!$V:$V, 'Fund Investment Data'!$C:$C = $C1738,"&amp;" 'Fund Investment Data'!$A:$A = ($A1738 - 2), 'Fund Investment Data'!$B:$B &gt; 3)))  * Parameters!$B$4 * (1 - Parameters!$A$4),0)"),4224.759929999998)</f>
        <v>4224.75993</v>
      </c>
      <c r="Z1738" s="91">
        <f t="shared" si="24"/>
        <v>15919.38488</v>
      </c>
      <c r="AA1738" s="91">
        <f>IFERROR(__xludf.DUMMYFUNCTION("((IFERROR((SUM(FILTER('Fund Investment Data'!$V:$V, 'Fund Investment Data'!$C:$C = $C1738, 'Fund Investment Data'!$A:$A = $A1738 - 1, 'Fund Investment Data'!$B:$B &gt;= 4, 'Fund Investment Data'!$B:$B &lt;= ($B1738 + 5))) / 12) * ($B1738 - 3) * Parameters!$B$4,"&amp;" 0) + IF($B1738 &gt;= 9, IFERROR(SUM(FILTER('Fund Investment Data'!$V:$V, 'Fund Investment Data'!$C:$C = $C1738, 'Fund Investment Data'!$A:$A = $A1738, 'Fund Investment Data'!$B:$B &lt;= 3)) * Parameters!$B$4, 0),0)))"),0.0)</f>
        <v>0</v>
      </c>
      <c r="AB1738" s="32">
        <f>IFERROR(__xludf.DUMMYFUNCTION("IFERROR(((IFERROR(SUM(FILTER('Fund Investment Data'!$V:$V, 'Fund Investment Data'!$C:$C = $C1738, 'Fund Investment Data'!$A:$A = $A1738 - 2, 'Fund Investment Data'!$B:$B &gt;= 4)) * Parameters!$B$4,0) + IFERROR(SUM(FILTER('Fund Investment Data'!$V:$V, 'Fund "&amp;"Investment Data'!$C:$C = $C1738, 'Fund Investment Data'!$A:$A = $A1738 - 1, 'Fund Investment Data'!$B:$B &lt;= 3)) * Parameters!$B$4,0))),0)"),0.0)</f>
        <v>0</v>
      </c>
      <c r="AC1738" s="32" t="str">
        <f>IFERROR(__xludf.DUMMYFUNCTION("IFERROR(FILTER($AF:$AF,$C:$C = $C1738,$A:$A = $A1738 - 1,$B:$B = 12),0)"),"")</f>
        <v/>
      </c>
      <c r="AD1738" s="32">
        <f t="shared" si="23"/>
        <v>15919.38488</v>
      </c>
      <c r="AE1738" s="32">
        <f t="shared" si="2"/>
        <v>15919.38488</v>
      </c>
      <c r="AF1738" s="32"/>
    </row>
    <row r="1739">
      <c r="A1739" s="86">
        <v>2020.0</v>
      </c>
      <c r="B1739" s="87">
        <v>3.0</v>
      </c>
      <c r="C1739" s="88" t="s">
        <v>53</v>
      </c>
      <c r="D1739" s="104">
        <v>0.0</v>
      </c>
      <c r="E1739" s="104">
        <v>0.0</v>
      </c>
      <c r="F1739" s="104">
        <v>0.0</v>
      </c>
      <c r="G1739" s="104">
        <v>-2514.3</v>
      </c>
      <c r="H1739" s="104">
        <v>14134.33</v>
      </c>
      <c r="I1739" s="104">
        <v>112031.0</v>
      </c>
      <c r="J1739" s="104">
        <v>-440974.93</v>
      </c>
      <c r="K1739" s="32"/>
      <c r="L1739" s="32"/>
      <c r="M1739" s="32"/>
      <c r="N1739" s="32"/>
      <c r="O1739" s="106">
        <v>1931842.1</v>
      </c>
      <c r="P1739" s="91">
        <f>IFERROR(__xludf.DUMMYFUNCTION("IFERROR(sum(FILTER($D:$N,$C:$C = $C1739,$A:$A &lt; $A1739,$B:$B = 12)),0) + sum($D1739:$N1739)"),1931842.1)</f>
        <v>1931842.1</v>
      </c>
      <c r="Q1739" s="92">
        <f t="shared" si="1"/>
        <v>0</v>
      </c>
      <c r="R1739" s="91">
        <f t="array" ref="R1739">IFERROR(INDEX('Fund YTD Target Values'!$1:$1000, MATCH($C1739,'Fund YTD Target Values'!$A:$A,0), MATCH($A1739,'Fund YTD Target Values'!$1:$1,0)),0)</f>
        <v>2319668.115</v>
      </c>
      <c r="S1739" s="91">
        <f>IFERROR(__xludf.DUMMYFUNCTION("IFERROR(sum(FILTER('Fund Investment Data'!$V:$V, 'Fund Investment Data'!$C:$C = $C1739, 'Fund Investment Data'!$A:$A &lt; $A1739)),0) + IFERROR(sum(FILTER('Fund Investment Data'!$V:$V, 'Fund Investment Data'!$C:$C = $C1739, 'Fund Investment Data'!$A:$A = $A1"&amp;"739, 'Fund Investment Data'!$B:$B &lt;= $B1739)),0)"),2005500.0)</f>
        <v>2005500</v>
      </c>
      <c r="T1739" s="32"/>
      <c r="U1739" s="32"/>
      <c r="V1739" s="32">
        <f>IFERROR(__xludf.DUMMYFUNCTION("$D1739 - IFERROR(FILTER($D:$D,$C:$C = $C1739, $A:$A = $A1739, $B:$B = $B1739 - 1),0)"),0.0)</f>
        <v>0</v>
      </c>
      <c r="W1739" s="93">
        <f>IFERROR(__xludf.DUMMYFUNCTION("$E1739 - IFERROR(FILTER($E:$E,$C:$C = $C1739, $A:$A = $A1739, $B:$B = $B1739 - 1),0)"),0.0)</f>
        <v>0</v>
      </c>
      <c r="X1739" s="91">
        <f>IFERROR(__xludf.DUMMYFUNCTION("iFERROR((FILTER('Fund Investment Data'!$Z:$Z, 'Fund Investment Data'!$C:$C = $C1739, 'Fund Investment Data'!$A:$A = $A1739 - 1, 'Fund Investment Data'!$B:$B = 12) + FILTER('Fund Investment Data'!$AB:$AB, 'Fund Investment Data'!$C:$C = $C1739, 'Fund Invest"&amp;"ment Data'!$A:$A = $A1739 - 1, 'Fund Investment Data'!$B:$B = 12)) * (1 + AVERAGE(FILTER('Inflation Data'!$C:$C,'Inflation Data'!$A:$A = ($A1739 - 2)))) * Parameters!$A$4,0)"),72128.4673033264)</f>
        <v>72128.4673</v>
      </c>
      <c r="Y1739" s="91">
        <f>IFERROR(__xludf.DUMMYFUNCTION("IFERROR((IFERROR(FILTER('Fund Investment Data'!$P:$P,'Fund Investment Data'!$C:$C = $C1739,'Fund Investment Data'!$A:$A = ($A1739 - 2), 'Fund Investment Data'!$B:$B = 12),0) - SUM(FILTER('Fund Investment Data'!$V:$V, 'Fund Investment Data'!$C:$C = $C1739,"&amp;" 'Fund Investment Data'!$A:$A = ($A1739 - 2), 'Fund Investment Data'!$B:$B &gt; 3)))  * Parameters!$B$4 * (1 - Parameters!$A$4),0)"),27628.22088)</f>
        <v>27628.22088</v>
      </c>
      <c r="Z1739" s="91">
        <f t="shared" si="24"/>
        <v>99756.68818</v>
      </c>
      <c r="AA1739" s="91">
        <f>IFERROR(__xludf.DUMMYFUNCTION("((IFERROR((SUM(FILTER('Fund Investment Data'!$V:$V, 'Fund Investment Data'!$C:$C = $C1739, 'Fund Investment Data'!$A:$A = $A1739 - 1, 'Fund Investment Data'!$B:$B &gt;= 4, 'Fund Investment Data'!$B:$B &lt;= ($B1739 + 5))) / 12) * ($B1739 - 3) * Parameters!$B$4,"&amp;" 0) + IF($B1739 &gt;= 9, IFERROR(SUM(FILTER('Fund Investment Data'!$V:$V, 'Fund Investment Data'!$C:$C = $C1739, 'Fund Investment Data'!$A:$A = $A1739, 'Fund Investment Data'!$B:$B &lt;= 3)) * Parameters!$B$4, 0),0)))"),0.0)</f>
        <v>0</v>
      </c>
      <c r="AB1739" s="32">
        <f>IFERROR(__xludf.DUMMYFUNCTION("IFERROR(((IFERROR(SUM(FILTER('Fund Investment Data'!$V:$V, 'Fund Investment Data'!$C:$C = $C1739, 'Fund Investment Data'!$A:$A = $A1739 - 2, 'Fund Investment Data'!$B:$B &gt;= 4)) * Parameters!$B$4,0) + IFERROR(SUM(FILTER('Fund Investment Data'!$V:$V, 'Fund "&amp;"Investment Data'!$C:$C = $C1739, 'Fund Investment Data'!$A:$A = $A1739 - 1, 'Fund Investment Data'!$B:$B &lt;= 3)) * Parameters!$B$4,0))),0)"),0.0)</f>
        <v>0</v>
      </c>
      <c r="AC1739" s="32" t="str">
        <f>IFERROR(__xludf.DUMMYFUNCTION("IFERROR(FILTER($AF:$AF,$C:$C = $C1739,$A:$A = $A1739 - 1,$B:$B = 12),0)"),"")</f>
        <v/>
      </c>
      <c r="AD1739" s="32">
        <f t="shared" si="23"/>
        <v>99756.68818</v>
      </c>
      <c r="AE1739" s="32">
        <f t="shared" si="2"/>
        <v>99756.68818</v>
      </c>
      <c r="AF1739" s="32"/>
    </row>
    <row r="1740">
      <c r="A1740" s="86">
        <v>2020.0</v>
      </c>
      <c r="B1740" s="87">
        <v>3.0</v>
      </c>
      <c r="C1740" s="88" t="s">
        <v>34</v>
      </c>
      <c r="D1740" s="104">
        <v>0.0</v>
      </c>
      <c r="E1740" s="104">
        <v>0.0</v>
      </c>
      <c r="F1740" s="104">
        <v>0.0</v>
      </c>
      <c r="G1740" s="104">
        <v>-165.14</v>
      </c>
      <c r="H1740" s="104">
        <v>928.36</v>
      </c>
      <c r="I1740" s="104">
        <v>7358.32</v>
      </c>
      <c r="J1740" s="104">
        <v>-28963.7</v>
      </c>
      <c r="K1740" s="32"/>
      <c r="L1740" s="32"/>
      <c r="M1740" s="32"/>
      <c r="N1740" s="32"/>
      <c r="O1740" s="106">
        <v>126885.49</v>
      </c>
      <c r="P1740" s="91">
        <f>IFERROR(__xludf.DUMMYFUNCTION("IFERROR(sum(FILTER($D:$N,$C:$C = $C1740,$A:$A &lt; $A1740,$B:$B = 12)),0) + sum($D1740:$N1740)"),126885.48999999996)</f>
        <v>126885.49</v>
      </c>
      <c r="Q1740" s="92">
        <f t="shared" si="1"/>
        <v>0</v>
      </c>
      <c r="R1740" s="91">
        <f t="array" ref="R1740">IFERROR(INDEX('Fund YTD Target Values'!$1:$1000, MATCH($C1740,'Fund YTD Target Values'!$A:$A,0), MATCH($A1740,'Fund YTD Target Values'!$1:$1,0)),0)</f>
        <v>141101.0603</v>
      </c>
      <c r="S1740" s="91">
        <f>IFERROR(__xludf.DUMMYFUNCTION("IFERROR(sum(FILTER('Fund Investment Data'!$V:$V, 'Fund Investment Data'!$C:$C = $C1740, 'Fund Investment Data'!$A:$A &lt; $A1740)),0) + IFERROR(sum(FILTER('Fund Investment Data'!$V:$V, 'Fund Investment Data'!$C:$C = $C1740, 'Fund Investment Data'!$A:$A = $A1"&amp;"740, 'Fund Investment Data'!$B:$B &lt;= $B1740)),0)"),125000.0)</f>
        <v>125000</v>
      </c>
      <c r="T1740" s="32"/>
      <c r="U1740" s="32"/>
      <c r="V1740" s="32">
        <f>IFERROR(__xludf.DUMMYFUNCTION("$D1740 - IFERROR(FILTER($D:$D,$C:$C = $C1740, $A:$A = $A1740, $B:$B = $B1740 - 1),0)"),0.0)</f>
        <v>0</v>
      </c>
      <c r="W1740" s="93">
        <f>IFERROR(__xludf.DUMMYFUNCTION("$E1740 - IFERROR(FILTER($E:$E,$C:$C = $C1740, $A:$A = $A1740, $B:$B = $B1740 - 1),0)"),0.0)</f>
        <v>0</v>
      </c>
      <c r="X1740" s="91">
        <f>IFERROR(__xludf.DUMMYFUNCTION("iFERROR((FILTER('Fund Investment Data'!$Z:$Z, 'Fund Investment Data'!$C:$C = $C1740, 'Fund Investment Data'!$A:$A = $A1740 - 1, 'Fund Investment Data'!$B:$B = 12) + FILTER('Fund Investment Data'!$AB:$AB, 'Fund Investment Data'!$C:$C = $C1740, 'Fund Invest"&amp;"ment Data'!$A:$A = $A1740 - 1, 'Fund Investment Data'!$B:$B = 12)) * (1 + AVERAGE(FILTER('Inflation Data'!$C:$C,'Inflation Data'!$A:$A = ($A1740 - 2)))) * Parameters!$A$4,0)"),4562.512460415234)</f>
        <v>4562.51246</v>
      </c>
      <c r="Y1740" s="91">
        <f>IFERROR(__xludf.DUMMYFUNCTION("IFERROR((IFERROR(FILTER('Fund Investment Data'!$P:$P,'Fund Investment Data'!$C:$C = $C1740,'Fund Investment Data'!$A:$A = ($A1740 - 2), 'Fund Investment Data'!$B:$B = 12),0) - SUM(FILTER('Fund Investment Data'!$V:$V, 'Fund Investment Data'!$C:$C = $C1740,"&amp;" 'Fund Investment Data'!$A:$A = ($A1740 - 2), 'Fund Investment Data'!$B:$B &gt; 3)))  * Parameters!$B$4 * (1 - Parameters!$A$4),0)"),1706.9301450000003)</f>
        <v>1706.930145</v>
      </c>
      <c r="Z1740" s="91">
        <f t="shared" si="24"/>
        <v>6269.442605</v>
      </c>
      <c r="AA1740" s="91">
        <f>IFERROR(__xludf.DUMMYFUNCTION("((IFERROR((SUM(FILTER('Fund Investment Data'!$V:$V, 'Fund Investment Data'!$C:$C = $C1740, 'Fund Investment Data'!$A:$A = $A1740 - 1, 'Fund Investment Data'!$B:$B &gt;= 4, 'Fund Investment Data'!$B:$B &lt;= ($B1740 + 5))) / 12) * ($B1740 - 3) * Parameters!$B$4,"&amp;" 0) + IF($B1740 &gt;= 9, IFERROR(SUM(FILTER('Fund Investment Data'!$V:$V, 'Fund Investment Data'!$C:$C = $C1740, 'Fund Investment Data'!$A:$A = $A1740, 'Fund Investment Data'!$B:$B &lt;= 3)) * Parameters!$B$4, 0),0)))"),0.0)</f>
        <v>0</v>
      </c>
      <c r="AB1740" s="32">
        <f>IFERROR(__xludf.DUMMYFUNCTION("IFERROR(((IFERROR(SUM(FILTER('Fund Investment Data'!$V:$V, 'Fund Investment Data'!$C:$C = $C1740, 'Fund Investment Data'!$A:$A = $A1740 - 2, 'Fund Investment Data'!$B:$B &gt;= 4)) * Parameters!$B$4,0) + IFERROR(SUM(FILTER('Fund Investment Data'!$V:$V, 'Fund "&amp;"Investment Data'!$C:$C = $C1740, 'Fund Investment Data'!$A:$A = $A1740 - 1, 'Fund Investment Data'!$B:$B &lt;= 3)) * Parameters!$B$4,0))),0)"),225.0)</f>
        <v>225</v>
      </c>
      <c r="AC1740" s="32" t="str">
        <f>IFERROR(__xludf.DUMMYFUNCTION("IFERROR(FILTER($AF:$AF,$C:$C = $C1740,$A:$A = $A1740 - 1,$B:$B = 12),0)"),"")</f>
        <v/>
      </c>
      <c r="AD1740" s="32">
        <f t="shared" si="23"/>
        <v>6494.442605</v>
      </c>
      <c r="AE1740" s="32">
        <f t="shared" si="2"/>
        <v>6494.442605</v>
      </c>
      <c r="AF1740" s="32"/>
    </row>
    <row r="1741">
      <c r="A1741" s="86">
        <v>2020.0</v>
      </c>
      <c r="B1741" s="87">
        <v>3.0</v>
      </c>
      <c r="C1741" s="88" t="s">
        <v>54</v>
      </c>
      <c r="D1741" s="104">
        <v>250.0</v>
      </c>
      <c r="E1741" s="104">
        <v>0.0</v>
      </c>
      <c r="F1741" s="104">
        <v>0.0</v>
      </c>
      <c r="G1741" s="104">
        <v>-195.45</v>
      </c>
      <c r="H1741" s="104">
        <v>1099.01</v>
      </c>
      <c r="I1741" s="104">
        <v>8701.18</v>
      </c>
      <c r="J1741" s="104">
        <v>-34281.95</v>
      </c>
      <c r="K1741" s="32"/>
      <c r="L1741" s="32"/>
      <c r="M1741" s="32"/>
      <c r="N1741" s="32"/>
      <c r="O1741" s="106">
        <v>150237.97</v>
      </c>
      <c r="P1741" s="91">
        <f>IFERROR(__xludf.DUMMYFUNCTION("IFERROR(sum(FILTER($D:$N,$C:$C = $C1741,$A:$A &lt; $A1741,$B:$B = 12)),0) + sum($D1741:$N1741)"),150238.93999999997)</f>
        <v>150238.94</v>
      </c>
      <c r="Q1741" s="92">
        <f t="shared" si="1"/>
        <v>-0.97</v>
      </c>
      <c r="R1741" s="91">
        <f t="array" ref="R1741">IFERROR(INDEX('Fund YTD Target Values'!$1:$1000, MATCH($C1741,'Fund YTD Target Values'!$A:$A,0), MATCH($A1741,'Fund YTD Target Values'!$1:$1,0)),0)</f>
        <v>162317.7907</v>
      </c>
      <c r="S1741" s="91">
        <f>IFERROR(__xludf.DUMMYFUNCTION("IFERROR(sum(FILTER('Fund Investment Data'!$V:$V, 'Fund Investment Data'!$C:$C = $C1741, 'Fund Investment Data'!$A:$A &lt; $A1741)),0) + IFERROR(sum(FILTER('Fund Investment Data'!$V:$V, 'Fund Investment Data'!$C:$C = $C1741, 'Fund Investment Data'!$A:$A = $A1"&amp;"741, 'Fund Investment Data'!$B:$B &lt;= $B1741)),0)"),113225.14999999998)</f>
        <v>113225.15</v>
      </c>
      <c r="T1741" s="32"/>
      <c r="U1741" s="32"/>
      <c r="V1741" s="32">
        <f>IFERROR(__xludf.DUMMYFUNCTION("$D1741 - IFERROR(FILTER($D:$D,$C:$C = $C1741, $A:$A = $A1741, $B:$B = $B1741 - 1),0)"),0.0)</f>
        <v>0</v>
      </c>
      <c r="W1741" s="93">
        <f>IFERROR(__xludf.DUMMYFUNCTION("$E1741 - IFERROR(FILTER($E:$E,$C:$C = $C1741, $A:$A = $A1741, $B:$B = $B1741 - 1),0)"),0.0)</f>
        <v>0</v>
      </c>
      <c r="X1741" s="91">
        <f>IFERROR(__xludf.DUMMYFUNCTION("iFERROR((FILTER('Fund Investment Data'!$Z:$Z, 'Fund Investment Data'!$C:$C = $C1741, 'Fund Investment Data'!$A:$A = $A1741 - 1, 'Fund Investment Data'!$B:$B = 12) + FILTER('Fund Investment Data'!$AB:$AB, 'Fund Investment Data'!$C:$C = $C1741, 'Fund Invest"&amp;"ment Data'!$A:$A = $A1741 - 1, 'Fund Investment Data'!$B:$B = 12)) * (1 + AVERAGE(FILTER('Inflation Data'!$C:$C,'Inflation Data'!$A:$A = ($A1741 - 2)))) * Parameters!$A$4,0)"),5485.4342945921035)</f>
        <v>5485.434295</v>
      </c>
      <c r="Y1741" s="91">
        <f>IFERROR(__xludf.DUMMYFUNCTION("IFERROR((IFERROR(FILTER('Fund Investment Data'!$P:$P,'Fund Investment Data'!$C:$C = $C1741,'Fund Investment Data'!$A:$A = ($A1741 - 2), 'Fund Investment Data'!$B:$B = 12),0) - SUM(FILTER('Fund Investment Data'!$V:$V, 'Fund Investment Data'!$C:$C = $C1741,"&amp;" 'Fund Investment Data'!$A:$A = ($A1741 - 2), 'Fund Investment Data'!$B:$B &gt; 3)))  * Parameters!$B$4 * (1 - Parameters!$A$4),0)"),2091.582674999999)</f>
        <v>2091.582675</v>
      </c>
      <c r="Z1741" s="91">
        <f t="shared" si="24"/>
        <v>7577.01697</v>
      </c>
      <c r="AA1741" s="91">
        <f>IFERROR(__xludf.DUMMYFUNCTION("((IFERROR((SUM(FILTER('Fund Investment Data'!$V:$V, 'Fund Investment Data'!$C:$C = $C1741, 'Fund Investment Data'!$A:$A = $A1741 - 1, 'Fund Investment Data'!$B:$B &gt;= 4, 'Fund Investment Data'!$B:$B &lt;= ($B1741 + 5))) / 12) * ($B1741 - 3) * Parameters!$B$4,"&amp;" 0) + IF($B1741 &gt;= 9, IFERROR(SUM(FILTER('Fund Investment Data'!$V:$V, 'Fund Investment Data'!$C:$C = $C1741, 'Fund Investment Data'!$A:$A = $A1741, 'Fund Investment Data'!$B:$B &lt;= 3)) * Parameters!$B$4, 0),0)))"),0.0)</f>
        <v>0</v>
      </c>
      <c r="AB1741" s="32">
        <f>IFERROR(__xludf.DUMMYFUNCTION("IFERROR(((IFERROR(SUM(FILTER('Fund Investment Data'!$V:$V, 'Fund Investment Data'!$C:$C = $C1741, 'Fund Investment Data'!$A:$A = $A1741 - 2, 'Fund Investment Data'!$B:$B &gt;= 4)) * Parameters!$B$4,0) + IFERROR(SUM(FILTER('Fund Investment Data'!$V:$V, 'Fund "&amp;"Investment Data'!$C:$C = $C1741, 'Fund Investment Data'!$A:$A = $A1741 - 1, 'Fund Investment Data'!$B:$B &lt;= 3)) * Parameters!$B$4,0))),0)"),6.075)</f>
        <v>6.075</v>
      </c>
      <c r="AC1741" s="32" t="str">
        <f>IFERROR(__xludf.DUMMYFUNCTION("IFERROR(FILTER($AF:$AF,$C:$C = $C1741,$A:$A = $A1741 - 1,$B:$B = 12),0)"),"")</f>
        <v/>
      </c>
      <c r="AD1741" s="32">
        <f t="shared" si="23"/>
        <v>7583.09197</v>
      </c>
      <c r="AE1741" s="32">
        <f t="shared" si="2"/>
        <v>7583.09197</v>
      </c>
      <c r="AF1741" s="32"/>
    </row>
    <row r="1742">
      <c r="A1742" s="86">
        <v>2020.0</v>
      </c>
      <c r="B1742" s="87">
        <v>3.0</v>
      </c>
      <c r="C1742" s="88" t="s">
        <v>55</v>
      </c>
      <c r="D1742" s="104">
        <v>0.0</v>
      </c>
      <c r="E1742" s="104">
        <v>0.0</v>
      </c>
      <c r="F1742" s="104">
        <v>0.0</v>
      </c>
      <c r="G1742" s="104">
        <v>-414.2</v>
      </c>
      <c r="H1742" s="104">
        <v>2328.46</v>
      </c>
      <c r="I1742" s="104">
        <v>18455.73</v>
      </c>
      <c r="J1742" s="104">
        <v>-72645.18</v>
      </c>
      <c r="K1742" s="32"/>
      <c r="L1742" s="32"/>
      <c r="M1742" s="32"/>
      <c r="N1742" s="32"/>
      <c r="O1742" s="106">
        <v>318247.16</v>
      </c>
      <c r="P1742" s="91">
        <f>IFERROR(__xludf.DUMMYFUNCTION("IFERROR(sum(FILTER($D:$N,$C:$C = $C1742,$A:$A &lt; $A1742,$B:$B = 12)),0) + sum($D1742:$N1742)"),318247.1599999999)</f>
        <v>318247.16</v>
      </c>
      <c r="Q1742" s="92">
        <f t="shared" si="1"/>
        <v>0</v>
      </c>
      <c r="R1742" s="91">
        <f t="array" ref="R1742">IFERROR(INDEX('Fund YTD Target Values'!$1:$1000, MATCH($C1742,'Fund YTD Target Values'!$A:$A,0), MATCH($A1742,'Fund YTD Target Values'!$1:$1,0)),0)</f>
        <v>373132.6187</v>
      </c>
      <c r="S1742" s="91">
        <f>IFERROR(__xludf.DUMMYFUNCTION("IFERROR(sum(FILTER('Fund Investment Data'!$V:$V, 'Fund Investment Data'!$C:$C = $C1742, 'Fund Investment Data'!$A:$A &lt; $A1742)),0) + IFERROR(sum(FILTER('Fund Investment Data'!$V:$V, 'Fund Investment Data'!$C:$C = $C1742, 'Fund Investment Data'!$A:$A = $A1"&amp;"742, 'Fund Investment Data'!$B:$B &lt;= $B1742)),0)"),350000.0)</f>
        <v>350000</v>
      </c>
      <c r="T1742" s="32"/>
      <c r="U1742" s="32"/>
      <c r="V1742" s="32">
        <f>IFERROR(__xludf.DUMMYFUNCTION("$D1742 - IFERROR(FILTER($D:$D,$C:$C = $C1742, $A:$A = $A1742, $B:$B = $B1742 - 1),0)"),0.0)</f>
        <v>0</v>
      </c>
      <c r="W1742" s="93">
        <f>IFERROR(__xludf.DUMMYFUNCTION("$E1742 - IFERROR(FILTER($E:$E,$C:$C = $C1742, $A:$A = $A1742, $B:$B = $B1742 - 1),0)"),0.0)</f>
        <v>0</v>
      </c>
      <c r="X1742" s="91">
        <f>IFERROR(__xludf.DUMMYFUNCTION("iFERROR((FILTER('Fund Investment Data'!$Z:$Z, 'Fund Investment Data'!$C:$C = $C1742, 'Fund Investment Data'!$A:$A = $A1742 - 1, 'Fund Investment Data'!$B:$B = 12) + FILTER('Fund Investment Data'!$AB:$AB, 'Fund Investment Data'!$C:$C = $C1742, 'Fund Invest"&amp;"ment Data'!$A:$A = $A1742 - 1, 'Fund Investment Data'!$B:$B = 12)) * (1 + AVERAGE(FILTER('Inflation Data'!$C:$C,'Inflation Data'!$A:$A = ($A1742 - 2)))) * Parameters!$A$4,0)"),8733.12388790319)</f>
        <v>8733.123888</v>
      </c>
      <c r="Y1742" s="91">
        <f>IFERROR(__xludf.DUMMYFUNCTION("IFERROR((IFERROR(FILTER('Fund Investment Data'!$P:$P,'Fund Investment Data'!$C:$C = $C1742,'Fund Investment Data'!$A:$A = ($A1742 - 2), 'Fund Investment Data'!$B:$B = 12),0) - SUM(FILTER('Fund Investment Data'!$V:$V, 'Fund Investment Data'!$C:$C = $C1742,"&amp;" 'Fund Investment Data'!$A:$A = ($A1742 - 2), 'Fund Investment Data'!$B:$B &gt; 3)))  * Parameters!$B$4 * (1 - Parameters!$A$4),0)"),2801.6676899999998)</f>
        <v>2801.66769</v>
      </c>
      <c r="Z1742" s="91">
        <f t="shared" si="24"/>
        <v>11534.79158</v>
      </c>
      <c r="AA1742" s="91">
        <f>IFERROR(__xludf.DUMMYFUNCTION("((IFERROR((SUM(FILTER('Fund Investment Data'!$V:$V, 'Fund Investment Data'!$C:$C = $C1742, 'Fund Investment Data'!$A:$A = $A1742 - 1, 'Fund Investment Data'!$B:$B &gt;= 4, 'Fund Investment Data'!$B:$B &lt;= ($B1742 + 5))) / 12) * ($B1742 - 3) * Parameters!$B$4,"&amp;" 0) + IF($B1742 &gt;= 9, IFERROR(SUM(FILTER('Fund Investment Data'!$V:$V, 'Fund Investment Data'!$C:$C = $C1742, 'Fund Investment Data'!$A:$A = $A1742, 'Fund Investment Data'!$B:$B &lt;= 3)) * Parameters!$B$4, 0),0)))"),0.0)</f>
        <v>0</v>
      </c>
      <c r="AB1742" s="32">
        <f>IFERROR(__xludf.DUMMYFUNCTION("IFERROR(((IFERROR(SUM(FILTER('Fund Investment Data'!$V:$V, 'Fund Investment Data'!$C:$C = $C1742, 'Fund Investment Data'!$A:$A = $A1742 - 2, 'Fund Investment Data'!$B:$B &gt;= 4)) * Parameters!$B$4,0) + IFERROR(SUM(FILTER('Fund Investment Data'!$V:$V, 'Fund "&amp;"Investment Data'!$C:$C = $C1742, 'Fund Investment Data'!$A:$A = $A1742 - 1, 'Fund Investment Data'!$B:$B &lt;= 3)) * Parameters!$B$4,0))),0)"),3150.0)</f>
        <v>3150</v>
      </c>
      <c r="AC1742" s="32" t="str">
        <f>IFERROR(__xludf.DUMMYFUNCTION("IFERROR(FILTER($AF:$AF,$C:$C = $C1742,$A:$A = $A1742 - 1,$B:$B = 12),0)"),"")</f>
        <v/>
      </c>
      <c r="AD1742" s="32">
        <f t="shared" si="23"/>
        <v>14684.79158</v>
      </c>
      <c r="AE1742" s="32">
        <f t="shared" si="2"/>
        <v>14684.79158</v>
      </c>
      <c r="AF1742" s="32"/>
    </row>
    <row r="1743">
      <c r="A1743" s="86">
        <v>2020.0</v>
      </c>
      <c r="B1743" s="87">
        <v>3.0</v>
      </c>
      <c r="C1743" s="88" t="s">
        <v>44</v>
      </c>
      <c r="D1743" s="104">
        <v>0.0</v>
      </c>
      <c r="E1743" s="104">
        <v>0.0</v>
      </c>
      <c r="F1743" s="104">
        <v>0.0</v>
      </c>
      <c r="G1743" s="104">
        <v>-314.26</v>
      </c>
      <c r="H1743" s="104">
        <v>1766.63</v>
      </c>
      <c r="I1743" s="104">
        <v>14002.54</v>
      </c>
      <c r="J1743" s="104">
        <v>-55116.62</v>
      </c>
      <c r="K1743" s="32"/>
      <c r="L1743" s="32"/>
      <c r="M1743" s="32"/>
      <c r="N1743" s="32"/>
      <c r="O1743" s="106">
        <v>241457.28</v>
      </c>
      <c r="P1743" s="91">
        <f>IFERROR(__xludf.DUMMYFUNCTION("IFERROR(sum(FILTER($D:$N,$C:$C = $C1743,$A:$A &lt; $A1743,$B:$B = 12)),0) + sum($D1743:$N1743)"),241458.17000000007)</f>
        <v>241458.17</v>
      </c>
      <c r="Q1743" s="92">
        <f t="shared" si="1"/>
        <v>-0.8900000001</v>
      </c>
      <c r="R1743" s="91">
        <f t="array" ref="R1743">IFERROR(INDEX('Fund YTD Target Values'!$1:$1000, MATCH($C1743,'Fund YTD Target Values'!$A:$A,0), MATCH($A1743,'Fund YTD Target Values'!$1:$1,0)),0)</f>
        <v>335306.2117</v>
      </c>
      <c r="S1743" s="91">
        <f>IFERROR(__xludf.DUMMYFUNCTION("IFERROR(sum(FILTER('Fund Investment Data'!$V:$V, 'Fund Investment Data'!$C:$C = $C1743, 'Fund Investment Data'!$A:$A &lt; $A1743)),0) + IFERROR(sum(FILTER('Fund Investment Data'!$V:$V, 'Fund Investment Data'!$C:$C = $C1743, 'Fund Investment Data'!$A:$A = $A1"&amp;"743, 'Fund Investment Data'!$B:$B &lt;= $B1743)),0)"),250000.0)</f>
        <v>250000</v>
      </c>
      <c r="T1743" s="32"/>
      <c r="U1743" s="32"/>
      <c r="V1743" s="32">
        <f>IFERROR(__xludf.DUMMYFUNCTION("$D1743 - IFERROR(FILTER($D:$D,$C:$C = $C1743, $A:$A = $A1743, $B:$B = $B1743 - 1),0)"),0.0)</f>
        <v>0</v>
      </c>
      <c r="W1743" s="93">
        <f>IFERROR(__xludf.DUMMYFUNCTION("$E1743 - IFERROR(FILTER($E:$E,$C:$C = $C1743, $A:$A = $A1743, $B:$B = $B1743 - 1),0)"),0.0)</f>
        <v>0</v>
      </c>
      <c r="X1743" s="91">
        <f>IFERROR(__xludf.DUMMYFUNCTION("iFERROR((FILTER('Fund Investment Data'!$Z:$Z, 'Fund Investment Data'!$C:$C = $C1743, 'Fund Investment Data'!$A:$A = $A1743 - 1, 'Fund Investment Data'!$B:$B = 12) + FILTER('Fund Investment Data'!$AB:$AB, 'Fund Investment Data'!$C:$C = $C1743, 'Fund Invest"&amp;"ment Data'!$A:$A = $A1743 - 1, 'Fund Investment Data'!$B:$B = 12)) * (1 + AVERAGE(FILTER('Inflation Data'!$C:$C,'Inflation Data'!$A:$A = ($A1743 - 2)))) * Parameters!$A$4,0)"),9387.616085113343)</f>
        <v>9387.616085</v>
      </c>
      <c r="Y1743" s="91">
        <f>IFERROR(__xludf.DUMMYFUNCTION("IFERROR((IFERROR(FILTER('Fund Investment Data'!$P:$P,'Fund Investment Data'!$C:$C = $C1743,'Fund Investment Data'!$A:$A = ($A1743 - 2), 'Fund Investment Data'!$B:$B = 12),0) - SUM(FILTER('Fund Investment Data'!$V:$V, 'Fund Investment Data'!$C:$C = $C1743,"&amp;" 'Fund Investment Data'!$A:$A = ($A1743 - 2), 'Fund Investment Data'!$B:$B &gt; 3)))  * Parameters!$B$4 * (1 - Parameters!$A$4),0)"),3384.7055550000014)</f>
        <v>3384.705555</v>
      </c>
      <c r="Z1743" s="91">
        <f t="shared" si="24"/>
        <v>12772.32164</v>
      </c>
      <c r="AA1743" s="91">
        <f>IFERROR(__xludf.DUMMYFUNCTION("((IFERROR((SUM(FILTER('Fund Investment Data'!$V:$V, 'Fund Investment Data'!$C:$C = $C1743, 'Fund Investment Data'!$A:$A = $A1743 - 1, 'Fund Investment Data'!$B:$B &gt;= 4, 'Fund Investment Data'!$B:$B &lt;= ($B1743 + 5))) / 12) * ($B1743 - 3) * Parameters!$B$4,"&amp;" 0) + IF($B1743 &gt;= 9, IFERROR(SUM(FILTER('Fund Investment Data'!$V:$V, 'Fund Investment Data'!$C:$C = $C1743, 'Fund Investment Data'!$A:$A = $A1743, 'Fund Investment Data'!$B:$B &lt;= 3)) * Parameters!$B$4, 0),0)))"),0.0)</f>
        <v>0</v>
      </c>
      <c r="AB1743" s="32">
        <f>IFERROR(__xludf.DUMMYFUNCTION("IFERROR(((IFERROR(SUM(FILTER('Fund Investment Data'!$V:$V, 'Fund Investment Data'!$C:$C = $C1743, 'Fund Investment Data'!$A:$A = $A1743 - 2, 'Fund Investment Data'!$B:$B &gt;= 4)) * Parameters!$B$4,0) + IFERROR(SUM(FILTER('Fund Investment Data'!$V:$V, 'Fund "&amp;"Investment Data'!$C:$C = $C1743, 'Fund Investment Data'!$A:$A = $A1743 - 1, 'Fund Investment Data'!$B:$B &lt;= 3)) * Parameters!$B$4,0))),0)"),0.0)</f>
        <v>0</v>
      </c>
      <c r="AC1743" s="32" t="str">
        <f>IFERROR(__xludf.DUMMYFUNCTION("IFERROR(FILTER($AF:$AF,$C:$C = $C1743,$A:$A = $A1743 - 1,$B:$B = 12),0)"),"")</f>
        <v/>
      </c>
      <c r="AD1743" s="32">
        <f t="shared" si="23"/>
        <v>12772.32164</v>
      </c>
      <c r="AE1743" s="32">
        <f t="shared" si="2"/>
        <v>12772.32164</v>
      </c>
      <c r="AF1743" s="32"/>
    </row>
    <row r="1744">
      <c r="A1744" s="86">
        <v>2020.0</v>
      </c>
      <c r="B1744" s="87">
        <v>3.0</v>
      </c>
      <c r="C1744" s="88" t="s">
        <v>45</v>
      </c>
      <c r="D1744" s="104">
        <v>0.0</v>
      </c>
      <c r="E1744" s="104">
        <v>0.0</v>
      </c>
      <c r="F1744" s="104">
        <v>0.0</v>
      </c>
      <c r="G1744" s="104">
        <v>-167.14</v>
      </c>
      <c r="H1744" s="104">
        <v>939.57</v>
      </c>
      <c r="I1744" s="104">
        <v>7447.31</v>
      </c>
      <c r="J1744" s="104">
        <v>-29313.96</v>
      </c>
      <c r="K1744" s="32"/>
      <c r="L1744" s="32"/>
      <c r="M1744" s="32"/>
      <c r="N1744" s="32"/>
      <c r="O1744" s="106">
        <v>128419.94</v>
      </c>
      <c r="P1744" s="91">
        <f>IFERROR(__xludf.DUMMYFUNCTION("IFERROR(sum(FILTER($D:$N,$C:$C = $C1744,$A:$A &lt; $A1744,$B:$B = 12)),0) + sum($D1744:$N1744)"),128420.14999999997)</f>
        <v>128420.15</v>
      </c>
      <c r="Q1744" s="92">
        <f t="shared" si="1"/>
        <v>-0.21</v>
      </c>
      <c r="R1744" s="91">
        <f t="array" ref="R1744">IFERROR(INDEX('Fund YTD Target Values'!$1:$1000, MATCH($C1744,'Fund YTD Target Values'!$A:$A,0), MATCH($A1744,'Fund YTD Target Values'!$1:$1,0)),0)</f>
        <v>126414.6128</v>
      </c>
      <c r="S1744" s="91">
        <f>IFERROR(__xludf.DUMMYFUNCTION("IFERROR(sum(FILTER('Fund Investment Data'!$V:$V, 'Fund Investment Data'!$C:$C = $C1744, 'Fund Investment Data'!$A:$A &lt; $A1744)),0) + IFERROR(sum(FILTER('Fund Investment Data'!$V:$V, 'Fund Investment Data'!$C:$C = $C1744, 'Fund Investment Data'!$A:$A = $A1"&amp;"744, 'Fund Investment Data'!$B:$B &lt;= $B1744)),0)"),100000.0)</f>
        <v>100000</v>
      </c>
      <c r="T1744" s="32"/>
      <c r="U1744" s="32"/>
      <c r="V1744" s="32">
        <f>IFERROR(__xludf.DUMMYFUNCTION("$D1744 - IFERROR(FILTER($D:$D,$C:$C = $C1744, $A:$A = $A1744, $B:$B = $B1744 - 1),0)"),0.0)</f>
        <v>0</v>
      </c>
      <c r="W1744" s="93">
        <f>IFERROR(__xludf.DUMMYFUNCTION("$E1744 - IFERROR(FILTER($E:$E,$C:$C = $C1744, $A:$A = $A1744, $B:$B = $B1744 - 1),0)"),0.0)</f>
        <v>0</v>
      </c>
      <c r="X1744" s="91">
        <f>IFERROR(__xludf.DUMMYFUNCTION("iFERROR((FILTER('Fund Investment Data'!$Z:$Z, 'Fund Investment Data'!$C:$C = $C1744, 'Fund Investment Data'!$A:$A = $A1744 - 1, 'Fund Investment Data'!$B:$B = 12) + FILTER('Fund Investment Data'!$AB:$AB, 'Fund Investment Data'!$C:$C = $C1744, 'Fund Invest"&amp;"ment Data'!$A:$A = $A1744 - 1, 'Fund Investment Data'!$B:$B = 12)) * (1 + AVERAGE(FILTER('Inflation Data'!$C:$C,'Inflation Data'!$A:$A = ($A1744 - 2)))) * Parameters!$A$4,0)"),4167.033304324799)</f>
        <v>4167.033304</v>
      </c>
      <c r="Y1744" s="91">
        <f>IFERROR(__xludf.DUMMYFUNCTION("IFERROR((IFERROR(FILTER('Fund Investment Data'!$P:$P,'Fund Investment Data'!$C:$C = $C1744,'Fund Investment Data'!$A:$A = ($A1744 - 2), 'Fund Investment Data'!$B:$B = 12),0) - SUM(FILTER('Fund Investment Data'!$V:$V, 'Fund Investment Data'!$C:$C = $C1744,"&amp;" 'Fund Investment Data'!$A:$A = ($A1744 - 2), 'Fund Investment Data'!$B:$B &gt; 3)))  * Parameters!$B$4 * (1 - Parameters!$A$4),0)"),1786.5376199999996)</f>
        <v>1786.53762</v>
      </c>
      <c r="Z1744" s="91">
        <f t="shared" si="24"/>
        <v>5953.570924</v>
      </c>
      <c r="AA1744" s="91">
        <f>IFERROR(__xludf.DUMMYFUNCTION("((IFERROR((SUM(FILTER('Fund Investment Data'!$V:$V, 'Fund Investment Data'!$C:$C = $C1744, 'Fund Investment Data'!$A:$A = $A1744 - 1, 'Fund Investment Data'!$B:$B &gt;= 4, 'Fund Investment Data'!$B:$B &lt;= ($B1744 + 5))) / 12) * ($B1744 - 3) * Parameters!$B$4,"&amp;" 0) + IF($B1744 &gt;= 9, IFERROR(SUM(FILTER('Fund Investment Data'!$V:$V, 'Fund Investment Data'!$C:$C = $C1744, 'Fund Investment Data'!$A:$A = $A1744, 'Fund Investment Data'!$B:$B &lt;= 3)) * Parameters!$B$4, 0),0)))"),0.0)</f>
        <v>0</v>
      </c>
      <c r="AB1744" s="32">
        <f>IFERROR(__xludf.DUMMYFUNCTION("IFERROR(((IFERROR(SUM(FILTER('Fund Investment Data'!$V:$V, 'Fund Investment Data'!$C:$C = $C1744, 'Fund Investment Data'!$A:$A = $A1744 - 2, 'Fund Investment Data'!$B:$B &gt;= 4)) * Parameters!$B$4,0) + IFERROR(SUM(FILTER('Fund Investment Data'!$V:$V, 'Fund "&amp;"Investment Data'!$C:$C = $C1744, 'Fund Investment Data'!$A:$A = $A1744 - 1, 'Fund Investment Data'!$B:$B &lt;= 3)) * Parameters!$B$4,0))),0)"),0.0)</f>
        <v>0</v>
      </c>
      <c r="AC1744" s="32" t="str">
        <f>IFERROR(__xludf.DUMMYFUNCTION("IFERROR(FILTER($AF:$AF,$C:$C = $C1744,$A:$A = $A1744 - 1,$B:$B = 12),0)"),"")</f>
        <v/>
      </c>
      <c r="AD1744" s="32">
        <f t="shared" si="23"/>
        <v>5953.570924</v>
      </c>
      <c r="AE1744" s="32">
        <f t="shared" si="2"/>
        <v>5953.570924</v>
      </c>
      <c r="AF1744" s="32"/>
    </row>
    <row r="1745">
      <c r="A1745" s="86">
        <v>2020.0</v>
      </c>
      <c r="B1745" s="87">
        <v>3.0</v>
      </c>
      <c r="C1745" s="88" t="s">
        <v>35</v>
      </c>
      <c r="D1745" s="104">
        <v>0.0</v>
      </c>
      <c r="E1745" s="104">
        <v>0.0</v>
      </c>
      <c r="F1745" s="104">
        <v>0.0</v>
      </c>
      <c r="G1745" s="104">
        <v>-1623.31</v>
      </c>
      <c r="H1745" s="104">
        <v>9125.55</v>
      </c>
      <c r="I1745" s="104">
        <v>72330.47</v>
      </c>
      <c r="J1745" s="104">
        <v>-284706.26</v>
      </c>
      <c r="K1745" s="32"/>
      <c r="L1745" s="32"/>
      <c r="M1745" s="32"/>
      <c r="N1745" s="32"/>
      <c r="O1745" s="106">
        <v>1247253.49</v>
      </c>
      <c r="P1745" s="91">
        <f>IFERROR(__xludf.DUMMYFUNCTION("IFERROR(sum(FILTER($D:$N,$C:$C = $C1745,$A:$A &lt; $A1745,$B:$B = 12)),0) + sum($D1745:$N1745)"),1247252.7200000004)</f>
        <v>1247252.72</v>
      </c>
      <c r="Q1745" s="92">
        <f t="shared" si="1"/>
        <v>0.7699999996</v>
      </c>
      <c r="R1745" s="91">
        <f t="array" ref="R1745">IFERROR(INDEX('Fund YTD Target Values'!$1:$1000, MATCH($C1745,'Fund YTD Target Values'!$A:$A,0), MATCH($A1745,'Fund YTD Target Values'!$1:$1,0)),0)</f>
        <v>1646621.83</v>
      </c>
      <c r="S1745" s="91">
        <f>IFERROR(__xludf.DUMMYFUNCTION("IFERROR(sum(FILTER('Fund Investment Data'!$V:$V, 'Fund Investment Data'!$C:$C = $C1745, 'Fund Investment Data'!$A:$A &lt; $A1745)),0) + IFERROR(sum(FILTER('Fund Investment Data'!$V:$V, 'Fund Investment Data'!$C:$C = $C1745, 'Fund Investment Data'!$A:$A = $A1"&amp;"745, 'Fund Investment Data'!$B:$B &lt;= $B1745)),0)"),1086625.0)</f>
        <v>1086625</v>
      </c>
      <c r="T1745" s="32"/>
      <c r="U1745" s="32"/>
      <c r="V1745" s="32">
        <f>IFERROR(__xludf.DUMMYFUNCTION("$D1745 - IFERROR(FILTER($D:$D,$C:$C = $C1745, $A:$A = $A1745, $B:$B = $B1745 - 1),0)"),0.0)</f>
        <v>0</v>
      </c>
      <c r="W1745" s="93">
        <f>IFERROR(__xludf.DUMMYFUNCTION("$E1745 - IFERROR(FILTER($E:$E,$C:$C = $C1745, $A:$A = $A1745, $B:$B = $B1745 - 1),0)"),0.0)</f>
        <v>0</v>
      </c>
      <c r="X1745" s="91">
        <f>IFERROR(__xludf.DUMMYFUNCTION("iFERROR((FILTER('Fund Investment Data'!$Z:$Z, 'Fund Investment Data'!$C:$C = $C1745, 'Fund Investment Data'!$A:$A = $A1745 - 1, 'Fund Investment Data'!$B:$B = 12) + FILTER('Fund Investment Data'!$AB:$AB, 'Fund Investment Data'!$C:$C = $C1745, 'Fund Invest"&amp;"ment Data'!$A:$A = $A1745 - 1, 'Fund Investment Data'!$B:$B = 12)) * (1 + AVERAGE(FILTER('Inflation Data'!$C:$C,'Inflation Data'!$A:$A = ($A1745 - 2)))) * Parameters!$A$4,0)"),48017.5257939409)</f>
        <v>48017.52579</v>
      </c>
      <c r="Y1745" s="91">
        <f>IFERROR(__xludf.DUMMYFUNCTION("IFERROR((IFERROR(FILTER('Fund Investment Data'!$P:$P,'Fund Investment Data'!$C:$C = $C1745,'Fund Investment Data'!$A:$A = ($A1745 - 2), 'Fund Investment Data'!$B:$B = 12),0) - SUM(FILTER('Fund Investment Data'!$V:$V, 'Fund Investment Data'!$C:$C = $C1745,"&amp;" 'Fund Investment Data'!$A:$A = ($A1745 - 2), 'Fund Investment Data'!$B:$B &gt; 3)))  * Parameters!$B$4 * (1 - Parameters!$A$4),0)"),17468.81194500001)</f>
        <v>17468.81195</v>
      </c>
      <c r="Z1745" s="91">
        <f t="shared" si="24"/>
        <v>65486.33774</v>
      </c>
      <c r="AA1745" s="91">
        <f>IFERROR(__xludf.DUMMYFUNCTION("((IFERROR((SUM(FILTER('Fund Investment Data'!$V:$V, 'Fund Investment Data'!$C:$C = $C1745, 'Fund Investment Data'!$A:$A = $A1745 - 1, 'Fund Investment Data'!$B:$B &gt;= 4, 'Fund Investment Data'!$B:$B &lt;= ($B1745 + 5))) / 12) * ($B1745 - 3) * Parameters!$B$4,"&amp;" 0) + IF($B1745 &gt;= 9, IFERROR(SUM(FILTER('Fund Investment Data'!$V:$V, 'Fund Investment Data'!$C:$C = $C1745, 'Fund Investment Data'!$A:$A = $A1745, 'Fund Investment Data'!$B:$B &lt;= 3)) * Parameters!$B$4, 0),0)))"),0.0)</f>
        <v>0</v>
      </c>
      <c r="AB1745" s="32">
        <f>IFERROR(__xludf.DUMMYFUNCTION("IFERROR(((IFERROR(SUM(FILTER('Fund Investment Data'!$V:$V, 'Fund Investment Data'!$C:$C = $C1745, 'Fund Investment Data'!$A:$A = $A1745 - 2, 'Fund Investment Data'!$B:$B &gt;= 4)) * Parameters!$B$4,0) + IFERROR(SUM(FILTER('Fund Investment Data'!$V:$V, 'Fund "&amp;"Investment Data'!$C:$C = $C1745, 'Fund Investment Data'!$A:$A = $A1745 - 1, 'Fund Investment Data'!$B:$B &lt;= 3)) * Parameters!$B$4,0))),0)"),0.0)</f>
        <v>0</v>
      </c>
      <c r="AC1745" s="32" t="str">
        <f>IFERROR(__xludf.DUMMYFUNCTION("IFERROR(FILTER($AF:$AF,$C:$C = $C1745,$A:$A = $A1745 - 1,$B:$B = 12),0)"),"")</f>
        <v/>
      </c>
      <c r="AD1745" s="32">
        <f t="shared" si="23"/>
        <v>65486.33774</v>
      </c>
      <c r="AE1745" s="32">
        <f t="shared" si="2"/>
        <v>65486.33774</v>
      </c>
      <c r="AF1745" s="32"/>
    </row>
    <row r="1746">
      <c r="A1746" s="86">
        <v>2020.0</v>
      </c>
      <c r="B1746" s="87">
        <v>3.0</v>
      </c>
      <c r="C1746" s="88" t="s">
        <v>56</v>
      </c>
      <c r="D1746" s="104">
        <v>0.0</v>
      </c>
      <c r="E1746" s="104">
        <v>0.0</v>
      </c>
      <c r="F1746" s="104">
        <v>0.0</v>
      </c>
      <c r="G1746" s="104">
        <v>-1256.8</v>
      </c>
      <c r="H1746" s="104">
        <v>7065.18</v>
      </c>
      <c r="I1746" s="104">
        <v>55999.8</v>
      </c>
      <c r="J1746" s="104">
        <v>-220425.67</v>
      </c>
      <c r="K1746" s="32"/>
      <c r="L1746" s="32"/>
      <c r="M1746" s="32"/>
      <c r="N1746" s="32"/>
      <c r="O1746" s="106">
        <v>965650.34</v>
      </c>
      <c r="P1746" s="91">
        <f>IFERROR(__xludf.DUMMYFUNCTION("IFERROR(sum(FILTER($D:$N,$C:$C = $C1746,$A:$A &lt; $A1746,$B:$B = 12)),0) + sum($D1746:$N1746)"),965650.3399999999)</f>
        <v>965650.34</v>
      </c>
      <c r="Q1746" s="92">
        <f t="shared" si="1"/>
        <v>0.0000000001164153218</v>
      </c>
      <c r="R1746" s="91">
        <f t="array" ref="R1746">IFERROR(INDEX('Fund YTD Target Values'!$1:$1000, MATCH($C1746,'Fund YTD Target Values'!$A:$A,0), MATCH($A1746,'Fund YTD Target Values'!$1:$1,0)),0)</f>
        <v>1105978.68</v>
      </c>
      <c r="S1746" s="91">
        <f>IFERROR(__xludf.DUMMYFUNCTION("IFERROR(sum(FILTER('Fund Investment Data'!$V:$V, 'Fund Investment Data'!$C:$C = $C1746, 'Fund Investment Data'!$A:$A &lt; $A1746)),0) + IFERROR(sum(FILTER('Fund Investment Data'!$V:$V, 'Fund Investment Data'!$C:$C = $C1746, 'Fund Investment Data'!$A:$A = $A1"&amp;"746, 'Fund Investment Data'!$B:$B &lt;= $B1746)),0)"),1000000.0)</f>
        <v>1000000</v>
      </c>
      <c r="T1746" s="32"/>
      <c r="U1746" s="32"/>
      <c r="V1746" s="32">
        <f>IFERROR(__xludf.DUMMYFUNCTION("$D1746 - IFERROR(FILTER($D:$D,$C:$C = $C1746, $A:$A = $A1746, $B:$B = $B1746 - 1),0)"),0.0)</f>
        <v>0</v>
      </c>
      <c r="W1746" s="93">
        <f>IFERROR(__xludf.DUMMYFUNCTION("$E1746 - IFERROR(FILTER($E:$E,$C:$C = $C1746, $A:$A = $A1746, $B:$B = $B1746 - 1),0)"),0.0)</f>
        <v>0</v>
      </c>
      <c r="X1746" s="91">
        <f>IFERROR(__xludf.DUMMYFUNCTION("iFERROR((FILTER('Fund Investment Data'!$Z:$Z, 'Fund Investment Data'!$C:$C = $C1746, 'Fund Investment Data'!$A:$A = $A1746 - 1, 'Fund Investment Data'!$B:$B = 12) + FILTER('Fund Investment Data'!$AB:$AB, 'Fund Investment Data'!$C:$C = $C1746, 'Fund Invest"&amp;"ment Data'!$A:$A = $A1746 - 1, 'Fund Investment Data'!$B:$B = 12)) * (1 + AVERAGE(FILTER('Inflation Data'!$C:$C,'Inflation Data'!$A:$A = ($A1746 - 2)))) * Parameters!$A$4,0)"),34855.73272923416)</f>
        <v>34855.73273</v>
      </c>
      <c r="Y1746" s="91">
        <f>IFERROR(__xludf.DUMMYFUNCTION("IFERROR((IFERROR(FILTER('Fund Investment Data'!$P:$P,'Fund Investment Data'!$C:$C = $C1746,'Fund Investment Data'!$A:$A = ($A1746 - 2), 'Fund Investment Data'!$B:$B = 12),0) - SUM(FILTER('Fund Investment Data'!$V:$V, 'Fund Investment Data'!$C:$C = $C1746,"&amp;" 'Fund Investment Data'!$A:$A = ($A1746 - 2), 'Fund Investment Data'!$B:$B &gt; 3)))  * Parameters!$B$4 * (1 - Parameters!$A$4),0)"),13492.071585)</f>
        <v>13492.07159</v>
      </c>
      <c r="Z1746" s="91">
        <f t="shared" si="24"/>
        <v>48347.80431</v>
      </c>
      <c r="AA1746" s="91">
        <f>IFERROR(__xludf.DUMMYFUNCTION("((IFERROR((SUM(FILTER('Fund Investment Data'!$V:$V, 'Fund Investment Data'!$C:$C = $C1746, 'Fund Investment Data'!$A:$A = $A1746 - 1, 'Fund Investment Data'!$B:$B &gt;= 4, 'Fund Investment Data'!$B:$B &lt;= ($B1746 + 5))) / 12) * ($B1746 - 3) * Parameters!$B$4,"&amp;" 0) + IF($B1746 &gt;= 9, IFERROR(SUM(FILTER('Fund Investment Data'!$V:$V, 'Fund Investment Data'!$C:$C = $C1746, 'Fund Investment Data'!$A:$A = $A1746, 'Fund Investment Data'!$B:$B &lt;= 3)) * Parameters!$B$4, 0),0)))"),0.0)</f>
        <v>0</v>
      </c>
      <c r="AB1746" s="32">
        <f>IFERROR(__xludf.DUMMYFUNCTION("IFERROR(((IFERROR(SUM(FILTER('Fund Investment Data'!$V:$V, 'Fund Investment Data'!$C:$C = $C1746, 'Fund Investment Data'!$A:$A = $A1746 - 2, 'Fund Investment Data'!$B:$B &gt;= 4)) * Parameters!$B$4,0) + IFERROR(SUM(FILTER('Fund Investment Data'!$V:$V, 'Fund "&amp;"Investment Data'!$C:$C = $C1746, 'Fund Investment Data'!$A:$A = $A1746 - 1, 'Fund Investment Data'!$B:$B &lt;= 3)) * Parameters!$B$4,0))),0)"),0.0)</f>
        <v>0</v>
      </c>
      <c r="AC1746" s="32" t="str">
        <f>IFERROR(__xludf.DUMMYFUNCTION("IFERROR(FILTER($AF:$AF,$C:$C = $C1746,$A:$A = $A1746 - 1,$B:$B = 12),0)"),"")</f>
        <v/>
      </c>
      <c r="AD1746" s="32">
        <f t="shared" si="23"/>
        <v>48347.80431</v>
      </c>
      <c r="AE1746" s="32">
        <f t="shared" si="2"/>
        <v>48347.80431</v>
      </c>
      <c r="AF1746" s="32"/>
    </row>
    <row r="1747">
      <c r="A1747" s="86">
        <v>2020.0</v>
      </c>
      <c r="B1747" s="87">
        <v>3.0</v>
      </c>
      <c r="C1747" s="88" t="s">
        <v>57</v>
      </c>
      <c r="D1747" s="104">
        <v>0.0</v>
      </c>
      <c r="E1747" s="104">
        <v>0.0</v>
      </c>
      <c r="F1747" s="104">
        <v>0.0</v>
      </c>
      <c r="G1747" s="104">
        <v>-2307.92</v>
      </c>
      <c r="H1747" s="104">
        <v>12974.17</v>
      </c>
      <c r="I1747" s="104">
        <v>102835.38</v>
      </c>
      <c r="J1747" s="104">
        <v>-404779.22</v>
      </c>
      <c r="K1747" s="32"/>
      <c r="L1747" s="32"/>
      <c r="M1747" s="32"/>
      <c r="N1747" s="32"/>
      <c r="O1747" s="106">
        <v>1773274.39</v>
      </c>
      <c r="P1747" s="91">
        <f>IFERROR(__xludf.DUMMYFUNCTION("IFERROR(sum(FILTER($D:$N,$C:$C = $C1747,$A:$A &lt; $A1747,$B:$B = 12)),0) + sum($D1747:$N1747)"),1773274.3900000001)</f>
        <v>1773274.39</v>
      </c>
      <c r="Q1747" s="92">
        <f t="shared" si="1"/>
        <v>-0.0000000002328306437</v>
      </c>
      <c r="R1747" s="91">
        <f t="array" ref="R1747">IFERROR(INDEX('Fund YTD Target Values'!$1:$1000, MATCH($C1747,'Fund YTD Target Values'!$A:$A,0), MATCH($A1747,'Fund YTD Target Values'!$1:$1,0)),0)</f>
        <v>2136262.679</v>
      </c>
      <c r="S1747" s="91">
        <f>IFERROR(__xludf.DUMMYFUNCTION("IFERROR(sum(FILTER('Fund Investment Data'!$V:$V, 'Fund Investment Data'!$C:$C = $C1747, 'Fund Investment Data'!$A:$A &lt; $A1747)),0) + IFERROR(sum(FILTER('Fund Investment Data'!$V:$V, 'Fund Investment Data'!$C:$C = $C1747, 'Fund Investment Data'!$A:$A = $A1"&amp;"747, 'Fund Investment Data'!$B:$B &lt;= $B1747)),0)"),2000000.0)</f>
        <v>2000000</v>
      </c>
      <c r="T1747" s="32"/>
      <c r="U1747" s="32"/>
      <c r="V1747" s="32">
        <f>IFERROR(__xludf.DUMMYFUNCTION("$D1747 - IFERROR(FILTER($D:$D,$C:$C = $C1747, $A:$A = $A1747, $B:$B = $B1747 - 1),0)"),0.0)</f>
        <v>0</v>
      </c>
      <c r="W1747" s="93">
        <f>IFERROR(__xludf.DUMMYFUNCTION("$E1747 - IFERROR(FILTER($E:$E,$C:$C = $C1747, $A:$A = $A1747, $B:$B = $B1747 - 1),0)"),0.0)</f>
        <v>0</v>
      </c>
      <c r="X1747" s="91">
        <f>IFERROR(__xludf.DUMMYFUNCTION("iFERROR((FILTER('Fund Investment Data'!$Z:$Z, 'Fund Investment Data'!$C:$C = $C1747, 'Fund Investment Data'!$A:$A = $A1747 - 1, 'Fund Investment Data'!$B:$B = 12) + FILTER('Fund Investment Data'!$AB:$AB, 'Fund Investment Data'!$C:$C = $C1747, 'Fund Invest"&amp;"ment Data'!$A:$A = $A1747 - 1, 'Fund Investment Data'!$B:$B = 12)) * (1 + AVERAGE(FILTER('Inflation Data'!$C:$C,'Inflation Data'!$A:$A = ($A1747 - 2)))) * Parameters!$A$4,0)"),64879.45168497103)</f>
        <v>64879.45168</v>
      </c>
      <c r="Y1747" s="91">
        <f>IFERROR(__xludf.DUMMYFUNCTION("IFERROR((IFERROR(FILTER('Fund Investment Data'!$P:$P,'Fund Investment Data'!$C:$C = $C1747,'Fund Investment Data'!$A:$A = ($A1747 - 2), 'Fund Investment Data'!$B:$B = 12),0) - SUM(FILTER('Fund Investment Data'!$V:$V, 'Fund Investment Data'!$C:$C = $C1747,"&amp;" 'Fund Investment Data'!$A:$A = ($A1747 - 2), 'Fund Investment Data'!$B:$B &gt; 3)))  * Parameters!$B$4 * (1 - Parameters!$A$4),0)"),25386.945345000004)</f>
        <v>25386.94535</v>
      </c>
      <c r="Z1747" s="91">
        <f t="shared" si="24"/>
        <v>90266.39703</v>
      </c>
      <c r="AA1747" s="91">
        <f>IFERROR(__xludf.DUMMYFUNCTION("((IFERROR((SUM(FILTER('Fund Investment Data'!$V:$V, 'Fund Investment Data'!$C:$C = $C1747, 'Fund Investment Data'!$A:$A = $A1747 - 1, 'Fund Investment Data'!$B:$B &gt;= 4, 'Fund Investment Data'!$B:$B &lt;= ($B1747 + 5))) / 12) * ($B1747 - 3) * Parameters!$B$4,"&amp;" 0) + IF($B1747 &gt;= 9, IFERROR(SUM(FILTER('Fund Investment Data'!$V:$V, 'Fund Investment Data'!$C:$C = $C1747, 'Fund Investment Data'!$A:$A = $A1747, 'Fund Investment Data'!$B:$B &lt;= 3)) * Parameters!$B$4, 0),0)))"),0.0)</f>
        <v>0</v>
      </c>
      <c r="AB1747" s="32">
        <f>IFERROR(__xludf.DUMMYFUNCTION("IFERROR(((IFERROR(SUM(FILTER('Fund Investment Data'!$V:$V, 'Fund Investment Data'!$C:$C = $C1747, 'Fund Investment Data'!$A:$A = $A1747 - 2, 'Fund Investment Data'!$B:$B &gt;= 4)) * Parameters!$B$4,0) + IFERROR(SUM(FILTER('Fund Investment Data'!$V:$V, 'Fund "&amp;"Investment Data'!$C:$C = $C1747, 'Fund Investment Data'!$A:$A = $A1747 - 1, 'Fund Investment Data'!$B:$B &lt;= 3)) * Parameters!$B$4,0))),0)"),0.0)</f>
        <v>0</v>
      </c>
      <c r="AC1747" s="32" t="str">
        <f>IFERROR(__xludf.DUMMYFUNCTION("IFERROR(FILTER($AF:$AF,$C:$C = $C1747,$A:$A = $A1747 - 1,$B:$B = 12),0)"),"")</f>
        <v/>
      </c>
      <c r="AD1747" s="32">
        <f t="shared" si="23"/>
        <v>90266.39703</v>
      </c>
      <c r="AE1747" s="32">
        <f t="shared" si="2"/>
        <v>90266.39703</v>
      </c>
      <c r="AF1747" s="32"/>
    </row>
    <row r="1748">
      <c r="A1748" s="86">
        <v>2020.0</v>
      </c>
      <c r="B1748" s="87">
        <v>3.0</v>
      </c>
      <c r="C1748" s="88" t="s">
        <v>58</v>
      </c>
      <c r="D1748" s="104">
        <v>0.0</v>
      </c>
      <c r="E1748" s="104">
        <v>0.0</v>
      </c>
      <c r="F1748" s="104">
        <v>0.0</v>
      </c>
      <c r="G1748" s="104">
        <v>-2307.54</v>
      </c>
      <c r="H1748" s="104">
        <v>12972.27</v>
      </c>
      <c r="I1748" s="104">
        <v>102820.34</v>
      </c>
      <c r="J1748" s="104">
        <v>-404720.06</v>
      </c>
      <c r="K1748" s="32"/>
      <c r="L1748" s="32"/>
      <c r="M1748" s="32"/>
      <c r="N1748" s="32"/>
      <c r="O1748" s="106">
        <v>1773015.23</v>
      </c>
      <c r="P1748" s="91">
        <f>IFERROR(__xludf.DUMMYFUNCTION("IFERROR(sum(FILTER($D:$N,$C:$C = $C1748,$A:$A &lt; $A1748,$B:$B = 12)),0) + sum($D1748:$N1748)"),1773015.23)</f>
        <v>1773015.23</v>
      </c>
      <c r="Q1748" s="92">
        <f t="shared" si="1"/>
        <v>0</v>
      </c>
      <c r="R1748" s="91">
        <f t="array" ref="R1748">IFERROR(INDEX('Fund YTD Target Values'!$1:$1000, MATCH($C1748,'Fund YTD Target Values'!$A:$A,0), MATCH($A1748,'Fund YTD Target Values'!$1:$1,0)),0)</f>
        <v>2136262.679</v>
      </c>
      <c r="S1748" s="91">
        <f>IFERROR(__xludf.DUMMYFUNCTION("IFERROR(sum(FILTER('Fund Investment Data'!$V:$V, 'Fund Investment Data'!$C:$C = $C1748, 'Fund Investment Data'!$A:$A &lt; $A1748)),0) + IFERROR(sum(FILTER('Fund Investment Data'!$V:$V, 'Fund Investment Data'!$C:$C = $C1748, 'Fund Investment Data'!$A:$A = $A1"&amp;"748, 'Fund Investment Data'!$B:$B &lt;= $B1748)),0)"),2000000.0)</f>
        <v>2000000</v>
      </c>
      <c r="T1748" s="32"/>
      <c r="U1748" s="32"/>
      <c r="V1748" s="32">
        <f>IFERROR(__xludf.DUMMYFUNCTION("$D1748 - IFERROR(FILTER($D:$D,$C:$C = $C1748, $A:$A = $A1748, $B:$B = $B1748 - 1),0)"),0.0)</f>
        <v>0</v>
      </c>
      <c r="W1748" s="93">
        <f>IFERROR(__xludf.DUMMYFUNCTION("$E1748 - IFERROR(FILTER($E:$E,$C:$C = $C1748, $A:$A = $A1748, $B:$B = $B1748 - 1),0)"),0.0)</f>
        <v>0</v>
      </c>
      <c r="X1748" s="91">
        <f>IFERROR(__xludf.DUMMYFUNCTION("iFERROR((FILTER('Fund Investment Data'!$Z:$Z, 'Fund Investment Data'!$C:$C = $C1748, 'Fund Investment Data'!$A:$A = $A1748 - 1, 'Fund Investment Data'!$B:$B = 12) + FILTER('Fund Investment Data'!$AB:$AB, 'Fund Investment Data'!$C:$C = $C1748, 'Fund Invest"&amp;"ment Data'!$A:$A = $A1748 - 1, 'Fund Investment Data'!$B:$B = 12)) * (1 + AVERAGE(FILTER('Inflation Data'!$C:$C,'Inflation Data'!$A:$A = ($A1748 - 2)))) * Parameters!$A$4,0)"),64879.45168497103)</f>
        <v>64879.45168</v>
      </c>
      <c r="Y1748" s="91">
        <f>IFERROR(__xludf.DUMMYFUNCTION("IFERROR((IFERROR(FILTER('Fund Investment Data'!$P:$P,'Fund Investment Data'!$C:$C = $C1748,'Fund Investment Data'!$A:$A = ($A1748 - 2), 'Fund Investment Data'!$B:$B = 12),0) - SUM(FILTER('Fund Investment Data'!$V:$V, 'Fund Investment Data'!$C:$C = $C1748,"&amp;" 'Fund Investment Data'!$A:$A = ($A1748 - 2), 'Fund Investment Data'!$B:$B &gt; 3)))  * Parameters!$B$4 * (1 - Parameters!$A$4),0)"),25116.945075000007)</f>
        <v>25116.94508</v>
      </c>
      <c r="Z1748" s="91">
        <f t="shared" si="24"/>
        <v>89996.39676</v>
      </c>
      <c r="AA1748" s="91">
        <f>IFERROR(__xludf.DUMMYFUNCTION("((IFERROR((SUM(FILTER('Fund Investment Data'!$V:$V, 'Fund Investment Data'!$C:$C = $C1748, 'Fund Investment Data'!$A:$A = $A1748 - 1, 'Fund Investment Data'!$B:$B &gt;= 4, 'Fund Investment Data'!$B:$B &lt;= ($B1748 + 5))) / 12) * ($B1748 - 3) * Parameters!$B$4,"&amp;" 0) + IF($B1748 &gt;= 9, IFERROR(SUM(FILTER('Fund Investment Data'!$V:$V, 'Fund Investment Data'!$C:$C = $C1748, 'Fund Investment Data'!$A:$A = $A1748, 'Fund Investment Data'!$B:$B &lt;= 3)) * Parameters!$B$4, 0),0)))"),0.0)</f>
        <v>0</v>
      </c>
      <c r="AB1748" s="32">
        <f>IFERROR(__xludf.DUMMYFUNCTION("IFERROR(((IFERROR(SUM(FILTER('Fund Investment Data'!$V:$V, 'Fund Investment Data'!$C:$C = $C1748, 'Fund Investment Data'!$A:$A = $A1748 - 2, 'Fund Investment Data'!$B:$B &gt;= 4)) * Parameters!$B$4,0) + IFERROR(SUM(FILTER('Fund Investment Data'!$V:$V, 'Fund "&amp;"Investment Data'!$C:$C = $C1748, 'Fund Investment Data'!$A:$A = $A1748 - 1, 'Fund Investment Data'!$B:$B &lt;= 3)) * Parameters!$B$4,0))),0)"),0.0)</f>
        <v>0</v>
      </c>
      <c r="AC1748" s="32" t="str">
        <f>IFERROR(__xludf.DUMMYFUNCTION("IFERROR(FILTER($AF:$AF,$C:$C = $C1748,$A:$A = $A1748 - 1,$B:$B = 12),0)"),"")</f>
        <v/>
      </c>
      <c r="AD1748" s="32">
        <f t="shared" si="23"/>
        <v>89996.39676</v>
      </c>
      <c r="AE1748" s="32">
        <f t="shared" si="2"/>
        <v>89996.39676</v>
      </c>
      <c r="AF1748" s="32"/>
    </row>
    <row r="1749">
      <c r="A1749" s="86">
        <v>2020.0</v>
      </c>
      <c r="B1749" s="87">
        <v>4.0</v>
      </c>
      <c r="C1749" s="88" t="s">
        <v>26</v>
      </c>
      <c r="D1749" s="104">
        <v>0.0</v>
      </c>
      <c r="E1749" s="104">
        <v>0.0</v>
      </c>
      <c r="F1749" s="104">
        <v>0.0</v>
      </c>
      <c r="G1749" s="104">
        <v>-511.59</v>
      </c>
      <c r="H1749" s="104">
        <v>2646.9</v>
      </c>
      <c r="I1749" s="104">
        <v>20975.52</v>
      </c>
      <c r="J1749" s="104">
        <v>-54742.47</v>
      </c>
      <c r="K1749" s="32"/>
      <c r="L1749" s="32"/>
      <c r="M1749" s="32"/>
      <c r="N1749" s="32"/>
      <c r="O1749" s="104">
        <v>321538.91</v>
      </c>
      <c r="P1749" s="91">
        <f>IFERROR(__xludf.DUMMYFUNCTION("IFERROR(sum(FILTER($D:$N,$C:$C = $C1749,$A:$A &lt; $A1749,$B:$B = 12)),0) + sum($D1749:$N1749)"),321537.44999999995)</f>
        <v>321537.45</v>
      </c>
      <c r="Q1749" s="92">
        <f t="shared" si="1"/>
        <v>1.46</v>
      </c>
      <c r="R1749" s="91">
        <f t="array" ref="R1749">IFERROR(INDEX('Fund YTD Target Values'!$1:$1000, MATCH($C1749,'Fund YTD Target Values'!$A:$A,0), MATCH($A1749,'Fund YTD Target Values'!$1:$1,0)),0)</f>
        <v>401541.8823</v>
      </c>
      <c r="S1749" s="91">
        <f>IFERROR(__xludf.DUMMYFUNCTION("IFERROR(sum(FILTER('Fund Investment Data'!$V:$V, 'Fund Investment Data'!$C:$C = $C1749, 'Fund Investment Data'!$A:$A &lt; $A1749)),0) + IFERROR(sum(FILTER('Fund Investment Data'!$V:$V, 'Fund Investment Data'!$C:$C = $C1749, 'Fund Investment Data'!$A:$A = $A1"&amp;"749, 'Fund Investment Data'!$B:$B &lt;= $B1749)),0)"),317377.01)</f>
        <v>317377.01</v>
      </c>
      <c r="T1749" s="32"/>
      <c r="U1749" s="32"/>
      <c r="V1749" s="32">
        <f>IFERROR(__xludf.DUMMYFUNCTION("$D1749 - IFERROR(FILTER($D:$D,$C:$C = $C1749, $A:$A = $A1749, $B:$B = $B1749 - 1),0)"),0.0)</f>
        <v>0</v>
      </c>
      <c r="W1749" s="93">
        <f>IFERROR(__xludf.DUMMYFUNCTION("$E1749 - IFERROR(FILTER($E:$E,$C:$C = $C1749, $A:$A = $A1749, $B:$B = $B1749 - 1),0)"),0.0)</f>
        <v>0</v>
      </c>
      <c r="X1749" s="91">
        <f>IFERROR(__xludf.DUMMYFUNCTION("iFERROR((FILTER('Fund Investment Data'!$Z:$Z, 'Fund Investment Data'!$C:$C = $C1749, 'Fund Investment Data'!$A:$A = $A1749 - 1, 'Fund Investment Data'!$B:$B = 12) + FILTER('Fund Investment Data'!$AB:$AB, 'Fund Investment Data'!$C:$C = $C1749, 'Fund Invest"&amp;"ment Data'!$A:$A = $A1749 - 1, 'Fund Investment Data'!$B:$B = 12)) * (1 + AVERAGE(FILTER('Inflation Data'!$C:$C,'Inflation Data'!$A:$A = ($A1749 - 2)))) * Parameters!$A$4,0)"),11939.770681709342)</f>
        <v>11939.77068</v>
      </c>
      <c r="Y1749" s="91">
        <f>IFERROR(__xludf.DUMMYFUNCTION("IFERROR((IFERROR(FILTER('Fund Investment Data'!$P:$P,'Fund Investment Data'!$C:$C = $C1749,'Fund Investment Data'!$A:$A = ($A1749 - 2), 'Fund Investment Data'!$B:$B = 12),0) - SUM(FILTER('Fund Investment Data'!$V:$V, 'Fund Investment Data'!$C:$C = $C1749,"&amp;" 'Fund Investment Data'!$A:$A = ($A1749 - 2), 'Fund Investment Data'!$B:$B &gt; 3)))  * Parameters!$B$4 * (1 - Parameters!$A$4),0)"),4169.1699)</f>
        <v>4169.1699</v>
      </c>
      <c r="Z1749" s="91">
        <f t="shared" si="24"/>
        <v>16108.94058</v>
      </c>
      <c r="AA1749" s="91">
        <f>IFERROR(__xludf.DUMMYFUNCTION("((IFERROR((SUM(FILTER('Fund Investment Data'!$V:$V, 'Fund Investment Data'!$C:$C = $C1749, 'Fund Investment Data'!$A:$A = $A1749 - 1, 'Fund Investment Data'!$B:$B &gt;= 4, 'Fund Investment Data'!$B:$B &lt;= ($B1749 + 5))) / 12) * ($B1749 - 3) * Parameters!$B$4,"&amp;" 0) + IF($B1749 &gt;= 9, IFERROR(SUM(FILTER('Fund Investment Data'!$V:$V, 'Fund Investment Data'!$C:$C = $C1749, 'Fund Investment Data'!$A:$A = $A1749, 'Fund Investment Data'!$B:$B &lt;= 3)) * Parameters!$B$4, 0),0)))"),0.0)</f>
        <v>0</v>
      </c>
      <c r="AB1749" s="32">
        <f>IFERROR(__xludf.DUMMYFUNCTION("IFERROR(((IFERROR(SUM(FILTER('Fund Investment Data'!$V:$V, 'Fund Investment Data'!$C:$C = $C1749, 'Fund Investment Data'!$A:$A = $A1749 - 2, 'Fund Investment Data'!$B:$B &gt;= 4)) * Parameters!$B$4,0) + IFERROR(SUM(FILTER('Fund Investment Data'!$V:$V, 'Fund "&amp;"Investment Data'!$C:$C = $C1749, 'Fund Investment Data'!$A:$A = $A1749 - 1, 'Fund Investment Data'!$B:$B &lt;= 3)) * Parameters!$B$4,0))),0)"),320.76)</f>
        <v>320.76</v>
      </c>
      <c r="AC1749" s="32" t="str">
        <f>IFERROR(__xludf.DUMMYFUNCTION("IFERROR(FILTER($AF:$AF,$C:$C = $C1749,$A:$A = $A1749 - 1,$B:$B = 12),0)"),"")</f>
        <v/>
      </c>
      <c r="AD1749" s="32">
        <f t="shared" si="23"/>
        <v>16429.70058</v>
      </c>
      <c r="AE1749" s="32">
        <f t="shared" si="2"/>
        <v>16429.70058</v>
      </c>
      <c r="AF1749" s="32"/>
    </row>
    <row r="1750">
      <c r="A1750" s="86">
        <v>2020.0</v>
      </c>
      <c r="B1750" s="87">
        <v>4.0</v>
      </c>
      <c r="C1750" s="88" t="s">
        <v>27</v>
      </c>
      <c r="D1750" s="104">
        <v>0.0</v>
      </c>
      <c r="E1750" s="104">
        <v>0.0</v>
      </c>
      <c r="F1750" s="104">
        <v>0.0</v>
      </c>
      <c r="G1750" s="104">
        <v>-439.86</v>
      </c>
      <c r="H1750" s="104">
        <v>2275.77</v>
      </c>
      <c r="I1750" s="104">
        <v>18034.56</v>
      </c>
      <c r="J1750" s="104">
        <v>-47067.09</v>
      </c>
      <c r="K1750" s="32"/>
      <c r="L1750" s="32"/>
      <c r="M1750" s="32"/>
      <c r="N1750" s="32"/>
      <c r="O1750" s="104">
        <v>276456.24</v>
      </c>
      <c r="P1750" s="91">
        <f>IFERROR(__xludf.DUMMYFUNCTION("IFERROR(sum(FILTER($D:$N,$C:$C = $C1750,$A:$A &lt; $A1750,$B:$B = 12)),0) + sum($D1750:$N1750)"),276456.5800000001)</f>
        <v>276456.58</v>
      </c>
      <c r="Q1750" s="92">
        <f t="shared" si="1"/>
        <v>-0.3400000001</v>
      </c>
      <c r="R1750" s="91">
        <f t="array" ref="R1750">IFERROR(INDEX('Fund YTD Target Values'!$1:$1000, MATCH($C1750,'Fund YTD Target Values'!$A:$A,0), MATCH($A1750,'Fund YTD Target Values'!$1:$1,0)),0)</f>
        <v>410076.5954</v>
      </c>
      <c r="S1750" s="91">
        <f>IFERROR(__xludf.DUMMYFUNCTION("IFERROR(sum(FILTER('Fund Investment Data'!$V:$V, 'Fund Investment Data'!$C:$C = $C1750, 'Fund Investment Data'!$A:$A &lt; $A1750)),0) + IFERROR(sum(FILTER('Fund Investment Data'!$V:$V, 'Fund Investment Data'!$C:$C = $C1750, 'Fund Investment Data'!$A:$A = $A1"&amp;"750, 'Fund Investment Data'!$B:$B &lt;= $B1750)),0)"),276213.69999999995)</f>
        <v>276213.7</v>
      </c>
      <c r="T1750" s="32"/>
      <c r="U1750" s="32"/>
      <c r="V1750" s="32">
        <f>IFERROR(__xludf.DUMMYFUNCTION("$D1750 - IFERROR(FILTER($D:$D,$C:$C = $C1750, $A:$A = $A1750, $B:$B = $B1750 - 1),0)"),0.0)</f>
        <v>0</v>
      </c>
      <c r="W1750" s="93">
        <f>IFERROR(__xludf.DUMMYFUNCTION("$E1750 - IFERROR(FILTER($E:$E,$C:$C = $C1750, $A:$A = $A1750, $B:$B = $B1750 - 1),0)"),0.0)</f>
        <v>0</v>
      </c>
      <c r="X1750" s="91">
        <f>IFERROR(__xludf.DUMMYFUNCTION("iFERROR((FILTER('Fund Investment Data'!$Z:$Z, 'Fund Investment Data'!$C:$C = $C1750, 'Fund Investment Data'!$A:$A = $A1750 - 1, 'Fund Investment Data'!$B:$B = 12) + FILTER('Fund Investment Data'!$AB:$AB, 'Fund Investment Data'!$C:$C = $C1750, 'Fund Invest"&amp;"ment Data'!$A:$A = $A1750 - 1, 'Fund Investment Data'!$B:$B = 12)) * (1 + AVERAGE(FILTER('Inflation Data'!$C:$C,'Inflation Data'!$A:$A = ($A1750 - 2)))) * Parameters!$A$4,0)"),10103.189252444476)</f>
        <v>10103.18925</v>
      </c>
      <c r="Y1750" s="91">
        <f>IFERROR(__xludf.DUMMYFUNCTION("IFERROR((IFERROR(FILTER('Fund Investment Data'!$P:$P,'Fund Investment Data'!$C:$C = $C1750,'Fund Investment Data'!$A:$A = ($A1750 - 2), 'Fund Investment Data'!$B:$B = 12),0) - SUM(FILTER('Fund Investment Data'!$V:$V, 'Fund Investment Data'!$C:$C = $C1750,"&amp;" 'Fund Investment Data'!$A:$A = ($A1750 - 2), 'Fund Investment Data'!$B:$B &gt; 3)))  * Parameters!$B$4 * (1 - Parameters!$A$4),0)"),3656.9314350000013)</f>
        <v>3656.931435</v>
      </c>
      <c r="Z1750" s="91">
        <f t="shared" si="24"/>
        <v>13760.12069</v>
      </c>
      <c r="AA1750" s="91">
        <f>IFERROR(__xludf.DUMMYFUNCTION("((IFERROR((SUM(FILTER('Fund Investment Data'!$V:$V, 'Fund Investment Data'!$C:$C = $C1750, 'Fund Investment Data'!$A:$A = $A1750 - 1, 'Fund Investment Data'!$B:$B &gt;= 4, 'Fund Investment Data'!$B:$B &lt;= ($B1750 + 5))) / 12) * ($B1750 - 3) * Parameters!$B$4,"&amp;" 0) + IF($B1750 &gt;= 9, IFERROR(SUM(FILTER('Fund Investment Data'!$V:$V, 'Fund Investment Data'!$C:$C = $C1750, 'Fund Investment Data'!$A:$A = $A1750, 'Fund Investment Data'!$B:$B &lt;= 3)) * Parameters!$B$4, 0),0)))"),0.0)</f>
        <v>0</v>
      </c>
      <c r="AB1750" s="32">
        <f>IFERROR(__xludf.DUMMYFUNCTION("IFERROR(((IFERROR(SUM(FILTER('Fund Investment Data'!$V:$V, 'Fund Investment Data'!$C:$C = $C1750, 'Fund Investment Data'!$A:$A = $A1750 - 2, 'Fund Investment Data'!$B:$B &gt;= 4)) * Parameters!$B$4,0) + IFERROR(SUM(FILTER('Fund Investment Data'!$V:$V, 'Fund "&amp;"Investment Data'!$C:$C = $C1750, 'Fund Investment Data'!$A:$A = $A1750 - 1, 'Fund Investment Data'!$B:$B &lt;= 3)) * Parameters!$B$4,0))),0)"),0.0)</f>
        <v>0</v>
      </c>
      <c r="AC1750" s="32" t="str">
        <f>IFERROR(__xludf.DUMMYFUNCTION("IFERROR(FILTER($AF:$AF,$C:$C = $C1750,$A:$A = $A1750 - 1,$B:$B = 12),0)"),"")</f>
        <v/>
      </c>
      <c r="AD1750" s="32">
        <f t="shared" si="23"/>
        <v>13760.12069</v>
      </c>
      <c r="AE1750" s="32">
        <f t="shared" si="2"/>
        <v>13760.12069</v>
      </c>
      <c r="AF1750" s="32"/>
    </row>
    <row r="1751">
      <c r="A1751" s="86">
        <v>2020.0</v>
      </c>
      <c r="B1751" s="87">
        <v>4.0</v>
      </c>
      <c r="C1751" s="88" t="s">
        <v>28</v>
      </c>
      <c r="D1751" s="104">
        <v>0.0</v>
      </c>
      <c r="E1751" s="104">
        <v>0.0</v>
      </c>
      <c r="F1751" s="104">
        <v>0.0</v>
      </c>
      <c r="G1751" s="104">
        <v>-4713.42</v>
      </c>
      <c r="H1751" s="104">
        <v>24386.25</v>
      </c>
      <c r="I1751" s="104">
        <v>193251.06</v>
      </c>
      <c r="J1751" s="104">
        <v>-504351.63</v>
      </c>
      <c r="K1751" s="32"/>
      <c r="L1751" s="32"/>
      <c r="M1751" s="32"/>
      <c r="N1751" s="32"/>
      <c r="O1751" s="104">
        <v>2962392.2</v>
      </c>
      <c r="P1751" s="91">
        <f>IFERROR(__xludf.DUMMYFUNCTION("IFERROR(sum(FILTER($D:$N,$C:$C = $C1751,$A:$A &lt; $A1751,$B:$B = 12)),0) + sum($D1751:$N1751)"),2962391.2700000005)</f>
        <v>2962391.27</v>
      </c>
      <c r="Q1751" s="92">
        <f t="shared" si="1"/>
        <v>0.9299999997</v>
      </c>
      <c r="R1751" s="91">
        <f t="array" ref="R1751">IFERROR(INDEX('Fund YTD Target Values'!$1:$1000, MATCH($C1751,'Fund YTD Target Values'!$A:$A,0), MATCH($A1751,'Fund YTD Target Values'!$1:$1,0)),0)</f>
        <v>4004331.875</v>
      </c>
      <c r="S1751" s="91">
        <f>IFERROR(__xludf.DUMMYFUNCTION("IFERROR(sum(FILTER('Fund Investment Data'!$V:$V, 'Fund Investment Data'!$C:$C = $C1751, 'Fund Investment Data'!$A:$A &lt; $A1751)),0) + IFERROR(sum(FILTER('Fund Investment Data'!$V:$V, 'Fund Investment Data'!$C:$C = $C1751, 'Fund Investment Data'!$A:$A = $A1"&amp;"751, 'Fund Investment Data'!$B:$B &lt;= $B1751)),0)"),2960091.25)</f>
        <v>2960091.25</v>
      </c>
      <c r="T1751" s="32"/>
      <c r="U1751" s="32"/>
      <c r="V1751" s="32">
        <f>IFERROR(__xludf.DUMMYFUNCTION("$D1751 - IFERROR(FILTER($D:$D,$C:$C = $C1751, $A:$A = $A1751, $B:$B = $B1751 - 1),0)"),0.0)</f>
        <v>0</v>
      </c>
      <c r="W1751" s="93">
        <f>IFERROR(__xludf.DUMMYFUNCTION("$E1751 - IFERROR(FILTER($E:$E,$C:$C = $C1751, $A:$A = $A1751, $B:$B = $B1751 - 1),0)"),0.0)</f>
        <v>0</v>
      </c>
      <c r="X1751" s="91">
        <f>IFERROR(__xludf.DUMMYFUNCTION("iFERROR((FILTER('Fund Investment Data'!$Z:$Z, 'Fund Investment Data'!$C:$C = $C1751, 'Fund Investment Data'!$A:$A = $A1751 - 1, 'Fund Investment Data'!$B:$B = 12) + FILTER('Fund Investment Data'!$AB:$AB, 'Fund Investment Data'!$C:$C = $C1751, 'Fund Invest"&amp;"ment Data'!$A:$A = $A1751 - 1, 'Fund Investment Data'!$B:$B = 12)) * (1 + AVERAGE(FILTER('Inflation Data'!$C:$C,'Inflation Data'!$A:$A = ($A1751 - 2)))) * Parameters!$A$4,0)"),108380.29049132655)</f>
        <v>108380.2905</v>
      </c>
      <c r="Y1751" s="91">
        <f>IFERROR(__xludf.DUMMYFUNCTION("IFERROR((IFERROR(FILTER('Fund Investment Data'!$P:$P,'Fund Investment Data'!$C:$C = $C1751,'Fund Investment Data'!$A:$A = ($A1751 - 2), 'Fund Investment Data'!$B:$B = 12),0) - SUM(FILTER('Fund Investment Data'!$V:$V, 'Fund Investment Data'!$C:$C = $C1751,"&amp;" 'Fund Investment Data'!$A:$A = ($A1751 - 2), 'Fund Investment Data'!$B:$B &gt; 3)))  * Parameters!$B$4 * (1 - Parameters!$A$4),0)"),39180.23244000001)</f>
        <v>39180.23244</v>
      </c>
      <c r="Z1751" s="91">
        <f t="shared" si="24"/>
        <v>147560.5229</v>
      </c>
      <c r="AA1751" s="91">
        <f>IFERROR(__xludf.DUMMYFUNCTION("((IFERROR((SUM(FILTER('Fund Investment Data'!$V:$V, 'Fund Investment Data'!$C:$C = $C1751, 'Fund Investment Data'!$A:$A = $A1751 - 1, 'Fund Investment Data'!$B:$B &gt;= 4, 'Fund Investment Data'!$B:$B &lt;= ($B1751 + 5))) / 12) * ($B1751 - 3) * Parameters!$B$4,"&amp;" 0) + IF($B1751 &gt;= 9, IFERROR(SUM(FILTER('Fund Investment Data'!$V:$V, 'Fund Investment Data'!$C:$C = $C1751, 'Fund Investment Data'!$A:$A = $A1751, 'Fund Investment Data'!$B:$B &lt;= 3)) * Parameters!$B$4, 0),0)))"),0.0)</f>
        <v>0</v>
      </c>
      <c r="AB1751" s="32">
        <f>IFERROR(__xludf.DUMMYFUNCTION("IFERROR(((IFERROR(SUM(FILTER('Fund Investment Data'!$V:$V, 'Fund Investment Data'!$C:$C = $C1751, 'Fund Investment Data'!$A:$A = $A1751 - 2, 'Fund Investment Data'!$B:$B &gt;= 4)) * Parameters!$B$4,0) + IFERROR(SUM(FILTER('Fund Investment Data'!$V:$V, 'Fund "&amp;"Investment Data'!$C:$C = $C1751, 'Fund Investment Data'!$A:$A = $A1751 - 1, 'Fund Investment Data'!$B:$B &lt;= 3)) * Parameters!$B$4,0))),0)"),0.0)</f>
        <v>0</v>
      </c>
      <c r="AC1751" s="32" t="str">
        <f>IFERROR(__xludf.DUMMYFUNCTION("IFERROR(FILTER($AF:$AF,$C:$C = $C1751,$A:$A = $A1751 - 1,$B:$B = 12),0)"),"")</f>
        <v/>
      </c>
      <c r="AD1751" s="32">
        <f t="shared" si="23"/>
        <v>147560.5229</v>
      </c>
      <c r="AE1751" s="32">
        <f t="shared" si="2"/>
        <v>147560.5229</v>
      </c>
      <c r="AF1751" s="32"/>
    </row>
    <row r="1752">
      <c r="A1752" s="86">
        <v>2020.0</v>
      </c>
      <c r="B1752" s="87">
        <v>4.0</v>
      </c>
      <c r="C1752" s="88" t="s">
        <v>46</v>
      </c>
      <c r="D1752" s="104">
        <v>0.0</v>
      </c>
      <c r="E1752" s="104">
        <v>0.0</v>
      </c>
      <c r="F1752" s="104">
        <v>0.0</v>
      </c>
      <c r="G1752" s="104">
        <v>-542.8</v>
      </c>
      <c r="H1752" s="104">
        <v>2808.32</v>
      </c>
      <c r="I1752" s="104">
        <v>22254.76</v>
      </c>
      <c r="J1752" s="104">
        <v>-58081.09</v>
      </c>
      <c r="K1752" s="32"/>
      <c r="L1752" s="32"/>
      <c r="M1752" s="32"/>
      <c r="N1752" s="32"/>
      <c r="O1752" s="106">
        <v>341148.85</v>
      </c>
      <c r="P1752" s="91">
        <f>IFERROR(__xludf.DUMMYFUNCTION("IFERROR(sum(FILTER($D:$N,$C:$C = $C1752,$A:$A &lt; $A1752,$B:$B = 12)),0) + sum($D1752:$N1752)"),341149.26999999996)</f>
        <v>341149.27</v>
      </c>
      <c r="Q1752" s="92">
        <f t="shared" si="1"/>
        <v>-0.42</v>
      </c>
      <c r="R1752" s="91">
        <f t="array" ref="R1752">IFERROR(INDEX('Fund YTD Target Values'!$1:$1000, MATCH($C1752,'Fund YTD Target Values'!$A:$A,0), MATCH($A1752,'Fund YTD Target Values'!$1:$1,0)),0)</f>
        <v>476024.3486</v>
      </c>
      <c r="S1752" s="91">
        <f>IFERROR(__xludf.DUMMYFUNCTION("IFERROR(sum(FILTER('Fund Investment Data'!$V:$V, 'Fund Investment Data'!$C:$C = $C1752, 'Fund Investment Data'!$A:$A &lt; $A1752)),0) + IFERROR(sum(FILTER('Fund Investment Data'!$V:$V, 'Fund Investment Data'!$C:$C = $C1752, 'Fund Investment Data'!$A:$A = $A1"&amp;"752, 'Fund Investment Data'!$B:$B &lt;= $B1752)),0)"),366400.0)</f>
        <v>366400</v>
      </c>
      <c r="T1752" s="32"/>
      <c r="U1752" s="32"/>
      <c r="V1752" s="32">
        <f>IFERROR(__xludf.DUMMYFUNCTION("$D1752 - IFERROR(FILTER($D:$D,$C:$C = $C1752, $A:$A = $A1752, $B:$B = $B1752 - 1),0)"),0.0)</f>
        <v>0</v>
      </c>
      <c r="W1752" s="93">
        <f>IFERROR(__xludf.DUMMYFUNCTION("$E1752 - IFERROR(FILTER($E:$E,$C:$C = $C1752, $A:$A = $A1752, $B:$B = $B1752 - 1),0)"),0.0)</f>
        <v>0</v>
      </c>
      <c r="X1752" s="91">
        <f>IFERROR(__xludf.DUMMYFUNCTION("iFERROR((FILTER('Fund Investment Data'!$Z:$Z, 'Fund Investment Data'!$C:$C = $C1752, 'Fund Investment Data'!$A:$A = $A1752 - 1, 'Fund Investment Data'!$B:$B = 12) + FILTER('Fund Investment Data'!$AB:$AB, 'Fund Investment Data'!$C:$C = $C1752, 'Fund Invest"&amp;"ment Data'!$A:$A = $A1752 - 1, 'Fund Investment Data'!$B:$B = 12)) * (1 + AVERAGE(FILTER('Inflation Data'!$C:$C,'Inflation Data'!$A:$A = ($A1752 - 2)))) * Parameters!$A$4,0)"),12887.748857049877)</f>
        <v>12887.74886</v>
      </c>
      <c r="Y1752" s="91">
        <f>IFERROR(__xludf.DUMMYFUNCTION("IFERROR((IFERROR(FILTER('Fund Investment Data'!$P:$P,'Fund Investment Data'!$C:$C = $C1752,'Fund Investment Data'!$A:$A = ($A1752 - 2), 'Fund Investment Data'!$B:$B = 12),0) - SUM(FILTER('Fund Investment Data'!$V:$V, 'Fund Investment Data'!$C:$C = $C1752,"&amp;" 'Fund Investment Data'!$A:$A = ($A1752 - 2), 'Fund Investment Data'!$B:$B &gt; 3)))  * Parameters!$B$4 * (1 - Parameters!$A$4),0)"),4519.68363)</f>
        <v>4519.68363</v>
      </c>
      <c r="Z1752" s="91">
        <f t="shared" si="24"/>
        <v>17407.43249</v>
      </c>
      <c r="AA1752" s="91">
        <f>IFERROR(__xludf.DUMMYFUNCTION("((IFERROR((SUM(FILTER('Fund Investment Data'!$V:$V, 'Fund Investment Data'!$C:$C = $C1752, 'Fund Investment Data'!$A:$A = $A1752 - 1, 'Fund Investment Data'!$B:$B &gt;= 4, 'Fund Investment Data'!$B:$B &lt;= ($B1752 + 5))) / 12) * ($B1752 - 3) * Parameters!$B$4,"&amp;" 0) + IF($B1752 &gt;= 9, IFERROR(SUM(FILTER('Fund Investment Data'!$V:$V, 'Fund Investment Data'!$C:$C = $C1752, 'Fund Investment Data'!$A:$A = $A1752, 'Fund Investment Data'!$B:$B &lt;= 3)) * Parameters!$B$4, 0),0)))"),0.0)</f>
        <v>0</v>
      </c>
      <c r="AB1752" s="32">
        <f>IFERROR(__xludf.DUMMYFUNCTION("IFERROR(((IFERROR(SUM(FILTER('Fund Investment Data'!$V:$V, 'Fund Investment Data'!$C:$C = $C1752, 'Fund Investment Data'!$A:$A = $A1752 - 2, 'Fund Investment Data'!$B:$B &gt;= 4)) * Parameters!$B$4,0) + IFERROR(SUM(FILTER('Fund Investment Data'!$V:$V, 'Fund "&amp;"Investment Data'!$C:$C = $C1752, 'Fund Investment Data'!$A:$A = $A1752 - 1, 'Fund Investment Data'!$B:$B &lt;= 3)) * Parameters!$B$4,0))),0)"),0.0)</f>
        <v>0</v>
      </c>
      <c r="AC1752" s="32" t="str">
        <f>IFERROR(__xludf.DUMMYFUNCTION("IFERROR(FILTER($AF:$AF,$C:$C = $C1752,$A:$A = $A1752 - 1,$B:$B = 12),0)"),"")</f>
        <v/>
      </c>
      <c r="AD1752" s="32">
        <f t="shared" si="23"/>
        <v>17407.43249</v>
      </c>
      <c r="AE1752" s="32">
        <f t="shared" si="2"/>
        <v>17407.43249</v>
      </c>
      <c r="AF1752" s="32"/>
    </row>
    <row r="1753">
      <c r="A1753" s="86">
        <v>2020.0</v>
      </c>
      <c r="B1753" s="87">
        <v>4.0</v>
      </c>
      <c r="C1753" s="88" t="s">
        <v>36</v>
      </c>
      <c r="D1753" s="104">
        <v>0.0</v>
      </c>
      <c r="E1753" s="104">
        <v>0.0</v>
      </c>
      <c r="F1753" s="104">
        <v>0.0</v>
      </c>
      <c r="G1753" s="104">
        <v>-639.44</v>
      </c>
      <c r="H1753" s="104">
        <v>3308.29</v>
      </c>
      <c r="I1753" s="104">
        <v>26216.88</v>
      </c>
      <c r="J1753" s="104">
        <v>-68421.49</v>
      </c>
      <c r="K1753" s="32"/>
      <c r="L1753" s="32"/>
      <c r="M1753" s="32"/>
      <c r="N1753" s="32"/>
      <c r="O1753" s="106">
        <v>401884.84</v>
      </c>
      <c r="P1753" s="91">
        <f>IFERROR(__xludf.DUMMYFUNCTION("IFERROR(sum(FILTER($D:$N,$C:$C = $C1753,$A:$A &lt; $A1753,$B:$B = 12)),0) + sum($D1753:$N1753)"),401884.39)</f>
        <v>401884.39</v>
      </c>
      <c r="Q1753" s="92">
        <f t="shared" si="1"/>
        <v>0.45</v>
      </c>
      <c r="R1753" s="91">
        <f t="array" ref="R1753">IFERROR(INDEX('Fund YTD Target Values'!$1:$1000, MATCH($C1753,'Fund YTD Target Values'!$A:$A,0), MATCH($A1753,'Fund YTD Target Values'!$1:$1,0)),0)</f>
        <v>662598.0199</v>
      </c>
      <c r="S1753" s="91">
        <f>IFERROR(__xludf.DUMMYFUNCTION("IFERROR(sum(FILTER('Fund Investment Data'!$V:$V, 'Fund Investment Data'!$C:$C = $C1753, 'Fund Investment Data'!$A:$A &lt; $A1753)),0) + IFERROR(sum(FILTER('Fund Investment Data'!$V:$V, 'Fund Investment Data'!$C:$C = $C1753, 'Fund Investment Data'!$A:$A = $A1"&amp;"753, 'Fund Investment Data'!$B:$B &lt;= $B1753)),0)"),429067.24)</f>
        <v>429067.24</v>
      </c>
      <c r="T1753" s="32"/>
      <c r="U1753" s="32"/>
      <c r="V1753" s="32">
        <f>IFERROR(__xludf.DUMMYFUNCTION("$D1753 - IFERROR(FILTER($D:$D,$C:$C = $C1753, $A:$A = $A1753, $B:$B = $B1753 - 1),0)"),0.0)</f>
        <v>0</v>
      </c>
      <c r="W1753" s="93">
        <f>IFERROR(__xludf.DUMMYFUNCTION("$E1753 - IFERROR(FILTER($E:$E,$C:$C = $C1753, $A:$A = $A1753, $B:$B = $B1753 - 1),0)"),0.0)</f>
        <v>0</v>
      </c>
      <c r="X1753" s="91">
        <f>IFERROR(__xludf.DUMMYFUNCTION("iFERROR((FILTER('Fund Investment Data'!$Z:$Z, 'Fund Investment Data'!$C:$C = $C1753, 'Fund Investment Data'!$A:$A = $A1753 - 1, 'Fund Investment Data'!$B:$B = 12) + FILTER('Fund Investment Data'!$AB:$AB, 'Fund Investment Data'!$C:$C = $C1753, 'Fund Invest"&amp;"ment Data'!$A:$A = $A1753 - 1, 'Fund Investment Data'!$B:$B = 12)) * (1 + AVERAGE(FILTER('Inflation Data'!$C:$C,'Inflation Data'!$A:$A = ($A1753 - 2)))) * Parameters!$A$4,0)"),14762.63581927512)</f>
        <v>14762.63582</v>
      </c>
      <c r="Y1753" s="91">
        <f>IFERROR(__xludf.DUMMYFUNCTION("IFERROR((IFERROR(FILTER('Fund Investment Data'!$P:$P,'Fund Investment Data'!$C:$C = $C1753,'Fund Investment Data'!$A:$A = ($A1753 - 2), 'Fund Investment Data'!$B:$B = 12),0) - SUM(FILTER('Fund Investment Data'!$V:$V, 'Fund Investment Data'!$C:$C = $C1753,"&amp;" 'Fund Investment Data'!$A:$A = ($A1753 - 2), 'Fund Investment Data'!$B:$B &gt; 3)))  * Parameters!$B$4 * (1 - Parameters!$A$4),0)"),5318.06499)</f>
        <v>5318.06499</v>
      </c>
      <c r="Z1753" s="91">
        <f t="shared" si="24"/>
        <v>20080.70081</v>
      </c>
      <c r="AA1753" s="91">
        <f>IFERROR(__xludf.DUMMYFUNCTION("((IFERROR((SUM(FILTER('Fund Investment Data'!$V:$V, 'Fund Investment Data'!$C:$C = $C1753, 'Fund Investment Data'!$A:$A = $A1753 - 1, 'Fund Investment Data'!$B:$B &gt;= 4, 'Fund Investment Data'!$B:$B &lt;= ($B1753 + 5))) / 12) * ($B1753 - 3) * Parameters!$B$4,"&amp;" 0) + IF($B1753 &gt;= 9, IFERROR(SUM(FILTER('Fund Investment Data'!$V:$V, 'Fund Investment Data'!$C:$C = $C1753, 'Fund Investment Data'!$A:$A = $A1753, 'Fund Investment Data'!$B:$B &lt;= 3)) * Parameters!$B$4, 0),0)))"),0.0)</f>
        <v>0</v>
      </c>
      <c r="AB1753" s="32">
        <f>IFERROR(__xludf.DUMMYFUNCTION("IFERROR(((IFERROR(SUM(FILTER('Fund Investment Data'!$V:$V, 'Fund Investment Data'!$C:$C = $C1753, 'Fund Investment Data'!$A:$A = $A1753 - 2, 'Fund Investment Data'!$B:$B &gt;= 4)) * Parameters!$B$4,0) + IFERROR(SUM(FILTER('Fund Investment Data'!$V:$V, 'Fund "&amp;"Investment Data'!$C:$C = $C1753, 'Fund Investment Data'!$A:$A = $A1753 - 1, 'Fund Investment Data'!$B:$B &lt;= 3)) * Parameters!$B$4,0))),0)"),0.0)</f>
        <v>0</v>
      </c>
      <c r="AC1753" s="32" t="str">
        <f>IFERROR(__xludf.DUMMYFUNCTION("IFERROR(FILTER($AF:$AF,$C:$C = $C1753,$A:$A = $A1753 - 1,$B:$B = 12),0)"),"")</f>
        <v/>
      </c>
      <c r="AD1753" s="32">
        <f t="shared" si="23"/>
        <v>20080.70081</v>
      </c>
      <c r="AE1753" s="32">
        <f t="shared" si="2"/>
        <v>20080.70081</v>
      </c>
      <c r="AF1753" s="32"/>
    </row>
    <row r="1754">
      <c r="A1754" s="86">
        <v>2020.0</v>
      </c>
      <c r="B1754" s="87">
        <v>4.0</v>
      </c>
      <c r="C1754" s="88" t="s">
        <v>37</v>
      </c>
      <c r="D1754" s="104">
        <v>0.0</v>
      </c>
      <c r="E1754" s="104">
        <v>0.0</v>
      </c>
      <c r="F1754" s="104">
        <v>0.0</v>
      </c>
      <c r="G1754" s="104">
        <v>-1173.98</v>
      </c>
      <c r="H1754" s="104">
        <v>6073.93</v>
      </c>
      <c r="I1754" s="104">
        <v>48133.23</v>
      </c>
      <c r="J1754" s="104">
        <v>-125619.36</v>
      </c>
      <c r="K1754" s="32"/>
      <c r="L1754" s="32"/>
      <c r="M1754" s="32"/>
      <c r="N1754" s="32"/>
      <c r="O1754" s="106">
        <v>737845.97</v>
      </c>
      <c r="P1754" s="91">
        <f>IFERROR(__xludf.DUMMYFUNCTION("IFERROR(sum(FILTER($D:$N,$C:$C = $C1754,$A:$A &lt; $A1754,$B:$B = 12)),0) + sum($D1754:$N1754)"),737845.97)</f>
        <v>737845.97</v>
      </c>
      <c r="Q1754" s="92">
        <f t="shared" si="1"/>
        <v>0</v>
      </c>
      <c r="R1754" s="91">
        <f t="array" ref="R1754">IFERROR(INDEX('Fund YTD Target Values'!$1:$1000, MATCH($C1754,'Fund YTD Target Values'!$A:$A,0), MATCH($A1754,'Fund YTD Target Values'!$1:$1,0)),0)</f>
        <v>881697.5887</v>
      </c>
      <c r="S1754" s="91">
        <f>IFERROR(__xludf.DUMMYFUNCTION("IFERROR(sum(FILTER('Fund Investment Data'!$V:$V, 'Fund Investment Data'!$C:$C = $C1754, 'Fund Investment Data'!$A:$A &lt; $A1754)),0) + IFERROR(sum(FILTER('Fund Investment Data'!$V:$V, 'Fund Investment Data'!$C:$C = $C1754, 'Fund Investment Data'!$A:$A = $A1"&amp;"754, 'Fund Investment Data'!$B:$B &lt;= $B1754)),0)"),758137.86)</f>
        <v>758137.86</v>
      </c>
      <c r="T1754" s="32"/>
      <c r="U1754" s="32"/>
      <c r="V1754" s="32">
        <f>IFERROR(__xludf.DUMMYFUNCTION("$D1754 - IFERROR(FILTER($D:$D,$C:$C = $C1754, $A:$A = $A1754, $B:$B = $B1754 - 1),0)"),0.0)</f>
        <v>0</v>
      </c>
      <c r="W1754" s="93">
        <f>IFERROR(__xludf.DUMMYFUNCTION("$E1754 - IFERROR(FILTER($E:$E,$C:$C = $C1754, $A:$A = $A1754, $B:$B = $B1754 - 1),0)"),0.0)</f>
        <v>0</v>
      </c>
      <c r="X1754" s="91">
        <f>IFERROR(__xludf.DUMMYFUNCTION("iFERROR((FILTER('Fund Investment Data'!$Z:$Z, 'Fund Investment Data'!$C:$C = $C1754, 'Fund Investment Data'!$A:$A = $A1754 - 1, 'Fund Investment Data'!$B:$B = 12) + FILTER('Fund Investment Data'!$AB:$AB, 'Fund Investment Data'!$C:$C = $C1754, 'Fund Invest"&amp;"ment Data'!$A:$A = $A1754 - 1, 'Fund Investment Data'!$B:$B = 12)) * (1 + AVERAGE(FILTER('Inflation Data'!$C:$C,'Inflation Data'!$A:$A = ($A1754 - 2)))) * Parameters!$A$4,0)"),26964.813014785388)</f>
        <v>26964.81301</v>
      </c>
      <c r="Y1754" s="91">
        <f>IFERROR(__xludf.DUMMYFUNCTION("IFERROR((IFERROR(FILTER('Fund Investment Data'!$P:$P,'Fund Investment Data'!$C:$C = $C1754,'Fund Investment Data'!$A:$A = ($A1754 - 2), 'Fund Investment Data'!$B:$B = 12),0) - SUM(FILTER('Fund Investment Data'!$V:$V, 'Fund Investment Data'!$C:$C = $C1754,"&amp;" 'Fund Investment Data'!$A:$A = ($A1754 - 2), 'Fund Investment Data'!$B:$B &gt; 3)))  * Parameters!$B$4 * (1 - Parameters!$A$4),0)"),9760.690485)</f>
        <v>9760.690485</v>
      </c>
      <c r="Z1754" s="91">
        <f t="shared" si="24"/>
        <v>36725.5035</v>
      </c>
      <c r="AA1754" s="91">
        <f>IFERROR(__xludf.DUMMYFUNCTION("((IFERROR((SUM(FILTER('Fund Investment Data'!$V:$V, 'Fund Investment Data'!$C:$C = $C1754, 'Fund Investment Data'!$A:$A = $A1754 - 1, 'Fund Investment Data'!$B:$B &gt;= 4, 'Fund Investment Data'!$B:$B &lt;= ($B1754 + 5))) / 12) * ($B1754 - 3) * Parameters!$B$4,"&amp;" 0) + IF($B1754 &gt;= 9, IFERROR(SUM(FILTER('Fund Investment Data'!$V:$V, 'Fund Investment Data'!$C:$C = $C1754, 'Fund Investment Data'!$A:$A = $A1754, 'Fund Investment Data'!$B:$B &lt;= 3)) * Parameters!$B$4, 0),0)))"),0.0)</f>
        <v>0</v>
      </c>
      <c r="AB1754" s="32">
        <f>IFERROR(__xludf.DUMMYFUNCTION("IFERROR(((IFERROR(SUM(FILTER('Fund Investment Data'!$V:$V, 'Fund Investment Data'!$C:$C = $C1754, 'Fund Investment Data'!$A:$A = $A1754 - 2, 'Fund Investment Data'!$B:$B &gt;= 4)) * Parameters!$B$4,0) + IFERROR(SUM(FILTER('Fund Investment Data'!$V:$V, 'Fund "&amp;"Investment Data'!$C:$C = $C1754, 'Fund Investment Data'!$A:$A = $A1754 - 1, 'Fund Investment Data'!$B:$B &lt;= 3)) * Parameters!$B$4,0))),0)"),0.0)</f>
        <v>0</v>
      </c>
      <c r="AC1754" s="32" t="str">
        <f>IFERROR(__xludf.DUMMYFUNCTION("IFERROR(FILTER($AF:$AF,$C:$C = $C1754,$A:$A = $A1754 - 1,$B:$B = 12),0)"),"")</f>
        <v/>
      </c>
      <c r="AD1754" s="32">
        <f t="shared" si="23"/>
        <v>36725.5035</v>
      </c>
      <c r="AE1754" s="32">
        <f t="shared" si="2"/>
        <v>36725.5035</v>
      </c>
      <c r="AF1754" s="32"/>
    </row>
    <row r="1755">
      <c r="A1755" s="86">
        <v>2020.0</v>
      </c>
      <c r="B1755" s="87">
        <v>4.0</v>
      </c>
      <c r="C1755" s="88" t="s">
        <v>29</v>
      </c>
      <c r="D1755" s="104">
        <v>0.0</v>
      </c>
      <c r="E1755" s="104">
        <v>0.0</v>
      </c>
      <c r="F1755" s="104">
        <v>0.0</v>
      </c>
      <c r="G1755" s="104">
        <v>-87.35</v>
      </c>
      <c r="H1755" s="104">
        <v>451.91</v>
      </c>
      <c r="I1755" s="104">
        <v>3581.33</v>
      </c>
      <c r="J1755" s="104">
        <v>-9346.65</v>
      </c>
      <c r="K1755" s="32"/>
      <c r="L1755" s="32"/>
      <c r="M1755" s="32"/>
      <c r="N1755" s="32"/>
      <c r="O1755" s="106">
        <v>54899.11</v>
      </c>
      <c r="P1755" s="91">
        <f>IFERROR(__xludf.DUMMYFUNCTION("IFERROR(sum(FILTER($D:$N,$C:$C = $C1755,$A:$A &lt; $A1755,$B:$B = 12)),0) + sum($D1755:$N1755)"),54899.13999999991)</f>
        <v>54899.14</v>
      </c>
      <c r="Q1755" s="92">
        <f t="shared" si="1"/>
        <v>-0.02999999991</v>
      </c>
      <c r="R1755" s="91">
        <f t="array" ref="R1755">IFERROR(INDEX('Fund YTD Target Values'!$1:$1000, MATCH($C1755,'Fund YTD Target Values'!$A:$A,0), MATCH($A1755,'Fund YTD Target Values'!$1:$1,0)),0)</f>
        <v>80343.33092</v>
      </c>
      <c r="S1755" s="91">
        <f>IFERROR(__xludf.DUMMYFUNCTION("IFERROR(sum(FILTER('Fund Investment Data'!$V:$V, 'Fund Investment Data'!$C:$C = $C1755, 'Fund Investment Data'!$A:$A &lt; $A1755)),0) + IFERROR(sum(FILTER('Fund Investment Data'!$V:$V, 'Fund Investment Data'!$C:$C = $C1755, 'Fund Investment Data'!$A:$A = $A1"&amp;"755, 'Fund Investment Data'!$B:$B &lt;= $B1755)),0)"),50000.0)</f>
        <v>50000</v>
      </c>
      <c r="T1755" s="32"/>
      <c r="U1755" s="32"/>
      <c r="V1755" s="32">
        <f>IFERROR(__xludf.DUMMYFUNCTION("$D1755 - IFERROR(FILTER($D:$D,$C:$C = $C1755, $A:$A = $A1755, $B:$B = $B1755 - 1),0)"),0.0)</f>
        <v>0</v>
      </c>
      <c r="W1755" s="93">
        <f>IFERROR(__xludf.DUMMYFUNCTION("$E1755 - IFERROR(FILTER($E:$E,$C:$C = $C1755, $A:$A = $A1755, $B:$B = $B1755 - 1),0)"),0.0)</f>
        <v>0</v>
      </c>
      <c r="X1755" s="91">
        <f>IFERROR(__xludf.DUMMYFUNCTION("iFERROR((FILTER('Fund Investment Data'!$Z:$Z, 'Fund Investment Data'!$C:$C = $C1755, 'Fund Investment Data'!$A:$A = $A1755 - 1, 'Fund Investment Data'!$B:$B = 12) + FILTER('Fund Investment Data'!$AB:$AB, 'Fund Investment Data'!$C:$C = $C1755, 'Fund Invest"&amp;"ment Data'!$A:$A = $A1755 - 1, 'Fund Investment Data'!$B:$B = 12)) * (1 + AVERAGE(FILTER('Inflation Data'!$C:$C,'Inflation Data'!$A:$A = ($A1755 - 2)))) * Parameters!$A$4,0)"),1904.8380315570544)</f>
        <v>1904.838032</v>
      </c>
      <c r="Y1755" s="91">
        <f>IFERROR(__xludf.DUMMYFUNCTION("IFERROR((IFERROR(FILTER('Fund Investment Data'!$P:$P,'Fund Investment Data'!$C:$C = $C1755,'Fund Investment Data'!$A:$A = ($A1755 - 2), 'Fund Investment Data'!$B:$B = 12),0) - SUM(FILTER('Fund Investment Data'!$V:$V, 'Fund Investment Data'!$C:$C = $C1755,"&amp;" 'Fund Investment Data'!$A:$A = ($A1755 - 2), 'Fund Investment Data'!$B:$B &gt; 3)))  * Parameters!$B$4 * (1 - Parameters!$A$4),0)"),725.319764999999)</f>
        <v>725.319765</v>
      </c>
      <c r="Z1755" s="91">
        <f t="shared" si="24"/>
        <v>2630.157797</v>
      </c>
      <c r="AA1755" s="91">
        <f>IFERROR(__xludf.DUMMYFUNCTION("((IFERROR((SUM(FILTER('Fund Investment Data'!$V:$V, 'Fund Investment Data'!$C:$C = $C1755, 'Fund Investment Data'!$A:$A = $A1755 - 1, 'Fund Investment Data'!$B:$B &gt;= 4, 'Fund Investment Data'!$B:$B &lt;= ($B1755 + 5))) / 12) * ($B1755 - 3) * Parameters!$B$4,"&amp;" 0) + IF($B1755 &gt;= 9, IFERROR(SUM(FILTER('Fund Investment Data'!$V:$V, 'Fund Investment Data'!$C:$C = $C1755, 'Fund Investment Data'!$A:$A = $A1755, 'Fund Investment Data'!$B:$B &lt;= 3)) * Parameters!$B$4, 0),0)))"),0.0)</f>
        <v>0</v>
      </c>
      <c r="AB1755" s="32">
        <f>IFERROR(__xludf.DUMMYFUNCTION("IFERROR(((IFERROR(SUM(FILTER('Fund Investment Data'!$V:$V, 'Fund Investment Data'!$C:$C = $C1755, 'Fund Investment Data'!$A:$A = $A1755 - 2, 'Fund Investment Data'!$B:$B &gt;= 4)) * Parameters!$B$4,0) + IFERROR(SUM(FILTER('Fund Investment Data'!$V:$V, 'Fund "&amp;"Investment Data'!$C:$C = $C1755, 'Fund Investment Data'!$A:$A = $A1755 - 1, 'Fund Investment Data'!$B:$B &lt;= 3)) * Parameters!$B$4,0))),0)"),0.0)</f>
        <v>0</v>
      </c>
      <c r="AC1755" s="32" t="str">
        <f>IFERROR(__xludf.DUMMYFUNCTION("IFERROR(FILTER($AF:$AF,$C:$C = $C1755,$A:$A = $A1755 - 1,$B:$B = 12),0)"),"")</f>
        <v/>
      </c>
      <c r="AD1755" s="32">
        <f t="shared" si="23"/>
        <v>2630.157797</v>
      </c>
      <c r="AE1755" s="32">
        <f t="shared" si="2"/>
        <v>2630.157797</v>
      </c>
      <c r="AF1755" s="32"/>
    </row>
    <row r="1756">
      <c r="A1756" s="86">
        <v>2020.0</v>
      </c>
      <c r="B1756" s="87">
        <v>4.0</v>
      </c>
      <c r="C1756" s="88" t="s">
        <v>38</v>
      </c>
      <c r="D1756" s="104">
        <v>0.0</v>
      </c>
      <c r="E1756" s="104">
        <v>0.0</v>
      </c>
      <c r="F1756" s="104">
        <v>0.0</v>
      </c>
      <c r="G1756" s="104">
        <v>-1195.82</v>
      </c>
      <c r="H1756" s="104">
        <v>6186.9</v>
      </c>
      <c r="I1756" s="104">
        <v>49028.63</v>
      </c>
      <c r="J1756" s="104">
        <v>-127956.2</v>
      </c>
      <c r="K1756" s="32"/>
      <c r="L1756" s="32"/>
      <c r="M1756" s="32"/>
      <c r="N1756" s="32"/>
      <c r="O1756" s="106">
        <v>751571.85</v>
      </c>
      <c r="P1756" s="91">
        <f>IFERROR(__xludf.DUMMYFUNCTION("IFERROR(sum(FILTER($D:$N,$C:$C = $C1756,$A:$A &lt; $A1756,$B:$B = 12)),0) + sum($D1756:$N1756)"),751570.81)</f>
        <v>751570.81</v>
      </c>
      <c r="Q1756" s="92">
        <f t="shared" si="1"/>
        <v>1.04</v>
      </c>
      <c r="R1756" s="91">
        <f t="array" ref="R1756">IFERROR(INDEX('Fund YTD Target Values'!$1:$1000, MATCH($C1756,'Fund YTD Target Values'!$A:$A,0), MATCH($A1756,'Fund YTD Target Values'!$1:$1,0)),0)</f>
        <v>732485.9458</v>
      </c>
      <c r="S1756" s="91">
        <f>IFERROR(__xludf.DUMMYFUNCTION("IFERROR(sum(FILTER('Fund Investment Data'!$V:$V, 'Fund Investment Data'!$C:$C = $C1756, 'Fund Investment Data'!$A:$A &lt; $A1756)),0) + IFERROR(sum(FILTER('Fund Investment Data'!$V:$V, 'Fund Investment Data'!$C:$C = $C1756, 'Fund Investment Data'!$A:$A = $A1"&amp;"756, 'Fund Investment Data'!$B:$B &lt;= $B1756)),0)"),556601.64)</f>
        <v>556601.64</v>
      </c>
      <c r="T1756" s="32"/>
      <c r="U1756" s="32"/>
      <c r="V1756" s="32">
        <f>IFERROR(__xludf.DUMMYFUNCTION("$D1756 - IFERROR(FILTER($D:$D,$C:$C = $C1756, $A:$A = $A1756, $B:$B = $B1756 - 1),0)"),0.0)</f>
        <v>0</v>
      </c>
      <c r="W1756" s="93">
        <f>IFERROR(__xludf.DUMMYFUNCTION("$E1756 - IFERROR(FILTER($E:$E,$C:$C = $C1756, $A:$A = $A1756, $B:$B = $B1756 - 1),0)"),0.0)</f>
        <v>0</v>
      </c>
      <c r="X1756" s="91">
        <f>IFERROR(__xludf.DUMMYFUNCTION("iFERROR((FILTER('Fund Investment Data'!$Z:$Z, 'Fund Investment Data'!$C:$C = $C1756, 'Fund Investment Data'!$A:$A = $A1756 - 1, 'Fund Investment Data'!$B:$B = 12) + FILTER('Fund Investment Data'!$AB:$AB, 'Fund Investment Data'!$C:$C = $C1756, 'Fund Invest"&amp;"ment Data'!$A:$A = $A1756 - 1, 'Fund Investment Data'!$B:$B = 12)) * (1 + AVERAGE(FILTER('Inflation Data'!$C:$C,'Inflation Data'!$A:$A = ($A1756 - 2)))) * Parameters!$A$4,0)"),23714.482768130645)</f>
        <v>23714.48277</v>
      </c>
      <c r="Y1756" s="91">
        <f>IFERROR(__xludf.DUMMYFUNCTION("IFERROR((IFERROR(FILTER('Fund Investment Data'!$P:$P,'Fund Investment Data'!$C:$C = $C1756,'Fund Investment Data'!$A:$A = ($A1756 - 2), 'Fund Investment Data'!$B:$B = 12),0) - SUM(FILTER('Fund Investment Data'!$V:$V, 'Fund Investment Data'!$C:$C = $C1756,"&amp;" 'Fund Investment Data'!$A:$A = ($A1756 - 2), 'Fund Investment Data'!$B:$B &gt; 3)))  * Parameters!$B$4 * (1 - Parameters!$A$4),0)"),9744.43716)</f>
        <v>9744.43716</v>
      </c>
      <c r="Z1756" s="91">
        <f t="shared" si="24"/>
        <v>33458.91993</v>
      </c>
      <c r="AA1756" s="91">
        <f>IFERROR(__xludf.DUMMYFUNCTION("((IFERROR((SUM(FILTER('Fund Investment Data'!$V:$V, 'Fund Investment Data'!$C:$C = $C1756, 'Fund Investment Data'!$A:$A = $A1756 - 1, 'Fund Investment Data'!$B:$B &gt;= 4, 'Fund Investment Data'!$B:$B &lt;= ($B1756 + 5))) / 12) * ($B1756 - 3) * Parameters!$B$4,"&amp;" 0) + IF($B1756 &gt;= 9, IFERROR(SUM(FILTER('Fund Investment Data'!$V:$V, 'Fund Investment Data'!$C:$C = $C1756, 'Fund Investment Data'!$A:$A = $A1756, 'Fund Investment Data'!$B:$B &lt;= 3)) * Parameters!$B$4, 0),0)))"),0.0)</f>
        <v>0</v>
      </c>
      <c r="AB1756" s="32">
        <f>IFERROR(__xludf.DUMMYFUNCTION("IFERROR(((IFERROR(SUM(FILTER('Fund Investment Data'!$V:$V, 'Fund Investment Data'!$C:$C = $C1756, 'Fund Investment Data'!$A:$A = $A1756 - 2, 'Fund Investment Data'!$B:$B &gt;= 4)) * Parameters!$B$4,0) + IFERROR(SUM(FILTER('Fund Investment Data'!$V:$V, 'Fund "&amp;"Investment Data'!$C:$C = $C1756, 'Fund Investment Data'!$A:$A = $A1756 - 1, 'Fund Investment Data'!$B:$B &lt;= 3)) * Parameters!$B$4,0))),0)"),0.0)</f>
        <v>0</v>
      </c>
      <c r="AC1756" s="32" t="str">
        <f>IFERROR(__xludf.DUMMYFUNCTION("IFERROR(FILTER($AF:$AF,$C:$C = $C1756,$A:$A = $A1756 - 1,$B:$B = 12),0)"),"")</f>
        <v/>
      </c>
      <c r="AD1756" s="32">
        <f t="shared" si="23"/>
        <v>33458.91993</v>
      </c>
      <c r="AE1756" s="32">
        <f t="shared" si="2"/>
        <v>33458.91993</v>
      </c>
      <c r="AF1756" s="32"/>
    </row>
    <row r="1757">
      <c r="A1757" s="86">
        <v>2020.0</v>
      </c>
      <c r="B1757" s="87">
        <v>4.0</v>
      </c>
      <c r="C1757" s="88" t="s">
        <v>30</v>
      </c>
      <c r="D1757" s="104">
        <v>0.0</v>
      </c>
      <c r="E1757" s="104">
        <v>0.0</v>
      </c>
      <c r="F1757" s="104">
        <v>0.0</v>
      </c>
      <c r="G1757" s="104">
        <v>-26.09</v>
      </c>
      <c r="H1757" s="104">
        <v>134.93</v>
      </c>
      <c r="I1757" s="104">
        <v>1069.35</v>
      </c>
      <c r="J1757" s="104">
        <v>-2790.83</v>
      </c>
      <c r="K1757" s="32"/>
      <c r="L1757" s="32"/>
      <c r="M1757" s="32"/>
      <c r="N1757" s="32"/>
      <c r="O1757" s="106">
        <v>16392.37</v>
      </c>
      <c r="P1757" s="91">
        <f>IFERROR(__xludf.DUMMYFUNCTION("IFERROR(sum(FILTER($D:$N,$C:$C = $C1757,$A:$A &lt; $A1757,$B:$B = 12)),0) + sum($D1757:$N1757)"),16390.739999999987)</f>
        <v>16390.74</v>
      </c>
      <c r="Q1757" s="92">
        <f t="shared" si="1"/>
        <v>1.63</v>
      </c>
      <c r="R1757" s="91">
        <f t="array" ref="R1757">IFERROR(INDEX('Fund YTD Target Values'!$1:$1000, MATCH($C1757,'Fund YTD Target Values'!$A:$A,0), MATCH($A1757,'Fund YTD Target Values'!$1:$1,0)),0)</f>
        <v>19273.16693</v>
      </c>
      <c r="S1757" s="91">
        <f>IFERROR(__xludf.DUMMYFUNCTION("IFERROR(sum(FILTER('Fund Investment Data'!$V:$V, 'Fund Investment Data'!$C:$C = $C1757, 'Fund Investment Data'!$A:$A &lt; $A1757)),0) + IFERROR(sum(FILTER('Fund Investment Data'!$V:$V, 'Fund Investment Data'!$C:$C = $C1757, 'Fund Investment Data'!$A:$A = $A1"&amp;"757, 'Fund Investment Data'!$B:$B &lt;= $B1757)),0)"),11540.75)</f>
        <v>11540.75</v>
      </c>
      <c r="T1757" s="32"/>
      <c r="U1757" s="32"/>
      <c r="V1757" s="32">
        <f>IFERROR(__xludf.DUMMYFUNCTION("$D1757 - IFERROR(FILTER($D:$D,$C:$C = $C1757, $A:$A = $A1757, $B:$B = $B1757 - 1),0)"),0.0)</f>
        <v>0</v>
      </c>
      <c r="W1757" s="93">
        <f>IFERROR(__xludf.DUMMYFUNCTION("$E1757 - IFERROR(FILTER($E:$E,$C:$C = $C1757, $A:$A = $A1757, $B:$B = $B1757 - 1),0)"),0.0)</f>
        <v>0</v>
      </c>
      <c r="X1757" s="91">
        <f>IFERROR(__xludf.DUMMYFUNCTION("iFERROR((FILTER('Fund Investment Data'!$Z:$Z, 'Fund Investment Data'!$C:$C = $C1757, 'Fund Investment Data'!$A:$A = $A1757 - 1, 'Fund Investment Data'!$B:$B = 12) + FILTER('Fund Investment Data'!$AB:$AB, 'Fund Investment Data'!$C:$C = $C1757, 'Fund Invest"&amp;"ment Data'!$A:$A = $A1757 - 1, 'Fund Investment Data'!$B:$B = 12)) * (1 + AVERAGE(FILTER('Inflation Data'!$C:$C,'Inflation Data'!$A:$A = ($A1757 - 2)))) * Parameters!$A$4,0)"),568.7991394561834)</f>
        <v>568.7991395</v>
      </c>
      <c r="Y1757" s="91">
        <f>IFERROR(__xludf.DUMMYFUNCTION("IFERROR((IFERROR(FILTER('Fund Investment Data'!$P:$P,'Fund Investment Data'!$C:$C = $C1757,'Fund Investment Data'!$A:$A = ($A1757 - 2), 'Fund Investment Data'!$B:$B = 12),0) - SUM(FILTER('Fund Investment Data'!$V:$V, 'Fund Investment Data'!$C:$C = $C1757,"&amp;" 'Fund Investment Data'!$A:$A = ($A1757 - 2), 'Fund Investment Data'!$B:$B &gt; 3)))  * Parameters!$B$4 * (1 - Parameters!$A$4),0)"),216.52757999999983)</f>
        <v>216.52758</v>
      </c>
      <c r="Z1757" s="91">
        <f t="shared" si="24"/>
        <v>785.3267195</v>
      </c>
      <c r="AA1757" s="91">
        <f>IFERROR(__xludf.DUMMYFUNCTION("((IFERROR((SUM(FILTER('Fund Investment Data'!$V:$V, 'Fund Investment Data'!$C:$C = $C1757, 'Fund Investment Data'!$A:$A = $A1757 - 1, 'Fund Investment Data'!$B:$B &gt;= 4, 'Fund Investment Data'!$B:$B &lt;= ($B1757 + 5))) / 12) * ($B1757 - 3) * Parameters!$B$4,"&amp;" 0) + IF($B1757 &gt;= 9, IFERROR(SUM(FILTER('Fund Investment Data'!$V:$V, 'Fund Investment Data'!$C:$C = $C1757, 'Fund Investment Data'!$A:$A = $A1757, 'Fund Investment Data'!$B:$B &lt;= 3)) * Parameters!$B$4, 0),0)))"),0.0)</f>
        <v>0</v>
      </c>
      <c r="AB1757" s="32">
        <f>IFERROR(__xludf.DUMMYFUNCTION("IFERROR(((IFERROR(SUM(FILTER('Fund Investment Data'!$V:$V, 'Fund Investment Data'!$C:$C = $C1757, 'Fund Investment Data'!$A:$A = $A1757 - 2, 'Fund Investment Data'!$B:$B &gt;= 4)) * Parameters!$B$4,0) + IFERROR(SUM(FILTER('Fund Investment Data'!$V:$V, 'Fund "&amp;"Investment Data'!$C:$C = $C1757, 'Fund Investment Data'!$A:$A = $A1757 - 1, 'Fund Investment Data'!$B:$B &lt;= 3)) * Parameters!$B$4,0))),0)"),0.0)</f>
        <v>0</v>
      </c>
      <c r="AC1757" s="32" t="str">
        <f>IFERROR(__xludf.DUMMYFUNCTION("IFERROR(FILTER($AF:$AF,$C:$C = $C1757,$A:$A = $A1757 - 1,$B:$B = 12),0)"),"")</f>
        <v/>
      </c>
      <c r="AD1757" s="32">
        <f t="shared" si="23"/>
        <v>785.3267195</v>
      </c>
      <c r="AE1757" s="32">
        <f t="shared" si="2"/>
        <v>785.3267195</v>
      </c>
      <c r="AF1757" s="32"/>
    </row>
    <row r="1758">
      <c r="A1758" s="86">
        <v>2020.0</v>
      </c>
      <c r="B1758" s="87">
        <v>4.0</v>
      </c>
      <c r="C1758" s="88" t="s">
        <v>47</v>
      </c>
      <c r="D1758" s="104">
        <v>0.0</v>
      </c>
      <c r="E1758" s="104">
        <v>0.0</v>
      </c>
      <c r="F1758" s="104">
        <v>0.0</v>
      </c>
      <c r="G1758" s="104">
        <v>-2162.44</v>
      </c>
      <c r="H1758" s="104">
        <v>11188.03</v>
      </c>
      <c r="I1758" s="104">
        <v>88660.46</v>
      </c>
      <c r="J1758" s="104">
        <v>-231388.36</v>
      </c>
      <c r="K1758" s="32"/>
      <c r="L1758" s="32"/>
      <c r="M1758" s="32"/>
      <c r="N1758" s="32"/>
      <c r="O1758" s="106">
        <v>1359097.56</v>
      </c>
      <c r="P1758" s="91">
        <f>IFERROR(__xludf.DUMMYFUNCTION("IFERROR(sum(FILTER($D:$N,$C:$C = $C1758,$A:$A &lt; $A1758,$B:$B = 12)),0) + sum($D1758:$N1758)"),1359097.2099999995)</f>
        <v>1359097.21</v>
      </c>
      <c r="Q1758" s="92">
        <f t="shared" si="1"/>
        <v>0.3500000006</v>
      </c>
      <c r="R1758" s="91">
        <f t="array" ref="R1758">IFERROR(INDEX('Fund YTD Target Values'!$1:$1000, MATCH($C1758,'Fund YTD Target Values'!$A:$A,0), MATCH($A1758,'Fund YTD Target Values'!$1:$1,0)),0)</f>
        <v>2083999.77</v>
      </c>
      <c r="S1758" s="91">
        <f>IFERROR(__xludf.DUMMYFUNCTION("IFERROR(sum(FILTER('Fund Investment Data'!$V:$V, 'Fund Investment Data'!$C:$C = $C1758, 'Fund Investment Data'!$A:$A &lt; $A1758)),0) + IFERROR(sum(FILTER('Fund Investment Data'!$V:$V, 'Fund Investment Data'!$C:$C = $C1758, 'Fund Investment Data'!$A:$A = $A1"&amp;"758, 'Fund Investment Data'!$B:$B &lt;= $B1758)),0)"),1456367.46)</f>
        <v>1456367.46</v>
      </c>
      <c r="T1758" s="32"/>
      <c r="U1758" s="32"/>
      <c r="V1758" s="32">
        <f>IFERROR(__xludf.DUMMYFUNCTION("$D1758 - IFERROR(FILTER($D:$D,$C:$C = $C1758, $A:$A = $A1758, $B:$B = $B1758 - 1),0)"),0.0)</f>
        <v>0</v>
      </c>
      <c r="W1758" s="93">
        <f>IFERROR(__xludf.DUMMYFUNCTION("$E1758 - IFERROR(FILTER($E:$E,$C:$C = $C1758, $A:$A = $A1758, $B:$B = $B1758 - 1),0)"),0.0)</f>
        <v>0</v>
      </c>
      <c r="X1758" s="91">
        <f>IFERROR(__xludf.DUMMYFUNCTION("iFERROR((FILTER('Fund Investment Data'!$Z:$Z, 'Fund Investment Data'!$C:$C = $C1758, 'Fund Investment Data'!$A:$A = $A1758 - 1, 'Fund Investment Data'!$B:$B = 12) + FILTER('Fund Investment Data'!$AB:$AB, 'Fund Investment Data'!$C:$C = $C1758, 'Fund Invest"&amp;"ment Data'!$A:$A = $A1758 - 1, 'Fund Investment Data'!$B:$B = 12)) * (1 + AVERAGE(FILTER('Inflation Data'!$C:$C,'Inflation Data'!$A:$A = ($A1758 - 2)))) * Parameters!$A$4,0)"),49588.29599165883)</f>
        <v>49588.29599</v>
      </c>
      <c r="Y1758" s="91">
        <f>IFERROR(__xludf.DUMMYFUNCTION("IFERROR((IFERROR(FILTER('Fund Investment Data'!$P:$P,'Fund Investment Data'!$C:$C = $C1758,'Fund Investment Data'!$A:$A = ($A1758 - 2), 'Fund Investment Data'!$B:$B = 12),0) - SUM(FILTER('Fund Investment Data'!$V:$V, 'Fund Investment Data'!$C:$C = $C1758,"&amp;" 'Fund Investment Data'!$A:$A = ($A1758 - 2), 'Fund Investment Data'!$B:$B &gt; 3)))  * Parameters!$B$4 * (1 - Parameters!$A$4),0)"),17972.522459999996)</f>
        <v>17972.52246</v>
      </c>
      <c r="Z1758" s="91">
        <f t="shared" si="24"/>
        <v>67560.81845</v>
      </c>
      <c r="AA1758" s="91">
        <f>IFERROR(__xludf.DUMMYFUNCTION("((IFERROR((SUM(FILTER('Fund Investment Data'!$V:$V, 'Fund Investment Data'!$C:$C = $C1758, 'Fund Investment Data'!$A:$A = $A1758 - 1, 'Fund Investment Data'!$B:$B &gt;= 4, 'Fund Investment Data'!$B:$B &lt;= ($B1758 + 5))) / 12) * ($B1758 - 3) * Parameters!$B$4,"&amp;" 0) + IF($B1758 &gt;= 9, IFERROR(SUM(FILTER('Fund Investment Data'!$V:$V, 'Fund Investment Data'!$C:$C = $C1758, 'Fund Investment Data'!$A:$A = $A1758, 'Fund Investment Data'!$B:$B &lt;= 3)) * Parameters!$B$4, 0),0)))"),0.0)</f>
        <v>0</v>
      </c>
      <c r="AB1758" s="32">
        <f>IFERROR(__xludf.DUMMYFUNCTION("IFERROR(((IFERROR(SUM(FILTER('Fund Investment Data'!$V:$V, 'Fund Investment Data'!$C:$C = $C1758, 'Fund Investment Data'!$A:$A = $A1758 - 2, 'Fund Investment Data'!$B:$B &gt;= 4)) * Parameters!$B$4,0) + IFERROR(SUM(FILTER('Fund Investment Data'!$V:$V, 'Fund "&amp;"Investment Data'!$C:$C = $C1758, 'Fund Investment Data'!$A:$A = $A1758 - 1, 'Fund Investment Data'!$B:$B &lt;= 3)) * Parameters!$B$4,0))),0)"),0.0)</f>
        <v>0</v>
      </c>
      <c r="AC1758" s="32" t="str">
        <f>IFERROR(__xludf.DUMMYFUNCTION("IFERROR(FILTER($AF:$AF,$C:$C = $C1758,$A:$A = $A1758 - 1,$B:$B = 12),0)"),"")</f>
        <v/>
      </c>
      <c r="AD1758" s="32">
        <f t="shared" si="23"/>
        <v>67560.81845</v>
      </c>
      <c r="AE1758" s="32">
        <f t="shared" si="2"/>
        <v>67560.81845</v>
      </c>
      <c r="AF1758" s="32"/>
    </row>
    <row r="1759">
      <c r="A1759" s="86">
        <v>2020.0</v>
      </c>
      <c r="B1759" s="87">
        <v>4.0</v>
      </c>
      <c r="C1759" s="88" t="s">
        <v>31</v>
      </c>
      <c r="D1759" s="104">
        <v>0.0</v>
      </c>
      <c r="E1759" s="104">
        <v>0.0</v>
      </c>
      <c r="F1759" s="104">
        <v>0.0</v>
      </c>
      <c r="G1759" s="104">
        <v>-268.86</v>
      </c>
      <c r="H1759" s="104">
        <v>1390.95</v>
      </c>
      <c r="I1759" s="104">
        <v>11022.78</v>
      </c>
      <c r="J1759" s="104">
        <v>-28767.55</v>
      </c>
      <c r="K1759" s="32"/>
      <c r="L1759" s="32"/>
      <c r="M1759" s="32"/>
      <c r="N1759" s="32"/>
      <c r="O1759" s="106">
        <v>168970.9</v>
      </c>
      <c r="P1759" s="91">
        <f>IFERROR(__xludf.DUMMYFUNCTION("IFERROR(sum(FILTER($D:$N,$C:$C = $C1759,$A:$A &lt; $A1759,$B:$B = 12)),0) + sum($D1759:$N1759)"),168970.90999999997)</f>
        <v>168970.91</v>
      </c>
      <c r="Q1759" s="92">
        <f t="shared" si="1"/>
        <v>-0.00999999998</v>
      </c>
      <c r="R1759" s="91">
        <f t="array" ref="R1759">IFERROR(INDEX('Fund YTD Target Values'!$1:$1000, MATCH($C1759,'Fund YTD Target Values'!$A:$A,0), MATCH($A1759,'Fund YTD Target Values'!$1:$1,0)),0)</f>
        <v>219640.3616</v>
      </c>
      <c r="S1759" s="91">
        <f>IFERROR(__xludf.DUMMYFUNCTION("IFERROR(sum(FILTER('Fund Investment Data'!$V:$V, 'Fund Investment Data'!$C:$C = $C1759, 'Fund Investment Data'!$A:$A &lt; $A1759)),0) + IFERROR(sum(FILTER('Fund Investment Data'!$V:$V, 'Fund Investment Data'!$C:$C = $C1759, 'Fund Investment Data'!$A:$A = $A1"&amp;"759, 'Fund Investment Data'!$B:$B &lt;= $B1759)),0)"),158200.0)</f>
        <v>158200</v>
      </c>
      <c r="T1759" s="32"/>
      <c r="U1759" s="32"/>
      <c r="V1759" s="32">
        <f>IFERROR(__xludf.DUMMYFUNCTION("$D1759 - IFERROR(FILTER($D:$D,$C:$C = $C1759, $A:$A = $A1759, $B:$B = $B1759 - 1),0)"),0.0)</f>
        <v>0</v>
      </c>
      <c r="W1759" s="93">
        <f>IFERROR(__xludf.DUMMYFUNCTION("$E1759 - IFERROR(FILTER($E:$E,$C:$C = $C1759, $A:$A = $A1759, $B:$B = $B1759 - 1),0)"),0.0)</f>
        <v>0</v>
      </c>
      <c r="X1759" s="91">
        <f>IFERROR(__xludf.DUMMYFUNCTION("iFERROR((FILTER('Fund Investment Data'!$Z:$Z, 'Fund Investment Data'!$C:$C = $C1759, 'Fund Investment Data'!$A:$A = $A1759 - 1, 'Fund Investment Data'!$B:$B = 12) + FILTER('Fund Investment Data'!$AB:$AB, 'Fund Investment Data'!$C:$C = $C1759, 'Fund Invest"&amp;"ment Data'!$A:$A = $A1759 - 1, 'Fund Investment Data'!$B:$B = 12)) * (1 + AVERAGE(FILTER('Inflation Data'!$C:$C,'Inflation Data'!$A:$A = ($A1759 - 2)))) * Parameters!$A$4,0)"),6267.63344728865)</f>
        <v>6267.633447</v>
      </c>
      <c r="Y1759" s="91">
        <f>IFERROR(__xludf.DUMMYFUNCTION("IFERROR((IFERROR(FILTER('Fund Investment Data'!$P:$P,'Fund Investment Data'!$C:$C = $C1759,'Fund Investment Data'!$A:$A = ($A1759 - 2), 'Fund Investment Data'!$B:$B = 12),0) - SUM(FILTER('Fund Investment Data'!$V:$V, 'Fund Investment Data'!$C:$C = $C1759,"&amp;" 'Fund Investment Data'!$A:$A = ($A1759 - 2), 'Fund Investment Data'!$B:$B &gt; 3)))  * Parameters!$B$4 * (1 - Parameters!$A$4),0)"),2235.5692200000008)</f>
        <v>2235.56922</v>
      </c>
      <c r="Z1759" s="91">
        <f t="shared" si="24"/>
        <v>8503.202667</v>
      </c>
      <c r="AA1759" s="91">
        <f>IFERROR(__xludf.DUMMYFUNCTION("((IFERROR((SUM(FILTER('Fund Investment Data'!$V:$V, 'Fund Investment Data'!$C:$C = $C1759, 'Fund Investment Data'!$A:$A = $A1759 - 1, 'Fund Investment Data'!$B:$B &gt;= 4, 'Fund Investment Data'!$B:$B &lt;= ($B1759 + 5))) / 12) * ($B1759 - 3) * Parameters!$B$4,"&amp;" 0) + IF($B1759 &gt;= 9, IFERROR(SUM(FILTER('Fund Investment Data'!$V:$V, 'Fund Investment Data'!$C:$C = $C1759, 'Fund Investment Data'!$A:$A = $A1759, 'Fund Investment Data'!$B:$B &lt;= 3)) * Parameters!$B$4, 0),0)))"),0.375)</f>
        <v>0.375</v>
      </c>
      <c r="AB1759" s="32">
        <f>IFERROR(__xludf.DUMMYFUNCTION("IFERROR(((IFERROR(SUM(FILTER('Fund Investment Data'!$V:$V, 'Fund Investment Data'!$C:$C = $C1759, 'Fund Investment Data'!$A:$A = $A1759 - 2, 'Fund Investment Data'!$B:$B &gt;= 4)) * Parameters!$B$4,0) + IFERROR(SUM(FILTER('Fund Investment Data'!$V:$V, 'Fund "&amp;"Investment Data'!$C:$C = $C1759, 'Fund Investment Data'!$A:$A = $A1759 - 1, 'Fund Investment Data'!$B:$B &lt;= 3)) * Parameters!$B$4,0))),0)"),0.0)</f>
        <v>0</v>
      </c>
      <c r="AC1759" s="32" t="str">
        <f>IFERROR(__xludf.DUMMYFUNCTION("IFERROR(FILTER($AF:$AF,$C:$C = $C1759,$A:$A = $A1759 - 1,$B:$B = 12),0)"),"")</f>
        <v/>
      </c>
      <c r="AD1759" s="32">
        <f t="shared" si="23"/>
        <v>8503.577667</v>
      </c>
      <c r="AE1759" s="32">
        <f t="shared" si="2"/>
        <v>8503.577667</v>
      </c>
      <c r="AF1759" s="32"/>
    </row>
    <row r="1760">
      <c r="A1760" s="86">
        <v>2020.0</v>
      </c>
      <c r="B1760" s="87">
        <v>4.0</v>
      </c>
      <c r="C1760" s="88" t="s">
        <v>39</v>
      </c>
      <c r="D1760" s="104">
        <v>0.0</v>
      </c>
      <c r="E1760" s="104">
        <v>0.0</v>
      </c>
      <c r="F1760" s="104">
        <v>0.0</v>
      </c>
      <c r="G1760" s="104">
        <v>-300.63</v>
      </c>
      <c r="H1760" s="104">
        <v>1555.42</v>
      </c>
      <c r="I1760" s="104">
        <v>12326.01</v>
      </c>
      <c r="J1760" s="104">
        <v>-32168.76</v>
      </c>
      <c r="K1760" s="32"/>
      <c r="L1760" s="32"/>
      <c r="M1760" s="32"/>
      <c r="N1760" s="32"/>
      <c r="O1760" s="106">
        <v>188948.5</v>
      </c>
      <c r="P1760" s="91">
        <f>IFERROR(__xludf.DUMMYFUNCTION("IFERROR(sum(FILTER($D:$N,$C:$C = $C1760,$A:$A &lt; $A1760,$B:$B = 12)),0) + sum($D1760:$N1760)"),188948.50000000006)</f>
        <v>188948.5</v>
      </c>
      <c r="Q1760" s="92">
        <f t="shared" si="1"/>
        <v>0</v>
      </c>
      <c r="R1760" s="91">
        <f t="array" ref="R1760">IFERROR(INDEX('Fund YTD Target Values'!$1:$1000, MATCH($C1760,'Fund YTD Target Values'!$A:$A,0), MATCH($A1760,'Fund YTD Target Values'!$1:$1,0)),0)</f>
        <v>208132.6987</v>
      </c>
      <c r="S1760" s="91">
        <f>IFERROR(__xludf.DUMMYFUNCTION("IFERROR(sum(FILTER('Fund Investment Data'!$V:$V, 'Fund Investment Data'!$C:$C = $C1760, 'Fund Investment Data'!$A:$A &lt; $A1760)),0) + IFERROR(sum(FILTER('Fund Investment Data'!$V:$V, 'Fund Investment Data'!$C:$C = $C1760, 'Fund Investment Data'!$A:$A = $A1"&amp;"760, 'Fund Investment Data'!$B:$B &lt;= $B1760)),0)"),185000.0)</f>
        <v>185000</v>
      </c>
      <c r="T1760" s="32"/>
      <c r="U1760" s="32"/>
      <c r="V1760" s="32">
        <f>IFERROR(__xludf.DUMMYFUNCTION("$D1760 - IFERROR(FILTER($D:$D,$C:$C = $C1760, $A:$A = $A1760, $B:$B = $B1760 - 1),0)"),0.0)</f>
        <v>0</v>
      </c>
      <c r="W1760" s="93">
        <f>IFERROR(__xludf.DUMMYFUNCTION("$E1760 - IFERROR(FILTER($E:$E,$C:$C = $C1760, $A:$A = $A1760, $B:$B = $B1760 - 1),0)"),0.0)</f>
        <v>0</v>
      </c>
      <c r="X1760" s="91">
        <f>IFERROR(__xludf.DUMMYFUNCTION("iFERROR((FILTER('Fund Investment Data'!$Z:$Z, 'Fund Investment Data'!$C:$C = $C1760, 'Fund Investment Data'!$A:$A = $A1760 - 1, 'Fund Investment Data'!$B:$B = 12) + FILTER('Fund Investment Data'!$AB:$AB, 'Fund Investment Data'!$C:$C = $C1760, 'Fund Invest"&amp;"ment Data'!$A:$A = $A1760 - 1, 'Fund Investment Data'!$B:$B = 12)) * (1 + AVERAGE(FILTER('Inflation Data'!$C:$C,'Inflation Data'!$A:$A = ($A1760 - 2)))) * Parameters!$A$4,0)"),5904.480581542223)</f>
        <v>5904.480582</v>
      </c>
      <c r="Y1760" s="91">
        <f>IFERROR(__xludf.DUMMYFUNCTION("IFERROR((IFERROR(FILTER('Fund Investment Data'!$P:$P,'Fund Investment Data'!$C:$C = $C1760,'Fund Investment Data'!$A:$A = ($A1760 - 2), 'Fund Investment Data'!$B:$B = 12),0) - SUM(FILTER('Fund Investment Data'!$V:$V, 'Fund Investment Data'!$C:$C = $C1760,"&amp;" 'Fund Investment Data'!$A:$A = ($A1760 - 2), 'Fund Investment Data'!$B:$B &gt; 3)))  * Parameters!$B$4 * (1 - Parameters!$A$4),0)"),2103.5735100000006)</f>
        <v>2103.57351</v>
      </c>
      <c r="Z1760" s="91">
        <f t="shared" si="24"/>
        <v>8008.054092</v>
      </c>
      <c r="AA1760" s="91">
        <f>IFERROR(__xludf.DUMMYFUNCTION("((IFERROR((SUM(FILTER('Fund Investment Data'!$V:$V, 'Fund Investment Data'!$C:$C = $C1760, 'Fund Investment Data'!$A:$A = $A1760 - 1, 'Fund Investment Data'!$B:$B &gt;= 4, 'Fund Investment Data'!$B:$B &lt;= ($B1760 + 5))) / 12) * ($B1760 - 3) * Parameters!$B$4,"&amp;" 0) + IF($B1760 &gt;= 9, IFERROR(SUM(FILTER('Fund Investment Data'!$V:$V, 'Fund Investment Data'!$C:$C = $C1760, 'Fund Investment Data'!$A:$A = $A1760, 'Fund Investment Data'!$B:$B &lt;= 3)) * Parameters!$B$4, 0),0)))"),56.25)</f>
        <v>56.25</v>
      </c>
      <c r="AB1760" s="32">
        <f>IFERROR(__xludf.DUMMYFUNCTION("IFERROR(((IFERROR(SUM(FILTER('Fund Investment Data'!$V:$V, 'Fund Investment Data'!$C:$C = $C1760, 'Fund Investment Data'!$A:$A = $A1760 - 2, 'Fund Investment Data'!$B:$B &gt;= 4)) * Parameters!$B$4,0) + IFERROR(SUM(FILTER('Fund Investment Data'!$V:$V, 'Fund "&amp;"Investment Data'!$C:$C = $C1760, 'Fund Investment Data'!$A:$A = $A1760 - 1, 'Fund Investment Data'!$B:$B &lt;= 3)) * Parameters!$B$4,0))),0)"),675.0)</f>
        <v>675</v>
      </c>
      <c r="AC1760" s="32" t="str">
        <f>IFERROR(__xludf.DUMMYFUNCTION("IFERROR(FILTER($AF:$AF,$C:$C = $C1760,$A:$A = $A1760 - 1,$B:$B = 12),0)"),"")</f>
        <v/>
      </c>
      <c r="AD1760" s="32">
        <f t="shared" si="23"/>
        <v>8739.304092</v>
      </c>
      <c r="AE1760" s="32">
        <f t="shared" si="2"/>
        <v>8739.304092</v>
      </c>
      <c r="AF1760" s="32"/>
    </row>
    <row r="1761">
      <c r="A1761" s="86">
        <v>2020.0</v>
      </c>
      <c r="B1761" s="87">
        <v>4.0</v>
      </c>
      <c r="C1761" s="88" t="s">
        <v>50</v>
      </c>
      <c r="D1761" s="104">
        <v>0.0</v>
      </c>
      <c r="E1761" s="104">
        <v>0.0</v>
      </c>
      <c r="F1761" s="104">
        <v>0.0</v>
      </c>
      <c r="G1761" s="104">
        <v>-307.09</v>
      </c>
      <c r="H1761" s="104">
        <v>1588.81</v>
      </c>
      <c r="I1761" s="104">
        <v>12590.64</v>
      </c>
      <c r="J1761" s="104">
        <v>-32859.34</v>
      </c>
      <c r="K1761" s="32"/>
      <c r="L1761" s="32"/>
      <c r="M1761" s="32"/>
      <c r="N1761" s="32"/>
      <c r="O1761" s="106">
        <v>193004.73</v>
      </c>
      <c r="P1761" s="91">
        <f>IFERROR(__xludf.DUMMYFUNCTION("IFERROR(sum(FILTER($D:$N,$C:$C = $C1761,$A:$A &lt; $A1761,$B:$B = 12)),0) + sum($D1761:$N1761)"),193004.20000000007)</f>
        <v>193004.2</v>
      </c>
      <c r="Q1761" s="92">
        <f t="shared" si="1"/>
        <v>0.5299999999</v>
      </c>
      <c r="R1761" s="91">
        <f t="array" ref="R1761">IFERROR(INDEX('Fund YTD Target Values'!$1:$1000, MATCH($C1761,'Fund YTD Target Values'!$A:$A,0), MATCH($A1761,'Fund YTD Target Values'!$1:$1,0)),0)</f>
        <v>226949.7266</v>
      </c>
      <c r="S1761" s="91">
        <f>IFERROR(__xludf.DUMMYFUNCTION("IFERROR(sum(FILTER('Fund Investment Data'!$V:$V, 'Fund Investment Data'!$C:$C = $C1761, 'Fund Investment Data'!$A:$A &lt; $A1761)),0) + IFERROR(sum(FILTER('Fund Investment Data'!$V:$V, 'Fund Investment Data'!$C:$C = $C1761, 'Fund Investment Data'!$A:$A = $A1"&amp;"761, 'Fund Investment Data'!$B:$B &lt;= $B1761)),0)"),185189.56)</f>
        <v>185189.56</v>
      </c>
      <c r="T1761" s="32"/>
      <c r="U1761" s="32"/>
      <c r="V1761" s="32">
        <f>IFERROR(__xludf.DUMMYFUNCTION("$D1761 - IFERROR(FILTER($D:$D,$C:$C = $C1761, $A:$A = $A1761, $B:$B = $B1761 - 1),0)"),0.0)</f>
        <v>0</v>
      </c>
      <c r="W1761" s="93">
        <f>IFERROR(__xludf.DUMMYFUNCTION("$E1761 - IFERROR(FILTER($E:$E,$C:$C = $C1761, $A:$A = $A1761, $B:$B = $B1761 - 1),0)"),0.0)</f>
        <v>0</v>
      </c>
      <c r="X1761" s="91">
        <f>IFERROR(__xludf.DUMMYFUNCTION("iFERROR((FILTER('Fund Investment Data'!$Z:$Z, 'Fund Investment Data'!$C:$C = $C1761, 'Fund Investment Data'!$A:$A = $A1761 - 1, 'Fund Investment Data'!$B:$B = 12) + FILTER('Fund Investment Data'!$AB:$AB, 'Fund Investment Data'!$C:$C = $C1761, 'Fund Invest"&amp;"ment Data'!$A:$A = $A1761 - 1, 'Fund Investment Data'!$B:$B = 12)) * (1 + AVERAGE(FILTER('Inflation Data'!$C:$C,'Inflation Data'!$A:$A = ($A1761 - 2)))) * Parameters!$A$4,0)"),7449.06504745473)</f>
        <v>7449.065047</v>
      </c>
      <c r="Y1761" s="91">
        <f>IFERROR(__xludf.DUMMYFUNCTION("IFERROR((IFERROR(FILTER('Fund Investment Data'!$P:$P,'Fund Investment Data'!$C:$C = $C1761,'Fund Investment Data'!$A:$A = ($A1761 - 2), 'Fund Investment Data'!$B:$B = 12),0) - SUM(FILTER('Fund Investment Data'!$V:$V, 'Fund Investment Data'!$C:$C = $C1761,"&amp;" 'Fund Investment Data'!$A:$A = ($A1761 - 2), 'Fund Investment Data'!$B:$B &gt; 3)))  * Parameters!$B$4 * (1 - Parameters!$A$4),0)"),2558.976705)</f>
        <v>2558.976705</v>
      </c>
      <c r="Z1761" s="91">
        <f t="shared" si="24"/>
        <v>10008.04175</v>
      </c>
      <c r="AA1761" s="91">
        <f>IFERROR(__xludf.DUMMYFUNCTION("((IFERROR((SUM(FILTER('Fund Investment Data'!$V:$V, 'Fund Investment Data'!$C:$C = $C1761, 'Fund Investment Data'!$A:$A = $A1761 - 1, 'Fund Investment Data'!$B:$B &gt;= 4, 'Fund Investment Data'!$B:$B &lt;= ($B1761 + 5))) / 12) * ($B1761 - 3) * Parameters!$B$4,"&amp;" 0) + IF($B1761 &gt;= 9, IFERROR(SUM(FILTER('Fund Investment Data'!$V:$V, 'Fund Investment Data'!$C:$C = $C1761, 'Fund Investment Data'!$A:$A = $A1761, 'Fund Investment Data'!$B:$B &lt;= 3)) * Parameters!$B$4, 0),0)))"),0.0)</f>
        <v>0</v>
      </c>
      <c r="AB1761" s="32">
        <f>IFERROR(__xludf.DUMMYFUNCTION("IFERROR(((IFERROR(SUM(FILTER('Fund Investment Data'!$V:$V, 'Fund Investment Data'!$C:$C = $C1761, 'Fund Investment Data'!$A:$A = $A1761 - 2, 'Fund Investment Data'!$B:$B &gt;= 4)) * Parameters!$B$4,0) + IFERROR(SUM(FILTER('Fund Investment Data'!$V:$V, 'Fund "&amp;"Investment Data'!$C:$C = $C1761, 'Fund Investment Data'!$A:$A = $A1761 - 1, 'Fund Investment Data'!$B:$B &lt;= 3)) * Parameters!$B$4,0))),0)"),0.0)</f>
        <v>0</v>
      </c>
      <c r="AC1761" s="32" t="str">
        <f>IFERROR(__xludf.DUMMYFUNCTION("IFERROR(FILTER($AF:$AF,$C:$C = $C1761,$A:$A = $A1761 - 1,$B:$B = 12),0)"),"")</f>
        <v/>
      </c>
      <c r="AD1761" s="32">
        <f t="shared" si="23"/>
        <v>10008.04175</v>
      </c>
      <c r="AE1761" s="32">
        <f t="shared" si="2"/>
        <v>10008.04175</v>
      </c>
      <c r="AF1761" s="32"/>
    </row>
    <row r="1762">
      <c r="A1762" s="86">
        <v>2020.0</v>
      </c>
      <c r="B1762" s="87">
        <v>4.0</v>
      </c>
      <c r="C1762" s="88" t="s">
        <v>32</v>
      </c>
      <c r="D1762" s="104">
        <v>0.0</v>
      </c>
      <c r="E1762" s="104">
        <v>0.0</v>
      </c>
      <c r="F1762" s="104">
        <v>0.0</v>
      </c>
      <c r="G1762" s="104">
        <v>-77.14</v>
      </c>
      <c r="H1762" s="104">
        <v>399.11</v>
      </c>
      <c r="I1762" s="104">
        <v>3162.83</v>
      </c>
      <c r="J1762" s="104">
        <v>-8254.48</v>
      </c>
      <c r="K1762" s="32"/>
      <c r="L1762" s="32"/>
      <c r="M1762" s="32"/>
      <c r="N1762" s="32"/>
      <c r="O1762" s="106">
        <v>48484.02</v>
      </c>
      <c r="P1762" s="91">
        <f>IFERROR(__xludf.DUMMYFUNCTION("IFERROR(sum(FILTER($D:$N,$C:$C = $C1762,$A:$A &lt; $A1762,$B:$B = 12)),0) + sum($D1762:$N1762)"),48483.620000000024)</f>
        <v>48483.62</v>
      </c>
      <c r="Q1762" s="92">
        <f t="shared" si="1"/>
        <v>0.4</v>
      </c>
      <c r="R1762" s="91">
        <f t="array" ref="R1762">IFERROR(INDEX('Fund YTD Target Values'!$1:$1000, MATCH($C1762,'Fund YTD Target Values'!$A:$A,0), MATCH($A1762,'Fund YTD Target Values'!$1:$1,0)),0)</f>
        <v>82557.08463</v>
      </c>
      <c r="S1762" s="91">
        <f>IFERROR(__xludf.DUMMYFUNCTION("IFERROR(sum(FILTER('Fund Investment Data'!$V:$V, 'Fund Investment Data'!$C:$C = $C1762, 'Fund Investment Data'!$A:$A &lt; $A1762)),0) + IFERROR(sum(FILTER('Fund Investment Data'!$V:$V, 'Fund Investment Data'!$C:$C = $C1762, 'Fund Investment Data'!$A:$A = $A1"&amp;"762, 'Fund Investment Data'!$B:$B &lt;= $B1762)),0)"),49449.04)</f>
        <v>49449.04</v>
      </c>
      <c r="T1762" s="32"/>
      <c r="U1762" s="32"/>
      <c r="V1762" s="32">
        <f>IFERROR(__xludf.DUMMYFUNCTION("$D1762 - IFERROR(FILTER($D:$D,$C:$C = $C1762, $A:$A = $A1762, $B:$B = $B1762 - 1),0)"),0.0)</f>
        <v>0</v>
      </c>
      <c r="W1762" s="93">
        <f>IFERROR(__xludf.DUMMYFUNCTION("$E1762 - IFERROR(FILTER($E:$E,$C:$C = $C1762, $A:$A = $A1762, $B:$B = $B1762 - 1),0)"),0.0)</f>
        <v>0</v>
      </c>
      <c r="X1762" s="91">
        <f>IFERROR(__xludf.DUMMYFUNCTION("iFERROR((FILTER('Fund Investment Data'!$Z:$Z, 'Fund Investment Data'!$C:$C = $C1762, 'Fund Investment Data'!$A:$A = $A1762 - 1, 'Fund Investment Data'!$B:$B = 12) + FILTER('Fund Investment Data'!$AB:$AB, 'Fund Investment Data'!$C:$C = $C1762, 'Fund Invest"&amp;"ment Data'!$A:$A = $A1762 - 1, 'Fund Investment Data'!$B:$B = 12)) * (1 + AVERAGE(FILTER('Inflation Data'!$C:$C,'Inflation Data'!$A:$A = ($A1762 - 2)))) * Parameters!$A$4,0)"),1749.9100001922152)</f>
        <v>1749.91</v>
      </c>
      <c r="Y1762" s="91">
        <f>IFERROR(__xludf.DUMMYFUNCTION("IFERROR((IFERROR(FILTER('Fund Investment Data'!$P:$P,'Fund Investment Data'!$C:$C = $C1762,'Fund Investment Data'!$A:$A = ($A1762 - 2), 'Fund Investment Data'!$B:$B = 12),0) - SUM(FILTER('Fund Investment Data'!$V:$V, 'Fund Investment Data'!$C:$C = $C1762,"&amp;" 'Fund Investment Data'!$A:$A = ($A1762 - 2), 'Fund Investment Data'!$B:$B &gt; 3)))  * Parameters!$B$4 * (1 - Parameters!$A$4),0)"),640.5770250000005)</f>
        <v>640.577025</v>
      </c>
      <c r="Z1762" s="91">
        <f t="shared" si="24"/>
        <v>2390.487025</v>
      </c>
      <c r="AA1762" s="91">
        <f>IFERROR(__xludf.DUMMYFUNCTION("((IFERROR((SUM(FILTER('Fund Investment Data'!$V:$V, 'Fund Investment Data'!$C:$C = $C1762, 'Fund Investment Data'!$A:$A = $A1762 - 1, 'Fund Investment Data'!$B:$B &gt;= 4, 'Fund Investment Data'!$B:$B &lt;= ($B1762 + 5))) / 12) * ($B1762 - 3) * Parameters!$B$4,"&amp;" 0) + IF($B1762 &gt;= 9, IFERROR(SUM(FILTER('Fund Investment Data'!$V:$V, 'Fund Investment Data'!$C:$C = $C1762, 'Fund Investment Data'!$A:$A = $A1762, 'Fund Investment Data'!$B:$B &lt;= 3)) * Parameters!$B$4, 0),0)))"),0.0)</f>
        <v>0</v>
      </c>
      <c r="AB1762" s="32">
        <f>IFERROR(__xludf.DUMMYFUNCTION("IFERROR(((IFERROR(SUM(FILTER('Fund Investment Data'!$V:$V, 'Fund Investment Data'!$C:$C = $C1762, 'Fund Investment Data'!$A:$A = $A1762 - 2, 'Fund Investment Data'!$B:$B &gt;= 4)) * Parameters!$B$4,0) + IFERROR(SUM(FILTER('Fund Investment Data'!$V:$V, 'Fund "&amp;"Investment Data'!$C:$C = $C1762, 'Fund Investment Data'!$A:$A = $A1762 - 1, 'Fund Investment Data'!$B:$B &lt;= 3)) * Parameters!$B$4,0))),0)"),0.0)</f>
        <v>0</v>
      </c>
      <c r="AC1762" s="32" t="str">
        <f>IFERROR(__xludf.DUMMYFUNCTION("IFERROR(FILTER($AF:$AF,$C:$C = $C1762,$A:$A = $A1762 - 1,$B:$B = 12),0)"),"")</f>
        <v/>
      </c>
      <c r="AD1762" s="32">
        <f t="shared" si="23"/>
        <v>2390.487025</v>
      </c>
      <c r="AE1762" s="32">
        <f t="shared" si="2"/>
        <v>2390.487025</v>
      </c>
      <c r="AF1762" s="32"/>
    </row>
    <row r="1763">
      <c r="A1763" s="86">
        <v>2020.0</v>
      </c>
      <c r="B1763" s="87">
        <v>4.0</v>
      </c>
      <c r="C1763" s="88" t="s">
        <v>40</v>
      </c>
      <c r="D1763" s="104">
        <v>0.0</v>
      </c>
      <c r="E1763" s="104">
        <v>0.0</v>
      </c>
      <c r="F1763" s="104">
        <v>0.0</v>
      </c>
      <c r="G1763" s="104">
        <v>-221.69</v>
      </c>
      <c r="H1763" s="104">
        <v>1147.03</v>
      </c>
      <c r="I1763" s="104">
        <v>9089.73</v>
      </c>
      <c r="J1763" s="104">
        <v>-23722.62</v>
      </c>
      <c r="K1763" s="32"/>
      <c r="L1763" s="32"/>
      <c r="M1763" s="32"/>
      <c r="N1763" s="32"/>
      <c r="O1763" s="106">
        <v>139338.64</v>
      </c>
      <c r="P1763" s="91">
        <f>IFERROR(__xludf.DUMMYFUNCTION("IFERROR(sum(FILTER($D:$N,$C:$C = $C1763,$A:$A &lt; $A1763,$B:$B = 12)),0) + sum($D1763:$N1763)"),139338.59999999992)</f>
        <v>139338.6</v>
      </c>
      <c r="Q1763" s="92">
        <f t="shared" si="1"/>
        <v>0.0400000001</v>
      </c>
      <c r="R1763" s="91">
        <f t="array" ref="R1763">IFERROR(INDEX('Fund YTD Target Values'!$1:$1000, MATCH($C1763,'Fund YTD Target Values'!$A:$A,0), MATCH($A1763,'Fund YTD Target Values'!$1:$1,0)),0)</f>
        <v>168247.0993</v>
      </c>
      <c r="S1763" s="91">
        <f>IFERROR(__xludf.DUMMYFUNCTION("IFERROR(sum(FILTER('Fund Investment Data'!$V:$V, 'Fund Investment Data'!$C:$C = $C1763, 'Fund Investment Data'!$A:$A &lt; $A1763)),0) + IFERROR(sum(FILTER('Fund Investment Data'!$V:$V, 'Fund Investment Data'!$C:$C = $C1763, 'Fund Investment Data'!$A:$A = $A1"&amp;"763, 'Fund Investment Data'!$B:$B &lt;= $B1763)),0)"),129703.74)</f>
        <v>129703.74</v>
      </c>
      <c r="T1763" s="32"/>
      <c r="U1763" s="32"/>
      <c r="V1763" s="32">
        <f>IFERROR(__xludf.DUMMYFUNCTION("$D1763 - IFERROR(FILTER($D:$D,$C:$C = $C1763, $A:$A = $A1763, $B:$B = $B1763 - 1),0)"),0.0)</f>
        <v>0</v>
      </c>
      <c r="W1763" s="93">
        <f>IFERROR(__xludf.DUMMYFUNCTION("$E1763 - IFERROR(FILTER($E:$E,$C:$C = $C1763, $A:$A = $A1763, $B:$B = $B1763 - 1),0)"),0.0)</f>
        <v>0</v>
      </c>
      <c r="X1763" s="91">
        <f>IFERROR(__xludf.DUMMYFUNCTION("iFERROR((FILTER('Fund Investment Data'!$Z:$Z, 'Fund Investment Data'!$C:$C = $C1763, 'Fund Investment Data'!$A:$A = $A1763 - 1, 'Fund Investment Data'!$B:$B = 12) + FILTER('Fund Investment Data'!$AB:$AB, 'Fund Investment Data'!$C:$C = $C1763, 'Fund Invest"&amp;"ment Data'!$A:$A = $A1763 - 1, 'Fund Investment Data'!$B:$B = 12)) * (1 + AVERAGE(FILTER('Inflation Data'!$C:$C,'Inflation Data'!$A:$A = ($A1763 - 2)))) * Parameters!$A$4,0)"),5070.262994014637)</f>
        <v>5070.262994</v>
      </c>
      <c r="Y1763" s="91">
        <f>IFERROR(__xludf.DUMMYFUNCTION("IFERROR((IFERROR(FILTER('Fund Investment Data'!$P:$P,'Fund Investment Data'!$C:$C = $C1763,'Fund Investment Data'!$A:$A = ($A1763 - 2), 'Fund Investment Data'!$B:$B = 12),0) - SUM(FILTER('Fund Investment Data'!$V:$V, 'Fund Investment Data'!$C:$C = $C1763,"&amp;" 'Fund Investment Data'!$A:$A = ($A1763 - 2), 'Fund Investment Data'!$B:$B &gt; 3)))  * Parameters!$B$4 * (1 - Parameters!$A$4),0)"),1842.0089849999993)</f>
        <v>1842.008985</v>
      </c>
      <c r="Z1763" s="91">
        <f t="shared" si="24"/>
        <v>6912.271979</v>
      </c>
      <c r="AA1763" s="91">
        <f>IFERROR(__xludf.DUMMYFUNCTION("((IFERROR((SUM(FILTER('Fund Investment Data'!$V:$V, 'Fund Investment Data'!$C:$C = $C1763, 'Fund Investment Data'!$A:$A = $A1763 - 1, 'Fund Investment Data'!$B:$B &gt;= 4, 'Fund Investment Data'!$B:$B &lt;= ($B1763 + 5))) / 12) * ($B1763 - 3) * Parameters!$B$4,"&amp;" 0) + IF($B1763 &gt;= 9, IFERROR(SUM(FILTER('Fund Investment Data'!$V:$V, 'Fund Investment Data'!$C:$C = $C1763, 'Fund Investment Data'!$A:$A = $A1763, 'Fund Investment Data'!$B:$B &lt;= 3)) * Parameters!$B$4, 0),0)))"),0.0)</f>
        <v>0</v>
      </c>
      <c r="AB1763" s="32">
        <f>IFERROR(__xludf.DUMMYFUNCTION("IFERROR(((IFERROR(SUM(FILTER('Fund Investment Data'!$V:$V, 'Fund Investment Data'!$C:$C = $C1763, 'Fund Investment Data'!$A:$A = $A1763 - 2, 'Fund Investment Data'!$B:$B &gt;= 4)) * Parameters!$B$4,0) + IFERROR(SUM(FILTER('Fund Investment Data'!$V:$V, 'Fund "&amp;"Investment Data'!$C:$C = $C1763, 'Fund Investment Data'!$A:$A = $A1763 - 1, 'Fund Investment Data'!$B:$B &lt;= 3)) * Parameters!$B$4,0))),0)"),0.0)</f>
        <v>0</v>
      </c>
      <c r="AC1763" s="32" t="str">
        <f>IFERROR(__xludf.DUMMYFUNCTION("IFERROR(FILTER($AF:$AF,$C:$C = $C1763,$A:$A = $A1763 - 1,$B:$B = 12),0)"),"")</f>
        <v/>
      </c>
      <c r="AD1763" s="32">
        <f t="shared" si="23"/>
        <v>6912.271979</v>
      </c>
      <c r="AE1763" s="32">
        <f t="shared" si="2"/>
        <v>6912.271979</v>
      </c>
      <c r="AF1763" s="32"/>
    </row>
    <row r="1764">
      <c r="A1764" s="86">
        <v>2020.0</v>
      </c>
      <c r="B1764" s="87">
        <v>4.0</v>
      </c>
      <c r="C1764" s="88" t="s">
        <v>51</v>
      </c>
      <c r="D1764" s="104">
        <v>5000.0</v>
      </c>
      <c r="E1764" s="104">
        <v>0.0</v>
      </c>
      <c r="F1764" s="104">
        <v>0.0</v>
      </c>
      <c r="G1764" s="104">
        <v>-705.11</v>
      </c>
      <c r="H1764" s="104">
        <v>3651.51</v>
      </c>
      <c r="I1764" s="104">
        <v>28705.75</v>
      </c>
      <c r="J1764" s="104">
        <v>-75463.22</v>
      </c>
      <c r="K1764" s="32"/>
      <c r="L1764" s="32"/>
      <c r="M1764" s="32"/>
      <c r="N1764" s="32"/>
      <c r="O1764" s="106">
        <v>443048.47</v>
      </c>
      <c r="P1764" s="91">
        <f>IFERROR(__xludf.DUMMYFUNCTION("IFERROR(sum(FILTER($D:$N,$C:$C = $C1764,$A:$A &lt; $A1764,$B:$B = 12)),0) + sum($D1764:$N1764)"),443048.45000000007)</f>
        <v>443048.45</v>
      </c>
      <c r="Q1764" s="92">
        <f t="shared" si="1"/>
        <v>0.0199999999</v>
      </c>
      <c r="R1764" s="91">
        <f t="array" ref="R1764">IFERROR(INDEX('Fund YTD Target Values'!$1:$1000, MATCH($C1764,'Fund YTD Target Values'!$A:$A,0), MATCH($A1764,'Fund YTD Target Values'!$1:$1,0)),0)</f>
        <v>471452.8972</v>
      </c>
      <c r="S1764" s="91">
        <f>IFERROR(__xludf.DUMMYFUNCTION("IFERROR(sum(FILTER('Fund Investment Data'!$V:$V, 'Fund Investment Data'!$C:$C = $C1764, 'Fund Investment Data'!$A:$A &lt; $A1764)),0) + IFERROR(sum(FILTER('Fund Investment Data'!$V:$V, 'Fund Investment Data'!$C:$C = $C1764, 'Fund Investment Data'!$A:$A = $A1"&amp;"764, 'Fund Investment Data'!$B:$B &lt;= $B1764)),0)"),425073.55)</f>
        <v>425073.55</v>
      </c>
      <c r="T1764" s="32"/>
      <c r="U1764" s="32"/>
      <c r="V1764" s="32">
        <f>IFERROR(__xludf.DUMMYFUNCTION("$D1764 - IFERROR(FILTER($D:$D,$C:$C = $C1764, $A:$A = $A1764, $B:$B = $B1764 - 1),0)"),0.0)</f>
        <v>0</v>
      </c>
      <c r="W1764" s="93">
        <f>IFERROR(__xludf.DUMMYFUNCTION("$E1764 - IFERROR(FILTER($E:$E,$C:$C = $C1764, $A:$A = $A1764, $B:$B = $B1764 - 1),0)"),0.0)</f>
        <v>0</v>
      </c>
      <c r="X1764" s="91">
        <f>IFERROR(__xludf.DUMMYFUNCTION("iFERROR((FILTER('Fund Investment Data'!$Z:$Z, 'Fund Investment Data'!$C:$C = $C1764, 'Fund Investment Data'!$A:$A = $A1764 - 1, 'Fund Investment Data'!$B:$B = 12) + FILTER('Fund Investment Data'!$AB:$AB, 'Fund Investment Data'!$C:$C = $C1764, 'Fund Invest"&amp;"ment Data'!$A:$A = $A1764 - 1, 'Fund Investment Data'!$B:$B = 12)) * (1 + AVERAGE(FILTER('Inflation Data'!$C:$C,'Inflation Data'!$A:$A = ($A1764 - 2)))) * Parameters!$A$4,0)"),14858.837738325023)</f>
        <v>14858.83774</v>
      </c>
      <c r="Y1764" s="91">
        <f>IFERROR(__xludf.DUMMYFUNCTION("IFERROR((IFERROR(FILTER('Fund Investment Data'!$P:$P,'Fund Investment Data'!$C:$C = $C1764,'Fund Investment Data'!$A:$A = ($A1764 - 2), 'Fund Investment Data'!$B:$B = 12),0) - SUM(FILTER('Fund Investment Data'!$V:$V, 'Fund Investment Data'!$C:$C = $C1764,"&amp;" 'Fund Investment Data'!$A:$A = ($A1764 - 2), 'Fund Investment Data'!$B:$B &gt; 3)))  * Parameters!$B$4 * (1 - Parameters!$A$4),0)"),5934.330135000001)</f>
        <v>5934.330135</v>
      </c>
      <c r="Z1764" s="91">
        <f t="shared" si="24"/>
        <v>20793.16787</v>
      </c>
      <c r="AA1764" s="91">
        <f>IFERROR(__xludf.DUMMYFUNCTION("((IFERROR((SUM(FILTER('Fund Investment Data'!$V:$V, 'Fund Investment Data'!$C:$C = $C1764, 'Fund Investment Data'!$A:$A = $A1764 - 1, 'Fund Investment Data'!$B:$B &gt;= 4, 'Fund Investment Data'!$B:$B &lt;= ($B1764 + 5))) / 12) * ($B1764 - 3) * Parameters!$B$4,"&amp;" 0) + IF($B1764 &gt;= 9, IFERROR(SUM(FILTER('Fund Investment Data'!$V:$V, 'Fund Investment Data'!$C:$C = $C1764, 'Fund Investment Data'!$A:$A = $A1764, 'Fund Investment Data'!$B:$B &lt;= 3)) * Parameters!$B$4, 0),0)))"),3.7499999999999996)</f>
        <v>3.75</v>
      </c>
      <c r="AB1764" s="32">
        <f>IFERROR(__xludf.DUMMYFUNCTION("IFERROR(((IFERROR(SUM(FILTER('Fund Investment Data'!$V:$V, 'Fund Investment Data'!$C:$C = $C1764, 'Fund Investment Data'!$A:$A = $A1764 - 2, 'Fund Investment Data'!$B:$B &gt;= 4)) * Parameters!$B$4,0) + IFERROR(SUM(FILTER('Fund Investment Data'!$V:$V, 'Fund "&amp;"Investment Data'!$C:$C = $C1764, 'Fund Investment Data'!$A:$A = $A1764 - 1, 'Fund Investment Data'!$B:$B &lt;= 3)) * Parameters!$B$4,0))),0)"),114.75)</f>
        <v>114.75</v>
      </c>
      <c r="AC1764" s="32" t="str">
        <f>IFERROR(__xludf.DUMMYFUNCTION("IFERROR(FILTER($AF:$AF,$C:$C = $C1764,$A:$A = $A1764 - 1,$B:$B = 12),0)"),"")</f>
        <v/>
      </c>
      <c r="AD1764" s="32">
        <f t="shared" si="23"/>
        <v>20911.66787</v>
      </c>
      <c r="AE1764" s="32">
        <f t="shared" si="2"/>
        <v>20911.66787</v>
      </c>
      <c r="AF1764" s="32"/>
    </row>
    <row r="1765">
      <c r="A1765" s="86">
        <v>2020.0</v>
      </c>
      <c r="B1765" s="87">
        <v>4.0</v>
      </c>
      <c r="C1765" s="88" t="s">
        <v>48</v>
      </c>
      <c r="D1765" s="104">
        <v>0.0</v>
      </c>
      <c r="E1765" s="104">
        <v>0.0</v>
      </c>
      <c r="F1765" s="104">
        <v>0.0</v>
      </c>
      <c r="G1765" s="104">
        <v>-1775.89</v>
      </c>
      <c r="H1765" s="104">
        <v>9188.07</v>
      </c>
      <c r="I1765" s="104">
        <v>72811.69</v>
      </c>
      <c r="J1765" s="104">
        <v>-190025.83</v>
      </c>
      <c r="K1765" s="32"/>
      <c r="L1765" s="32"/>
      <c r="M1765" s="32"/>
      <c r="N1765" s="32"/>
      <c r="O1765" s="106">
        <v>1116147.94</v>
      </c>
      <c r="P1765" s="91">
        <f>IFERROR(__xludf.DUMMYFUNCTION("IFERROR(sum(FILTER($D:$N,$C:$C = $C1765,$A:$A &lt; $A1765,$B:$B = 12)),0) + sum($D1765:$N1765)"),1116146.6199999999)</f>
        <v>1116146.62</v>
      </c>
      <c r="Q1765" s="92">
        <f t="shared" si="1"/>
        <v>1.32</v>
      </c>
      <c r="R1765" s="91">
        <f t="array" ref="R1765">IFERROR(INDEX('Fund YTD Target Values'!$1:$1000, MATCH($C1765,'Fund YTD Target Values'!$A:$A,0), MATCH($A1765,'Fund YTD Target Values'!$1:$1,0)),0)</f>
        <v>1977173.82</v>
      </c>
      <c r="S1765" s="91">
        <f>IFERROR(__xludf.DUMMYFUNCTION("IFERROR(sum(FILTER('Fund Investment Data'!$V:$V, 'Fund Investment Data'!$C:$C = $C1765, 'Fund Investment Data'!$A:$A &lt; $A1765)),0) + IFERROR(sum(FILTER('Fund Investment Data'!$V:$V, 'Fund Investment Data'!$C:$C = $C1765, 'Fund Investment Data'!$A:$A = $A1"&amp;"765, 'Fund Investment Data'!$B:$B &lt;= $B1765)),0)"),1183929.39)</f>
        <v>1183929.39</v>
      </c>
      <c r="T1765" s="32"/>
      <c r="U1765" s="32"/>
      <c r="V1765" s="32">
        <f>IFERROR(__xludf.DUMMYFUNCTION("$D1765 - IFERROR(FILTER($D:$D,$C:$C = $C1765, $A:$A = $A1765, $B:$B = $B1765 - 1),0)"),0.0)</f>
        <v>0</v>
      </c>
      <c r="W1765" s="93">
        <f>IFERROR(__xludf.DUMMYFUNCTION("$E1765 - IFERROR(FILTER($E:$E,$C:$C = $C1765, $A:$A = $A1765, $B:$B = $B1765 - 1),0)"),0.0)</f>
        <v>0</v>
      </c>
      <c r="X1765" s="91">
        <f>IFERROR(__xludf.DUMMYFUNCTION("iFERROR((FILTER('Fund Investment Data'!$Z:$Z, 'Fund Investment Data'!$C:$C = $C1765, 'Fund Investment Data'!$A:$A = $A1765 - 1, 'Fund Investment Data'!$B:$B = 12) + FILTER('Fund Investment Data'!$AB:$AB, 'Fund Investment Data'!$C:$C = $C1765, 'Fund Invest"&amp;"ment Data'!$A:$A = $A1765 - 1, 'Fund Investment Data'!$B:$B = 12)) * (1 + AVERAGE(FILTER('Inflation Data'!$C:$C,'Inflation Data'!$A:$A = ($A1765 - 2)))) * Parameters!$A$4,0)"),40894.198235956435)</f>
        <v>40894.19824</v>
      </c>
      <c r="Y1765" s="91">
        <f>IFERROR(__xludf.DUMMYFUNCTION("IFERROR((IFERROR(FILTER('Fund Investment Data'!$P:$P,'Fund Investment Data'!$C:$C = $C1765,'Fund Investment Data'!$A:$A = ($A1765 - 2), 'Fund Investment Data'!$B:$B = 12),0) - SUM(FILTER('Fund Investment Data'!$V:$V, 'Fund Investment Data'!$C:$C = $C1765,"&amp;" 'Fund Investment Data'!$A:$A = ($A1765 - 2), 'Fund Investment Data'!$B:$B &gt; 3)))  * Parameters!$B$4 * (1 - Parameters!$A$4),0)"),14758.380764999996)</f>
        <v>14758.38077</v>
      </c>
      <c r="Z1765" s="91">
        <f t="shared" si="24"/>
        <v>55652.579</v>
      </c>
      <c r="AA1765" s="91">
        <f>IFERROR(__xludf.DUMMYFUNCTION("((IFERROR((SUM(FILTER('Fund Investment Data'!$V:$V, 'Fund Investment Data'!$C:$C = $C1765, 'Fund Investment Data'!$A:$A = $A1765 - 1, 'Fund Investment Data'!$B:$B &gt;= 4, 'Fund Investment Data'!$B:$B &lt;= ($B1765 + 5))) / 12) * ($B1765 - 3) * Parameters!$B$4,"&amp;" 0) + IF($B1765 &gt;= 9, IFERROR(SUM(FILTER('Fund Investment Data'!$V:$V, 'Fund Investment Data'!$C:$C = $C1765, 'Fund Investment Data'!$A:$A = $A1765, 'Fund Investment Data'!$B:$B &lt;= 3)) * Parameters!$B$4, 0),0)))"),0.0)</f>
        <v>0</v>
      </c>
      <c r="AB1765" s="32">
        <f>IFERROR(__xludf.DUMMYFUNCTION("IFERROR(((IFERROR(SUM(FILTER('Fund Investment Data'!$V:$V, 'Fund Investment Data'!$C:$C = $C1765, 'Fund Investment Data'!$A:$A = $A1765 - 2, 'Fund Investment Data'!$B:$B &gt;= 4)) * Parameters!$B$4,0) + IFERROR(SUM(FILTER('Fund Investment Data'!$V:$V, 'Fund "&amp;"Investment Data'!$C:$C = $C1765, 'Fund Investment Data'!$A:$A = $A1765 - 1, 'Fund Investment Data'!$B:$B &lt;= 3)) * Parameters!$B$4,0))),0)"),0.0)</f>
        <v>0</v>
      </c>
      <c r="AC1765" s="32" t="str">
        <f>IFERROR(__xludf.DUMMYFUNCTION("IFERROR(FILTER($AF:$AF,$C:$C = $C1765,$A:$A = $A1765 - 1,$B:$B = 12),0)"),"")</f>
        <v/>
      </c>
      <c r="AD1765" s="32">
        <f t="shared" si="23"/>
        <v>55652.579</v>
      </c>
      <c r="AE1765" s="32">
        <f t="shared" si="2"/>
        <v>55652.579</v>
      </c>
      <c r="AF1765" s="32"/>
    </row>
    <row r="1766">
      <c r="A1766" s="86">
        <v>2020.0</v>
      </c>
      <c r="B1766" s="87">
        <v>4.0</v>
      </c>
      <c r="C1766" s="88" t="s">
        <v>49</v>
      </c>
      <c r="D1766" s="104">
        <v>0.0</v>
      </c>
      <c r="E1766" s="104">
        <v>0.0</v>
      </c>
      <c r="F1766" s="104">
        <v>0.0</v>
      </c>
      <c r="G1766" s="104">
        <v>-769.93</v>
      </c>
      <c r="H1766" s="104">
        <v>3983.43</v>
      </c>
      <c r="I1766" s="104">
        <v>31567.02</v>
      </c>
      <c r="J1766" s="104">
        <v>-82384.43</v>
      </c>
      <c r="K1766" s="32"/>
      <c r="L1766" s="32"/>
      <c r="M1766" s="32"/>
      <c r="N1766" s="32"/>
      <c r="O1766" s="106">
        <v>483898.47</v>
      </c>
      <c r="P1766" s="91">
        <f>IFERROR(__xludf.DUMMYFUNCTION("IFERROR(sum(FILTER($D:$N,$C:$C = $C1766,$A:$A &lt; $A1766,$B:$B = 12)),0) + sum($D1766:$N1766)"),483898.76999999996)</f>
        <v>483898.77</v>
      </c>
      <c r="Q1766" s="92">
        <f t="shared" si="1"/>
        <v>-0.3</v>
      </c>
      <c r="R1766" s="91">
        <f t="array" ref="R1766">IFERROR(INDEX('Fund YTD Target Values'!$1:$1000, MATCH($C1766,'Fund YTD Target Values'!$A:$A,0), MATCH($A1766,'Fund YTD Target Values'!$1:$1,0)),0)</f>
        <v>731305.9568</v>
      </c>
      <c r="S1766" s="91">
        <f>IFERROR(__xludf.DUMMYFUNCTION("IFERROR(sum(FILTER('Fund Investment Data'!$V:$V, 'Fund Investment Data'!$C:$C = $C1766, 'Fund Investment Data'!$A:$A &lt; $A1766)),0) + IFERROR(sum(FILTER('Fund Investment Data'!$V:$V, 'Fund Investment Data'!$C:$C = $C1766, 'Fund Investment Data'!$A:$A = $A1"&amp;"766, 'Fund Investment Data'!$B:$B &lt;= $B1766)),0)"),500000.0)</f>
        <v>500000</v>
      </c>
      <c r="T1766" s="32"/>
      <c r="U1766" s="32"/>
      <c r="V1766" s="32">
        <f>IFERROR(__xludf.DUMMYFUNCTION("$D1766 - IFERROR(FILTER($D:$D,$C:$C = $C1766, $A:$A = $A1766, $B:$B = $B1766 - 1),0)"),0.0)</f>
        <v>0</v>
      </c>
      <c r="W1766" s="93">
        <f>IFERROR(__xludf.DUMMYFUNCTION("$E1766 - IFERROR(FILTER($E:$E,$C:$C = $C1766, $A:$A = $A1766, $B:$B = $B1766 - 1),0)"),0.0)</f>
        <v>0</v>
      </c>
      <c r="X1766" s="91">
        <f>IFERROR(__xludf.DUMMYFUNCTION("iFERROR((FILTER('Fund Investment Data'!$Z:$Z, 'Fund Investment Data'!$C:$C = $C1766, 'Fund Investment Data'!$A:$A = $A1766 - 1, 'Fund Investment Data'!$B:$B = 12) + FILTER('Fund Investment Data'!$AB:$AB, 'Fund Investment Data'!$C:$C = $C1766, 'Fund Invest"&amp;"ment Data'!$A:$A = $A1766 - 1, 'Fund Investment Data'!$B:$B = 12)) * (1 + AVERAGE(FILTER('Inflation Data'!$C:$C,'Inflation Data'!$A:$A = ($A1766 - 2)))) * Parameters!$A$4,0)"),17938.124492992578)</f>
        <v>17938.12449</v>
      </c>
      <c r="Y1766" s="91">
        <f>IFERROR(__xludf.DUMMYFUNCTION("IFERROR((IFERROR(FILTER('Fund Investment Data'!$P:$P,'Fund Investment Data'!$C:$C = $C1766,'Fund Investment Data'!$A:$A = ($A1766 - 2), 'Fund Investment Data'!$B:$B = 12),0) - SUM(FILTER('Fund Investment Data'!$V:$V, 'Fund Investment Data'!$C:$C = $C1766,"&amp;" 'Fund Investment Data'!$A:$A = ($A1766 - 2), 'Fund Investment Data'!$B:$B &gt; 3)))  * Parameters!$B$4 * (1 - Parameters!$A$4),0)"),6402.16332)</f>
        <v>6402.16332</v>
      </c>
      <c r="Z1766" s="91">
        <f t="shared" si="24"/>
        <v>24340.28781</v>
      </c>
      <c r="AA1766" s="91">
        <f>IFERROR(__xludf.DUMMYFUNCTION("((IFERROR((SUM(FILTER('Fund Investment Data'!$V:$V, 'Fund Investment Data'!$C:$C = $C1766, 'Fund Investment Data'!$A:$A = $A1766 - 1, 'Fund Investment Data'!$B:$B &gt;= 4, 'Fund Investment Data'!$B:$B &lt;= ($B1766 + 5))) / 12) * ($B1766 - 3) * Parameters!$B$4,"&amp;" 0) + IF($B1766 &gt;= 9, IFERROR(SUM(FILTER('Fund Investment Data'!$V:$V, 'Fund Investment Data'!$C:$C = $C1766, 'Fund Investment Data'!$A:$A = $A1766, 'Fund Investment Data'!$B:$B &lt;= 3)) * Parameters!$B$4, 0),0)))"),0.0)</f>
        <v>0</v>
      </c>
      <c r="AB1766" s="32">
        <f>IFERROR(__xludf.DUMMYFUNCTION("IFERROR(((IFERROR(SUM(FILTER('Fund Investment Data'!$V:$V, 'Fund Investment Data'!$C:$C = $C1766, 'Fund Investment Data'!$A:$A = $A1766 - 2, 'Fund Investment Data'!$B:$B &gt;= 4)) * Parameters!$B$4,0) + IFERROR(SUM(FILTER('Fund Investment Data'!$V:$V, 'Fund "&amp;"Investment Data'!$C:$C = $C1766, 'Fund Investment Data'!$A:$A = $A1766 - 1, 'Fund Investment Data'!$B:$B &lt;= 3)) * Parameters!$B$4,0))),0)"),0.0)</f>
        <v>0</v>
      </c>
      <c r="AC1766" s="32" t="str">
        <f>IFERROR(__xludf.DUMMYFUNCTION("IFERROR(FILTER($AF:$AF,$C:$C = $C1766,$A:$A = $A1766 - 1,$B:$B = 12),0)"),"")</f>
        <v/>
      </c>
      <c r="AD1766" s="32">
        <f t="shared" si="23"/>
        <v>24340.28781</v>
      </c>
      <c r="AE1766" s="32">
        <f t="shared" si="2"/>
        <v>24340.28781</v>
      </c>
      <c r="AF1766" s="32"/>
    </row>
    <row r="1767">
      <c r="A1767" s="86">
        <v>2020.0</v>
      </c>
      <c r="B1767" s="87">
        <v>4.0</v>
      </c>
      <c r="C1767" s="88" t="s">
        <v>41</v>
      </c>
      <c r="D1767" s="104">
        <v>0.0</v>
      </c>
      <c r="E1767" s="104">
        <v>0.0</v>
      </c>
      <c r="F1767" s="104">
        <v>0.0</v>
      </c>
      <c r="G1767" s="104">
        <v>-952.18</v>
      </c>
      <c r="H1767" s="104">
        <v>4926.42</v>
      </c>
      <c r="I1767" s="104">
        <v>39039.74</v>
      </c>
      <c r="J1767" s="104">
        <v>-101886.96</v>
      </c>
      <c r="K1767" s="32"/>
      <c r="L1767" s="32"/>
      <c r="M1767" s="32"/>
      <c r="N1767" s="32"/>
      <c r="O1767" s="106">
        <v>598449.88</v>
      </c>
      <c r="P1767" s="91">
        <f>IFERROR(__xludf.DUMMYFUNCTION("IFERROR(sum(FILTER($D:$N,$C:$C = $C1767,$A:$A &lt; $A1767,$B:$B = 12)),0) + sum($D1767:$N1767)"),598450.73)</f>
        <v>598450.73</v>
      </c>
      <c r="Q1767" s="92">
        <f t="shared" si="1"/>
        <v>-0.85</v>
      </c>
      <c r="R1767" s="91">
        <f t="array" ref="R1767">IFERROR(INDEX('Fund YTD Target Values'!$1:$1000, MATCH($C1767,'Fund YTD Target Values'!$A:$A,0), MATCH($A1767,'Fund YTD Target Values'!$1:$1,0)),0)</f>
        <v>613052.4595</v>
      </c>
      <c r="S1767" s="91">
        <f>IFERROR(__xludf.DUMMYFUNCTION("IFERROR(sum(FILTER('Fund Investment Data'!$V:$V, 'Fund Investment Data'!$C:$C = $C1767, 'Fund Investment Data'!$A:$A &lt; $A1767)),0) + IFERROR(sum(FILTER('Fund Investment Data'!$V:$V, 'Fund Investment Data'!$C:$C = $C1767, 'Fund Investment Data'!$A:$A = $A1"&amp;"767, 'Fund Investment Data'!$B:$B &lt;= $B1767)),0)"),433755.86)</f>
        <v>433755.86</v>
      </c>
      <c r="T1767" s="32"/>
      <c r="U1767" s="32"/>
      <c r="V1767" s="32">
        <f>IFERROR(__xludf.DUMMYFUNCTION("$D1767 - IFERROR(FILTER($D:$D,$C:$C = $C1767, $A:$A = $A1767, $B:$B = $B1767 - 1),0)"),0.0)</f>
        <v>0</v>
      </c>
      <c r="W1767" s="93">
        <f>IFERROR(__xludf.DUMMYFUNCTION("$E1767 - IFERROR(FILTER($E:$E,$C:$C = $C1767, $A:$A = $A1767, $B:$B = $B1767 - 1),0)"),0.0)</f>
        <v>0</v>
      </c>
      <c r="X1767" s="91">
        <f>IFERROR(__xludf.DUMMYFUNCTION("iFERROR((FILTER('Fund Investment Data'!$Z:$Z, 'Fund Investment Data'!$C:$C = $C1767, 'Fund Investment Data'!$A:$A = $A1767 - 1, 'Fund Investment Data'!$B:$B = 12) + FILTER('Fund Investment Data'!$AB:$AB, 'Fund Investment Data'!$C:$C = $C1767, 'Fund Invest"&amp;"ment Data'!$A:$A = $A1767 - 1, 'Fund Investment Data'!$B:$B = 12)) * (1 + AVERAGE(FILTER('Inflation Data'!$C:$C,'Inflation Data'!$A:$A = ($A1767 - 2)))) * Parameters!$A$4,0)"),19563.798947196206)</f>
        <v>19563.79895</v>
      </c>
      <c r="Y1767" s="91">
        <f>IFERROR(__xludf.DUMMYFUNCTION("IFERROR((IFERROR(FILTER('Fund Investment Data'!$P:$P,'Fund Investment Data'!$C:$C = $C1767,'Fund Investment Data'!$A:$A = ($A1767 - 2), 'Fund Investment Data'!$B:$B = 12),0) - SUM(FILTER('Fund Investment Data'!$V:$V, 'Fund Investment Data'!$C:$C = $C1767,"&amp;" 'Fund Investment Data'!$A:$A = ($A1767 - 2), 'Fund Investment Data'!$B:$B &gt; 3)))  * Parameters!$B$4 * (1 - Parameters!$A$4),0)"),7872.907320000002)</f>
        <v>7872.90732</v>
      </c>
      <c r="Z1767" s="91">
        <f t="shared" si="24"/>
        <v>27436.70627</v>
      </c>
      <c r="AA1767" s="91">
        <f>IFERROR(__xludf.DUMMYFUNCTION("((IFERROR((SUM(FILTER('Fund Investment Data'!$V:$V, 'Fund Investment Data'!$C:$C = $C1767, 'Fund Investment Data'!$A:$A = $A1767 - 1, 'Fund Investment Data'!$B:$B &gt;= 4, 'Fund Investment Data'!$B:$B &lt;= ($B1767 + 5))) / 12) * ($B1767 - 3) * Parameters!$B$4,"&amp;" 0) + IF($B1767 &gt;= 9, IFERROR(SUM(FILTER('Fund Investment Data'!$V:$V, 'Fund Investment Data'!$C:$C = $C1767, 'Fund Investment Data'!$A:$A = $A1767, 'Fund Investment Data'!$B:$B &lt;= 3)) * Parameters!$B$4, 0),0)))"),0.0)</f>
        <v>0</v>
      </c>
      <c r="AB1767" s="32">
        <f>IFERROR(__xludf.DUMMYFUNCTION("IFERROR(((IFERROR(SUM(FILTER('Fund Investment Data'!$V:$V, 'Fund Investment Data'!$C:$C = $C1767, 'Fund Investment Data'!$A:$A = $A1767 - 2, 'Fund Investment Data'!$B:$B &gt;= 4)) * Parameters!$B$4,0) + IFERROR(SUM(FILTER('Fund Investment Data'!$V:$V, 'Fund "&amp;"Investment Data'!$C:$C = $C1767, 'Fund Investment Data'!$A:$A = $A1767 - 1, 'Fund Investment Data'!$B:$B &lt;= 3)) * Parameters!$B$4,0))),0)"),0.0)</f>
        <v>0</v>
      </c>
      <c r="AC1767" s="32" t="str">
        <f>IFERROR(__xludf.DUMMYFUNCTION("IFERROR(FILTER($AF:$AF,$C:$C = $C1767,$A:$A = $A1767 - 1,$B:$B = 12),0)"),"")</f>
        <v/>
      </c>
      <c r="AD1767" s="32">
        <f t="shared" si="23"/>
        <v>27436.70627</v>
      </c>
      <c r="AE1767" s="32">
        <f t="shared" si="2"/>
        <v>27436.70627</v>
      </c>
      <c r="AF1767" s="32"/>
    </row>
    <row r="1768">
      <c r="A1768" s="86">
        <v>2020.0</v>
      </c>
      <c r="B1768" s="87">
        <v>4.0</v>
      </c>
      <c r="C1768" s="88" t="s">
        <v>25</v>
      </c>
      <c r="D1768" s="104">
        <v>0.0</v>
      </c>
      <c r="E1768" s="104">
        <v>0.0</v>
      </c>
      <c r="F1768" s="104">
        <v>0.0</v>
      </c>
      <c r="G1768" s="104">
        <v>-120.45</v>
      </c>
      <c r="H1768" s="104">
        <v>623.15</v>
      </c>
      <c r="I1768" s="104">
        <v>4938.27</v>
      </c>
      <c r="J1768" s="104">
        <v>-12888.06</v>
      </c>
      <c r="K1768" s="32"/>
      <c r="L1768" s="32"/>
      <c r="M1768" s="32"/>
      <c r="N1768" s="32"/>
      <c r="O1768" s="106">
        <v>75699.99</v>
      </c>
      <c r="P1768" s="91">
        <f>IFERROR(__xludf.DUMMYFUNCTION("IFERROR(sum(FILTER($D:$N,$C:$C = $C1768,$A:$A &lt; $A1768,$B:$B = 12)),0) + sum($D1768:$N1768)"),75699.97999999998)</f>
        <v>75699.98</v>
      </c>
      <c r="Q1768" s="92">
        <f t="shared" si="1"/>
        <v>0.01000000002</v>
      </c>
      <c r="R1768" s="91">
        <f t="array" ref="R1768">IFERROR(INDEX('Fund YTD Target Values'!$1:$1000, MATCH($C1768,'Fund YTD Target Values'!$A:$A,0), MATCH($A1768,'Fund YTD Target Values'!$1:$1,0)),0)</f>
        <v>113832.9235</v>
      </c>
      <c r="S1768" s="91">
        <f>IFERROR(__xludf.DUMMYFUNCTION("IFERROR(sum(FILTER('Fund Investment Data'!$V:$V, 'Fund Investment Data'!$C:$C = $C1768, 'Fund Investment Data'!$A:$A &lt; $A1768)),0) + IFERROR(sum(FILTER('Fund Investment Data'!$V:$V, 'Fund Investment Data'!$C:$C = $C1768, 'Fund Investment Data'!$A:$A = $A1"&amp;"768, 'Fund Investment Data'!$B:$B &lt;= $B1768)),0)"),81000.0)</f>
        <v>81000</v>
      </c>
      <c r="T1768" s="32"/>
      <c r="U1768" s="32"/>
      <c r="V1768" s="32">
        <f>IFERROR(__xludf.DUMMYFUNCTION("$D1768 - IFERROR(FILTER($D:$D,$C:$C = $C1768, $A:$A = $A1768, $B:$B = $B1768 - 1),0)"),0.0)</f>
        <v>0</v>
      </c>
      <c r="W1768" s="93">
        <f>IFERROR(__xludf.DUMMYFUNCTION("$E1768 - IFERROR(FILTER($E:$E,$C:$C = $C1768, $A:$A = $A1768, $B:$B = $B1768 - 1),0)"),0.0)</f>
        <v>0</v>
      </c>
      <c r="X1768" s="91">
        <f>IFERROR(__xludf.DUMMYFUNCTION("iFERROR((FILTER('Fund Investment Data'!$Z:$Z, 'Fund Investment Data'!$C:$C = $C1768, 'Fund Investment Data'!$A:$A = $A1768 - 1, 'Fund Investment Data'!$B:$B = 12) + FILTER('Fund Investment Data'!$AB:$AB, 'Fund Investment Data'!$C:$C = $C1768, 'Fund Invest"&amp;"ment Data'!$A:$A = $A1768 - 1, 'Fund Investment Data'!$B:$B = 12)) * (1 + AVERAGE(FILTER('Inflation Data'!$C:$C,'Inflation Data'!$A:$A = ($A1768 - 2)))) * Parameters!$A$4,0)"),3310.018104714215)</f>
        <v>3310.018105</v>
      </c>
      <c r="Y1768" s="91">
        <f>IFERROR(__xludf.DUMMYFUNCTION("IFERROR((IFERROR(FILTER('Fund Investment Data'!$P:$P,'Fund Investment Data'!$C:$C = $C1768,'Fund Investment Data'!$A:$A = ($A1768 - 2), 'Fund Investment Data'!$B:$B = 12),0) - SUM(FILTER('Fund Investment Data'!$V:$V, 'Fund Investment Data'!$C:$C = $C1768,"&amp;" 'Fund Investment Data'!$A:$A = ($A1768 - 2), 'Fund Investment Data'!$B:$B &gt; 3)))  * Parameters!$B$4 * (1 - Parameters!$A$4),0)"),1010.3125950000002)</f>
        <v>1010.312595</v>
      </c>
      <c r="Z1768" s="91">
        <f t="shared" si="24"/>
        <v>4320.3307</v>
      </c>
      <c r="AA1768" s="91">
        <f>IFERROR(__xludf.DUMMYFUNCTION("((IFERROR((SUM(FILTER('Fund Investment Data'!$V:$V, 'Fund Investment Data'!$C:$C = $C1768, 'Fund Investment Data'!$A:$A = $A1768 - 1, 'Fund Investment Data'!$B:$B &gt;= 4, 'Fund Investment Data'!$B:$B &lt;= ($B1768 + 5))) / 12) * ($B1768 - 3) * Parameters!$B$4,"&amp;" 0) + IF($B1768 &gt;= 9, IFERROR(SUM(FILTER('Fund Investment Data'!$V:$V, 'Fund Investment Data'!$C:$C = $C1768, 'Fund Investment Data'!$A:$A = $A1768, 'Fund Investment Data'!$B:$B &lt;= 3)) * Parameters!$B$4, 0),0)))"),0.0)</f>
        <v>0</v>
      </c>
      <c r="AB1768" s="32">
        <f>IFERROR(__xludf.DUMMYFUNCTION("IFERROR(((IFERROR(SUM(FILTER('Fund Investment Data'!$V:$V, 'Fund Investment Data'!$C:$C = $C1768, 'Fund Investment Data'!$A:$A = $A1768 - 2, 'Fund Investment Data'!$B:$B &gt;= 4)) * Parameters!$B$4,0) + IFERROR(SUM(FILTER('Fund Investment Data'!$V:$V, 'Fund "&amp;"Investment Data'!$C:$C = $C1768, 'Fund Investment Data'!$A:$A = $A1768 - 1, 'Fund Investment Data'!$B:$B &lt;= 3)) * Parameters!$B$4,0))),0)"),0.0)</f>
        <v>0</v>
      </c>
      <c r="AC1768" s="32" t="str">
        <f>IFERROR(__xludf.DUMMYFUNCTION("IFERROR(FILTER($AF:$AF,$C:$C = $C1768,$A:$A = $A1768 - 1,$B:$B = 12),0)"),"")</f>
        <v/>
      </c>
      <c r="AD1768" s="32">
        <f t="shared" si="23"/>
        <v>4320.3307</v>
      </c>
      <c r="AE1768" s="32">
        <f t="shared" si="2"/>
        <v>4320.3307</v>
      </c>
      <c r="AF1768" s="32"/>
    </row>
    <row r="1769">
      <c r="A1769" s="86">
        <v>2020.0</v>
      </c>
      <c r="B1769" s="87">
        <v>4.0</v>
      </c>
      <c r="C1769" s="88" t="s">
        <v>42</v>
      </c>
      <c r="D1769" s="104">
        <v>0.0</v>
      </c>
      <c r="E1769" s="104">
        <v>0.0</v>
      </c>
      <c r="F1769" s="104">
        <v>0.0</v>
      </c>
      <c r="G1769" s="104">
        <v>-443.68</v>
      </c>
      <c r="H1769" s="104">
        <v>2295.48</v>
      </c>
      <c r="I1769" s="104">
        <v>18190.84</v>
      </c>
      <c r="J1769" s="104">
        <v>-47474.87</v>
      </c>
      <c r="K1769" s="32"/>
      <c r="L1769" s="32"/>
      <c r="M1769" s="32"/>
      <c r="N1769" s="32"/>
      <c r="O1769" s="106">
        <v>278851.51</v>
      </c>
      <c r="P1769" s="91">
        <f>IFERROR(__xludf.DUMMYFUNCTION("IFERROR(sum(FILTER($D:$N,$C:$C = $C1769,$A:$A &lt; $A1769,$B:$B = 12)),0) + sum($D1769:$N1769)"),278850.9800000001)</f>
        <v>278850.98</v>
      </c>
      <c r="Q1769" s="92">
        <f t="shared" si="1"/>
        <v>0.5299999999</v>
      </c>
      <c r="R1769" s="91">
        <f t="array" ref="R1769">IFERROR(INDEX('Fund YTD Target Values'!$1:$1000, MATCH($C1769,'Fund YTD Target Values'!$A:$A,0), MATCH($A1769,'Fund YTD Target Values'!$1:$1,0)),0)</f>
        <v>250432.6143</v>
      </c>
      <c r="S1769" s="91">
        <f>IFERROR(__xludf.DUMMYFUNCTION("IFERROR(sum(FILTER('Fund Investment Data'!$V:$V, 'Fund Investment Data'!$C:$C = $C1769, 'Fund Investment Data'!$A:$A &lt; $A1769)),0) + IFERROR(sum(FILTER('Fund Investment Data'!$V:$V, 'Fund Investment Data'!$C:$C = $C1769, 'Fund Investment Data'!$A:$A = $A1"&amp;"769, 'Fund Investment Data'!$B:$B &lt;= $B1769)),0)"),194469.0)</f>
        <v>194469</v>
      </c>
      <c r="T1769" s="32"/>
      <c r="U1769" s="32"/>
      <c r="V1769" s="32">
        <f>IFERROR(__xludf.DUMMYFUNCTION("$D1769 - IFERROR(FILTER($D:$D,$C:$C = $C1769, $A:$A = $A1769, $B:$B = $B1769 - 1),0)"),0.0)</f>
        <v>0</v>
      </c>
      <c r="W1769" s="93">
        <f>IFERROR(__xludf.DUMMYFUNCTION("$E1769 - IFERROR(FILTER($E:$E,$C:$C = $C1769, $A:$A = $A1769, $B:$B = $B1769 - 1),0)"),0.0)</f>
        <v>0</v>
      </c>
      <c r="X1769" s="91">
        <f>IFERROR(__xludf.DUMMYFUNCTION("iFERROR((FILTER('Fund Investment Data'!$Z:$Z, 'Fund Investment Data'!$C:$C = $C1769, 'Fund Investment Data'!$A:$A = $A1769 - 1, 'Fund Investment Data'!$B:$B = 12) + FILTER('Fund Investment Data'!$AB:$AB, 'Fund Investment Data'!$C:$C = $C1769, 'Fund Invest"&amp;"ment Data'!$A:$A = $A1769 - 1, 'Fund Investment Data'!$B:$B = 12)) * (1 + AVERAGE(FILTER('Inflation Data'!$C:$C,'Inflation Data'!$A:$A = ($A1769 - 2)))) * Parameters!$A$4,0)"),8307.89140924438)</f>
        <v>8307.891409</v>
      </c>
      <c r="Y1769" s="91">
        <f>IFERROR(__xludf.DUMMYFUNCTION("IFERROR((IFERROR(FILTER('Fund Investment Data'!$P:$P,'Fund Investment Data'!$C:$C = $C1769,'Fund Investment Data'!$A:$A = ($A1769 - 2), 'Fund Investment Data'!$B:$B = 12),0) - SUM(FILTER('Fund Investment Data'!$V:$V, 'Fund Investment Data'!$C:$C = $C1769,"&amp;" 'Fund Investment Data'!$A:$A = ($A1769 - 2), 'Fund Investment Data'!$B:$B &gt; 3)))  * Parameters!$B$4 * (1 - Parameters!$A$4),0)"),3656.8255950000025)</f>
        <v>3656.825595</v>
      </c>
      <c r="Z1769" s="91">
        <f t="shared" si="24"/>
        <v>11964.717</v>
      </c>
      <c r="AA1769" s="91">
        <f>IFERROR(__xludf.DUMMYFUNCTION("((IFERROR((SUM(FILTER('Fund Investment Data'!$V:$V, 'Fund Investment Data'!$C:$C = $C1769, 'Fund Investment Data'!$A:$A = $A1769 - 1, 'Fund Investment Data'!$B:$B &gt;= 4, 'Fund Investment Data'!$B:$B &lt;= ($B1769 + 5))) / 12) * ($B1769 - 3) * Parameters!$B$4,"&amp;" 0) + IF($B1769 &gt;= 9, IFERROR(SUM(FILTER('Fund Investment Data'!$V:$V, 'Fund Investment Data'!$C:$C = $C1769, 'Fund Investment Data'!$A:$A = $A1769, 'Fund Investment Data'!$B:$B &lt;= 3)) * Parameters!$B$4, 0),0)))"),0.0)</f>
        <v>0</v>
      </c>
      <c r="AB1769" s="32">
        <f>IFERROR(__xludf.DUMMYFUNCTION("IFERROR(((IFERROR(SUM(FILTER('Fund Investment Data'!$V:$V, 'Fund Investment Data'!$C:$C = $C1769, 'Fund Investment Data'!$A:$A = $A1769 - 2, 'Fund Investment Data'!$B:$B &gt;= 4)) * Parameters!$B$4,0) + IFERROR(SUM(FILTER('Fund Investment Data'!$V:$V, 'Fund "&amp;"Investment Data'!$C:$C = $C1769, 'Fund Investment Data'!$A:$A = $A1769 - 1, 'Fund Investment Data'!$B:$B &lt;= 3)) * Parameters!$B$4,0))),0)"),0.0)</f>
        <v>0</v>
      </c>
      <c r="AC1769" s="32" t="str">
        <f>IFERROR(__xludf.DUMMYFUNCTION("IFERROR(FILTER($AF:$AF,$C:$C = $C1769,$A:$A = $A1769 - 1,$B:$B = 12),0)"),"")</f>
        <v/>
      </c>
      <c r="AD1769" s="32">
        <f t="shared" si="23"/>
        <v>11964.717</v>
      </c>
      <c r="AE1769" s="32">
        <f t="shared" si="2"/>
        <v>11964.717</v>
      </c>
      <c r="AF1769" s="32"/>
    </row>
    <row r="1770">
      <c r="A1770" s="86">
        <v>2020.0</v>
      </c>
      <c r="B1770" s="87">
        <v>4.0</v>
      </c>
      <c r="C1770" s="88" t="s">
        <v>43</v>
      </c>
      <c r="D1770" s="104">
        <v>0.0</v>
      </c>
      <c r="E1770" s="104">
        <v>0.0</v>
      </c>
      <c r="F1770" s="104">
        <v>0.0</v>
      </c>
      <c r="G1770" s="104">
        <v>-179.19</v>
      </c>
      <c r="H1770" s="104">
        <v>927.12</v>
      </c>
      <c r="I1770" s="104">
        <v>7346.95</v>
      </c>
      <c r="J1770" s="104">
        <v>-19174.3</v>
      </c>
      <c r="K1770" s="32"/>
      <c r="L1770" s="32"/>
      <c r="M1770" s="32"/>
      <c r="N1770" s="32"/>
      <c r="O1770" s="106">
        <v>112623.34</v>
      </c>
      <c r="P1770" s="91">
        <f>IFERROR(__xludf.DUMMYFUNCTION("IFERROR(sum(FILTER($D:$N,$C:$C = $C1770,$A:$A &lt; $A1770,$B:$B = 12)),0) + sum($D1770:$N1770)"),112622.60000000003)</f>
        <v>112622.6</v>
      </c>
      <c r="Q1770" s="92">
        <f t="shared" si="1"/>
        <v>0.74</v>
      </c>
      <c r="R1770" s="91">
        <f t="array" ref="R1770">IFERROR(INDEX('Fund YTD Target Values'!$1:$1000, MATCH($C1770,'Fund YTD Target Values'!$A:$A,0), MATCH($A1770,'Fund YTD Target Values'!$1:$1,0)),0)</f>
        <v>136272.9454</v>
      </c>
      <c r="S1770" s="91">
        <f>IFERROR(__xludf.DUMMYFUNCTION("IFERROR(sum(FILTER('Fund Investment Data'!$V:$V, 'Fund Investment Data'!$C:$C = $C1770, 'Fund Investment Data'!$A:$A &lt; $A1770)),0) + IFERROR(sum(FILTER('Fund Investment Data'!$V:$V, 'Fund Investment Data'!$C:$C = $C1770, 'Fund Investment Data'!$A:$A = $A1"&amp;"770, 'Fund Investment Data'!$B:$B &lt;= $B1770)),0)"),100000.0)</f>
        <v>100000</v>
      </c>
      <c r="T1770" s="32"/>
      <c r="U1770" s="32"/>
      <c r="V1770" s="32">
        <f>IFERROR(__xludf.DUMMYFUNCTION("$D1770 - IFERROR(FILTER($D:$D,$C:$C = $C1770, $A:$A = $A1770, $B:$B = $B1770 - 1),0)"),0.0)</f>
        <v>0</v>
      </c>
      <c r="W1770" s="93">
        <f>IFERROR(__xludf.DUMMYFUNCTION("$E1770 - IFERROR(FILTER($E:$E,$C:$C = $C1770, $A:$A = $A1770, $B:$B = $B1770 - 1),0)"),0.0)</f>
        <v>0</v>
      </c>
      <c r="X1770" s="91">
        <f>IFERROR(__xludf.DUMMYFUNCTION("iFERROR((FILTER('Fund Investment Data'!$Z:$Z, 'Fund Investment Data'!$C:$C = $C1770, 'Fund Investment Data'!$A:$A = $A1770 - 1, 'Fund Investment Data'!$B:$B = 12) + FILTER('Fund Investment Data'!$AB:$AB, 'Fund Investment Data'!$C:$C = $C1770, 'Fund Invest"&amp;"ment Data'!$A:$A = $A1770 - 1, 'Fund Investment Data'!$B:$B = 12)) * (1 + AVERAGE(FILTER('Inflation Data'!$C:$C,'Inflation Data'!$A:$A = ($A1770 - 2)))) * Parameters!$A$4,0)"),4110.654981425052)</f>
        <v>4110.654981</v>
      </c>
      <c r="Y1770" s="91">
        <f>IFERROR(__xludf.DUMMYFUNCTION("IFERROR((IFERROR(FILTER('Fund Investment Data'!$P:$P,'Fund Investment Data'!$C:$C = $C1770,'Fund Investment Data'!$A:$A = ($A1770 - 2), 'Fund Investment Data'!$B:$B = 12),0) - SUM(FILTER('Fund Investment Data'!$V:$V, 'Fund Investment Data'!$C:$C = $C1770,"&amp;" 'Fund Investment Data'!$A:$A = ($A1770 - 2), 'Fund Investment Data'!$B:$B &gt; 3)))  * Parameters!$B$4 * (1 - Parameters!$A$4),0)"),1489.0159800000004)</f>
        <v>1489.01598</v>
      </c>
      <c r="Z1770" s="91">
        <f t="shared" si="24"/>
        <v>5599.670961</v>
      </c>
      <c r="AA1770" s="91">
        <f>IFERROR(__xludf.DUMMYFUNCTION("((IFERROR((SUM(FILTER('Fund Investment Data'!$V:$V, 'Fund Investment Data'!$C:$C = $C1770, 'Fund Investment Data'!$A:$A = $A1770 - 1, 'Fund Investment Data'!$B:$B &gt;= 4, 'Fund Investment Data'!$B:$B &lt;= ($B1770 + 5))) / 12) * ($B1770 - 3) * Parameters!$B$4,"&amp;" 0) + IF($B1770 &gt;= 9, IFERROR(SUM(FILTER('Fund Investment Data'!$V:$V, 'Fund Investment Data'!$C:$C = $C1770, 'Fund Investment Data'!$A:$A = $A1770, 'Fund Investment Data'!$B:$B &lt;= 3)) * Parameters!$B$4, 0),0)))"),0.0)</f>
        <v>0</v>
      </c>
      <c r="AB1770" s="32">
        <f>IFERROR(__xludf.DUMMYFUNCTION("IFERROR(((IFERROR(SUM(FILTER('Fund Investment Data'!$V:$V, 'Fund Investment Data'!$C:$C = $C1770, 'Fund Investment Data'!$A:$A = $A1770 - 2, 'Fund Investment Data'!$B:$B &gt;= 4)) * Parameters!$B$4,0) + IFERROR(SUM(FILTER('Fund Investment Data'!$V:$V, 'Fund "&amp;"Investment Data'!$C:$C = $C1770, 'Fund Investment Data'!$A:$A = $A1770 - 1, 'Fund Investment Data'!$B:$B &lt;= 3)) * Parameters!$B$4,0))),0)"),0.0)</f>
        <v>0</v>
      </c>
      <c r="AC1770" s="32" t="str">
        <f>IFERROR(__xludf.DUMMYFUNCTION("IFERROR(FILTER($AF:$AF,$C:$C = $C1770,$A:$A = $A1770 - 1,$B:$B = 12),0)"),"")</f>
        <v/>
      </c>
      <c r="AD1770" s="32">
        <f t="shared" si="23"/>
        <v>5599.670961</v>
      </c>
      <c r="AE1770" s="32">
        <f t="shared" si="2"/>
        <v>5599.670961</v>
      </c>
      <c r="AF1770" s="32"/>
    </row>
    <row r="1771">
      <c r="A1771" s="86">
        <v>2020.0</v>
      </c>
      <c r="B1771" s="87">
        <v>4.0</v>
      </c>
      <c r="C1771" s="88" t="s">
        <v>52</v>
      </c>
      <c r="D1771" s="104">
        <v>0.0</v>
      </c>
      <c r="E1771" s="104">
        <v>0.0</v>
      </c>
      <c r="F1771" s="104">
        <v>0.0</v>
      </c>
      <c r="G1771" s="104">
        <v>-1780.0</v>
      </c>
      <c r="H1771" s="104">
        <v>9209.39</v>
      </c>
      <c r="I1771" s="104">
        <v>72980.65</v>
      </c>
      <c r="J1771" s="104">
        <v>-190466.82</v>
      </c>
      <c r="K1771" s="32"/>
      <c r="L1771" s="32"/>
      <c r="M1771" s="32"/>
      <c r="N1771" s="32"/>
      <c r="O1771" s="106">
        <v>1118738.19</v>
      </c>
      <c r="P1771" s="91">
        <f>IFERROR(__xludf.DUMMYFUNCTION("IFERROR(sum(FILTER($D:$N,$C:$C = $C1771,$A:$A &lt; $A1771,$B:$B = 12)),0) + sum($D1771:$N1771)"),1118737.8699999999)</f>
        <v>1118737.87</v>
      </c>
      <c r="Q1771" s="92">
        <f t="shared" si="1"/>
        <v>0.3200000001</v>
      </c>
      <c r="R1771" s="91">
        <f t="array" ref="R1771">IFERROR(INDEX('Fund YTD Target Values'!$1:$1000, MATCH($C1771,'Fund YTD Target Values'!$A:$A,0), MATCH($A1771,'Fund YTD Target Values'!$1:$1,0)),0)</f>
        <v>1199021.687</v>
      </c>
      <c r="S1771" s="91">
        <f>IFERROR(__xludf.DUMMYFUNCTION("IFERROR(sum(FILTER('Fund Investment Data'!$V:$V, 'Fund Investment Data'!$C:$C = $C1771, 'Fund Investment Data'!$A:$A &lt; $A1771)),0) + IFERROR(sum(FILTER('Fund Investment Data'!$V:$V, 'Fund Investment Data'!$C:$C = $C1771, 'Fund Investment Data'!$A:$A = $A1"&amp;"771, 'Fund Investment Data'!$B:$B &lt;= $B1771)),0)"),1081136.0)</f>
        <v>1081136</v>
      </c>
      <c r="T1771" s="32"/>
      <c r="U1771" s="32"/>
      <c r="V1771" s="32">
        <f>IFERROR(__xludf.DUMMYFUNCTION("$D1771 - IFERROR(FILTER($D:$D,$C:$C = $C1771, $A:$A = $A1771, $B:$B = $B1771 - 1),0)"),0.0)</f>
        <v>0</v>
      </c>
      <c r="W1771" s="93">
        <f>IFERROR(__xludf.DUMMYFUNCTION("$E1771 - IFERROR(FILTER($E:$E,$C:$C = $C1771, $A:$A = $A1771, $B:$B = $B1771 - 1),0)"),0.0)</f>
        <v>0</v>
      </c>
      <c r="X1771" s="91">
        <f>IFERROR(__xludf.DUMMYFUNCTION("iFERROR((FILTER('Fund Investment Data'!$Z:$Z, 'Fund Investment Data'!$C:$C = $C1771, 'Fund Investment Data'!$A:$A = $A1771 - 1, 'Fund Investment Data'!$B:$B = 12) + FILTER('Fund Investment Data'!$AB:$AB, 'Fund Investment Data'!$C:$C = $C1771, 'Fund Invest"&amp;"ment Data'!$A:$A = $A1771 - 1, 'Fund Investment Data'!$B:$B = 12)) * (1 + AVERAGE(FILTER('Inflation Data'!$C:$C,'Inflation Data'!$A:$A = ($A1771 - 2)))) * Parameters!$A$4,0)"),37900.53766415215)</f>
        <v>37900.53766</v>
      </c>
      <c r="Y1771" s="91">
        <f>IFERROR(__xludf.DUMMYFUNCTION("IFERROR((IFERROR(FILTER('Fund Investment Data'!$P:$P,'Fund Investment Data'!$C:$C = $C1771,'Fund Investment Data'!$A:$A = ($A1771 - 2), 'Fund Investment Data'!$B:$B = 12),0) - SUM(FILTER('Fund Investment Data'!$V:$V, 'Fund Investment Data'!$C:$C = $C1771,"&amp;" 'Fund Investment Data'!$A:$A = ($A1771 - 2), 'Fund Investment Data'!$B:$B &gt; 3)))  * Parameters!$B$4 * (1 - Parameters!$A$4),0)"),14735.790404999998)</f>
        <v>14735.79041</v>
      </c>
      <c r="Z1771" s="91">
        <f t="shared" si="24"/>
        <v>52636.32807</v>
      </c>
      <c r="AA1771" s="91">
        <f>IFERROR(__xludf.DUMMYFUNCTION("((IFERROR((SUM(FILTER('Fund Investment Data'!$V:$V, 'Fund Investment Data'!$C:$C = $C1771, 'Fund Investment Data'!$A:$A = $A1771 - 1, 'Fund Investment Data'!$B:$B &gt;= 4, 'Fund Investment Data'!$B:$B &lt;= ($B1771 + 5))) / 12) * ($B1771 - 3) * Parameters!$B$4,"&amp;" 0) + IF($B1771 &gt;= 9, IFERROR(SUM(FILTER('Fund Investment Data'!$V:$V, 'Fund Investment Data'!$C:$C = $C1771, 'Fund Investment Data'!$A:$A = $A1771, 'Fund Investment Data'!$B:$B &lt;= 3)) * Parameters!$B$4, 0),0)))"),0.0)</f>
        <v>0</v>
      </c>
      <c r="AB1771" s="32">
        <f>IFERROR(__xludf.DUMMYFUNCTION("IFERROR(((IFERROR(SUM(FILTER('Fund Investment Data'!$V:$V, 'Fund Investment Data'!$C:$C = $C1771, 'Fund Investment Data'!$A:$A = $A1771 - 2, 'Fund Investment Data'!$B:$B &gt;= 4)) * Parameters!$B$4,0) + IFERROR(SUM(FILTER('Fund Investment Data'!$V:$V, 'Fund "&amp;"Investment Data'!$C:$C = $C1771, 'Fund Investment Data'!$A:$A = $A1771 - 1, 'Fund Investment Data'!$B:$B &lt;= 3)) * Parameters!$B$4,0))),0)"),45.0)</f>
        <v>45</v>
      </c>
      <c r="AC1771" s="32" t="str">
        <f>IFERROR(__xludf.DUMMYFUNCTION("IFERROR(FILTER($AF:$AF,$C:$C = $C1771,$A:$A = $A1771 - 1,$B:$B = 12),0)"),"")</f>
        <v/>
      </c>
      <c r="AD1771" s="32">
        <f t="shared" si="23"/>
        <v>52681.32807</v>
      </c>
      <c r="AE1771" s="32">
        <f t="shared" si="2"/>
        <v>52681.32807</v>
      </c>
      <c r="AF1771" s="32"/>
    </row>
    <row r="1772">
      <c r="A1772" s="86">
        <v>2020.0</v>
      </c>
      <c r="B1772" s="87">
        <v>4.0</v>
      </c>
      <c r="C1772" s="88" t="s">
        <v>33</v>
      </c>
      <c r="D1772" s="104">
        <v>0.0</v>
      </c>
      <c r="E1772" s="104">
        <v>0.0</v>
      </c>
      <c r="F1772" s="104">
        <v>0.0</v>
      </c>
      <c r="G1772" s="104">
        <v>-508.99</v>
      </c>
      <c r="H1772" s="104">
        <v>2633.36</v>
      </c>
      <c r="I1772" s="104">
        <v>20868.31</v>
      </c>
      <c r="J1772" s="104">
        <v>-54462.66</v>
      </c>
      <c r="K1772" s="32"/>
      <c r="L1772" s="32"/>
      <c r="M1772" s="32"/>
      <c r="N1772" s="32"/>
      <c r="O1772" s="106">
        <v>319895.39</v>
      </c>
      <c r="P1772" s="91">
        <f>IFERROR(__xludf.DUMMYFUNCTION("IFERROR(sum(FILTER($D:$N,$C:$C = $C1772,$A:$A &lt; $A1772,$B:$B = 12)),0) + sum($D1772:$N1772)"),319895.6099999998)</f>
        <v>319895.61</v>
      </c>
      <c r="Q1772" s="92">
        <f t="shared" si="1"/>
        <v>-0.2199999998</v>
      </c>
      <c r="R1772" s="91">
        <f t="array" ref="R1772">IFERROR(INDEX('Fund YTD Target Values'!$1:$1000, MATCH($C1772,'Fund YTD Target Values'!$A:$A,0), MATCH($A1772,'Fund YTD Target Values'!$1:$1,0)),0)</f>
        <v>534811.3234</v>
      </c>
      <c r="S1772" s="91">
        <f>IFERROR(__xludf.DUMMYFUNCTION("IFERROR(sum(FILTER('Fund Investment Data'!$V:$V, 'Fund Investment Data'!$C:$C = $C1772, 'Fund Investment Data'!$A:$A &lt; $A1772)),0) + IFERROR(sum(FILTER('Fund Investment Data'!$V:$V, 'Fund Investment Data'!$C:$C = $C1772, 'Fund Investment Data'!$A:$A = $A1"&amp;"772, 'Fund Investment Data'!$B:$B &lt;= $B1772)),0)"),325871.6399999999)</f>
        <v>325871.64</v>
      </c>
      <c r="T1772" s="32"/>
      <c r="U1772" s="32"/>
      <c r="V1772" s="32">
        <f>IFERROR(__xludf.DUMMYFUNCTION("$D1772 - IFERROR(FILTER($D:$D,$C:$C = $C1772, $A:$A = $A1772, $B:$B = $B1772 - 1),0)"),0.0)</f>
        <v>0</v>
      </c>
      <c r="W1772" s="93">
        <f>IFERROR(__xludf.DUMMYFUNCTION("$E1772 - IFERROR(FILTER($E:$E,$C:$C = $C1772, $A:$A = $A1772, $B:$B = $B1772 - 1),0)"),0.0)</f>
        <v>0</v>
      </c>
      <c r="X1772" s="91">
        <f>IFERROR(__xludf.DUMMYFUNCTION("iFERROR((FILTER('Fund Investment Data'!$Z:$Z, 'Fund Investment Data'!$C:$C = $C1772, 'Fund Investment Data'!$A:$A = $A1772 - 1, 'Fund Investment Data'!$B:$B = 12) + FILTER('Fund Investment Data'!$AB:$AB, 'Fund Investment Data'!$C:$C = $C1772, 'Fund Invest"&amp;"ment Data'!$A:$A = $A1772 - 1, 'Fund Investment Data'!$B:$B = 12)) * (1 + AVERAGE(FILTER('Inflation Data'!$C:$C,'Inflation Data'!$A:$A = ($A1772 - 2)))) * Parameters!$A$4,0)"),11694.624948637042)</f>
        <v>11694.62495</v>
      </c>
      <c r="Y1772" s="91">
        <f>IFERROR(__xludf.DUMMYFUNCTION("IFERROR((IFERROR(FILTER('Fund Investment Data'!$P:$P,'Fund Investment Data'!$C:$C = $C1772,'Fund Investment Data'!$A:$A = ($A1772 - 2), 'Fund Investment Data'!$B:$B = 12),0) - SUM(FILTER('Fund Investment Data'!$V:$V, 'Fund Investment Data'!$C:$C = $C1772,"&amp;" 'Fund Investment Data'!$A:$A = ($A1772 - 2), 'Fund Investment Data'!$B:$B &gt; 3)))  * Parameters!$B$4 * (1 - Parameters!$A$4),0)"),4224.759929999998)</f>
        <v>4224.75993</v>
      </c>
      <c r="Z1772" s="91">
        <f t="shared" si="24"/>
        <v>15919.38488</v>
      </c>
      <c r="AA1772" s="91">
        <f>IFERROR(__xludf.DUMMYFUNCTION("((IFERROR((SUM(FILTER('Fund Investment Data'!$V:$V, 'Fund Investment Data'!$C:$C = $C1772, 'Fund Investment Data'!$A:$A = $A1772 - 1, 'Fund Investment Data'!$B:$B &gt;= 4, 'Fund Investment Data'!$B:$B &lt;= ($B1772 + 5))) / 12) * ($B1772 - 3) * Parameters!$B$4,"&amp;" 0) + IF($B1772 &gt;= 9, IFERROR(SUM(FILTER('Fund Investment Data'!$V:$V, 'Fund Investment Data'!$C:$C = $C1772, 'Fund Investment Data'!$A:$A = $A1772, 'Fund Investment Data'!$B:$B &lt;= 3)) * Parameters!$B$4, 0),0)))"),0.0)</f>
        <v>0</v>
      </c>
      <c r="AB1772" s="32">
        <f>IFERROR(__xludf.DUMMYFUNCTION("IFERROR(((IFERROR(SUM(FILTER('Fund Investment Data'!$V:$V, 'Fund Investment Data'!$C:$C = $C1772, 'Fund Investment Data'!$A:$A = $A1772 - 2, 'Fund Investment Data'!$B:$B &gt;= 4)) * Parameters!$B$4,0) + IFERROR(SUM(FILTER('Fund Investment Data'!$V:$V, 'Fund "&amp;"Investment Data'!$C:$C = $C1772, 'Fund Investment Data'!$A:$A = $A1772 - 1, 'Fund Investment Data'!$B:$B &lt;= 3)) * Parameters!$B$4,0))),0)"),0.0)</f>
        <v>0</v>
      </c>
      <c r="AC1772" s="32" t="str">
        <f>IFERROR(__xludf.DUMMYFUNCTION("IFERROR(FILTER($AF:$AF,$C:$C = $C1772,$A:$A = $A1772 - 1,$B:$B = 12),0)"),"")</f>
        <v/>
      </c>
      <c r="AD1772" s="32">
        <f t="shared" si="23"/>
        <v>15919.38488</v>
      </c>
      <c r="AE1772" s="32">
        <f t="shared" si="2"/>
        <v>15919.38488</v>
      </c>
      <c r="AF1772" s="32"/>
    </row>
    <row r="1773">
      <c r="A1773" s="86">
        <v>2020.0</v>
      </c>
      <c r="B1773" s="87">
        <v>4.0</v>
      </c>
      <c r="C1773" s="88" t="s">
        <v>53</v>
      </c>
      <c r="D1773" s="104">
        <v>0.0</v>
      </c>
      <c r="E1773" s="104">
        <v>0.0</v>
      </c>
      <c r="F1773" s="104">
        <v>0.0</v>
      </c>
      <c r="G1773" s="104">
        <v>-3258.1</v>
      </c>
      <c r="H1773" s="104">
        <v>16856.72</v>
      </c>
      <c r="I1773" s="104">
        <v>133582.58</v>
      </c>
      <c r="J1773" s="104">
        <v>-348627.32</v>
      </c>
      <c r="K1773" s="32"/>
      <c r="L1773" s="32"/>
      <c r="M1773" s="32"/>
      <c r="N1773" s="32"/>
      <c r="O1773" s="106">
        <v>2047719.88</v>
      </c>
      <c r="P1773" s="91">
        <f>IFERROR(__xludf.DUMMYFUNCTION("IFERROR(sum(FILTER($D:$N,$C:$C = $C1773,$A:$A &lt; $A1773,$B:$B = 12)),0) + sum($D1773:$N1773)"),2047719.88)</f>
        <v>2047719.88</v>
      </c>
      <c r="Q1773" s="92">
        <f t="shared" si="1"/>
        <v>0</v>
      </c>
      <c r="R1773" s="91">
        <f t="array" ref="R1773">IFERROR(INDEX('Fund YTD Target Values'!$1:$1000, MATCH($C1773,'Fund YTD Target Values'!$A:$A,0), MATCH($A1773,'Fund YTD Target Values'!$1:$1,0)),0)</f>
        <v>2319668.115</v>
      </c>
      <c r="S1773" s="91">
        <f>IFERROR(__xludf.DUMMYFUNCTION("IFERROR(sum(FILTER('Fund Investment Data'!$V:$V, 'Fund Investment Data'!$C:$C = $C1773, 'Fund Investment Data'!$A:$A &lt; $A1773)),0) + IFERROR(sum(FILTER('Fund Investment Data'!$V:$V, 'Fund Investment Data'!$C:$C = $C1773, 'Fund Investment Data'!$A:$A = $A1"&amp;"773, 'Fund Investment Data'!$B:$B &lt;= $B1773)),0)"),2005500.0)</f>
        <v>2005500</v>
      </c>
      <c r="T1773" s="32"/>
      <c r="U1773" s="32"/>
      <c r="V1773" s="32">
        <f>IFERROR(__xludf.DUMMYFUNCTION("$D1773 - IFERROR(FILTER($D:$D,$C:$C = $C1773, $A:$A = $A1773, $B:$B = $B1773 - 1),0)"),0.0)</f>
        <v>0</v>
      </c>
      <c r="W1773" s="93">
        <f>IFERROR(__xludf.DUMMYFUNCTION("$E1773 - IFERROR(FILTER($E:$E,$C:$C = $C1773, $A:$A = $A1773, $B:$B = $B1773 - 1),0)"),0.0)</f>
        <v>0</v>
      </c>
      <c r="X1773" s="91">
        <f>IFERROR(__xludf.DUMMYFUNCTION("iFERROR((FILTER('Fund Investment Data'!$Z:$Z, 'Fund Investment Data'!$C:$C = $C1773, 'Fund Investment Data'!$A:$A = $A1773 - 1, 'Fund Investment Data'!$B:$B = 12) + FILTER('Fund Investment Data'!$AB:$AB, 'Fund Investment Data'!$C:$C = $C1773, 'Fund Invest"&amp;"ment Data'!$A:$A = $A1773 - 1, 'Fund Investment Data'!$B:$B = 12)) * (1 + AVERAGE(FILTER('Inflation Data'!$C:$C,'Inflation Data'!$A:$A = ($A1773 - 2)))) * Parameters!$A$4,0)"),72128.4673033264)</f>
        <v>72128.4673</v>
      </c>
      <c r="Y1773" s="91">
        <f>IFERROR(__xludf.DUMMYFUNCTION("IFERROR((IFERROR(FILTER('Fund Investment Data'!$P:$P,'Fund Investment Data'!$C:$C = $C1773,'Fund Investment Data'!$A:$A = ($A1773 - 2), 'Fund Investment Data'!$B:$B = 12),0) - SUM(FILTER('Fund Investment Data'!$V:$V, 'Fund Investment Data'!$C:$C = $C1773,"&amp;" 'Fund Investment Data'!$A:$A = ($A1773 - 2), 'Fund Investment Data'!$B:$B &gt; 3)))  * Parameters!$B$4 * (1 - Parameters!$A$4),0)"),27628.22088)</f>
        <v>27628.22088</v>
      </c>
      <c r="Z1773" s="91">
        <f t="shared" si="24"/>
        <v>99756.68818</v>
      </c>
      <c r="AA1773" s="91">
        <f>IFERROR(__xludf.DUMMYFUNCTION("((IFERROR((SUM(FILTER('Fund Investment Data'!$V:$V, 'Fund Investment Data'!$C:$C = $C1773, 'Fund Investment Data'!$A:$A = $A1773 - 1, 'Fund Investment Data'!$B:$B &gt;= 4, 'Fund Investment Data'!$B:$B &lt;= ($B1773 + 5))) / 12) * ($B1773 - 3) * Parameters!$B$4,"&amp;" 0) + IF($B1773 &gt;= 9, IFERROR(SUM(FILTER('Fund Investment Data'!$V:$V, 'Fund Investment Data'!$C:$C = $C1773, 'Fund Investment Data'!$A:$A = $A1773, 'Fund Investment Data'!$B:$B &lt;= 3)) * Parameters!$B$4, 0),0)))"),0.0)</f>
        <v>0</v>
      </c>
      <c r="AB1773" s="32">
        <f>IFERROR(__xludf.DUMMYFUNCTION("IFERROR(((IFERROR(SUM(FILTER('Fund Investment Data'!$V:$V, 'Fund Investment Data'!$C:$C = $C1773, 'Fund Investment Data'!$A:$A = $A1773 - 2, 'Fund Investment Data'!$B:$B &gt;= 4)) * Parameters!$B$4,0) + IFERROR(SUM(FILTER('Fund Investment Data'!$V:$V, 'Fund "&amp;"Investment Data'!$C:$C = $C1773, 'Fund Investment Data'!$A:$A = $A1773 - 1, 'Fund Investment Data'!$B:$B &lt;= 3)) * Parameters!$B$4,0))),0)"),0.0)</f>
        <v>0</v>
      </c>
      <c r="AC1773" s="32" t="str">
        <f>IFERROR(__xludf.DUMMYFUNCTION("IFERROR(FILTER($AF:$AF,$C:$C = $C1773,$A:$A = $A1773 - 1,$B:$B = 12),0)"),"")</f>
        <v/>
      </c>
      <c r="AD1773" s="32">
        <f t="shared" si="23"/>
        <v>99756.68818</v>
      </c>
      <c r="AE1773" s="32">
        <f t="shared" si="2"/>
        <v>99756.68818</v>
      </c>
      <c r="AF1773" s="32"/>
    </row>
    <row r="1774">
      <c r="A1774" s="86">
        <v>2020.0</v>
      </c>
      <c r="B1774" s="87">
        <v>4.0</v>
      </c>
      <c r="C1774" s="88" t="s">
        <v>34</v>
      </c>
      <c r="D1774" s="104">
        <v>0.0</v>
      </c>
      <c r="E1774" s="104">
        <v>0.0</v>
      </c>
      <c r="F1774" s="104">
        <v>0.0</v>
      </c>
      <c r="G1774" s="104">
        <v>-213.99</v>
      </c>
      <c r="H1774" s="104">
        <v>1107.17</v>
      </c>
      <c r="I1774" s="104">
        <v>8773.85</v>
      </c>
      <c r="J1774" s="104">
        <v>-22898.21</v>
      </c>
      <c r="K1774" s="32"/>
      <c r="L1774" s="32"/>
      <c r="M1774" s="32"/>
      <c r="N1774" s="32"/>
      <c r="O1774" s="106">
        <v>134496.47</v>
      </c>
      <c r="P1774" s="91">
        <f>IFERROR(__xludf.DUMMYFUNCTION("IFERROR(sum(FILTER($D:$N,$C:$C = $C1774,$A:$A &lt; $A1774,$B:$B = 12)),0) + sum($D1774:$N1774)"),134496.46999999997)</f>
        <v>134496.47</v>
      </c>
      <c r="Q1774" s="92">
        <f t="shared" si="1"/>
        <v>0</v>
      </c>
      <c r="R1774" s="91">
        <f t="array" ref="R1774">IFERROR(INDEX('Fund YTD Target Values'!$1:$1000, MATCH($C1774,'Fund YTD Target Values'!$A:$A,0), MATCH($A1774,'Fund YTD Target Values'!$1:$1,0)),0)</f>
        <v>141101.0603</v>
      </c>
      <c r="S1774" s="91">
        <f>IFERROR(__xludf.DUMMYFUNCTION("IFERROR(sum(FILTER('Fund Investment Data'!$V:$V, 'Fund Investment Data'!$C:$C = $C1774, 'Fund Investment Data'!$A:$A &lt; $A1774)),0) + IFERROR(sum(FILTER('Fund Investment Data'!$V:$V, 'Fund Investment Data'!$C:$C = $C1774, 'Fund Investment Data'!$A:$A = $A1"&amp;"774, 'Fund Investment Data'!$B:$B &lt;= $B1774)),0)"),125000.0)</f>
        <v>125000</v>
      </c>
      <c r="T1774" s="32"/>
      <c r="U1774" s="32"/>
      <c r="V1774" s="32">
        <f>IFERROR(__xludf.DUMMYFUNCTION("$D1774 - IFERROR(FILTER($D:$D,$C:$C = $C1774, $A:$A = $A1774, $B:$B = $B1774 - 1),0)"),0.0)</f>
        <v>0</v>
      </c>
      <c r="W1774" s="93">
        <f>IFERROR(__xludf.DUMMYFUNCTION("$E1774 - IFERROR(FILTER($E:$E,$C:$C = $C1774, $A:$A = $A1774, $B:$B = $B1774 - 1),0)"),0.0)</f>
        <v>0</v>
      </c>
      <c r="X1774" s="91">
        <f>IFERROR(__xludf.DUMMYFUNCTION("iFERROR((FILTER('Fund Investment Data'!$Z:$Z, 'Fund Investment Data'!$C:$C = $C1774, 'Fund Investment Data'!$A:$A = $A1774 - 1, 'Fund Investment Data'!$B:$B = 12) + FILTER('Fund Investment Data'!$AB:$AB, 'Fund Investment Data'!$C:$C = $C1774, 'Fund Invest"&amp;"ment Data'!$A:$A = $A1774 - 1, 'Fund Investment Data'!$B:$B = 12)) * (1 + AVERAGE(FILTER('Inflation Data'!$C:$C,'Inflation Data'!$A:$A = ($A1774 - 2)))) * Parameters!$A$4,0)"),4562.512460415234)</f>
        <v>4562.51246</v>
      </c>
      <c r="Y1774" s="91">
        <f>IFERROR(__xludf.DUMMYFUNCTION("IFERROR((IFERROR(FILTER('Fund Investment Data'!$P:$P,'Fund Investment Data'!$C:$C = $C1774,'Fund Investment Data'!$A:$A = ($A1774 - 2), 'Fund Investment Data'!$B:$B = 12),0) - SUM(FILTER('Fund Investment Data'!$V:$V, 'Fund Investment Data'!$C:$C = $C1774,"&amp;" 'Fund Investment Data'!$A:$A = ($A1774 - 2), 'Fund Investment Data'!$B:$B &gt; 3)))  * Parameters!$B$4 * (1 - Parameters!$A$4),0)"),1706.9301450000003)</f>
        <v>1706.930145</v>
      </c>
      <c r="Z1774" s="91">
        <f t="shared" si="24"/>
        <v>6269.442605</v>
      </c>
      <c r="AA1774" s="91">
        <f>IFERROR(__xludf.DUMMYFUNCTION("((IFERROR((SUM(FILTER('Fund Investment Data'!$V:$V, 'Fund Investment Data'!$C:$C = $C1774, 'Fund Investment Data'!$A:$A = $A1774 - 1, 'Fund Investment Data'!$B:$B &gt;= 4, 'Fund Investment Data'!$B:$B &lt;= ($B1774 + 5))) / 12) * ($B1774 - 3) * Parameters!$B$4,"&amp;" 0) + IF($B1774 &gt;= 9, IFERROR(SUM(FILTER('Fund Investment Data'!$V:$V, 'Fund Investment Data'!$C:$C = $C1774, 'Fund Investment Data'!$A:$A = $A1774, 'Fund Investment Data'!$B:$B &lt;= 3)) * Parameters!$B$4, 0),0)))"),0.0)</f>
        <v>0</v>
      </c>
      <c r="AB1774" s="32">
        <f>IFERROR(__xludf.DUMMYFUNCTION("IFERROR(((IFERROR(SUM(FILTER('Fund Investment Data'!$V:$V, 'Fund Investment Data'!$C:$C = $C1774, 'Fund Investment Data'!$A:$A = $A1774 - 2, 'Fund Investment Data'!$B:$B &gt;= 4)) * Parameters!$B$4,0) + IFERROR(SUM(FILTER('Fund Investment Data'!$V:$V, 'Fund "&amp;"Investment Data'!$C:$C = $C1774, 'Fund Investment Data'!$A:$A = $A1774 - 1, 'Fund Investment Data'!$B:$B &lt;= 3)) * Parameters!$B$4,0))),0)"),225.0)</f>
        <v>225</v>
      </c>
      <c r="AC1774" s="32" t="str">
        <f>IFERROR(__xludf.DUMMYFUNCTION("IFERROR(FILTER($AF:$AF,$C:$C = $C1774,$A:$A = $A1774 - 1,$B:$B = 12),0)"),"")</f>
        <v/>
      </c>
      <c r="AD1774" s="32">
        <f t="shared" si="23"/>
        <v>6494.442605</v>
      </c>
      <c r="AE1774" s="32">
        <f t="shared" si="2"/>
        <v>6494.442605</v>
      </c>
      <c r="AF1774" s="32"/>
    </row>
    <row r="1775">
      <c r="A1775" s="86">
        <v>2020.0</v>
      </c>
      <c r="B1775" s="87">
        <v>4.0</v>
      </c>
      <c r="C1775" s="88" t="s">
        <v>54</v>
      </c>
      <c r="D1775" s="104">
        <v>299.0</v>
      </c>
      <c r="E1775" s="104">
        <v>0.0</v>
      </c>
      <c r="F1775" s="104">
        <v>0.0</v>
      </c>
      <c r="G1775" s="104">
        <v>-253.29</v>
      </c>
      <c r="H1775" s="104">
        <v>1310.73</v>
      </c>
      <c r="I1775" s="104">
        <v>10377.24</v>
      </c>
      <c r="J1775" s="104">
        <v>-27100.14</v>
      </c>
      <c r="K1775" s="32"/>
      <c r="L1775" s="32"/>
      <c r="M1775" s="32"/>
      <c r="N1775" s="32"/>
      <c r="O1775" s="106">
        <v>159298.72</v>
      </c>
      <c r="P1775" s="91">
        <f>IFERROR(__xludf.DUMMYFUNCTION("IFERROR(sum(FILTER($D:$N,$C:$C = $C1775,$A:$A &lt; $A1775,$B:$B = 12)),0) + sum($D1775:$N1775)"),159299.68999999997)</f>
        <v>159299.69</v>
      </c>
      <c r="Q1775" s="92">
        <f t="shared" si="1"/>
        <v>-0.97</v>
      </c>
      <c r="R1775" s="91">
        <f t="array" ref="R1775">IFERROR(INDEX('Fund YTD Target Values'!$1:$1000, MATCH($C1775,'Fund YTD Target Values'!$A:$A,0), MATCH($A1775,'Fund YTD Target Values'!$1:$1,0)),0)</f>
        <v>162317.7907</v>
      </c>
      <c r="S1775" s="91">
        <f>IFERROR(__xludf.DUMMYFUNCTION("IFERROR(sum(FILTER('Fund Investment Data'!$V:$V, 'Fund Investment Data'!$C:$C = $C1775, 'Fund Investment Data'!$A:$A &lt; $A1775)),0) + IFERROR(sum(FILTER('Fund Investment Data'!$V:$V, 'Fund Investment Data'!$C:$C = $C1775, 'Fund Investment Data'!$A:$A = $A1"&amp;"775, 'Fund Investment Data'!$B:$B &lt;= $B1775)),0)"),113274.14999999998)</f>
        <v>113274.15</v>
      </c>
      <c r="T1775" s="32"/>
      <c r="U1775" s="32"/>
      <c r="V1775" s="32">
        <f>IFERROR(__xludf.DUMMYFUNCTION("$D1775 - IFERROR(FILTER($D:$D,$C:$C = $C1775, $A:$A = $A1775, $B:$B = $B1775 - 1),0)"),49.0)</f>
        <v>49</v>
      </c>
      <c r="W1775" s="93">
        <f>IFERROR(__xludf.DUMMYFUNCTION("$E1775 - IFERROR(FILTER($E:$E,$C:$C = $C1775, $A:$A = $A1775, $B:$B = $B1775 - 1),0)"),0.0)</f>
        <v>0</v>
      </c>
      <c r="X1775" s="91">
        <f>IFERROR(__xludf.DUMMYFUNCTION("iFERROR((FILTER('Fund Investment Data'!$Z:$Z, 'Fund Investment Data'!$C:$C = $C1775, 'Fund Investment Data'!$A:$A = $A1775 - 1, 'Fund Investment Data'!$B:$B = 12) + FILTER('Fund Investment Data'!$AB:$AB, 'Fund Investment Data'!$C:$C = $C1775, 'Fund Invest"&amp;"ment Data'!$A:$A = $A1775 - 1, 'Fund Investment Data'!$B:$B = 12)) * (1 + AVERAGE(FILTER('Inflation Data'!$C:$C,'Inflation Data'!$A:$A = ($A1775 - 2)))) * Parameters!$A$4,0)"),5485.4342945921035)</f>
        <v>5485.434295</v>
      </c>
      <c r="Y1775" s="91">
        <f>IFERROR(__xludf.DUMMYFUNCTION("IFERROR((IFERROR(FILTER('Fund Investment Data'!$P:$P,'Fund Investment Data'!$C:$C = $C1775,'Fund Investment Data'!$A:$A = ($A1775 - 2), 'Fund Investment Data'!$B:$B = 12),0) - SUM(FILTER('Fund Investment Data'!$V:$V, 'Fund Investment Data'!$C:$C = $C1775,"&amp;" 'Fund Investment Data'!$A:$A = ($A1775 - 2), 'Fund Investment Data'!$B:$B &gt; 3)))  * Parameters!$B$4 * (1 - Parameters!$A$4),0)"),2091.582674999999)</f>
        <v>2091.582675</v>
      </c>
      <c r="Z1775" s="91">
        <f t="shared" si="24"/>
        <v>7577.01697</v>
      </c>
      <c r="AA1775" s="91">
        <f>IFERROR(__xludf.DUMMYFUNCTION("((IFERROR((SUM(FILTER('Fund Investment Data'!$V:$V, 'Fund Investment Data'!$C:$C = $C1775, 'Fund Investment Data'!$A:$A = $A1775 - 1, 'Fund Investment Data'!$B:$B &gt;= 4, 'Fund Investment Data'!$B:$B &lt;= ($B1775 + 5))) / 12) * ($B1775 - 3) * Parameters!$B$4,"&amp;" 0) + IF($B1775 &gt;= 9, IFERROR(SUM(FILTER('Fund Investment Data'!$V:$V, 'Fund Investment Data'!$C:$C = $C1775, 'Fund Investment Data'!$A:$A = $A1775, 'Fund Investment Data'!$B:$B &lt;= 3)) * Parameters!$B$4, 0),0)))"),0.21)</f>
        <v>0.21</v>
      </c>
      <c r="AB1775" s="32">
        <f>IFERROR(__xludf.DUMMYFUNCTION("IFERROR(((IFERROR(SUM(FILTER('Fund Investment Data'!$V:$V, 'Fund Investment Data'!$C:$C = $C1775, 'Fund Investment Data'!$A:$A = $A1775 - 2, 'Fund Investment Data'!$B:$B &gt;= 4)) * Parameters!$B$4,0) + IFERROR(SUM(FILTER('Fund Investment Data'!$V:$V, 'Fund "&amp;"Investment Data'!$C:$C = $C1775, 'Fund Investment Data'!$A:$A = $A1775 - 1, 'Fund Investment Data'!$B:$B &lt;= 3)) * Parameters!$B$4,0))),0)"),6.075)</f>
        <v>6.075</v>
      </c>
      <c r="AC1775" s="32" t="str">
        <f>IFERROR(__xludf.DUMMYFUNCTION("IFERROR(FILTER($AF:$AF,$C:$C = $C1775,$A:$A = $A1775 - 1,$B:$B = 12),0)"),"")</f>
        <v/>
      </c>
      <c r="AD1775" s="32">
        <f t="shared" si="23"/>
        <v>7583.30197</v>
      </c>
      <c r="AE1775" s="32">
        <f t="shared" si="2"/>
        <v>7583.30197</v>
      </c>
      <c r="AF1775" s="32"/>
    </row>
    <row r="1776">
      <c r="A1776" s="86">
        <v>2020.0</v>
      </c>
      <c r="B1776" s="87">
        <v>4.0</v>
      </c>
      <c r="C1776" s="88" t="s">
        <v>55</v>
      </c>
      <c r="D1776" s="104">
        <v>0.0</v>
      </c>
      <c r="E1776" s="104">
        <v>0.0</v>
      </c>
      <c r="F1776" s="104">
        <v>0.0</v>
      </c>
      <c r="G1776" s="104">
        <v>-536.73</v>
      </c>
      <c r="H1776" s="104">
        <v>2776.94</v>
      </c>
      <c r="I1776" s="104">
        <v>22006.08</v>
      </c>
      <c r="J1776" s="104">
        <v>-57432.05</v>
      </c>
      <c r="K1776" s="32"/>
      <c r="L1776" s="32"/>
      <c r="M1776" s="32"/>
      <c r="N1776" s="32"/>
      <c r="O1776" s="106">
        <v>337336.59</v>
      </c>
      <c r="P1776" s="91">
        <f>IFERROR(__xludf.DUMMYFUNCTION("IFERROR(sum(FILTER($D:$N,$C:$C = $C1776,$A:$A &lt; $A1776,$B:$B = 12)),0) + sum($D1776:$N1776)"),337336.5899999999)</f>
        <v>337336.59</v>
      </c>
      <c r="Q1776" s="92">
        <f t="shared" si="1"/>
        <v>0.0000000001164153218</v>
      </c>
      <c r="R1776" s="91">
        <f t="array" ref="R1776">IFERROR(INDEX('Fund YTD Target Values'!$1:$1000, MATCH($C1776,'Fund YTD Target Values'!$A:$A,0), MATCH($A1776,'Fund YTD Target Values'!$1:$1,0)),0)</f>
        <v>373132.6187</v>
      </c>
      <c r="S1776" s="91">
        <f>IFERROR(__xludf.DUMMYFUNCTION("IFERROR(sum(FILTER('Fund Investment Data'!$V:$V, 'Fund Investment Data'!$C:$C = $C1776, 'Fund Investment Data'!$A:$A &lt; $A1776)),0) + IFERROR(sum(FILTER('Fund Investment Data'!$V:$V, 'Fund Investment Data'!$C:$C = $C1776, 'Fund Investment Data'!$A:$A = $A1"&amp;"776, 'Fund Investment Data'!$B:$B &lt;= $B1776)),0)"),350000.0)</f>
        <v>350000</v>
      </c>
      <c r="T1776" s="32"/>
      <c r="U1776" s="32"/>
      <c r="V1776" s="32">
        <f>IFERROR(__xludf.DUMMYFUNCTION("$D1776 - IFERROR(FILTER($D:$D,$C:$C = $C1776, $A:$A = $A1776, $B:$B = $B1776 - 1),0)"),0.0)</f>
        <v>0</v>
      </c>
      <c r="W1776" s="93">
        <f>IFERROR(__xludf.DUMMYFUNCTION("$E1776 - IFERROR(FILTER($E:$E,$C:$C = $C1776, $A:$A = $A1776, $B:$B = $B1776 - 1),0)"),0.0)</f>
        <v>0</v>
      </c>
      <c r="X1776" s="91">
        <f>IFERROR(__xludf.DUMMYFUNCTION("iFERROR((FILTER('Fund Investment Data'!$Z:$Z, 'Fund Investment Data'!$C:$C = $C1776, 'Fund Investment Data'!$A:$A = $A1776 - 1, 'Fund Investment Data'!$B:$B = 12) + FILTER('Fund Investment Data'!$AB:$AB, 'Fund Investment Data'!$C:$C = $C1776, 'Fund Invest"&amp;"ment Data'!$A:$A = $A1776 - 1, 'Fund Investment Data'!$B:$B = 12)) * (1 + AVERAGE(FILTER('Inflation Data'!$C:$C,'Inflation Data'!$A:$A = ($A1776 - 2)))) * Parameters!$A$4,0)"),8733.12388790319)</f>
        <v>8733.123888</v>
      </c>
      <c r="Y1776" s="91">
        <f>IFERROR(__xludf.DUMMYFUNCTION("IFERROR((IFERROR(FILTER('Fund Investment Data'!$P:$P,'Fund Investment Data'!$C:$C = $C1776,'Fund Investment Data'!$A:$A = ($A1776 - 2), 'Fund Investment Data'!$B:$B = 12),0) - SUM(FILTER('Fund Investment Data'!$V:$V, 'Fund Investment Data'!$C:$C = $C1776,"&amp;" 'Fund Investment Data'!$A:$A = ($A1776 - 2), 'Fund Investment Data'!$B:$B &gt; 3)))  * Parameters!$B$4 * (1 - Parameters!$A$4),0)"),2801.6676899999998)</f>
        <v>2801.66769</v>
      </c>
      <c r="Z1776" s="91">
        <f t="shared" si="24"/>
        <v>11534.79158</v>
      </c>
      <c r="AA1776" s="91">
        <f>IFERROR(__xludf.DUMMYFUNCTION("((IFERROR((SUM(FILTER('Fund Investment Data'!$V:$V, 'Fund Investment Data'!$C:$C = $C1776, 'Fund Investment Data'!$A:$A = $A1776 - 1, 'Fund Investment Data'!$B:$B &gt;= 4, 'Fund Investment Data'!$B:$B &lt;= ($B1776 + 5))) / 12) * ($B1776 - 3) * Parameters!$B$4,"&amp;" 0) + IF($B1776 &gt;= 9, IFERROR(SUM(FILTER('Fund Investment Data'!$V:$V, 'Fund Investment Data'!$C:$C = $C1776, 'Fund Investment Data'!$A:$A = $A1776, 'Fund Investment Data'!$B:$B &lt;= 3)) * Parameters!$B$4, 0),0)))"),0.0)</f>
        <v>0</v>
      </c>
      <c r="AB1776" s="32">
        <f>IFERROR(__xludf.DUMMYFUNCTION("IFERROR(((IFERROR(SUM(FILTER('Fund Investment Data'!$V:$V, 'Fund Investment Data'!$C:$C = $C1776, 'Fund Investment Data'!$A:$A = $A1776 - 2, 'Fund Investment Data'!$B:$B &gt;= 4)) * Parameters!$B$4,0) + IFERROR(SUM(FILTER('Fund Investment Data'!$V:$V, 'Fund "&amp;"Investment Data'!$C:$C = $C1776, 'Fund Investment Data'!$A:$A = $A1776 - 1, 'Fund Investment Data'!$B:$B &lt;= 3)) * Parameters!$B$4,0))),0)"),3150.0)</f>
        <v>3150</v>
      </c>
      <c r="AC1776" s="32" t="str">
        <f>IFERROR(__xludf.DUMMYFUNCTION("IFERROR(FILTER($AF:$AF,$C:$C = $C1776,$A:$A = $A1776 - 1,$B:$B = 12),0)"),"")</f>
        <v/>
      </c>
      <c r="AD1776" s="32">
        <f t="shared" si="23"/>
        <v>14684.79158</v>
      </c>
      <c r="AE1776" s="32">
        <f t="shared" si="2"/>
        <v>14684.79158</v>
      </c>
      <c r="AF1776" s="32"/>
    </row>
    <row r="1777">
      <c r="A1777" s="86">
        <v>2020.0</v>
      </c>
      <c r="B1777" s="87">
        <v>4.0</v>
      </c>
      <c r="C1777" s="88" t="s">
        <v>44</v>
      </c>
      <c r="D1777" s="104">
        <v>0.0</v>
      </c>
      <c r="E1777" s="104">
        <v>0.0</v>
      </c>
      <c r="F1777" s="104">
        <v>0.0</v>
      </c>
      <c r="G1777" s="104">
        <v>-407.23</v>
      </c>
      <c r="H1777" s="104">
        <v>2106.9</v>
      </c>
      <c r="I1777" s="104">
        <v>16696.23</v>
      </c>
      <c r="J1777" s="104">
        <v>-43574.27</v>
      </c>
      <c r="K1777" s="32"/>
      <c r="L1777" s="32"/>
      <c r="M1777" s="32"/>
      <c r="N1777" s="32"/>
      <c r="O1777" s="106">
        <v>255940.62</v>
      </c>
      <c r="P1777" s="91">
        <f>IFERROR(__xludf.DUMMYFUNCTION("IFERROR(sum(FILTER($D:$N,$C:$C = $C1777,$A:$A &lt; $A1777,$B:$B = 12)),0) + sum($D1777:$N1777)"),255941.51000000007)</f>
        <v>255941.51</v>
      </c>
      <c r="Q1777" s="92">
        <f t="shared" si="1"/>
        <v>-0.8900000001</v>
      </c>
      <c r="R1777" s="91">
        <f t="array" ref="R1777">IFERROR(INDEX('Fund YTD Target Values'!$1:$1000, MATCH($C1777,'Fund YTD Target Values'!$A:$A,0), MATCH($A1777,'Fund YTD Target Values'!$1:$1,0)),0)</f>
        <v>335306.2117</v>
      </c>
      <c r="S1777" s="91">
        <f>IFERROR(__xludf.DUMMYFUNCTION("IFERROR(sum(FILTER('Fund Investment Data'!$V:$V, 'Fund Investment Data'!$C:$C = $C1777, 'Fund Investment Data'!$A:$A &lt; $A1777)),0) + IFERROR(sum(FILTER('Fund Investment Data'!$V:$V, 'Fund Investment Data'!$C:$C = $C1777, 'Fund Investment Data'!$A:$A = $A1"&amp;"777, 'Fund Investment Data'!$B:$B &lt;= $B1777)),0)"),250000.0)</f>
        <v>250000</v>
      </c>
      <c r="T1777" s="32"/>
      <c r="U1777" s="32"/>
      <c r="V1777" s="32">
        <f>IFERROR(__xludf.DUMMYFUNCTION("$D1777 - IFERROR(FILTER($D:$D,$C:$C = $C1777, $A:$A = $A1777, $B:$B = $B1777 - 1),0)"),0.0)</f>
        <v>0</v>
      </c>
      <c r="W1777" s="93">
        <f>IFERROR(__xludf.DUMMYFUNCTION("$E1777 - IFERROR(FILTER($E:$E,$C:$C = $C1777, $A:$A = $A1777, $B:$B = $B1777 - 1),0)"),0.0)</f>
        <v>0</v>
      </c>
      <c r="X1777" s="91">
        <f>IFERROR(__xludf.DUMMYFUNCTION("iFERROR((FILTER('Fund Investment Data'!$Z:$Z, 'Fund Investment Data'!$C:$C = $C1777, 'Fund Investment Data'!$A:$A = $A1777 - 1, 'Fund Investment Data'!$B:$B = 12) + FILTER('Fund Investment Data'!$AB:$AB, 'Fund Investment Data'!$C:$C = $C1777, 'Fund Invest"&amp;"ment Data'!$A:$A = $A1777 - 1, 'Fund Investment Data'!$B:$B = 12)) * (1 + AVERAGE(FILTER('Inflation Data'!$C:$C,'Inflation Data'!$A:$A = ($A1777 - 2)))) * Parameters!$A$4,0)"),9387.616085113343)</f>
        <v>9387.616085</v>
      </c>
      <c r="Y1777" s="91">
        <f>IFERROR(__xludf.DUMMYFUNCTION("IFERROR((IFERROR(FILTER('Fund Investment Data'!$P:$P,'Fund Investment Data'!$C:$C = $C1777,'Fund Investment Data'!$A:$A = ($A1777 - 2), 'Fund Investment Data'!$B:$B = 12),0) - SUM(FILTER('Fund Investment Data'!$V:$V, 'Fund Investment Data'!$C:$C = $C1777,"&amp;" 'Fund Investment Data'!$A:$A = ($A1777 - 2), 'Fund Investment Data'!$B:$B &gt; 3)))  * Parameters!$B$4 * (1 - Parameters!$A$4),0)"),3384.7055550000014)</f>
        <v>3384.705555</v>
      </c>
      <c r="Z1777" s="91">
        <f t="shared" si="24"/>
        <v>12772.32164</v>
      </c>
      <c r="AA1777" s="91">
        <f>IFERROR(__xludf.DUMMYFUNCTION("((IFERROR((SUM(FILTER('Fund Investment Data'!$V:$V, 'Fund Investment Data'!$C:$C = $C1777, 'Fund Investment Data'!$A:$A = $A1777 - 1, 'Fund Investment Data'!$B:$B &gt;= 4, 'Fund Investment Data'!$B:$B &lt;= ($B1777 + 5))) / 12) * ($B1777 - 3) * Parameters!$B$4,"&amp;" 0) + IF($B1777 &gt;= 9, IFERROR(SUM(FILTER('Fund Investment Data'!$V:$V, 'Fund Investment Data'!$C:$C = $C1777, 'Fund Investment Data'!$A:$A = $A1777, 'Fund Investment Data'!$B:$B &lt;= 3)) * Parameters!$B$4, 0),0)))"),0.0)</f>
        <v>0</v>
      </c>
      <c r="AB1777" s="32">
        <f>IFERROR(__xludf.DUMMYFUNCTION("IFERROR(((IFERROR(SUM(FILTER('Fund Investment Data'!$V:$V, 'Fund Investment Data'!$C:$C = $C1777, 'Fund Investment Data'!$A:$A = $A1777 - 2, 'Fund Investment Data'!$B:$B &gt;= 4)) * Parameters!$B$4,0) + IFERROR(SUM(FILTER('Fund Investment Data'!$V:$V, 'Fund "&amp;"Investment Data'!$C:$C = $C1777, 'Fund Investment Data'!$A:$A = $A1777 - 1, 'Fund Investment Data'!$B:$B &lt;= 3)) * Parameters!$B$4,0))),0)"),0.0)</f>
        <v>0</v>
      </c>
      <c r="AC1777" s="32" t="str">
        <f>IFERROR(__xludf.DUMMYFUNCTION("IFERROR(FILTER($AF:$AF,$C:$C = $C1777,$A:$A = $A1777 - 1,$B:$B = 12),0)"),"")</f>
        <v/>
      </c>
      <c r="AD1777" s="32">
        <f t="shared" si="23"/>
        <v>12772.32164</v>
      </c>
      <c r="AE1777" s="32">
        <f t="shared" si="2"/>
        <v>12772.32164</v>
      </c>
      <c r="AF1777" s="32"/>
    </row>
    <row r="1778">
      <c r="A1778" s="86">
        <v>2020.0</v>
      </c>
      <c r="B1778" s="87">
        <v>4.0</v>
      </c>
      <c r="C1778" s="88" t="s">
        <v>45</v>
      </c>
      <c r="D1778" s="104">
        <v>0.0</v>
      </c>
      <c r="E1778" s="104">
        <v>0.0</v>
      </c>
      <c r="F1778" s="104">
        <v>0.0</v>
      </c>
      <c r="G1778" s="104">
        <v>-216.58</v>
      </c>
      <c r="H1778" s="104">
        <v>1120.54</v>
      </c>
      <c r="I1778" s="104">
        <v>8879.96</v>
      </c>
      <c r="J1778" s="104">
        <v>-23175.12</v>
      </c>
      <c r="K1778" s="32"/>
      <c r="L1778" s="32"/>
      <c r="M1778" s="32"/>
      <c r="N1778" s="32"/>
      <c r="O1778" s="106">
        <v>136122.96</v>
      </c>
      <c r="P1778" s="91">
        <f>IFERROR(__xludf.DUMMYFUNCTION("IFERROR(sum(FILTER($D:$N,$C:$C = $C1778,$A:$A &lt; $A1778,$B:$B = 12)),0) + sum($D1778:$N1778)"),136123.16999999995)</f>
        <v>136123.17</v>
      </c>
      <c r="Q1778" s="92">
        <f t="shared" si="1"/>
        <v>-0.21</v>
      </c>
      <c r="R1778" s="91">
        <f t="array" ref="R1778">IFERROR(INDEX('Fund YTD Target Values'!$1:$1000, MATCH($C1778,'Fund YTD Target Values'!$A:$A,0), MATCH($A1778,'Fund YTD Target Values'!$1:$1,0)),0)</f>
        <v>126414.6128</v>
      </c>
      <c r="S1778" s="91">
        <f>IFERROR(__xludf.DUMMYFUNCTION("IFERROR(sum(FILTER('Fund Investment Data'!$V:$V, 'Fund Investment Data'!$C:$C = $C1778, 'Fund Investment Data'!$A:$A &lt; $A1778)),0) + IFERROR(sum(FILTER('Fund Investment Data'!$V:$V, 'Fund Investment Data'!$C:$C = $C1778, 'Fund Investment Data'!$A:$A = $A1"&amp;"778, 'Fund Investment Data'!$B:$B &lt;= $B1778)),0)"),100000.0)</f>
        <v>100000</v>
      </c>
      <c r="T1778" s="32"/>
      <c r="U1778" s="32"/>
      <c r="V1778" s="32">
        <f>IFERROR(__xludf.DUMMYFUNCTION("$D1778 - IFERROR(FILTER($D:$D,$C:$C = $C1778, $A:$A = $A1778, $B:$B = $B1778 - 1),0)"),0.0)</f>
        <v>0</v>
      </c>
      <c r="W1778" s="93">
        <f>IFERROR(__xludf.DUMMYFUNCTION("$E1778 - IFERROR(FILTER($E:$E,$C:$C = $C1778, $A:$A = $A1778, $B:$B = $B1778 - 1),0)"),0.0)</f>
        <v>0</v>
      </c>
      <c r="X1778" s="91">
        <f>IFERROR(__xludf.DUMMYFUNCTION("iFERROR((FILTER('Fund Investment Data'!$Z:$Z, 'Fund Investment Data'!$C:$C = $C1778, 'Fund Investment Data'!$A:$A = $A1778 - 1, 'Fund Investment Data'!$B:$B = 12) + FILTER('Fund Investment Data'!$AB:$AB, 'Fund Investment Data'!$C:$C = $C1778, 'Fund Invest"&amp;"ment Data'!$A:$A = $A1778 - 1, 'Fund Investment Data'!$B:$B = 12)) * (1 + AVERAGE(FILTER('Inflation Data'!$C:$C,'Inflation Data'!$A:$A = ($A1778 - 2)))) * Parameters!$A$4,0)"),4167.033304324799)</f>
        <v>4167.033304</v>
      </c>
      <c r="Y1778" s="91">
        <f>IFERROR(__xludf.DUMMYFUNCTION("IFERROR((IFERROR(FILTER('Fund Investment Data'!$P:$P,'Fund Investment Data'!$C:$C = $C1778,'Fund Investment Data'!$A:$A = ($A1778 - 2), 'Fund Investment Data'!$B:$B = 12),0) - SUM(FILTER('Fund Investment Data'!$V:$V, 'Fund Investment Data'!$C:$C = $C1778,"&amp;" 'Fund Investment Data'!$A:$A = ($A1778 - 2), 'Fund Investment Data'!$B:$B &gt; 3)))  * Parameters!$B$4 * (1 - Parameters!$A$4),0)"),1786.5376199999996)</f>
        <v>1786.53762</v>
      </c>
      <c r="Z1778" s="91">
        <f t="shared" si="24"/>
        <v>5953.570924</v>
      </c>
      <c r="AA1778" s="91">
        <f>IFERROR(__xludf.DUMMYFUNCTION("((IFERROR((SUM(FILTER('Fund Investment Data'!$V:$V, 'Fund Investment Data'!$C:$C = $C1778, 'Fund Investment Data'!$A:$A = $A1778 - 1, 'Fund Investment Data'!$B:$B &gt;= 4, 'Fund Investment Data'!$B:$B &lt;= ($B1778 + 5))) / 12) * ($B1778 - 3) * Parameters!$B$4,"&amp;" 0) + IF($B1778 &gt;= 9, IFERROR(SUM(FILTER('Fund Investment Data'!$V:$V, 'Fund Investment Data'!$C:$C = $C1778, 'Fund Investment Data'!$A:$A = $A1778, 'Fund Investment Data'!$B:$B &lt;= 3)) * Parameters!$B$4, 0),0)))"),0.0)</f>
        <v>0</v>
      </c>
      <c r="AB1778" s="32">
        <f>IFERROR(__xludf.DUMMYFUNCTION("IFERROR(((IFERROR(SUM(FILTER('Fund Investment Data'!$V:$V, 'Fund Investment Data'!$C:$C = $C1778, 'Fund Investment Data'!$A:$A = $A1778 - 2, 'Fund Investment Data'!$B:$B &gt;= 4)) * Parameters!$B$4,0) + IFERROR(SUM(FILTER('Fund Investment Data'!$V:$V, 'Fund "&amp;"Investment Data'!$C:$C = $C1778, 'Fund Investment Data'!$A:$A = $A1778 - 1, 'Fund Investment Data'!$B:$B &lt;= 3)) * Parameters!$B$4,0))),0)"),0.0)</f>
        <v>0</v>
      </c>
      <c r="AC1778" s="32" t="str">
        <f>IFERROR(__xludf.DUMMYFUNCTION("IFERROR(FILTER($AF:$AF,$C:$C = $C1778,$A:$A = $A1778 - 1,$B:$B = 12),0)"),"")</f>
        <v/>
      </c>
      <c r="AD1778" s="32">
        <f t="shared" si="23"/>
        <v>5953.570924</v>
      </c>
      <c r="AE1778" s="32">
        <f t="shared" si="2"/>
        <v>5953.570924</v>
      </c>
      <c r="AF1778" s="32"/>
    </row>
    <row r="1779">
      <c r="A1779" s="86">
        <v>2020.0</v>
      </c>
      <c r="B1779" s="87">
        <v>4.0</v>
      </c>
      <c r="C1779" s="88" t="s">
        <v>35</v>
      </c>
      <c r="D1779" s="104">
        <v>0.0</v>
      </c>
      <c r="E1779" s="104">
        <v>0.0</v>
      </c>
      <c r="F1779" s="104">
        <v>0.0</v>
      </c>
      <c r="G1779" s="104">
        <v>-2103.53</v>
      </c>
      <c r="H1779" s="104">
        <v>10883.2</v>
      </c>
      <c r="I1779" s="104">
        <v>86244.8</v>
      </c>
      <c r="J1779" s="104">
        <v>-225083.96</v>
      </c>
      <c r="K1779" s="32"/>
      <c r="L1779" s="32"/>
      <c r="M1779" s="32"/>
      <c r="N1779" s="32"/>
      <c r="O1779" s="106">
        <v>1322067.55</v>
      </c>
      <c r="P1779" s="91">
        <f>IFERROR(__xludf.DUMMYFUNCTION("IFERROR(sum(FILTER($D:$N,$C:$C = $C1779,$A:$A &lt; $A1779,$B:$B = 12)),0) + sum($D1779:$N1779)"),1322066.7800000005)</f>
        <v>1322066.78</v>
      </c>
      <c r="Q1779" s="92">
        <f t="shared" si="1"/>
        <v>0.7699999996</v>
      </c>
      <c r="R1779" s="91">
        <f t="array" ref="R1779">IFERROR(INDEX('Fund YTD Target Values'!$1:$1000, MATCH($C1779,'Fund YTD Target Values'!$A:$A,0), MATCH($A1779,'Fund YTD Target Values'!$1:$1,0)),0)</f>
        <v>1646621.83</v>
      </c>
      <c r="S1779" s="91">
        <f>IFERROR(__xludf.DUMMYFUNCTION("IFERROR(sum(FILTER('Fund Investment Data'!$V:$V, 'Fund Investment Data'!$C:$C = $C1779, 'Fund Investment Data'!$A:$A &lt; $A1779)),0) + IFERROR(sum(FILTER('Fund Investment Data'!$V:$V, 'Fund Investment Data'!$C:$C = $C1779, 'Fund Investment Data'!$A:$A = $A1"&amp;"779, 'Fund Investment Data'!$B:$B &lt;= $B1779)),0)"),1086625.0)</f>
        <v>1086625</v>
      </c>
      <c r="T1779" s="32"/>
      <c r="U1779" s="32"/>
      <c r="V1779" s="32">
        <f>IFERROR(__xludf.DUMMYFUNCTION("$D1779 - IFERROR(FILTER($D:$D,$C:$C = $C1779, $A:$A = $A1779, $B:$B = $B1779 - 1),0)"),0.0)</f>
        <v>0</v>
      </c>
      <c r="W1779" s="93">
        <f>IFERROR(__xludf.DUMMYFUNCTION("$E1779 - IFERROR(FILTER($E:$E,$C:$C = $C1779, $A:$A = $A1779, $B:$B = $B1779 - 1),0)"),0.0)</f>
        <v>0</v>
      </c>
      <c r="X1779" s="91">
        <f>IFERROR(__xludf.DUMMYFUNCTION("iFERROR((FILTER('Fund Investment Data'!$Z:$Z, 'Fund Investment Data'!$C:$C = $C1779, 'Fund Investment Data'!$A:$A = $A1779 - 1, 'Fund Investment Data'!$B:$B = 12) + FILTER('Fund Investment Data'!$AB:$AB, 'Fund Investment Data'!$C:$C = $C1779, 'Fund Invest"&amp;"ment Data'!$A:$A = $A1779 - 1, 'Fund Investment Data'!$B:$B = 12)) * (1 + AVERAGE(FILTER('Inflation Data'!$C:$C,'Inflation Data'!$A:$A = ($A1779 - 2)))) * Parameters!$A$4,0)"),48017.5257939409)</f>
        <v>48017.52579</v>
      </c>
      <c r="Y1779" s="91">
        <f>IFERROR(__xludf.DUMMYFUNCTION("IFERROR((IFERROR(FILTER('Fund Investment Data'!$P:$P,'Fund Investment Data'!$C:$C = $C1779,'Fund Investment Data'!$A:$A = ($A1779 - 2), 'Fund Investment Data'!$B:$B = 12),0) - SUM(FILTER('Fund Investment Data'!$V:$V, 'Fund Investment Data'!$C:$C = $C1779,"&amp;" 'Fund Investment Data'!$A:$A = ($A1779 - 2), 'Fund Investment Data'!$B:$B &gt; 3)))  * Parameters!$B$4 * (1 - Parameters!$A$4),0)"),17468.81194500001)</f>
        <v>17468.81195</v>
      </c>
      <c r="Z1779" s="91">
        <f t="shared" si="24"/>
        <v>65486.33774</v>
      </c>
      <c r="AA1779" s="91">
        <f>IFERROR(__xludf.DUMMYFUNCTION("((IFERROR((SUM(FILTER('Fund Investment Data'!$V:$V, 'Fund Investment Data'!$C:$C = $C1779, 'Fund Investment Data'!$A:$A = $A1779 - 1, 'Fund Investment Data'!$B:$B &gt;= 4, 'Fund Investment Data'!$B:$B &lt;= ($B1779 + 5))) / 12) * ($B1779 - 3) * Parameters!$B$4,"&amp;" 0) + IF($B1779 &gt;= 9, IFERROR(SUM(FILTER('Fund Investment Data'!$V:$V, 'Fund Investment Data'!$C:$C = $C1779, 'Fund Investment Data'!$A:$A = $A1779, 'Fund Investment Data'!$B:$B &lt;= 3)) * Parameters!$B$4, 0),0)))"),0.0)</f>
        <v>0</v>
      </c>
      <c r="AB1779" s="32">
        <f>IFERROR(__xludf.DUMMYFUNCTION("IFERROR(((IFERROR(SUM(FILTER('Fund Investment Data'!$V:$V, 'Fund Investment Data'!$C:$C = $C1779, 'Fund Investment Data'!$A:$A = $A1779 - 2, 'Fund Investment Data'!$B:$B &gt;= 4)) * Parameters!$B$4,0) + IFERROR(SUM(FILTER('Fund Investment Data'!$V:$V, 'Fund "&amp;"Investment Data'!$C:$C = $C1779, 'Fund Investment Data'!$A:$A = $A1779 - 1, 'Fund Investment Data'!$B:$B &lt;= 3)) * Parameters!$B$4,0))),0)"),0.0)</f>
        <v>0</v>
      </c>
      <c r="AC1779" s="32" t="str">
        <f>IFERROR(__xludf.DUMMYFUNCTION("IFERROR(FILTER($AF:$AF,$C:$C = $C1779,$A:$A = $A1779 - 1,$B:$B = 12),0)"),"")</f>
        <v/>
      </c>
      <c r="AD1779" s="32">
        <f t="shared" si="23"/>
        <v>65486.33774</v>
      </c>
      <c r="AE1779" s="32">
        <f t="shared" si="2"/>
        <v>65486.33774</v>
      </c>
      <c r="AF1779" s="32"/>
    </row>
    <row r="1780">
      <c r="A1780" s="86">
        <v>2020.0</v>
      </c>
      <c r="B1780" s="87">
        <v>4.0</v>
      </c>
      <c r="C1780" s="88" t="s">
        <v>56</v>
      </c>
      <c r="D1780" s="104">
        <v>0.0</v>
      </c>
      <c r="E1780" s="104">
        <v>0.0</v>
      </c>
      <c r="F1780" s="104">
        <v>0.0</v>
      </c>
      <c r="G1780" s="104">
        <v>-1628.6</v>
      </c>
      <c r="H1780" s="104">
        <v>8426.0</v>
      </c>
      <c r="I1780" s="104">
        <v>66772.57</v>
      </c>
      <c r="J1780" s="104">
        <v>-174264.81</v>
      </c>
      <c r="K1780" s="32"/>
      <c r="L1780" s="32"/>
      <c r="M1780" s="32"/>
      <c r="N1780" s="32"/>
      <c r="O1780" s="106">
        <v>1023572.99</v>
      </c>
      <c r="P1780" s="91">
        <f>IFERROR(__xludf.DUMMYFUNCTION("IFERROR(sum(FILTER($D:$N,$C:$C = $C1780,$A:$A &lt; $A1780,$B:$B = 12)),0) + sum($D1780:$N1780)"),1023572.9899999999)</f>
        <v>1023572.99</v>
      </c>
      <c r="Q1780" s="92">
        <f t="shared" si="1"/>
        <v>0.0000000001164153218</v>
      </c>
      <c r="R1780" s="91">
        <f t="array" ref="R1780">IFERROR(INDEX('Fund YTD Target Values'!$1:$1000, MATCH($C1780,'Fund YTD Target Values'!$A:$A,0), MATCH($A1780,'Fund YTD Target Values'!$1:$1,0)),0)</f>
        <v>1105978.68</v>
      </c>
      <c r="S1780" s="91">
        <f>IFERROR(__xludf.DUMMYFUNCTION("IFERROR(sum(FILTER('Fund Investment Data'!$V:$V, 'Fund Investment Data'!$C:$C = $C1780, 'Fund Investment Data'!$A:$A &lt; $A1780)),0) + IFERROR(sum(FILTER('Fund Investment Data'!$V:$V, 'Fund Investment Data'!$C:$C = $C1780, 'Fund Investment Data'!$A:$A = $A1"&amp;"780, 'Fund Investment Data'!$B:$B &lt;= $B1780)),0)"),1000000.0)</f>
        <v>1000000</v>
      </c>
      <c r="T1780" s="32"/>
      <c r="U1780" s="32"/>
      <c r="V1780" s="32">
        <f>IFERROR(__xludf.DUMMYFUNCTION("$D1780 - IFERROR(FILTER($D:$D,$C:$C = $C1780, $A:$A = $A1780, $B:$B = $B1780 - 1),0)"),0.0)</f>
        <v>0</v>
      </c>
      <c r="W1780" s="93">
        <f>IFERROR(__xludf.DUMMYFUNCTION("$E1780 - IFERROR(FILTER($E:$E,$C:$C = $C1780, $A:$A = $A1780, $B:$B = $B1780 - 1),0)"),0.0)</f>
        <v>0</v>
      </c>
      <c r="X1780" s="91">
        <f>IFERROR(__xludf.DUMMYFUNCTION("iFERROR((FILTER('Fund Investment Data'!$Z:$Z, 'Fund Investment Data'!$C:$C = $C1780, 'Fund Investment Data'!$A:$A = $A1780 - 1, 'Fund Investment Data'!$B:$B = 12) + FILTER('Fund Investment Data'!$AB:$AB, 'Fund Investment Data'!$C:$C = $C1780, 'Fund Invest"&amp;"ment Data'!$A:$A = $A1780 - 1, 'Fund Investment Data'!$B:$B = 12)) * (1 + AVERAGE(FILTER('Inflation Data'!$C:$C,'Inflation Data'!$A:$A = ($A1780 - 2)))) * Parameters!$A$4,0)"),34855.73272923416)</f>
        <v>34855.73273</v>
      </c>
      <c r="Y1780" s="91">
        <f>IFERROR(__xludf.DUMMYFUNCTION("IFERROR((IFERROR(FILTER('Fund Investment Data'!$P:$P,'Fund Investment Data'!$C:$C = $C1780,'Fund Investment Data'!$A:$A = ($A1780 - 2), 'Fund Investment Data'!$B:$B = 12),0) - SUM(FILTER('Fund Investment Data'!$V:$V, 'Fund Investment Data'!$C:$C = $C1780,"&amp;" 'Fund Investment Data'!$A:$A = ($A1780 - 2), 'Fund Investment Data'!$B:$B &gt; 3)))  * Parameters!$B$4 * (1 - Parameters!$A$4),0)"),13492.071585)</f>
        <v>13492.07159</v>
      </c>
      <c r="Z1780" s="91">
        <f t="shared" si="24"/>
        <v>48347.80431</v>
      </c>
      <c r="AA1780" s="91">
        <f>IFERROR(__xludf.DUMMYFUNCTION("((IFERROR((SUM(FILTER('Fund Investment Data'!$V:$V, 'Fund Investment Data'!$C:$C = $C1780, 'Fund Investment Data'!$A:$A = $A1780 - 1, 'Fund Investment Data'!$B:$B &gt;= 4, 'Fund Investment Data'!$B:$B &lt;= ($B1780 + 5))) / 12) * ($B1780 - 3) * Parameters!$B$4,"&amp;" 0) + IF($B1780 &gt;= 9, IFERROR(SUM(FILTER('Fund Investment Data'!$V:$V, 'Fund Investment Data'!$C:$C = $C1780, 'Fund Investment Data'!$A:$A = $A1780, 'Fund Investment Data'!$B:$B &lt;= 3)) * Parameters!$B$4, 0),0)))"),0.0)</f>
        <v>0</v>
      </c>
      <c r="AB1780" s="32">
        <f>IFERROR(__xludf.DUMMYFUNCTION("IFERROR(((IFERROR(SUM(FILTER('Fund Investment Data'!$V:$V, 'Fund Investment Data'!$C:$C = $C1780, 'Fund Investment Data'!$A:$A = $A1780 - 2, 'Fund Investment Data'!$B:$B &gt;= 4)) * Parameters!$B$4,0) + IFERROR(SUM(FILTER('Fund Investment Data'!$V:$V, 'Fund "&amp;"Investment Data'!$C:$C = $C1780, 'Fund Investment Data'!$A:$A = $A1780 - 1, 'Fund Investment Data'!$B:$B &lt;= 3)) * Parameters!$B$4,0))),0)"),0.0)</f>
        <v>0</v>
      </c>
      <c r="AC1780" s="32" t="str">
        <f>IFERROR(__xludf.DUMMYFUNCTION("IFERROR(FILTER($AF:$AF,$C:$C = $C1780,$A:$A = $A1780 - 1,$B:$B = 12),0)"),"")</f>
        <v/>
      </c>
      <c r="AD1780" s="32">
        <f t="shared" si="23"/>
        <v>48347.80431</v>
      </c>
      <c r="AE1780" s="32">
        <f t="shared" si="2"/>
        <v>48347.80431</v>
      </c>
      <c r="AF1780" s="32"/>
    </row>
    <row r="1781">
      <c r="A1781" s="86">
        <v>2020.0</v>
      </c>
      <c r="B1781" s="87">
        <v>4.0</v>
      </c>
      <c r="C1781" s="88" t="s">
        <v>57</v>
      </c>
      <c r="D1781" s="104">
        <v>0.0</v>
      </c>
      <c r="E1781" s="104">
        <v>0.0</v>
      </c>
      <c r="F1781" s="104">
        <v>0.0</v>
      </c>
      <c r="G1781" s="104">
        <v>-2990.67</v>
      </c>
      <c r="H1781" s="104">
        <v>15473.1</v>
      </c>
      <c r="I1781" s="104">
        <v>122617.98</v>
      </c>
      <c r="J1781" s="104">
        <v>-320011.6</v>
      </c>
      <c r="K1781" s="32"/>
      <c r="L1781" s="32"/>
      <c r="M1781" s="32"/>
      <c r="N1781" s="32"/>
      <c r="O1781" s="106">
        <v>1879640.79</v>
      </c>
      <c r="P1781" s="91">
        <f>IFERROR(__xludf.DUMMYFUNCTION("IFERROR(sum(FILTER($D:$N,$C:$C = $C1781,$A:$A &lt; $A1781,$B:$B = 12)),0) + sum($D1781:$N1781)"),1879640.7900000003)</f>
        <v>1879640.79</v>
      </c>
      <c r="Q1781" s="92">
        <f t="shared" si="1"/>
        <v>-0.0000000002328306437</v>
      </c>
      <c r="R1781" s="91">
        <f t="array" ref="R1781">IFERROR(INDEX('Fund YTD Target Values'!$1:$1000, MATCH($C1781,'Fund YTD Target Values'!$A:$A,0), MATCH($A1781,'Fund YTD Target Values'!$1:$1,0)),0)</f>
        <v>2136262.679</v>
      </c>
      <c r="S1781" s="91">
        <f>IFERROR(__xludf.DUMMYFUNCTION("IFERROR(sum(FILTER('Fund Investment Data'!$V:$V, 'Fund Investment Data'!$C:$C = $C1781, 'Fund Investment Data'!$A:$A &lt; $A1781)),0) + IFERROR(sum(FILTER('Fund Investment Data'!$V:$V, 'Fund Investment Data'!$C:$C = $C1781, 'Fund Investment Data'!$A:$A = $A1"&amp;"781, 'Fund Investment Data'!$B:$B &lt;= $B1781)),0)"),2000000.0)</f>
        <v>2000000</v>
      </c>
      <c r="T1781" s="32"/>
      <c r="U1781" s="32"/>
      <c r="V1781" s="32">
        <f>IFERROR(__xludf.DUMMYFUNCTION("$D1781 - IFERROR(FILTER($D:$D,$C:$C = $C1781, $A:$A = $A1781, $B:$B = $B1781 - 1),0)"),0.0)</f>
        <v>0</v>
      </c>
      <c r="W1781" s="93">
        <f>IFERROR(__xludf.DUMMYFUNCTION("$E1781 - IFERROR(FILTER($E:$E,$C:$C = $C1781, $A:$A = $A1781, $B:$B = $B1781 - 1),0)"),0.0)</f>
        <v>0</v>
      </c>
      <c r="X1781" s="91">
        <f>IFERROR(__xludf.DUMMYFUNCTION("iFERROR((FILTER('Fund Investment Data'!$Z:$Z, 'Fund Investment Data'!$C:$C = $C1781, 'Fund Investment Data'!$A:$A = $A1781 - 1, 'Fund Investment Data'!$B:$B = 12) + FILTER('Fund Investment Data'!$AB:$AB, 'Fund Investment Data'!$C:$C = $C1781, 'Fund Invest"&amp;"ment Data'!$A:$A = $A1781 - 1, 'Fund Investment Data'!$B:$B = 12)) * (1 + AVERAGE(FILTER('Inflation Data'!$C:$C,'Inflation Data'!$A:$A = ($A1781 - 2)))) * Parameters!$A$4,0)"),64879.45168497103)</f>
        <v>64879.45168</v>
      </c>
      <c r="Y1781" s="91">
        <f>IFERROR(__xludf.DUMMYFUNCTION("IFERROR((IFERROR(FILTER('Fund Investment Data'!$P:$P,'Fund Investment Data'!$C:$C = $C1781,'Fund Investment Data'!$A:$A = ($A1781 - 2), 'Fund Investment Data'!$B:$B = 12),0) - SUM(FILTER('Fund Investment Data'!$V:$V, 'Fund Investment Data'!$C:$C = $C1781,"&amp;" 'Fund Investment Data'!$A:$A = ($A1781 - 2), 'Fund Investment Data'!$B:$B &gt; 3)))  * Parameters!$B$4 * (1 - Parameters!$A$4),0)"),25386.945345000004)</f>
        <v>25386.94535</v>
      </c>
      <c r="Z1781" s="91">
        <f t="shared" si="24"/>
        <v>90266.39703</v>
      </c>
      <c r="AA1781" s="91">
        <f>IFERROR(__xludf.DUMMYFUNCTION("((IFERROR((SUM(FILTER('Fund Investment Data'!$V:$V, 'Fund Investment Data'!$C:$C = $C1781, 'Fund Investment Data'!$A:$A = $A1781 - 1, 'Fund Investment Data'!$B:$B &gt;= 4, 'Fund Investment Data'!$B:$B &lt;= ($B1781 + 5))) / 12) * ($B1781 - 3) * Parameters!$B$4,"&amp;" 0) + IF($B1781 &gt;= 9, IFERROR(SUM(FILTER('Fund Investment Data'!$V:$V, 'Fund Investment Data'!$C:$C = $C1781, 'Fund Investment Data'!$A:$A = $A1781, 'Fund Investment Data'!$B:$B &lt;= 3)) * Parameters!$B$4, 0),0)))"),0.0)</f>
        <v>0</v>
      </c>
      <c r="AB1781" s="32">
        <f>IFERROR(__xludf.DUMMYFUNCTION("IFERROR(((IFERROR(SUM(FILTER('Fund Investment Data'!$V:$V, 'Fund Investment Data'!$C:$C = $C1781, 'Fund Investment Data'!$A:$A = $A1781 - 2, 'Fund Investment Data'!$B:$B &gt;= 4)) * Parameters!$B$4,0) + IFERROR(SUM(FILTER('Fund Investment Data'!$V:$V, 'Fund "&amp;"Investment Data'!$C:$C = $C1781, 'Fund Investment Data'!$A:$A = $A1781 - 1, 'Fund Investment Data'!$B:$B &lt;= 3)) * Parameters!$B$4,0))),0)"),0.0)</f>
        <v>0</v>
      </c>
      <c r="AC1781" s="32" t="str">
        <f>IFERROR(__xludf.DUMMYFUNCTION("IFERROR(FILTER($AF:$AF,$C:$C = $C1781,$A:$A = $A1781 - 1,$B:$B = 12),0)"),"")</f>
        <v/>
      </c>
      <c r="AD1781" s="32">
        <f t="shared" si="23"/>
        <v>90266.39703</v>
      </c>
      <c r="AE1781" s="32">
        <f t="shared" si="2"/>
        <v>90266.39703</v>
      </c>
      <c r="AF1781" s="32"/>
    </row>
    <row r="1782">
      <c r="A1782" s="86">
        <v>2020.0</v>
      </c>
      <c r="B1782" s="87">
        <v>4.0</v>
      </c>
      <c r="C1782" s="88" t="s">
        <v>58</v>
      </c>
      <c r="D1782" s="104">
        <v>0.0</v>
      </c>
      <c r="E1782" s="104">
        <v>0.0</v>
      </c>
      <c r="F1782" s="104">
        <v>0.0</v>
      </c>
      <c r="G1782" s="104">
        <v>-2990.19</v>
      </c>
      <c r="H1782" s="104">
        <v>15470.84</v>
      </c>
      <c r="I1782" s="104">
        <v>122600.05</v>
      </c>
      <c r="J1782" s="104">
        <v>-319964.84</v>
      </c>
      <c r="K1782" s="32"/>
      <c r="L1782" s="32"/>
      <c r="M1782" s="32"/>
      <c r="N1782" s="32"/>
      <c r="O1782" s="106">
        <v>1879366.08</v>
      </c>
      <c r="P1782" s="91">
        <f>IFERROR(__xludf.DUMMYFUNCTION("IFERROR(sum(FILTER($D:$N,$C:$C = $C1782,$A:$A &lt; $A1782,$B:$B = 12)),0) + sum($D1782:$N1782)"),1879366.08)</f>
        <v>1879366.08</v>
      </c>
      <c r="Q1782" s="92">
        <f t="shared" si="1"/>
        <v>0</v>
      </c>
      <c r="R1782" s="91">
        <f t="array" ref="R1782">IFERROR(INDEX('Fund YTD Target Values'!$1:$1000, MATCH($C1782,'Fund YTD Target Values'!$A:$A,0), MATCH($A1782,'Fund YTD Target Values'!$1:$1,0)),0)</f>
        <v>2136262.679</v>
      </c>
      <c r="S1782" s="91">
        <f>IFERROR(__xludf.DUMMYFUNCTION("IFERROR(sum(FILTER('Fund Investment Data'!$V:$V, 'Fund Investment Data'!$C:$C = $C1782, 'Fund Investment Data'!$A:$A &lt; $A1782)),0) + IFERROR(sum(FILTER('Fund Investment Data'!$V:$V, 'Fund Investment Data'!$C:$C = $C1782, 'Fund Investment Data'!$A:$A = $A1"&amp;"782, 'Fund Investment Data'!$B:$B &lt;= $B1782)),0)"),2000000.0)</f>
        <v>2000000</v>
      </c>
      <c r="T1782" s="32"/>
      <c r="U1782" s="32"/>
      <c r="V1782" s="32">
        <f>IFERROR(__xludf.DUMMYFUNCTION("$D1782 - IFERROR(FILTER($D:$D,$C:$C = $C1782, $A:$A = $A1782, $B:$B = $B1782 - 1),0)"),0.0)</f>
        <v>0</v>
      </c>
      <c r="W1782" s="93">
        <f>IFERROR(__xludf.DUMMYFUNCTION("$E1782 - IFERROR(FILTER($E:$E,$C:$C = $C1782, $A:$A = $A1782, $B:$B = $B1782 - 1),0)"),0.0)</f>
        <v>0</v>
      </c>
      <c r="X1782" s="91">
        <f>IFERROR(__xludf.DUMMYFUNCTION("iFERROR((FILTER('Fund Investment Data'!$Z:$Z, 'Fund Investment Data'!$C:$C = $C1782, 'Fund Investment Data'!$A:$A = $A1782 - 1, 'Fund Investment Data'!$B:$B = 12) + FILTER('Fund Investment Data'!$AB:$AB, 'Fund Investment Data'!$C:$C = $C1782, 'Fund Invest"&amp;"ment Data'!$A:$A = $A1782 - 1, 'Fund Investment Data'!$B:$B = 12)) * (1 + AVERAGE(FILTER('Inflation Data'!$C:$C,'Inflation Data'!$A:$A = ($A1782 - 2)))) * Parameters!$A$4,0)"),64879.45168497103)</f>
        <v>64879.45168</v>
      </c>
      <c r="Y1782" s="91">
        <f>IFERROR(__xludf.DUMMYFUNCTION("IFERROR((IFERROR(FILTER('Fund Investment Data'!$P:$P,'Fund Investment Data'!$C:$C = $C1782,'Fund Investment Data'!$A:$A = ($A1782 - 2), 'Fund Investment Data'!$B:$B = 12),0) - SUM(FILTER('Fund Investment Data'!$V:$V, 'Fund Investment Data'!$C:$C = $C1782,"&amp;" 'Fund Investment Data'!$A:$A = ($A1782 - 2), 'Fund Investment Data'!$B:$B &gt; 3)))  * Parameters!$B$4 * (1 - Parameters!$A$4),0)"),25116.945075000007)</f>
        <v>25116.94508</v>
      </c>
      <c r="Z1782" s="91">
        <f t="shared" si="24"/>
        <v>89996.39676</v>
      </c>
      <c r="AA1782" s="91">
        <f>IFERROR(__xludf.DUMMYFUNCTION("((IFERROR((SUM(FILTER('Fund Investment Data'!$V:$V, 'Fund Investment Data'!$C:$C = $C1782, 'Fund Investment Data'!$A:$A = $A1782 - 1, 'Fund Investment Data'!$B:$B &gt;= 4, 'Fund Investment Data'!$B:$B &lt;= ($B1782 + 5))) / 12) * ($B1782 - 3) * Parameters!$B$4,"&amp;" 0) + IF($B1782 &gt;= 9, IFERROR(SUM(FILTER('Fund Investment Data'!$V:$V, 'Fund Investment Data'!$C:$C = $C1782, 'Fund Investment Data'!$A:$A = $A1782, 'Fund Investment Data'!$B:$B &lt;= 3)) * Parameters!$B$4, 0),0)))"),0.0)</f>
        <v>0</v>
      </c>
      <c r="AB1782" s="32">
        <f>IFERROR(__xludf.DUMMYFUNCTION("IFERROR(((IFERROR(SUM(FILTER('Fund Investment Data'!$V:$V, 'Fund Investment Data'!$C:$C = $C1782, 'Fund Investment Data'!$A:$A = $A1782 - 2, 'Fund Investment Data'!$B:$B &gt;= 4)) * Parameters!$B$4,0) + IFERROR(SUM(FILTER('Fund Investment Data'!$V:$V, 'Fund "&amp;"Investment Data'!$C:$C = $C1782, 'Fund Investment Data'!$A:$A = $A1782 - 1, 'Fund Investment Data'!$B:$B &lt;= 3)) * Parameters!$B$4,0))),0)"),0.0)</f>
        <v>0</v>
      </c>
      <c r="AC1782" s="32" t="str">
        <f>IFERROR(__xludf.DUMMYFUNCTION("IFERROR(FILTER($AF:$AF,$C:$C = $C1782,$A:$A = $A1782 - 1,$B:$B = 12),0)"),"")</f>
        <v/>
      </c>
      <c r="AD1782" s="32">
        <f t="shared" si="23"/>
        <v>89996.39676</v>
      </c>
      <c r="AE1782" s="32">
        <f t="shared" si="2"/>
        <v>89996.39676</v>
      </c>
      <c r="AF1782" s="32"/>
    </row>
    <row r="1783">
      <c r="A1783" s="86">
        <v>2020.0</v>
      </c>
      <c r="B1783" s="87">
        <v>5.0</v>
      </c>
      <c r="C1783" s="88" t="s">
        <v>26</v>
      </c>
      <c r="D1783" s="104">
        <v>0.0</v>
      </c>
      <c r="E1783" s="104">
        <v>0.0</v>
      </c>
      <c r="F1783" s="104">
        <v>0.0</v>
      </c>
      <c r="G1783" s="104">
        <v>-634.53</v>
      </c>
      <c r="H1783" s="104">
        <v>3062.56</v>
      </c>
      <c r="I1783" s="104">
        <v>20698.14</v>
      </c>
      <c r="J1783" s="104">
        <v>-46502.32</v>
      </c>
      <c r="K1783" s="32"/>
      <c r="L1783" s="32"/>
      <c r="M1783" s="32"/>
      <c r="N1783" s="32"/>
      <c r="O1783" s="106">
        <v>329794.4</v>
      </c>
      <c r="P1783" s="91">
        <f>IFERROR(__xludf.DUMMYFUNCTION("IFERROR(sum(FILTER($D:$N,$C:$C = $C1783,$A:$A &lt; $A1783,$B:$B = 12)),0) + sum($D1783:$N1783)"),329792.93999999994)</f>
        <v>329792.94</v>
      </c>
      <c r="Q1783" s="92">
        <f t="shared" si="1"/>
        <v>1.46</v>
      </c>
      <c r="R1783" s="91">
        <f t="array" ref="R1783">IFERROR(INDEX('Fund YTD Target Values'!$1:$1000, MATCH($C1783,'Fund YTD Target Values'!$A:$A,0), MATCH($A1783,'Fund YTD Target Values'!$1:$1,0)),0)</f>
        <v>401541.8823</v>
      </c>
      <c r="S1783" s="91">
        <f>IFERROR(__xludf.DUMMYFUNCTION("IFERROR(sum(FILTER('Fund Investment Data'!$V:$V, 'Fund Investment Data'!$C:$C = $C1783, 'Fund Investment Data'!$A:$A &lt; $A1783)),0) + IFERROR(sum(FILTER('Fund Investment Data'!$V:$V, 'Fund Investment Data'!$C:$C = $C1783, 'Fund Investment Data'!$A:$A = $A1"&amp;"783, 'Fund Investment Data'!$B:$B &lt;= $B1783)),0)"),317377.01)</f>
        <v>317377.01</v>
      </c>
      <c r="T1783" s="32"/>
      <c r="U1783" s="32"/>
      <c r="V1783" s="32">
        <f>IFERROR(__xludf.DUMMYFUNCTION("$D1783 - IFERROR(FILTER($D:$D,$C:$C = $C1783, $A:$A = $A1783, $B:$B = $B1783 - 1),0)"),0.0)</f>
        <v>0</v>
      </c>
      <c r="W1783" s="93">
        <f>IFERROR(__xludf.DUMMYFUNCTION("$E1783 - IFERROR(FILTER($E:$E,$C:$C = $C1783, $A:$A = $A1783, $B:$B = $B1783 - 1),0)"),0.0)</f>
        <v>0</v>
      </c>
      <c r="X1783" s="91">
        <f>IFERROR(__xludf.DUMMYFUNCTION("iFERROR((FILTER('Fund Investment Data'!$Z:$Z, 'Fund Investment Data'!$C:$C = $C1783, 'Fund Investment Data'!$A:$A = $A1783 - 1, 'Fund Investment Data'!$B:$B = 12) + FILTER('Fund Investment Data'!$AB:$AB, 'Fund Investment Data'!$C:$C = $C1783, 'Fund Invest"&amp;"ment Data'!$A:$A = $A1783 - 1, 'Fund Investment Data'!$B:$B = 12)) * (1 + AVERAGE(FILTER('Inflation Data'!$C:$C,'Inflation Data'!$A:$A = ($A1783 - 2)))) * Parameters!$A$4,0)"),11939.770681709342)</f>
        <v>11939.77068</v>
      </c>
      <c r="Y1783" s="91">
        <f>IFERROR(__xludf.DUMMYFUNCTION("IFERROR((IFERROR(FILTER('Fund Investment Data'!$P:$P,'Fund Investment Data'!$C:$C = $C1783,'Fund Investment Data'!$A:$A = ($A1783 - 2), 'Fund Investment Data'!$B:$B = 12),0) - SUM(FILTER('Fund Investment Data'!$V:$V, 'Fund Investment Data'!$C:$C = $C1783,"&amp;" 'Fund Investment Data'!$A:$A = ($A1783 - 2), 'Fund Investment Data'!$B:$B &gt; 3)))  * Parameters!$B$4 * (1 - Parameters!$A$4),0)"),4169.1699)</f>
        <v>4169.1699</v>
      </c>
      <c r="Z1783" s="91">
        <f t="shared" si="24"/>
        <v>16108.94058</v>
      </c>
      <c r="AA1783" s="91">
        <f>IFERROR(__xludf.DUMMYFUNCTION("((IFERROR((SUM(FILTER('Fund Investment Data'!$V:$V, 'Fund Investment Data'!$C:$C = $C1783, 'Fund Investment Data'!$A:$A = $A1783 - 1, 'Fund Investment Data'!$B:$B &gt;= 4, 'Fund Investment Data'!$B:$B &lt;= ($B1783 + 5))) / 12) * ($B1783 - 3) * Parameters!$B$4,"&amp;" 0) + IF($B1783 &gt;= 9, IFERROR(SUM(FILTER('Fund Investment Data'!$V:$V, 'Fund Investment Data'!$C:$C = $C1783, 'Fund Investment Data'!$A:$A = $A1783, 'Fund Investment Data'!$B:$B &lt;= 3)) * Parameters!$B$4, 0),0)))"),0.0)</f>
        <v>0</v>
      </c>
      <c r="AB1783" s="32">
        <f>IFERROR(__xludf.DUMMYFUNCTION("IFERROR(((IFERROR(SUM(FILTER('Fund Investment Data'!$V:$V, 'Fund Investment Data'!$C:$C = $C1783, 'Fund Investment Data'!$A:$A = $A1783 - 2, 'Fund Investment Data'!$B:$B &gt;= 4)) * Parameters!$B$4,0) + IFERROR(SUM(FILTER('Fund Investment Data'!$V:$V, 'Fund "&amp;"Investment Data'!$C:$C = $C1783, 'Fund Investment Data'!$A:$A = $A1783 - 1, 'Fund Investment Data'!$B:$B &lt;= 3)) * Parameters!$B$4,0))),0)"),320.76)</f>
        <v>320.76</v>
      </c>
      <c r="AC1783" s="32" t="str">
        <f>IFERROR(__xludf.DUMMYFUNCTION("IFERROR(FILTER($AF:$AF,$C:$C = $C1783,$A:$A = $A1783 - 1,$B:$B = 12),0)"),"")</f>
        <v/>
      </c>
      <c r="AD1783" s="32">
        <f t="shared" si="23"/>
        <v>16429.70058</v>
      </c>
      <c r="AE1783" s="32">
        <f t="shared" si="2"/>
        <v>16429.70058</v>
      </c>
      <c r="AF1783" s="32"/>
    </row>
    <row r="1784">
      <c r="A1784" s="86">
        <v>2020.0</v>
      </c>
      <c r="B1784" s="87">
        <v>5.0</v>
      </c>
      <c r="C1784" s="88" t="s">
        <v>27</v>
      </c>
      <c r="D1784" s="104">
        <v>0.0</v>
      </c>
      <c r="E1784" s="104">
        <v>0.0</v>
      </c>
      <c r="F1784" s="104">
        <v>0.0</v>
      </c>
      <c r="G1784" s="104">
        <v>-545.56</v>
      </c>
      <c r="H1784" s="104">
        <v>2633.15</v>
      </c>
      <c r="I1784" s="104">
        <v>17796.08</v>
      </c>
      <c r="J1784" s="104">
        <v>-39982.29</v>
      </c>
      <c r="K1784" s="32"/>
      <c r="L1784" s="32"/>
      <c r="M1784" s="32"/>
      <c r="N1784" s="32"/>
      <c r="O1784" s="106">
        <v>283554.24</v>
      </c>
      <c r="P1784" s="91">
        <f>IFERROR(__xludf.DUMMYFUNCTION("IFERROR(sum(FILTER($D:$N,$C:$C = $C1784,$A:$A &lt; $A1784,$B:$B = 12)),0) + sum($D1784:$N1784)"),283554.5800000001)</f>
        <v>283554.58</v>
      </c>
      <c r="Q1784" s="92">
        <f t="shared" si="1"/>
        <v>-0.3400000001</v>
      </c>
      <c r="R1784" s="91">
        <f t="array" ref="R1784">IFERROR(INDEX('Fund YTD Target Values'!$1:$1000, MATCH($C1784,'Fund YTD Target Values'!$A:$A,0), MATCH($A1784,'Fund YTD Target Values'!$1:$1,0)),0)</f>
        <v>410076.5954</v>
      </c>
      <c r="S1784" s="91">
        <f>IFERROR(__xludf.DUMMYFUNCTION("IFERROR(sum(FILTER('Fund Investment Data'!$V:$V, 'Fund Investment Data'!$C:$C = $C1784, 'Fund Investment Data'!$A:$A &lt; $A1784)),0) + IFERROR(sum(FILTER('Fund Investment Data'!$V:$V, 'Fund Investment Data'!$C:$C = $C1784, 'Fund Investment Data'!$A:$A = $A1"&amp;"784, 'Fund Investment Data'!$B:$B &lt;= $B1784)),0)"),276213.69999999995)</f>
        <v>276213.7</v>
      </c>
      <c r="T1784" s="32"/>
      <c r="U1784" s="32"/>
      <c r="V1784" s="32">
        <f>IFERROR(__xludf.DUMMYFUNCTION("$D1784 - IFERROR(FILTER($D:$D,$C:$C = $C1784, $A:$A = $A1784, $B:$B = $B1784 - 1),0)"),0.0)</f>
        <v>0</v>
      </c>
      <c r="W1784" s="93">
        <f>IFERROR(__xludf.DUMMYFUNCTION("$E1784 - IFERROR(FILTER($E:$E,$C:$C = $C1784, $A:$A = $A1784, $B:$B = $B1784 - 1),0)"),0.0)</f>
        <v>0</v>
      </c>
      <c r="X1784" s="91">
        <f>IFERROR(__xludf.DUMMYFUNCTION("iFERROR((FILTER('Fund Investment Data'!$Z:$Z, 'Fund Investment Data'!$C:$C = $C1784, 'Fund Investment Data'!$A:$A = $A1784 - 1, 'Fund Investment Data'!$B:$B = 12) + FILTER('Fund Investment Data'!$AB:$AB, 'Fund Investment Data'!$C:$C = $C1784, 'Fund Invest"&amp;"ment Data'!$A:$A = $A1784 - 1, 'Fund Investment Data'!$B:$B = 12)) * (1 + AVERAGE(FILTER('Inflation Data'!$C:$C,'Inflation Data'!$A:$A = ($A1784 - 2)))) * Parameters!$A$4,0)"),10103.189252444476)</f>
        <v>10103.18925</v>
      </c>
      <c r="Y1784" s="91">
        <f>IFERROR(__xludf.DUMMYFUNCTION("IFERROR((IFERROR(FILTER('Fund Investment Data'!$P:$P,'Fund Investment Data'!$C:$C = $C1784,'Fund Investment Data'!$A:$A = ($A1784 - 2), 'Fund Investment Data'!$B:$B = 12),0) - SUM(FILTER('Fund Investment Data'!$V:$V, 'Fund Investment Data'!$C:$C = $C1784,"&amp;" 'Fund Investment Data'!$A:$A = ($A1784 - 2), 'Fund Investment Data'!$B:$B &gt; 3)))  * Parameters!$B$4 * (1 - Parameters!$A$4),0)"),3656.9314350000013)</f>
        <v>3656.931435</v>
      </c>
      <c r="Z1784" s="91">
        <f t="shared" si="24"/>
        <v>13760.12069</v>
      </c>
      <c r="AA1784" s="91">
        <f>IFERROR(__xludf.DUMMYFUNCTION("((IFERROR((SUM(FILTER('Fund Investment Data'!$V:$V, 'Fund Investment Data'!$C:$C = $C1784, 'Fund Investment Data'!$A:$A = $A1784 - 1, 'Fund Investment Data'!$B:$B &gt;= 4, 'Fund Investment Data'!$B:$B &lt;= ($B1784 + 5))) / 12) * ($B1784 - 3) * Parameters!$B$4,"&amp;" 0) + IF($B1784 &gt;= 9, IFERROR(SUM(FILTER('Fund Investment Data'!$V:$V, 'Fund Investment Data'!$C:$C = $C1784, 'Fund Investment Data'!$A:$A = $A1784, 'Fund Investment Data'!$B:$B &lt;= 3)) * Parameters!$B$4, 0),0)))"),0.0)</f>
        <v>0</v>
      </c>
      <c r="AB1784" s="32">
        <f>IFERROR(__xludf.DUMMYFUNCTION("IFERROR(((IFERROR(SUM(FILTER('Fund Investment Data'!$V:$V, 'Fund Investment Data'!$C:$C = $C1784, 'Fund Investment Data'!$A:$A = $A1784 - 2, 'Fund Investment Data'!$B:$B &gt;= 4)) * Parameters!$B$4,0) + IFERROR(SUM(FILTER('Fund Investment Data'!$V:$V, 'Fund "&amp;"Investment Data'!$C:$C = $C1784, 'Fund Investment Data'!$A:$A = $A1784 - 1, 'Fund Investment Data'!$B:$B &lt;= 3)) * Parameters!$B$4,0))),0)"),0.0)</f>
        <v>0</v>
      </c>
      <c r="AC1784" s="32" t="str">
        <f>IFERROR(__xludf.DUMMYFUNCTION("IFERROR(FILTER($AF:$AF,$C:$C = $C1784,$A:$A = $A1784 - 1,$B:$B = 12),0)"),"")</f>
        <v/>
      </c>
      <c r="AD1784" s="32">
        <f t="shared" si="23"/>
        <v>13760.12069</v>
      </c>
      <c r="AE1784" s="32">
        <f t="shared" si="2"/>
        <v>13760.12069</v>
      </c>
      <c r="AF1784" s="32"/>
    </row>
    <row r="1785">
      <c r="A1785" s="86">
        <v>2020.0</v>
      </c>
      <c r="B1785" s="87">
        <v>5.0</v>
      </c>
      <c r="C1785" s="88" t="s">
        <v>28</v>
      </c>
      <c r="D1785" s="104">
        <v>0.0</v>
      </c>
      <c r="E1785" s="104">
        <v>0.0</v>
      </c>
      <c r="F1785" s="104">
        <v>0.0</v>
      </c>
      <c r="G1785" s="104">
        <v>-5846.05</v>
      </c>
      <c r="H1785" s="104">
        <v>28215.79</v>
      </c>
      <c r="I1785" s="104">
        <v>190695.55</v>
      </c>
      <c r="J1785" s="104">
        <v>-428433.77</v>
      </c>
      <c r="K1785" s="32"/>
      <c r="L1785" s="32"/>
      <c r="M1785" s="32"/>
      <c r="N1785" s="32"/>
      <c r="O1785" s="106">
        <v>3038451.46</v>
      </c>
      <c r="P1785" s="91">
        <f>IFERROR(__xludf.DUMMYFUNCTION("IFERROR(sum(FILTER($D:$N,$C:$C = $C1785,$A:$A &lt; $A1785,$B:$B = 12)),0) + sum($D1785:$N1785)"),3038450.5300000003)</f>
        <v>3038450.53</v>
      </c>
      <c r="Q1785" s="92">
        <f t="shared" si="1"/>
        <v>0.9299999997</v>
      </c>
      <c r="R1785" s="91">
        <f t="array" ref="R1785">IFERROR(INDEX('Fund YTD Target Values'!$1:$1000, MATCH($C1785,'Fund YTD Target Values'!$A:$A,0), MATCH($A1785,'Fund YTD Target Values'!$1:$1,0)),0)</f>
        <v>4004331.875</v>
      </c>
      <c r="S1785" s="91">
        <f>IFERROR(__xludf.DUMMYFUNCTION("IFERROR(sum(FILTER('Fund Investment Data'!$V:$V, 'Fund Investment Data'!$C:$C = $C1785, 'Fund Investment Data'!$A:$A &lt; $A1785)),0) + IFERROR(sum(FILTER('Fund Investment Data'!$V:$V, 'Fund Investment Data'!$C:$C = $C1785, 'Fund Investment Data'!$A:$A = $A1"&amp;"785, 'Fund Investment Data'!$B:$B &lt;= $B1785)),0)"),2960091.25)</f>
        <v>2960091.25</v>
      </c>
      <c r="T1785" s="32"/>
      <c r="U1785" s="32"/>
      <c r="V1785" s="32">
        <f>IFERROR(__xludf.DUMMYFUNCTION("$D1785 - IFERROR(FILTER($D:$D,$C:$C = $C1785, $A:$A = $A1785, $B:$B = $B1785 - 1),0)"),0.0)</f>
        <v>0</v>
      </c>
      <c r="W1785" s="93">
        <f>IFERROR(__xludf.DUMMYFUNCTION("$E1785 - IFERROR(FILTER($E:$E,$C:$C = $C1785, $A:$A = $A1785, $B:$B = $B1785 - 1),0)"),0.0)</f>
        <v>0</v>
      </c>
      <c r="X1785" s="91">
        <f>IFERROR(__xludf.DUMMYFUNCTION("iFERROR((FILTER('Fund Investment Data'!$Z:$Z, 'Fund Investment Data'!$C:$C = $C1785, 'Fund Investment Data'!$A:$A = $A1785 - 1, 'Fund Investment Data'!$B:$B = 12) + FILTER('Fund Investment Data'!$AB:$AB, 'Fund Investment Data'!$C:$C = $C1785, 'Fund Invest"&amp;"ment Data'!$A:$A = $A1785 - 1, 'Fund Investment Data'!$B:$B = 12)) * (1 + AVERAGE(FILTER('Inflation Data'!$C:$C,'Inflation Data'!$A:$A = ($A1785 - 2)))) * Parameters!$A$4,0)"),108380.29049132655)</f>
        <v>108380.2905</v>
      </c>
      <c r="Y1785" s="91">
        <f>IFERROR(__xludf.DUMMYFUNCTION("IFERROR((IFERROR(FILTER('Fund Investment Data'!$P:$P,'Fund Investment Data'!$C:$C = $C1785,'Fund Investment Data'!$A:$A = ($A1785 - 2), 'Fund Investment Data'!$B:$B = 12),0) - SUM(FILTER('Fund Investment Data'!$V:$V, 'Fund Investment Data'!$C:$C = $C1785,"&amp;" 'Fund Investment Data'!$A:$A = ($A1785 - 2), 'Fund Investment Data'!$B:$B &gt; 3)))  * Parameters!$B$4 * (1 - Parameters!$A$4),0)"),39180.23244000001)</f>
        <v>39180.23244</v>
      </c>
      <c r="Z1785" s="91">
        <f t="shared" si="24"/>
        <v>147560.5229</v>
      </c>
      <c r="AA1785" s="91">
        <f>IFERROR(__xludf.DUMMYFUNCTION("((IFERROR((SUM(FILTER('Fund Investment Data'!$V:$V, 'Fund Investment Data'!$C:$C = $C1785, 'Fund Investment Data'!$A:$A = $A1785 - 1, 'Fund Investment Data'!$B:$B &gt;= 4, 'Fund Investment Data'!$B:$B &lt;= ($B1785 + 5))) / 12) * ($B1785 - 3) * Parameters!$B$4,"&amp;" 0) + IF($B1785 &gt;= 9, IFERROR(SUM(FILTER('Fund Investment Data'!$V:$V, 'Fund Investment Data'!$C:$C = $C1785, 'Fund Investment Data'!$A:$A = $A1785, 'Fund Investment Data'!$B:$B &lt;= 3)) * Parameters!$B$4, 0),0)))"),0.0)</f>
        <v>0</v>
      </c>
      <c r="AB1785" s="32">
        <f>IFERROR(__xludf.DUMMYFUNCTION("IFERROR(((IFERROR(SUM(FILTER('Fund Investment Data'!$V:$V, 'Fund Investment Data'!$C:$C = $C1785, 'Fund Investment Data'!$A:$A = $A1785 - 2, 'Fund Investment Data'!$B:$B &gt;= 4)) * Parameters!$B$4,0) + IFERROR(SUM(FILTER('Fund Investment Data'!$V:$V, 'Fund "&amp;"Investment Data'!$C:$C = $C1785, 'Fund Investment Data'!$A:$A = $A1785 - 1, 'Fund Investment Data'!$B:$B &lt;= 3)) * Parameters!$B$4,0))),0)"),0.0)</f>
        <v>0</v>
      </c>
      <c r="AC1785" s="32" t="str">
        <f>IFERROR(__xludf.DUMMYFUNCTION("IFERROR(FILTER($AF:$AF,$C:$C = $C1785,$A:$A = $A1785 - 1,$B:$B = 12),0)"),"")</f>
        <v/>
      </c>
      <c r="AD1785" s="32">
        <f t="shared" si="23"/>
        <v>147560.5229</v>
      </c>
      <c r="AE1785" s="32">
        <f t="shared" si="2"/>
        <v>147560.5229</v>
      </c>
      <c r="AF1785" s="32"/>
    </row>
    <row r="1786">
      <c r="A1786" s="86">
        <v>2020.0</v>
      </c>
      <c r="B1786" s="87">
        <v>5.0</v>
      </c>
      <c r="C1786" s="88" t="s">
        <v>46</v>
      </c>
      <c r="D1786" s="104">
        <v>0.0</v>
      </c>
      <c r="E1786" s="104">
        <v>0.0</v>
      </c>
      <c r="F1786" s="104">
        <v>0.0</v>
      </c>
      <c r="G1786" s="104">
        <v>-673.23</v>
      </c>
      <c r="H1786" s="104">
        <v>3249.33</v>
      </c>
      <c r="I1786" s="104">
        <v>21960.47</v>
      </c>
      <c r="J1786" s="104">
        <v>-49338.4</v>
      </c>
      <c r="K1786" s="32"/>
      <c r="L1786" s="32"/>
      <c r="M1786" s="32"/>
      <c r="N1786" s="32"/>
      <c r="O1786" s="106">
        <v>349907.83</v>
      </c>
      <c r="P1786" s="91">
        <f>IFERROR(__xludf.DUMMYFUNCTION("IFERROR(sum(FILTER($D:$N,$C:$C = $C1786,$A:$A &lt; $A1786,$B:$B = 12)),0) + sum($D1786:$N1786)"),349908.24999999994)</f>
        <v>349908.25</v>
      </c>
      <c r="Q1786" s="92">
        <f t="shared" si="1"/>
        <v>-0.4199999999</v>
      </c>
      <c r="R1786" s="91">
        <f t="array" ref="R1786">IFERROR(INDEX('Fund YTD Target Values'!$1:$1000, MATCH($C1786,'Fund YTD Target Values'!$A:$A,0), MATCH($A1786,'Fund YTD Target Values'!$1:$1,0)),0)</f>
        <v>476024.3486</v>
      </c>
      <c r="S1786" s="91">
        <f>IFERROR(__xludf.DUMMYFUNCTION("IFERROR(sum(FILTER('Fund Investment Data'!$V:$V, 'Fund Investment Data'!$C:$C = $C1786, 'Fund Investment Data'!$A:$A &lt; $A1786)),0) + IFERROR(sum(FILTER('Fund Investment Data'!$V:$V, 'Fund Investment Data'!$C:$C = $C1786, 'Fund Investment Data'!$A:$A = $A1"&amp;"786, 'Fund Investment Data'!$B:$B &lt;= $B1786)),0)"),366400.0)</f>
        <v>366400</v>
      </c>
      <c r="T1786" s="32"/>
      <c r="U1786" s="32"/>
      <c r="V1786" s="32">
        <f>IFERROR(__xludf.DUMMYFUNCTION("$D1786 - IFERROR(FILTER($D:$D,$C:$C = $C1786, $A:$A = $A1786, $B:$B = $B1786 - 1),0)"),0.0)</f>
        <v>0</v>
      </c>
      <c r="W1786" s="93">
        <f>IFERROR(__xludf.DUMMYFUNCTION("$E1786 - IFERROR(FILTER($E:$E,$C:$C = $C1786, $A:$A = $A1786, $B:$B = $B1786 - 1),0)"),0.0)</f>
        <v>0</v>
      </c>
      <c r="X1786" s="91">
        <f>IFERROR(__xludf.DUMMYFUNCTION("iFERROR((FILTER('Fund Investment Data'!$Z:$Z, 'Fund Investment Data'!$C:$C = $C1786, 'Fund Investment Data'!$A:$A = $A1786 - 1, 'Fund Investment Data'!$B:$B = 12) + FILTER('Fund Investment Data'!$AB:$AB, 'Fund Investment Data'!$C:$C = $C1786, 'Fund Invest"&amp;"ment Data'!$A:$A = $A1786 - 1, 'Fund Investment Data'!$B:$B = 12)) * (1 + AVERAGE(FILTER('Inflation Data'!$C:$C,'Inflation Data'!$A:$A = ($A1786 - 2)))) * Parameters!$A$4,0)"),12887.748857049877)</f>
        <v>12887.74886</v>
      </c>
      <c r="Y1786" s="91">
        <f>IFERROR(__xludf.DUMMYFUNCTION("IFERROR((IFERROR(FILTER('Fund Investment Data'!$P:$P,'Fund Investment Data'!$C:$C = $C1786,'Fund Investment Data'!$A:$A = ($A1786 - 2), 'Fund Investment Data'!$B:$B = 12),0) - SUM(FILTER('Fund Investment Data'!$V:$V, 'Fund Investment Data'!$C:$C = $C1786,"&amp;" 'Fund Investment Data'!$A:$A = ($A1786 - 2), 'Fund Investment Data'!$B:$B &gt; 3)))  * Parameters!$B$4 * (1 - Parameters!$A$4),0)"),4519.68363)</f>
        <v>4519.68363</v>
      </c>
      <c r="Z1786" s="91">
        <f t="shared" si="24"/>
        <v>17407.43249</v>
      </c>
      <c r="AA1786" s="91">
        <f>IFERROR(__xludf.DUMMYFUNCTION("((IFERROR((SUM(FILTER('Fund Investment Data'!$V:$V, 'Fund Investment Data'!$C:$C = $C1786, 'Fund Investment Data'!$A:$A = $A1786 - 1, 'Fund Investment Data'!$B:$B &gt;= 4, 'Fund Investment Data'!$B:$B &lt;= ($B1786 + 5))) / 12) * ($B1786 - 3) * Parameters!$B$4,"&amp;" 0) + IF($B1786 &gt;= 9, IFERROR(SUM(FILTER('Fund Investment Data'!$V:$V, 'Fund Investment Data'!$C:$C = $C1786, 'Fund Investment Data'!$A:$A = $A1786, 'Fund Investment Data'!$B:$B &lt;= 3)) * Parameters!$B$4, 0),0)))"),0.0)</f>
        <v>0</v>
      </c>
      <c r="AB1786" s="32">
        <f>IFERROR(__xludf.DUMMYFUNCTION("IFERROR(((IFERROR(SUM(FILTER('Fund Investment Data'!$V:$V, 'Fund Investment Data'!$C:$C = $C1786, 'Fund Investment Data'!$A:$A = $A1786 - 2, 'Fund Investment Data'!$B:$B &gt;= 4)) * Parameters!$B$4,0) + IFERROR(SUM(FILTER('Fund Investment Data'!$V:$V, 'Fund "&amp;"Investment Data'!$C:$C = $C1786, 'Fund Investment Data'!$A:$A = $A1786 - 1, 'Fund Investment Data'!$B:$B &lt;= 3)) * Parameters!$B$4,0))),0)"),0.0)</f>
        <v>0</v>
      </c>
      <c r="AC1786" s="32" t="str">
        <f>IFERROR(__xludf.DUMMYFUNCTION("IFERROR(FILTER($AF:$AF,$C:$C = $C1786,$A:$A = $A1786 - 1,$B:$B = 12),0)"),"")</f>
        <v/>
      </c>
      <c r="AD1786" s="32">
        <f t="shared" si="23"/>
        <v>17407.43249</v>
      </c>
      <c r="AE1786" s="32">
        <f t="shared" si="2"/>
        <v>17407.43249</v>
      </c>
      <c r="AF1786" s="32"/>
    </row>
    <row r="1787">
      <c r="A1787" s="86">
        <v>2020.0</v>
      </c>
      <c r="B1787" s="87">
        <v>5.0</v>
      </c>
      <c r="C1787" s="88" t="s">
        <v>36</v>
      </c>
      <c r="D1787" s="104">
        <v>0.0</v>
      </c>
      <c r="E1787" s="104">
        <v>0.0</v>
      </c>
      <c r="F1787" s="104">
        <v>0.0</v>
      </c>
      <c r="G1787" s="104">
        <v>-793.1</v>
      </c>
      <c r="H1787" s="104">
        <v>3827.81</v>
      </c>
      <c r="I1787" s="104">
        <v>25870.2</v>
      </c>
      <c r="J1787" s="104">
        <v>-58122.3</v>
      </c>
      <c r="K1787" s="32"/>
      <c r="L1787" s="32"/>
      <c r="M1787" s="32"/>
      <c r="N1787" s="32"/>
      <c r="O1787" s="106">
        <v>412203.21</v>
      </c>
      <c r="P1787" s="91">
        <f>IFERROR(__xludf.DUMMYFUNCTION("IFERROR(sum(FILTER($D:$N,$C:$C = $C1787,$A:$A &lt; $A1787,$B:$B = 12)),0) + sum($D1787:$N1787)"),412202.76)</f>
        <v>412202.76</v>
      </c>
      <c r="Q1787" s="92">
        <f t="shared" si="1"/>
        <v>0.45</v>
      </c>
      <c r="R1787" s="91">
        <f t="array" ref="R1787">IFERROR(INDEX('Fund YTD Target Values'!$1:$1000, MATCH($C1787,'Fund YTD Target Values'!$A:$A,0), MATCH($A1787,'Fund YTD Target Values'!$1:$1,0)),0)</f>
        <v>662598.0199</v>
      </c>
      <c r="S1787" s="91">
        <f>IFERROR(__xludf.DUMMYFUNCTION("IFERROR(sum(FILTER('Fund Investment Data'!$V:$V, 'Fund Investment Data'!$C:$C = $C1787, 'Fund Investment Data'!$A:$A &lt; $A1787)),0) + IFERROR(sum(FILTER('Fund Investment Data'!$V:$V, 'Fund Investment Data'!$C:$C = $C1787, 'Fund Investment Data'!$A:$A = $A1"&amp;"787, 'Fund Investment Data'!$B:$B &lt;= $B1787)),0)"),429067.24)</f>
        <v>429067.24</v>
      </c>
      <c r="T1787" s="32"/>
      <c r="U1787" s="32"/>
      <c r="V1787" s="32">
        <f>IFERROR(__xludf.DUMMYFUNCTION("$D1787 - IFERROR(FILTER($D:$D,$C:$C = $C1787, $A:$A = $A1787, $B:$B = $B1787 - 1),0)"),0.0)</f>
        <v>0</v>
      </c>
      <c r="W1787" s="93">
        <f>IFERROR(__xludf.DUMMYFUNCTION("$E1787 - IFERROR(FILTER($E:$E,$C:$C = $C1787, $A:$A = $A1787, $B:$B = $B1787 - 1),0)"),0.0)</f>
        <v>0</v>
      </c>
      <c r="X1787" s="91">
        <f>IFERROR(__xludf.DUMMYFUNCTION("iFERROR((FILTER('Fund Investment Data'!$Z:$Z, 'Fund Investment Data'!$C:$C = $C1787, 'Fund Investment Data'!$A:$A = $A1787 - 1, 'Fund Investment Data'!$B:$B = 12) + FILTER('Fund Investment Data'!$AB:$AB, 'Fund Investment Data'!$C:$C = $C1787, 'Fund Invest"&amp;"ment Data'!$A:$A = $A1787 - 1, 'Fund Investment Data'!$B:$B = 12)) * (1 + AVERAGE(FILTER('Inflation Data'!$C:$C,'Inflation Data'!$A:$A = ($A1787 - 2)))) * Parameters!$A$4,0)"),14762.63581927512)</f>
        <v>14762.63582</v>
      </c>
      <c r="Y1787" s="91">
        <f>IFERROR(__xludf.DUMMYFUNCTION("IFERROR((IFERROR(FILTER('Fund Investment Data'!$P:$P,'Fund Investment Data'!$C:$C = $C1787,'Fund Investment Data'!$A:$A = ($A1787 - 2), 'Fund Investment Data'!$B:$B = 12),0) - SUM(FILTER('Fund Investment Data'!$V:$V, 'Fund Investment Data'!$C:$C = $C1787,"&amp;" 'Fund Investment Data'!$A:$A = ($A1787 - 2), 'Fund Investment Data'!$B:$B &gt; 3)))  * Parameters!$B$4 * (1 - Parameters!$A$4),0)"),5318.06499)</f>
        <v>5318.06499</v>
      </c>
      <c r="Z1787" s="91">
        <f t="shared" si="24"/>
        <v>20080.70081</v>
      </c>
      <c r="AA1787" s="91">
        <f>IFERROR(__xludf.DUMMYFUNCTION("((IFERROR((SUM(FILTER('Fund Investment Data'!$V:$V, 'Fund Investment Data'!$C:$C = $C1787, 'Fund Investment Data'!$A:$A = $A1787 - 1, 'Fund Investment Data'!$B:$B &gt;= 4, 'Fund Investment Data'!$B:$B &lt;= ($B1787 + 5))) / 12) * ($B1787 - 3) * Parameters!$B$4,"&amp;" 0) + IF($B1787 &gt;= 9, IFERROR(SUM(FILTER('Fund Investment Data'!$V:$V, 'Fund Investment Data'!$C:$C = $C1787, 'Fund Investment Data'!$A:$A = $A1787, 'Fund Investment Data'!$B:$B &lt;= 3)) * Parameters!$B$4, 0),0)))"),0.0)</f>
        <v>0</v>
      </c>
      <c r="AB1787" s="32">
        <f>IFERROR(__xludf.DUMMYFUNCTION("IFERROR(((IFERROR(SUM(FILTER('Fund Investment Data'!$V:$V, 'Fund Investment Data'!$C:$C = $C1787, 'Fund Investment Data'!$A:$A = $A1787 - 2, 'Fund Investment Data'!$B:$B &gt;= 4)) * Parameters!$B$4,0) + IFERROR(SUM(FILTER('Fund Investment Data'!$V:$V, 'Fund "&amp;"Investment Data'!$C:$C = $C1787, 'Fund Investment Data'!$A:$A = $A1787 - 1, 'Fund Investment Data'!$B:$B &lt;= 3)) * Parameters!$B$4,0))),0)"),0.0)</f>
        <v>0</v>
      </c>
      <c r="AC1787" s="32" t="str">
        <f>IFERROR(__xludf.DUMMYFUNCTION("IFERROR(FILTER($AF:$AF,$C:$C = $C1787,$A:$A = $A1787 - 1,$B:$B = 12),0)"),"")</f>
        <v/>
      </c>
      <c r="AD1787" s="32">
        <f t="shared" si="23"/>
        <v>20080.70081</v>
      </c>
      <c r="AE1787" s="32">
        <f t="shared" si="2"/>
        <v>20080.70081</v>
      </c>
      <c r="AF1787" s="32"/>
    </row>
    <row r="1788">
      <c r="A1788" s="86">
        <v>2020.0</v>
      </c>
      <c r="B1788" s="87">
        <v>5.0</v>
      </c>
      <c r="C1788" s="88" t="s">
        <v>37</v>
      </c>
      <c r="D1788" s="104">
        <v>0.0</v>
      </c>
      <c r="E1788" s="104">
        <v>0.0</v>
      </c>
      <c r="F1788" s="104">
        <v>0.0</v>
      </c>
      <c r="G1788" s="104">
        <v>-1456.09</v>
      </c>
      <c r="H1788" s="104">
        <v>7027.76</v>
      </c>
      <c r="I1788" s="104">
        <v>47496.72</v>
      </c>
      <c r="J1788" s="104">
        <v>-106710.42</v>
      </c>
      <c r="K1788" s="32"/>
      <c r="L1788" s="32"/>
      <c r="M1788" s="32"/>
      <c r="N1788" s="32"/>
      <c r="O1788" s="106">
        <v>756790.12</v>
      </c>
      <c r="P1788" s="91">
        <f>IFERROR(__xludf.DUMMYFUNCTION("IFERROR(sum(FILTER($D:$N,$C:$C = $C1788,$A:$A &lt; $A1788,$B:$B = 12)),0) + sum($D1788:$N1788)"),756790.1199999999)</f>
        <v>756790.12</v>
      </c>
      <c r="Q1788" s="92">
        <f t="shared" si="1"/>
        <v>0.0000000001164153218</v>
      </c>
      <c r="R1788" s="91">
        <f t="array" ref="R1788">IFERROR(INDEX('Fund YTD Target Values'!$1:$1000, MATCH($C1788,'Fund YTD Target Values'!$A:$A,0), MATCH($A1788,'Fund YTD Target Values'!$1:$1,0)),0)</f>
        <v>881697.5887</v>
      </c>
      <c r="S1788" s="91">
        <f>IFERROR(__xludf.DUMMYFUNCTION("IFERROR(sum(FILTER('Fund Investment Data'!$V:$V, 'Fund Investment Data'!$C:$C = $C1788, 'Fund Investment Data'!$A:$A &lt; $A1788)),0) + IFERROR(sum(FILTER('Fund Investment Data'!$V:$V, 'Fund Investment Data'!$C:$C = $C1788, 'Fund Investment Data'!$A:$A = $A1"&amp;"788, 'Fund Investment Data'!$B:$B &lt;= $B1788)),0)"),758137.86)</f>
        <v>758137.86</v>
      </c>
      <c r="T1788" s="32"/>
      <c r="U1788" s="32"/>
      <c r="V1788" s="32">
        <f>IFERROR(__xludf.DUMMYFUNCTION("$D1788 - IFERROR(FILTER($D:$D,$C:$C = $C1788, $A:$A = $A1788, $B:$B = $B1788 - 1),0)"),0.0)</f>
        <v>0</v>
      </c>
      <c r="W1788" s="93">
        <f>IFERROR(__xludf.DUMMYFUNCTION("$E1788 - IFERROR(FILTER($E:$E,$C:$C = $C1788, $A:$A = $A1788, $B:$B = $B1788 - 1),0)"),0.0)</f>
        <v>0</v>
      </c>
      <c r="X1788" s="91">
        <f>IFERROR(__xludf.DUMMYFUNCTION("iFERROR((FILTER('Fund Investment Data'!$Z:$Z, 'Fund Investment Data'!$C:$C = $C1788, 'Fund Investment Data'!$A:$A = $A1788 - 1, 'Fund Investment Data'!$B:$B = 12) + FILTER('Fund Investment Data'!$AB:$AB, 'Fund Investment Data'!$C:$C = $C1788, 'Fund Invest"&amp;"ment Data'!$A:$A = $A1788 - 1, 'Fund Investment Data'!$B:$B = 12)) * (1 + AVERAGE(FILTER('Inflation Data'!$C:$C,'Inflation Data'!$A:$A = ($A1788 - 2)))) * Parameters!$A$4,0)"),26964.813014785388)</f>
        <v>26964.81301</v>
      </c>
      <c r="Y1788" s="91">
        <f>IFERROR(__xludf.DUMMYFUNCTION("IFERROR((IFERROR(FILTER('Fund Investment Data'!$P:$P,'Fund Investment Data'!$C:$C = $C1788,'Fund Investment Data'!$A:$A = ($A1788 - 2), 'Fund Investment Data'!$B:$B = 12),0) - SUM(FILTER('Fund Investment Data'!$V:$V, 'Fund Investment Data'!$C:$C = $C1788,"&amp;" 'Fund Investment Data'!$A:$A = ($A1788 - 2), 'Fund Investment Data'!$B:$B &gt; 3)))  * Parameters!$B$4 * (1 - Parameters!$A$4),0)"),9760.690485)</f>
        <v>9760.690485</v>
      </c>
      <c r="Z1788" s="91">
        <f t="shared" si="24"/>
        <v>36725.5035</v>
      </c>
      <c r="AA1788" s="91">
        <f>IFERROR(__xludf.DUMMYFUNCTION("((IFERROR((SUM(FILTER('Fund Investment Data'!$V:$V, 'Fund Investment Data'!$C:$C = $C1788, 'Fund Investment Data'!$A:$A = $A1788 - 1, 'Fund Investment Data'!$B:$B &gt;= 4, 'Fund Investment Data'!$B:$B &lt;= ($B1788 + 5))) / 12) * ($B1788 - 3) * Parameters!$B$4,"&amp;" 0) + IF($B1788 &gt;= 9, IFERROR(SUM(FILTER('Fund Investment Data'!$V:$V, 'Fund Investment Data'!$C:$C = $C1788, 'Fund Investment Data'!$A:$A = $A1788, 'Fund Investment Data'!$B:$B &lt;= 3)) * Parameters!$B$4, 0),0)))"),0.0)</f>
        <v>0</v>
      </c>
      <c r="AB1788" s="32">
        <f>IFERROR(__xludf.DUMMYFUNCTION("IFERROR(((IFERROR(SUM(FILTER('Fund Investment Data'!$V:$V, 'Fund Investment Data'!$C:$C = $C1788, 'Fund Investment Data'!$A:$A = $A1788 - 2, 'Fund Investment Data'!$B:$B &gt;= 4)) * Parameters!$B$4,0) + IFERROR(SUM(FILTER('Fund Investment Data'!$V:$V, 'Fund "&amp;"Investment Data'!$C:$C = $C1788, 'Fund Investment Data'!$A:$A = $A1788 - 1, 'Fund Investment Data'!$B:$B &lt;= 3)) * Parameters!$B$4,0))),0)"),0.0)</f>
        <v>0</v>
      </c>
      <c r="AC1788" s="32" t="str">
        <f>IFERROR(__xludf.DUMMYFUNCTION("IFERROR(FILTER($AF:$AF,$C:$C = $C1788,$A:$A = $A1788 - 1,$B:$B = 12),0)"),"")</f>
        <v/>
      </c>
      <c r="AD1788" s="32">
        <f t="shared" si="23"/>
        <v>36725.5035</v>
      </c>
      <c r="AE1788" s="32">
        <f t="shared" si="2"/>
        <v>36725.5035</v>
      </c>
      <c r="AF1788" s="32"/>
    </row>
    <row r="1789">
      <c r="A1789" s="86">
        <v>2020.0</v>
      </c>
      <c r="B1789" s="87">
        <v>5.0</v>
      </c>
      <c r="C1789" s="88" t="s">
        <v>29</v>
      </c>
      <c r="D1789" s="104">
        <v>0.0</v>
      </c>
      <c r="E1789" s="104">
        <v>0.0</v>
      </c>
      <c r="F1789" s="104">
        <v>0.0</v>
      </c>
      <c r="G1789" s="104">
        <v>-108.34</v>
      </c>
      <c r="H1789" s="104">
        <v>522.88</v>
      </c>
      <c r="I1789" s="104">
        <v>3533.97</v>
      </c>
      <c r="J1789" s="104">
        <v>-7939.74</v>
      </c>
      <c r="K1789" s="32"/>
      <c r="L1789" s="32"/>
      <c r="M1789" s="32"/>
      <c r="N1789" s="32"/>
      <c r="O1789" s="106">
        <v>56308.64</v>
      </c>
      <c r="P1789" s="91">
        <f>IFERROR(__xludf.DUMMYFUNCTION("IFERROR(sum(FILTER($D:$N,$C:$C = $C1789,$A:$A &lt; $A1789,$B:$B = 12)),0) + sum($D1789:$N1789)"),56308.66999999991)</f>
        <v>56308.67</v>
      </c>
      <c r="Q1789" s="92">
        <f t="shared" si="1"/>
        <v>-0.02999999991</v>
      </c>
      <c r="R1789" s="91">
        <f t="array" ref="R1789">IFERROR(INDEX('Fund YTD Target Values'!$1:$1000, MATCH($C1789,'Fund YTD Target Values'!$A:$A,0), MATCH($A1789,'Fund YTD Target Values'!$1:$1,0)),0)</f>
        <v>80343.33092</v>
      </c>
      <c r="S1789" s="91">
        <f>IFERROR(__xludf.DUMMYFUNCTION("IFERROR(sum(FILTER('Fund Investment Data'!$V:$V, 'Fund Investment Data'!$C:$C = $C1789, 'Fund Investment Data'!$A:$A &lt; $A1789)),0) + IFERROR(sum(FILTER('Fund Investment Data'!$V:$V, 'Fund Investment Data'!$C:$C = $C1789, 'Fund Investment Data'!$A:$A = $A1"&amp;"789, 'Fund Investment Data'!$B:$B &lt;= $B1789)),0)"),50000.0)</f>
        <v>50000</v>
      </c>
      <c r="T1789" s="32"/>
      <c r="U1789" s="32"/>
      <c r="V1789" s="32">
        <f>IFERROR(__xludf.DUMMYFUNCTION("$D1789 - IFERROR(FILTER($D:$D,$C:$C = $C1789, $A:$A = $A1789, $B:$B = $B1789 - 1),0)"),0.0)</f>
        <v>0</v>
      </c>
      <c r="W1789" s="93">
        <f>IFERROR(__xludf.DUMMYFUNCTION("$E1789 - IFERROR(FILTER($E:$E,$C:$C = $C1789, $A:$A = $A1789, $B:$B = $B1789 - 1),0)"),0.0)</f>
        <v>0</v>
      </c>
      <c r="X1789" s="91">
        <f>IFERROR(__xludf.DUMMYFUNCTION("iFERROR((FILTER('Fund Investment Data'!$Z:$Z, 'Fund Investment Data'!$C:$C = $C1789, 'Fund Investment Data'!$A:$A = $A1789 - 1, 'Fund Investment Data'!$B:$B = 12) + FILTER('Fund Investment Data'!$AB:$AB, 'Fund Investment Data'!$C:$C = $C1789, 'Fund Invest"&amp;"ment Data'!$A:$A = $A1789 - 1, 'Fund Investment Data'!$B:$B = 12)) * (1 + AVERAGE(FILTER('Inflation Data'!$C:$C,'Inflation Data'!$A:$A = ($A1789 - 2)))) * Parameters!$A$4,0)"),1904.8380315570544)</f>
        <v>1904.838032</v>
      </c>
      <c r="Y1789" s="91">
        <f>IFERROR(__xludf.DUMMYFUNCTION("IFERROR((IFERROR(FILTER('Fund Investment Data'!$P:$P,'Fund Investment Data'!$C:$C = $C1789,'Fund Investment Data'!$A:$A = ($A1789 - 2), 'Fund Investment Data'!$B:$B = 12),0) - SUM(FILTER('Fund Investment Data'!$V:$V, 'Fund Investment Data'!$C:$C = $C1789,"&amp;" 'Fund Investment Data'!$A:$A = ($A1789 - 2), 'Fund Investment Data'!$B:$B &gt; 3)))  * Parameters!$B$4 * (1 - Parameters!$A$4),0)"),725.319764999999)</f>
        <v>725.319765</v>
      </c>
      <c r="Z1789" s="91">
        <f t="shared" si="24"/>
        <v>2630.157797</v>
      </c>
      <c r="AA1789" s="91">
        <f>IFERROR(__xludf.DUMMYFUNCTION("((IFERROR((SUM(FILTER('Fund Investment Data'!$V:$V, 'Fund Investment Data'!$C:$C = $C1789, 'Fund Investment Data'!$A:$A = $A1789 - 1, 'Fund Investment Data'!$B:$B &gt;= 4, 'Fund Investment Data'!$B:$B &lt;= ($B1789 + 5))) / 12) * ($B1789 - 3) * Parameters!$B$4,"&amp;" 0) + IF($B1789 &gt;= 9, IFERROR(SUM(FILTER('Fund Investment Data'!$V:$V, 'Fund Investment Data'!$C:$C = $C1789, 'Fund Investment Data'!$A:$A = $A1789, 'Fund Investment Data'!$B:$B &lt;= 3)) * Parameters!$B$4, 0),0)))"),0.0)</f>
        <v>0</v>
      </c>
      <c r="AB1789" s="32">
        <f>IFERROR(__xludf.DUMMYFUNCTION("IFERROR(((IFERROR(SUM(FILTER('Fund Investment Data'!$V:$V, 'Fund Investment Data'!$C:$C = $C1789, 'Fund Investment Data'!$A:$A = $A1789 - 2, 'Fund Investment Data'!$B:$B &gt;= 4)) * Parameters!$B$4,0) + IFERROR(SUM(FILTER('Fund Investment Data'!$V:$V, 'Fund "&amp;"Investment Data'!$C:$C = $C1789, 'Fund Investment Data'!$A:$A = $A1789 - 1, 'Fund Investment Data'!$B:$B &lt;= 3)) * Parameters!$B$4,0))),0)"),0.0)</f>
        <v>0</v>
      </c>
      <c r="AC1789" s="32" t="str">
        <f>IFERROR(__xludf.DUMMYFUNCTION("IFERROR(FILTER($AF:$AF,$C:$C = $C1789,$A:$A = $A1789 - 1,$B:$B = 12),0)"),"")</f>
        <v/>
      </c>
      <c r="AD1789" s="32">
        <f t="shared" si="23"/>
        <v>2630.157797</v>
      </c>
      <c r="AE1789" s="32">
        <f t="shared" si="2"/>
        <v>2630.157797</v>
      </c>
      <c r="AF1789" s="32"/>
    </row>
    <row r="1790">
      <c r="A1790" s="86">
        <v>2020.0</v>
      </c>
      <c r="B1790" s="87">
        <v>5.0</v>
      </c>
      <c r="C1790" s="88" t="s">
        <v>38</v>
      </c>
      <c r="D1790" s="104">
        <v>0.0</v>
      </c>
      <c r="E1790" s="104">
        <v>0.0</v>
      </c>
      <c r="F1790" s="104">
        <v>0.0</v>
      </c>
      <c r="G1790" s="104">
        <v>-1483.17</v>
      </c>
      <c r="H1790" s="104">
        <v>7158.47</v>
      </c>
      <c r="I1790" s="104">
        <v>48380.29</v>
      </c>
      <c r="J1790" s="104">
        <v>-108695.5</v>
      </c>
      <c r="K1790" s="32"/>
      <c r="L1790" s="32"/>
      <c r="M1790" s="32"/>
      <c r="N1790" s="32"/>
      <c r="O1790" s="106">
        <v>770868.43</v>
      </c>
      <c r="P1790" s="91">
        <f>IFERROR(__xludf.DUMMYFUNCTION("IFERROR(sum(FILTER($D:$N,$C:$C = $C1790,$A:$A &lt; $A1790,$B:$B = 12)),0) + sum($D1790:$N1790)"),770867.39)</f>
        <v>770867.39</v>
      </c>
      <c r="Q1790" s="92">
        <f t="shared" si="1"/>
        <v>1.04</v>
      </c>
      <c r="R1790" s="91">
        <f t="array" ref="R1790">IFERROR(INDEX('Fund YTD Target Values'!$1:$1000, MATCH($C1790,'Fund YTD Target Values'!$A:$A,0), MATCH($A1790,'Fund YTD Target Values'!$1:$1,0)),0)</f>
        <v>732485.9458</v>
      </c>
      <c r="S1790" s="91">
        <f>IFERROR(__xludf.DUMMYFUNCTION("IFERROR(sum(FILTER('Fund Investment Data'!$V:$V, 'Fund Investment Data'!$C:$C = $C1790, 'Fund Investment Data'!$A:$A &lt; $A1790)),0) + IFERROR(sum(FILTER('Fund Investment Data'!$V:$V, 'Fund Investment Data'!$C:$C = $C1790, 'Fund Investment Data'!$A:$A = $A1"&amp;"790, 'Fund Investment Data'!$B:$B &lt;= $B1790)),0)"),556601.64)</f>
        <v>556601.64</v>
      </c>
      <c r="T1790" s="32"/>
      <c r="U1790" s="32"/>
      <c r="V1790" s="32">
        <f>IFERROR(__xludf.DUMMYFUNCTION("$D1790 - IFERROR(FILTER($D:$D,$C:$C = $C1790, $A:$A = $A1790, $B:$B = $B1790 - 1),0)"),0.0)</f>
        <v>0</v>
      </c>
      <c r="W1790" s="93">
        <f>IFERROR(__xludf.DUMMYFUNCTION("$E1790 - IFERROR(FILTER($E:$E,$C:$C = $C1790, $A:$A = $A1790, $B:$B = $B1790 - 1),0)"),0.0)</f>
        <v>0</v>
      </c>
      <c r="X1790" s="91">
        <f>IFERROR(__xludf.DUMMYFUNCTION("iFERROR((FILTER('Fund Investment Data'!$Z:$Z, 'Fund Investment Data'!$C:$C = $C1790, 'Fund Investment Data'!$A:$A = $A1790 - 1, 'Fund Investment Data'!$B:$B = 12) + FILTER('Fund Investment Data'!$AB:$AB, 'Fund Investment Data'!$C:$C = $C1790, 'Fund Invest"&amp;"ment Data'!$A:$A = $A1790 - 1, 'Fund Investment Data'!$B:$B = 12)) * (1 + AVERAGE(FILTER('Inflation Data'!$C:$C,'Inflation Data'!$A:$A = ($A1790 - 2)))) * Parameters!$A$4,0)"),23714.482768130645)</f>
        <v>23714.48277</v>
      </c>
      <c r="Y1790" s="91">
        <f>IFERROR(__xludf.DUMMYFUNCTION("IFERROR((IFERROR(FILTER('Fund Investment Data'!$P:$P,'Fund Investment Data'!$C:$C = $C1790,'Fund Investment Data'!$A:$A = ($A1790 - 2), 'Fund Investment Data'!$B:$B = 12),0) - SUM(FILTER('Fund Investment Data'!$V:$V, 'Fund Investment Data'!$C:$C = $C1790,"&amp;" 'Fund Investment Data'!$A:$A = ($A1790 - 2), 'Fund Investment Data'!$B:$B &gt; 3)))  * Parameters!$B$4 * (1 - Parameters!$A$4),0)"),9744.43716)</f>
        <v>9744.43716</v>
      </c>
      <c r="Z1790" s="91">
        <f t="shared" si="24"/>
        <v>33458.91993</v>
      </c>
      <c r="AA1790" s="91">
        <f>IFERROR(__xludf.DUMMYFUNCTION("((IFERROR((SUM(FILTER('Fund Investment Data'!$V:$V, 'Fund Investment Data'!$C:$C = $C1790, 'Fund Investment Data'!$A:$A = $A1790 - 1, 'Fund Investment Data'!$B:$B &gt;= 4, 'Fund Investment Data'!$B:$B &lt;= ($B1790 + 5))) / 12) * ($B1790 - 3) * Parameters!$B$4,"&amp;" 0) + IF($B1790 &gt;= 9, IFERROR(SUM(FILTER('Fund Investment Data'!$V:$V, 'Fund Investment Data'!$C:$C = $C1790, 'Fund Investment Data'!$A:$A = $A1790, 'Fund Investment Data'!$B:$B &lt;= 3)) * Parameters!$B$4, 0),0)))"),0.0)</f>
        <v>0</v>
      </c>
      <c r="AB1790" s="32">
        <f>IFERROR(__xludf.DUMMYFUNCTION("IFERROR(((IFERROR(SUM(FILTER('Fund Investment Data'!$V:$V, 'Fund Investment Data'!$C:$C = $C1790, 'Fund Investment Data'!$A:$A = $A1790 - 2, 'Fund Investment Data'!$B:$B &gt;= 4)) * Parameters!$B$4,0) + IFERROR(SUM(FILTER('Fund Investment Data'!$V:$V, 'Fund "&amp;"Investment Data'!$C:$C = $C1790, 'Fund Investment Data'!$A:$A = $A1790 - 1, 'Fund Investment Data'!$B:$B &lt;= 3)) * Parameters!$B$4,0))),0)"),0.0)</f>
        <v>0</v>
      </c>
      <c r="AC1790" s="32" t="str">
        <f>IFERROR(__xludf.DUMMYFUNCTION("IFERROR(FILTER($AF:$AF,$C:$C = $C1790,$A:$A = $A1790 - 1,$B:$B = 12),0)"),"")</f>
        <v/>
      </c>
      <c r="AD1790" s="32">
        <f t="shared" si="23"/>
        <v>33458.91993</v>
      </c>
      <c r="AE1790" s="32">
        <f t="shared" si="2"/>
        <v>33458.91993</v>
      </c>
      <c r="AF1790" s="32"/>
    </row>
    <row r="1791">
      <c r="A1791" s="86">
        <v>2020.0</v>
      </c>
      <c r="B1791" s="87">
        <v>5.0</v>
      </c>
      <c r="C1791" s="88" t="s">
        <v>30</v>
      </c>
      <c r="D1791" s="104">
        <v>0.0</v>
      </c>
      <c r="E1791" s="104">
        <v>0.0</v>
      </c>
      <c r="F1791" s="104">
        <v>0.0</v>
      </c>
      <c r="G1791" s="104">
        <v>-32.36</v>
      </c>
      <c r="H1791" s="104">
        <v>156.12</v>
      </c>
      <c r="I1791" s="104">
        <v>1055.21</v>
      </c>
      <c r="J1791" s="104">
        <v>-2370.74</v>
      </c>
      <c r="K1791" s="32"/>
      <c r="L1791" s="32"/>
      <c r="M1791" s="32"/>
      <c r="N1791" s="32"/>
      <c r="O1791" s="106">
        <v>16813.24</v>
      </c>
      <c r="P1791" s="91">
        <f>IFERROR(__xludf.DUMMYFUNCTION("IFERROR(sum(FILTER($D:$N,$C:$C = $C1791,$A:$A &lt; $A1791,$B:$B = 12)),0) + sum($D1791:$N1791)"),16811.609999999986)</f>
        <v>16811.61</v>
      </c>
      <c r="Q1791" s="92">
        <f t="shared" si="1"/>
        <v>1.63</v>
      </c>
      <c r="R1791" s="91">
        <f t="array" ref="R1791">IFERROR(INDEX('Fund YTD Target Values'!$1:$1000, MATCH($C1791,'Fund YTD Target Values'!$A:$A,0), MATCH($A1791,'Fund YTD Target Values'!$1:$1,0)),0)</f>
        <v>19273.16693</v>
      </c>
      <c r="S1791" s="91">
        <f>IFERROR(__xludf.DUMMYFUNCTION("IFERROR(sum(FILTER('Fund Investment Data'!$V:$V, 'Fund Investment Data'!$C:$C = $C1791, 'Fund Investment Data'!$A:$A &lt; $A1791)),0) + IFERROR(sum(FILTER('Fund Investment Data'!$V:$V, 'Fund Investment Data'!$C:$C = $C1791, 'Fund Investment Data'!$A:$A = $A1"&amp;"791, 'Fund Investment Data'!$B:$B &lt;= $B1791)),0)"),11540.75)</f>
        <v>11540.75</v>
      </c>
      <c r="T1791" s="32"/>
      <c r="U1791" s="32"/>
      <c r="V1791" s="32">
        <f>IFERROR(__xludf.DUMMYFUNCTION("$D1791 - IFERROR(FILTER($D:$D,$C:$C = $C1791, $A:$A = $A1791, $B:$B = $B1791 - 1),0)"),0.0)</f>
        <v>0</v>
      </c>
      <c r="W1791" s="93">
        <f>IFERROR(__xludf.DUMMYFUNCTION("$E1791 - IFERROR(FILTER($E:$E,$C:$C = $C1791, $A:$A = $A1791, $B:$B = $B1791 - 1),0)"),0.0)</f>
        <v>0</v>
      </c>
      <c r="X1791" s="91">
        <f>IFERROR(__xludf.DUMMYFUNCTION("iFERROR((FILTER('Fund Investment Data'!$Z:$Z, 'Fund Investment Data'!$C:$C = $C1791, 'Fund Investment Data'!$A:$A = $A1791 - 1, 'Fund Investment Data'!$B:$B = 12) + FILTER('Fund Investment Data'!$AB:$AB, 'Fund Investment Data'!$C:$C = $C1791, 'Fund Invest"&amp;"ment Data'!$A:$A = $A1791 - 1, 'Fund Investment Data'!$B:$B = 12)) * (1 + AVERAGE(FILTER('Inflation Data'!$C:$C,'Inflation Data'!$A:$A = ($A1791 - 2)))) * Parameters!$A$4,0)"),568.7991394561834)</f>
        <v>568.7991395</v>
      </c>
      <c r="Y1791" s="91">
        <f>IFERROR(__xludf.DUMMYFUNCTION("IFERROR((IFERROR(FILTER('Fund Investment Data'!$P:$P,'Fund Investment Data'!$C:$C = $C1791,'Fund Investment Data'!$A:$A = ($A1791 - 2), 'Fund Investment Data'!$B:$B = 12),0) - SUM(FILTER('Fund Investment Data'!$V:$V, 'Fund Investment Data'!$C:$C = $C1791,"&amp;" 'Fund Investment Data'!$A:$A = ($A1791 - 2), 'Fund Investment Data'!$B:$B &gt; 3)))  * Parameters!$B$4 * (1 - Parameters!$A$4),0)"),216.52757999999983)</f>
        <v>216.52758</v>
      </c>
      <c r="Z1791" s="91">
        <f t="shared" si="24"/>
        <v>785.3267195</v>
      </c>
      <c r="AA1791" s="91">
        <f>IFERROR(__xludf.DUMMYFUNCTION("((IFERROR((SUM(FILTER('Fund Investment Data'!$V:$V, 'Fund Investment Data'!$C:$C = $C1791, 'Fund Investment Data'!$A:$A = $A1791 - 1, 'Fund Investment Data'!$B:$B &gt;= 4, 'Fund Investment Data'!$B:$B &lt;= ($B1791 + 5))) / 12) * ($B1791 - 3) * Parameters!$B$4,"&amp;" 0) + IF($B1791 &gt;= 9, IFERROR(SUM(FILTER('Fund Investment Data'!$V:$V, 'Fund Investment Data'!$C:$C = $C1791, 'Fund Investment Data'!$A:$A = $A1791, 'Fund Investment Data'!$B:$B &lt;= 3)) * Parameters!$B$4, 0),0)))"),0.0)</f>
        <v>0</v>
      </c>
      <c r="AB1791" s="32">
        <f>IFERROR(__xludf.DUMMYFUNCTION("IFERROR(((IFERROR(SUM(FILTER('Fund Investment Data'!$V:$V, 'Fund Investment Data'!$C:$C = $C1791, 'Fund Investment Data'!$A:$A = $A1791 - 2, 'Fund Investment Data'!$B:$B &gt;= 4)) * Parameters!$B$4,0) + IFERROR(SUM(FILTER('Fund Investment Data'!$V:$V, 'Fund "&amp;"Investment Data'!$C:$C = $C1791, 'Fund Investment Data'!$A:$A = $A1791 - 1, 'Fund Investment Data'!$B:$B &lt;= 3)) * Parameters!$B$4,0))),0)"),0.0)</f>
        <v>0</v>
      </c>
      <c r="AC1791" s="32" t="str">
        <f>IFERROR(__xludf.DUMMYFUNCTION("IFERROR(FILTER($AF:$AF,$C:$C = $C1791,$A:$A = $A1791 - 1,$B:$B = 12),0)"),"")</f>
        <v/>
      </c>
      <c r="AD1791" s="32">
        <f t="shared" si="23"/>
        <v>785.3267195</v>
      </c>
      <c r="AE1791" s="32">
        <f t="shared" si="2"/>
        <v>785.3267195</v>
      </c>
      <c r="AF1791" s="32"/>
    </row>
    <row r="1792">
      <c r="A1792" s="86">
        <v>2020.0</v>
      </c>
      <c r="B1792" s="87">
        <v>5.0</v>
      </c>
      <c r="C1792" s="88" t="s">
        <v>47</v>
      </c>
      <c r="D1792" s="104">
        <v>0.0</v>
      </c>
      <c r="E1792" s="104">
        <v>0.0</v>
      </c>
      <c r="F1792" s="104">
        <v>0.0</v>
      </c>
      <c r="G1792" s="104">
        <v>-2682.07</v>
      </c>
      <c r="H1792" s="104">
        <v>12944.96</v>
      </c>
      <c r="I1792" s="104">
        <v>87488.04</v>
      </c>
      <c r="J1792" s="104">
        <v>-196558.48</v>
      </c>
      <c r="K1792" s="32"/>
      <c r="L1792" s="32"/>
      <c r="M1792" s="32"/>
      <c r="N1792" s="32"/>
      <c r="O1792" s="106">
        <v>1393992.32</v>
      </c>
      <c r="P1792" s="91">
        <f>IFERROR(__xludf.DUMMYFUNCTION("IFERROR(sum(FILTER($D:$N,$C:$C = $C1792,$A:$A &lt; $A1792,$B:$B = 12)),0) + sum($D1792:$N1792)"),1393991.9699999995)</f>
        <v>1393991.97</v>
      </c>
      <c r="Q1792" s="92">
        <f t="shared" si="1"/>
        <v>0.3500000006</v>
      </c>
      <c r="R1792" s="91">
        <f t="array" ref="R1792">IFERROR(INDEX('Fund YTD Target Values'!$1:$1000, MATCH($C1792,'Fund YTD Target Values'!$A:$A,0), MATCH($A1792,'Fund YTD Target Values'!$1:$1,0)),0)</f>
        <v>2083999.77</v>
      </c>
      <c r="S1792" s="91">
        <f>IFERROR(__xludf.DUMMYFUNCTION("IFERROR(sum(FILTER('Fund Investment Data'!$V:$V, 'Fund Investment Data'!$C:$C = $C1792, 'Fund Investment Data'!$A:$A &lt; $A1792)),0) + IFERROR(sum(FILTER('Fund Investment Data'!$V:$V, 'Fund Investment Data'!$C:$C = $C1792, 'Fund Investment Data'!$A:$A = $A1"&amp;"792, 'Fund Investment Data'!$B:$B &lt;= $B1792)),0)"),1456367.46)</f>
        <v>1456367.46</v>
      </c>
      <c r="T1792" s="32"/>
      <c r="U1792" s="32"/>
      <c r="V1792" s="32">
        <f>IFERROR(__xludf.DUMMYFUNCTION("$D1792 - IFERROR(FILTER($D:$D,$C:$C = $C1792, $A:$A = $A1792, $B:$B = $B1792 - 1),0)"),0.0)</f>
        <v>0</v>
      </c>
      <c r="W1792" s="93">
        <f>IFERROR(__xludf.DUMMYFUNCTION("$E1792 - IFERROR(FILTER($E:$E,$C:$C = $C1792, $A:$A = $A1792, $B:$B = $B1792 - 1),0)"),0.0)</f>
        <v>0</v>
      </c>
      <c r="X1792" s="91">
        <f>IFERROR(__xludf.DUMMYFUNCTION("iFERROR((FILTER('Fund Investment Data'!$Z:$Z, 'Fund Investment Data'!$C:$C = $C1792, 'Fund Investment Data'!$A:$A = $A1792 - 1, 'Fund Investment Data'!$B:$B = 12) + FILTER('Fund Investment Data'!$AB:$AB, 'Fund Investment Data'!$C:$C = $C1792, 'Fund Invest"&amp;"ment Data'!$A:$A = $A1792 - 1, 'Fund Investment Data'!$B:$B = 12)) * (1 + AVERAGE(FILTER('Inflation Data'!$C:$C,'Inflation Data'!$A:$A = ($A1792 - 2)))) * Parameters!$A$4,0)"),49588.29599165883)</f>
        <v>49588.29599</v>
      </c>
      <c r="Y1792" s="91">
        <f>IFERROR(__xludf.DUMMYFUNCTION("IFERROR((IFERROR(FILTER('Fund Investment Data'!$P:$P,'Fund Investment Data'!$C:$C = $C1792,'Fund Investment Data'!$A:$A = ($A1792 - 2), 'Fund Investment Data'!$B:$B = 12),0) - SUM(FILTER('Fund Investment Data'!$V:$V, 'Fund Investment Data'!$C:$C = $C1792,"&amp;" 'Fund Investment Data'!$A:$A = ($A1792 - 2), 'Fund Investment Data'!$B:$B &gt; 3)))  * Parameters!$B$4 * (1 - Parameters!$A$4),0)"),17972.522459999996)</f>
        <v>17972.52246</v>
      </c>
      <c r="Z1792" s="91">
        <f t="shared" si="24"/>
        <v>67560.81845</v>
      </c>
      <c r="AA1792" s="91">
        <f>IFERROR(__xludf.DUMMYFUNCTION("((IFERROR((SUM(FILTER('Fund Investment Data'!$V:$V, 'Fund Investment Data'!$C:$C = $C1792, 'Fund Investment Data'!$A:$A = $A1792 - 1, 'Fund Investment Data'!$B:$B &gt;= 4, 'Fund Investment Data'!$B:$B &lt;= ($B1792 + 5))) / 12) * ($B1792 - 3) * Parameters!$B$4,"&amp;" 0) + IF($B1792 &gt;= 9, IFERROR(SUM(FILTER('Fund Investment Data'!$V:$V, 'Fund Investment Data'!$C:$C = $C1792, 'Fund Investment Data'!$A:$A = $A1792, 'Fund Investment Data'!$B:$B &lt;= 3)) * Parameters!$B$4, 0),0)))"),0.0)</f>
        <v>0</v>
      </c>
      <c r="AB1792" s="32">
        <f>IFERROR(__xludf.DUMMYFUNCTION("IFERROR(((IFERROR(SUM(FILTER('Fund Investment Data'!$V:$V, 'Fund Investment Data'!$C:$C = $C1792, 'Fund Investment Data'!$A:$A = $A1792 - 2, 'Fund Investment Data'!$B:$B &gt;= 4)) * Parameters!$B$4,0) + IFERROR(SUM(FILTER('Fund Investment Data'!$V:$V, 'Fund "&amp;"Investment Data'!$C:$C = $C1792, 'Fund Investment Data'!$A:$A = $A1792 - 1, 'Fund Investment Data'!$B:$B &lt;= 3)) * Parameters!$B$4,0))),0)"),0.0)</f>
        <v>0</v>
      </c>
      <c r="AC1792" s="32" t="str">
        <f>IFERROR(__xludf.DUMMYFUNCTION("IFERROR(FILTER($AF:$AF,$C:$C = $C1792,$A:$A = $A1792 - 1,$B:$B = 12),0)"),"")</f>
        <v/>
      </c>
      <c r="AD1792" s="32">
        <f t="shared" si="23"/>
        <v>67560.81845</v>
      </c>
      <c r="AE1792" s="32">
        <f t="shared" si="2"/>
        <v>67560.81845</v>
      </c>
      <c r="AF1792" s="32"/>
    </row>
    <row r="1793">
      <c r="A1793" s="86">
        <v>2020.0</v>
      </c>
      <c r="B1793" s="87">
        <v>5.0</v>
      </c>
      <c r="C1793" s="88" t="s">
        <v>31</v>
      </c>
      <c r="D1793" s="104">
        <v>0.0</v>
      </c>
      <c r="E1793" s="104">
        <v>0.0</v>
      </c>
      <c r="F1793" s="104">
        <v>0.0</v>
      </c>
      <c r="G1793" s="104">
        <v>-333.46</v>
      </c>
      <c r="H1793" s="104">
        <v>1609.39</v>
      </c>
      <c r="I1793" s="104">
        <v>10877.01</v>
      </c>
      <c r="J1793" s="104">
        <v>-24437.3</v>
      </c>
      <c r="K1793" s="32"/>
      <c r="L1793" s="32"/>
      <c r="M1793" s="32"/>
      <c r="N1793" s="32"/>
      <c r="O1793" s="106">
        <v>173309.22</v>
      </c>
      <c r="P1793" s="91">
        <f>IFERROR(__xludf.DUMMYFUNCTION("IFERROR(sum(FILTER($D:$N,$C:$C = $C1793,$A:$A &lt; $A1793,$B:$B = 12)),0) + sum($D1793:$N1793)"),173309.22999999998)</f>
        <v>173309.23</v>
      </c>
      <c r="Q1793" s="92">
        <f t="shared" si="1"/>
        <v>-0.00999999998</v>
      </c>
      <c r="R1793" s="91">
        <f t="array" ref="R1793">IFERROR(INDEX('Fund YTD Target Values'!$1:$1000, MATCH($C1793,'Fund YTD Target Values'!$A:$A,0), MATCH($A1793,'Fund YTD Target Values'!$1:$1,0)),0)</f>
        <v>219640.3616</v>
      </c>
      <c r="S1793" s="91">
        <f>IFERROR(__xludf.DUMMYFUNCTION("IFERROR(sum(FILTER('Fund Investment Data'!$V:$V, 'Fund Investment Data'!$C:$C = $C1793, 'Fund Investment Data'!$A:$A &lt; $A1793)),0) + IFERROR(sum(FILTER('Fund Investment Data'!$V:$V, 'Fund Investment Data'!$C:$C = $C1793, 'Fund Investment Data'!$A:$A = $A1"&amp;"793, 'Fund Investment Data'!$B:$B &lt;= $B1793)),0)"),158200.0)</f>
        <v>158200</v>
      </c>
      <c r="T1793" s="32"/>
      <c r="U1793" s="32"/>
      <c r="V1793" s="32">
        <f>IFERROR(__xludf.DUMMYFUNCTION("$D1793 - IFERROR(FILTER($D:$D,$C:$C = $C1793, $A:$A = $A1793, $B:$B = $B1793 - 1),0)"),0.0)</f>
        <v>0</v>
      </c>
      <c r="W1793" s="93">
        <f>IFERROR(__xludf.DUMMYFUNCTION("$E1793 - IFERROR(FILTER($E:$E,$C:$C = $C1793, $A:$A = $A1793, $B:$B = $B1793 - 1),0)"),0.0)</f>
        <v>0</v>
      </c>
      <c r="X1793" s="91">
        <f>IFERROR(__xludf.DUMMYFUNCTION("iFERROR((FILTER('Fund Investment Data'!$Z:$Z, 'Fund Investment Data'!$C:$C = $C1793, 'Fund Investment Data'!$A:$A = $A1793 - 1, 'Fund Investment Data'!$B:$B = 12) + FILTER('Fund Investment Data'!$AB:$AB, 'Fund Investment Data'!$C:$C = $C1793, 'Fund Invest"&amp;"ment Data'!$A:$A = $A1793 - 1, 'Fund Investment Data'!$B:$B = 12)) * (1 + AVERAGE(FILTER('Inflation Data'!$C:$C,'Inflation Data'!$A:$A = ($A1793 - 2)))) * Parameters!$A$4,0)"),6267.63344728865)</f>
        <v>6267.633447</v>
      </c>
      <c r="Y1793" s="91">
        <f>IFERROR(__xludf.DUMMYFUNCTION("IFERROR((IFERROR(FILTER('Fund Investment Data'!$P:$P,'Fund Investment Data'!$C:$C = $C1793,'Fund Investment Data'!$A:$A = ($A1793 - 2), 'Fund Investment Data'!$B:$B = 12),0) - SUM(FILTER('Fund Investment Data'!$V:$V, 'Fund Investment Data'!$C:$C = $C1793,"&amp;" 'Fund Investment Data'!$A:$A = ($A1793 - 2), 'Fund Investment Data'!$B:$B &gt; 3)))  * Parameters!$B$4 * (1 - Parameters!$A$4),0)"),2235.5692200000008)</f>
        <v>2235.56922</v>
      </c>
      <c r="Z1793" s="91">
        <f t="shared" si="24"/>
        <v>8503.202667</v>
      </c>
      <c r="AA1793" s="91">
        <f>IFERROR(__xludf.DUMMYFUNCTION("((IFERROR((SUM(FILTER('Fund Investment Data'!$V:$V, 'Fund Investment Data'!$C:$C = $C1793, 'Fund Investment Data'!$A:$A = $A1793 - 1, 'Fund Investment Data'!$B:$B &gt;= 4, 'Fund Investment Data'!$B:$B &lt;= ($B1793 + 5))) / 12) * ($B1793 - 3) * Parameters!$B$4,"&amp;" 0) + IF($B1793 &gt;= 9, IFERROR(SUM(FILTER('Fund Investment Data'!$V:$V, 'Fund Investment Data'!$C:$C = $C1793, 'Fund Investment Data'!$A:$A = $A1793, 'Fund Investment Data'!$B:$B &lt;= 3)) * Parameters!$B$4, 0),0)))"),0.75)</f>
        <v>0.75</v>
      </c>
      <c r="AB1793" s="32">
        <f>IFERROR(__xludf.DUMMYFUNCTION("IFERROR(((IFERROR(SUM(FILTER('Fund Investment Data'!$V:$V, 'Fund Investment Data'!$C:$C = $C1793, 'Fund Investment Data'!$A:$A = $A1793 - 2, 'Fund Investment Data'!$B:$B &gt;= 4)) * Parameters!$B$4,0) + IFERROR(SUM(FILTER('Fund Investment Data'!$V:$V, 'Fund "&amp;"Investment Data'!$C:$C = $C1793, 'Fund Investment Data'!$A:$A = $A1793 - 1, 'Fund Investment Data'!$B:$B &lt;= 3)) * Parameters!$B$4,0))),0)"),0.0)</f>
        <v>0</v>
      </c>
      <c r="AC1793" s="32" t="str">
        <f>IFERROR(__xludf.DUMMYFUNCTION("IFERROR(FILTER($AF:$AF,$C:$C = $C1793,$A:$A = $A1793 - 1,$B:$B = 12),0)"),"")</f>
        <v/>
      </c>
      <c r="AD1793" s="32">
        <f t="shared" si="23"/>
        <v>8503.952667</v>
      </c>
      <c r="AE1793" s="32">
        <f t="shared" si="2"/>
        <v>8503.952667</v>
      </c>
      <c r="AF1793" s="32"/>
    </row>
    <row r="1794">
      <c r="A1794" s="86">
        <v>2020.0</v>
      </c>
      <c r="B1794" s="87">
        <v>5.0</v>
      </c>
      <c r="C1794" s="88" t="s">
        <v>39</v>
      </c>
      <c r="D1794" s="104">
        <v>0.0</v>
      </c>
      <c r="E1794" s="104">
        <v>0.0</v>
      </c>
      <c r="F1794" s="104">
        <v>0.0</v>
      </c>
      <c r="G1794" s="104">
        <v>-372.87</v>
      </c>
      <c r="H1794" s="104">
        <v>1799.67</v>
      </c>
      <c r="I1794" s="104">
        <v>12163.02</v>
      </c>
      <c r="J1794" s="104">
        <v>-27326.53</v>
      </c>
      <c r="K1794" s="32"/>
      <c r="L1794" s="32"/>
      <c r="M1794" s="32"/>
      <c r="N1794" s="32"/>
      <c r="O1794" s="106">
        <v>193799.75</v>
      </c>
      <c r="P1794" s="91">
        <f>IFERROR(__xludf.DUMMYFUNCTION("IFERROR(sum(FILTER($D:$N,$C:$C = $C1794,$A:$A &lt; $A1794,$B:$B = 12)),0) + sum($D1794:$N1794)"),193799.75000000006)</f>
        <v>193799.75</v>
      </c>
      <c r="Q1794" s="92">
        <f t="shared" si="1"/>
        <v>0</v>
      </c>
      <c r="R1794" s="91">
        <f t="array" ref="R1794">IFERROR(INDEX('Fund YTD Target Values'!$1:$1000, MATCH($C1794,'Fund YTD Target Values'!$A:$A,0), MATCH($A1794,'Fund YTD Target Values'!$1:$1,0)),0)</f>
        <v>208132.6987</v>
      </c>
      <c r="S1794" s="91">
        <f>IFERROR(__xludf.DUMMYFUNCTION("IFERROR(sum(FILTER('Fund Investment Data'!$V:$V, 'Fund Investment Data'!$C:$C = $C1794, 'Fund Investment Data'!$A:$A &lt; $A1794)),0) + IFERROR(sum(FILTER('Fund Investment Data'!$V:$V, 'Fund Investment Data'!$C:$C = $C1794, 'Fund Investment Data'!$A:$A = $A1"&amp;"794, 'Fund Investment Data'!$B:$B &lt;= $B1794)),0)"),185000.0)</f>
        <v>185000</v>
      </c>
      <c r="T1794" s="32"/>
      <c r="U1794" s="32"/>
      <c r="V1794" s="32">
        <f>IFERROR(__xludf.DUMMYFUNCTION("$D1794 - IFERROR(FILTER($D:$D,$C:$C = $C1794, $A:$A = $A1794, $B:$B = $B1794 - 1),0)"),0.0)</f>
        <v>0</v>
      </c>
      <c r="W1794" s="93">
        <f>IFERROR(__xludf.DUMMYFUNCTION("$E1794 - IFERROR(FILTER($E:$E,$C:$C = $C1794, $A:$A = $A1794, $B:$B = $B1794 - 1),0)"),0.0)</f>
        <v>0</v>
      </c>
      <c r="X1794" s="91">
        <f>IFERROR(__xludf.DUMMYFUNCTION("iFERROR((FILTER('Fund Investment Data'!$Z:$Z, 'Fund Investment Data'!$C:$C = $C1794, 'Fund Investment Data'!$A:$A = $A1794 - 1, 'Fund Investment Data'!$B:$B = 12) + FILTER('Fund Investment Data'!$AB:$AB, 'Fund Investment Data'!$C:$C = $C1794, 'Fund Invest"&amp;"ment Data'!$A:$A = $A1794 - 1, 'Fund Investment Data'!$B:$B = 12)) * (1 + AVERAGE(FILTER('Inflation Data'!$C:$C,'Inflation Data'!$A:$A = ($A1794 - 2)))) * Parameters!$A$4,0)"),5904.480581542223)</f>
        <v>5904.480582</v>
      </c>
      <c r="Y1794" s="91">
        <f>IFERROR(__xludf.DUMMYFUNCTION("IFERROR((IFERROR(FILTER('Fund Investment Data'!$P:$P,'Fund Investment Data'!$C:$C = $C1794,'Fund Investment Data'!$A:$A = ($A1794 - 2), 'Fund Investment Data'!$B:$B = 12),0) - SUM(FILTER('Fund Investment Data'!$V:$V, 'Fund Investment Data'!$C:$C = $C1794,"&amp;" 'Fund Investment Data'!$A:$A = ($A1794 - 2), 'Fund Investment Data'!$B:$B &gt; 3)))  * Parameters!$B$4 * (1 - Parameters!$A$4),0)"),2103.5735100000006)</f>
        <v>2103.57351</v>
      </c>
      <c r="Z1794" s="91">
        <f t="shared" si="24"/>
        <v>8008.054092</v>
      </c>
      <c r="AA1794" s="91">
        <f>IFERROR(__xludf.DUMMYFUNCTION("((IFERROR((SUM(FILTER('Fund Investment Data'!$V:$V, 'Fund Investment Data'!$C:$C = $C1794, 'Fund Investment Data'!$A:$A = $A1794 - 1, 'Fund Investment Data'!$B:$B &gt;= 4, 'Fund Investment Data'!$B:$B &lt;= ($B1794 + 5))) / 12) * ($B1794 - 3) * Parameters!$B$4,"&amp;" 0) + IF($B1794 &gt;= 9, IFERROR(SUM(FILTER('Fund Investment Data'!$V:$V, 'Fund Investment Data'!$C:$C = $C1794, 'Fund Investment Data'!$A:$A = $A1794, 'Fund Investment Data'!$B:$B &lt;= 3)) * Parameters!$B$4, 0),0)))"),112.5)</f>
        <v>112.5</v>
      </c>
      <c r="AB1794" s="32">
        <f>IFERROR(__xludf.DUMMYFUNCTION("IFERROR(((IFERROR(SUM(FILTER('Fund Investment Data'!$V:$V, 'Fund Investment Data'!$C:$C = $C1794, 'Fund Investment Data'!$A:$A = $A1794 - 2, 'Fund Investment Data'!$B:$B &gt;= 4)) * Parameters!$B$4,0) + IFERROR(SUM(FILTER('Fund Investment Data'!$V:$V, 'Fund "&amp;"Investment Data'!$C:$C = $C1794, 'Fund Investment Data'!$A:$A = $A1794 - 1, 'Fund Investment Data'!$B:$B &lt;= 3)) * Parameters!$B$4,0))),0)"),675.0)</f>
        <v>675</v>
      </c>
      <c r="AC1794" s="32" t="str">
        <f>IFERROR(__xludf.DUMMYFUNCTION("IFERROR(FILTER($AF:$AF,$C:$C = $C1794,$A:$A = $A1794 - 1,$B:$B = 12),0)"),"")</f>
        <v/>
      </c>
      <c r="AD1794" s="32">
        <f t="shared" si="23"/>
        <v>8795.554092</v>
      </c>
      <c r="AE1794" s="32">
        <f t="shared" si="2"/>
        <v>8795.554092</v>
      </c>
      <c r="AF1794" s="32"/>
    </row>
    <row r="1795">
      <c r="A1795" s="86">
        <v>2020.0</v>
      </c>
      <c r="B1795" s="87">
        <v>5.0</v>
      </c>
      <c r="C1795" s="88" t="s">
        <v>50</v>
      </c>
      <c r="D1795" s="104">
        <v>0.0</v>
      </c>
      <c r="E1795" s="104">
        <v>0.0</v>
      </c>
      <c r="F1795" s="104">
        <v>0.0</v>
      </c>
      <c r="G1795" s="104">
        <v>-380.88</v>
      </c>
      <c r="H1795" s="104">
        <v>1838.31</v>
      </c>
      <c r="I1795" s="104">
        <v>12424.14</v>
      </c>
      <c r="J1795" s="104">
        <v>-27913.17</v>
      </c>
      <c r="K1795" s="32"/>
      <c r="L1795" s="32"/>
      <c r="M1795" s="32"/>
      <c r="N1795" s="32"/>
      <c r="O1795" s="106">
        <v>197960.11</v>
      </c>
      <c r="P1795" s="91">
        <f>IFERROR(__xludf.DUMMYFUNCTION("IFERROR(sum(FILTER($D:$N,$C:$C = $C1795,$A:$A &lt; $A1795,$B:$B = 12)),0) + sum($D1795:$N1795)"),197959.58000000005)</f>
        <v>197959.58</v>
      </c>
      <c r="Q1795" s="92">
        <f t="shared" si="1"/>
        <v>0.5299999999</v>
      </c>
      <c r="R1795" s="91">
        <f t="array" ref="R1795">IFERROR(INDEX('Fund YTD Target Values'!$1:$1000, MATCH($C1795,'Fund YTD Target Values'!$A:$A,0), MATCH($A1795,'Fund YTD Target Values'!$1:$1,0)),0)</f>
        <v>226949.7266</v>
      </c>
      <c r="S1795" s="91">
        <f>IFERROR(__xludf.DUMMYFUNCTION("IFERROR(sum(FILTER('Fund Investment Data'!$V:$V, 'Fund Investment Data'!$C:$C = $C1795, 'Fund Investment Data'!$A:$A &lt; $A1795)),0) + IFERROR(sum(FILTER('Fund Investment Data'!$V:$V, 'Fund Investment Data'!$C:$C = $C1795, 'Fund Investment Data'!$A:$A = $A1"&amp;"795, 'Fund Investment Data'!$B:$B &lt;= $B1795)),0)"),185189.56)</f>
        <v>185189.56</v>
      </c>
      <c r="T1795" s="32"/>
      <c r="U1795" s="32"/>
      <c r="V1795" s="32">
        <f>IFERROR(__xludf.DUMMYFUNCTION("$D1795 - IFERROR(FILTER($D:$D,$C:$C = $C1795, $A:$A = $A1795, $B:$B = $B1795 - 1),0)"),0.0)</f>
        <v>0</v>
      </c>
      <c r="W1795" s="93">
        <f>IFERROR(__xludf.DUMMYFUNCTION("$E1795 - IFERROR(FILTER($E:$E,$C:$C = $C1795, $A:$A = $A1795, $B:$B = $B1795 - 1),0)"),0.0)</f>
        <v>0</v>
      </c>
      <c r="X1795" s="91">
        <f>IFERROR(__xludf.DUMMYFUNCTION("iFERROR((FILTER('Fund Investment Data'!$Z:$Z, 'Fund Investment Data'!$C:$C = $C1795, 'Fund Investment Data'!$A:$A = $A1795 - 1, 'Fund Investment Data'!$B:$B = 12) + FILTER('Fund Investment Data'!$AB:$AB, 'Fund Investment Data'!$C:$C = $C1795, 'Fund Invest"&amp;"ment Data'!$A:$A = $A1795 - 1, 'Fund Investment Data'!$B:$B = 12)) * (1 + AVERAGE(FILTER('Inflation Data'!$C:$C,'Inflation Data'!$A:$A = ($A1795 - 2)))) * Parameters!$A$4,0)"),7449.06504745473)</f>
        <v>7449.065047</v>
      </c>
      <c r="Y1795" s="91">
        <f>IFERROR(__xludf.DUMMYFUNCTION("IFERROR((IFERROR(FILTER('Fund Investment Data'!$P:$P,'Fund Investment Data'!$C:$C = $C1795,'Fund Investment Data'!$A:$A = ($A1795 - 2), 'Fund Investment Data'!$B:$B = 12),0) - SUM(FILTER('Fund Investment Data'!$V:$V, 'Fund Investment Data'!$C:$C = $C1795,"&amp;" 'Fund Investment Data'!$A:$A = ($A1795 - 2), 'Fund Investment Data'!$B:$B &gt; 3)))  * Parameters!$B$4 * (1 - Parameters!$A$4),0)"),2558.976705)</f>
        <v>2558.976705</v>
      </c>
      <c r="Z1795" s="91">
        <f t="shared" si="24"/>
        <v>10008.04175</v>
      </c>
      <c r="AA1795" s="91">
        <f>IFERROR(__xludf.DUMMYFUNCTION("((IFERROR((SUM(FILTER('Fund Investment Data'!$V:$V, 'Fund Investment Data'!$C:$C = $C1795, 'Fund Investment Data'!$A:$A = $A1795 - 1, 'Fund Investment Data'!$B:$B &gt;= 4, 'Fund Investment Data'!$B:$B &lt;= ($B1795 + 5))) / 12) * ($B1795 - 3) * Parameters!$B$4,"&amp;" 0) + IF($B1795 &gt;= 9, IFERROR(SUM(FILTER('Fund Investment Data'!$V:$V, 'Fund Investment Data'!$C:$C = $C1795, 'Fund Investment Data'!$A:$A = $A1795, 'Fund Investment Data'!$B:$B &lt;= 3)) * Parameters!$B$4, 0),0)))"),0.0)</f>
        <v>0</v>
      </c>
      <c r="AB1795" s="32">
        <f>IFERROR(__xludf.DUMMYFUNCTION("IFERROR(((IFERROR(SUM(FILTER('Fund Investment Data'!$V:$V, 'Fund Investment Data'!$C:$C = $C1795, 'Fund Investment Data'!$A:$A = $A1795 - 2, 'Fund Investment Data'!$B:$B &gt;= 4)) * Parameters!$B$4,0) + IFERROR(SUM(FILTER('Fund Investment Data'!$V:$V, 'Fund "&amp;"Investment Data'!$C:$C = $C1795, 'Fund Investment Data'!$A:$A = $A1795 - 1, 'Fund Investment Data'!$B:$B &lt;= 3)) * Parameters!$B$4,0))),0)"),0.0)</f>
        <v>0</v>
      </c>
      <c r="AC1795" s="32" t="str">
        <f>IFERROR(__xludf.DUMMYFUNCTION("IFERROR(FILTER($AF:$AF,$C:$C = $C1795,$A:$A = $A1795 - 1,$B:$B = 12),0)"),"")</f>
        <v/>
      </c>
      <c r="AD1795" s="32">
        <f t="shared" si="23"/>
        <v>10008.04175</v>
      </c>
      <c r="AE1795" s="32">
        <f t="shared" si="2"/>
        <v>10008.04175</v>
      </c>
      <c r="AF1795" s="32"/>
    </row>
    <row r="1796">
      <c r="A1796" s="86">
        <v>2020.0</v>
      </c>
      <c r="B1796" s="87">
        <v>5.0</v>
      </c>
      <c r="C1796" s="88" t="s">
        <v>32</v>
      </c>
      <c r="D1796" s="104">
        <v>0.0</v>
      </c>
      <c r="E1796" s="104">
        <v>0.0</v>
      </c>
      <c r="F1796" s="104">
        <v>0.0</v>
      </c>
      <c r="G1796" s="104">
        <v>-95.68</v>
      </c>
      <c r="H1796" s="104">
        <v>461.79</v>
      </c>
      <c r="I1796" s="104">
        <v>3121.01</v>
      </c>
      <c r="J1796" s="104">
        <v>-7011.97</v>
      </c>
      <c r="K1796" s="32"/>
      <c r="L1796" s="32"/>
      <c r="M1796" s="32"/>
      <c r="N1796" s="32"/>
      <c r="O1796" s="106">
        <v>49728.85</v>
      </c>
      <c r="P1796" s="91">
        <f>IFERROR(__xludf.DUMMYFUNCTION("IFERROR(sum(FILTER($D:$N,$C:$C = $C1796,$A:$A &lt; $A1796,$B:$B = 12)),0) + sum($D1796:$N1796)"),49728.450000000026)</f>
        <v>49728.45</v>
      </c>
      <c r="Q1796" s="92">
        <f t="shared" si="1"/>
        <v>0.4</v>
      </c>
      <c r="R1796" s="91">
        <f t="array" ref="R1796">IFERROR(INDEX('Fund YTD Target Values'!$1:$1000, MATCH($C1796,'Fund YTD Target Values'!$A:$A,0), MATCH($A1796,'Fund YTD Target Values'!$1:$1,0)),0)</f>
        <v>82557.08463</v>
      </c>
      <c r="S1796" s="91">
        <f>IFERROR(__xludf.DUMMYFUNCTION("IFERROR(sum(FILTER('Fund Investment Data'!$V:$V, 'Fund Investment Data'!$C:$C = $C1796, 'Fund Investment Data'!$A:$A &lt; $A1796)),0) + IFERROR(sum(FILTER('Fund Investment Data'!$V:$V, 'Fund Investment Data'!$C:$C = $C1796, 'Fund Investment Data'!$A:$A = $A1"&amp;"796, 'Fund Investment Data'!$B:$B &lt;= $B1796)),0)"),49449.04)</f>
        <v>49449.04</v>
      </c>
      <c r="T1796" s="32"/>
      <c r="U1796" s="32"/>
      <c r="V1796" s="32">
        <f>IFERROR(__xludf.DUMMYFUNCTION("$D1796 - IFERROR(FILTER($D:$D,$C:$C = $C1796, $A:$A = $A1796, $B:$B = $B1796 - 1),0)"),0.0)</f>
        <v>0</v>
      </c>
      <c r="W1796" s="93">
        <f>IFERROR(__xludf.DUMMYFUNCTION("$E1796 - IFERROR(FILTER($E:$E,$C:$C = $C1796, $A:$A = $A1796, $B:$B = $B1796 - 1),0)"),0.0)</f>
        <v>0</v>
      </c>
      <c r="X1796" s="91">
        <f>IFERROR(__xludf.DUMMYFUNCTION("iFERROR((FILTER('Fund Investment Data'!$Z:$Z, 'Fund Investment Data'!$C:$C = $C1796, 'Fund Investment Data'!$A:$A = $A1796 - 1, 'Fund Investment Data'!$B:$B = 12) + FILTER('Fund Investment Data'!$AB:$AB, 'Fund Investment Data'!$C:$C = $C1796, 'Fund Invest"&amp;"ment Data'!$A:$A = $A1796 - 1, 'Fund Investment Data'!$B:$B = 12)) * (1 + AVERAGE(FILTER('Inflation Data'!$C:$C,'Inflation Data'!$A:$A = ($A1796 - 2)))) * Parameters!$A$4,0)"),1749.9100001922152)</f>
        <v>1749.91</v>
      </c>
      <c r="Y1796" s="91">
        <f>IFERROR(__xludf.DUMMYFUNCTION("IFERROR((IFERROR(FILTER('Fund Investment Data'!$P:$P,'Fund Investment Data'!$C:$C = $C1796,'Fund Investment Data'!$A:$A = ($A1796 - 2), 'Fund Investment Data'!$B:$B = 12),0) - SUM(FILTER('Fund Investment Data'!$V:$V, 'Fund Investment Data'!$C:$C = $C1796,"&amp;" 'Fund Investment Data'!$A:$A = ($A1796 - 2), 'Fund Investment Data'!$B:$B &gt; 3)))  * Parameters!$B$4 * (1 - Parameters!$A$4),0)"),640.5770250000005)</f>
        <v>640.577025</v>
      </c>
      <c r="Z1796" s="91">
        <f t="shared" si="24"/>
        <v>2390.487025</v>
      </c>
      <c r="AA1796" s="91">
        <f>IFERROR(__xludf.DUMMYFUNCTION("((IFERROR((SUM(FILTER('Fund Investment Data'!$V:$V, 'Fund Investment Data'!$C:$C = $C1796, 'Fund Investment Data'!$A:$A = $A1796 - 1, 'Fund Investment Data'!$B:$B &gt;= 4, 'Fund Investment Data'!$B:$B &lt;= ($B1796 + 5))) / 12) * ($B1796 - 3) * Parameters!$B$4,"&amp;" 0) + IF($B1796 &gt;= 9, IFERROR(SUM(FILTER('Fund Investment Data'!$V:$V, 'Fund Investment Data'!$C:$C = $C1796, 'Fund Investment Data'!$A:$A = $A1796, 'Fund Investment Data'!$B:$B &lt;= 3)) * Parameters!$B$4, 0),0)))"),0.0)</f>
        <v>0</v>
      </c>
      <c r="AB1796" s="32">
        <f>IFERROR(__xludf.DUMMYFUNCTION("IFERROR(((IFERROR(SUM(FILTER('Fund Investment Data'!$V:$V, 'Fund Investment Data'!$C:$C = $C1796, 'Fund Investment Data'!$A:$A = $A1796 - 2, 'Fund Investment Data'!$B:$B &gt;= 4)) * Parameters!$B$4,0) + IFERROR(SUM(FILTER('Fund Investment Data'!$V:$V, 'Fund "&amp;"Investment Data'!$C:$C = $C1796, 'Fund Investment Data'!$A:$A = $A1796 - 1, 'Fund Investment Data'!$B:$B &lt;= 3)) * Parameters!$B$4,0))),0)"),0.0)</f>
        <v>0</v>
      </c>
      <c r="AC1796" s="32" t="str">
        <f>IFERROR(__xludf.DUMMYFUNCTION("IFERROR(FILTER($AF:$AF,$C:$C = $C1796,$A:$A = $A1796 - 1,$B:$B = 12),0)"),"")</f>
        <v/>
      </c>
      <c r="AD1796" s="32">
        <f t="shared" si="23"/>
        <v>2390.487025</v>
      </c>
      <c r="AE1796" s="32">
        <f t="shared" si="2"/>
        <v>2390.487025</v>
      </c>
      <c r="AF1796" s="32"/>
    </row>
    <row r="1797">
      <c r="A1797" s="86">
        <v>2020.0</v>
      </c>
      <c r="B1797" s="87">
        <v>5.0</v>
      </c>
      <c r="C1797" s="88" t="s">
        <v>40</v>
      </c>
      <c r="D1797" s="104">
        <v>0.0</v>
      </c>
      <c r="E1797" s="104">
        <v>0.0</v>
      </c>
      <c r="F1797" s="104">
        <v>0.0</v>
      </c>
      <c r="G1797" s="104">
        <v>-274.96</v>
      </c>
      <c r="H1797" s="104">
        <v>1327.16</v>
      </c>
      <c r="I1797" s="104">
        <v>8969.53</v>
      </c>
      <c r="J1797" s="104">
        <v>-20151.76</v>
      </c>
      <c r="K1797" s="32"/>
      <c r="L1797" s="32"/>
      <c r="M1797" s="32"/>
      <c r="N1797" s="32"/>
      <c r="O1797" s="106">
        <v>142916.16</v>
      </c>
      <c r="P1797" s="91">
        <f>IFERROR(__xludf.DUMMYFUNCTION("IFERROR(sum(FILTER($D:$N,$C:$C = $C1797,$A:$A &lt; $A1797,$B:$B = 12)),0) + sum($D1797:$N1797)"),142916.1199999999)</f>
        <v>142916.12</v>
      </c>
      <c r="Q1797" s="92">
        <f t="shared" si="1"/>
        <v>0.0400000001</v>
      </c>
      <c r="R1797" s="91">
        <f t="array" ref="R1797">IFERROR(INDEX('Fund YTD Target Values'!$1:$1000, MATCH($C1797,'Fund YTD Target Values'!$A:$A,0), MATCH($A1797,'Fund YTD Target Values'!$1:$1,0)),0)</f>
        <v>168247.0993</v>
      </c>
      <c r="S1797" s="91">
        <f>IFERROR(__xludf.DUMMYFUNCTION("IFERROR(sum(FILTER('Fund Investment Data'!$V:$V, 'Fund Investment Data'!$C:$C = $C1797, 'Fund Investment Data'!$A:$A &lt; $A1797)),0) + IFERROR(sum(FILTER('Fund Investment Data'!$V:$V, 'Fund Investment Data'!$C:$C = $C1797, 'Fund Investment Data'!$A:$A = $A1"&amp;"797, 'Fund Investment Data'!$B:$B &lt;= $B1797)),0)"),129703.74)</f>
        <v>129703.74</v>
      </c>
      <c r="T1797" s="32"/>
      <c r="U1797" s="32"/>
      <c r="V1797" s="32">
        <f>IFERROR(__xludf.DUMMYFUNCTION("$D1797 - IFERROR(FILTER($D:$D,$C:$C = $C1797, $A:$A = $A1797, $B:$B = $B1797 - 1),0)"),0.0)</f>
        <v>0</v>
      </c>
      <c r="W1797" s="93">
        <f>IFERROR(__xludf.DUMMYFUNCTION("$E1797 - IFERROR(FILTER($E:$E,$C:$C = $C1797, $A:$A = $A1797, $B:$B = $B1797 - 1),0)"),0.0)</f>
        <v>0</v>
      </c>
      <c r="X1797" s="91">
        <f>IFERROR(__xludf.DUMMYFUNCTION("iFERROR((FILTER('Fund Investment Data'!$Z:$Z, 'Fund Investment Data'!$C:$C = $C1797, 'Fund Investment Data'!$A:$A = $A1797 - 1, 'Fund Investment Data'!$B:$B = 12) + FILTER('Fund Investment Data'!$AB:$AB, 'Fund Investment Data'!$C:$C = $C1797, 'Fund Invest"&amp;"ment Data'!$A:$A = $A1797 - 1, 'Fund Investment Data'!$B:$B = 12)) * (1 + AVERAGE(FILTER('Inflation Data'!$C:$C,'Inflation Data'!$A:$A = ($A1797 - 2)))) * Parameters!$A$4,0)"),5070.262994014637)</f>
        <v>5070.262994</v>
      </c>
      <c r="Y1797" s="91">
        <f>IFERROR(__xludf.DUMMYFUNCTION("IFERROR((IFERROR(FILTER('Fund Investment Data'!$P:$P,'Fund Investment Data'!$C:$C = $C1797,'Fund Investment Data'!$A:$A = ($A1797 - 2), 'Fund Investment Data'!$B:$B = 12),0) - SUM(FILTER('Fund Investment Data'!$V:$V, 'Fund Investment Data'!$C:$C = $C1797,"&amp;" 'Fund Investment Data'!$A:$A = ($A1797 - 2), 'Fund Investment Data'!$B:$B &gt; 3)))  * Parameters!$B$4 * (1 - Parameters!$A$4),0)"),1842.0089849999993)</f>
        <v>1842.008985</v>
      </c>
      <c r="Z1797" s="91">
        <f t="shared" si="24"/>
        <v>6912.271979</v>
      </c>
      <c r="AA1797" s="91">
        <f>IFERROR(__xludf.DUMMYFUNCTION("((IFERROR((SUM(FILTER('Fund Investment Data'!$V:$V, 'Fund Investment Data'!$C:$C = $C1797, 'Fund Investment Data'!$A:$A = $A1797 - 1, 'Fund Investment Data'!$B:$B &gt;= 4, 'Fund Investment Data'!$B:$B &lt;= ($B1797 + 5))) / 12) * ($B1797 - 3) * Parameters!$B$4,"&amp;" 0) + IF($B1797 &gt;= 9, IFERROR(SUM(FILTER('Fund Investment Data'!$V:$V, 'Fund Investment Data'!$C:$C = $C1797, 'Fund Investment Data'!$A:$A = $A1797, 'Fund Investment Data'!$B:$B &lt;= 3)) * Parameters!$B$4, 0),0)))"),0.0)</f>
        <v>0</v>
      </c>
      <c r="AB1797" s="32">
        <f>IFERROR(__xludf.DUMMYFUNCTION("IFERROR(((IFERROR(SUM(FILTER('Fund Investment Data'!$V:$V, 'Fund Investment Data'!$C:$C = $C1797, 'Fund Investment Data'!$A:$A = $A1797 - 2, 'Fund Investment Data'!$B:$B &gt;= 4)) * Parameters!$B$4,0) + IFERROR(SUM(FILTER('Fund Investment Data'!$V:$V, 'Fund "&amp;"Investment Data'!$C:$C = $C1797, 'Fund Investment Data'!$A:$A = $A1797 - 1, 'Fund Investment Data'!$B:$B &lt;= 3)) * Parameters!$B$4,0))),0)"),0.0)</f>
        <v>0</v>
      </c>
      <c r="AC1797" s="32" t="str">
        <f>IFERROR(__xludf.DUMMYFUNCTION("IFERROR(FILTER($AF:$AF,$C:$C = $C1797,$A:$A = $A1797 - 1,$B:$B = 12),0)"),"")</f>
        <v/>
      </c>
      <c r="AD1797" s="32">
        <f t="shared" si="23"/>
        <v>6912.271979</v>
      </c>
      <c r="AE1797" s="32">
        <f t="shared" si="2"/>
        <v>6912.271979</v>
      </c>
      <c r="AF1797" s="32"/>
    </row>
    <row r="1798">
      <c r="A1798" s="86">
        <v>2020.0</v>
      </c>
      <c r="B1798" s="87">
        <v>5.0</v>
      </c>
      <c r="C1798" s="88" t="s">
        <v>51</v>
      </c>
      <c r="D1798" s="104">
        <v>5000.0</v>
      </c>
      <c r="E1798" s="104">
        <v>0.0</v>
      </c>
      <c r="F1798" s="104">
        <v>0.0</v>
      </c>
      <c r="G1798" s="104">
        <v>-874.5</v>
      </c>
      <c r="H1798" s="104">
        <v>4224.24</v>
      </c>
      <c r="I1798" s="104">
        <v>28323.55</v>
      </c>
      <c r="J1798" s="104">
        <v>-64109.12</v>
      </c>
      <c r="K1798" s="32"/>
      <c r="L1798" s="32"/>
      <c r="M1798" s="32"/>
      <c r="N1798" s="32"/>
      <c r="O1798" s="106">
        <v>454423.71</v>
      </c>
      <c r="P1798" s="91">
        <f>IFERROR(__xludf.DUMMYFUNCTION("IFERROR(sum(FILTER($D:$N,$C:$C = $C1798,$A:$A &lt; $A1798,$B:$B = 12)),0) + sum($D1798:$N1798)"),454423.69000000006)</f>
        <v>454423.69</v>
      </c>
      <c r="Q1798" s="92">
        <f t="shared" si="1"/>
        <v>0.01999999996</v>
      </c>
      <c r="R1798" s="91">
        <f t="array" ref="R1798">IFERROR(INDEX('Fund YTD Target Values'!$1:$1000, MATCH($C1798,'Fund YTD Target Values'!$A:$A,0), MATCH($A1798,'Fund YTD Target Values'!$1:$1,0)),0)</f>
        <v>471452.8972</v>
      </c>
      <c r="S1798" s="91">
        <f>IFERROR(__xludf.DUMMYFUNCTION("IFERROR(sum(FILTER('Fund Investment Data'!$V:$V, 'Fund Investment Data'!$C:$C = $C1798, 'Fund Investment Data'!$A:$A &lt; $A1798)),0) + IFERROR(sum(FILTER('Fund Investment Data'!$V:$V, 'Fund Investment Data'!$C:$C = $C1798, 'Fund Investment Data'!$A:$A = $A1"&amp;"798, 'Fund Investment Data'!$B:$B &lt;= $B1798)),0)"),425073.55)</f>
        <v>425073.55</v>
      </c>
      <c r="T1798" s="32"/>
      <c r="U1798" s="32"/>
      <c r="V1798" s="32">
        <f>IFERROR(__xludf.DUMMYFUNCTION("$D1798 - IFERROR(FILTER($D:$D,$C:$C = $C1798, $A:$A = $A1798, $B:$B = $B1798 - 1),0)"),0.0)</f>
        <v>0</v>
      </c>
      <c r="W1798" s="93">
        <f>IFERROR(__xludf.DUMMYFUNCTION("$E1798 - IFERROR(FILTER($E:$E,$C:$C = $C1798, $A:$A = $A1798, $B:$B = $B1798 - 1),0)"),0.0)</f>
        <v>0</v>
      </c>
      <c r="X1798" s="91">
        <f>IFERROR(__xludf.DUMMYFUNCTION("iFERROR((FILTER('Fund Investment Data'!$Z:$Z, 'Fund Investment Data'!$C:$C = $C1798, 'Fund Investment Data'!$A:$A = $A1798 - 1, 'Fund Investment Data'!$B:$B = 12) + FILTER('Fund Investment Data'!$AB:$AB, 'Fund Investment Data'!$C:$C = $C1798, 'Fund Invest"&amp;"ment Data'!$A:$A = $A1798 - 1, 'Fund Investment Data'!$B:$B = 12)) * (1 + AVERAGE(FILTER('Inflation Data'!$C:$C,'Inflation Data'!$A:$A = ($A1798 - 2)))) * Parameters!$A$4,0)"),14858.837738325023)</f>
        <v>14858.83774</v>
      </c>
      <c r="Y1798" s="91">
        <f>IFERROR(__xludf.DUMMYFUNCTION("IFERROR((IFERROR(FILTER('Fund Investment Data'!$P:$P,'Fund Investment Data'!$C:$C = $C1798,'Fund Investment Data'!$A:$A = ($A1798 - 2), 'Fund Investment Data'!$B:$B = 12),0) - SUM(FILTER('Fund Investment Data'!$V:$V, 'Fund Investment Data'!$C:$C = $C1798,"&amp;" 'Fund Investment Data'!$A:$A = ($A1798 - 2), 'Fund Investment Data'!$B:$B &gt; 3)))  * Parameters!$B$4 * (1 - Parameters!$A$4),0)"),5934.330135000001)</f>
        <v>5934.330135</v>
      </c>
      <c r="Z1798" s="91">
        <f t="shared" si="24"/>
        <v>20793.16787</v>
      </c>
      <c r="AA1798" s="91">
        <f>IFERROR(__xludf.DUMMYFUNCTION("((IFERROR((SUM(FILTER('Fund Investment Data'!$V:$V, 'Fund Investment Data'!$C:$C = $C1798, 'Fund Investment Data'!$A:$A = $A1798 - 1, 'Fund Investment Data'!$B:$B &gt;= 4, 'Fund Investment Data'!$B:$B &lt;= ($B1798 + 5))) / 12) * ($B1798 - 3) * Parameters!$B$4,"&amp;" 0) + IF($B1798 &gt;= 9, IFERROR(SUM(FILTER('Fund Investment Data'!$V:$V, 'Fund Investment Data'!$C:$C = $C1798, 'Fund Investment Data'!$A:$A = $A1798, 'Fund Investment Data'!$B:$B &lt;= 3)) * Parameters!$B$4, 0),0)))"),7.499999999999999)</f>
        <v>7.5</v>
      </c>
      <c r="AB1798" s="32">
        <f>IFERROR(__xludf.DUMMYFUNCTION("IFERROR(((IFERROR(SUM(FILTER('Fund Investment Data'!$V:$V, 'Fund Investment Data'!$C:$C = $C1798, 'Fund Investment Data'!$A:$A = $A1798 - 2, 'Fund Investment Data'!$B:$B &gt;= 4)) * Parameters!$B$4,0) + IFERROR(SUM(FILTER('Fund Investment Data'!$V:$V, 'Fund "&amp;"Investment Data'!$C:$C = $C1798, 'Fund Investment Data'!$A:$A = $A1798 - 1, 'Fund Investment Data'!$B:$B &lt;= 3)) * Parameters!$B$4,0))),0)"),114.75)</f>
        <v>114.75</v>
      </c>
      <c r="AC1798" s="32" t="str">
        <f>IFERROR(__xludf.DUMMYFUNCTION("IFERROR(FILTER($AF:$AF,$C:$C = $C1798,$A:$A = $A1798 - 1,$B:$B = 12),0)"),"")</f>
        <v/>
      </c>
      <c r="AD1798" s="32">
        <f t="shared" si="23"/>
        <v>20915.41787</v>
      </c>
      <c r="AE1798" s="32">
        <f t="shared" si="2"/>
        <v>20915.41787</v>
      </c>
      <c r="AF1798" s="32"/>
    </row>
    <row r="1799">
      <c r="A1799" s="86">
        <v>2020.0</v>
      </c>
      <c r="B1799" s="87">
        <v>5.0</v>
      </c>
      <c r="C1799" s="88" t="s">
        <v>48</v>
      </c>
      <c r="D1799" s="104">
        <v>0.0</v>
      </c>
      <c r="E1799" s="104">
        <v>0.0</v>
      </c>
      <c r="F1799" s="104">
        <v>0.0</v>
      </c>
      <c r="G1799" s="104">
        <v>-2202.63</v>
      </c>
      <c r="H1799" s="104">
        <v>10630.94</v>
      </c>
      <c r="I1799" s="104">
        <v>71848.85</v>
      </c>
      <c r="J1799" s="104">
        <v>-161422.07</v>
      </c>
      <c r="K1799" s="32"/>
      <c r="L1799" s="32"/>
      <c r="M1799" s="32"/>
      <c r="N1799" s="32"/>
      <c r="O1799" s="106">
        <v>1144804.99</v>
      </c>
      <c r="P1799" s="91">
        <f>IFERROR(__xludf.DUMMYFUNCTION("IFERROR(sum(FILTER($D:$N,$C:$C = $C1799,$A:$A &lt; $A1799,$B:$B = 12)),0) + sum($D1799:$N1799)"),1144803.67)</f>
        <v>1144803.67</v>
      </c>
      <c r="Q1799" s="92">
        <f t="shared" si="1"/>
        <v>1.32</v>
      </c>
      <c r="R1799" s="91">
        <f t="array" ref="R1799">IFERROR(INDEX('Fund YTD Target Values'!$1:$1000, MATCH($C1799,'Fund YTD Target Values'!$A:$A,0), MATCH($A1799,'Fund YTD Target Values'!$1:$1,0)),0)</f>
        <v>1977173.82</v>
      </c>
      <c r="S1799" s="91">
        <f>IFERROR(__xludf.DUMMYFUNCTION("IFERROR(sum(FILTER('Fund Investment Data'!$V:$V, 'Fund Investment Data'!$C:$C = $C1799, 'Fund Investment Data'!$A:$A &lt; $A1799)),0) + IFERROR(sum(FILTER('Fund Investment Data'!$V:$V, 'Fund Investment Data'!$C:$C = $C1799, 'Fund Investment Data'!$A:$A = $A1"&amp;"799, 'Fund Investment Data'!$B:$B &lt;= $B1799)),0)"),1183929.39)</f>
        <v>1183929.39</v>
      </c>
      <c r="T1799" s="32"/>
      <c r="U1799" s="32"/>
      <c r="V1799" s="32">
        <f>IFERROR(__xludf.DUMMYFUNCTION("$D1799 - IFERROR(FILTER($D:$D,$C:$C = $C1799, $A:$A = $A1799, $B:$B = $B1799 - 1),0)"),0.0)</f>
        <v>0</v>
      </c>
      <c r="W1799" s="93">
        <f>IFERROR(__xludf.DUMMYFUNCTION("$E1799 - IFERROR(FILTER($E:$E,$C:$C = $C1799, $A:$A = $A1799, $B:$B = $B1799 - 1),0)"),0.0)</f>
        <v>0</v>
      </c>
      <c r="X1799" s="91">
        <f>IFERROR(__xludf.DUMMYFUNCTION("iFERROR((FILTER('Fund Investment Data'!$Z:$Z, 'Fund Investment Data'!$C:$C = $C1799, 'Fund Investment Data'!$A:$A = $A1799 - 1, 'Fund Investment Data'!$B:$B = 12) + FILTER('Fund Investment Data'!$AB:$AB, 'Fund Investment Data'!$C:$C = $C1799, 'Fund Invest"&amp;"ment Data'!$A:$A = $A1799 - 1, 'Fund Investment Data'!$B:$B = 12)) * (1 + AVERAGE(FILTER('Inflation Data'!$C:$C,'Inflation Data'!$A:$A = ($A1799 - 2)))) * Parameters!$A$4,0)"),40894.198235956435)</f>
        <v>40894.19824</v>
      </c>
      <c r="Y1799" s="91">
        <f>IFERROR(__xludf.DUMMYFUNCTION("IFERROR((IFERROR(FILTER('Fund Investment Data'!$P:$P,'Fund Investment Data'!$C:$C = $C1799,'Fund Investment Data'!$A:$A = ($A1799 - 2), 'Fund Investment Data'!$B:$B = 12),0) - SUM(FILTER('Fund Investment Data'!$V:$V, 'Fund Investment Data'!$C:$C = $C1799,"&amp;" 'Fund Investment Data'!$A:$A = ($A1799 - 2), 'Fund Investment Data'!$B:$B &gt; 3)))  * Parameters!$B$4 * (1 - Parameters!$A$4),0)"),14758.380764999996)</f>
        <v>14758.38077</v>
      </c>
      <c r="Z1799" s="91">
        <f t="shared" si="24"/>
        <v>55652.579</v>
      </c>
      <c r="AA1799" s="91">
        <f>IFERROR(__xludf.DUMMYFUNCTION("((IFERROR((SUM(FILTER('Fund Investment Data'!$V:$V, 'Fund Investment Data'!$C:$C = $C1799, 'Fund Investment Data'!$A:$A = $A1799 - 1, 'Fund Investment Data'!$B:$B &gt;= 4, 'Fund Investment Data'!$B:$B &lt;= ($B1799 + 5))) / 12) * ($B1799 - 3) * Parameters!$B$4,"&amp;" 0) + IF($B1799 &gt;= 9, IFERROR(SUM(FILTER('Fund Investment Data'!$V:$V, 'Fund Investment Data'!$C:$C = $C1799, 'Fund Investment Data'!$A:$A = $A1799, 'Fund Investment Data'!$B:$B &lt;= 3)) * Parameters!$B$4, 0),0)))"),0.0)</f>
        <v>0</v>
      </c>
      <c r="AB1799" s="32">
        <f>IFERROR(__xludf.DUMMYFUNCTION("IFERROR(((IFERROR(SUM(FILTER('Fund Investment Data'!$V:$V, 'Fund Investment Data'!$C:$C = $C1799, 'Fund Investment Data'!$A:$A = $A1799 - 2, 'Fund Investment Data'!$B:$B &gt;= 4)) * Parameters!$B$4,0) + IFERROR(SUM(FILTER('Fund Investment Data'!$V:$V, 'Fund "&amp;"Investment Data'!$C:$C = $C1799, 'Fund Investment Data'!$A:$A = $A1799 - 1, 'Fund Investment Data'!$B:$B &lt;= 3)) * Parameters!$B$4,0))),0)"),0.0)</f>
        <v>0</v>
      </c>
      <c r="AC1799" s="32" t="str">
        <f>IFERROR(__xludf.DUMMYFUNCTION("IFERROR(FILTER($AF:$AF,$C:$C = $C1799,$A:$A = $A1799 - 1,$B:$B = 12),0)"),"")</f>
        <v/>
      </c>
      <c r="AD1799" s="32">
        <f t="shared" si="23"/>
        <v>55652.579</v>
      </c>
      <c r="AE1799" s="32">
        <f t="shared" si="2"/>
        <v>55652.579</v>
      </c>
      <c r="AF1799" s="32"/>
    </row>
    <row r="1800">
      <c r="A1800" s="86">
        <v>2020.0</v>
      </c>
      <c r="B1800" s="87">
        <v>5.0</v>
      </c>
      <c r="C1800" s="88" t="s">
        <v>49</v>
      </c>
      <c r="D1800" s="104">
        <v>0.0</v>
      </c>
      <c r="E1800" s="104">
        <v>0.0</v>
      </c>
      <c r="F1800" s="104">
        <v>0.0</v>
      </c>
      <c r="G1800" s="104">
        <v>-954.94</v>
      </c>
      <c r="H1800" s="104">
        <v>4608.97</v>
      </c>
      <c r="I1800" s="104">
        <v>31149.58</v>
      </c>
      <c r="J1800" s="104">
        <v>-69983.46</v>
      </c>
      <c r="K1800" s="32"/>
      <c r="L1800" s="32"/>
      <c r="M1800" s="32"/>
      <c r="N1800" s="32"/>
      <c r="O1800" s="106">
        <v>496322.53</v>
      </c>
      <c r="P1800" s="91">
        <f>IFERROR(__xludf.DUMMYFUNCTION("IFERROR(sum(FILTER($D:$N,$C:$C = $C1800,$A:$A &lt; $A1800,$B:$B = 12)),0) + sum($D1800:$N1800)"),496322.82999999996)</f>
        <v>496322.83</v>
      </c>
      <c r="Q1800" s="92">
        <f t="shared" si="1"/>
        <v>-0.2999999999</v>
      </c>
      <c r="R1800" s="91">
        <f t="array" ref="R1800">IFERROR(INDEX('Fund YTD Target Values'!$1:$1000, MATCH($C1800,'Fund YTD Target Values'!$A:$A,0), MATCH($A1800,'Fund YTD Target Values'!$1:$1,0)),0)</f>
        <v>731305.9568</v>
      </c>
      <c r="S1800" s="91">
        <f>IFERROR(__xludf.DUMMYFUNCTION("IFERROR(sum(FILTER('Fund Investment Data'!$V:$V, 'Fund Investment Data'!$C:$C = $C1800, 'Fund Investment Data'!$A:$A &lt; $A1800)),0) + IFERROR(sum(FILTER('Fund Investment Data'!$V:$V, 'Fund Investment Data'!$C:$C = $C1800, 'Fund Investment Data'!$A:$A = $A1"&amp;"800, 'Fund Investment Data'!$B:$B &lt;= $B1800)),0)"),500000.0)</f>
        <v>500000</v>
      </c>
      <c r="T1800" s="32"/>
      <c r="U1800" s="32"/>
      <c r="V1800" s="32">
        <f>IFERROR(__xludf.DUMMYFUNCTION("$D1800 - IFERROR(FILTER($D:$D,$C:$C = $C1800, $A:$A = $A1800, $B:$B = $B1800 - 1),0)"),0.0)</f>
        <v>0</v>
      </c>
      <c r="W1800" s="93">
        <f>IFERROR(__xludf.DUMMYFUNCTION("$E1800 - IFERROR(FILTER($E:$E,$C:$C = $C1800, $A:$A = $A1800, $B:$B = $B1800 - 1),0)"),0.0)</f>
        <v>0</v>
      </c>
      <c r="X1800" s="91">
        <f>IFERROR(__xludf.DUMMYFUNCTION("iFERROR((FILTER('Fund Investment Data'!$Z:$Z, 'Fund Investment Data'!$C:$C = $C1800, 'Fund Investment Data'!$A:$A = $A1800 - 1, 'Fund Investment Data'!$B:$B = 12) + FILTER('Fund Investment Data'!$AB:$AB, 'Fund Investment Data'!$C:$C = $C1800, 'Fund Invest"&amp;"ment Data'!$A:$A = $A1800 - 1, 'Fund Investment Data'!$B:$B = 12)) * (1 + AVERAGE(FILTER('Inflation Data'!$C:$C,'Inflation Data'!$A:$A = ($A1800 - 2)))) * Parameters!$A$4,0)"),17938.124492992578)</f>
        <v>17938.12449</v>
      </c>
      <c r="Y1800" s="91">
        <f>IFERROR(__xludf.DUMMYFUNCTION("IFERROR((IFERROR(FILTER('Fund Investment Data'!$P:$P,'Fund Investment Data'!$C:$C = $C1800,'Fund Investment Data'!$A:$A = ($A1800 - 2), 'Fund Investment Data'!$B:$B = 12),0) - SUM(FILTER('Fund Investment Data'!$V:$V, 'Fund Investment Data'!$C:$C = $C1800,"&amp;" 'Fund Investment Data'!$A:$A = ($A1800 - 2), 'Fund Investment Data'!$B:$B &gt; 3)))  * Parameters!$B$4 * (1 - Parameters!$A$4),0)"),6402.16332)</f>
        <v>6402.16332</v>
      </c>
      <c r="Z1800" s="91">
        <f t="shared" si="24"/>
        <v>24340.28781</v>
      </c>
      <c r="AA1800" s="91">
        <f>IFERROR(__xludf.DUMMYFUNCTION("((IFERROR((SUM(FILTER('Fund Investment Data'!$V:$V, 'Fund Investment Data'!$C:$C = $C1800, 'Fund Investment Data'!$A:$A = $A1800 - 1, 'Fund Investment Data'!$B:$B &gt;= 4, 'Fund Investment Data'!$B:$B &lt;= ($B1800 + 5))) / 12) * ($B1800 - 3) * Parameters!$B$4,"&amp;" 0) + IF($B1800 &gt;= 9, IFERROR(SUM(FILTER('Fund Investment Data'!$V:$V, 'Fund Investment Data'!$C:$C = $C1800, 'Fund Investment Data'!$A:$A = $A1800, 'Fund Investment Data'!$B:$B &lt;= 3)) * Parameters!$B$4, 0),0)))"),0.0)</f>
        <v>0</v>
      </c>
      <c r="AB1800" s="32">
        <f>IFERROR(__xludf.DUMMYFUNCTION("IFERROR(((IFERROR(SUM(FILTER('Fund Investment Data'!$V:$V, 'Fund Investment Data'!$C:$C = $C1800, 'Fund Investment Data'!$A:$A = $A1800 - 2, 'Fund Investment Data'!$B:$B &gt;= 4)) * Parameters!$B$4,0) + IFERROR(SUM(FILTER('Fund Investment Data'!$V:$V, 'Fund "&amp;"Investment Data'!$C:$C = $C1800, 'Fund Investment Data'!$A:$A = $A1800 - 1, 'Fund Investment Data'!$B:$B &lt;= 3)) * Parameters!$B$4,0))),0)"),0.0)</f>
        <v>0</v>
      </c>
      <c r="AC1800" s="32" t="str">
        <f>IFERROR(__xludf.DUMMYFUNCTION("IFERROR(FILTER($AF:$AF,$C:$C = $C1800,$A:$A = $A1800 - 1,$B:$B = 12),0)"),"")</f>
        <v/>
      </c>
      <c r="AD1800" s="32">
        <f t="shared" si="23"/>
        <v>24340.28781</v>
      </c>
      <c r="AE1800" s="32">
        <f t="shared" si="2"/>
        <v>24340.28781</v>
      </c>
      <c r="AF1800" s="32"/>
    </row>
    <row r="1801">
      <c r="A1801" s="86">
        <v>2020.0</v>
      </c>
      <c r="B1801" s="87">
        <v>5.0</v>
      </c>
      <c r="C1801" s="88" t="s">
        <v>41</v>
      </c>
      <c r="D1801" s="104">
        <v>0.0</v>
      </c>
      <c r="E1801" s="104">
        <v>0.0</v>
      </c>
      <c r="F1801" s="104">
        <v>0.0</v>
      </c>
      <c r="G1801" s="104">
        <v>-1180.99</v>
      </c>
      <c r="H1801" s="104">
        <v>5700.05</v>
      </c>
      <c r="I1801" s="104">
        <v>38523.49</v>
      </c>
      <c r="J1801" s="104">
        <v>-86550.35</v>
      </c>
      <c r="K1801" s="32"/>
      <c r="L1801" s="32"/>
      <c r="M1801" s="32"/>
      <c r="N1801" s="32"/>
      <c r="O1801" s="106">
        <v>613815.06</v>
      </c>
      <c r="P1801" s="91">
        <f>IFERROR(__xludf.DUMMYFUNCTION("IFERROR(sum(FILTER($D:$N,$C:$C = $C1801,$A:$A &lt; $A1801,$B:$B = 12)),0) + sum($D1801:$N1801)"),613815.9099999999)</f>
        <v>613815.91</v>
      </c>
      <c r="Q1801" s="92">
        <f t="shared" si="1"/>
        <v>-0.8499999999</v>
      </c>
      <c r="R1801" s="91">
        <f t="array" ref="R1801">IFERROR(INDEX('Fund YTD Target Values'!$1:$1000, MATCH($C1801,'Fund YTD Target Values'!$A:$A,0), MATCH($A1801,'Fund YTD Target Values'!$1:$1,0)),0)</f>
        <v>613052.4595</v>
      </c>
      <c r="S1801" s="91">
        <f>IFERROR(__xludf.DUMMYFUNCTION("IFERROR(sum(FILTER('Fund Investment Data'!$V:$V, 'Fund Investment Data'!$C:$C = $C1801, 'Fund Investment Data'!$A:$A &lt; $A1801)),0) + IFERROR(sum(FILTER('Fund Investment Data'!$V:$V, 'Fund Investment Data'!$C:$C = $C1801, 'Fund Investment Data'!$A:$A = $A1"&amp;"801, 'Fund Investment Data'!$B:$B &lt;= $B1801)),0)"),433755.86)</f>
        <v>433755.86</v>
      </c>
      <c r="T1801" s="32"/>
      <c r="U1801" s="32"/>
      <c r="V1801" s="32">
        <f>IFERROR(__xludf.DUMMYFUNCTION("$D1801 - IFERROR(FILTER($D:$D,$C:$C = $C1801, $A:$A = $A1801, $B:$B = $B1801 - 1),0)"),0.0)</f>
        <v>0</v>
      </c>
      <c r="W1801" s="93">
        <f>IFERROR(__xludf.DUMMYFUNCTION("$E1801 - IFERROR(FILTER($E:$E,$C:$C = $C1801, $A:$A = $A1801, $B:$B = $B1801 - 1),0)"),0.0)</f>
        <v>0</v>
      </c>
      <c r="X1801" s="91">
        <f>IFERROR(__xludf.DUMMYFUNCTION("iFERROR((FILTER('Fund Investment Data'!$Z:$Z, 'Fund Investment Data'!$C:$C = $C1801, 'Fund Investment Data'!$A:$A = $A1801 - 1, 'Fund Investment Data'!$B:$B = 12) + FILTER('Fund Investment Data'!$AB:$AB, 'Fund Investment Data'!$C:$C = $C1801, 'Fund Invest"&amp;"ment Data'!$A:$A = $A1801 - 1, 'Fund Investment Data'!$B:$B = 12)) * (1 + AVERAGE(FILTER('Inflation Data'!$C:$C,'Inflation Data'!$A:$A = ($A1801 - 2)))) * Parameters!$A$4,0)"),19563.798947196206)</f>
        <v>19563.79895</v>
      </c>
      <c r="Y1801" s="91">
        <f>IFERROR(__xludf.DUMMYFUNCTION("IFERROR((IFERROR(FILTER('Fund Investment Data'!$P:$P,'Fund Investment Data'!$C:$C = $C1801,'Fund Investment Data'!$A:$A = ($A1801 - 2), 'Fund Investment Data'!$B:$B = 12),0) - SUM(FILTER('Fund Investment Data'!$V:$V, 'Fund Investment Data'!$C:$C = $C1801,"&amp;" 'Fund Investment Data'!$A:$A = ($A1801 - 2), 'Fund Investment Data'!$B:$B &gt; 3)))  * Parameters!$B$4 * (1 - Parameters!$A$4),0)"),7872.907320000002)</f>
        <v>7872.90732</v>
      </c>
      <c r="Z1801" s="91">
        <f t="shared" si="24"/>
        <v>27436.70627</v>
      </c>
      <c r="AA1801" s="91">
        <f>IFERROR(__xludf.DUMMYFUNCTION("((IFERROR((SUM(FILTER('Fund Investment Data'!$V:$V, 'Fund Investment Data'!$C:$C = $C1801, 'Fund Investment Data'!$A:$A = $A1801 - 1, 'Fund Investment Data'!$B:$B &gt;= 4, 'Fund Investment Data'!$B:$B &lt;= ($B1801 + 5))) / 12) * ($B1801 - 3) * Parameters!$B$4,"&amp;" 0) + IF($B1801 &gt;= 9, IFERROR(SUM(FILTER('Fund Investment Data'!$V:$V, 'Fund Investment Data'!$C:$C = $C1801, 'Fund Investment Data'!$A:$A = $A1801, 'Fund Investment Data'!$B:$B &lt;= 3)) * Parameters!$B$4, 0),0)))"),0.0)</f>
        <v>0</v>
      </c>
      <c r="AB1801" s="32">
        <f>IFERROR(__xludf.DUMMYFUNCTION("IFERROR(((IFERROR(SUM(FILTER('Fund Investment Data'!$V:$V, 'Fund Investment Data'!$C:$C = $C1801, 'Fund Investment Data'!$A:$A = $A1801 - 2, 'Fund Investment Data'!$B:$B &gt;= 4)) * Parameters!$B$4,0) + IFERROR(SUM(FILTER('Fund Investment Data'!$V:$V, 'Fund "&amp;"Investment Data'!$C:$C = $C1801, 'Fund Investment Data'!$A:$A = $A1801 - 1, 'Fund Investment Data'!$B:$B &lt;= 3)) * Parameters!$B$4,0))),0)"),0.0)</f>
        <v>0</v>
      </c>
      <c r="AC1801" s="32" t="str">
        <f>IFERROR(__xludf.DUMMYFUNCTION("IFERROR(FILTER($AF:$AF,$C:$C = $C1801,$A:$A = $A1801 - 1,$B:$B = 12),0)"),"")</f>
        <v/>
      </c>
      <c r="AD1801" s="32">
        <f t="shared" si="23"/>
        <v>27436.70627</v>
      </c>
      <c r="AE1801" s="32">
        <f t="shared" si="2"/>
        <v>27436.70627</v>
      </c>
      <c r="AF1801" s="32"/>
    </row>
    <row r="1802">
      <c r="A1802" s="86">
        <v>2020.0</v>
      </c>
      <c r="B1802" s="87">
        <v>5.0</v>
      </c>
      <c r="C1802" s="88" t="s">
        <v>25</v>
      </c>
      <c r="D1802" s="104">
        <v>0.0</v>
      </c>
      <c r="E1802" s="104">
        <v>0.0</v>
      </c>
      <c r="F1802" s="104">
        <v>0.0</v>
      </c>
      <c r="G1802" s="104">
        <v>-149.39</v>
      </c>
      <c r="H1802" s="104">
        <v>721.01</v>
      </c>
      <c r="I1802" s="104">
        <v>4872.97</v>
      </c>
      <c r="J1802" s="104">
        <v>-10948.08</v>
      </c>
      <c r="K1802" s="32"/>
      <c r="L1802" s="32"/>
      <c r="M1802" s="32"/>
      <c r="N1802" s="32"/>
      <c r="O1802" s="106">
        <v>77643.59</v>
      </c>
      <c r="P1802" s="91">
        <f>IFERROR(__xludf.DUMMYFUNCTION("IFERROR(sum(FILTER($D:$N,$C:$C = $C1802,$A:$A &lt; $A1802,$B:$B = 12)),0) + sum($D1802:$N1802)"),77643.57999999997)</f>
        <v>77643.58</v>
      </c>
      <c r="Q1802" s="92">
        <f t="shared" si="1"/>
        <v>0.01000000002</v>
      </c>
      <c r="R1802" s="91">
        <f t="array" ref="R1802">IFERROR(INDEX('Fund YTD Target Values'!$1:$1000, MATCH($C1802,'Fund YTD Target Values'!$A:$A,0), MATCH($A1802,'Fund YTD Target Values'!$1:$1,0)),0)</f>
        <v>113832.9235</v>
      </c>
      <c r="S1802" s="91">
        <f>IFERROR(__xludf.DUMMYFUNCTION("IFERROR(sum(FILTER('Fund Investment Data'!$V:$V, 'Fund Investment Data'!$C:$C = $C1802, 'Fund Investment Data'!$A:$A &lt; $A1802)),0) + IFERROR(sum(FILTER('Fund Investment Data'!$V:$V, 'Fund Investment Data'!$C:$C = $C1802, 'Fund Investment Data'!$A:$A = $A1"&amp;"802, 'Fund Investment Data'!$B:$B &lt;= $B1802)),0)"),81000.0)</f>
        <v>81000</v>
      </c>
      <c r="T1802" s="32"/>
      <c r="U1802" s="32"/>
      <c r="V1802" s="32">
        <f>IFERROR(__xludf.DUMMYFUNCTION("$D1802 - IFERROR(FILTER($D:$D,$C:$C = $C1802, $A:$A = $A1802, $B:$B = $B1802 - 1),0)"),0.0)</f>
        <v>0</v>
      </c>
      <c r="W1802" s="93">
        <f>IFERROR(__xludf.DUMMYFUNCTION("$E1802 - IFERROR(FILTER($E:$E,$C:$C = $C1802, $A:$A = $A1802, $B:$B = $B1802 - 1),0)"),0.0)</f>
        <v>0</v>
      </c>
      <c r="X1802" s="91">
        <f>IFERROR(__xludf.DUMMYFUNCTION("iFERROR((FILTER('Fund Investment Data'!$Z:$Z, 'Fund Investment Data'!$C:$C = $C1802, 'Fund Investment Data'!$A:$A = $A1802 - 1, 'Fund Investment Data'!$B:$B = 12) + FILTER('Fund Investment Data'!$AB:$AB, 'Fund Investment Data'!$C:$C = $C1802, 'Fund Invest"&amp;"ment Data'!$A:$A = $A1802 - 1, 'Fund Investment Data'!$B:$B = 12)) * (1 + AVERAGE(FILTER('Inflation Data'!$C:$C,'Inflation Data'!$A:$A = ($A1802 - 2)))) * Parameters!$A$4,0)"),3310.018104714215)</f>
        <v>3310.018105</v>
      </c>
      <c r="Y1802" s="91">
        <f>IFERROR(__xludf.DUMMYFUNCTION("IFERROR((IFERROR(FILTER('Fund Investment Data'!$P:$P,'Fund Investment Data'!$C:$C = $C1802,'Fund Investment Data'!$A:$A = ($A1802 - 2), 'Fund Investment Data'!$B:$B = 12),0) - SUM(FILTER('Fund Investment Data'!$V:$V, 'Fund Investment Data'!$C:$C = $C1802,"&amp;" 'Fund Investment Data'!$A:$A = ($A1802 - 2), 'Fund Investment Data'!$B:$B &gt; 3)))  * Parameters!$B$4 * (1 - Parameters!$A$4),0)"),1010.3125950000002)</f>
        <v>1010.312595</v>
      </c>
      <c r="Z1802" s="91">
        <f t="shared" si="24"/>
        <v>4320.3307</v>
      </c>
      <c r="AA1802" s="91">
        <f>IFERROR(__xludf.DUMMYFUNCTION("((IFERROR((SUM(FILTER('Fund Investment Data'!$V:$V, 'Fund Investment Data'!$C:$C = $C1802, 'Fund Investment Data'!$A:$A = $A1802 - 1, 'Fund Investment Data'!$B:$B &gt;= 4, 'Fund Investment Data'!$B:$B &lt;= ($B1802 + 5))) / 12) * ($B1802 - 3) * Parameters!$B$4,"&amp;" 0) + IF($B1802 &gt;= 9, IFERROR(SUM(FILTER('Fund Investment Data'!$V:$V, 'Fund Investment Data'!$C:$C = $C1802, 'Fund Investment Data'!$A:$A = $A1802, 'Fund Investment Data'!$B:$B &lt;= 3)) * Parameters!$B$4, 0),0)))"),0.0)</f>
        <v>0</v>
      </c>
      <c r="AB1802" s="32">
        <f>IFERROR(__xludf.DUMMYFUNCTION("IFERROR(((IFERROR(SUM(FILTER('Fund Investment Data'!$V:$V, 'Fund Investment Data'!$C:$C = $C1802, 'Fund Investment Data'!$A:$A = $A1802 - 2, 'Fund Investment Data'!$B:$B &gt;= 4)) * Parameters!$B$4,0) + IFERROR(SUM(FILTER('Fund Investment Data'!$V:$V, 'Fund "&amp;"Investment Data'!$C:$C = $C1802, 'Fund Investment Data'!$A:$A = $A1802 - 1, 'Fund Investment Data'!$B:$B &lt;= 3)) * Parameters!$B$4,0))),0)"),0.0)</f>
        <v>0</v>
      </c>
      <c r="AC1802" s="32" t="str">
        <f>IFERROR(__xludf.DUMMYFUNCTION("IFERROR(FILTER($AF:$AF,$C:$C = $C1802,$A:$A = $A1802 - 1,$B:$B = 12),0)"),"")</f>
        <v/>
      </c>
      <c r="AD1802" s="32">
        <f t="shared" si="23"/>
        <v>4320.3307</v>
      </c>
      <c r="AE1802" s="32">
        <f t="shared" si="2"/>
        <v>4320.3307</v>
      </c>
      <c r="AF1802" s="32"/>
    </row>
    <row r="1803">
      <c r="A1803" s="86">
        <v>2020.0</v>
      </c>
      <c r="B1803" s="87">
        <v>5.0</v>
      </c>
      <c r="C1803" s="88" t="s">
        <v>42</v>
      </c>
      <c r="D1803" s="104">
        <v>0.0</v>
      </c>
      <c r="E1803" s="104">
        <v>0.0</v>
      </c>
      <c r="F1803" s="104">
        <v>0.0</v>
      </c>
      <c r="G1803" s="104">
        <v>-550.3</v>
      </c>
      <c r="H1803" s="104">
        <v>2655.96</v>
      </c>
      <c r="I1803" s="104">
        <v>17950.29</v>
      </c>
      <c r="J1803" s="104">
        <v>-40328.69</v>
      </c>
      <c r="K1803" s="32"/>
      <c r="L1803" s="32"/>
      <c r="M1803" s="32"/>
      <c r="N1803" s="32"/>
      <c r="O1803" s="106">
        <v>286011.0</v>
      </c>
      <c r="P1803" s="91">
        <f>IFERROR(__xludf.DUMMYFUNCTION("IFERROR(sum(FILTER($D:$N,$C:$C = $C1803,$A:$A &lt; $A1803,$B:$B = 12)),0) + sum($D1803:$N1803)"),286010.4700000001)</f>
        <v>286010.47</v>
      </c>
      <c r="Q1803" s="92">
        <f t="shared" si="1"/>
        <v>0.5299999999</v>
      </c>
      <c r="R1803" s="91">
        <f t="array" ref="R1803">IFERROR(INDEX('Fund YTD Target Values'!$1:$1000, MATCH($C1803,'Fund YTD Target Values'!$A:$A,0), MATCH($A1803,'Fund YTD Target Values'!$1:$1,0)),0)</f>
        <v>250432.6143</v>
      </c>
      <c r="S1803" s="91">
        <f>IFERROR(__xludf.DUMMYFUNCTION("IFERROR(sum(FILTER('Fund Investment Data'!$V:$V, 'Fund Investment Data'!$C:$C = $C1803, 'Fund Investment Data'!$A:$A &lt; $A1803)),0) + IFERROR(sum(FILTER('Fund Investment Data'!$V:$V, 'Fund Investment Data'!$C:$C = $C1803, 'Fund Investment Data'!$A:$A = $A1"&amp;"803, 'Fund Investment Data'!$B:$B &lt;= $B1803)),0)"),194469.0)</f>
        <v>194469</v>
      </c>
      <c r="T1803" s="32"/>
      <c r="U1803" s="32"/>
      <c r="V1803" s="32">
        <f>IFERROR(__xludf.DUMMYFUNCTION("$D1803 - IFERROR(FILTER($D:$D,$C:$C = $C1803, $A:$A = $A1803, $B:$B = $B1803 - 1),0)"),0.0)</f>
        <v>0</v>
      </c>
      <c r="W1803" s="93">
        <f>IFERROR(__xludf.DUMMYFUNCTION("$E1803 - IFERROR(FILTER($E:$E,$C:$C = $C1803, $A:$A = $A1803, $B:$B = $B1803 - 1),0)"),0.0)</f>
        <v>0</v>
      </c>
      <c r="X1803" s="91">
        <f>IFERROR(__xludf.DUMMYFUNCTION("iFERROR((FILTER('Fund Investment Data'!$Z:$Z, 'Fund Investment Data'!$C:$C = $C1803, 'Fund Investment Data'!$A:$A = $A1803 - 1, 'Fund Investment Data'!$B:$B = 12) + FILTER('Fund Investment Data'!$AB:$AB, 'Fund Investment Data'!$C:$C = $C1803, 'Fund Invest"&amp;"ment Data'!$A:$A = $A1803 - 1, 'Fund Investment Data'!$B:$B = 12)) * (1 + AVERAGE(FILTER('Inflation Data'!$C:$C,'Inflation Data'!$A:$A = ($A1803 - 2)))) * Parameters!$A$4,0)"),8307.89140924438)</f>
        <v>8307.891409</v>
      </c>
      <c r="Y1803" s="91">
        <f>IFERROR(__xludf.DUMMYFUNCTION("IFERROR((IFERROR(FILTER('Fund Investment Data'!$P:$P,'Fund Investment Data'!$C:$C = $C1803,'Fund Investment Data'!$A:$A = ($A1803 - 2), 'Fund Investment Data'!$B:$B = 12),0) - SUM(FILTER('Fund Investment Data'!$V:$V, 'Fund Investment Data'!$C:$C = $C1803,"&amp;" 'Fund Investment Data'!$A:$A = ($A1803 - 2), 'Fund Investment Data'!$B:$B &gt; 3)))  * Parameters!$B$4 * (1 - Parameters!$A$4),0)"),3656.8255950000025)</f>
        <v>3656.825595</v>
      </c>
      <c r="Z1803" s="91">
        <f t="shared" si="24"/>
        <v>11964.717</v>
      </c>
      <c r="AA1803" s="91">
        <f>IFERROR(__xludf.DUMMYFUNCTION("((IFERROR((SUM(FILTER('Fund Investment Data'!$V:$V, 'Fund Investment Data'!$C:$C = $C1803, 'Fund Investment Data'!$A:$A = $A1803 - 1, 'Fund Investment Data'!$B:$B &gt;= 4, 'Fund Investment Data'!$B:$B &lt;= ($B1803 + 5))) / 12) * ($B1803 - 3) * Parameters!$B$4,"&amp;" 0) + IF($B1803 &gt;= 9, IFERROR(SUM(FILTER('Fund Investment Data'!$V:$V, 'Fund Investment Data'!$C:$C = $C1803, 'Fund Investment Data'!$A:$A = $A1803, 'Fund Investment Data'!$B:$B &lt;= 3)) * Parameters!$B$4, 0),0)))"),0.0)</f>
        <v>0</v>
      </c>
      <c r="AB1803" s="32">
        <f>IFERROR(__xludf.DUMMYFUNCTION("IFERROR(((IFERROR(SUM(FILTER('Fund Investment Data'!$V:$V, 'Fund Investment Data'!$C:$C = $C1803, 'Fund Investment Data'!$A:$A = $A1803 - 2, 'Fund Investment Data'!$B:$B &gt;= 4)) * Parameters!$B$4,0) + IFERROR(SUM(FILTER('Fund Investment Data'!$V:$V, 'Fund "&amp;"Investment Data'!$C:$C = $C1803, 'Fund Investment Data'!$A:$A = $A1803 - 1, 'Fund Investment Data'!$B:$B &lt;= 3)) * Parameters!$B$4,0))),0)"),0.0)</f>
        <v>0</v>
      </c>
      <c r="AC1803" s="32" t="str">
        <f>IFERROR(__xludf.DUMMYFUNCTION("IFERROR(FILTER($AF:$AF,$C:$C = $C1803,$A:$A = $A1803 - 1,$B:$B = 12),0)"),"")</f>
        <v/>
      </c>
      <c r="AD1803" s="32">
        <f t="shared" si="23"/>
        <v>11964.717</v>
      </c>
      <c r="AE1803" s="32">
        <f t="shared" si="2"/>
        <v>11964.717</v>
      </c>
      <c r="AF1803" s="32"/>
    </row>
    <row r="1804">
      <c r="A1804" s="86">
        <v>2020.0</v>
      </c>
      <c r="B1804" s="87">
        <v>5.0</v>
      </c>
      <c r="C1804" s="88" t="s">
        <v>43</v>
      </c>
      <c r="D1804" s="104">
        <v>0.0</v>
      </c>
      <c r="E1804" s="104">
        <v>0.0</v>
      </c>
      <c r="F1804" s="104">
        <v>0.0</v>
      </c>
      <c r="G1804" s="104">
        <v>-222.25</v>
      </c>
      <c r="H1804" s="104">
        <v>1072.71</v>
      </c>
      <c r="I1804" s="104">
        <v>7249.79</v>
      </c>
      <c r="J1804" s="104">
        <v>-16288.07</v>
      </c>
      <c r="K1804" s="32"/>
      <c r="L1804" s="32"/>
      <c r="M1804" s="32"/>
      <c r="N1804" s="32"/>
      <c r="O1804" s="106">
        <v>115514.94</v>
      </c>
      <c r="P1804" s="91">
        <f>IFERROR(__xludf.DUMMYFUNCTION("IFERROR(sum(FILTER($D:$N,$C:$C = $C1804,$A:$A &lt; $A1804,$B:$B = 12)),0) + sum($D1804:$N1804)"),115514.20000000004)</f>
        <v>115514.2</v>
      </c>
      <c r="Q1804" s="92">
        <f t="shared" si="1"/>
        <v>0.74</v>
      </c>
      <c r="R1804" s="91">
        <f t="array" ref="R1804">IFERROR(INDEX('Fund YTD Target Values'!$1:$1000, MATCH($C1804,'Fund YTD Target Values'!$A:$A,0), MATCH($A1804,'Fund YTD Target Values'!$1:$1,0)),0)</f>
        <v>136272.9454</v>
      </c>
      <c r="S1804" s="91">
        <f>IFERROR(__xludf.DUMMYFUNCTION("IFERROR(sum(FILTER('Fund Investment Data'!$V:$V, 'Fund Investment Data'!$C:$C = $C1804, 'Fund Investment Data'!$A:$A &lt; $A1804)),0) + IFERROR(sum(FILTER('Fund Investment Data'!$V:$V, 'Fund Investment Data'!$C:$C = $C1804, 'Fund Investment Data'!$A:$A = $A1"&amp;"804, 'Fund Investment Data'!$B:$B &lt;= $B1804)),0)"),100000.0)</f>
        <v>100000</v>
      </c>
      <c r="T1804" s="32"/>
      <c r="U1804" s="32"/>
      <c r="V1804" s="32">
        <f>IFERROR(__xludf.DUMMYFUNCTION("$D1804 - IFERROR(FILTER($D:$D,$C:$C = $C1804, $A:$A = $A1804, $B:$B = $B1804 - 1),0)"),0.0)</f>
        <v>0</v>
      </c>
      <c r="W1804" s="93">
        <f>IFERROR(__xludf.DUMMYFUNCTION("$E1804 - IFERROR(FILTER($E:$E,$C:$C = $C1804, $A:$A = $A1804, $B:$B = $B1804 - 1),0)"),0.0)</f>
        <v>0</v>
      </c>
      <c r="X1804" s="91">
        <f>IFERROR(__xludf.DUMMYFUNCTION("iFERROR((FILTER('Fund Investment Data'!$Z:$Z, 'Fund Investment Data'!$C:$C = $C1804, 'Fund Investment Data'!$A:$A = $A1804 - 1, 'Fund Investment Data'!$B:$B = 12) + FILTER('Fund Investment Data'!$AB:$AB, 'Fund Investment Data'!$C:$C = $C1804, 'Fund Invest"&amp;"ment Data'!$A:$A = $A1804 - 1, 'Fund Investment Data'!$B:$B = 12)) * (1 + AVERAGE(FILTER('Inflation Data'!$C:$C,'Inflation Data'!$A:$A = ($A1804 - 2)))) * Parameters!$A$4,0)"),4110.654981425052)</f>
        <v>4110.654981</v>
      </c>
      <c r="Y1804" s="91">
        <f>IFERROR(__xludf.DUMMYFUNCTION("IFERROR((IFERROR(FILTER('Fund Investment Data'!$P:$P,'Fund Investment Data'!$C:$C = $C1804,'Fund Investment Data'!$A:$A = ($A1804 - 2), 'Fund Investment Data'!$B:$B = 12),0) - SUM(FILTER('Fund Investment Data'!$V:$V, 'Fund Investment Data'!$C:$C = $C1804,"&amp;" 'Fund Investment Data'!$A:$A = ($A1804 - 2), 'Fund Investment Data'!$B:$B &gt; 3)))  * Parameters!$B$4 * (1 - Parameters!$A$4),0)"),1489.0159800000004)</f>
        <v>1489.01598</v>
      </c>
      <c r="Z1804" s="91">
        <f t="shared" si="24"/>
        <v>5599.670961</v>
      </c>
      <c r="AA1804" s="91">
        <f>IFERROR(__xludf.DUMMYFUNCTION("((IFERROR((SUM(FILTER('Fund Investment Data'!$V:$V, 'Fund Investment Data'!$C:$C = $C1804, 'Fund Investment Data'!$A:$A = $A1804 - 1, 'Fund Investment Data'!$B:$B &gt;= 4, 'Fund Investment Data'!$B:$B &lt;= ($B1804 + 5))) / 12) * ($B1804 - 3) * Parameters!$B$4,"&amp;" 0) + IF($B1804 &gt;= 9, IFERROR(SUM(FILTER('Fund Investment Data'!$V:$V, 'Fund Investment Data'!$C:$C = $C1804, 'Fund Investment Data'!$A:$A = $A1804, 'Fund Investment Data'!$B:$B &lt;= 3)) * Parameters!$B$4, 0),0)))"),0.0)</f>
        <v>0</v>
      </c>
      <c r="AB1804" s="32">
        <f>IFERROR(__xludf.DUMMYFUNCTION("IFERROR(((IFERROR(SUM(FILTER('Fund Investment Data'!$V:$V, 'Fund Investment Data'!$C:$C = $C1804, 'Fund Investment Data'!$A:$A = $A1804 - 2, 'Fund Investment Data'!$B:$B &gt;= 4)) * Parameters!$B$4,0) + IFERROR(SUM(FILTER('Fund Investment Data'!$V:$V, 'Fund "&amp;"Investment Data'!$C:$C = $C1804, 'Fund Investment Data'!$A:$A = $A1804 - 1, 'Fund Investment Data'!$B:$B &lt;= 3)) * Parameters!$B$4,0))),0)"),0.0)</f>
        <v>0</v>
      </c>
      <c r="AC1804" s="32" t="str">
        <f>IFERROR(__xludf.DUMMYFUNCTION("IFERROR(FILTER($AF:$AF,$C:$C = $C1804,$A:$A = $A1804 - 1,$B:$B = 12),0)"),"")</f>
        <v/>
      </c>
      <c r="AD1804" s="32">
        <f t="shared" si="23"/>
        <v>5599.670961</v>
      </c>
      <c r="AE1804" s="32">
        <f t="shared" si="2"/>
        <v>5599.670961</v>
      </c>
      <c r="AF1804" s="32"/>
    </row>
    <row r="1805">
      <c r="A1805" s="86">
        <v>2020.0</v>
      </c>
      <c r="B1805" s="87">
        <v>5.0</v>
      </c>
      <c r="C1805" s="88" t="s">
        <v>52</v>
      </c>
      <c r="D1805" s="104">
        <v>0.0</v>
      </c>
      <c r="E1805" s="104">
        <v>0.0</v>
      </c>
      <c r="F1805" s="104">
        <v>0.0</v>
      </c>
      <c r="G1805" s="104">
        <v>-2207.73</v>
      </c>
      <c r="H1805" s="104">
        <v>10655.6</v>
      </c>
      <c r="I1805" s="104">
        <v>72015.57</v>
      </c>
      <c r="J1805" s="104">
        <v>-161796.68</v>
      </c>
      <c r="K1805" s="32"/>
      <c r="L1805" s="32"/>
      <c r="M1805" s="32"/>
      <c r="N1805" s="32"/>
      <c r="O1805" s="106">
        <v>1147461.73</v>
      </c>
      <c r="P1805" s="91">
        <f>IFERROR(__xludf.DUMMYFUNCTION("IFERROR(sum(FILTER($D:$N,$C:$C = $C1805,$A:$A &lt; $A1805,$B:$B = 12)),0) + sum($D1805:$N1805)"),1147461.41)</f>
        <v>1147461.41</v>
      </c>
      <c r="Q1805" s="92">
        <f t="shared" si="1"/>
        <v>0.3200000001</v>
      </c>
      <c r="R1805" s="91">
        <f t="array" ref="R1805">IFERROR(INDEX('Fund YTD Target Values'!$1:$1000, MATCH($C1805,'Fund YTD Target Values'!$A:$A,0), MATCH($A1805,'Fund YTD Target Values'!$1:$1,0)),0)</f>
        <v>1199021.687</v>
      </c>
      <c r="S1805" s="91">
        <f>IFERROR(__xludf.DUMMYFUNCTION("IFERROR(sum(FILTER('Fund Investment Data'!$V:$V, 'Fund Investment Data'!$C:$C = $C1805, 'Fund Investment Data'!$A:$A &lt; $A1805)),0) + IFERROR(sum(FILTER('Fund Investment Data'!$V:$V, 'Fund Investment Data'!$C:$C = $C1805, 'Fund Investment Data'!$A:$A = $A1"&amp;"805, 'Fund Investment Data'!$B:$B &lt;= $B1805)),0)"),1081136.0)</f>
        <v>1081136</v>
      </c>
      <c r="T1805" s="32"/>
      <c r="U1805" s="32"/>
      <c r="V1805" s="32">
        <f>IFERROR(__xludf.DUMMYFUNCTION("$D1805 - IFERROR(FILTER($D:$D,$C:$C = $C1805, $A:$A = $A1805, $B:$B = $B1805 - 1),0)"),0.0)</f>
        <v>0</v>
      </c>
      <c r="W1805" s="93">
        <f>IFERROR(__xludf.DUMMYFUNCTION("$E1805 - IFERROR(FILTER($E:$E,$C:$C = $C1805, $A:$A = $A1805, $B:$B = $B1805 - 1),0)"),0.0)</f>
        <v>0</v>
      </c>
      <c r="X1805" s="91">
        <f>IFERROR(__xludf.DUMMYFUNCTION("iFERROR((FILTER('Fund Investment Data'!$Z:$Z, 'Fund Investment Data'!$C:$C = $C1805, 'Fund Investment Data'!$A:$A = $A1805 - 1, 'Fund Investment Data'!$B:$B = 12) + FILTER('Fund Investment Data'!$AB:$AB, 'Fund Investment Data'!$C:$C = $C1805, 'Fund Invest"&amp;"ment Data'!$A:$A = $A1805 - 1, 'Fund Investment Data'!$B:$B = 12)) * (1 + AVERAGE(FILTER('Inflation Data'!$C:$C,'Inflation Data'!$A:$A = ($A1805 - 2)))) * Parameters!$A$4,0)"),37900.53766415215)</f>
        <v>37900.53766</v>
      </c>
      <c r="Y1805" s="91">
        <f>IFERROR(__xludf.DUMMYFUNCTION("IFERROR((IFERROR(FILTER('Fund Investment Data'!$P:$P,'Fund Investment Data'!$C:$C = $C1805,'Fund Investment Data'!$A:$A = ($A1805 - 2), 'Fund Investment Data'!$B:$B = 12),0) - SUM(FILTER('Fund Investment Data'!$V:$V, 'Fund Investment Data'!$C:$C = $C1805,"&amp;" 'Fund Investment Data'!$A:$A = ($A1805 - 2), 'Fund Investment Data'!$B:$B &gt; 3)))  * Parameters!$B$4 * (1 - Parameters!$A$4),0)"),14735.790404999998)</f>
        <v>14735.79041</v>
      </c>
      <c r="Z1805" s="91">
        <f t="shared" si="24"/>
        <v>52636.32807</v>
      </c>
      <c r="AA1805" s="91">
        <f>IFERROR(__xludf.DUMMYFUNCTION("((IFERROR((SUM(FILTER('Fund Investment Data'!$V:$V, 'Fund Investment Data'!$C:$C = $C1805, 'Fund Investment Data'!$A:$A = $A1805 - 1, 'Fund Investment Data'!$B:$B &gt;= 4, 'Fund Investment Data'!$B:$B &lt;= ($B1805 + 5))) / 12) * ($B1805 - 3) * Parameters!$B$4,"&amp;" 0) + IF($B1805 &gt;= 9, IFERROR(SUM(FILTER('Fund Investment Data'!$V:$V, 'Fund Investment Data'!$C:$C = $C1805, 'Fund Investment Data'!$A:$A = $A1805, 'Fund Investment Data'!$B:$B &lt;= 3)) * Parameters!$B$4, 0),0)))"),0.0)</f>
        <v>0</v>
      </c>
      <c r="AB1805" s="32">
        <f>IFERROR(__xludf.DUMMYFUNCTION("IFERROR(((IFERROR(SUM(FILTER('Fund Investment Data'!$V:$V, 'Fund Investment Data'!$C:$C = $C1805, 'Fund Investment Data'!$A:$A = $A1805 - 2, 'Fund Investment Data'!$B:$B &gt;= 4)) * Parameters!$B$4,0) + IFERROR(SUM(FILTER('Fund Investment Data'!$V:$V, 'Fund "&amp;"Investment Data'!$C:$C = $C1805, 'Fund Investment Data'!$A:$A = $A1805 - 1, 'Fund Investment Data'!$B:$B &lt;= 3)) * Parameters!$B$4,0))),0)"),45.0)</f>
        <v>45</v>
      </c>
      <c r="AC1805" s="32" t="str">
        <f>IFERROR(__xludf.DUMMYFUNCTION("IFERROR(FILTER($AF:$AF,$C:$C = $C1805,$A:$A = $A1805 - 1,$B:$B = 12),0)"),"")</f>
        <v/>
      </c>
      <c r="AD1805" s="32">
        <f t="shared" si="23"/>
        <v>52681.32807</v>
      </c>
      <c r="AE1805" s="32">
        <f t="shared" si="2"/>
        <v>52681.32807</v>
      </c>
      <c r="AF1805" s="32"/>
    </row>
    <row r="1806">
      <c r="A1806" s="86">
        <v>2020.0</v>
      </c>
      <c r="B1806" s="87">
        <v>5.0</v>
      </c>
      <c r="C1806" s="88" t="s">
        <v>33</v>
      </c>
      <c r="D1806" s="104">
        <v>0.0</v>
      </c>
      <c r="E1806" s="104">
        <v>0.0</v>
      </c>
      <c r="F1806" s="104">
        <v>0.0</v>
      </c>
      <c r="G1806" s="104">
        <v>-631.3</v>
      </c>
      <c r="H1806" s="104">
        <v>3046.9</v>
      </c>
      <c r="I1806" s="104">
        <v>20592.35</v>
      </c>
      <c r="J1806" s="104">
        <v>-46264.63</v>
      </c>
      <c r="K1806" s="32"/>
      <c r="L1806" s="32"/>
      <c r="M1806" s="32"/>
      <c r="N1806" s="32"/>
      <c r="O1806" s="106">
        <v>328108.69</v>
      </c>
      <c r="P1806" s="91">
        <f>IFERROR(__xludf.DUMMYFUNCTION("IFERROR(sum(FILTER($D:$N,$C:$C = $C1806,$A:$A &lt; $A1806,$B:$B = 12)),0) + sum($D1806:$N1806)"),328108.9099999998)</f>
        <v>328108.91</v>
      </c>
      <c r="Q1806" s="92">
        <f t="shared" si="1"/>
        <v>-0.2199999998</v>
      </c>
      <c r="R1806" s="91">
        <f t="array" ref="R1806">IFERROR(INDEX('Fund YTD Target Values'!$1:$1000, MATCH($C1806,'Fund YTD Target Values'!$A:$A,0), MATCH($A1806,'Fund YTD Target Values'!$1:$1,0)),0)</f>
        <v>534811.3234</v>
      </c>
      <c r="S1806" s="91">
        <f>IFERROR(__xludf.DUMMYFUNCTION("IFERROR(sum(FILTER('Fund Investment Data'!$V:$V, 'Fund Investment Data'!$C:$C = $C1806, 'Fund Investment Data'!$A:$A &lt; $A1806)),0) + IFERROR(sum(FILTER('Fund Investment Data'!$V:$V, 'Fund Investment Data'!$C:$C = $C1806, 'Fund Investment Data'!$A:$A = $A1"&amp;"806, 'Fund Investment Data'!$B:$B &lt;= $B1806)),0)"),325871.6399999999)</f>
        <v>325871.64</v>
      </c>
      <c r="T1806" s="32"/>
      <c r="U1806" s="32"/>
      <c r="V1806" s="32">
        <f>IFERROR(__xludf.DUMMYFUNCTION("$D1806 - IFERROR(FILTER($D:$D,$C:$C = $C1806, $A:$A = $A1806, $B:$B = $B1806 - 1),0)"),0.0)</f>
        <v>0</v>
      </c>
      <c r="W1806" s="93">
        <f>IFERROR(__xludf.DUMMYFUNCTION("$E1806 - IFERROR(FILTER($E:$E,$C:$C = $C1806, $A:$A = $A1806, $B:$B = $B1806 - 1),0)"),0.0)</f>
        <v>0</v>
      </c>
      <c r="X1806" s="91">
        <f>IFERROR(__xludf.DUMMYFUNCTION("iFERROR((FILTER('Fund Investment Data'!$Z:$Z, 'Fund Investment Data'!$C:$C = $C1806, 'Fund Investment Data'!$A:$A = $A1806 - 1, 'Fund Investment Data'!$B:$B = 12) + FILTER('Fund Investment Data'!$AB:$AB, 'Fund Investment Data'!$C:$C = $C1806, 'Fund Invest"&amp;"ment Data'!$A:$A = $A1806 - 1, 'Fund Investment Data'!$B:$B = 12)) * (1 + AVERAGE(FILTER('Inflation Data'!$C:$C,'Inflation Data'!$A:$A = ($A1806 - 2)))) * Parameters!$A$4,0)"),11694.624948637042)</f>
        <v>11694.62495</v>
      </c>
      <c r="Y1806" s="91">
        <f>IFERROR(__xludf.DUMMYFUNCTION("IFERROR((IFERROR(FILTER('Fund Investment Data'!$P:$P,'Fund Investment Data'!$C:$C = $C1806,'Fund Investment Data'!$A:$A = ($A1806 - 2), 'Fund Investment Data'!$B:$B = 12),0) - SUM(FILTER('Fund Investment Data'!$V:$V, 'Fund Investment Data'!$C:$C = $C1806,"&amp;" 'Fund Investment Data'!$A:$A = ($A1806 - 2), 'Fund Investment Data'!$B:$B &gt; 3)))  * Parameters!$B$4 * (1 - Parameters!$A$4),0)"),4224.759929999998)</f>
        <v>4224.75993</v>
      </c>
      <c r="Z1806" s="91">
        <f t="shared" si="24"/>
        <v>15919.38488</v>
      </c>
      <c r="AA1806" s="91">
        <f>IFERROR(__xludf.DUMMYFUNCTION("((IFERROR((SUM(FILTER('Fund Investment Data'!$V:$V, 'Fund Investment Data'!$C:$C = $C1806, 'Fund Investment Data'!$A:$A = $A1806 - 1, 'Fund Investment Data'!$B:$B &gt;= 4, 'Fund Investment Data'!$B:$B &lt;= ($B1806 + 5))) / 12) * ($B1806 - 3) * Parameters!$B$4,"&amp;" 0) + IF($B1806 &gt;= 9, IFERROR(SUM(FILTER('Fund Investment Data'!$V:$V, 'Fund Investment Data'!$C:$C = $C1806, 'Fund Investment Data'!$A:$A = $A1806, 'Fund Investment Data'!$B:$B &lt;= 3)) * Parameters!$B$4, 0),0)))"),0.0)</f>
        <v>0</v>
      </c>
      <c r="AB1806" s="32">
        <f>IFERROR(__xludf.DUMMYFUNCTION("IFERROR(((IFERROR(SUM(FILTER('Fund Investment Data'!$V:$V, 'Fund Investment Data'!$C:$C = $C1806, 'Fund Investment Data'!$A:$A = $A1806 - 2, 'Fund Investment Data'!$B:$B &gt;= 4)) * Parameters!$B$4,0) + IFERROR(SUM(FILTER('Fund Investment Data'!$V:$V, 'Fund "&amp;"Investment Data'!$C:$C = $C1806, 'Fund Investment Data'!$A:$A = $A1806 - 1, 'Fund Investment Data'!$B:$B &lt;= 3)) * Parameters!$B$4,0))),0)"),0.0)</f>
        <v>0</v>
      </c>
      <c r="AC1806" s="32" t="str">
        <f>IFERROR(__xludf.DUMMYFUNCTION("IFERROR(FILTER($AF:$AF,$C:$C = $C1806,$A:$A = $A1806 - 1,$B:$B = 12),0)"),"")</f>
        <v/>
      </c>
      <c r="AD1806" s="32">
        <f t="shared" si="23"/>
        <v>15919.38488</v>
      </c>
      <c r="AE1806" s="32">
        <f t="shared" si="2"/>
        <v>15919.38488</v>
      </c>
      <c r="AF1806" s="32"/>
    </row>
    <row r="1807">
      <c r="A1807" s="86">
        <v>2020.0</v>
      </c>
      <c r="B1807" s="87">
        <v>5.0</v>
      </c>
      <c r="C1807" s="88" t="s">
        <v>53</v>
      </c>
      <c r="D1807" s="104">
        <v>0.0</v>
      </c>
      <c r="E1807" s="104">
        <v>0.0</v>
      </c>
      <c r="F1807" s="104">
        <v>0.0</v>
      </c>
      <c r="G1807" s="104">
        <v>-4041.02</v>
      </c>
      <c r="H1807" s="104">
        <v>19503.84</v>
      </c>
      <c r="I1807" s="104">
        <v>131816.12</v>
      </c>
      <c r="J1807" s="104">
        <v>-296149.97</v>
      </c>
      <c r="K1807" s="32"/>
      <c r="L1807" s="32"/>
      <c r="M1807" s="32"/>
      <c r="N1807" s="32"/>
      <c r="O1807" s="106">
        <v>2100294.97</v>
      </c>
      <c r="P1807" s="91">
        <f>IFERROR(__xludf.DUMMYFUNCTION("IFERROR(sum(FILTER($D:$N,$C:$C = $C1807,$A:$A &lt; $A1807,$B:$B = 12)),0) + sum($D1807:$N1807)"),2100294.97)</f>
        <v>2100294.97</v>
      </c>
      <c r="Q1807" s="92">
        <f t="shared" si="1"/>
        <v>0</v>
      </c>
      <c r="R1807" s="91">
        <f t="array" ref="R1807">IFERROR(INDEX('Fund YTD Target Values'!$1:$1000, MATCH($C1807,'Fund YTD Target Values'!$A:$A,0), MATCH($A1807,'Fund YTD Target Values'!$1:$1,0)),0)</f>
        <v>2319668.115</v>
      </c>
      <c r="S1807" s="91">
        <f>IFERROR(__xludf.DUMMYFUNCTION("IFERROR(sum(FILTER('Fund Investment Data'!$V:$V, 'Fund Investment Data'!$C:$C = $C1807, 'Fund Investment Data'!$A:$A &lt; $A1807)),0) + IFERROR(sum(FILTER('Fund Investment Data'!$V:$V, 'Fund Investment Data'!$C:$C = $C1807, 'Fund Investment Data'!$A:$A = $A1"&amp;"807, 'Fund Investment Data'!$B:$B &lt;= $B1807)),0)"),2005500.0)</f>
        <v>2005500</v>
      </c>
      <c r="T1807" s="32"/>
      <c r="U1807" s="32"/>
      <c r="V1807" s="32">
        <f>IFERROR(__xludf.DUMMYFUNCTION("$D1807 - IFERROR(FILTER($D:$D,$C:$C = $C1807, $A:$A = $A1807, $B:$B = $B1807 - 1),0)"),0.0)</f>
        <v>0</v>
      </c>
      <c r="W1807" s="93">
        <f>IFERROR(__xludf.DUMMYFUNCTION("$E1807 - IFERROR(FILTER($E:$E,$C:$C = $C1807, $A:$A = $A1807, $B:$B = $B1807 - 1),0)"),0.0)</f>
        <v>0</v>
      </c>
      <c r="X1807" s="91">
        <f>IFERROR(__xludf.DUMMYFUNCTION("iFERROR((FILTER('Fund Investment Data'!$Z:$Z, 'Fund Investment Data'!$C:$C = $C1807, 'Fund Investment Data'!$A:$A = $A1807 - 1, 'Fund Investment Data'!$B:$B = 12) + FILTER('Fund Investment Data'!$AB:$AB, 'Fund Investment Data'!$C:$C = $C1807, 'Fund Invest"&amp;"ment Data'!$A:$A = $A1807 - 1, 'Fund Investment Data'!$B:$B = 12)) * (1 + AVERAGE(FILTER('Inflation Data'!$C:$C,'Inflation Data'!$A:$A = ($A1807 - 2)))) * Parameters!$A$4,0)"),72128.4673033264)</f>
        <v>72128.4673</v>
      </c>
      <c r="Y1807" s="91">
        <f>IFERROR(__xludf.DUMMYFUNCTION("IFERROR((IFERROR(FILTER('Fund Investment Data'!$P:$P,'Fund Investment Data'!$C:$C = $C1807,'Fund Investment Data'!$A:$A = ($A1807 - 2), 'Fund Investment Data'!$B:$B = 12),0) - SUM(FILTER('Fund Investment Data'!$V:$V, 'Fund Investment Data'!$C:$C = $C1807,"&amp;" 'Fund Investment Data'!$A:$A = ($A1807 - 2), 'Fund Investment Data'!$B:$B &gt; 3)))  * Parameters!$B$4 * (1 - Parameters!$A$4),0)"),27628.22088)</f>
        <v>27628.22088</v>
      </c>
      <c r="Z1807" s="91">
        <f t="shared" si="24"/>
        <v>99756.68818</v>
      </c>
      <c r="AA1807" s="91">
        <f>IFERROR(__xludf.DUMMYFUNCTION("((IFERROR((SUM(FILTER('Fund Investment Data'!$V:$V, 'Fund Investment Data'!$C:$C = $C1807, 'Fund Investment Data'!$A:$A = $A1807 - 1, 'Fund Investment Data'!$B:$B &gt;= 4, 'Fund Investment Data'!$B:$B &lt;= ($B1807 + 5))) / 12) * ($B1807 - 3) * Parameters!$B$4,"&amp;" 0) + IF($B1807 &gt;= 9, IFERROR(SUM(FILTER('Fund Investment Data'!$V:$V, 'Fund Investment Data'!$C:$C = $C1807, 'Fund Investment Data'!$A:$A = $A1807, 'Fund Investment Data'!$B:$B &lt;= 3)) * Parameters!$B$4, 0),0)))"),0.0)</f>
        <v>0</v>
      </c>
      <c r="AB1807" s="32">
        <f>IFERROR(__xludf.DUMMYFUNCTION("IFERROR(((IFERROR(SUM(FILTER('Fund Investment Data'!$V:$V, 'Fund Investment Data'!$C:$C = $C1807, 'Fund Investment Data'!$A:$A = $A1807 - 2, 'Fund Investment Data'!$B:$B &gt;= 4)) * Parameters!$B$4,0) + IFERROR(SUM(FILTER('Fund Investment Data'!$V:$V, 'Fund "&amp;"Investment Data'!$C:$C = $C1807, 'Fund Investment Data'!$A:$A = $A1807 - 1, 'Fund Investment Data'!$B:$B &lt;= 3)) * Parameters!$B$4,0))),0)"),0.0)</f>
        <v>0</v>
      </c>
      <c r="AC1807" s="32" t="str">
        <f>IFERROR(__xludf.DUMMYFUNCTION("IFERROR(FILTER($AF:$AF,$C:$C = $C1807,$A:$A = $A1807 - 1,$B:$B = 12),0)"),"")</f>
        <v/>
      </c>
      <c r="AD1807" s="32">
        <f t="shared" si="23"/>
        <v>99756.68818</v>
      </c>
      <c r="AE1807" s="32">
        <f t="shared" si="2"/>
        <v>99756.68818</v>
      </c>
      <c r="AF1807" s="32"/>
    </row>
    <row r="1808">
      <c r="A1808" s="86">
        <v>2020.0</v>
      </c>
      <c r="B1808" s="87">
        <v>5.0</v>
      </c>
      <c r="C1808" s="88" t="s">
        <v>34</v>
      </c>
      <c r="D1808" s="104">
        <v>0.0</v>
      </c>
      <c r="E1808" s="104">
        <v>0.0</v>
      </c>
      <c r="F1808" s="104">
        <v>0.0</v>
      </c>
      <c r="G1808" s="104">
        <v>-265.41</v>
      </c>
      <c r="H1808" s="104">
        <v>1281.04</v>
      </c>
      <c r="I1808" s="104">
        <v>8657.83</v>
      </c>
      <c r="J1808" s="104">
        <v>-19451.44</v>
      </c>
      <c r="K1808" s="32"/>
      <c r="L1808" s="32"/>
      <c r="M1808" s="32"/>
      <c r="N1808" s="32"/>
      <c r="O1808" s="106">
        <v>137949.67</v>
      </c>
      <c r="P1808" s="91">
        <f>IFERROR(__xludf.DUMMYFUNCTION("IFERROR(sum(FILTER($D:$N,$C:$C = $C1808,$A:$A &lt; $A1808,$B:$B = 12)),0) + sum($D1808:$N1808)"),137949.66999999995)</f>
        <v>137949.67</v>
      </c>
      <c r="Q1808" s="92">
        <f t="shared" si="1"/>
        <v>0</v>
      </c>
      <c r="R1808" s="91">
        <f t="array" ref="R1808">IFERROR(INDEX('Fund YTD Target Values'!$1:$1000, MATCH($C1808,'Fund YTD Target Values'!$A:$A,0), MATCH($A1808,'Fund YTD Target Values'!$1:$1,0)),0)</f>
        <v>141101.0603</v>
      </c>
      <c r="S1808" s="91">
        <f>IFERROR(__xludf.DUMMYFUNCTION("IFERROR(sum(FILTER('Fund Investment Data'!$V:$V, 'Fund Investment Data'!$C:$C = $C1808, 'Fund Investment Data'!$A:$A &lt; $A1808)),0) + IFERROR(sum(FILTER('Fund Investment Data'!$V:$V, 'Fund Investment Data'!$C:$C = $C1808, 'Fund Investment Data'!$A:$A = $A1"&amp;"808, 'Fund Investment Data'!$B:$B &lt;= $B1808)),0)"),125000.0)</f>
        <v>125000</v>
      </c>
      <c r="T1808" s="32"/>
      <c r="U1808" s="32"/>
      <c r="V1808" s="32">
        <f>IFERROR(__xludf.DUMMYFUNCTION("$D1808 - IFERROR(FILTER($D:$D,$C:$C = $C1808, $A:$A = $A1808, $B:$B = $B1808 - 1),0)"),0.0)</f>
        <v>0</v>
      </c>
      <c r="W1808" s="93">
        <f>IFERROR(__xludf.DUMMYFUNCTION("$E1808 - IFERROR(FILTER($E:$E,$C:$C = $C1808, $A:$A = $A1808, $B:$B = $B1808 - 1),0)"),0.0)</f>
        <v>0</v>
      </c>
      <c r="X1808" s="91">
        <f>IFERROR(__xludf.DUMMYFUNCTION("iFERROR((FILTER('Fund Investment Data'!$Z:$Z, 'Fund Investment Data'!$C:$C = $C1808, 'Fund Investment Data'!$A:$A = $A1808 - 1, 'Fund Investment Data'!$B:$B = 12) + FILTER('Fund Investment Data'!$AB:$AB, 'Fund Investment Data'!$C:$C = $C1808, 'Fund Invest"&amp;"ment Data'!$A:$A = $A1808 - 1, 'Fund Investment Data'!$B:$B = 12)) * (1 + AVERAGE(FILTER('Inflation Data'!$C:$C,'Inflation Data'!$A:$A = ($A1808 - 2)))) * Parameters!$A$4,0)"),4562.512460415234)</f>
        <v>4562.51246</v>
      </c>
      <c r="Y1808" s="91">
        <f>IFERROR(__xludf.DUMMYFUNCTION("IFERROR((IFERROR(FILTER('Fund Investment Data'!$P:$P,'Fund Investment Data'!$C:$C = $C1808,'Fund Investment Data'!$A:$A = ($A1808 - 2), 'Fund Investment Data'!$B:$B = 12),0) - SUM(FILTER('Fund Investment Data'!$V:$V, 'Fund Investment Data'!$C:$C = $C1808,"&amp;" 'Fund Investment Data'!$A:$A = ($A1808 - 2), 'Fund Investment Data'!$B:$B &gt; 3)))  * Parameters!$B$4 * (1 - Parameters!$A$4),0)"),1706.9301450000003)</f>
        <v>1706.930145</v>
      </c>
      <c r="Z1808" s="91">
        <f t="shared" si="24"/>
        <v>6269.442605</v>
      </c>
      <c r="AA1808" s="91">
        <f>IFERROR(__xludf.DUMMYFUNCTION("((IFERROR((SUM(FILTER('Fund Investment Data'!$V:$V, 'Fund Investment Data'!$C:$C = $C1808, 'Fund Investment Data'!$A:$A = $A1808 - 1, 'Fund Investment Data'!$B:$B &gt;= 4, 'Fund Investment Data'!$B:$B &lt;= ($B1808 + 5))) / 12) * ($B1808 - 3) * Parameters!$B$4,"&amp;" 0) + IF($B1808 &gt;= 9, IFERROR(SUM(FILTER('Fund Investment Data'!$V:$V, 'Fund Investment Data'!$C:$C = $C1808, 'Fund Investment Data'!$A:$A = $A1808, 'Fund Investment Data'!$B:$B &lt;= 3)) * Parameters!$B$4, 0),0)))"),0.0)</f>
        <v>0</v>
      </c>
      <c r="AB1808" s="32">
        <f>IFERROR(__xludf.DUMMYFUNCTION("IFERROR(((IFERROR(SUM(FILTER('Fund Investment Data'!$V:$V, 'Fund Investment Data'!$C:$C = $C1808, 'Fund Investment Data'!$A:$A = $A1808 - 2, 'Fund Investment Data'!$B:$B &gt;= 4)) * Parameters!$B$4,0) + IFERROR(SUM(FILTER('Fund Investment Data'!$V:$V, 'Fund "&amp;"Investment Data'!$C:$C = $C1808, 'Fund Investment Data'!$A:$A = $A1808 - 1, 'Fund Investment Data'!$B:$B &lt;= 3)) * Parameters!$B$4,0))),0)"),225.0)</f>
        <v>225</v>
      </c>
      <c r="AC1808" s="32" t="str">
        <f>IFERROR(__xludf.DUMMYFUNCTION("IFERROR(FILTER($AF:$AF,$C:$C = $C1808,$A:$A = $A1808 - 1,$B:$B = 12),0)"),"")</f>
        <v/>
      </c>
      <c r="AD1808" s="32">
        <f t="shared" si="23"/>
        <v>6494.442605</v>
      </c>
      <c r="AE1808" s="32">
        <f t="shared" si="2"/>
        <v>6494.442605</v>
      </c>
      <c r="AF1808" s="32"/>
    </row>
    <row r="1809">
      <c r="A1809" s="86">
        <v>2020.0</v>
      </c>
      <c r="B1809" s="87">
        <v>5.0</v>
      </c>
      <c r="C1809" s="88" t="s">
        <v>54</v>
      </c>
      <c r="D1809" s="104">
        <v>299.0</v>
      </c>
      <c r="E1809" s="104">
        <v>0.0</v>
      </c>
      <c r="F1809" s="104">
        <v>0.0</v>
      </c>
      <c r="G1809" s="104">
        <v>-314.2</v>
      </c>
      <c r="H1809" s="104">
        <v>1516.66</v>
      </c>
      <c r="I1809" s="104">
        <v>10239.82</v>
      </c>
      <c r="J1809" s="104">
        <v>-23017.75</v>
      </c>
      <c r="K1809" s="32"/>
      <c r="L1809" s="32"/>
      <c r="M1809" s="32"/>
      <c r="N1809" s="32"/>
      <c r="O1809" s="106">
        <v>163388.71</v>
      </c>
      <c r="P1809" s="91">
        <f>IFERROR(__xludf.DUMMYFUNCTION("IFERROR(sum(FILTER($D:$N,$C:$C = $C1809,$A:$A &lt; $A1809,$B:$B = 12)),0) + sum($D1809:$N1809)"),163389.67999999996)</f>
        <v>163389.68</v>
      </c>
      <c r="Q1809" s="92">
        <f t="shared" si="1"/>
        <v>-0.97</v>
      </c>
      <c r="R1809" s="91">
        <f t="array" ref="R1809">IFERROR(INDEX('Fund YTD Target Values'!$1:$1000, MATCH($C1809,'Fund YTD Target Values'!$A:$A,0), MATCH($A1809,'Fund YTD Target Values'!$1:$1,0)),0)</f>
        <v>162317.7907</v>
      </c>
      <c r="S1809" s="91">
        <f>IFERROR(__xludf.DUMMYFUNCTION("IFERROR(sum(FILTER('Fund Investment Data'!$V:$V, 'Fund Investment Data'!$C:$C = $C1809, 'Fund Investment Data'!$A:$A &lt; $A1809)),0) + IFERROR(sum(FILTER('Fund Investment Data'!$V:$V, 'Fund Investment Data'!$C:$C = $C1809, 'Fund Investment Data'!$A:$A = $A1"&amp;"809, 'Fund Investment Data'!$B:$B &lt;= $B1809)),0)"),113274.14999999998)</f>
        <v>113274.15</v>
      </c>
      <c r="T1809" s="32"/>
      <c r="U1809" s="32"/>
      <c r="V1809" s="32">
        <f>IFERROR(__xludf.DUMMYFUNCTION("$D1809 - IFERROR(FILTER($D:$D,$C:$C = $C1809, $A:$A = $A1809, $B:$B = $B1809 - 1),0)"),0.0)</f>
        <v>0</v>
      </c>
      <c r="W1809" s="93">
        <f>IFERROR(__xludf.DUMMYFUNCTION("$E1809 - IFERROR(FILTER($E:$E,$C:$C = $C1809, $A:$A = $A1809, $B:$B = $B1809 - 1),0)"),0.0)</f>
        <v>0</v>
      </c>
      <c r="X1809" s="91">
        <f>IFERROR(__xludf.DUMMYFUNCTION("iFERROR((FILTER('Fund Investment Data'!$Z:$Z, 'Fund Investment Data'!$C:$C = $C1809, 'Fund Investment Data'!$A:$A = $A1809 - 1, 'Fund Investment Data'!$B:$B = 12) + FILTER('Fund Investment Data'!$AB:$AB, 'Fund Investment Data'!$C:$C = $C1809, 'Fund Invest"&amp;"ment Data'!$A:$A = $A1809 - 1, 'Fund Investment Data'!$B:$B = 12)) * (1 + AVERAGE(FILTER('Inflation Data'!$C:$C,'Inflation Data'!$A:$A = ($A1809 - 2)))) * Parameters!$A$4,0)"),5485.4342945921035)</f>
        <v>5485.434295</v>
      </c>
      <c r="Y1809" s="91">
        <f>IFERROR(__xludf.DUMMYFUNCTION("IFERROR((IFERROR(FILTER('Fund Investment Data'!$P:$P,'Fund Investment Data'!$C:$C = $C1809,'Fund Investment Data'!$A:$A = ($A1809 - 2), 'Fund Investment Data'!$B:$B = 12),0) - SUM(FILTER('Fund Investment Data'!$V:$V, 'Fund Investment Data'!$C:$C = $C1809,"&amp;" 'Fund Investment Data'!$A:$A = ($A1809 - 2), 'Fund Investment Data'!$B:$B &gt; 3)))  * Parameters!$B$4 * (1 - Parameters!$A$4),0)"),2091.582674999999)</f>
        <v>2091.582675</v>
      </c>
      <c r="Z1809" s="91">
        <f t="shared" si="24"/>
        <v>7577.01697</v>
      </c>
      <c r="AA1809" s="91">
        <f>IFERROR(__xludf.DUMMYFUNCTION("((IFERROR((SUM(FILTER('Fund Investment Data'!$V:$V, 'Fund Investment Data'!$C:$C = $C1809, 'Fund Investment Data'!$A:$A = $A1809 - 1, 'Fund Investment Data'!$B:$B &gt;= 4, 'Fund Investment Data'!$B:$B &lt;= ($B1809 + 5))) / 12) * ($B1809 - 3) * Parameters!$B$4,"&amp;" 0) + IF($B1809 &gt;= 9, IFERROR(SUM(FILTER('Fund Investment Data'!$V:$V, 'Fund Investment Data'!$C:$C = $C1809, 'Fund Investment Data'!$A:$A = $A1809, 'Fund Investment Data'!$B:$B &lt;= 3)) * Parameters!$B$4, 0),0)))"),0.42)</f>
        <v>0.42</v>
      </c>
      <c r="AB1809" s="32">
        <f>IFERROR(__xludf.DUMMYFUNCTION("IFERROR(((IFERROR(SUM(FILTER('Fund Investment Data'!$V:$V, 'Fund Investment Data'!$C:$C = $C1809, 'Fund Investment Data'!$A:$A = $A1809 - 2, 'Fund Investment Data'!$B:$B &gt;= 4)) * Parameters!$B$4,0) + IFERROR(SUM(FILTER('Fund Investment Data'!$V:$V, 'Fund "&amp;"Investment Data'!$C:$C = $C1809, 'Fund Investment Data'!$A:$A = $A1809 - 1, 'Fund Investment Data'!$B:$B &lt;= 3)) * Parameters!$B$4,0))),0)"),6.075)</f>
        <v>6.075</v>
      </c>
      <c r="AC1809" s="32" t="str">
        <f>IFERROR(__xludf.DUMMYFUNCTION("IFERROR(FILTER($AF:$AF,$C:$C = $C1809,$A:$A = $A1809 - 1,$B:$B = 12),0)"),"")</f>
        <v/>
      </c>
      <c r="AD1809" s="32">
        <f t="shared" si="23"/>
        <v>7583.51197</v>
      </c>
      <c r="AE1809" s="32">
        <f t="shared" si="2"/>
        <v>7583.51197</v>
      </c>
      <c r="AF1809" s="32"/>
    </row>
    <row r="1810">
      <c r="A1810" s="86">
        <v>2020.0</v>
      </c>
      <c r="B1810" s="87">
        <v>5.0</v>
      </c>
      <c r="C1810" s="88" t="s">
        <v>55</v>
      </c>
      <c r="D1810" s="104">
        <v>0.0</v>
      </c>
      <c r="E1810" s="104">
        <v>0.0</v>
      </c>
      <c r="F1810" s="104">
        <v>0.0</v>
      </c>
      <c r="G1810" s="104">
        <v>-665.71</v>
      </c>
      <c r="H1810" s="104">
        <v>3213.02</v>
      </c>
      <c r="I1810" s="104">
        <v>21715.07</v>
      </c>
      <c r="J1810" s="104">
        <v>-48787.06</v>
      </c>
      <c r="K1810" s="32"/>
      <c r="L1810" s="32"/>
      <c r="M1810" s="32"/>
      <c r="N1810" s="32"/>
      <c r="O1810" s="106">
        <v>345997.67</v>
      </c>
      <c r="P1810" s="91">
        <f>IFERROR(__xludf.DUMMYFUNCTION("IFERROR(sum(FILTER($D:$N,$C:$C = $C1810,$A:$A &lt; $A1810,$B:$B = 12)),0) + sum($D1810:$N1810)"),345997.6699999999)</f>
        <v>345997.67</v>
      </c>
      <c r="Q1810" s="92">
        <f t="shared" si="1"/>
        <v>0</v>
      </c>
      <c r="R1810" s="91">
        <f t="array" ref="R1810">IFERROR(INDEX('Fund YTD Target Values'!$1:$1000, MATCH($C1810,'Fund YTD Target Values'!$A:$A,0), MATCH($A1810,'Fund YTD Target Values'!$1:$1,0)),0)</f>
        <v>373132.6187</v>
      </c>
      <c r="S1810" s="91">
        <f>IFERROR(__xludf.DUMMYFUNCTION("IFERROR(sum(FILTER('Fund Investment Data'!$V:$V, 'Fund Investment Data'!$C:$C = $C1810, 'Fund Investment Data'!$A:$A &lt; $A1810)),0) + IFERROR(sum(FILTER('Fund Investment Data'!$V:$V, 'Fund Investment Data'!$C:$C = $C1810, 'Fund Investment Data'!$A:$A = $A1"&amp;"810, 'Fund Investment Data'!$B:$B &lt;= $B1810)),0)"),350000.0)</f>
        <v>350000</v>
      </c>
      <c r="T1810" s="32"/>
      <c r="U1810" s="32"/>
      <c r="V1810" s="32">
        <f>IFERROR(__xludf.DUMMYFUNCTION("$D1810 - IFERROR(FILTER($D:$D,$C:$C = $C1810, $A:$A = $A1810, $B:$B = $B1810 - 1),0)"),0.0)</f>
        <v>0</v>
      </c>
      <c r="W1810" s="93">
        <f>IFERROR(__xludf.DUMMYFUNCTION("$E1810 - IFERROR(FILTER($E:$E,$C:$C = $C1810, $A:$A = $A1810, $B:$B = $B1810 - 1),0)"),0.0)</f>
        <v>0</v>
      </c>
      <c r="X1810" s="91">
        <f>IFERROR(__xludf.DUMMYFUNCTION("iFERROR((FILTER('Fund Investment Data'!$Z:$Z, 'Fund Investment Data'!$C:$C = $C1810, 'Fund Investment Data'!$A:$A = $A1810 - 1, 'Fund Investment Data'!$B:$B = 12) + FILTER('Fund Investment Data'!$AB:$AB, 'Fund Investment Data'!$C:$C = $C1810, 'Fund Invest"&amp;"ment Data'!$A:$A = $A1810 - 1, 'Fund Investment Data'!$B:$B = 12)) * (1 + AVERAGE(FILTER('Inflation Data'!$C:$C,'Inflation Data'!$A:$A = ($A1810 - 2)))) * Parameters!$A$4,0)"),8733.12388790319)</f>
        <v>8733.123888</v>
      </c>
      <c r="Y1810" s="91">
        <f>IFERROR(__xludf.DUMMYFUNCTION("IFERROR((IFERROR(FILTER('Fund Investment Data'!$P:$P,'Fund Investment Data'!$C:$C = $C1810,'Fund Investment Data'!$A:$A = ($A1810 - 2), 'Fund Investment Data'!$B:$B = 12),0) - SUM(FILTER('Fund Investment Data'!$V:$V, 'Fund Investment Data'!$C:$C = $C1810,"&amp;" 'Fund Investment Data'!$A:$A = ($A1810 - 2), 'Fund Investment Data'!$B:$B &gt; 3)))  * Parameters!$B$4 * (1 - Parameters!$A$4),0)"),2801.6676899999998)</f>
        <v>2801.66769</v>
      </c>
      <c r="Z1810" s="91">
        <f t="shared" si="24"/>
        <v>11534.79158</v>
      </c>
      <c r="AA1810" s="91">
        <f>IFERROR(__xludf.DUMMYFUNCTION("((IFERROR((SUM(FILTER('Fund Investment Data'!$V:$V, 'Fund Investment Data'!$C:$C = $C1810, 'Fund Investment Data'!$A:$A = $A1810 - 1, 'Fund Investment Data'!$B:$B &gt;= 4, 'Fund Investment Data'!$B:$B &lt;= ($B1810 + 5))) / 12) * ($B1810 - 3) * Parameters!$B$4,"&amp;" 0) + IF($B1810 &gt;= 9, IFERROR(SUM(FILTER('Fund Investment Data'!$V:$V, 'Fund Investment Data'!$C:$C = $C1810, 'Fund Investment Data'!$A:$A = $A1810, 'Fund Investment Data'!$B:$B &lt;= 3)) * Parameters!$B$4, 0),0)))"),0.0)</f>
        <v>0</v>
      </c>
      <c r="AB1810" s="32">
        <f>IFERROR(__xludf.DUMMYFUNCTION("IFERROR(((IFERROR(SUM(FILTER('Fund Investment Data'!$V:$V, 'Fund Investment Data'!$C:$C = $C1810, 'Fund Investment Data'!$A:$A = $A1810 - 2, 'Fund Investment Data'!$B:$B &gt;= 4)) * Parameters!$B$4,0) + IFERROR(SUM(FILTER('Fund Investment Data'!$V:$V, 'Fund "&amp;"Investment Data'!$C:$C = $C1810, 'Fund Investment Data'!$A:$A = $A1810 - 1, 'Fund Investment Data'!$B:$B &lt;= 3)) * Parameters!$B$4,0))),0)"),3150.0)</f>
        <v>3150</v>
      </c>
      <c r="AC1810" s="32" t="str">
        <f>IFERROR(__xludf.DUMMYFUNCTION("IFERROR(FILTER($AF:$AF,$C:$C = $C1810,$A:$A = $A1810 - 1,$B:$B = 12),0)"),"")</f>
        <v/>
      </c>
      <c r="AD1810" s="32">
        <f t="shared" si="23"/>
        <v>14684.79158</v>
      </c>
      <c r="AE1810" s="32">
        <f t="shared" si="2"/>
        <v>14684.79158</v>
      </c>
      <c r="AF1810" s="32"/>
    </row>
    <row r="1811">
      <c r="A1811" s="86">
        <v>2020.0</v>
      </c>
      <c r="B1811" s="87">
        <v>5.0</v>
      </c>
      <c r="C1811" s="88" t="s">
        <v>44</v>
      </c>
      <c r="D1811" s="104">
        <v>0.0</v>
      </c>
      <c r="E1811" s="104">
        <v>0.0</v>
      </c>
      <c r="F1811" s="104">
        <v>0.0</v>
      </c>
      <c r="G1811" s="104">
        <v>-505.09</v>
      </c>
      <c r="H1811" s="104">
        <v>2437.76</v>
      </c>
      <c r="I1811" s="104">
        <v>16475.45</v>
      </c>
      <c r="J1811" s="104">
        <v>-37015.22</v>
      </c>
      <c r="K1811" s="32"/>
      <c r="L1811" s="32"/>
      <c r="M1811" s="32"/>
      <c r="N1811" s="32"/>
      <c r="O1811" s="106">
        <v>262511.89</v>
      </c>
      <c r="P1811" s="91">
        <f>IFERROR(__xludf.DUMMYFUNCTION("IFERROR(sum(FILTER($D:$N,$C:$C = $C1811,$A:$A &lt; $A1811,$B:$B = 12)),0) + sum($D1811:$N1811)"),262512.7800000001)</f>
        <v>262512.78</v>
      </c>
      <c r="Q1811" s="92">
        <f t="shared" si="1"/>
        <v>-0.8900000001</v>
      </c>
      <c r="R1811" s="91">
        <f t="array" ref="R1811">IFERROR(INDEX('Fund YTD Target Values'!$1:$1000, MATCH($C1811,'Fund YTD Target Values'!$A:$A,0), MATCH($A1811,'Fund YTD Target Values'!$1:$1,0)),0)</f>
        <v>335306.2117</v>
      </c>
      <c r="S1811" s="91">
        <f>IFERROR(__xludf.DUMMYFUNCTION("IFERROR(sum(FILTER('Fund Investment Data'!$V:$V, 'Fund Investment Data'!$C:$C = $C1811, 'Fund Investment Data'!$A:$A &lt; $A1811)),0) + IFERROR(sum(FILTER('Fund Investment Data'!$V:$V, 'Fund Investment Data'!$C:$C = $C1811, 'Fund Investment Data'!$A:$A = $A1"&amp;"811, 'Fund Investment Data'!$B:$B &lt;= $B1811)),0)"),250000.0)</f>
        <v>250000</v>
      </c>
      <c r="T1811" s="32"/>
      <c r="U1811" s="32"/>
      <c r="V1811" s="32">
        <f>IFERROR(__xludf.DUMMYFUNCTION("$D1811 - IFERROR(FILTER($D:$D,$C:$C = $C1811, $A:$A = $A1811, $B:$B = $B1811 - 1),0)"),0.0)</f>
        <v>0</v>
      </c>
      <c r="W1811" s="93">
        <f>IFERROR(__xludf.DUMMYFUNCTION("$E1811 - IFERROR(FILTER($E:$E,$C:$C = $C1811, $A:$A = $A1811, $B:$B = $B1811 - 1),0)"),0.0)</f>
        <v>0</v>
      </c>
      <c r="X1811" s="91">
        <f>IFERROR(__xludf.DUMMYFUNCTION("iFERROR((FILTER('Fund Investment Data'!$Z:$Z, 'Fund Investment Data'!$C:$C = $C1811, 'Fund Investment Data'!$A:$A = $A1811 - 1, 'Fund Investment Data'!$B:$B = 12) + FILTER('Fund Investment Data'!$AB:$AB, 'Fund Investment Data'!$C:$C = $C1811, 'Fund Invest"&amp;"ment Data'!$A:$A = $A1811 - 1, 'Fund Investment Data'!$B:$B = 12)) * (1 + AVERAGE(FILTER('Inflation Data'!$C:$C,'Inflation Data'!$A:$A = ($A1811 - 2)))) * Parameters!$A$4,0)"),9387.616085113343)</f>
        <v>9387.616085</v>
      </c>
      <c r="Y1811" s="91">
        <f>IFERROR(__xludf.DUMMYFUNCTION("IFERROR((IFERROR(FILTER('Fund Investment Data'!$P:$P,'Fund Investment Data'!$C:$C = $C1811,'Fund Investment Data'!$A:$A = ($A1811 - 2), 'Fund Investment Data'!$B:$B = 12),0) - SUM(FILTER('Fund Investment Data'!$V:$V, 'Fund Investment Data'!$C:$C = $C1811,"&amp;" 'Fund Investment Data'!$A:$A = ($A1811 - 2), 'Fund Investment Data'!$B:$B &gt; 3)))  * Parameters!$B$4 * (1 - Parameters!$A$4),0)"),3384.7055550000014)</f>
        <v>3384.705555</v>
      </c>
      <c r="Z1811" s="91">
        <f t="shared" si="24"/>
        <v>12772.32164</v>
      </c>
      <c r="AA1811" s="91">
        <f>IFERROR(__xludf.DUMMYFUNCTION("((IFERROR((SUM(FILTER('Fund Investment Data'!$V:$V, 'Fund Investment Data'!$C:$C = $C1811, 'Fund Investment Data'!$A:$A = $A1811 - 1, 'Fund Investment Data'!$B:$B &gt;= 4, 'Fund Investment Data'!$B:$B &lt;= ($B1811 + 5))) / 12) * ($B1811 - 3) * Parameters!$B$4,"&amp;" 0) + IF($B1811 &gt;= 9, IFERROR(SUM(FILTER('Fund Investment Data'!$V:$V, 'Fund Investment Data'!$C:$C = $C1811, 'Fund Investment Data'!$A:$A = $A1811, 'Fund Investment Data'!$B:$B &lt;= 3)) * Parameters!$B$4, 0),0)))"),0.0)</f>
        <v>0</v>
      </c>
      <c r="AB1811" s="32">
        <f>IFERROR(__xludf.DUMMYFUNCTION("IFERROR(((IFERROR(SUM(FILTER('Fund Investment Data'!$V:$V, 'Fund Investment Data'!$C:$C = $C1811, 'Fund Investment Data'!$A:$A = $A1811 - 2, 'Fund Investment Data'!$B:$B &gt;= 4)) * Parameters!$B$4,0) + IFERROR(SUM(FILTER('Fund Investment Data'!$V:$V, 'Fund "&amp;"Investment Data'!$C:$C = $C1811, 'Fund Investment Data'!$A:$A = $A1811 - 1, 'Fund Investment Data'!$B:$B &lt;= 3)) * Parameters!$B$4,0))),0)"),0.0)</f>
        <v>0</v>
      </c>
      <c r="AC1811" s="32" t="str">
        <f>IFERROR(__xludf.DUMMYFUNCTION("IFERROR(FILTER($AF:$AF,$C:$C = $C1811,$A:$A = $A1811 - 1,$B:$B = 12),0)"),"")</f>
        <v/>
      </c>
      <c r="AD1811" s="32">
        <f t="shared" si="23"/>
        <v>12772.32164</v>
      </c>
      <c r="AE1811" s="32">
        <f t="shared" si="2"/>
        <v>12772.32164</v>
      </c>
      <c r="AF1811" s="32"/>
    </row>
    <row r="1812">
      <c r="A1812" s="86">
        <v>2020.0</v>
      </c>
      <c r="B1812" s="87">
        <v>5.0</v>
      </c>
      <c r="C1812" s="88" t="s">
        <v>45</v>
      </c>
      <c r="D1812" s="104">
        <v>0.0</v>
      </c>
      <c r="E1812" s="104">
        <v>0.0</v>
      </c>
      <c r="F1812" s="104">
        <v>0.0</v>
      </c>
      <c r="G1812" s="104">
        <v>-268.62</v>
      </c>
      <c r="H1812" s="104">
        <v>1296.51</v>
      </c>
      <c r="I1812" s="104">
        <v>8762.53</v>
      </c>
      <c r="J1812" s="104">
        <v>-19686.67</v>
      </c>
      <c r="K1812" s="32"/>
      <c r="L1812" s="32"/>
      <c r="M1812" s="32"/>
      <c r="N1812" s="32"/>
      <c r="O1812" s="106">
        <v>139617.91</v>
      </c>
      <c r="P1812" s="91">
        <f>IFERROR(__xludf.DUMMYFUNCTION("IFERROR(sum(FILTER($D:$N,$C:$C = $C1812,$A:$A &lt; $A1812,$B:$B = 12)),0) + sum($D1812:$N1812)"),139618.11999999997)</f>
        <v>139618.12</v>
      </c>
      <c r="Q1812" s="92">
        <f t="shared" si="1"/>
        <v>-0.21</v>
      </c>
      <c r="R1812" s="91">
        <f t="array" ref="R1812">IFERROR(INDEX('Fund YTD Target Values'!$1:$1000, MATCH($C1812,'Fund YTD Target Values'!$A:$A,0), MATCH($A1812,'Fund YTD Target Values'!$1:$1,0)),0)</f>
        <v>126414.6128</v>
      </c>
      <c r="S1812" s="91">
        <f>IFERROR(__xludf.DUMMYFUNCTION("IFERROR(sum(FILTER('Fund Investment Data'!$V:$V, 'Fund Investment Data'!$C:$C = $C1812, 'Fund Investment Data'!$A:$A &lt; $A1812)),0) + IFERROR(sum(FILTER('Fund Investment Data'!$V:$V, 'Fund Investment Data'!$C:$C = $C1812, 'Fund Investment Data'!$A:$A = $A1"&amp;"812, 'Fund Investment Data'!$B:$B &lt;= $B1812)),0)"),100000.0)</f>
        <v>100000</v>
      </c>
      <c r="T1812" s="32"/>
      <c r="U1812" s="32"/>
      <c r="V1812" s="32">
        <f>IFERROR(__xludf.DUMMYFUNCTION("$D1812 - IFERROR(FILTER($D:$D,$C:$C = $C1812, $A:$A = $A1812, $B:$B = $B1812 - 1),0)"),0.0)</f>
        <v>0</v>
      </c>
      <c r="W1812" s="93">
        <f>IFERROR(__xludf.DUMMYFUNCTION("$E1812 - IFERROR(FILTER($E:$E,$C:$C = $C1812, $A:$A = $A1812, $B:$B = $B1812 - 1),0)"),0.0)</f>
        <v>0</v>
      </c>
      <c r="X1812" s="91">
        <f>IFERROR(__xludf.DUMMYFUNCTION("iFERROR((FILTER('Fund Investment Data'!$Z:$Z, 'Fund Investment Data'!$C:$C = $C1812, 'Fund Investment Data'!$A:$A = $A1812 - 1, 'Fund Investment Data'!$B:$B = 12) + FILTER('Fund Investment Data'!$AB:$AB, 'Fund Investment Data'!$C:$C = $C1812, 'Fund Invest"&amp;"ment Data'!$A:$A = $A1812 - 1, 'Fund Investment Data'!$B:$B = 12)) * (1 + AVERAGE(FILTER('Inflation Data'!$C:$C,'Inflation Data'!$A:$A = ($A1812 - 2)))) * Parameters!$A$4,0)"),4167.033304324799)</f>
        <v>4167.033304</v>
      </c>
      <c r="Y1812" s="91">
        <f>IFERROR(__xludf.DUMMYFUNCTION("IFERROR((IFERROR(FILTER('Fund Investment Data'!$P:$P,'Fund Investment Data'!$C:$C = $C1812,'Fund Investment Data'!$A:$A = ($A1812 - 2), 'Fund Investment Data'!$B:$B = 12),0) - SUM(FILTER('Fund Investment Data'!$V:$V, 'Fund Investment Data'!$C:$C = $C1812,"&amp;" 'Fund Investment Data'!$A:$A = ($A1812 - 2), 'Fund Investment Data'!$B:$B &gt; 3)))  * Parameters!$B$4 * (1 - Parameters!$A$4),0)"),1786.5376199999996)</f>
        <v>1786.53762</v>
      </c>
      <c r="Z1812" s="91">
        <f t="shared" si="24"/>
        <v>5953.570924</v>
      </c>
      <c r="AA1812" s="91">
        <f>IFERROR(__xludf.DUMMYFUNCTION("((IFERROR((SUM(FILTER('Fund Investment Data'!$V:$V, 'Fund Investment Data'!$C:$C = $C1812, 'Fund Investment Data'!$A:$A = $A1812 - 1, 'Fund Investment Data'!$B:$B &gt;= 4, 'Fund Investment Data'!$B:$B &lt;= ($B1812 + 5))) / 12) * ($B1812 - 3) * Parameters!$B$4,"&amp;" 0) + IF($B1812 &gt;= 9, IFERROR(SUM(FILTER('Fund Investment Data'!$V:$V, 'Fund Investment Data'!$C:$C = $C1812, 'Fund Investment Data'!$A:$A = $A1812, 'Fund Investment Data'!$B:$B &lt;= 3)) * Parameters!$B$4, 0),0)))"),0.0)</f>
        <v>0</v>
      </c>
      <c r="AB1812" s="32">
        <f>IFERROR(__xludf.DUMMYFUNCTION("IFERROR(((IFERROR(SUM(FILTER('Fund Investment Data'!$V:$V, 'Fund Investment Data'!$C:$C = $C1812, 'Fund Investment Data'!$A:$A = $A1812 - 2, 'Fund Investment Data'!$B:$B &gt;= 4)) * Parameters!$B$4,0) + IFERROR(SUM(FILTER('Fund Investment Data'!$V:$V, 'Fund "&amp;"Investment Data'!$C:$C = $C1812, 'Fund Investment Data'!$A:$A = $A1812 - 1, 'Fund Investment Data'!$B:$B &lt;= 3)) * Parameters!$B$4,0))),0)"),0.0)</f>
        <v>0</v>
      </c>
      <c r="AC1812" s="32" t="str">
        <f>IFERROR(__xludf.DUMMYFUNCTION("IFERROR(FILTER($AF:$AF,$C:$C = $C1812,$A:$A = $A1812 - 1,$B:$B = 12),0)"),"")</f>
        <v/>
      </c>
      <c r="AD1812" s="32">
        <f t="shared" si="23"/>
        <v>5953.570924</v>
      </c>
      <c r="AE1812" s="32">
        <f t="shared" si="2"/>
        <v>5953.570924</v>
      </c>
      <c r="AF1812" s="32"/>
    </row>
    <row r="1813">
      <c r="A1813" s="86">
        <v>2020.0</v>
      </c>
      <c r="B1813" s="87">
        <v>5.0</v>
      </c>
      <c r="C1813" s="88" t="s">
        <v>35</v>
      </c>
      <c r="D1813" s="104">
        <v>0.0</v>
      </c>
      <c r="E1813" s="104">
        <v>0.0</v>
      </c>
      <c r="F1813" s="104">
        <v>0.0</v>
      </c>
      <c r="G1813" s="104">
        <v>-2609.0</v>
      </c>
      <c r="H1813" s="104">
        <v>12592.26</v>
      </c>
      <c r="I1813" s="104">
        <v>85104.32</v>
      </c>
      <c r="J1813" s="104">
        <v>-191203.05</v>
      </c>
      <c r="K1813" s="32"/>
      <c r="L1813" s="32"/>
      <c r="M1813" s="32"/>
      <c r="N1813" s="32"/>
      <c r="O1813" s="106">
        <v>1356011.57</v>
      </c>
      <c r="P1813" s="91">
        <f>IFERROR(__xludf.DUMMYFUNCTION("IFERROR(sum(FILTER($D:$N,$C:$C = $C1813,$A:$A &lt; $A1813,$B:$B = 12)),0) + sum($D1813:$N1813)"),1356010.8000000005)</f>
        <v>1356010.8</v>
      </c>
      <c r="Q1813" s="92">
        <f t="shared" si="1"/>
        <v>0.7699999996</v>
      </c>
      <c r="R1813" s="91">
        <f t="array" ref="R1813">IFERROR(INDEX('Fund YTD Target Values'!$1:$1000, MATCH($C1813,'Fund YTD Target Values'!$A:$A,0), MATCH($A1813,'Fund YTD Target Values'!$1:$1,0)),0)</f>
        <v>1646621.83</v>
      </c>
      <c r="S1813" s="91">
        <f>IFERROR(__xludf.DUMMYFUNCTION("IFERROR(sum(FILTER('Fund Investment Data'!$V:$V, 'Fund Investment Data'!$C:$C = $C1813, 'Fund Investment Data'!$A:$A &lt; $A1813)),0) + IFERROR(sum(FILTER('Fund Investment Data'!$V:$V, 'Fund Investment Data'!$C:$C = $C1813, 'Fund Investment Data'!$A:$A = $A1"&amp;"813, 'Fund Investment Data'!$B:$B &lt;= $B1813)),0)"),1086625.0)</f>
        <v>1086625</v>
      </c>
      <c r="T1813" s="32"/>
      <c r="U1813" s="32"/>
      <c r="V1813" s="32">
        <f>IFERROR(__xludf.DUMMYFUNCTION("$D1813 - IFERROR(FILTER($D:$D,$C:$C = $C1813, $A:$A = $A1813, $B:$B = $B1813 - 1),0)"),0.0)</f>
        <v>0</v>
      </c>
      <c r="W1813" s="93">
        <f>IFERROR(__xludf.DUMMYFUNCTION("$E1813 - IFERROR(FILTER($E:$E,$C:$C = $C1813, $A:$A = $A1813, $B:$B = $B1813 - 1),0)"),0.0)</f>
        <v>0</v>
      </c>
      <c r="X1813" s="91">
        <f>IFERROR(__xludf.DUMMYFUNCTION("iFERROR((FILTER('Fund Investment Data'!$Z:$Z, 'Fund Investment Data'!$C:$C = $C1813, 'Fund Investment Data'!$A:$A = $A1813 - 1, 'Fund Investment Data'!$B:$B = 12) + FILTER('Fund Investment Data'!$AB:$AB, 'Fund Investment Data'!$C:$C = $C1813, 'Fund Invest"&amp;"ment Data'!$A:$A = $A1813 - 1, 'Fund Investment Data'!$B:$B = 12)) * (1 + AVERAGE(FILTER('Inflation Data'!$C:$C,'Inflation Data'!$A:$A = ($A1813 - 2)))) * Parameters!$A$4,0)"),48017.5257939409)</f>
        <v>48017.52579</v>
      </c>
      <c r="Y1813" s="91">
        <f>IFERROR(__xludf.DUMMYFUNCTION("IFERROR((IFERROR(FILTER('Fund Investment Data'!$P:$P,'Fund Investment Data'!$C:$C = $C1813,'Fund Investment Data'!$A:$A = ($A1813 - 2), 'Fund Investment Data'!$B:$B = 12),0) - SUM(FILTER('Fund Investment Data'!$V:$V, 'Fund Investment Data'!$C:$C = $C1813,"&amp;" 'Fund Investment Data'!$A:$A = ($A1813 - 2), 'Fund Investment Data'!$B:$B &gt; 3)))  * Parameters!$B$4 * (1 - Parameters!$A$4),0)"),17468.81194500001)</f>
        <v>17468.81195</v>
      </c>
      <c r="Z1813" s="91">
        <f t="shared" si="24"/>
        <v>65486.33774</v>
      </c>
      <c r="AA1813" s="91">
        <f>IFERROR(__xludf.DUMMYFUNCTION("((IFERROR((SUM(FILTER('Fund Investment Data'!$V:$V, 'Fund Investment Data'!$C:$C = $C1813, 'Fund Investment Data'!$A:$A = $A1813 - 1, 'Fund Investment Data'!$B:$B &gt;= 4, 'Fund Investment Data'!$B:$B &lt;= ($B1813 + 5))) / 12) * ($B1813 - 3) * Parameters!$B$4,"&amp;" 0) + IF($B1813 &gt;= 9, IFERROR(SUM(FILTER('Fund Investment Data'!$V:$V, 'Fund Investment Data'!$C:$C = $C1813, 'Fund Investment Data'!$A:$A = $A1813, 'Fund Investment Data'!$B:$B &lt;= 3)) * Parameters!$B$4, 0),0)))"),0.0)</f>
        <v>0</v>
      </c>
      <c r="AB1813" s="32">
        <f>IFERROR(__xludf.DUMMYFUNCTION("IFERROR(((IFERROR(SUM(FILTER('Fund Investment Data'!$V:$V, 'Fund Investment Data'!$C:$C = $C1813, 'Fund Investment Data'!$A:$A = $A1813 - 2, 'Fund Investment Data'!$B:$B &gt;= 4)) * Parameters!$B$4,0) + IFERROR(SUM(FILTER('Fund Investment Data'!$V:$V, 'Fund "&amp;"Investment Data'!$C:$C = $C1813, 'Fund Investment Data'!$A:$A = $A1813 - 1, 'Fund Investment Data'!$B:$B &lt;= 3)) * Parameters!$B$4,0))),0)"),0.0)</f>
        <v>0</v>
      </c>
      <c r="AC1813" s="32" t="str">
        <f>IFERROR(__xludf.DUMMYFUNCTION("IFERROR(FILTER($AF:$AF,$C:$C = $C1813,$A:$A = $A1813 - 1,$B:$B = 12),0)"),"")</f>
        <v/>
      </c>
      <c r="AD1813" s="32">
        <f t="shared" si="23"/>
        <v>65486.33774</v>
      </c>
      <c r="AE1813" s="32">
        <f t="shared" si="2"/>
        <v>65486.33774</v>
      </c>
      <c r="AF1813" s="32"/>
    </row>
    <row r="1814">
      <c r="A1814" s="86">
        <v>2020.0</v>
      </c>
      <c r="B1814" s="87">
        <v>5.0</v>
      </c>
      <c r="C1814" s="88" t="s">
        <v>56</v>
      </c>
      <c r="D1814" s="104">
        <v>0.0</v>
      </c>
      <c r="E1814" s="104">
        <v>0.0</v>
      </c>
      <c r="F1814" s="104">
        <v>0.0</v>
      </c>
      <c r="G1814" s="104">
        <v>-2019.95</v>
      </c>
      <c r="H1814" s="104">
        <v>9749.19</v>
      </c>
      <c r="I1814" s="104">
        <v>65889.59</v>
      </c>
      <c r="J1814" s="104">
        <v>-148033.49</v>
      </c>
      <c r="K1814" s="32"/>
      <c r="L1814" s="32"/>
      <c r="M1814" s="32"/>
      <c r="N1814" s="32"/>
      <c r="O1814" s="106">
        <v>1049853.17</v>
      </c>
      <c r="P1814" s="91">
        <f>IFERROR(__xludf.DUMMYFUNCTION("IFERROR(sum(FILTER($D:$N,$C:$C = $C1814,$A:$A &lt; $A1814,$B:$B = 12)),0) + sum($D1814:$N1814)"),1049853.17)</f>
        <v>1049853.17</v>
      </c>
      <c r="Q1814" s="92">
        <f t="shared" si="1"/>
        <v>0</v>
      </c>
      <c r="R1814" s="91">
        <f t="array" ref="R1814">IFERROR(INDEX('Fund YTD Target Values'!$1:$1000, MATCH($C1814,'Fund YTD Target Values'!$A:$A,0), MATCH($A1814,'Fund YTD Target Values'!$1:$1,0)),0)</f>
        <v>1105978.68</v>
      </c>
      <c r="S1814" s="91">
        <f>IFERROR(__xludf.DUMMYFUNCTION("IFERROR(sum(FILTER('Fund Investment Data'!$V:$V, 'Fund Investment Data'!$C:$C = $C1814, 'Fund Investment Data'!$A:$A &lt; $A1814)),0) + IFERROR(sum(FILTER('Fund Investment Data'!$V:$V, 'Fund Investment Data'!$C:$C = $C1814, 'Fund Investment Data'!$A:$A = $A1"&amp;"814, 'Fund Investment Data'!$B:$B &lt;= $B1814)),0)"),1000000.0)</f>
        <v>1000000</v>
      </c>
      <c r="T1814" s="32"/>
      <c r="U1814" s="32"/>
      <c r="V1814" s="32">
        <f>IFERROR(__xludf.DUMMYFUNCTION("$D1814 - IFERROR(FILTER($D:$D,$C:$C = $C1814, $A:$A = $A1814, $B:$B = $B1814 - 1),0)"),0.0)</f>
        <v>0</v>
      </c>
      <c r="W1814" s="93">
        <f>IFERROR(__xludf.DUMMYFUNCTION("$E1814 - IFERROR(FILTER($E:$E,$C:$C = $C1814, $A:$A = $A1814, $B:$B = $B1814 - 1),0)"),0.0)</f>
        <v>0</v>
      </c>
      <c r="X1814" s="91">
        <f>IFERROR(__xludf.DUMMYFUNCTION("iFERROR((FILTER('Fund Investment Data'!$Z:$Z, 'Fund Investment Data'!$C:$C = $C1814, 'Fund Investment Data'!$A:$A = $A1814 - 1, 'Fund Investment Data'!$B:$B = 12) + FILTER('Fund Investment Data'!$AB:$AB, 'Fund Investment Data'!$C:$C = $C1814, 'Fund Invest"&amp;"ment Data'!$A:$A = $A1814 - 1, 'Fund Investment Data'!$B:$B = 12)) * (1 + AVERAGE(FILTER('Inflation Data'!$C:$C,'Inflation Data'!$A:$A = ($A1814 - 2)))) * Parameters!$A$4,0)"),34855.73272923416)</f>
        <v>34855.73273</v>
      </c>
      <c r="Y1814" s="91">
        <f>IFERROR(__xludf.DUMMYFUNCTION("IFERROR((IFERROR(FILTER('Fund Investment Data'!$P:$P,'Fund Investment Data'!$C:$C = $C1814,'Fund Investment Data'!$A:$A = ($A1814 - 2), 'Fund Investment Data'!$B:$B = 12),0) - SUM(FILTER('Fund Investment Data'!$V:$V, 'Fund Investment Data'!$C:$C = $C1814,"&amp;" 'Fund Investment Data'!$A:$A = ($A1814 - 2), 'Fund Investment Data'!$B:$B &gt; 3)))  * Parameters!$B$4 * (1 - Parameters!$A$4),0)"),13492.071585)</f>
        <v>13492.07159</v>
      </c>
      <c r="Z1814" s="91">
        <f t="shared" si="24"/>
        <v>48347.80431</v>
      </c>
      <c r="AA1814" s="91">
        <f>IFERROR(__xludf.DUMMYFUNCTION("((IFERROR((SUM(FILTER('Fund Investment Data'!$V:$V, 'Fund Investment Data'!$C:$C = $C1814, 'Fund Investment Data'!$A:$A = $A1814 - 1, 'Fund Investment Data'!$B:$B &gt;= 4, 'Fund Investment Data'!$B:$B &lt;= ($B1814 + 5))) / 12) * ($B1814 - 3) * Parameters!$B$4,"&amp;" 0) + IF($B1814 &gt;= 9, IFERROR(SUM(FILTER('Fund Investment Data'!$V:$V, 'Fund Investment Data'!$C:$C = $C1814, 'Fund Investment Data'!$A:$A = $A1814, 'Fund Investment Data'!$B:$B &lt;= 3)) * Parameters!$B$4, 0),0)))"),0.0)</f>
        <v>0</v>
      </c>
      <c r="AB1814" s="32">
        <f>IFERROR(__xludf.DUMMYFUNCTION("IFERROR(((IFERROR(SUM(FILTER('Fund Investment Data'!$V:$V, 'Fund Investment Data'!$C:$C = $C1814, 'Fund Investment Data'!$A:$A = $A1814 - 2, 'Fund Investment Data'!$B:$B &gt;= 4)) * Parameters!$B$4,0) + IFERROR(SUM(FILTER('Fund Investment Data'!$V:$V, 'Fund "&amp;"Investment Data'!$C:$C = $C1814, 'Fund Investment Data'!$A:$A = $A1814 - 1, 'Fund Investment Data'!$B:$B &lt;= 3)) * Parameters!$B$4,0))),0)"),0.0)</f>
        <v>0</v>
      </c>
      <c r="AC1814" s="32" t="str">
        <f>IFERROR(__xludf.DUMMYFUNCTION("IFERROR(FILTER($AF:$AF,$C:$C = $C1814,$A:$A = $A1814 - 1,$B:$B = 12),0)"),"")</f>
        <v/>
      </c>
      <c r="AD1814" s="32">
        <f t="shared" si="23"/>
        <v>48347.80431</v>
      </c>
      <c r="AE1814" s="32">
        <f t="shared" si="2"/>
        <v>48347.80431</v>
      </c>
      <c r="AF1814" s="32"/>
    </row>
    <row r="1815">
      <c r="A1815" s="86">
        <v>2020.0</v>
      </c>
      <c r="B1815" s="87">
        <v>5.0</v>
      </c>
      <c r="C1815" s="88" t="s">
        <v>57</v>
      </c>
      <c r="D1815" s="104">
        <v>0.0</v>
      </c>
      <c r="E1815" s="104">
        <v>0.0</v>
      </c>
      <c r="F1815" s="104">
        <v>0.0</v>
      </c>
      <c r="G1815" s="104">
        <v>-3709.33</v>
      </c>
      <c r="H1815" s="104">
        <v>17902.95</v>
      </c>
      <c r="I1815" s="104">
        <v>120996.5</v>
      </c>
      <c r="J1815" s="104">
        <v>-271841.64</v>
      </c>
      <c r="K1815" s="32"/>
      <c r="L1815" s="32"/>
      <c r="M1815" s="32"/>
      <c r="N1815" s="32"/>
      <c r="O1815" s="106">
        <v>1927900.46</v>
      </c>
      <c r="P1815" s="91">
        <f>IFERROR(__xludf.DUMMYFUNCTION("IFERROR(sum(FILTER($D:$N,$C:$C = $C1815,$A:$A &lt; $A1815,$B:$B = 12)),0) + sum($D1815:$N1815)"),1927900.4600000002)</f>
        <v>1927900.46</v>
      </c>
      <c r="Q1815" s="92">
        <f t="shared" si="1"/>
        <v>-0.0000000002328306437</v>
      </c>
      <c r="R1815" s="91">
        <f t="array" ref="R1815">IFERROR(INDEX('Fund YTD Target Values'!$1:$1000, MATCH($C1815,'Fund YTD Target Values'!$A:$A,0), MATCH($A1815,'Fund YTD Target Values'!$1:$1,0)),0)</f>
        <v>2136262.679</v>
      </c>
      <c r="S1815" s="91">
        <f>IFERROR(__xludf.DUMMYFUNCTION("IFERROR(sum(FILTER('Fund Investment Data'!$V:$V, 'Fund Investment Data'!$C:$C = $C1815, 'Fund Investment Data'!$A:$A &lt; $A1815)),0) + IFERROR(sum(FILTER('Fund Investment Data'!$V:$V, 'Fund Investment Data'!$C:$C = $C1815, 'Fund Investment Data'!$A:$A = $A1"&amp;"815, 'Fund Investment Data'!$B:$B &lt;= $B1815)),0)"),2000000.0)</f>
        <v>2000000</v>
      </c>
      <c r="T1815" s="32"/>
      <c r="U1815" s="32"/>
      <c r="V1815" s="32">
        <f>IFERROR(__xludf.DUMMYFUNCTION("$D1815 - IFERROR(FILTER($D:$D,$C:$C = $C1815, $A:$A = $A1815, $B:$B = $B1815 - 1),0)"),0.0)</f>
        <v>0</v>
      </c>
      <c r="W1815" s="93">
        <f>IFERROR(__xludf.DUMMYFUNCTION("$E1815 - IFERROR(FILTER($E:$E,$C:$C = $C1815, $A:$A = $A1815, $B:$B = $B1815 - 1),0)"),0.0)</f>
        <v>0</v>
      </c>
      <c r="X1815" s="91">
        <f>IFERROR(__xludf.DUMMYFUNCTION("iFERROR((FILTER('Fund Investment Data'!$Z:$Z, 'Fund Investment Data'!$C:$C = $C1815, 'Fund Investment Data'!$A:$A = $A1815 - 1, 'Fund Investment Data'!$B:$B = 12) + FILTER('Fund Investment Data'!$AB:$AB, 'Fund Investment Data'!$C:$C = $C1815, 'Fund Invest"&amp;"ment Data'!$A:$A = $A1815 - 1, 'Fund Investment Data'!$B:$B = 12)) * (1 + AVERAGE(FILTER('Inflation Data'!$C:$C,'Inflation Data'!$A:$A = ($A1815 - 2)))) * Parameters!$A$4,0)"),64879.45168497103)</f>
        <v>64879.45168</v>
      </c>
      <c r="Y1815" s="91">
        <f>IFERROR(__xludf.DUMMYFUNCTION("IFERROR((IFERROR(FILTER('Fund Investment Data'!$P:$P,'Fund Investment Data'!$C:$C = $C1815,'Fund Investment Data'!$A:$A = ($A1815 - 2), 'Fund Investment Data'!$B:$B = 12),0) - SUM(FILTER('Fund Investment Data'!$V:$V, 'Fund Investment Data'!$C:$C = $C1815,"&amp;" 'Fund Investment Data'!$A:$A = ($A1815 - 2), 'Fund Investment Data'!$B:$B &gt; 3)))  * Parameters!$B$4 * (1 - Parameters!$A$4),0)"),25386.945345000004)</f>
        <v>25386.94535</v>
      </c>
      <c r="Z1815" s="91">
        <f t="shared" si="24"/>
        <v>90266.39703</v>
      </c>
      <c r="AA1815" s="91">
        <f>IFERROR(__xludf.DUMMYFUNCTION("((IFERROR((SUM(FILTER('Fund Investment Data'!$V:$V, 'Fund Investment Data'!$C:$C = $C1815, 'Fund Investment Data'!$A:$A = $A1815 - 1, 'Fund Investment Data'!$B:$B &gt;= 4, 'Fund Investment Data'!$B:$B &lt;= ($B1815 + 5))) / 12) * ($B1815 - 3) * Parameters!$B$4,"&amp;" 0) + IF($B1815 &gt;= 9, IFERROR(SUM(FILTER('Fund Investment Data'!$V:$V, 'Fund Investment Data'!$C:$C = $C1815, 'Fund Investment Data'!$A:$A = $A1815, 'Fund Investment Data'!$B:$B &lt;= 3)) * Parameters!$B$4, 0),0)))"),0.0)</f>
        <v>0</v>
      </c>
      <c r="AB1815" s="32">
        <f>IFERROR(__xludf.DUMMYFUNCTION("IFERROR(((IFERROR(SUM(FILTER('Fund Investment Data'!$V:$V, 'Fund Investment Data'!$C:$C = $C1815, 'Fund Investment Data'!$A:$A = $A1815 - 2, 'Fund Investment Data'!$B:$B &gt;= 4)) * Parameters!$B$4,0) + IFERROR(SUM(FILTER('Fund Investment Data'!$V:$V, 'Fund "&amp;"Investment Data'!$C:$C = $C1815, 'Fund Investment Data'!$A:$A = $A1815 - 1, 'Fund Investment Data'!$B:$B &lt;= 3)) * Parameters!$B$4,0))),0)"),0.0)</f>
        <v>0</v>
      </c>
      <c r="AC1815" s="32" t="str">
        <f>IFERROR(__xludf.DUMMYFUNCTION("IFERROR(FILTER($AF:$AF,$C:$C = $C1815,$A:$A = $A1815 - 1,$B:$B = 12),0)"),"")</f>
        <v/>
      </c>
      <c r="AD1815" s="32">
        <f t="shared" si="23"/>
        <v>90266.39703</v>
      </c>
      <c r="AE1815" s="32">
        <f t="shared" si="2"/>
        <v>90266.39703</v>
      </c>
      <c r="AF1815" s="32"/>
    </row>
    <row r="1816">
      <c r="A1816" s="86">
        <v>2020.0</v>
      </c>
      <c r="B1816" s="87">
        <v>5.0</v>
      </c>
      <c r="C1816" s="88" t="s">
        <v>58</v>
      </c>
      <c r="D1816" s="104">
        <v>0.0</v>
      </c>
      <c r="E1816" s="104">
        <v>0.0</v>
      </c>
      <c r="F1816" s="104">
        <v>0.0</v>
      </c>
      <c r="G1816" s="104">
        <v>-3708.75</v>
      </c>
      <c r="H1816" s="104">
        <v>17900.33</v>
      </c>
      <c r="I1816" s="104">
        <v>120978.82</v>
      </c>
      <c r="J1816" s="104">
        <v>-271801.92</v>
      </c>
      <c r="K1816" s="32"/>
      <c r="L1816" s="32"/>
      <c r="M1816" s="32"/>
      <c r="N1816" s="32"/>
      <c r="O1816" s="106">
        <v>1927618.7</v>
      </c>
      <c r="P1816" s="91">
        <f>IFERROR(__xludf.DUMMYFUNCTION("IFERROR(sum(FILTER($D:$N,$C:$C = $C1816,$A:$A &lt; $A1816,$B:$B = 12)),0) + sum($D1816:$N1816)"),1927618.7)</f>
        <v>1927618.7</v>
      </c>
      <c r="Q1816" s="92">
        <f t="shared" si="1"/>
        <v>0</v>
      </c>
      <c r="R1816" s="91">
        <f t="array" ref="R1816">IFERROR(INDEX('Fund YTD Target Values'!$1:$1000, MATCH($C1816,'Fund YTD Target Values'!$A:$A,0), MATCH($A1816,'Fund YTD Target Values'!$1:$1,0)),0)</f>
        <v>2136262.679</v>
      </c>
      <c r="S1816" s="91">
        <f>IFERROR(__xludf.DUMMYFUNCTION("IFERROR(sum(FILTER('Fund Investment Data'!$V:$V, 'Fund Investment Data'!$C:$C = $C1816, 'Fund Investment Data'!$A:$A &lt; $A1816)),0) + IFERROR(sum(FILTER('Fund Investment Data'!$V:$V, 'Fund Investment Data'!$C:$C = $C1816, 'Fund Investment Data'!$A:$A = $A1"&amp;"816, 'Fund Investment Data'!$B:$B &lt;= $B1816)),0)"),2000000.0)</f>
        <v>2000000</v>
      </c>
      <c r="T1816" s="32"/>
      <c r="U1816" s="32"/>
      <c r="V1816" s="32">
        <f>IFERROR(__xludf.DUMMYFUNCTION("$D1816 - IFERROR(FILTER($D:$D,$C:$C = $C1816, $A:$A = $A1816, $B:$B = $B1816 - 1),0)"),0.0)</f>
        <v>0</v>
      </c>
      <c r="W1816" s="93">
        <f>IFERROR(__xludf.DUMMYFUNCTION("$E1816 - IFERROR(FILTER($E:$E,$C:$C = $C1816, $A:$A = $A1816, $B:$B = $B1816 - 1),0)"),0.0)</f>
        <v>0</v>
      </c>
      <c r="X1816" s="91">
        <f>IFERROR(__xludf.DUMMYFUNCTION("iFERROR((FILTER('Fund Investment Data'!$Z:$Z, 'Fund Investment Data'!$C:$C = $C1816, 'Fund Investment Data'!$A:$A = $A1816 - 1, 'Fund Investment Data'!$B:$B = 12) + FILTER('Fund Investment Data'!$AB:$AB, 'Fund Investment Data'!$C:$C = $C1816, 'Fund Invest"&amp;"ment Data'!$A:$A = $A1816 - 1, 'Fund Investment Data'!$B:$B = 12)) * (1 + AVERAGE(FILTER('Inflation Data'!$C:$C,'Inflation Data'!$A:$A = ($A1816 - 2)))) * Parameters!$A$4,0)"),64879.45168497103)</f>
        <v>64879.45168</v>
      </c>
      <c r="Y1816" s="91">
        <f>IFERROR(__xludf.DUMMYFUNCTION("IFERROR((IFERROR(FILTER('Fund Investment Data'!$P:$P,'Fund Investment Data'!$C:$C = $C1816,'Fund Investment Data'!$A:$A = ($A1816 - 2), 'Fund Investment Data'!$B:$B = 12),0) - SUM(FILTER('Fund Investment Data'!$V:$V, 'Fund Investment Data'!$C:$C = $C1816,"&amp;" 'Fund Investment Data'!$A:$A = ($A1816 - 2), 'Fund Investment Data'!$B:$B &gt; 3)))  * Parameters!$B$4 * (1 - Parameters!$A$4),0)"),25116.945075000007)</f>
        <v>25116.94508</v>
      </c>
      <c r="Z1816" s="91">
        <f t="shared" si="24"/>
        <v>89996.39676</v>
      </c>
      <c r="AA1816" s="91">
        <f>IFERROR(__xludf.DUMMYFUNCTION("((IFERROR((SUM(FILTER('Fund Investment Data'!$V:$V, 'Fund Investment Data'!$C:$C = $C1816, 'Fund Investment Data'!$A:$A = $A1816 - 1, 'Fund Investment Data'!$B:$B &gt;= 4, 'Fund Investment Data'!$B:$B &lt;= ($B1816 + 5))) / 12) * ($B1816 - 3) * Parameters!$B$4,"&amp;" 0) + IF($B1816 &gt;= 9, IFERROR(SUM(FILTER('Fund Investment Data'!$V:$V, 'Fund Investment Data'!$C:$C = $C1816, 'Fund Investment Data'!$A:$A = $A1816, 'Fund Investment Data'!$B:$B &lt;= 3)) * Parameters!$B$4, 0),0)))"),0.0)</f>
        <v>0</v>
      </c>
      <c r="AB1816" s="32">
        <f>IFERROR(__xludf.DUMMYFUNCTION("IFERROR(((IFERROR(SUM(FILTER('Fund Investment Data'!$V:$V, 'Fund Investment Data'!$C:$C = $C1816, 'Fund Investment Data'!$A:$A = $A1816 - 2, 'Fund Investment Data'!$B:$B &gt;= 4)) * Parameters!$B$4,0) + IFERROR(SUM(FILTER('Fund Investment Data'!$V:$V, 'Fund "&amp;"Investment Data'!$C:$C = $C1816, 'Fund Investment Data'!$A:$A = $A1816 - 1, 'Fund Investment Data'!$B:$B &lt;= 3)) * Parameters!$B$4,0))),0)"),0.0)</f>
        <v>0</v>
      </c>
      <c r="AC1816" s="32" t="str">
        <f>IFERROR(__xludf.DUMMYFUNCTION("IFERROR(FILTER($AF:$AF,$C:$C = $C1816,$A:$A = $A1816 - 1,$B:$B = 12),0)"),"")</f>
        <v/>
      </c>
      <c r="AD1816" s="32">
        <f t="shared" si="23"/>
        <v>89996.39676</v>
      </c>
      <c r="AE1816" s="32">
        <f t="shared" si="2"/>
        <v>89996.39676</v>
      </c>
      <c r="AF1816" s="32"/>
    </row>
    <row r="1817">
      <c r="A1817" s="86">
        <v>2020.0</v>
      </c>
      <c r="B1817" s="87">
        <v>6.0</v>
      </c>
      <c r="C1817" s="103" t="s">
        <v>26</v>
      </c>
      <c r="D1817" s="104">
        <v>0.0</v>
      </c>
      <c r="E1817" s="104">
        <v>0.0</v>
      </c>
      <c r="F1817" s="104">
        <v>0.0</v>
      </c>
      <c r="G1817" s="104">
        <v>-760.25</v>
      </c>
      <c r="H1817" s="104">
        <v>4587.48</v>
      </c>
      <c r="I1817" s="104">
        <v>18965.58</v>
      </c>
      <c r="J1817" s="104">
        <v>-43875.58</v>
      </c>
      <c r="K1817" s="32"/>
      <c r="L1817" s="32"/>
      <c r="M1817" s="32"/>
      <c r="N1817" s="32"/>
      <c r="O1817" s="104">
        <v>332087.78</v>
      </c>
      <c r="P1817" s="91">
        <f>IFERROR(__xludf.DUMMYFUNCTION("IFERROR(sum(FILTER($D:$N,$C:$C = $C1817,$A:$A &lt; $A1817,$B:$B = 12)),0) + sum($D1817:$N1817)"),332086.31999999995)</f>
        <v>332086.32</v>
      </c>
      <c r="Q1817" s="92">
        <f t="shared" si="1"/>
        <v>1.46</v>
      </c>
      <c r="R1817" s="91">
        <f t="array" ref="R1817">IFERROR(INDEX('Fund YTD Target Values'!$1:$1000, MATCH($C1817,'Fund YTD Target Values'!$A:$A,0), MATCH($A1817,'Fund YTD Target Values'!$1:$1,0)),0)</f>
        <v>401541.8823</v>
      </c>
      <c r="S1817" s="91">
        <f>IFERROR(__xludf.DUMMYFUNCTION("IFERROR(sum(FILTER('Fund Investment Data'!$V:$V, 'Fund Investment Data'!$C:$C = $C1817, 'Fund Investment Data'!$A:$A &lt; $A1817)),0) + IFERROR(sum(FILTER('Fund Investment Data'!$V:$V, 'Fund Investment Data'!$C:$C = $C1817, 'Fund Investment Data'!$A:$A = $A1"&amp;"817, 'Fund Investment Data'!$B:$B &lt;= $B1817)),0)"),317377.01)</f>
        <v>317377.01</v>
      </c>
      <c r="T1817" s="32"/>
      <c r="U1817" s="32"/>
      <c r="V1817" s="32">
        <f>IFERROR(__xludf.DUMMYFUNCTION("$D1817 - IFERROR(FILTER($D:$D,$C:$C = $C1817, $A:$A = $A1817, $B:$B = $B1817 - 1),0)"),0.0)</f>
        <v>0</v>
      </c>
      <c r="W1817" s="93">
        <f>IFERROR(__xludf.DUMMYFUNCTION("$E1817 - IFERROR(FILTER($E:$E,$C:$C = $C1817, $A:$A = $A1817, $B:$B = $B1817 - 1),0)"),0.0)</f>
        <v>0</v>
      </c>
      <c r="X1817" s="91">
        <f>IFERROR(__xludf.DUMMYFUNCTION("iFERROR((FILTER('Fund Investment Data'!$Z:$Z, 'Fund Investment Data'!$C:$C = $C1817, 'Fund Investment Data'!$A:$A = $A1817 - 1, 'Fund Investment Data'!$B:$B = 12) + FILTER('Fund Investment Data'!$AB:$AB, 'Fund Investment Data'!$C:$C = $C1817, 'Fund Invest"&amp;"ment Data'!$A:$A = $A1817 - 1, 'Fund Investment Data'!$B:$B = 12)) * (1 + AVERAGE(FILTER('Inflation Data'!$C:$C,'Inflation Data'!$A:$A = ($A1817 - 2)))) * Parameters!$A$4,0)"),11939.770681709342)</f>
        <v>11939.77068</v>
      </c>
      <c r="Y1817" s="91">
        <f>IFERROR(__xludf.DUMMYFUNCTION("IFERROR((IFERROR(FILTER('Fund Investment Data'!$P:$P,'Fund Investment Data'!$C:$C = $C1817,'Fund Investment Data'!$A:$A = ($A1817 - 2), 'Fund Investment Data'!$B:$B = 12),0) - SUM(FILTER('Fund Investment Data'!$V:$V, 'Fund Investment Data'!$C:$C = $C1817,"&amp;" 'Fund Investment Data'!$A:$A = ($A1817 - 2), 'Fund Investment Data'!$B:$B &gt; 3)))  * Parameters!$B$4 * (1 - Parameters!$A$4),0)"),4169.1699)</f>
        <v>4169.1699</v>
      </c>
      <c r="Z1817" s="91">
        <f t="shared" si="24"/>
        <v>16108.94058</v>
      </c>
      <c r="AA1817" s="91">
        <f>IFERROR(__xludf.DUMMYFUNCTION("((IFERROR((SUM(FILTER('Fund Investment Data'!$V:$V, 'Fund Investment Data'!$C:$C = $C1817, 'Fund Investment Data'!$A:$A = $A1817 - 1, 'Fund Investment Data'!$B:$B &gt;= 4, 'Fund Investment Data'!$B:$B &lt;= ($B1817 + 5))) / 12) * ($B1817 - 3) * Parameters!$B$4,"&amp;" 0) + IF($B1817 &gt;= 9, IFERROR(SUM(FILTER('Fund Investment Data'!$V:$V, 'Fund Investment Data'!$C:$C = $C1817, 'Fund Investment Data'!$A:$A = $A1817, 'Fund Investment Data'!$B:$B &lt;= 3)) * Parameters!$B$4, 0),0)))"),0.0)</f>
        <v>0</v>
      </c>
      <c r="AB1817" s="32">
        <f>IFERROR(__xludf.DUMMYFUNCTION("IFERROR(((IFERROR(SUM(FILTER('Fund Investment Data'!$V:$V, 'Fund Investment Data'!$C:$C = $C1817, 'Fund Investment Data'!$A:$A = $A1817 - 2, 'Fund Investment Data'!$B:$B &gt;= 4)) * Parameters!$B$4,0) + IFERROR(SUM(FILTER('Fund Investment Data'!$V:$V, 'Fund "&amp;"Investment Data'!$C:$C = $C1817, 'Fund Investment Data'!$A:$A = $A1817 - 1, 'Fund Investment Data'!$B:$B &lt;= 3)) * Parameters!$B$4,0))),0)"),320.76)</f>
        <v>320.76</v>
      </c>
      <c r="AC1817" s="32" t="str">
        <f>IFERROR(__xludf.DUMMYFUNCTION("IFERROR(FILTER($AF:$AF,$C:$C = $C1817,$A:$A = $A1817 - 1,$B:$B = 12),0)"),"")</f>
        <v/>
      </c>
      <c r="AD1817" s="32">
        <f t="shared" si="23"/>
        <v>16429.70058</v>
      </c>
      <c r="AE1817" s="32">
        <f t="shared" si="2"/>
        <v>16429.70058</v>
      </c>
      <c r="AF1817" s="32"/>
    </row>
    <row r="1818">
      <c r="A1818" s="86">
        <v>2020.0</v>
      </c>
      <c r="B1818" s="87">
        <v>6.0</v>
      </c>
      <c r="C1818" s="103" t="s">
        <v>27</v>
      </c>
      <c r="D1818" s="104">
        <v>0.0</v>
      </c>
      <c r="E1818" s="104">
        <v>0.0</v>
      </c>
      <c r="F1818" s="104">
        <v>0.0</v>
      </c>
      <c r="G1818" s="104">
        <v>-653.66</v>
      </c>
      <c r="H1818" s="104">
        <v>3944.26</v>
      </c>
      <c r="I1818" s="104">
        <v>16306.43</v>
      </c>
      <c r="J1818" s="104">
        <v>-37723.84</v>
      </c>
      <c r="K1818" s="32"/>
      <c r="L1818" s="32"/>
      <c r="M1818" s="32"/>
      <c r="N1818" s="32"/>
      <c r="O1818" s="104">
        <v>285526.05</v>
      </c>
      <c r="P1818" s="91">
        <f>IFERROR(__xludf.DUMMYFUNCTION("IFERROR(sum(FILTER($D:$N,$C:$C = $C1818,$A:$A &lt; $A1818,$B:$B = 12)),0) + sum($D1818:$N1818)"),285526.3900000001)</f>
        <v>285526.39</v>
      </c>
      <c r="Q1818" s="92">
        <f t="shared" si="1"/>
        <v>-0.3400000001</v>
      </c>
      <c r="R1818" s="91">
        <f t="array" ref="R1818">IFERROR(INDEX('Fund YTD Target Values'!$1:$1000, MATCH($C1818,'Fund YTD Target Values'!$A:$A,0), MATCH($A1818,'Fund YTD Target Values'!$1:$1,0)),0)</f>
        <v>410076.5954</v>
      </c>
      <c r="S1818" s="91">
        <f>IFERROR(__xludf.DUMMYFUNCTION("IFERROR(sum(FILTER('Fund Investment Data'!$V:$V, 'Fund Investment Data'!$C:$C = $C1818, 'Fund Investment Data'!$A:$A &lt; $A1818)),0) + IFERROR(sum(FILTER('Fund Investment Data'!$V:$V, 'Fund Investment Data'!$C:$C = $C1818, 'Fund Investment Data'!$A:$A = $A1"&amp;"818, 'Fund Investment Data'!$B:$B &lt;= $B1818)),0)"),276213.69999999995)</f>
        <v>276213.7</v>
      </c>
      <c r="T1818" s="32"/>
      <c r="U1818" s="32"/>
      <c r="V1818" s="32">
        <f>IFERROR(__xludf.DUMMYFUNCTION("$D1818 - IFERROR(FILTER($D:$D,$C:$C = $C1818, $A:$A = $A1818, $B:$B = $B1818 - 1),0)"),0.0)</f>
        <v>0</v>
      </c>
      <c r="W1818" s="93">
        <f>IFERROR(__xludf.DUMMYFUNCTION("$E1818 - IFERROR(FILTER($E:$E,$C:$C = $C1818, $A:$A = $A1818, $B:$B = $B1818 - 1),0)"),0.0)</f>
        <v>0</v>
      </c>
      <c r="X1818" s="91">
        <f>IFERROR(__xludf.DUMMYFUNCTION("iFERROR((FILTER('Fund Investment Data'!$Z:$Z, 'Fund Investment Data'!$C:$C = $C1818, 'Fund Investment Data'!$A:$A = $A1818 - 1, 'Fund Investment Data'!$B:$B = 12) + FILTER('Fund Investment Data'!$AB:$AB, 'Fund Investment Data'!$C:$C = $C1818, 'Fund Invest"&amp;"ment Data'!$A:$A = $A1818 - 1, 'Fund Investment Data'!$B:$B = 12)) * (1 + AVERAGE(FILTER('Inflation Data'!$C:$C,'Inflation Data'!$A:$A = ($A1818 - 2)))) * Parameters!$A$4,0)"),10103.189252444476)</f>
        <v>10103.18925</v>
      </c>
      <c r="Y1818" s="91">
        <f>IFERROR(__xludf.DUMMYFUNCTION("IFERROR((IFERROR(FILTER('Fund Investment Data'!$P:$P,'Fund Investment Data'!$C:$C = $C1818,'Fund Investment Data'!$A:$A = ($A1818 - 2), 'Fund Investment Data'!$B:$B = 12),0) - SUM(FILTER('Fund Investment Data'!$V:$V, 'Fund Investment Data'!$C:$C = $C1818,"&amp;" 'Fund Investment Data'!$A:$A = ($A1818 - 2), 'Fund Investment Data'!$B:$B &gt; 3)))  * Parameters!$B$4 * (1 - Parameters!$A$4),0)"),3656.9314350000013)</f>
        <v>3656.931435</v>
      </c>
      <c r="Z1818" s="91">
        <f t="shared" si="24"/>
        <v>13760.12069</v>
      </c>
      <c r="AA1818" s="91">
        <f>IFERROR(__xludf.DUMMYFUNCTION("((IFERROR((SUM(FILTER('Fund Investment Data'!$V:$V, 'Fund Investment Data'!$C:$C = $C1818, 'Fund Investment Data'!$A:$A = $A1818 - 1, 'Fund Investment Data'!$B:$B &gt;= 4, 'Fund Investment Data'!$B:$B &lt;= ($B1818 + 5))) / 12) * ($B1818 - 3) * Parameters!$B$4,"&amp;" 0) + IF($B1818 &gt;= 9, IFERROR(SUM(FILTER('Fund Investment Data'!$V:$V, 'Fund Investment Data'!$C:$C = $C1818, 'Fund Investment Data'!$A:$A = $A1818, 'Fund Investment Data'!$B:$B &lt;= 3)) * Parameters!$B$4, 0),0)))"),0.0)</f>
        <v>0</v>
      </c>
      <c r="AB1818" s="32">
        <f>IFERROR(__xludf.DUMMYFUNCTION("IFERROR(((IFERROR(SUM(FILTER('Fund Investment Data'!$V:$V, 'Fund Investment Data'!$C:$C = $C1818, 'Fund Investment Data'!$A:$A = $A1818 - 2, 'Fund Investment Data'!$B:$B &gt;= 4)) * Parameters!$B$4,0) + IFERROR(SUM(FILTER('Fund Investment Data'!$V:$V, 'Fund "&amp;"Investment Data'!$C:$C = $C1818, 'Fund Investment Data'!$A:$A = $A1818 - 1, 'Fund Investment Data'!$B:$B &lt;= 3)) * Parameters!$B$4,0))),0)"),0.0)</f>
        <v>0</v>
      </c>
      <c r="AC1818" s="32" t="str">
        <f>IFERROR(__xludf.DUMMYFUNCTION("IFERROR(FILTER($AF:$AF,$C:$C = $C1818,$A:$A = $A1818 - 1,$B:$B = 12),0)"),"")</f>
        <v/>
      </c>
      <c r="AD1818" s="32">
        <f t="shared" si="23"/>
        <v>13760.12069</v>
      </c>
      <c r="AE1818" s="32">
        <f t="shared" si="2"/>
        <v>13760.12069</v>
      </c>
      <c r="AF1818" s="32"/>
    </row>
    <row r="1819">
      <c r="A1819" s="86">
        <v>2020.0</v>
      </c>
      <c r="B1819" s="87">
        <v>6.0</v>
      </c>
      <c r="C1819" s="103" t="s">
        <v>28</v>
      </c>
      <c r="D1819" s="104">
        <v>0.0</v>
      </c>
      <c r="E1819" s="104">
        <v>0.0</v>
      </c>
      <c r="F1819" s="104">
        <v>0.0</v>
      </c>
      <c r="G1819" s="104">
        <v>-7004.35</v>
      </c>
      <c r="H1819" s="104">
        <v>42265.12</v>
      </c>
      <c r="I1819" s="104">
        <v>174733.15</v>
      </c>
      <c r="J1819" s="104">
        <v>-404233.18</v>
      </c>
      <c r="K1819" s="32"/>
      <c r="L1819" s="32"/>
      <c r="M1819" s="32"/>
      <c r="N1819" s="32"/>
      <c r="O1819" s="104">
        <v>3059580.68</v>
      </c>
      <c r="P1819" s="91">
        <f>IFERROR(__xludf.DUMMYFUNCTION("IFERROR(sum(FILTER($D:$N,$C:$C = $C1819,$A:$A &lt; $A1819,$B:$B = 12)),0) + sum($D1819:$N1819)"),3059579.75)</f>
        <v>3059579.75</v>
      </c>
      <c r="Q1819" s="92">
        <f t="shared" si="1"/>
        <v>0.9300000002</v>
      </c>
      <c r="R1819" s="91">
        <f t="array" ref="R1819">IFERROR(INDEX('Fund YTD Target Values'!$1:$1000, MATCH($C1819,'Fund YTD Target Values'!$A:$A,0), MATCH($A1819,'Fund YTD Target Values'!$1:$1,0)),0)</f>
        <v>4004331.875</v>
      </c>
      <c r="S1819" s="91">
        <f>IFERROR(__xludf.DUMMYFUNCTION("IFERROR(sum(FILTER('Fund Investment Data'!$V:$V, 'Fund Investment Data'!$C:$C = $C1819, 'Fund Investment Data'!$A:$A &lt; $A1819)),0) + IFERROR(sum(FILTER('Fund Investment Data'!$V:$V, 'Fund Investment Data'!$C:$C = $C1819, 'Fund Investment Data'!$A:$A = $A1"&amp;"819, 'Fund Investment Data'!$B:$B &lt;= $B1819)),0)"),2960091.25)</f>
        <v>2960091.25</v>
      </c>
      <c r="T1819" s="32"/>
      <c r="U1819" s="32"/>
      <c r="V1819" s="32">
        <f>IFERROR(__xludf.DUMMYFUNCTION("$D1819 - IFERROR(FILTER($D:$D,$C:$C = $C1819, $A:$A = $A1819, $B:$B = $B1819 - 1),0)"),0.0)</f>
        <v>0</v>
      </c>
      <c r="W1819" s="93">
        <f>IFERROR(__xludf.DUMMYFUNCTION("$E1819 - IFERROR(FILTER($E:$E,$C:$C = $C1819, $A:$A = $A1819, $B:$B = $B1819 - 1),0)"),0.0)</f>
        <v>0</v>
      </c>
      <c r="X1819" s="91">
        <f>IFERROR(__xludf.DUMMYFUNCTION("iFERROR((FILTER('Fund Investment Data'!$Z:$Z, 'Fund Investment Data'!$C:$C = $C1819, 'Fund Investment Data'!$A:$A = $A1819 - 1, 'Fund Investment Data'!$B:$B = 12) + FILTER('Fund Investment Data'!$AB:$AB, 'Fund Investment Data'!$C:$C = $C1819, 'Fund Invest"&amp;"ment Data'!$A:$A = $A1819 - 1, 'Fund Investment Data'!$B:$B = 12)) * (1 + AVERAGE(FILTER('Inflation Data'!$C:$C,'Inflation Data'!$A:$A = ($A1819 - 2)))) * Parameters!$A$4,0)"),108380.29049132655)</f>
        <v>108380.2905</v>
      </c>
      <c r="Y1819" s="91">
        <f>IFERROR(__xludf.DUMMYFUNCTION("IFERROR((IFERROR(FILTER('Fund Investment Data'!$P:$P,'Fund Investment Data'!$C:$C = $C1819,'Fund Investment Data'!$A:$A = ($A1819 - 2), 'Fund Investment Data'!$B:$B = 12),0) - SUM(FILTER('Fund Investment Data'!$V:$V, 'Fund Investment Data'!$C:$C = $C1819,"&amp;" 'Fund Investment Data'!$A:$A = ($A1819 - 2), 'Fund Investment Data'!$B:$B &gt; 3)))  * Parameters!$B$4 * (1 - Parameters!$A$4),0)"),39180.23244000001)</f>
        <v>39180.23244</v>
      </c>
      <c r="Z1819" s="91">
        <f t="shared" si="24"/>
        <v>147560.5229</v>
      </c>
      <c r="AA1819" s="91">
        <f>IFERROR(__xludf.DUMMYFUNCTION("((IFERROR((SUM(FILTER('Fund Investment Data'!$V:$V, 'Fund Investment Data'!$C:$C = $C1819, 'Fund Investment Data'!$A:$A = $A1819 - 1, 'Fund Investment Data'!$B:$B &gt;= 4, 'Fund Investment Data'!$B:$B &lt;= ($B1819 + 5))) / 12) * ($B1819 - 3) * Parameters!$B$4,"&amp;" 0) + IF($B1819 &gt;= 9, IFERROR(SUM(FILTER('Fund Investment Data'!$V:$V, 'Fund Investment Data'!$C:$C = $C1819, 'Fund Investment Data'!$A:$A = $A1819, 'Fund Investment Data'!$B:$B &lt;= 3)) * Parameters!$B$4, 0),0)))"),0.0)</f>
        <v>0</v>
      </c>
      <c r="AB1819" s="32">
        <f>IFERROR(__xludf.DUMMYFUNCTION("IFERROR(((IFERROR(SUM(FILTER('Fund Investment Data'!$V:$V, 'Fund Investment Data'!$C:$C = $C1819, 'Fund Investment Data'!$A:$A = $A1819 - 2, 'Fund Investment Data'!$B:$B &gt;= 4)) * Parameters!$B$4,0) + IFERROR(SUM(FILTER('Fund Investment Data'!$V:$V, 'Fund "&amp;"Investment Data'!$C:$C = $C1819, 'Fund Investment Data'!$A:$A = $A1819 - 1, 'Fund Investment Data'!$B:$B &lt;= 3)) * Parameters!$B$4,0))),0)"),0.0)</f>
        <v>0</v>
      </c>
      <c r="AC1819" s="32" t="str">
        <f>IFERROR(__xludf.DUMMYFUNCTION("IFERROR(FILTER($AF:$AF,$C:$C = $C1819,$A:$A = $A1819 - 1,$B:$B = 12),0)"),"")</f>
        <v/>
      </c>
      <c r="AD1819" s="32">
        <f t="shared" si="23"/>
        <v>147560.5229</v>
      </c>
      <c r="AE1819" s="32">
        <f t="shared" si="2"/>
        <v>147560.5229</v>
      </c>
      <c r="AF1819" s="32"/>
    </row>
    <row r="1820">
      <c r="A1820" s="86">
        <v>2020.0</v>
      </c>
      <c r="B1820" s="87">
        <v>6.0</v>
      </c>
      <c r="C1820" s="105" t="s">
        <v>46</v>
      </c>
      <c r="D1820" s="104">
        <v>0.0</v>
      </c>
      <c r="E1820" s="104">
        <v>0.0</v>
      </c>
      <c r="F1820" s="104">
        <v>0.0</v>
      </c>
      <c r="G1820" s="104">
        <v>-806.62</v>
      </c>
      <c r="H1820" s="104">
        <v>4867.25</v>
      </c>
      <c r="I1820" s="104">
        <v>20122.24</v>
      </c>
      <c r="J1820" s="104">
        <v>-46551.47</v>
      </c>
      <c r="K1820" s="32"/>
      <c r="L1820" s="32"/>
      <c r="M1820" s="32"/>
      <c r="N1820" s="32"/>
      <c r="O1820" s="106">
        <v>352341.06</v>
      </c>
      <c r="P1820" s="91">
        <f>IFERROR(__xludf.DUMMYFUNCTION("IFERROR(sum(FILTER($D:$N,$C:$C = $C1820,$A:$A &lt; $A1820,$B:$B = 12)),0) + sum($D1820:$N1820)"),352341.48)</f>
        <v>352341.48</v>
      </c>
      <c r="Q1820" s="92">
        <f t="shared" si="1"/>
        <v>-0.42</v>
      </c>
      <c r="R1820" s="91">
        <f t="array" ref="R1820">IFERROR(INDEX('Fund YTD Target Values'!$1:$1000, MATCH($C1820,'Fund YTD Target Values'!$A:$A,0), MATCH($A1820,'Fund YTD Target Values'!$1:$1,0)),0)</f>
        <v>476024.3486</v>
      </c>
      <c r="S1820" s="91">
        <f>IFERROR(__xludf.DUMMYFUNCTION("IFERROR(sum(FILTER('Fund Investment Data'!$V:$V, 'Fund Investment Data'!$C:$C = $C1820, 'Fund Investment Data'!$A:$A &lt; $A1820)),0) + IFERROR(sum(FILTER('Fund Investment Data'!$V:$V, 'Fund Investment Data'!$C:$C = $C1820, 'Fund Investment Data'!$A:$A = $A1"&amp;"820, 'Fund Investment Data'!$B:$B &lt;= $B1820)),0)"),366400.0)</f>
        <v>366400</v>
      </c>
      <c r="T1820" s="32"/>
      <c r="U1820" s="32"/>
      <c r="V1820" s="32">
        <f>IFERROR(__xludf.DUMMYFUNCTION("$D1820 - IFERROR(FILTER($D:$D,$C:$C = $C1820, $A:$A = $A1820, $B:$B = $B1820 - 1),0)"),0.0)</f>
        <v>0</v>
      </c>
      <c r="W1820" s="93">
        <f>IFERROR(__xludf.DUMMYFUNCTION("$E1820 - IFERROR(FILTER($E:$E,$C:$C = $C1820, $A:$A = $A1820, $B:$B = $B1820 - 1),0)"),0.0)</f>
        <v>0</v>
      </c>
      <c r="X1820" s="91">
        <f>IFERROR(__xludf.DUMMYFUNCTION("iFERROR((FILTER('Fund Investment Data'!$Z:$Z, 'Fund Investment Data'!$C:$C = $C1820, 'Fund Investment Data'!$A:$A = $A1820 - 1, 'Fund Investment Data'!$B:$B = 12) + FILTER('Fund Investment Data'!$AB:$AB, 'Fund Investment Data'!$C:$C = $C1820, 'Fund Invest"&amp;"ment Data'!$A:$A = $A1820 - 1, 'Fund Investment Data'!$B:$B = 12)) * (1 + AVERAGE(FILTER('Inflation Data'!$C:$C,'Inflation Data'!$A:$A = ($A1820 - 2)))) * Parameters!$A$4,0)"),12887.748857049877)</f>
        <v>12887.74886</v>
      </c>
      <c r="Y1820" s="91">
        <f>IFERROR(__xludf.DUMMYFUNCTION("IFERROR((IFERROR(FILTER('Fund Investment Data'!$P:$P,'Fund Investment Data'!$C:$C = $C1820,'Fund Investment Data'!$A:$A = ($A1820 - 2), 'Fund Investment Data'!$B:$B = 12),0) - SUM(FILTER('Fund Investment Data'!$V:$V, 'Fund Investment Data'!$C:$C = $C1820,"&amp;" 'Fund Investment Data'!$A:$A = ($A1820 - 2), 'Fund Investment Data'!$B:$B &gt; 3)))  * Parameters!$B$4 * (1 - Parameters!$A$4),0)"),4519.68363)</f>
        <v>4519.68363</v>
      </c>
      <c r="Z1820" s="91">
        <f t="shared" si="24"/>
        <v>17407.43249</v>
      </c>
      <c r="AA1820" s="91">
        <f>IFERROR(__xludf.DUMMYFUNCTION("((IFERROR((SUM(FILTER('Fund Investment Data'!$V:$V, 'Fund Investment Data'!$C:$C = $C1820, 'Fund Investment Data'!$A:$A = $A1820 - 1, 'Fund Investment Data'!$B:$B &gt;= 4, 'Fund Investment Data'!$B:$B &lt;= ($B1820 + 5))) / 12) * ($B1820 - 3) * Parameters!$B$4,"&amp;" 0) + IF($B1820 &gt;= 9, IFERROR(SUM(FILTER('Fund Investment Data'!$V:$V, 'Fund Investment Data'!$C:$C = $C1820, 'Fund Investment Data'!$A:$A = $A1820, 'Fund Investment Data'!$B:$B &lt;= 3)) * Parameters!$B$4, 0),0)))"),0.0)</f>
        <v>0</v>
      </c>
      <c r="AB1820" s="32">
        <f>IFERROR(__xludf.DUMMYFUNCTION("IFERROR(((IFERROR(SUM(FILTER('Fund Investment Data'!$V:$V, 'Fund Investment Data'!$C:$C = $C1820, 'Fund Investment Data'!$A:$A = $A1820 - 2, 'Fund Investment Data'!$B:$B &gt;= 4)) * Parameters!$B$4,0) + IFERROR(SUM(FILTER('Fund Investment Data'!$V:$V, 'Fund "&amp;"Investment Data'!$C:$C = $C1820, 'Fund Investment Data'!$A:$A = $A1820 - 1, 'Fund Investment Data'!$B:$B &lt;= 3)) * Parameters!$B$4,0))),0)"),0.0)</f>
        <v>0</v>
      </c>
      <c r="AC1820" s="32" t="str">
        <f>IFERROR(__xludf.DUMMYFUNCTION("IFERROR(FILTER($AF:$AF,$C:$C = $C1820,$A:$A = $A1820 - 1,$B:$B = 12),0)"),"")</f>
        <v/>
      </c>
      <c r="AD1820" s="32">
        <f t="shared" si="23"/>
        <v>17407.43249</v>
      </c>
      <c r="AE1820" s="32">
        <f t="shared" si="2"/>
        <v>17407.43249</v>
      </c>
      <c r="AF1820" s="32"/>
    </row>
    <row r="1821">
      <c r="A1821" s="86">
        <v>2020.0</v>
      </c>
      <c r="B1821" s="87">
        <v>6.0</v>
      </c>
      <c r="C1821" s="105" t="s">
        <v>36</v>
      </c>
      <c r="D1821" s="104">
        <v>0.0</v>
      </c>
      <c r="E1821" s="104">
        <v>0.0</v>
      </c>
      <c r="F1821" s="104">
        <v>0.0</v>
      </c>
      <c r="G1821" s="104">
        <v>-950.24</v>
      </c>
      <c r="H1821" s="104">
        <v>5733.78</v>
      </c>
      <c r="I1821" s="104">
        <v>23704.7</v>
      </c>
      <c r="J1821" s="104">
        <v>-54839.19</v>
      </c>
      <c r="K1821" s="32"/>
      <c r="L1821" s="32"/>
      <c r="M1821" s="32"/>
      <c r="N1821" s="32"/>
      <c r="O1821" s="106">
        <v>415069.65</v>
      </c>
      <c r="P1821" s="91">
        <f>IFERROR(__xludf.DUMMYFUNCTION("IFERROR(sum(FILTER($D:$N,$C:$C = $C1821,$A:$A &lt; $A1821,$B:$B = 12)),0) + sum($D1821:$N1821)"),415069.2)</f>
        <v>415069.2</v>
      </c>
      <c r="Q1821" s="92">
        <f t="shared" si="1"/>
        <v>0.45</v>
      </c>
      <c r="R1821" s="91">
        <f t="array" ref="R1821">IFERROR(INDEX('Fund YTD Target Values'!$1:$1000, MATCH($C1821,'Fund YTD Target Values'!$A:$A,0), MATCH($A1821,'Fund YTD Target Values'!$1:$1,0)),0)</f>
        <v>662598.0199</v>
      </c>
      <c r="S1821" s="91">
        <f>IFERROR(__xludf.DUMMYFUNCTION("IFERROR(sum(FILTER('Fund Investment Data'!$V:$V, 'Fund Investment Data'!$C:$C = $C1821, 'Fund Investment Data'!$A:$A &lt; $A1821)),0) + IFERROR(sum(FILTER('Fund Investment Data'!$V:$V, 'Fund Investment Data'!$C:$C = $C1821, 'Fund Investment Data'!$A:$A = $A1"&amp;"821, 'Fund Investment Data'!$B:$B &lt;= $B1821)),0)"),429067.24)</f>
        <v>429067.24</v>
      </c>
      <c r="T1821" s="32"/>
      <c r="U1821" s="32"/>
      <c r="V1821" s="32">
        <f>IFERROR(__xludf.DUMMYFUNCTION("$D1821 - IFERROR(FILTER($D:$D,$C:$C = $C1821, $A:$A = $A1821, $B:$B = $B1821 - 1),0)"),0.0)</f>
        <v>0</v>
      </c>
      <c r="W1821" s="93">
        <f>IFERROR(__xludf.DUMMYFUNCTION("$E1821 - IFERROR(FILTER($E:$E,$C:$C = $C1821, $A:$A = $A1821, $B:$B = $B1821 - 1),0)"),0.0)</f>
        <v>0</v>
      </c>
      <c r="X1821" s="91">
        <f>IFERROR(__xludf.DUMMYFUNCTION("iFERROR((FILTER('Fund Investment Data'!$Z:$Z, 'Fund Investment Data'!$C:$C = $C1821, 'Fund Investment Data'!$A:$A = $A1821 - 1, 'Fund Investment Data'!$B:$B = 12) + FILTER('Fund Investment Data'!$AB:$AB, 'Fund Investment Data'!$C:$C = $C1821, 'Fund Invest"&amp;"ment Data'!$A:$A = $A1821 - 1, 'Fund Investment Data'!$B:$B = 12)) * (1 + AVERAGE(FILTER('Inflation Data'!$C:$C,'Inflation Data'!$A:$A = ($A1821 - 2)))) * Parameters!$A$4,0)"),14762.63581927512)</f>
        <v>14762.63582</v>
      </c>
      <c r="Y1821" s="91">
        <f>IFERROR(__xludf.DUMMYFUNCTION("IFERROR((IFERROR(FILTER('Fund Investment Data'!$P:$P,'Fund Investment Data'!$C:$C = $C1821,'Fund Investment Data'!$A:$A = ($A1821 - 2), 'Fund Investment Data'!$B:$B = 12),0) - SUM(FILTER('Fund Investment Data'!$V:$V, 'Fund Investment Data'!$C:$C = $C1821,"&amp;" 'Fund Investment Data'!$A:$A = ($A1821 - 2), 'Fund Investment Data'!$B:$B &gt; 3)))  * Parameters!$B$4 * (1 - Parameters!$A$4),0)"),5318.06499)</f>
        <v>5318.06499</v>
      </c>
      <c r="Z1821" s="91">
        <f t="shared" si="24"/>
        <v>20080.70081</v>
      </c>
      <c r="AA1821" s="91">
        <f>IFERROR(__xludf.DUMMYFUNCTION("((IFERROR((SUM(FILTER('Fund Investment Data'!$V:$V, 'Fund Investment Data'!$C:$C = $C1821, 'Fund Investment Data'!$A:$A = $A1821 - 1, 'Fund Investment Data'!$B:$B &gt;= 4, 'Fund Investment Data'!$B:$B &lt;= ($B1821 + 5))) / 12) * ($B1821 - 3) * Parameters!$B$4,"&amp;" 0) + IF($B1821 &gt;= 9, IFERROR(SUM(FILTER('Fund Investment Data'!$V:$V, 'Fund Investment Data'!$C:$C = $C1821, 'Fund Investment Data'!$A:$A = $A1821, 'Fund Investment Data'!$B:$B &lt;= 3)) * Parameters!$B$4, 0),0)))"),0.0)</f>
        <v>0</v>
      </c>
      <c r="AB1821" s="32">
        <f>IFERROR(__xludf.DUMMYFUNCTION("IFERROR(((IFERROR(SUM(FILTER('Fund Investment Data'!$V:$V, 'Fund Investment Data'!$C:$C = $C1821, 'Fund Investment Data'!$A:$A = $A1821 - 2, 'Fund Investment Data'!$B:$B &gt;= 4)) * Parameters!$B$4,0) + IFERROR(SUM(FILTER('Fund Investment Data'!$V:$V, 'Fund "&amp;"Investment Data'!$C:$C = $C1821, 'Fund Investment Data'!$A:$A = $A1821 - 1, 'Fund Investment Data'!$B:$B &lt;= 3)) * Parameters!$B$4,0))),0)"),0.0)</f>
        <v>0</v>
      </c>
      <c r="AC1821" s="32" t="str">
        <f>IFERROR(__xludf.DUMMYFUNCTION("IFERROR(FILTER($AF:$AF,$C:$C = $C1821,$A:$A = $A1821 - 1,$B:$B = 12),0)"),"")</f>
        <v/>
      </c>
      <c r="AD1821" s="32">
        <f t="shared" si="23"/>
        <v>20080.70081</v>
      </c>
      <c r="AE1821" s="32">
        <f t="shared" si="2"/>
        <v>20080.70081</v>
      </c>
      <c r="AF1821" s="32"/>
    </row>
    <row r="1822">
      <c r="A1822" s="86">
        <v>2020.0</v>
      </c>
      <c r="B1822" s="87">
        <v>6.0</v>
      </c>
      <c r="C1822" s="105" t="s">
        <v>37</v>
      </c>
      <c r="D1822" s="104">
        <v>0.0</v>
      </c>
      <c r="E1822" s="104">
        <v>0.0</v>
      </c>
      <c r="F1822" s="104">
        <v>0.0</v>
      </c>
      <c r="G1822" s="104">
        <v>-1744.59</v>
      </c>
      <c r="H1822" s="104">
        <v>10527.04</v>
      </c>
      <c r="I1822" s="104">
        <v>43520.95</v>
      </c>
      <c r="J1822" s="104">
        <v>-100682.75</v>
      </c>
      <c r="K1822" s="32"/>
      <c r="L1822" s="32"/>
      <c r="M1822" s="32"/>
      <c r="N1822" s="32"/>
      <c r="O1822" s="106">
        <v>762052.8</v>
      </c>
      <c r="P1822" s="91">
        <f>IFERROR(__xludf.DUMMYFUNCTION("IFERROR(sum(FILTER($D:$N,$C:$C = $C1822,$A:$A &lt; $A1822,$B:$B = 12)),0) + sum($D1822:$N1822)"),762052.7999999999)</f>
        <v>762052.8</v>
      </c>
      <c r="Q1822" s="92">
        <f t="shared" si="1"/>
        <v>0.0000000001164153218</v>
      </c>
      <c r="R1822" s="91">
        <f t="array" ref="R1822">IFERROR(INDEX('Fund YTD Target Values'!$1:$1000, MATCH($C1822,'Fund YTD Target Values'!$A:$A,0), MATCH($A1822,'Fund YTD Target Values'!$1:$1,0)),0)</f>
        <v>881697.5887</v>
      </c>
      <c r="S1822" s="91">
        <f>IFERROR(__xludf.DUMMYFUNCTION("IFERROR(sum(FILTER('Fund Investment Data'!$V:$V, 'Fund Investment Data'!$C:$C = $C1822, 'Fund Investment Data'!$A:$A &lt; $A1822)),0) + IFERROR(sum(FILTER('Fund Investment Data'!$V:$V, 'Fund Investment Data'!$C:$C = $C1822, 'Fund Investment Data'!$A:$A = $A1"&amp;"822, 'Fund Investment Data'!$B:$B &lt;= $B1822)),0)"),758137.86)</f>
        <v>758137.86</v>
      </c>
      <c r="T1822" s="32"/>
      <c r="U1822" s="32"/>
      <c r="V1822" s="32">
        <f>IFERROR(__xludf.DUMMYFUNCTION("$D1822 - IFERROR(FILTER($D:$D,$C:$C = $C1822, $A:$A = $A1822, $B:$B = $B1822 - 1),0)"),0.0)</f>
        <v>0</v>
      </c>
      <c r="W1822" s="93">
        <f>IFERROR(__xludf.DUMMYFUNCTION("$E1822 - IFERROR(FILTER($E:$E,$C:$C = $C1822, $A:$A = $A1822, $B:$B = $B1822 - 1),0)"),0.0)</f>
        <v>0</v>
      </c>
      <c r="X1822" s="91">
        <f>IFERROR(__xludf.DUMMYFUNCTION("iFERROR((FILTER('Fund Investment Data'!$Z:$Z, 'Fund Investment Data'!$C:$C = $C1822, 'Fund Investment Data'!$A:$A = $A1822 - 1, 'Fund Investment Data'!$B:$B = 12) + FILTER('Fund Investment Data'!$AB:$AB, 'Fund Investment Data'!$C:$C = $C1822, 'Fund Invest"&amp;"ment Data'!$A:$A = $A1822 - 1, 'Fund Investment Data'!$B:$B = 12)) * (1 + AVERAGE(FILTER('Inflation Data'!$C:$C,'Inflation Data'!$A:$A = ($A1822 - 2)))) * Parameters!$A$4,0)"),26964.813014785388)</f>
        <v>26964.81301</v>
      </c>
      <c r="Y1822" s="91">
        <f>IFERROR(__xludf.DUMMYFUNCTION("IFERROR((IFERROR(FILTER('Fund Investment Data'!$P:$P,'Fund Investment Data'!$C:$C = $C1822,'Fund Investment Data'!$A:$A = ($A1822 - 2), 'Fund Investment Data'!$B:$B = 12),0) - SUM(FILTER('Fund Investment Data'!$V:$V, 'Fund Investment Data'!$C:$C = $C1822,"&amp;" 'Fund Investment Data'!$A:$A = ($A1822 - 2), 'Fund Investment Data'!$B:$B &gt; 3)))  * Parameters!$B$4 * (1 - Parameters!$A$4),0)"),9760.690485)</f>
        <v>9760.690485</v>
      </c>
      <c r="Z1822" s="91">
        <f t="shared" si="24"/>
        <v>36725.5035</v>
      </c>
      <c r="AA1822" s="91">
        <f>IFERROR(__xludf.DUMMYFUNCTION("((IFERROR((SUM(FILTER('Fund Investment Data'!$V:$V, 'Fund Investment Data'!$C:$C = $C1822, 'Fund Investment Data'!$A:$A = $A1822 - 1, 'Fund Investment Data'!$B:$B &gt;= 4, 'Fund Investment Data'!$B:$B &lt;= ($B1822 + 5))) / 12) * ($B1822 - 3) * Parameters!$B$4,"&amp;" 0) + IF($B1822 &gt;= 9, IFERROR(SUM(FILTER('Fund Investment Data'!$V:$V, 'Fund Investment Data'!$C:$C = $C1822, 'Fund Investment Data'!$A:$A = $A1822, 'Fund Investment Data'!$B:$B &lt;= 3)) * Parameters!$B$4, 0),0)))"),0.0)</f>
        <v>0</v>
      </c>
      <c r="AB1822" s="32">
        <f>IFERROR(__xludf.DUMMYFUNCTION("IFERROR(((IFERROR(SUM(FILTER('Fund Investment Data'!$V:$V, 'Fund Investment Data'!$C:$C = $C1822, 'Fund Investment Data'!$A:$A = $A1822 - 2, 'Fund Investment Data'!$B:$B &gt;= 4)) * Parameters!$B$4,0) + IFERROR(SUM(FILTER('Fund Investment Data'!$V:$V, 'Fund "&amp;"Investment Data'!$C:$C = $C1822, 'Fund Investment Data'!$A:$A = $A1822 - 1, 'Fund Investment Data'!$B:$B &lt;= 3)) * Parameters!$B$4,0))),0)"),0.0)</f>
        <v>0</v>
      </c>
      <c r="AC1822" s="32" t="str">
        <f>IFERROR(__xludf.DUMMYFUNCTION("IFERROR(FILTER($AF:$AF,$C:$C = $C1822,$A:$A = $A1822 - 1,$B:$B = 12),0)"),"")</f>
        <v/>
      </c>
      <c r="AD1822" s="32">
        <f t="shared" si="23"/>
        <v>36725.5035</v>
      </c>
      <c r="AE1822" s="32">
        <f t="shared" si="2"/>
        <v>36725.5035</v>
      </c>
      <c r="AF1822" s="32"/>
    </row>
    <row r="1823">
      <c r="A1823" s="86">
        <v>2020.0</v>
      </c>
      <c r="B1823" s="87">
        <v>6.0</v>
      </c>
      <c r="C1823" s="105" t="s">
        <v>29</v>
      </c>
      <c r="D1823" s="104">
        <v>0.0</v>
      </c>
      <c r="E1823" s="104">
        <v>0.0</v>
      </c>
      <c r="F1823" s="104">
        <v>0.0</v>
      </c>
      <c r="G1823" s="104">
        <v>-129.81</v>
      </c>
      <c r="H1823" s="104">
        <v>783.24</v>
      </c>
      <c r="I1823" s="104">
        <v>3238.15</v>
      </c>
      <c r="J1823" s="104">
        <v>-7491.26</v>
      </c>
      <c r="K1823" s="32"/>
      <c r="L1823" s="32"/>
      <c r="M1823" s="32"/>
      <c r="N1823" s="32"/>
      <c r="O1823" s="106">
        <v>56700.19</v>
      </c>
      <c r="P1823" s="91">
        <f>IFERROR(__xludf.DUMMYFUNCTION("IFERROR(sum(FILTER($D:$N,$C:$C = $C1823,$A:$A &lt; $A1823,$B:$B = 12)),0) + sum($D1823:$N1823)"),56700.219999999914)</f>
        <v>56700.22</v>
      </c>
      <c r="Q1823" s="92">
        <f t="shared" si="1"/>
        <v>-0.02999999991</v>
      </c>
      <c r="R1823" s="91">
        <f t="array" ref="R1823">IFERROR(INDEX('Fund YTD Target Values'!$1:$1000, MATCH($C1823,'Fund YTD Target Values'!$A:$A,0), MATCH($A1823,'Fund YTD Target Values'!$1:$1,0)),0)</f>
        <v>80343.33092</v>
      </c>
      <c r="S1823" s="91">
        <f>IFERROR(__xludf.DUMMYFUNCTION("IFERROR(sum(FILTER('Fund Investment Data'!$V:$V, 'Fund Investment Data'!$C:$C = $C1823, 'Fund Investment Data'!$A:$A &lt; $A1823)),0) + IFERROR(sum(FILTER('Fund Investment Data'!$V:$V, 'Fund Investment Data'!$C:$C = $C1823, 'Fund Investment Data'!$A:$A = $A1"&amp;"823, 'Fund Investment Data'!$B:$B &lt;= $B1823)),0)"),50000.0)</f>
        <v>50000</v>
      </c>
      <c r="T1823" s="32"/>
      <c r="U1823" s="32"/>
      <c r="V1823" s="32">
        <f>IFERROR(__xludf.DUMMYFUNCTION("$D1823 - IFERROR(FILTER($D:$D,$C:$C = $C1823, $A:$A = $A1823, $B:$B = $B1823 - 1),0)"),0.0)</f>
        <v>0</v>
      </c>
      <c r="W1823" s="93">
        <f>IFERROR(__xludf.DUMMYFUNCTION("$E1823 - IFERROR(FILTER($E:$E,$C:$C = $C1823, $A:$A = $A1823, $B:$B = $B1823 - 1),0)"),0.0)</f>
        <v>0</v>
      </c>
      <c r="X1823" s="91">
        <f>IFERROR(__xludf.DUMMYFUNCTION("iFERROR((FILTER('Fund Investment Data'!$Z:$Z, 'Fund Investment Data'!$C:$C = $C1823, 'Fund Investment Data'!$A:$A = $A1823 - 1, 'Fund Investment Data'!$B:$B = 12) + FILTER('Fund Investment Data'!$AB:$AB, 'Fund Investment Data'!$C:$C = $C1823, 'Fund Invest"&amp;"ment Data'!$A:$A = $A1823 - 1, 'Fund Investment Data'!$B:$B = 12)) * (1 + AVERAGE(FILTER('Inflation Data'!$C:$C,'Inflation Data'!$A:$A = ($A1823 - 2)))) * Parameters!$A$4,0)"),1904.8380315570544)</f>
        <v>1904.838032</v>
      </c>
      <c r="Y1823" s="91">
        <f>IFERROR(__xludf.DUMMYFUNCTION("IFERROR((IFERROR(FILTER('Fund Investment Data'!$P:$P,'Fund Investment Data'!$C:$C = $C1823,'Fund Investment Data'!$A:$A = ($A1823 - 2), 'Fund Investment Data'!$B:$B = 12),0) - SUM(FILTER('Fund Investment Data'!$V:$V, 'Fund Investment Data'!$C:$C = $C1823,"&amp;" 'Fund Investment Data'!$A:$A = ($A1823 - 2), 'Fund Investment Data'!$B:$B &gt; 3)))  * Parameters!$B$4 * (1 - Parameters!$A$4),0)"),725.319764999999)</f>
        <v>725.319765</v>
      </c>
      <c r="Z1823" s="91">
        <f t="shared" si="24"/>
        <v>2630.157797</v>
      </c>
      <c r="AA1823" s="91">
        <f>IFERROR(__xludf.DUMMYFUNCTION("((IFERROR((SUM(FILTER('Fund Investment Data'!$V:$V, 'Fund Investment Data'!$C:$C = $C1823, 'Fund Investment Data'!$A:$A = $A1823 - 1, 'Fund Investment Data'!$B:$B &gt;= 4, 'Fund Investment Data'!$B:$B &lt;= ($B1823 + 5))) / 12) * ($B1823 - 3) * Parameters!$B$4,"&amp;" 0) + IF($B1823 &gt;= 9, IFERROR(SUM(FILTER('Fund Investment Data'!$V:$V, 'Fund Investment Data'!$C:$C = $C1823, 'Fund Investment Data'!$A:$A = $A1823, 'Fund Investment Data'!$B:$B &lt;= 3)) * Parameters!$B$4, 0),0)))"),0.0)</f>
        <v>0</v>
      </c>
      <c r="AB1823" s="32">
        <f>IFERROR(__xludf.DUMMYFUNCTION("IFERROR(((IFERROR(SUM(FILTER('Fund Investment Data'!$V:$V, 'Fund Investment Data'!$C:$C = $C1823, 'Fund Investment Data'!$A:$A = $A1823 - 2, 'Fund Investment Data'!$B:$B &gt;= 4)) * Parameters!$B$4,0) + IFERROR(SUM(FILTER('Fund Investment Data'!$V:$V, 'Fund "&amp;"Investment Data'!$C:$C = $C1823, 'Fund Investment Data'!$A:$A = $A1823 - 1, 'Fund Investment Data'!$B:$B &lt;= 3)) * Parameters!$B$4,0))),0)"),0.0)</f>
        <v>0</v>
      </c>
      <c r="AC1823" s="32" t="str">
        <f>IFERROR(__xludf.DUMMYFUNCTION("IFERROR(FILTER($AF:$AF,$C:$C = $C1823,$A:$A = $A1823 - 1,$B:$B = 12),0)"),"")</f>
        <v/>
      </c>
      <c r="AD1823" s="32">
        <f t="shared" si="23"/>
        <v>2630.157797</v>
      </c>
      <c r="AE1823" s="32">
        <f t="shared" si="2"/>
        <v>2630.157797</v>
      </c>
      <c r="AF1823" s="32"/>
    </row>
    <row r="1824">
      <c r="A1824" s="86">
        <v>2020.0</v>
      </c>
      <c r="B1824" s="87">
        <v>6.0</v>
      </c>
      <c r="C1824" s="105" t="s">
        <v>38</v>
      </c>
      <c r="D1824" s="104">
        <v>0.0</v>
      </c>
      <c r="E1824" s="104">
        <v>0.0</v>
      </c>
      <c r="F1824" s="104">
        <v>0.0</v>
      </c>
      <c r="G1824" s="104">
        <v>-1777.04</v>
      </c>
      <c r="H1824" s="104">
        <v>10722.85</v>
      </c>
      <c r="I1824" s="104">
        <v>44330.56</v>
      </c>
      <c r="J1824" s="104">
        <v>-102555.7</v>
      </c>
      <c r="K1824" s="32"/>
      <c r="L1824" s="32"/>
      <c r="M1824" s="32"/>
      <c r="N1824" s="32"/>
      <c r="O1824" s="106">
        <v>776229.01</v>
      </c>
      <c r="P1824" s="91">
        <f>IFERROR(__xludf.DUMMYFUNCTION("IFERROR(sum(FILTER($D:$N,$C:$C = $C1824,$A:$A &lt; $A1824,$B:$B = 12)),0) + sum($D1824:$N1824)"),776227.9700000001)</f>
        <v>776227.97</v>
      </c>
      <c r="Q1824" s="92">
        <f t="shared" si="1"/>
        <v>1.04</v>
      </c>
      <c r="R1824" s="91">
        <f t="array" ref="R1824">IFERROR(INDEX('Fund YTD Target Values'!$1:$1000, MATCH($C1824,'Fund YTD Target Values'!$A:$A,0), MATCH($A1824,'Fund YTD Target Values'!$1:$1,0)),0)</f>
        <v>732485.9458</v>
      </c>
      <c r="S1824" s="91">
        <f>IFERROR(__xludf.DUMMYFUNCTION("IFERROR(sum(FILTER('Fund Investment Data'!$V:$V, 'Fund Investment Data'!$C:$C = $C1824, 'Fund Investment Data'!$A:$A &lt; $A1824)),0) + IFERROR(sum(FILTER('Fund Investment Data'!$V:$V, 'Fund Investment Data'!$C:$C = $C1824, 'Fund Investment Data'!$A:$A = $A1"&amp;"824, 'Fund Investment Data'!$B:$B &lt;= $B1824)),0)"),556601.64)</f>
        <v>556601.64</v>
      </c>
      <c r="T1824" s="32"/>
      <c r="U1824" s="32"/>
      <c r="V1824" s="32">
        <f>IFERROR(__xludf.DUMMYFUNCTION("$D1824 - IFERROR(FILTER($D:$D,$C:$C = $C1824, $A:$A = $A1824, $B:$B = $B1824 - 1),0)"),0.0)</f>
        <v>0</v>
      </c>
      <c r="W1824" s="93">
        <f>IFERROR(__xludf.DUMMYFUNCTION("$E1824 - IFERROR(FILTER($E:$E,$C:$C = $C1824, $A:$A = $A1824, $B:$B = $B1824 - 1),0)"),0.0)</f>
        <v>0</v>
      </c>
      <c r="X1824" s="91">
        <f>IFERROR(__xludf.DUMMYFUNCTION("iFERROR((FILTER('Fund Investment Data'!$Z:$Z, 'Fund Investment Data'!$C:$C = $C1824, 'Fund Investment Data'!$A:$A = $A1824 - 1, 'Fund Investment Data'!$B:$B = 12) + FILTER('Fund Investment Data'!$AB:$AB, 'Fund Investment Data'!$C:$C = $C1824, 'Fund Invest"&amp;"ment Data'!$A:$A = $A1824 - 1, 'Fund Investment Data'!$B:$B = 12)) * (1 + AVERAGE(FILTER('Inflation Data'!$C:$C,'Inflation Data'!$A:$A = ($A1824 - 2)))) * Parameters!$A$4,0)"),23714.482768130645)</f>
        <v>23714.48277</v>
      </c>
      <c r="Y1824" s="91">
        <f>IFERROR(__xludf.DUMMYFUNCTION("IFERROR((IFERROR(FILTER('Fund Investment Data'!$P:$P,'Fund Investment Data'!$C:$C = $C1824,'Fund Investment Data'!$A:$A = ($A1824 - 2), 'Fund Investment Data'!$B:$B = 12),0) - SUM(FILTER('Fund Investment Data'!$V:$V, 'Fund Investment Data'!$C:$C = $C1824,"&amp;" 'Fund Investment Data'!$A:$A = ($A1824 - 2), 'Fund Investment Data'!$B:$B &gt; 3)))  * Parameters!$B$4 * (1 - Parameters!$A$4),0)"),9744.43716)</f>
        <v>9744.43716</v>
      </c>
      <c r="Z1824" s="91">
        <f t="shared" si="24"/>
        <v>33458.91993</v>
      </c>
      <c r="AA1824" s="91">
        <f>IFERROR(__xludf.DUMMYFUNCTION("((IFERROR((SUM(FILTER('Fund Investment Data'!$V:$V, 'Fund Investment Data'!$C:$C = $C1824, 'Fund Investment Data'!$A:$A = $A1824 - 1, 'Fund Investment Data'!$B:$B &gt;= 4, 'Fund Investment Data'!$B:$B &lt;= ($B1824 + 5))) / 12) * ($B1824 - 3) * Parameters!$B$4,"&amp;" 0) + IF($B1824 &gt;= 9, IFERROR(SUM(FILTER('Fund Investment Data'!$V:$V, 'Fund Investment Data'!$C:$C = $C1824, 'Fund Investment Data'!$A:$A = $A1824, 'Fund Investment Data'!$B:$B &lt;= 3)) * Parameters!$B$4, 0),0)))"),0.0)</f>
        <v>0</v>
      </c>
      <c r="AB1824" s="32">
        <f>IFERROR(__xludf.DUMMYFUNCTION("IFERROR(((IFERROR(SUM(FILTER('Fund Investment Data'!$V:$V, 'Fund Investment Data'!$C:$C = $C1824, 'Fund Investment Data'!$A:$A = $A1824 - 2, 'Fund Investment Data'!$B:$B &gt;= 4)) * Parameters!$B$4,0) + IFERROR(SUM(FILTER('Fund Investment Data'!$V:$V, 'Fund "&amp;"Investment Data'!$C:$C = $C1824, 'Fund Investment Data'!$A:$A = $A1824 - 1, 'Fund Investment Data'!$B:$B &lt;= 3)) * Parameters!$B$4,0))),0)"),0.0)</f>
        <v>0</v>
      </c>
      <c r="AC1824" s="32" t="str">
        <f>IFERROR(__xludf.DUMMYFUNCTION("IFERROR(FILTER($AF:$AF,$C:$C = $C1824,$A:$A = $A1824 - 1,$B:$B = 12),0)"),"")</f>
        <v/>
      </c>
      <c r="AD1824" s="32">
        <f t="shared" si="23"/>
        <v>33458.91993</v>
      </c>
      <c r="AE1824" s="32">
        <f t="shared" si="2"/>
        <v>33458.91993</v>
      </c>
      <c r="AF1824" s="32"/>
    </row>
    <row r="1825">
      <c r="A1825" s="86">
        <v>2020.0</v>
      </c>
      <c r="B1825" s="87">
        <v>6.0</v>
      </c>
      <c r="C1825" s="105" t="s">
        <v>30</v>
      </c>
      <c r="D1825" s="104">
        <v>0.0</v>
      </c>
      <c r="E1825" s="104">
        <v>0.0</v>
      </c>
      <c r="F1825" s="104">
        <v>0.0</v>
      </c>
      <c r="G1825" s="104">
        <v>-38.77</v>
      </c>
      <c r="H1825" s="104">
        <v>233.86</v>
      </c>
      <c r="I1825" s="104">
        <v>966.88</v>
      </c>
      <c r="J1825" s="104">
        <v>-2236.83</v>
      </c>
      <c r="K1825" s="32"/>
      <c r="L1825" s="32"/>
      <c r="M1825" s="32"/>
      <c r="N1825" s="32"/>
      <c r="O1825" s="106">
        <v>16930.15</v>
      </c>
      <c r="P1825" s="91">
        <f>IFERROR(__xludf.DUMMYFUNCTION("IFERROR(sum(FILTER($D:$N,$C:$C = $C1825,$A:$A &lt; $A1825,$B:$B = 12)),0) + sum($D1825:$N1825)"),16928.519999999986)</f>
        <v>16928.52</v>
      </c>
      <c r="Q1825" s="92">
        <f t="shared" si="1"/>
        <v>1.63</v>
      </c>
      <c r="R1825" s="91">
        <f t="array" ref="R1825">IFERROR(INDEX('Fund YTD Target Values'!$1:$1000, MATCH($C1825,'Fund YTD Target Values'!$A:$A,0), MATCH($A1825,'Fund YTD Target Values'!$1:$1,0)),0)</f>
        <v>19273.16693</v>
      </c>
      <c r="S1825" s="91">
        <f>IFERROR(__xludf.DUMMYFUNCTION("IFERROR(sum(FILTER('Fund Investment Data'!$V:$V, 'Fund Investment Data'!$C:$C = $C1825, 'Fund Investment Data'!$A:$A &lt; $A1825)),0) + IFERROR(sum(FILTER('Fund Investment Data'!$V:$V, 'Fund Investment Data'!$C:$C = $C1825, 'Fund Investment Data'!$A:$A = $A1"&amp;"825, 'Fund Investment Data'!$B:$B &lt;= $B1825)),0)"),11540.75)</f>
        <v>11540.75</v>
      </c>
      <c r="T1825" s="32"/>
      <c r="U1825" s="32"/>
      <c r="V1825" s="32">
        <f>IFERROR(__xludf.DUMMYFUNCTION("$D1825 - IFERROR(FILTER($D:$D,$C:$C = $C1825, $A:$A = $A1825, $B:$B = $B1825 - 1),0)"),0.0)</f>
        <v>0</v>
      </c>
      <c r="W1825" s="93">
        <f>IFERROR(__xludf.DUMMYFUNCTION("$E1825 - IFERROR(FILTER($E:$E,$C:$C = $C1825, $A:$A = $A1825, $B:$B = $B1825 - 1),0)"),0.0)</f>
        <v>0</v>
      </c>
      <c r="X1825" s="91">
        <f>IFERROR(__xludf.DUMMYFUNCTION("iFERROR((FILTER('Fund Investment Data'!$Z:$Z, 'Fund Investment Data'!$C:$C = $C1825, 'Fund Investment Data'!$A:$A = $A1825 - 1, 'Fund Investment Data'!$B:$B = 12) + FILTER('Fund Investment Data'!$AB:$AB, 'Fund Investment Data'!$C:$C = $C1825, 'Fund Invest"&amp;"ment Data'!$A:$A = $A1825 - 1, 'Fund Investment Data'!$B:$B = 12)) * (1 + AVERAGE(FILTER('Inflation Data'!$C:$C,'Inflation Data'!$A:$A = ($A1825 - 2)))) * Parameters!$A$4,0)"),568.7991394561834)</f>
        <v>568.7991395</v>
      </c>
      <c r="Y1825" s="91">
        <f>IFERROR(__xludf.DUMMYFUNCTION("IFERROR((IFERROR(FILTER('Fund Investment Data'!$P:$P,'Fund Investment Data'!$C:$C = $C1825,'Fund Investment Data'!$A:$A = ($A1825 - 2), 'Fund Investment Data'!$B:$B = 12),0) - SUM(FILTER('Fund Investment Data'!$V:$V, 'Fund Investment Data'!$C:$C = $C1825,"&amp;" 'Fund Investment Data'!$A:$A = ($A1825 - 2), 'Fund Investment Data'!$B:$B &gt; 3)))  * Parameters!$B$4 * (1 - Parameters!$A$4),0)"),216.52757999999983)</f>
        <v>216.52758</v>
      </c>
      <c r="Z1825" s="91">
        <f t="shared" si="24"/>
        <v>785.3267195</v>
      </c>
      <c r="AA1825" s="91">
        <f>IFERROR(__xludf.DUMMYFUNCTION("((IFERROR((SUM(FILTER('Fund Investment Data'!$V:$V, 'Fund Investment Data'!$C:$C = $C1825, 'Fund Investment Data'!$A:$A = $A1825 - 1, 'Fund Investment Data'!$B:$B &gt;= 4, 'Fund Investment Data'!$B:$B &lt;= ($B1825 + 5))) / 12) * ($B1825 - 3) * Parameters!$B$4,"&amp;" 0) + IF($B1825 &gt;= 9, IFERROR(SUM(FILTER('Fund Investment Data'!$V:$V, 'Fund Investment Data'!$C:$C = $C1825, 'Fund Investment Data'!$A:$A = $A1825, 'Fund Investment Data'!$B:$B &lt;= 3)) * Parameters!$B$4, 0),0)))"),0.0)</f>
        <v>0</v>
      </c>
      <c r="AB1825" s="32">
        <f>IFERROR(__xludf.DUMMYFUNCTION("IFERROR(((IFERROR(SUM(FILTER('Fund Investment Data'!$V:$V, 'Fund Investment Data'!$C:$C = $C1825, 'Fund Investment Data'!$A:$A = $A1825 - 2, 'Fund Investment Data'!$B:$B &gt;= 4)) * Parameters!$B$4,0) + IFERROR(SUM(FILTER('Fund Investment Data'!$V:$V, 'Fund "&amp;"Investment Data'!$C:$C = $C1825, 'Fund Investment Data'!$A:$A = $A1825 - 1, 'Fund Investment Data'!$B:$B &lt;= 3)) * Parameters!$B$4,0))),0)"),0.0)</f>
        <v>0</v>
      </c>
      <c r="AC1825" s="32" t="str">
        <f>IFERROR(__xludf.DUMMYFUNCTION("IFERROR(FILTER($AF:$AF,$C:$C = $C1825,$A:$A = $A1825 - 1,$B:$B = 12),0)"),"")</f>
        <v/>
      </c>
      <c r="AD1825" s="32">
        <f t="shared" si="23"/>
        <v>785.3267195</v>
      </c>
      <c r="AE1825" s="32">
        <f t="shared" si="2"/>
        <v>785.3267195</v>
      </c>
      <c r="AF1825" s="32"/>
    </row>
    <row r="1826">
      <c r="A1826" s="86">
        <v>2020.0</v>
      </c>
      <c r="B1826" s="87">
        <v>6.0</v>
      </c>
      <c r="C1826" s="105" t="s">
        <v>47</v>
      </c>
      <c r="D1826" s="104">
        <v>0.0</v>
      </c>
      <c r="E1826" s="104">
        <v>0.0</v>
      </c>
      <c r="F1826" s="104">
        <v>0.0</v>
      </c>
      <c r="G1826" s="104">
        <v>-3213.48</v>
      </c>
      <c r="H1826" s="104">
        <v>19390.57</v>
      </c>
      <c r="I1826" s="104">
        <v>80164.75</v>
      </c>
      <c r="J1826" s="104">
        <v>-185455.64</v>
      </c>
      <c r="K1826" s="32"/>
      <c r="L1826" s="32"/>
      <c r="M1826" s="32"/>
      <c r="N1826" s="32"/>
      <c r="O1826" s="106">
        <v>1403686.07</v>
      </c>
      <c r="P1826" s="91">
        <f>IFERROR(__xludf.DUMMYFUNCTION("IFERROR(sum(FILTER($D:$N,$C:$C = $C1826,$A:$A &lt; $A1826,$B:$B = 12)),0) + sum($D1826:$N1826)"),1403685.7199999995)</f>
        <v>1403685.72</v>
      </c>
      <c r="Q1826" s="92">
        <f t="shared" si="1"/>
        <v>0.3500000006</v>
      </c>
      <c r="R1826" s="91">
        <f t="array" ref="R1826">IFERROR(INDEX('Fund YTD Target Values'!$1:$1000, MATCH($C1826,'Fund YTD Target Values'!$A:$A,0), MATCH($A1826,'Fund YTD Target Values'!$1:$1,0)),0)</f>
        <v>2083999.77</v>
      </c>
      <c r="S1826" s="91">
        <f>IFERROR(__xludf.DUMMYFUNCTION("IFERROR(sum(FILTER('Fund Investment Data'!$V:$V, 'Fund Investment Data'!$C:$C = $C1826, 'Fund Investment Data'!$A:$A &lt; $A1826)),0) + IFERROR(sum(FILTER('Fund Investment Data'!$V:$V, 'Fund Investment Data'!$C:$C = $C1826, 'Fund Investment Data'!$A:$A = $A1"&amp;"826, 'Fund Investment Data'!$B:$B &lt;= $B1826)),0)"),1456367.46)</f>
        <v>1456367.46</v>
      </c>
      <c r="T1826" s="32"/>
      <c r="U1826" s="32"/>
      <c r="V1826" s="32">
        <f>IFERROR(__xludf.DUMMYFUNCTION("$D1826 - IFERROR(FILTER($D:$D,$C:$C = $C1826, $A:$A = $A1826, $B:$B = $B1826 - 1),0)"),0.0)</f>
        <v>0</v>
      </c>
      <c r="W1826" s="93">
        <f>IFERROR(__xludf.DUMMYFUNCTION("$E1826 - IFERROR(FILTER($E:$E,$C:$C = $C1826, $A:$A = $A1826, $B:$B = $B1826 - 1),0)"),0.0)</f>
        <v>0</v>
      </c>
      <c r="X1826" s="91">
        <f>IFERROR(__xludf.DUMMYFUNCTION("iFERROR((FILTER('Fund Investment Data'!$Z:$Z, 'Fund Investment Data'!$C:$C = $C1826, 'Fund Investment Data'!$A:$A = $A1826 - 1, 'Fund Investment Data'!$B:$B = 12) + FILTER('Fund Investment Data'!$AB:$AB, 'Fund Investment Data'!$C:$C = $C1826, 'Fund Invest"&amp;"ment Data'!$A:$A = $A1826 - 1, 'Fund Investment Data'!$B:$B = 12)) * (1 + AVERAGE(FILTER('Inflation Data'!$C:$C,'Inflation Data'!$A:$A = ($A1826 - 2)))) * Parameters!$A$4,0)"),49588.29599165883)</f>
        <v>49588.29599</v>
      </c>
      <c r="Y1826" s="91">
        <f>IFERROR(__xludf.DUMMYFUNCTION("IFERROR((IFERROR(FILTER('Fund Investment Data'!$P:$P,'Fund Investment Data'!$C:$C = $C1826,'Fund Investment Data'!$A:$A = ($A1826 - 2), 'Fund Investment Data'!$B:$B = 12),0) - SUM(FILTER('Fund Investment Data'!$V:$V, 'Fund Investment Data'!$C:$C = $C1826,"&amp;" 'Fund Investment Data'!$A:$A = ($A1826 - 2), 'Fund Investment Data'!$B:$B &gt; 3)))  * Parameters!$B$4 * (1 - Parameters!$A$4),0)"),17972.522459999996)</f>
        <v>17972.52246</v>
      </c>
      <c r="Z1826" s="91">
        <f t="shared" si="24"/>
        <v>67560.81845</v>
      </c>
      <c r="AA1826" s="91">
        <f>IFERROR(__xludf.DUMMYFUNCTION("((IFERROR((SUM(FILTER('Fund Investment Data'!$V:$V, 'Fund Investment Data'!$C:$C = $C1826, 'Fund Investment Data'!$A:$A = $A1826 - 1, 'Fund Investment Data'!$B:$B &gt;= 4, 'Fund Investment Data'!$B:$B &lt;= ($B1826 + 5))) / 12) * ($B1826 - 3) * Parameters!$B$4,"&amp;" 0) + IF($B1826 &gt;= 9, IFERROR(SUM(FILTER('Fund Investment Data'!$V:$V, 'Fund Investment Data'!$C:$C = $C1826, 'Fund Investment Data'!$A:$A = $A1826, 'Fund Investment Data'!$B:$B &lt;= 3)) * Parameters!$B$4, 0),0)))"),0.0)</f>
        <v>0</v>
      </c>
      <c r="AB1826" s="32">
        <f>IFERROR(__xludf.DUMMYFUNCTION("IFERROR(((IFERROR(SUM(FILTER('Fund Investment Data'!$V:$V, 'Fund Investment Data'!$C:$C = $C1826, 'Fund Investment Data'!$A:$A = $A1826 - 2, 'Fund Investment Data'!$B:$B &gt;= 4)) * Parameters!$B$4,0) + IFERROR(SUM(FILTER('Fund Investment Data'!$V:$V, 'Fund "&amp;"Investment Data'!$C:$C = $C1826, 'Fund Investment Data'!$A:$A = $A1826 - 1, 'Fund Investment Data'!$B:$B &lt;= 3)) * Parameters!$B$4,0))),0)"),0.0)</f>
        <v>0</v>
      </c>
      <c r="AC1826" s="32" t="str">
        <f>IFERROR(__xludf.DUMMYFUNCTION("IFERROR(FILTER($AF:$AF,$C:$C = $C1826,$A:$A = $A1826 - 1,$B:$B = 12),0)"),"")</f>
        <v/>
      </c>
      <c r="AD1826" s="32">
        <f t="shared" si="23"/>
        <v>67560.81845</v>
      </c>
      <c r="AE1826" s="32">
        <f t="shared" si="2"/>
        <v>67560.81845</v>
      </c>
      <c r="AF1826" s="32"/>
    </row>
    <row r="1827">
      <c r="A1827" s="86">
        <v>2020.0</v>
      </c>
      <c r="B1827" s="87">
        <v>6.0</v>
      </c>
      <c r="C1827" s="105" t="s">
        <v>31</v>
      </c>
      <c r="D1827" s="104">
        <v>0.0</v>
      </c>
      <c r="E1827" s="104">
        <v>0.0</v>
      </c>
      <c r="F1827" s="104">
        <v>0.0</v>
      </c>
      <c r="G1827" s="104">
        <v>-399.53</v>
      </c>
      <c r="H1827" s="104">
        <v>2410.75</v>
      </c>
      <c r="I1827" s="104">
        <v>9966.54</v>
      </c>
      <c r="J1827" s="104">
        <v>-23056.93</v>
      </c>
      <c r="K1827" s="32"/>
      <c r="L1827" s="32"/>
      <c r="M1827" s="32"/>
      <c r="N1827" s="32"/>
      <c r="O1827" s="106">
        <v>174514.41</v>
      </c>
      <c r="P1827" s="91">
        <f>IFERROR(__xludf.DUMMYFUNCTION("IFERROR(sum(FILTER($D:$N,$C:$C = $C1827,$A:$A &lt; $A1827,$B:$B = 12)),0) + sum($D1827:$N1827)"),174514.41999999995)</f>
        <v>174514.42</v>
      </c>
      <c r="Q1827" s="92">
        <f t="shared" si="1"/>
        <v>-0.009999999951</v>
      </c>
      <c r="R1827" s="91">
        <f t="array" ref="R1827">IFERROR(INDEX('Fund YTD Target Values'!$1:$1000, MATCH($C1827,'Fund YTD Target Values'!$A:$A,0), MATCH($A1827,'Fund YTD Target Values'!$1:$1,0)),0)</f>
        <v>219640.3616</v>
      </c>
      <c r="S1827" s="91">
        <f>IFERROR(__xludf.DUMMYFUNCTION("IFERROR(sum(FILTER('Fund Investment Data'!$V:$V, 'Fund Investment Data'!$C:$C = $C1827, 'Fund Investment Data'!$A:$A &lt; $A1827)),0) + IFERROR(sum(FILTER('Fund Investment Data'!$V:$V, 'Fund Investment Data'!$C:$C = $C1827, 'Fund Investment Data'!$A:$A = $A1"&amp;"827, 'Fund Investment Data'!$B:$B &lt;= $B1827)),0)"),158200.0)</f>
        <v>158200</v>
      </c>
      <c r="T1827" s="32"/>
      <c r="U1827" s="32"/>
      <c r="V1827" s="32">
        <f>IFERROR(__xludf.DUMMYFUNCTION("$D1827 - IFERROR(FILTER($D:$D,$C:$C = $C1827, $A:$A = $A1827, $B:$B = $B1827 - 1),0)"),0.0)</f>
        <v>0</v>
      </c>
      <c r="W1827" s="93">
        <f>IFERROR(__xludf.DUMMYFUNCTION("$E1827 - IFERROR(FILTER($E:$E,$C:$C = $C1827, $A:$A = $A1827, $B:$B = $B1827 - 1),0)"),0.0)</f>
        <v>0</v>
      </c>
      <c r="X1827" s="91">
        <f>IFERROR(__xludf.DUMMYFUNCTION("iFERROR((FILTER('Fund Investment Data'!$Z:$Z, 'Fund Investment Data'!$C:$C = $C1827, 'Fund Investment Data'!$A:$A = $A1827 - 1, 'Fund Investment Data'!$B:$B = 12) + FILTER('Fund Investment Data'!$AB:$AB, 'Fund Investment Data'!$C:$C = $C1827, 'Fund Invest"&amp;"ment Data'!$A:$A = $A1827 - 1, 'Fund Investment Data'!$B:$B = 12)) * (1 + AVERAGE(FILTER('Inflation Data'!$C:$C,'Inflation Data'!$A:$A = ($A1827 - 2)))) * Parameters!$A$4,0)"),6267.63344728865)</f>
        <v>6267.633447</v>
      </c>
      <c r="Y1827" s="91">
        <f>IFERROR(__xludf.DUMMYFUNCTION("IFERROR((IFERROR(FILTER('Fund Investment Data'!$P:$P,'Fund Investment Data'!$C:$C = $C1827,'Fund Investment Data'!$A:$A = ($A1827 - 2), 'Fund Investment Data'!$B:$B = 12),0) - SUM(FILTER('Fund Investment Data'!$V:$V, 'Fund Investment Data'!$C:$C = $C1827,"&amp;" 'Fund Investment Data'!$A:$A = ($A1827 - 2), 'Fund Investment Data'!$B:$B &gt; 3)))  * Parameters!$B$4 * (1 - Parameters!$A$4),0)"),2235.5692200000008)</f>
        <v>2235.56922</v>
      </c>
      <c r="Z1827" s="91">
        <f t="shared" si="24"/>
        <v>8503.202667</v>
      </c>
      <c r="AA1827" s="91">
        <f>IFERROR(__xludf.DUMMYFUNCTION("((IFERROR((SUM(FILTER('Fund Investment Data'!$V:$V, 'Fund Investment Data'!$C:$C = $C1827, 'Fund Investment Data'!$A:$A = $A1827 - 1, 'Fund Investment Data'!$B:$B &gt;= 4, 'Fund Investment Data'!$B:$B &lt;= ($B1827 + 5))) / 12) * ($B1827 - 3) * Parameters!$B$4,"&amp;" 0) + IF($B1827 &gt;= 9, IFERROR(SUM(FILTER('Fund Investment Data'!$V:$V, 'Fund Investment Data'!$C:$C = $C1827, 'Fund Investment Data'!$A:$A = $A1827, 'Fund Investment Data'!$B:$B &lt;= 3)) * Parameters!$B$4, 0),0)))"),1.125)</f>
        <v>1.125</v>
      </c>
      <c r="AB1827" s="32">
        <f>IFERROR(__xludf.DUMMYFUNCTION("IFERROR(((IFERROR(SUM(FILTER('Fund Investment Data'!$V:$V, 'Fund Investment Data'!$C:$C = $C1827, 'Fund Investment Data'!$A:$A = $A1827 - 2, 'Fund Investment Data'!$B:$B &gt;= 4)) * Parameters!$B$4,0) + IFERROR(SUM(FILTER('Fund Investment Data'!$V:$V, 'Fund "&amp;"Investment Data'!$C:$C = $C1827, 'Fund Investment Data'!$A:$A = $A1827 - 1, 'Fund Investment Data'!$B:$B &lt;= 3)) * Parameters!$B$4,0))),0)"),0.0)</f>
        <v>0</v>
      </c>
      <c r="AC1827" s="32" t="str">
        <f>IFERROR(__xludf.DUMMYFUNCTION("IFERROR(FILTER($AF:$AF,$C:$C = $C1827,$A:$A = $A1827 - 1,$B:$B = 12),0)"),"")</f>
        <v/>
      </c>
      <c r="AD1827" s="32">
        <f t="shared" si="23"/>
        <v>8504.327667</v>
      </c>
      <c r="AE1827" s="32">
        <f t="shared" si="2"/>
        <v>8504.327667</v>
      </c>
      <c r="AF1827" s="32"/>
    </row>
    <row r="1828">
      <c r="A1828" s="86">
        <v>2020.0</v>
      </c>
      <c r="B1828" s="87">
        <v>6.0</v>
      </c>
      <c r="C1828" s="105" t="s">
        <v>39</v>
      </c>
      <c r="D1828" s="104">
        <v>0.0</v>
      </c>
      <c r="E1828" s="104">
        <v>0.0</v>
      </c>
      <c r="F1828" s="104">
        <v>0.0</v>
      </c>
      <c r="G1828" s="104">
        <v>-446.75</v>
      </c>
      <c r="H1828" s="104">
        <v>2695.77</v>
      </c>
      <c r="I1828" s="104">
        <v>11144.89</v>
      </c>
      <c r="J1828" s="104">
        <v>-25782.96</v>
      </c>
      <c r="K1828" s="32"/>
      <c r="L1828" s="32"/>
      <c r="M1828" s="32"/>
      <c r="N1828" s="32"/>
      <c r="O1828" s="106">
        <v>195147.41</v>
      </c>
      <c r="P1828" s="91">
        <f>IFERROR(__xludf.DUMMYFUNCTION("IFERROR(sum(FILTER($D:$N,$C:$C = $C1828,$A:$A &lt; $A1828,$B:$B = 12)),0) + sum($D1828:$N1828)"),195147.41000000006)</f>
        <v>195147.41</v>
      </c>
      <c r="Q1828" s="92">
        <f t="shared" si="1"/>
        <v>0</v>
      </c>
      <c r="R1828" s="91">
        <f t="array" ref="R1828">IFERROR(INDEX('Fund YTD Target Values'!$1:$1000, MATCH($C1828,'Fund YTD Target Values'!$A:$A,0), MATCH($A1828,'Fund YTD Target Values'!$1:$1,0)),0)</f>
        <v>208132.6987</v>
      </c>
      <c r="S1828" s="91">
        <f>IFERROR(__xludf.DUMMYFUNCTION("IFERROR(sum(FILTER('Fund Investment Data'!$V:$V, 'Fund Investment Data'!$C:$C = $C1828, 'Fund Investment Data'!$A:$A &lt; $A1828)),0) + IFERROR(sum(FILTER('Fund Investment Data'!$V:$V, 'Fund Investment Data'!$C:$C = $C1828, 'Fund Investment Data'!$A:$A = $A1"&amp;"828, 'Fund Investment Data'!$B:$B &lt;= $B1828)),0)"),185000.0)</f>
        <v>185000</v>
      </c>
      <c r="T1828" s="32"/>
      <c r="U1828" s="32"/>
      <c r="V1828" s="32">
        <f>IFERROR(__xludf.DUMMYFUNCTION("$D1828 - IFERROR(FILTER($D:$D,$C:$C = $C1828, $A:$A = $A1828, $B:$B = $B1828 - 1),0)"),0.0)</f>
        <v>0</v>
      </c>
      <c r="W1828" s="93">
        <f>IFERROR(__xludf.DUMMYFUNCTION("$E1828 - IFERROR(FILTER($E:$E,$C:$C = $C1828, $A:$A = $A1828, $B:$B = $B1828 - 1),0)"),0.0)</f>
        <v>0</v>
      </c>
      <c r="X1828" s="91">
        <f>IFERROR(__xludf.DUMMYFUNCTION("iFERROR((FILTER('Fund Investment Data'!$Z:$Z, 'Fund Investment Data'!$C:$C = $C1828, 'Fund Investment Data'!$A:$A = $A1828 - 1, 'Fund Investment Data'!$B:$B = 12) + FILTER('Fund Investment Data'!$AB:$AB, 'Fund Investment Data'!$C:$C = $C1828, 'Fund Invest"&amp;"ment Data'!$A:$A = $A1828 - 1, 'Fund Investment Data'!$B:$B = 12)) * (1 + AVERAGE(FILTER('Inflation Data'!$C:$C,'Inflation Data'!$A:$A = ($A1828 - 2)))) * Parameters!$A$4,0)"),5904.480581542223)</f>
        <v>5904.480582</v>
      </c>
      <c r="Y1828" s="91">
        <f>IFERROR(__xludf.DUMMYFUNCTION("IFERROR((IFERROR(FILTER('Fund Investment Data'!$P:$P,'Fund Investment Data'!$C:$C = $C1828,'Fund Investment Data'!$A:$A = ($A1828 - 2), 'Fund Investment Data'!$B:$B = 12),0) - SUM(FILTER('Fund Investment Data'!$V:$V, 'Fund Investment Data'!$C:$C = $C1828,"&amp;" 'Fund Investment Data'!$A:$A = ($A1828 - 2), 'Fund Investment Data'!$B:$B &gt; 3)))  * Parameters!$B$4 * (1 - Parameters!$A$4),0)"),2103.5735100000006)</f>
        <v>2103.57351</v>
      </c>
      <c r="Z1828" s="91">
        <f t="shared" si="24"/>
        <v>8008.054092</v>
      </c>
      <c r="AA1828" s="91">
        <f>IFERROR(__xludf.DUMMYFUNCTION("((IFERROR((SUM(FILTER('Fund Investment Data'!$V:$V, 'Fund Investment Data'!$C:$C = $C1828, 'Fund Investment Data'!$A:$A = $A1828 - 1, 'Fund Investment Data'!$B:$B &gt;= 4, 'Fund Investment Data'!$B:$B &lt;= ($B1828 + 5))) / 12) * ($B1828 - 3) * Parameters!$B$4,"&amp;" 0) + IF($B1828 &gt;= 9, IFERROR(SUM(FILTER('Fund Investment Data'!$V:$V, 'Fund Investment Data'!$C:$C = $C1828, 'Fund Investment Data'!$A:$A = $A1828, 'Fund Investment Data'!$B:$B &lt;= 3)) * Parameters!$B$4, 0),0)))"),168.75)</f>
        <v>168.75</v>
      </c>
      <c r="AB1828" s="32">
        <f>IFERROR(__xludf.DUMMYFUNCTION("IFERROR(((IFERROR(SUM(FILTER('Fund Investment Data'!$V:$V, 'Fund Investment Data'!$C:$C = $C1828, 'Fund Investment Data'!$A:$A = $A1828 - 2, 'Fund Investment Data'!$B:$B &gt;= 4)) * Parameters!$B$4,0) + IFERROR(SUM(FILTER('Fund Investment Data'!$V:$V, 'Fund "&amp;"Investment Data'!$C:$C = $C1828, 'Fund Investment Data'!$A:$A = $A1828 - 1, 'Fund Investment Data'!$B:$B &lt;= 3)) * Parameters!$B$4,0))),0)"),675.0)</f>
        <v>675</v>
      </c>
      <c r="AC1828" s="32" t="str">
        <f>IFERROR(__xludf.DUMMYFUNCTION("IFERROR(FILTER($AF:$AF,$C:$C = $C1828,$A:$A = $A1828 - 1,$B:$B = 12),0)"),"")</f>
        <v/>
      </c>
      <c r="AD1828" s="32">
        <f t="shared" si="23"/>
        <v>8851.804092</v>
      </c>
      <c r="AE1828" s="32">
        <f t="shared" si="2"/>
        <v>8851.804092</v>
      </c>
      <c r="AF1828" s="32"/>
    </row>
    <row r="1829">
      <c r="A1829" s="86">
        <v>2020.0</v>
      </c>
      <c r="B1829" s="87">
        <v>6.0</v>
      </c>
      <c r="C1829" s="105" t="s">
        <v>50</v>
      </c>
      <c r="D1829" s="104">
        <v>0.0</v>
      </c>
      <c r="E1829" s="104">
        <v>0.0</v>
      </c>
      <c r="F1829" s="104">
        <v>0.0</v>
      </c>
      <c r="G1829" s="104">
        <v>-456.35</v>
      </c>
      <c r="H1829" s="104">
        <v>2753.64</v>
      </c>
      <c r="I1829" s="104">
        <v>11384.17</v>
      </c>
      <c r="J1829" s="104">
        <v>-26336.46</v>
      </c>
      <c r="K1829" s="32"/>
      <c r="L1829" s="32"/>
      <c r="M1829" s="32"/>
      <c r="N1829" s="32"/>
      <c r="O1829" s="106">
        <v>199336.71</v>
      </c>
      <c r="P1829" s="91">
        <f>IFERROR(__xludf.DUMMYFUNCTION("IFERROR(sum(FILTER($D:$N,$C:$C = $C1829,$A:$A &lt; $A1829,$B:$B = 12)),0) + sum($D1829:$N1829)"),199336.18000000005)</f>
        <v>199336.18</v>
      </c>
      <c r="Q1829" s="92">
        <f t="shared" si="1"/>
        <v>0.5299999999</v>
      </c>
      <c r="R1829" s="91">
        <f t="array" ref="R1829">IFERROR(INDEX('Fund YTD Target Values'!$1:$1000, MATCH($C1829,'Fund YTD Target Values'!$A:$A,0), MATCH($A1829,'Fund YTD Target Values'!$1:$1,0)),0)</f>
        <v>226949.7266</v>
      </c>
      <c r="S1829" s="91">
        <f>IFERROR(__xludf.DUMMYFUNCTION("IFERROR(sum(FILTER('Fund Investment Data'!$V:$V, 'Fund Investment Data'!$C:$C = $C1829, 'Fund Investment Data'!$A:$A &lt; $A1829)),0) + IFERROR(sum(FILTER('Fund Investment Data'!$V:$V, 'Fund Investment Data'!$C:$C = $C1829, 'Fund Investment Data'!$A:$A = $A1"&amp;"829, 'Fund Investment Data'!$B:$B &lt;= $B1829)),0)"),185189.56)</f>
        <v>185189.56</v>
      </c>
      <c r="T1829" s="32"/>
      <c r="U1829" s="32"/>
      <c r="V1829" s="32">
        <f>IFERROR(__xludf.DUMMYFUNCTION("$D1829 - IFERROR(FILTER($D:$D,$C:$C = $C1829, $A:$A = $A1829, $B:$B = $B1829 - 1),0)"),0.0)</f>
        <v>0</v>
      </c>
      <c r="W1829" s="93">
        <f>IFERROR(__xludf.DUMMYFUNCTION("$E1829 - IFERROR(FILTER($E:$E,$C:$C = $C1829, $A:$A = $A1829, $B:$B = $B1829 - 1),0)"),0.0)</f>
        <v>0</v>
      </c>
      <c r="X1829" s="91">
        <f>IFERROR(__xludf.DUMMYFUNCTION("iFERROR((FILTER('Fund Investment Data'!$Z:$Z, 'Fund Investment Data'!$C:$C = $C1829, 'Fund Investment Data'!$A:$A = $A1829 - 1, 'Fund Investment Data'!$B:$B = 12) + FILTER('Fund Investment Data'!$AB:$AB, 'Fund Investment Data'!$C:$C = $C1829, 'Fund Invest"&amp;"ment Data'!$A:$A = $A1829 - 1, 'Fund Investment Data'!$B:$B = 12)) * (1 + AVERAGE(FILTER('Inflation Data'!$C:$C,'Inflation Data'!$A:$A = ($A1829 - 2)))) * Parameters!$A$4,0)"),7449.06504745473)</f>
        <v>7449.065047</v>
      </c>
      <c r="Y1829" s="91">
        <f>IFERROR(__xludf.DUMMYFUNCTION("IFERROR((IFERROR(FILTER('Fund Investment Data'!$P:$P,'Fund Investment Data'!$C:$C = $C1829,'Fund Investment Data'!$A:$A = ($A1829 - 2), 'Fund Investment Data'!$B:$B = 12),0) - SUM(FILTER('Fund Investment Data'!$V:$V, 'Fund Investment Data'!$C:$C = $C1829,"&amp;" 'Fund Investment Data'!$A:$A = ($A1829 - 2), 'Fund Investment Data'!$B:$B &gt; 3)))  * Parameters!$B$4 * (1 - Parameters!$A$4),0)"),2558.976705)</f>
        <v>2558.976705</v>
      </c>
      <c r="Z1829" s="91">
        <f t="shared" si="24"/>
        <v>10008.04175</v>
      </c>
      <c r="AA1829" s="91">
        <f>IFERROR(__xludf.DUMMYFUNCTION("((IFERROR((SUM(FILTER('Fund Investment Data'!$V:$V, 'Fund Investment Data'!$C:$C = $C1829, 'Fund Investment Data'!$A:$A = $A1829 - 1, 'Fund Investment Data'!$B:$B &gt;= 4, 'Fund Investment Data'!$B:$B &lt;= ($B1829 + 5))) / 12) * ($B1829 - 3) * Parameters!$B$4,"&amp;" 0) + IF($B1829 &gt;= 9, IFERROR(SUM(FILTER('Fund Investment Data'!$V:$V, 'Fund Investment Data'!$C:$C = $C1829, 'Fund Investment Data'!$A:$A = $A1829, 'Fund Investment Data'!$B:$B &lt;= 3)) * Parameters!$B$4, 0),0)))"),0.0)</f>
        <v>0</v>
      </c>
      <c r="AB1829" s="32">
        <f>IFERROR(__xludf.DUMMYFUNCTION("IFERROR(((IFERROR(SUM(FILTER('Fund Investment Data'!$V:$V, 'Fund Investment Data'!$C:$C = $C1829, 'Fund Investment Data'!$A:$A = $A1829 - 2, 'Fund Investment Data'!$B:$B &gt;= 4)) * Parameters!$B$4,0) + IFERROR(SUM(FILTER('Fund Investment Data'!$V:$V, 'Fund "&amp;"Investment Data'!$C:$C = $C1829, 'Fund Investment Data'!$A:$A = $A1829 - 1, 'Fund Investment Data'!$B:$B &lt;= 3)) * Parameters!$B$4,0))),0)"),0.0)</f>
        <v>0</v>
      </c>
      <c r="AC1829" s="32" t="str">
        <f>IFERROR(__xludf.DUMMYFUNCTION("IFERROR(FILTER($AF:$AF,$C:$C = $C1829,$A:$A = $A1829 - 1,$B:$B = 12),0)"),"")</f>
        <v/>
      </c>
      <c r="AD1829" s="32">
        <f t="shared" si="23"/>
        <v>10008.04175</v>
      </c>
      <c r="AE1829" s="32">
        <f t="shared" si="2"/>
        <v>10008.04175</v>
      </c>
      <c r="AF1829" s="32"/>
    </row>
    <row r="1830">
      <c r="A1830" s="86">
        <v>2020.0</v>
      </c>
      <c r="B1830" s="87">
        <v>6.0</v>
      </c>
      <c r="C1830" s="105" t="s">
        <v>32</v>
      </c>
      <c r="D1830" s="104">
        <v>0.0</v>
      </c>
      <c r="E1830" s="104">
        <v>0.0</v>
      </c>
      <c r="F1830" s="104">
        <v>0.0</v>
      </c>
      <c r="G1830" s="104">
        <v>-114.64</v>
      </c>
      <c r="H1830" s="104">
        <v>691.73</v>
      </c>
      <c r="I1830" s="104">
        <v>2859.76</v>
      </c>
      <c r="J1830" s="104">
        <v>-6615.89</v>
      </c>
      <c r="K1830" s="32"/>
      <c r="L1830" s="32"/>
      <c r="M1830" s="32"/>
      <c r="N1830" s="32"/>
      <c r="O1830" s="106">
        <v>50074.66</v>
      </c>
      <c r="P1830" s="91">
        <f>IFERROR(__xludf.DUMMYFUNCTION("IFERROR(sum(FILTER($D:$N,$C:$C = $C1830,$A:$A &lt; $A1830,$B:$B = 12)),0) + sum($D1830:$N1830)"),50074.260000000024)</f>
        <v>50074.26</v>
      </c>
      <c r="Q1830" s="92">
        <f t="shared" si="1"/>
        <v>0.4</v>
      </c>
      <c r="R1830" s="91">
        <f t="array" ref="R1830">IFERROR(INDEX('Fund YTD Target Values'!$1:$1000, MATCH($C1830,'Fund YTD Target Values'!$A:$A,0), MATCH($A1830,'Fund YTD Target Values'!$1:$1,0)),0)</f>
        <v>82557.08463</v>
      </c>
      <c r="S1830" s="91">
        <f>IFERROR(__xludf.DUMMYFUNCTION("IFERROR(sum(FILTER('Fund Investment Data'!$V:$V, 'Fund Investment Data'!$C:$C = $C1830, 'Fund Investment Data'!$A:$A &lt; $A1830)),0) + IFERROR(sum(FILTER('Fund Investment Data'!$V:$V, 'Fund Investment Data'!$C:$C = $C1830, 'Fund Investment Data'!$A:$A = $A1"&amp;"830, 'Fund Investment Data'!$B:$B &lt;= $B1830)),0)"),49449.04)</f>
        <v>49449.04</v>
      </c>
      <c r="T1830" s="32"/>
      <c r="U1830" s="32"/>
      <c r="V1830" s="32">
        <f>IFERROR(__xludf.DUMMYFUNCTION("$D1830 - IFERROR(FILTER($D:$D,$C:$C = $C1830, $A:$A = $A1830, $B:$B = $B1830 - 1),0)"),0.0)</f>
        <v>0</v>
      </c>
      <c r="W1830" s="93">
        <f>IFERROR(__xludf.DUMMYFUNCTION("$E1830 - IFERROR(FILTER($E:$E,$C:$C = $C1830, $A:$A = $A1830, $B:$B = $B1830 - 1),0)"),0.0)</f>
        <v>0</v>
      </c>
      <c r="X1830" s="91">
        <f>IFERROR(__xludf.DUMMYFUNCTION("iFERROR((FILTER('Fund Investment Data'!$Z:$Z, 'Fund Investment Data'!$C:$C = $C1830, 'Fund Investment Data'!$A:$A = $A1830 - 1, 'Fund Investment Data'!$B:$B = 12) + FILTER('Fund Investment Data'!$AB:$AB, 'Fund Investment Data'!$C:$C = $C1830, 'Fund Invest"&amp;"ment Data'!$A:$A = $A1830 - 1, 'Fund Investment Data'!$B:$B = 12)) * (1 + AVERAGE(FILTER('Inflation Data'!$C:$C,'Inflation Data'!$A:$A = ($A1830 - 2)))) * Parameters!$A$4,0)"),1749.9100001922152)</f>
        <v>1749.91</v>
      </c>
      <c r="Y1830" s="91">
        <f>IFERROR(__xludf.DUMMYFUNCTION("IFERROR((IFERROR(FILTER('Fund Investment Data'!$P:$P,'Fund Investment Data'!$C:$C = $C1830,'Fund Investment Data'!$A:$A = ($A1830 - 2), 'Fund Investment Data'!$B:$B = 12),0) - SUM(FILTER('Fund Investment Data'!$V:$V, 'Fund Investment Data'!$C:$C = $C1830,"&amp;" 'Fund Investment Data'!$A:$A = ($A1830 - 2), 'Fund Investment Data'!$B:$B &gt; 3)))  * Parameters!$B$4 * (1 - Parameters!$A$4),0)"),640.5770250000005)</f>
        <v>640.577025</v>
      </c>
      <c r="Z1830" s="91">
        <f t="shared" si="24"/>
        <v>2390.487025</v>
      </c>
      <c r="AA1830" s="91">
        <f>IFERROR(__xludf.DUMMYFUNCTION("((IFERROR((SUM(FILTER('Fund Investment Data'!$V:$V, 'Fund Investment Data'!$C:$C = $C1830, 'Fund Investment Data'!$A:$A = $A1830 - 1, 'Fund Investment Data'!$B:$B &gt;= 4, 'Fund Investment Data'!$B:$B &lt;= ($B1830 + 5))) / 12) * ($B1830 - 3) * Parameters!$B$4,"&amp;" 0) + IF($B1830 &gt;= 9, IFERROR(SUM(FILTER('Fund Investment Data'!$V:$V, 'Fund Investment Data'!$C:$C = $C1830, 'Fund Investment Data'!$A:$A = $A1830, 'Fund Investment Data'!$B:$B &lt;= 3)) * Parameters!$B$4, 0),0)))"),0.0)</f>
        <v>0</v>
      </c>
      <c r="AB1830" s="32">
        <f>IFERROR(__xludf.DUMMYFUNCTION("IFERROR(((IFERROR(SUM(FILTER('Fund Investment Data'!$V:$V, 'Fund Investment Data'!$C:$C = $C1830, 'Fund Investment Data'!$A:$A = $A1830 - 2, 'Fund Investment Data'!$B:$B &gt;= 4)) * Parameters!$B$4,0) + IFERROR(SUM(FILTER('Fund Investment Data'!$V:$V, 'Fund "&amp;"Investment Data'!$C:$C = $C1830, 'Fund Investment Data'!$A:$A = $A1830 - 1, 'Fund Investment Data'!$B:$B &lt;= 3)) * Parameters!$B$4,0))),0)"),0.0)</f>
        <v>0</v>
      </c>
      <c r="AC1830" s="32" t="str">
        <f>IFERROR(__xludf.DUMMYFUNCTION("IFERROR(FILTER($AF:$AF,$C:$C = $C1830,$A:$A = $A1830 - 1,$B:$B = 12),0)"),"")</f>
        <v/>
      </c>
      <c r="AD1830" s="32">
        <f t="shared" si="23"/>
        <v>2390.487025</v>
      </c>
      <c r="AE1830" s="32">
        <f t="shared" si="2"/>
        <v>2390.487025</v>
      </c>
      <c r="AF1830" s="32"/>
    </row>
    <row r="1831">
      <c r="A1831" s="86">
        <v>2020.0</v>
      </c>
      <c r="B1831" s="87">
        <v>6.0</v>
      </c>
      <c r="C1831" s="105" t="s">
        <v>40</v>
      </c>
      <c r="D1831" s="104">
        <v>0.0</v>
      </c>
      <c r="E1831" s="104">
        <v>0.0</v>
      </c>
      <c r="F1831" s="104">
        <v>0.0</v>
      </c>
      <c r="G1831" s="104">
        <v>-329.44</v>
      </c>
      <c r="H1831" s="104">
        <v>1987.98</v>
      </c>
      <c r="I1831" s="104">
        <v>8218.72</v>
      </c>
      <c r="J1831" s="104">
        <v>-19013.47</v>
      </c>
      <c r="K1831" s="32"/>
      <c r="L1831" s="32"/>
      <c r="M1831" s="32"/>
      <c r="N1831" s="32"/>
      <c r="O1831" s="106">
        <v>143909.98</v>
      </c>
      <c r="P1831" s="91">
        <f>IFERROR(__xludf.DUMMYFUNCTION("IFERROR(sum(FILTER($D:$N,$C:$C = $C1831,$A:$A &lt; $A1831,$B:$B = 12)),0) + sum($D1831:$N1831)"),143909.93999999992)</f>
        <v>143909.94</v>
      </c>
      <c r="Q1831" s="92">
        <f t="shared" si="1"/>
        <v>0.0400000001</v>
      </c>
      <c r="R1831" s="91">
        <f t="array" ref="R1831">IFERROR(INDEX('Fund YTD Target Values'!$1:$1000, MATCH($C1831,'Fund YTD Target Values'!$A:$A,0), MATCH($A1831,'Fund YTD Target Values'!$1:$1,0)),0)</f>
        <v>168247.0993</v>
      </c>
      <c r="S1831" s="91">
        <f>IFERROR(__xludf.DUMMYFUNCTION("IFERROR(sum(FILTER('Fund Investment Data'!$V:$V, 'Fund Investment Data'!$C:$C = $C1831, 'Fund Investment Data'!$A:$A &lt; $A1831)),0) + IFERROR(sum(FILTER('Fund Investment Data'!$V:$V, 'Fund Investment Data'!$C:$C = $C1831, 'Fund Investment Data'!$A:$A = $A1"&amp;"831, 'Fund Investment Data'!$B:$B &lt;= $B1831)),0)"),129703.74)</f>
        <v>129703.74</v>
      </c>
      <c r="T1831" s="32"/>
      <c r="U1831" s="32"/>
      <c r="V1831" s="32">
        <f>IFERROR(__xludf.DUMMYFUNCTION("$D1831 - IFERROR(FILTER($D:$D,$C:$C = $C1831, $A:$A = $A1831, $B:$B = $B1831 - 1),0)"),0.0)</f>
        <v>0</v>
      </c>
      <c r="W1831" s="93">
        <f>IFERROR(__xludf.DUMMYFUNCTION("$E1831 - IFERROR(FILTER($E:$E,$C:$C = $C1831, $A:$A = $A1831, $B:$B = $B1831 - 1),0)"),0.0)</f>
        <v>0</v>
      </c>
      <c r="X1831" s="91">
        <f>IFERROR(__xludf.DUMMYFUNCTION("iFERROR((FILTER('Fund Investment Data'!$Z:$Z, 'Fund Investment Data'!$C:$C = $C1831, 'Fund Investment Data'!$A:$A = $A1831 - 1, 'Fund Investment Data'!$B:$B = 12) + FILTER('Fund Investment Data'!$AB:$AB, 'Fund Investment Data'!$C:$C = $C1831, 'Fund Invest"&amp;"ment Data'!$A:$A = $A1831 - 1, 'Fund Investment Data'!$B:$B = 12)) * (1 + AVERAGE(FILTER('Inflation Data'!$C:$C,'Inflation Data'!$A:$A = ($A1831 - 2)))) * Parameters!$A$4,0)"),5070.262994014637)</f>
        <v>5070.262994</v>
      </c>
      <c r="Y1831" s="91">
        <f>IFERROR(__xludf.DUMMYFUNCTION("IFERROR((IFERROR(FILTER('Fund Investment Data'!$P:$P,'Fund Investment Data'!$C:$C = $C1831,'Fund Investment Data'!$A:$A = ($A1831 - 2), 'Fund Investment Data'!$B:$B = 12),0) - SUM(FILTER('Fund Investment Data'!$V:$V, 'Fund Investment Data'!$C:$C = $C1831,"&amp;" 'Fund Investment Data'!$A:$A = ($A1831 - 2), 'Fund Investment Data'!$B:$B &gt; 3)))  * Parameters!$B$4 * (1 - Parameters!$A$4),0)"),1842.0089849999993)</f>
        <v>1842.008985</v>
      </c>
      <c r="Z1831" s="91">
        <f t="shared" si="24"/>
        <v>6912.271979</v>
      </c>
      <c r="AA1831" s="91">
        <f>IFERROR(__xludf.DUMMYFUNCTION("((IFERROR((SUM(FILTER('Fund Investment Data'!$V:$V, 'Fund Investment Data'!$C:$C = $C1831, 'Fund Investment Data'!$A:$A = $A1831 - 1, 'Fund Investment Data'!$B:$B &gt;= 4, 'Fund Investment Data'!$B:$B &lt;= ($B1831 + 5))) / 12) * ($B1831 - 3) * Parameters!$B$4,"&amp;" 0) + IF($B1831 &gt;= 9, IFERROR(SUM(FILTER('Fund Investment Data'!$V:$V, 'Fund Investment Data'!$C:$C = $C1831, 'Fund Investment Data'!$A:$A = $A1831, 'Fund Investment Data'!$B:$B &lt;= 3)) * Parameters!$B$4, 0),0)))"),0.0)</f>
        <v>0</v>
      </c>
      <c r="AB1831" s="32">
        <f>IFERROR(__xludf.DUMMYFUNCTION("IFERROR(((IFERROR(SUM(FILTER('Fund Investment Data'!$V:$V, 'Fund Investment Data'!$C:$C = $C1831, 'Fund Investment Data'!$A:$A = $A1831 - 2, 'Fund Investment Data'!$B:$B &gt;= 4)) * Parameters!$B$4,0) + IFERROR(SUM(FILTER('Fund Investment Data'!$V:$V, 'Fund "&amp;"Investment Data'!$C:$C = $C1831, 'Fund Investment Data'!$A:$A = $A1831 - 1, 'Fund Investment Data'!$B:$B &lt;= 3)) * Parameters!$B$4,0))),0)"),0.0)</f>
        <v>0</v>
      </c>
      <c r="AC1831" s="32" t="str">
        <f>IFERROR(__xludf.DUMMYFUNCTION("IFERROR(FILTER($AF:$AF,$C:$C = $C1831,$A:$A = $A1831 - 1,$B:$B = 12),0)"),"")</f>
        <v/>
      </c>
      <c r="AD1831" s="32">
        <f t="shared" si="23"/>
        <v>6912.271979</v>
      </c>
      <c r="AE1831" s="32">
        <f t="shared" si="2"/>
        <v>6912.271979</v>
      </c>
      <c r="AF1831" s="32"/>
    </row>
    <row r="1832">
      <c r="A1832" s="86">
        <v>2020.0</v>
      </c>
      <c r="B1832" s="87">
        <v>6.0</v>
      </c>
      <c r="C1832" s="105" t="s">
        <v>51</v>
      </c>
      <c r="D1832" s="104">
        <v>5000.0</v>
      </c>
      <c r="E1832" s="104">
        <v>0.0</v>
      </c>
      <c r="F1832" s="104">
        <v>0.0</v>
      </c>
      <c r="G1832" s="104">
        <v>-1047.73</v>
      </c>
      <c r="H1832" s="104">
        <v>6325.43</v>
      </c>
      <c r="I1832" s="104">
        <v>25936.25</v>
      </c>
      <c r="J1832" s="104">
        <v>-60489.73</v>
      </c>
      <c r="K1832" s="32"/>
      <c r="L1832" s="32"/>
      <c r="M1832" s="32"/>
      <c r="N1832" s="32"/>
      <c r="O1832" s="106">
        <v>457583.76</v>
      </c>
      <c r="P1832" s="91">
        <f>IFERROR(__xludf.DUMMYFUNCTION("IFERROR(sum(FILTER($D:$N,$C:$C = $C1832,$A:$A &lt; $A1832,$B:$B = 12)),0) + sum($D1832:$N1832)"),457583.74000000005)</f>
        <v>457583.74</v>
      </c>
      <c r="Q1832" s="92">
        <f t="shared" si="1"/>
        <v>0.01999999996</v>
      </c>
      <c r="R1832" s="91">
        <f t="array" ref="R1832">IFERROR(INDEX('Fund YTD Target Values'!$1:$1000, MATCH($C1832,'Fund YTD Target Values'!$A:$A,0), MATCH($A1832,'Fund YTD Target Values'!$1:$1,0)),0)</f>
        <v>471452.8972</v>
      </c>
      <c r="S1832" s="91">
        <f>IFERROR(__xludf.DUMMYFUNCTION("IFERROR(sum(FILTER('Fund Investment Data'!$V:$V, 'Fund Investment Data'!$C:$C = $C1832, 'Fund Investment Data'!$A:$A &lt; $A1832)),0) + IFERROR(sum(FILTER('Fund Investment Data'!$V:$V, 'Fund Investment Data'!$C:$C = $C1832, 'Fund Investment Data'!$A:$A = $A1"&amp;"832, 'Fund Investment Data'!$B:$B &lt;= $B1832)),0)"),425073.55)</f>
        <v>425073.55</v>
      </c>
      <c r="T1832" s="32"/>
      <c r="U1832" s="32"/>
      <c r="V1832" s="32">
        <f>IFERROR(__xludf.DUMMYFUNCTION("$D1832 - IFERROR(FILTER($D:$D,$C:$C = $C1832, $A:$A = $A1832, $B:$B = $B1832 - 1),0)"),0.0)</f>
        <v>0</v>
      </c>
      <c r="W1832" s="93">
        <f>IFERROR(__xludf.DUMMYFUNCTION("$E1832 - IFERROR(FILTER($E:$E,$C:$C = $C1832, $A:$A = $A1832, $B:$B = $B1832 - 1),0)"),0.0)</f>
        <v>0</v>
      </c>
      <c r="X1832" s="91">
        <f>IFERROR(__xludf.DUMMYFUNCTION("iFERROR((FILTER('Fund Investment Data'!$Z:$Z, 'Fund Investment Data'!$C:$C = $C1832, 'Fund Investment Data'!$A:$A = $A1832 - 1, 'Fund Investment Data'!$B:$B = 12) + FILTER('Fund Investment Data'!$AB:$AB, 'Fund Investment Data'!$C:$C = $C1832, 'Fund Invest"&amp;"ment Data'!$A:$A = $A1832 - 1, 'Fund Investment Data'!$B:$B = 12)) * (1 + AVERAGE(FILTER('Inflation Data'!$C:$C,'Inflation Data'!$A:$A = ($A1832 - 2)))) * Parameters!$A$4,0)"),14858.837738325023)</f>
        <v>14858.83774</v>
      </c>
      <c r="Y1832" s="91">
        <f>IFERROR(__xludf.DUMMYFUNCTION("IFERROR((IFERROR(FILTER('Fund Investment Data'!$P:$P,'Fund Investment Data'!$C:$C = $C1832,'Fund Investment Data'!$A:$A = ($A1832 - 2), 'Fund Investment Data'!$B:$B = 12),0) - SUM(FILTER('Fund Investment Data'!$V:$V, 'Fund Investment Data'!$C:$C = $C1832,"&amp;" 'Fund Investment Data'!$A:$A = ($A1832 - 2), 'Fund Investment Data'!$B:$B &gt; 3)))  * Parameters!$B$4 * (1 - Parameters!$A$4),0)"),5934.330135000001)</f>
        <v>5934.330135</v>
      </c>
      <c r="Z1832" s="91">
        <f t="shared" si="24"/>
        <v>20793.16787</v>
      </c>
      <c r="AA1832" s="91">
        <f>IFERROR(__xludf.DUMMYFUNCTION("((IFERROR((SUM(FILTER('Fund Investment Data'!$V:$V, 'Fund Investment Data'!$C:$C = $C1832, 'Fund Investment Data'!$A:$A = $A1832 - 1, 'Fund Investment Data'!$B:$B &gt;= 4, 'Fund Investment Data'!$B:$B &lt;= ($B1832 + 5))) / 12) * ($B1832 - 3) * Parameters!$B$4,"&amp;" 0) + IF($B1832 &gt;= 9, IFERROR(SUM(FILTER('Fund Investment Data'!$V:$V, 'Fund Investment Data'!$C:$C = $C1832, 'Fund Investment Data'!$A:$A = $A1832, 'Fund Investment Data'!$B:$B &lt;= 3)) * Parameters!$B$4, 0),0)))"),11.25)</f>
        <v>11.25</v>
      </c>
      <c r="AB1832" s="32">
        <f>IFERROR(__xludf.DUMMYFUNCTION("IFERROR(((IFERROR(SUM(FILTER('Fund Investment Data'!$V:$V, 'Fund Investment Data'!$C:$C = $C1832, 'Fund Investment Data'!$A:$A = $A1832 - 2, 'Fund Investment Data'!$B:$B &gt;= 4)) * Parameters!$B$4,0) + IFERROR(SUM(FILTER('Fund Investment Data'!$V:$V, 'Fund "&amp;"Investment Data'!$C:$C = $C1832, 'Fund Investment Data'!$A:$A = $A1832 - 1, 'Fund Investment Data'!$B:$B &lt;= 3)) * Parameters!$B$4,0))),0)"),114.75)</f>
        <v>114.75</v>
      </c>
      <c r="AC1832" s="32" t="str">
        <f>IFERROR(__xludf.DUMMYFUNCTION("IFERROR(FILTER($AF:$AF,$C:$C = $C1832,$A:$A = $A1832 - 1,$B:$B = 12),0)"),"")</f>
        <v/>
      </c>
      <c r="AD1832" s="32">
        <f t="shared" si="23"/>
        <v>20919.16787</v>
      </c>
      <c r="AE1832" s="32">
        <f t="shared" si="2"/>
        <v>20919.16787</v>
      </c>
      <c r="AF1832" s="32"/>
    </row>
    <row r="1833">
      <c r="A1833" s="86">
        <v>2020.0</v>
      </c>
      <c r="B1833" s="87">
        <v>6.0</v>
      </c>
      <c r="C1833" s="105" t="s">
        <v>48</v>
      </c>
      <c r="D1833" s="104">
        <v>0.0</v>
      </c>
      <c r="E1833" s="104">
        <v>0.0</v>
      </c>
      <c r="F1833" s="104">
        <v>0.0</v>
      </c>
      <c r="G1833" s="104">
        <v>-2639.05</v>
      </c>
      <c r="H1833" s="104">
        <v>15924.34</v>
      </c>
      <c r="I1833" s="104">
        <v>65834.66</v>
      </c>
      <c r="J1833" s="104">
        <v>-152303.95</v>
      </c>
      <c r="K1833" s="32"/>
      <c r="L1833" s="32"/>
      <c r="M1833" s="32"/>
      <c r="N1833" s="32"/>
      <c r="O1833" s="106">
        <v>1152765.9</v>
      </c>
      <c r="P1833" s="91">
        <f>IFERROR(__xludf.DUMMYFUNCTION("IFERROR(sum(FILTER($D:$N,$C:$C = $C1833,$A:$A &lt; $A1833,$B:$B = 12)),0) + sum($D1833:$N1833)"),1152764.5799999998)</f>
        <v>1152764.58</v>
      </c>
      <c r="Q1833" s="92">
        <f t="shared" si="1"/>
        <v>1.32</v>
      </c>
      <c r="R1833" s="91">
        <f t="array" ref="R1833">IFERROR(INDEX('Fund YTD Target Values'!$1:$1000, MATCH($C1833,'Fund YTD Target Values'!$A:$A,0), MATCH($A1833,'Fund YTD Target Values'!$1:$1,0)),0)</f>
        <v>1977173.82</v>
      </c>
      <c r="S1833" s="91">
        <f>IFERROR(__xludf.DUMMYFUNCTION("IFERROR(sum(FILTER('Fund Investment Data'!$V:$V, 'Fund Investment Data'!$C:$C = $C1833, 'Fund Investment Data'!$A:$A &lt; $A1833)),0) + IFERROR(sum(FILTER('Fund Investment Data'!$V:$V, 'Fund Investment Data'!$C:$C = $C1833, 'Fund Investment Data'!$A:$A = $A1"&amp;"833, 'Fund Investment Data'!$B:$B &lt;= $B1833)),0)"),1183929.39)</f>
        <v>1183929.39</v>
      </c>
      <c r="T1833" s="32"/>
      <c r="U1833" s="32"/>
      <c r="V1833" s="32">
        <f>IFERROR(__xludf.DUMMYFUNCTION("$D1833 - IFERROR(FILTER($D:$D,$C:$C = $C1833, $A:$A = $A1833, $B:$B = $B1833 - 1),0)"),0.0)</f>
        <v>0</v>
      </c>
      <c r="W1833" s="93">
        <f>IFERROR(__xludf.DUMMYFUNCTION("$E1833 - IFERROR(FILTER($E:$E,$C:$C = $C1833, $A:$A = $A1833, $B:$B = $B1833 - 1),0)"),0.0)</f>
        <v>0</v>
      </c>
      <c r="X1833" s="91">
        <f>IFERROR(__xludf.DUMMYFUNCTION("iFERROR((FILTER('Fund Investment Data'!$Z:$Z, 'Fund Investment Data'!$C:$C = $C1833, 'Fund Investment Data'!$A:$A = $A1833 - 1, 'Fund Investment Data'!$B:$B = 12) + FILTER('Fund Investment Data'!$AB:$AB, 'Fund Investment Data'!$C:$C = $C1833, 'Fund Invest"&amp;"ment Data'!$A:$A = $A1833 - 1, 'Fund Investment Data'!$B:$B = 12)) * (1 + AVERAGE(FILTER('Inflation Data'!$C:$C,'Inflation Data'!$A:$A = ($A1833 - 2)))) * Parameters!$A$4,0)"),40894.198235956435)</f>
        <v>40894.19824</v>
      </c>
      <c r="Y1833" s="91">
        <f>IFERROR(__xludf.DUMMYFUNCTION("IFERROR((IFERROR(FILTER('Fund Investment Data'!$P:$P,'Fund Investment Data'!$C:$C = $C1833,'Fund Investment Data'!$A:$A = ($A1833 - 2), 'Fund Investment Data'!$B:$B = 12),0) - SUM(FILTER('Fund Investment Data'!$V:$V, 'Fund Investment Data'!$C:$C = $C1833,"&amp;" 'Fund Investment Data'!$A:$A = ($A1833 - 2), 'Fund Investment Data'!$B:$B &gt; 3)))  * Parameters!$B$4 * (1 - Parameters!$A$4),0)"),14758.380764999996)</f>
        <v>14758.38077</v>
      </c>
      <c r="Z1833" s="91">
        <f t="shared" si="24"/>
        <v>55652.579</v>
      </c>
      <c r="AA1833" s="91">
        <f>IFERROR(__xludf.DUMMYFUNCTION("((IFERROR((SUM(FILTER('Fund Investment Data'!$V:$V, 'Fund Investment Data'!$C:$C = $C1833, 'Fund Investment Data'!$A:$A = $A1833 - 1, 'Fund Investment Data'!$B:$B &gt;= 4, 'Fund Investment Data'!$B:$B &lt;= ($B1833 + 5))) / 12) * ($B1833 - 3) * Parameters!$B$4,"&amp;" 0) + IF($B1833 &gt;= 9, IFERROR(SUM(FILTER('Fund Investment Data'!$V:$V, 'Fund Investment Data'!$C:$C = $C1833, 'Fund Investment Data'!$A:$A = $A1833, 'Fund Investment Data'!$B:$B &lt;= 3)) * Parameters!$B$4, 0),0)))"),0.0)</f>
        <v>0</v>
      </c>
      <c r="AB1833" s="32">
        <f>IFERROR(__xludf.DUMMYFUNCTION("IFERROR(((IFERROR(SUM(FILTER('Fund Investment Data'!$V:$V, 'Fund Investment Data'!$C:$C = $C1833, 'Fund Investment Data'!$A:$A = $A1833 - 2, 'Fund Investment Data'!$B:$B &gt;= 4)) * Parameters!$B$4,0) + IFERROR(SUM(FILTER('Fund Investment Data'!$V:$V, 'Fund "&amp;"Investment Data'!$C:$C = $C1833, 'Fund Investment Data'!$A:$A = $A1833 - 1, 'Fund Investment Data'!$B:$B &lt;= 3)) * Parameters!$B$4,0))),0)"),0.0)</f>
        <v>0</v>
      </c>
      <c r="AC1833" s="32" t="str">
        <f>IFERROR(__xludf.DUMMYFUNCTION("IFERROR(FILTER($AF:$AF,$C:$C = $C1833,$A:$A = $A1833 - 1,$B:$B = 12),0)"),"")</f>
        <v/>
      </c>
      <c r="AD1833" s="32">
        <f t="shared" si="23"/>
        <v>55652.579</v>
      </c>
      <c r="AE1833" s="32">
        <f t="shared" si="2"/>
        <v>55652.579</v>
      </c>
      <c r="AF1833" s="32"/>
    </row>
    <row r="1834">
      <c r="A1834" s="86">
        <v>2020.0</v>
      </c>
      <c r="B1834" s="87">
        <v>6.0</v>
      </c>
      <c r="C1834" s="105" t="s">
        <v>49</v>
      </c>
      <c r="D1834" s="104">
        <v>0.0</v>
      </c>
      <c r="E1834" s="104">
        <v>0.0</v>
      </c>
      <c r="F1834" s="104">
        <v>0.0</v>
      </c>
      <c r="G1834" s="104">
        <v>-1144.15</v>
      </c>
      <c r="H1834" s="104">
        <v>6903.89</v>
      </c>
      <c r="I1834" s="104">
        <v>28542.16</v>
      </c>
      <c r="J1834" s="104">
        <v>-66030.37</v>
      </c>
      <c r="K1834" s="32"/>
      <c r="L1834" s="32"/>
      <c r="M1834" s="32"/>
      <c r="N1834" s="32"/>
      <c r="O1834" s="106">
        <v>499773.91</v>
      </c>
      <c r="P1834" s="91">
        <f>IFERROR(__xludf.DUMMYFUNCTION("IFERROR(sum(FILTER($D:$N,$C:$C = $C1834,$A:$A &lt; $A1834,$B:$B = 12)),0) + sum($D1834:$N1834)"),499774.20999999996)</f>
        <v>499774.21</v>
      </c>
      <c r="Q1834" s="92">
        <f t="shared" si="1"/>
        <v>-0.3</v>
      </c>
      <c r="R1834" s="91">
        <f t="array" ref="R1834">IFERROR(INDEX('Fund YTD Target Values'!$1:$1000, MATCH($C1834,'Fund YTD Target Values'!$A:$A,0), MATCH($A1834,'Fund YTD Target Values'!$1:$1,0)),0)</f>
        <v>731305.9568</v>
      </c>
      <c r="S1834" s="91">
        <f>IFERROR(__xludf.DUMMYFUNCTION("IFERROR(sum(FILTER('Fund Investment Data'!$V:$V, 'Fund Investment Data'!$C:$C = $C1834, 'Fund Investment Data'!$A:$A &lt; $A1834)),0) + IFERROR(sum(FILTER('Fund Investment Data'!$V:$V, 'Fund Investment Data'!$C:$C = $C1834, 'Fund Investment Data'!$A:$A = $A1"&amp;"834, 'Fund Investment Data'!$B:$B &lt;= $B1834)),0)"),500000.0)</f>
        <v>500000</v>
      </c>
      <c r="T1834" s="32"/>
      <c r="U1834" s="32"/>
      <c r="V1834" s="32">
        <f>IFERROR(__xludf.DUMMYFUNCTION("$D1834 - IFERROR(FILTER($D:$D,$C:$C = $C1834, $A:$A = $A1834, $B:$B = $B1834 - 1),0)"),0.0)</f>
        <v>0</v>
      </c>
      <c r="W1834" s="93">
        <f>IFERROR(__xludf.DUMMYFUNCTION("$E1834 - IFERROR(FILTER($E:$E,$C:$C = $C1834, $A:$A = $A1834, $B:$B = $B1834 - 1),0)"),0.0)</f>
        <v>0</v>
      </c>
      <c r="X1834" s="91">
        <f>IFERROR(__xludf.DUMMYFUNCTION("iFERROR((FILTER('Fund Investment Data'!$Z:$Z, 'Fund Investment Data'!$C:$C = $C1834, 'Fund Investment Data'!$A:$A = $A1834 - 1, 'Fund Investment Data'!$B:$B = 12) + FILTER('Fund Investment Data'!$AB:$AB, 'Fund Investment Data'!$C:$C = $C1834, 'Fund Invest"&amp;"ment Data'!$A:$A = $A1834 - 1, 'Fund Investment Data'!$B:$B = 12)) * (1 + AVERAGE(FILTER('Inflation Data'!$C:$C,'Inflation Data'!$A:$A = ($A1834 - 2)))) * Parameters!$A$4,0)"),17938.124492992578)</f>
        <v>17938.12449</v>
      </c>
      <c r="Y1834" s="91">
        <f>IFERROR(__xludf.DUMMYFUNCTION("IFERROR((IFERROR(FILTER('Fund Investment Data'!$P:$P,'Fund Investment Data'!$C:$C = $C1834,'Fund Investment Data'!$A:$A = ($A1834 - 2), 'Fund Investment Data'!$B:$B = 12),0) - SUM(FILTER('Fund Investment Data'!$V:$V, 'Fund Investment Data'!$C:$C = $C1834,"&amp;" 'Fund Investment Data'!$A:$A = ($A1834 - 2), 'Fund Investment Data'!$B:$B &gt; 3)))  * Parameters!$B$4 * (1 - Parameters!$A$4),0)"),6402.16332)</f>
        <v>6402.16332</v>
      </c>
      <c r="Z1834" s="91">
        <f t="shared" si="24"/>
        <v>24340.28781</v>
      </c>
      <c r="AA1834" s="91">
        <f>IFERROR(__xludf.DUMMYFUNCTION("((IFERROR((SUM(FILTER('Fund Investment Data'!$V:$V, 'Fund Investment Data'!$C:$C = $C1834, 'Fund Investment Data'!$A:$A = $A1834 - 1, 'Fund Investment Data'!$B:$B &gt;= 4, 'Fund Investment Data'!$B:$B &lt;= ($B1834 + 5))) / 12) * ($B1834 - 3) * Parameters!$B$4,"&amp;" 0) + IF($B1834 &gt;= 9, IFERROR(SUM(FILTER('Fund Investment Data'!$V:$V, 'Fund Investment Data'!$C:$C = $C1834, 'Fund Investment Data'!$A:$A = $A1834, 'Fund Investment Data'!$B:$B &lt;= 3)) * Parameters!$B$4, 0),0)))"),0.0)</f>
        <v>0</v>
      </c>
      <c r="AB1834" s="32">
        <f>IFERROR(__xludf.DUMMYFUNCTION("IFERROR(((IFERROR(SUM(FILTER('Fund Investment Data'!$V:$V, 'Fund Investment Data'!$C:$C = $C1834, 'Fund Investment Data'!$A:$A = $A1834 - 2, 'Fund Investment Data'!$B:$B &gt;= 4)) * Parameters!$B$4,0) + IFERROR(SUM(FILTER('Fund Investment Data'!$V:$V, 'Fund "&amp;"Investment Data'!$C:$C = $C1834, 'Fund Investment Data'!$A:$A = $A1834 - 1, 'Fund Investment Data'!$B:$B &lt;= 3)) * Parameters!$B$4,0))),0)"),0.0)</f>
        <v>0</v>
      </c>
      <c r="AC1834" s="32" t="str">
        <f>IFERROR(__xludf.DUMMYFUNCTION("IFERROR(FILTER($AF:$AF,$C:$C = $C1834,$A:$A = $A1834 - 1,$B:$B = 12),0)"),"")</f>
        <v/>
      </c>
      <c r="AD1834" s="32">
        <f t="shared" si="23"/>
        <v>24340.28781</v>
      </c>
      <c r="AE1834" s="32">
        <f t="shared" si="2"/>
        <v>24340.28781</v>
      </c>
      <c r="AF1834" s="32"/>
    </row>
    <row r="1835">
      <c r="A1835" s="86">
        <v>2020.0</v>
      </c>
      <c r="B1835" s="87">
        <v>6.0</v>
      </c>
      <c r="C1835" s="105" t="s">
        <v>41</v>
      </c>
      <c r="D1835" s="104">
        <v>0.0</v>
      </c>
      <c r="E1835" s="104">
        <v>0.0</v>
      </c>
      <c r="F1835" s="104">
        <v>0.0</v>
      </c>
      <c r="G1835" s="104">
        <v>-1414.99</v>
      </c>
      <c r="H1835" s="104">
        <v>8538.24</v>
      </c>
      <c r="I1835" s="104">
        <v>35298.84</v>
      </c>
      <c r="J1835" s="104">
        <v>-81661.44</v>
      </c>
      <c r="K1835" s="32"/>
      <c r="L1835" s="32"/>
      <c r="M1835" s="32"/>
      <c r="N1835" s="32"/>
      <c r="O1835" s="106">
        <v>618083.51</v>
      </c>
      <c r="P1835" s="91">
        <f>IFERROR(__xludf.DUMMYFUNCTION("IFERROR(sum(FILTER($D:$N,$C:$C = $C1835,$A:$A &lt; $A1835,$B:$B = 12)),0) + sum($D1835:$N1835)"),618084.36)</f>
        <v>618084.36</v>
      </c>
      <c r="Q1835" s="92">
        <f t="shared" si="1"/>
        <v>-0.85</v>
      </c>
      <c r="R1835" s="91">
        <f t="array" ref="R1835">IFERROR(INDEX('Fund YTD Target Values'!$1:$1000, MATCH($C1835,'Fund YTD Target Values'!$A:$A,0), MATCH($A1835,'Fund YTD Target Values'!$1:$1,0)),0)</f>
        <v>613052.4595</v>
      </c>
      <c r="S1835" s="91">
        <f>IFERROR(__xludf.DUMMYFUNCTION("IFERROR(sum(FILTER('Fund Investment Data'!$V:$V, 'Fund Investment Data'!$C:$C = $C1835, 'Fund Investment Data'!$A:$A &lt; $A1835)),0) + IFERROR(sum(FILTER('Fund Investment Data'!$V:$V, 'Fund Investment Data'!$C:$C = $C1835, 'Fund Investment Data'!$A:$A = $A1"&amp;"835, 'Fund Investment Data'!$B:$B &lt;= $B1835)),0)"),433755.86)</f>
        <v>433755.86</v>
      </c>
      <c r="T1835" s="32"/>
      <c r="U1835" s="32"/>
      <c r="V1835" s="32">
        <f>IFERROR(__xludf.DUMMYFUNCTION("$D1835 - IFERROR(FILTER($D:$D,$C:$C = $C1835, $A:$A = $A1835, $B:$B = $B1835 - 1),0)"),0.0)</f>
        <v>0</v>
      </c>
      <c r="W1835" s="93">
        <f>IFERROR(__xludf.DUMMYFUNCTION("$E1835 - IFERROR(FILTER($E:$E,$C:$C = $C1835, $A:$A = $A1835, $B:$B = $B1835 - 1),0)"),0.0)</f>
        <v>0</v>
      </c>
      <c r="X1835" s="91">
        <f>IFERROR(__xludf.DUMMYFUNCTION("iFERROR((FILTER('Fund Investment Data'!$Z:$Z, 'Fund Investment Data'!$C:$C = $C1835, 'Fund Investment Data'!$A:$A = $A1835 - 1, 'Fund Investment Data'!$B:$B = 12) + FILTER('Fund Investment Data'!$AB:$AB, 'Fund Investment Data'!$C:$C = $C1835, 'Fund Invest"&amp;"ment Data'!$A:$A = $A1835 - 1, 'Fund Investment Data'!$B:$B = 12)) * (1 + AVERAGE(FILTER('Inflation Data'!$C:$C,'Inflation Data'!$A:$A = ($A1835 - 2)))) * Parameters!$A$4,0)"),19563.798947196206)</f>
        <v>19563.79895</v>
      </c>
      <c r="Y1835" s="91">
        <f>IFERROR(__xludf.DUMMYFUNCTION("IFERROR((IFERROR(FILTER('Fund Investment Data'!$P:$P,'Fund Investment Data'!$C:$C = $C1835,'Fund Investment Data'!$A:$A = ($A1835 - 2), 'Fund Investment Data'!$B:$B = 12),0) - SUM(FILTER('Fund Investment Data'!$V:$V, 'Fund Investment Data'!$C:$C = $C1835,"&amp;" 'Fund Investment Data'!$A:$A = ($A1835 - 2), 'Fund Investment Data'!$B:$B &gt; 3)))  * Parameters!$B$4 * (1 - Parameters!$A$4),0)"),7872.907320000002)</f>
        <v>7872.90732</v>
      </c>
      <c r="Z1835" s="91">
        <f t="shared" si="24"/>
        <v>27436.70627</v>
      </c>
      <c r="AA1835" s="91">
        <f>IFERROR(__xludf.DUMMYFUNCTION("((IFERROR((SUM(FILTER('Fund Investment Data'!$V:$V, 'Fund Investment Data'!$C:$C = $C1835, 'Fund Investment Data'!$A:$A = $A1835 - 1, 'Fund Investment Data'!$B:$B &gt;= 4, 'Fund Investment Data'!$B:$B &lt;= ($B1835 + 5))) / 12) * ($B1835 - 3) * Parameters!$B$4,"&amp;" 0) + IF($B1835 &gt;= 9, IFERROR(SUM(FILTER('Fund Investment Data'!$V:$V, 'Fund Investment Data'!$C:$C = $C1835, 'Fund Investment Data'!$A:$A = $A1835, 'Fund Investment Data'!$B:$B &lt;= 3)) * Parameters!$B$4, 0),0)))"),0.0)</f>
        <v>0</v>
      </c>
      <c r="AB1835" s="32">
        <f>IFERROR(__xludf.DUMMYFUNCTION("IFERROR(((IFERROR(SUM(FILTER('Fund Investment Data'!$V:$V, 'Fund Investment Data'!$C:$C = $C1835, 'Fund Investment Data'!$A:$A = $A1835 - 2, 'Fund Investment Data'!$B:$B &gt;= 4)) * Parameters!$B$4,0) + IFERROR(SUM(FILTER('Fund Investment Data'!$V:$V, 'Fund "&amp;"Investment Data'!$C:$C = $C1835, 'Fund Investment Data'!$A:$A = $A1835 - 1, 'Fund Investment Data'!$B:$B &lt;= 3)) * Parameters!$B$4,0))),0)"),0.0)</f>
        <v>0</v>
      </c>
      <c r="AC1835" s="32" t="str">
        <f>IFERROR(__xludf.DUMMYFUNCTION("IFERROR(FILTER($AF:$AF,$C:$C = $C1835,$A:$A = $A1835 - 1,$B:$B = 12),0)"),"")</f>
        <v/>
      </c>
      <c r="AD1835" s="32">
        <f t="shared" si="23"/>
        <v>27436.70627</v>
      </c>
      <c r="AE1835" s="32">
        <f t="shared" si="2"/>
        <v>27436.70627</v>
      </c>
      <c r="AF1835" s="32"/>
    </row>
    <row r="1836">
      <c r="A1836" s="86">
        <v>2020.0</v>
      </c>
      <c r="B1836" s="87">
        <v>6.0</v>
      </c>
      <c r="C1836" s="105" t="s">
        <v>25</v>
      </c>
      <c r="D1836" s="104">
        <v>0.0</v>
      </c>
      <c r="E1836" s="104">
        <v>0.0</v>
      </c>
      <c r="F1836" s="104">
        <v>0.0</v>
      </c>
      <c r="G1836" s="104">
        <v>-178.99</v>
      </c>
      <c r="H1836" s="104">
        <v>1080.02</v>
      </c>
      <c r="I1836" s="104">
        <v>4465.07</v>
      </c>
      <c r="J1836" s="104">
        <v>-10329.67</v>
      </c>
      <c r="K1836" s="32"/>
      <c r="L1836" s="32"/>
      <c r="M1836" s="32"/>
      <c r="N1836" s="32"/>
      <c r="O1836" s="106">
        <v>78183.51</v>
      </c>
      <c r="P1836" s="91">
        <f>IFERROR(__xludf.DUMMYFUNCTION("IFERROR(sum(FILTER($D:$N,$C:$C = $C1836,$A:$A &lt; $A1836,$B:$B = 12)),0) + sum($D1836:$N1836)"),78183.49999999997)</f>
        <v>78183.5</v>
      </c>
      <c r="Q1836" s="92">
        <f t="shared" si="1"/>
        <v>0.01000000002</v>
      </c>
      <c r="R1836" s="91">
        <f t="array" ref="R1836">IFERROR(INDEX('Fund YTD Target Values'!$1:$1000, MATCH($C1836,'Fund YTD Target Values'!$A:$A,0), MATCH($A1836,'Fund YTD Target Values'!$1:$1,0)),0)</f>
        <v>113832.9235</v>
      </c>
      <c r="S1836" s="91">
        <f>IFERROR(__xludf.DUMMYFUNCTION("IFERROR(sum(FILTER('Fund Investment Data'!$V:$V, 'Fund Investment Data'!$C:$C = $C1836, 'Fund Investment Data'!$A:$A &lt; $A1836)),0) + IFERROR(sum(FILTER('Fund Investment Data'!$V:$V, 'Fund Investment Data'!$C:$C = $C1836, 'Fund Investment Data'!$A:$A = $A1"&amp;"836, 'Fund Investment Data'!$B:$B &lt;= $B1836)),0)"),81000.0)</f>
        <v>81000</v>
      </c>
      <c r="T1836" s="32"/>
      <c r="U1836" s="32"/>
      <c r="V1836" s="32">
        <f>IFERROR(__xludf.DUMMYFUNCTION("$D1836 - IFERROR(FILTER($D:$D,$C:$C = $C1836, $A:$A = $A1836, $B:$B = $B1836 - 1),0)"),0.0)</f>
        <v>0</v>
      </c>
      <c r="W1836" s="93">
        <f>IFERROR(__xludf.DUMMYFUNCTION("$E1836 - IFERROR(FILTER($E:$E,$C:$C = $C1836, $A:$A = $A1836, $B:$B = $B1836 - 1),0)"),0.0)</f>
        <v>0</v>
      </c>
      <c r="X1836" s="91">
        <f>IFERROR(__xludf.DUMMYFUNCTION("iFERROR((FILTER('Fund Investment Data'!$Z:$Z, 'Fund Investment Data'!$C:$C = $C1836, 'Fund Investment Data'!$A:$A = $A1836 - 1, 'Fund Investment Data'!$B:$B = 12) + FILTER('Fund Investment Data'!$AB:$AB, 'Fund Investment Data'!$C:$C = $C1836, 'Fund Invest"&amp;"ment Data'!$A:$A = $A1836 - 1, 'Fund Investment Data'!$B:$B = 12)) * (1 + AVERAGE(FILTER('Inflation Data'!$C:$C,'Inflation Data'!$A:$A = ($A1836 - 2)))) * Parameters!$A$4,0)"),3310.018104714215)</f>
        <v>3310.018105</v>
      </c>
      <c r="Y1836" s="91">
        <f>IFERROR(__xludf.DUMMYFUNCTION("IFERROR((IFERROR(FILTER('Fund Investment Data'!$P:$P,'Fund Investment Data'!$C:$C = $C1836,'Fund Investment Data'!$A:$A = ($A1836 - 2), 'Fund Investment Data'!$B:$B = 12),0) - SUM(FILTER('Fund Investment Data'!$V:$V, 'Fund Investment Data'!$C:$C = $C1836,"&amp;" 'Fund Investment Data'!$A:$A = ($A1836 - 2), 'Fund Investment Data'!$B:$B &gt; 3)))  * Parameters!$B$4 * (1 - Parameters!$A$4),0)"),1010.3125950000002)</f>
        <v>1010.312595</v>
      </c>
      <c r="Z1836" s="91">
        <f t="shared" si="24"/>
        <v>4320.3307</v>
      </c>
      <c r="AA1836" s="91">
        <f>IFERROR(__xludf.DUMMYFUNCTION("((IFERROR((SUM(FILTER('Fund Investment Data'!$V:$V, 'Fund Investment Data'!$C:$C = $C1836, 'Fund Investment Data'!$A:$A = $A1836 - 1, 'Fund Investment Data'!$B:$B &gt;= 4, 'Fund Investment Data'!$B:$B &lt;= ($B1836 + 5))) / 12) * ($B1836 - 3) * Parameters!$B$4,"&amp;" 0) + IF($B1836 &gt;= 9, IFERROR(SUM(FILTER('Fund Investment Data'!$V:$V, 'Fund Investment Data'!$C:$C = $C1836, 'Fund Investment Data'!$A:$A = $A1836, 'Fund Investment Data'!$B:$B &lt;= 3)) * Parameters!$B$4, 0),0)))"),0.0)</f>
        <v>0</v>
      </c>
      <c r="AB1836" s="32">
        <f>IFERROR(__xludf.DUMMYFUNCTION("IFERROR(((IFERROR(SUM(FILTER('Fund Investment Data'!$V:$V, 'Fund Investment Data'!$C:$C = $C1836, 'Fund Investment Data'!$A:$A = $A1836 - 2, 'Fund Investment Data'!$B:$B &gt;= 4)) * Parameters!$B$4,0) + IFERROR(SUM(FILTER('Fund Investment Data'!$V:$V, 'Fund "&amp;"Investment Data'!$C:$C = $C1836, 'Fund Investment Data'!$A:$A = $A1836 - 1, 'Fund Investment Data'!$B:$B &lt;= 3)) * Parameters!$B$4,0))),0)"),0.0)</f>
        <v>0</v>
      </c>
      <c r="AC1836" s="32" t="str">
        <f>IFERROR(__xludf.DUMMYFUNCTION("IFERROR(FILTER($AF:$AF,$C:$C = $C1836,$A:$A = $A1836 - 1,$B:$B = 12),0)"),"")</f>
        <v/>
      </c>
      <c r="AD1836" s="32">
        <f t="shared" si="23"/>
        <v>4320.3307</v>
      </c>
      <c r="AE1836" s="32">
        <f t="shared" si="2"/>
        <v>4320.3307</v>
      </c>
      <c r="AF1836" s="32"/>
    </row>
    <row r="1837">
      <c r="A1837" s="86">
        <v>2020.0</v>
      </c>
      <c r="B1837" s="87">
        <v>6.0</v>
      </c>
      <c r="C1837" s="105" t="s">
        <v>42</v>
      </c>
      <c r="D1837" s="104">
        <v>0.0</v>
      </c>
      <c r="E1837" s="104">
        <v>0.0</v>
      </c>
      <c r="F1837" s="104">
        <v>0.0</v>
      </c>
      <c r="G1837" s="104">
        <v>-659.33</v>
      </c>
      <c r="H1837" s="104">
        <v>3978.43</v>
      </c>
      <c r="I1837" s="104">
        <v>16447.74</v>
      </c>
      <c r="J1837" s="104">
        <v>-38050.68</v>
      </c>
      <c r="K1837" s="32"/>
      <c r="L1837" s="32"/>
      <c r="M1837" s="32"/>
      <c r="N1837" s="32"/>
      <c r="O1837" s="106">
        <v>287999.9</v>
      </c>
      <c r="P1837" s="91">
        <f>IFERROR(__xludf.DUMMYFUNCTION("IFERROR(sum(FILTER($D:$N,$C:$C = $C1837,$A:$A &lt; $A1837,$B:$B = 12)),0) + sum($D1837:$N1837)"),287999.37000000005)</f>
        <v>287999.37</v>
      </c>
      <c r="Q1837" s="92">
        <f t="shared" si="1"/>
        <v>0.53</v>
      </c>
      <c r="R1837" s="91">
        <f t="array" ref="R1837">IFERROR(INDEX('Fund YTD Target Values'!$1:$1000, MATCH($C1837,'Fund YTD Target Values'!$A:$A,0), MATCH($A1837,'Fund YTD Target Values'!$1:$1,0)),0)</f>
        <v>250432.6143</v>
      </c>
      <c r="S1837" s="91">
        <f>IFERROR(__xludf.DUMMYFUNCTION("IFERROR(sum(FILTER('Fund Investment Data'!$V:$V, 'Fund Investment Data'!$C:$C = $C1837, 'Fund Investment Data'!$A:$A &lt; $A1837)),0) + IFERROR(sum(FILTER('Fund Investment Data'!$V:$V, 'Fund Investment Data'!$C:$C = $C1837, 'Fund Investment Data'!$A:$A = $A1"&amp;"837, 'Fund Investment Data'!$B:$B &lt;= $B1837)),0)"),194469.0)</f>
        <v>194469</v>
      </c>
      <c r="T1837" s="32"/>
      <c r="U1837" s="32"/>
      <c r="V1837" s="32">
        <f>IFERROR(__xludf.DUMMYFUNCTION("$D1837 - IFERROR(FILTER($D:$D,$C:$C = $C1837, $A:$A = $A1837, $B:$B = $B1837 - 1),0)"),0.0)</f>
        <v>0</v>
      </c>
      <c r="W1837" s="93">
        <f>IFERROR(__xludf.DUMMYFUNCTION("$E1837 - IFERROR(FILTER($E:$E,$C:$C = $C1837, $A:$A = $A1837, $B:$B = $B1837 - 1),0)"),0.0)</f>
        <v>0</v>
      </c>
      <c r="X1837" s="91">
        <f>IFERROR(__xludf.DUMMYFUNCTION("iFERROR((FILTER('Fund Investment Data'!$Z:$Z, 'Fund Investment Data'!$C:$C = $C1837, 'Fund Investment Data'!$A:$A = $A1837 - 1, 'Fund Investment Data'!$B:$B = 12) + FILTER('Fund Investment Data'!$AB:$AB, 'Fund Investment Data'!$C:$C = $C1837, 'Fund Invest"&amp;"ment Data'!$A:$A = $A1837 - 1, 'Fund Investment Data'!$B:$B = 12)) * (1 + AVERAGE(FILTER('Inflation Data'!$C:$C,'Inflation Data'!$A:$A = ($A1837 - 2)))) * Parameters!$A$4,0)"),8307.89140924438)</f>
        <v>8307.891409</v>
      </c>
      <c r="Y1837" s="91">
        <f>IFERROR(__xludf.DUMMYFUNCTION("IFERROR((IFERROR(FILTER('Fund Investment Data'!$P:$P,'Fund Investment Data'!$C:$C = $C1837,'Fund Investment Data'!$A:$A = ($A1837 - 2), 'Fund Investment Data'!$B:$B = 12),0) - SUM(FILTER('Fund Investment Data'!$V:$V, 'Fund Investment Data'!$C:$C = $C1837,"&amp;" 'Fund Investment Data'!$A:$A = ($A1837 - 2), 'Fund Investment Data'!$B:$B &gt; 3)))  * Parameters!$B$4 * (1 - Parameters!$A$4),0)"),3656.8255950000025)</f>
        <v>3656.825595</v>
      </c>
      <c r="Z1837" s="91">
        <f t="shared" si="24"/>
        <v>11964.717</v>
      </c>
      <c r="AA1837" s="91">
        <f>IFERROR(__xludf.DUMMYFUNCTION("((IFERROR((SUM(FILTER('Fund Investment Data'!$V:$V, 'Fund Investment Data'!$C:$C = $C1837, 'Fund Investment Data'!$A:$A = $A1837 - 1, 'Fund Investment Data'!$B:$B &gt;= 4, 'Fund Investment Data'!$B:$B &lt;= ($B1837 + 5))) / 12) * ($B1837 - 3) * Parameters!$B$4,"&amp;" 0) + IF($B1837 &gt;= 9, IFERROR(SUM(FILTER('Fund Investment Data'!$V:$V, 'Fund Investment Data'!$C:$C = $C1837, 'Fund Investment Data'!$A:$A = $A1837, 'Fund Investment Data'!$B:$B &lt;= 3)) * Parameters!$B$4, 0),0)))"),0.0)</f>
        <v>0</v>
      </c>
      <c r="AB1837" s="32">
        <f>IFERROR(__xludf.DUMMYFUNCTION("IFERROR(((IFERROR(SUM(FILTER('Fund Investment Data'!$V:$V, 'Fund Investment Data'!$C:$C = $C1837, 'Fund Investment Data'!$A:$A = $A1837 - 2, 'Fund Investment Data'!$B:$B &gt;= 4)) * Parameters!$B$4,0) + IFERROR(SUM(FILTER('Fund Investment Data'!$V:$V, 'Fund "&amp;"Investment Data'!$C:$C = $C1837, 'Fund Investment Data'!$A:$A = $A1837 - 1, 'Fund Investment Data'!$B:$B &lt;= 3)) * Parameters!$B$4,0))),0)"),0.0)</f>
        <v>0</v>
      </c>
      <c r="AC1837" s="32" t="str">
        <f>IFERROR(__xludf.DUMMYFUNCTION("IFERROR(FILTER($AF:$AF,$C:$C = $C1837,$A:$A = $A1837 - 1,$B:$B = 12),0)"),"")</f>
        <v/>
      </c>
      <c r="AD1837" s="32">
        <f t="shared" si="23"/>
        <v>11964.717</v>
      </c>
      <c r="AE1837" s="32">
        <f t="shared" si="2"/>
        <v>11964.717</v>
      </c>
      <c r="AF1837" s="32"/>
    </row>
    <row r="1838">
      <c r="A1838" s="86">
        <v>2020.0</v>
      </c>
      <c r="B1838" s="87">
        <v>6.0</v>
      </c>
      <c r="C1838" s="105" t="s">
        <v>43</v>
      </c>
      <c r="D1838" s="104">
        <v>0.0</v>
      </c>
      <c r="E1838" s="104">
        <v>0.0</v>
      </c>
      <c r="F1838" s="104">
        <v>0.0</v>
      </c>
      <c r="G1838" s="104">
        <v>-266.29</v>
      </c>
      <c r="H1838" s="104">
        <v>1606.84</v>
      </c>
      <c r="I1838" s="104">
        <v>6642.93</v>
      </c>
      <c r="J1838" s="104">
        <v>-15368.02</v>
      </c>
      <c r="K1838" s="32"/>
      <c r="L1838" s="32"/>
      <c r="M1838" s="32"/>
      <c r="N1838" s="32"/>
      <c r="O1838" s="106">
        <v>116318.22</v>
      </c>
      <c r="P1838" s="91">
        <f>IFERROR(__xludf.DUMMYFUNCTION("IFERROR(sum(FILTER($D:$N,$C:$C = $C1838,$A:$A &lt; $A1838,$B:$B = 12)),0) + sum($D1838:$N1838)"),116317.48000000004)</f>
        <v>116317.48</v>
      </c>
      <c r="Q1838" s="92">
        <f t="shared" si="1"/>
        <v>0.74</v>
      </c>
      <c r="R1838" s="91">
        <f t="array" ref="R1838">IFERROR(INDEX('Fund YTD Target Values'!$1:$1000, MATCH($C1838,'Fund YTD Target Values'!$A:$A,0), MATCH($A1838,'Fund YTD Target Values'!$1:$1,0)),0)</f>
        <v>136272.9454</v>
      </c>
      <c r="S1838" s="91">
        <f>IFERROR(__xludf.DUMMYFUNCTION("IFERROR(sum(FILTER('Fund Investment Data'!$V:$V, 'Fund Investment Data'!$C:$C = $C1838, 'Fund Investment Data'!$A:$A &lt; $A1838)),0) + IFERROR(sum(FILTER('Fund Investment Data'!$V:$V, 'Fund Investment Data'!$C:$C = $C1838, 'Fund Investment Data'!$A:$A = $A1"&amp;"838, 'Fund Investment Data'!$B:$B &lt;= $B1838)),0)"),100000.0)</f>
        <v>100000</v>
      </c>
      <c r="T1838" s="32"/>
      <c r="U1838" s="32"/>
      <c r="V1838" s="32">
        <f>IFERROR(__xludf.DUMMYFUNCTION("$D1838 - IFERROR(FILTER($D:$D,$C:$C = $C1838, $A:$A = $A1838, $B:$B = $B1838 - 1),0)"),0.0)</f>
        <v>0</v>
      </c>
      <c r="W1838" s="93">
        <f>IFERROR(__xludf.DUMMYFUNCTION("$E1838 - IFERROR(FILTER($E:$E,$C:$C = $C1838, $A:$A = $A1838, $B:$B = $B1838 - 1),0)"),0.0)</f>
        <v>0</v>
      </c>
      <c r="X1838" s="91">
        <f>IFERROR(__xludf.DUMMYFUNCTION("iFERROR((FILTER('Fund Investment Data'!$Z:$Z, 'Fund Investment Data'!$C:$C = $C1838, 'Fund Investment Data'!$A:$A = $A1838 - 1, 'Fund Investment Data'!$B:$B = 12) + FILTER('Fund Investment Data'!$AB:$AB, 'Fund Investment Data'!$C:$C = $C1838, 'Fund Invest"&amp;"ment Data'!$A:$A = $A1838 - 1, 'Fund Investment Data'!$B:$B = 12)) * (1 + AVERAGE(FILTER('Inflation Data'!$C:$C,'Inflation Data'!$A:$A = ($A1838 - 2)))) * Parameters!$A$4,0)"),4110.654981425052)</f>
        <v>4110.654981</v>
      </c>
      <c r="Y1838" s="91">
        <f>IFERROR(__xludf.DUMMYFUNCTION("IFERROR((IFERROR(FILTER('Fund Investment Data'!$P:$P,'Fund Investment Data'!$C:$C = $C1838,'Fund Investment Data'!$A:$A = ($A1838 - 2), 'Fund Investment Data'!$B:$B = 12),0) - SUM(FILTER('Fund Investment Data'!$V:$V, 'Fund Investment Data'!$C:$C = $C1838,"&amp;" 'Fund Investment Data'!$A:$A = ($A1838 - 2), 'Fund Investment Data'!$B:$B &gt; 3)))  * Parameters!$B$4 * (1 - Parameters!$A$4),0)"),1489.0159800000004)</f>
        <v>1489.01598</v>
      </c>
      <c r="Z1838" s="91">
        <f t="shared" si="24"/>
        <v>5599.670961</v>
      </c>
      <c r="AA1838" s="91">
        <f>IFERROR(__xludf.DUMMYFUNCTION("((IFERROR((SUM(FILTER('Fund Investment Data'!$V:$V, 'Fund Investment Data'!$C:$C = $C1838, 'Fund Investment Data'!$A:$A = $A1838 - 1, 'Fund Investment Data'!$B:$B &gt;= 4, 'Fund Investment Data'!$B:$B &lt;= ($B1838 + 5))) / 12) * ($B1838 - 3) * Parameters!$B$4,"&amp;" 0) + IF($B1838 &gt;= 9, IFERROR(SUM(FILTER('Fund Investment Data'!$V:$V, 'Fund Investment Data'!$C:$C = $C1838, 'Fund Investment Data'!$A:$A = $A1838, 'Fund Investment Data'!$B:$B &lt;= 3)) * Parameters!$B$4, 0),0)))"),0.0)</f>
        <v>0</v>
      </c>
      <c r="AB1838" s="32">
        <f>IFERROR(__xludf.DUMMYFUNCTION("IFERROR(((IFERROR(SUM(FILTER('Fund Investment Data'!$V:$V, 'Fund Investment Data'!$C:$C = $C1838, 'Fund Investment Data'!$A:$A = $A1838 - 2, 'Fund Investment Data'!$B:$B &gt;= 4)) * Parameters!$B$4,0) + IFERROR(SUM(FILTER('Fund Investment Data'!$V:$V, 'Fund "&amp;"Investment Data'!$C:$C = $C1838, 'Fund Investment Data'!$A:$A = $A1838 - 1, 'Fund Investment Data'!$B:$B &lt;= 3)) * Parameters!$B$4,0))),0)"),0.0)</f>
        <v>0</v>
      </c>
      <c r="AC1838" s="32" t="str">
        <f>IFERROR(__xludf.DUMMYFUNCTION("IFERROR(FILTER($AF:$AF,$C:$C = $C1838,$A:$A = $A1838 - 1,$B:$B = 12),0)"),"")</f>
        <v/>
      </c>
      <c r="AD1838" s="32">
        <f t="shared" si="23"/>
        <v>5599.670961</v>
      </c>
      <c r="AE1838" s="32">
        <f t="shared" si="2"/>
        <v>5599.670961</v>
      </c>
      <c r="AF1838" s="32"/>
    </row>
    <row r="1839">
      <c r="A1839" s="86">
        <v>2020.0</v>
      </c>
      <c r="B1839" s="87">
        <v>6.0</v>
      </c>
      <c r="C1839" s="105" t="s">
        <v>52</v>
      </c>
      <c r="D1839" s="104">
        <v>0.0</v>
      </c>
      <c r="E1839" s="104">
        <v>0.0</v>
      </c>
      <c r="F1839" s="104">
        <v>0.0</v>
      </c>
      <c r="G1839" s="104">
        <v>-2645.16</v>
      </c>
      <c r="H1839" s="104">
        <v>15961.28</v>
      </c>
      <c r="I1839" s="104">
        <v>65987.42</v>
      </c>
      <c r="J1839" s="104">
        <v>-152657.4</v>
      </c>
      <c r="K1839" s="32"/>
      <c r="L1839" s="32"/>
      <c r="M1839" s="32"/>
      <c r="N1839" s="32"/>
      <c r="O1839" s="106">
        <v>1155441.11</v>
      </c>
      <c r="P1839" s="91">
        <f>IFERROR(__xludf.DUMMYFUNCTION("IFERROR(sum(FILTER($D:$N,$C:$C = $C1839,$A:$A &lt; $A1839,$B:$B = 12)),0) + sum($D1839:$N1839)"),1155440.7899999998)</f>
        <v>1155440.79</v>
      </c>
      <c r="Q1839" s="92">
        <f t="shared" si="1"/>
        <v>0.3200000003</v>
      </c>
      <c r="R1839" s="91">
        <f t="array" ref="R1839">IFERROR(INDEX('Fund YTD Target Values'!$1:$1000, MATCH($C1839,'Fund YTD Target Values'!$A:$A,0), MATCH($A1839,'Fund YTD Target Values'!$1:$1,0)),0)</f>
        <v>1199021.687</v>
      </c>
      <c r="S1839" s="91">
        <f>IFERROR(__xludf.DUMMYFUNCTION("IFERROR(sum(FILTER('Fund Investment Data'!$V:$V, 'Fund Investment Data'!$C:$C = $C1839, 'Fund Investment Data'!$A:$A &lt; $A1839)),0) + IFERROR(sum(FILTER('Fund Investment Data'!$V:$V, 'Fund Investment Data'!$C:$C = $C1839, 'Fund Investment Data'!$A:$A = $A1"&amp;"839, 'Fund Investment Data'!$B:$B &lt;= $B1839)),0)"),1081136.0)</f>
        <v>1081136</v>
      </c>
      <c r="T1839" s="32"/>
      <c r="U1839" s="32"/>
      <c r="V1839" s="32">
        <f>IFERROR(__xludf.DUMMYFUNCTION("$D1839 - IFERROR(FILTER($D:$D,$C:$C = $C1839, $A:$A = $A1839, $B:$B = $B1839 - 1),0)"),0.0)</f>
        <v>0</v>
      </c>
      <c r="W1839" s="93">
        <f>IFERROR(__xludf.DUMMYFUNCTION("$E1839 - IFERROR(FILTER($E:$E,$C:$C = $C1839, $A:$A = $A1839, $B:$B = $B1839 - 1),0)"),0.0)</f>
        <v>0</v>
      </c>
      <c r="X1839" s="91">
        <f>IFERROR(__xludf.DUMMYFUNCTION("iFERROR((FILTER('Fund Investment Data'!$Z:$Z, 'Fund Investment Data'!$C:$C = $C1839, 'Fund Investment Data'!$A:$A = $A1839 - 1, 'Fund Investment Data'!$B:$B = 12) + FILTER('Fund Investment Data'!$AB:$AB, 'Fund Investment Data'!$C:$C = $C1839, 'Fund Invest"&amp;"ment Data'!$A:$A = $A1839 - 1, 'Fund Investment Data'!$B:$B = 12)) * (1 + AVERAGE(FILTER('Inflation Data'!$C:$C,'Inflation Data'!$A:$A = ($A1839 - 2)))) * Parameters!$A$4,0)"),37900.53766415215)</f>
        <v>37900.53766</v>
      </c>
      <c r="Y1839" s="91">
        <f>IFERROR(__xludf.DUMMYFUNCTION("IFERROR((IFERROR(FILTER('Fund Investment Data'!$P:$P,'Fund Investment Data'!$C:$C = $C1839,'Fund Investment Data'!$A:$A = ($A1839 - 2), 'Fund Investment Data'!$B:$B = 12),0) - SUM(FILTER('Fund Investment Data'!$V:$V, 'Fund Investment Data'!$C:$C = $C1839,"&amp;" 'Fund Investment Data'!$A:$A = ($A1839 - 2), 'Fund Investment Data'!$B:$B &gt; 3)))  * Parameters!$B$4 * (1 - Parameters!$A$4),0)"),14735.790404999998)</f>
        <v>14735.79041</v>
      </c>
      <c r="Z1839" s="91">
        <f t="shared" si="24"/>
        <v>52636.32807</v>
      </c>
      <c r="AA1839" s="91">
        <f>IFERROR(__xludf.DUMMYFUNCTION("((IFERROR((SUM(FILTER('Fund Investment Data'!$V:$V, 'Fund Investment Data'!$C:$C = $C1839, 'Fund Investment Data'!$A:$A = $A1839 - 1, 'Fund Investment Data'!$B:$B &gt;= 4, 'Fund Investment Data'!$B:$B &lt;= ($B1839 + 5))) / 12) * ($B1839 - 3) * Parameters!$B$4,"&amp;" 0) + IF($B1839 &gt;= 9, IFERROR(SUM(FILTER('Fund Investment Data'!$V:$V, 'Fund Investment Data'!$C:$C = $C1839, 'Fund Investment Data'!$A:$A = $A1839, 'Fund Investment Data'!$B:$B &lt;= 3)) * Parameters!$B$4, 0),0)))"),0.0)</f>
        <v>0</v>
      </c>
      <c r="AB1839" s="32">
        <f>IFERROR(__xludf.DUMMYFUNCTION("IFERROR(((IFERROR(SUM(FILTER('Fund Investment Data'!$V:$V, 'Fund Investment Data'!$C:$C = $C1839, 'Fund Investment Data'!$A:$A = $A1839 - 2, 'Fund Investment Data'!$B:$B &gt;= 4)) * Parameters!$B$4,0) + IFERROR(SUM(FILTER('Fund Investment Data'!$V:$V, 'Fund "&amp;"Investment Data'!$C:$C = $C1839, 'Fund Investment Data'!$A:$A = $A1839 - 1, 'Fund Investment Data'!$B:$B &lt;= 3)) * Parameters!$B$4,0))),0)"),45.0)</f>
        <v>45</v>
      </c>
      <c r="AC1839" s="32" t="str">
        <f>IFERROR(__xludf.DUMMYFUNCTION("IFERROR(FILTER($AF:$AF,$C:$C = $C1839,$A:$A = $A1839 - 1,$B:$B = 12),0)"),"")</f>
        <v/>
      </c>
      <c r="AD1839" s="32">
        <f t="shared" si="23"/>
        <v>52681.32807</v>
      </c>
      <c r="AE1839" s="32">
        <f t="shared" si="2"/>
        <v>52681.32807</v>
      </c>
      <c r="AF1839" s="32"/>
    </row>
    <row r="1840">
      <c r="A1840" s="86">
        <v>2020.0</v>
      </c>
      <c r="B1840" s="87">
        <v>6.0</v>
      </c>
      <c r="C1840" s="105" t="s">
        <v>33</v>
      </c>
      <c r="D1840" s="104">
        <v>0.0</v>
      </c>
      <c r="E1840" s="104">
        <v>0.0</v>
      </c>
      <c r="F1840" s="104">
        <v>0.0</v>
      </c>
      <c r="G1840" s="104">
        <v>-756.38</v>
      </c>
      <c r="H1840" s="104">
        <v>4564.03</v>
      </c>
      <c r="I1840" s="104">
        <v>18868.64</v>
      </c>
      <c r="J1840" s="104">
        <v>-43651.32</v>
      </c>
      <c r="K1840" s="32"/>
      <c r="L1840" s="32"/>
      <c r="M1840" s="32"/>
      <c r="N1840" s="32"/>
      <c r="O1840" s="106">
        <v>330390.34</v>
      </c>
      <c r="P1840" s="91">
        <f>IFERROR(__xludf.DUMMYFUNCTION("IFERROR(sum(FILTER($D:$N,$C:$C = $C1840,$A:$A &lt; $A1840,$B:$B = 12)),0) + sum($D1840:$N1840)"),330390.5599999998)</f>
        <v>330390.56</v>
      </c>
      <c r="Q1840" s="92">
        <f t="shared" si="1"/>
        <v>-0.2199999998</v>
      </c>
      <c r="R1840" s="91">
        <f t="array" ref="R1840">IFERROR(INDEX('Fund YTD Target Values'!$1:$1000, MATCH($C1840,'Fund YTD Target Values'!$A:$A,0), MATCH($A1840,'Fund YTD Target Values'!$1:$1,0)),0)</f>
        <v>534811.3234</v>
      </c>
      <c r="S1840" s="91">
        <f>IFERROR(__xludf.DUMMYFUNCTION("IFERROR(sum(FILTER('Fund Investment Data'!$V:$V, 'Fund Investment Data'!$C:$C = $C1840, 'Fund Investment Data'!$A:$A &lt; $A1840)),0) + IFERROR(sum(FILTER('Fund Investment Data'!$V:$V, 'Fund Investment Data'!$C:$C = $C1840, 'Fund Investment Data'!$A:$A = $A1"&amp;"840, 'Fund Investment Data'!$B:$B &lt;= $B1840)),0)"),325871.6399999999)</f>
        <v>325871.64</v>
      </c>
      <c r="T1840" s="32"/>
      <c r="U1840" s="32"/>
      <c r="V1840" s="32">
        <f>IFERROR(__xludf.DUMMYFUNCTION("$D1840 - IFERROR(FILTER($D:$D,$C:$C = $C1840, $A:$A = $A1840, $B:$B = $B1840 - 1),0)"),0.0)</f>
        <v>0</v>
      </c>
      <c r="W1840" s="93">
        <f>IFERROR(__xludf.DUMMYFUNCTION("$E1840 - IFERROR(FILTER($E:$E,$C:$C = $C1840, $A:$A = $A1840, $B:$B = $B1840 - 1),0)"),0.0)</f>
        <v>0</v>
      </c>
      <c r="X1840" s="91">
        <f>IFERROR(__xludf.DUMMYFUNCTION("iFERROR((FILTER('Fund Investment Data'!$Z:$Z, 'Fund Investment Data'!$C:$C = $C1840, 'Fund Investment Data'!$A:$A = $A1840 - 1, 'Fund Investment Data'!$B:$B = 12) + FILTER('Fund Investment Data'!$AB:$AB, 'Fund Investment Data'!$C:$C = $C1840, 'Fund Invest"&amp;"ment Data'!$A:$A = $A1840 - 1, 'Fund Investment Data'!$B:$B = 12)) * (1 + AVERAGE(FILTER('Inflation Data'!$C:$C,'Inflation Data'!$A:$A = ($A1840 - 2)))) * Parameters!$A$4,0)"),11694.624948637042)</f>
        <v>11694.62495</v>
      </c>
      <c r="Y1840" s="91">
        <f>IFERROR(__xludf.DUMMYFUNCTION("IFERROR((IFERROR(FILTER('Fund Investment Data'!$P:$P,'Fund Investment Data'!$C:$C = $C1840,'Fund Investment Data'!$A:$A = ($A1840 - 2), 'Fund Investment Data'!$B:$B = 12),0) - SUM(FILTER('Fund Investment Data'!$V:$V, 'Fund Investment Data'!$C:$C = $C1840,"&amp;" 'Fund Investment Data'!$A:$A = ($A1840 - 2), 'Fund Investment Data'!$B:$B &gt; 3)))  * Parameters!$B$4 * (1 - Parameters!$A$4),0)"),4224.759929999998)</f>
        <v>4224.75993</v>
      </c>
      <c r="Z1840" s="91">
        <f t="shared" si="24"/>
        <v>15919.38488</v>
      </c>
      <c r="AA1840" s="91">
        <f>IFERROR(__xludf.DUMMYFUNCTION("((IFERROR((SUM(FILTER('Fund Investment Data'!$V:$V, 'Fund Investment Data'!$C:$C = $C1840, 'Fund Investment Data'!$A:$A = $A1840 - 1, 'Fund Investment Data'!$B:$B &gt;= 4, 'Fund Investment Data'!$B:$B &lt;= ($B1840 + 5))) / 12) * ($B1840 - 3) * Parameters!$B$4,"&amp;" 0) + IF($B1840 &gt;= 9, IFERROR(SUM(FILTER('Fund Investment Data'!$V:$V, 'Fund Investment Data'!$C:$C = $C1840, 'Fund Investment Data'!$A:$A = $A1840, 'Fund Investment Data'!$B:$B &lt;= 3)) * Parameters!$B$4, 0),0)))"),0.0)</f>
        <v>0</v>
      </c>
      <c r="AB1840" s="32">
        <f>IFERROR(__xludf.DUMMYFUNCTION("IFERROR(((IFERROR(SUM(FILTER('Fund Investment Data'!$V:$V, 'Fund Investment Data'!$C:$C = $C1840, 'Fund Investment Data'!$A:$A = $A1840 - 2, 'Fund Investment Data'!$B:$B &gt;= 4)) * Parameters!$B$4,0) + IFERROR(SUM(FILTER('Fund Investment Data'!$V:$V, 'Fund "&amp;"Investment Data'!$C:$C = $C1840, 'Fund Investment Data'!$A:$A = $A1840 - 1, 'Fund Investment Data'!$B:$B &lt;= 3)) * Parameters!$B$4,0))),0)"),0.0)</f>
        <v>0</v>
      </c>
      <c r="AC1840" s="32" t="str">
        <f>IFERROR(__xludf.DUMMYFUNCTION("IFERROR(FILTER($AF:$AF,$C:$C = $C1840,$A:$A = $A1840 - 1,$B:$B = 12),0)"),"")</f>
        <v/>
      </c>
      <c r="AD1840" s="32">
        <f t="shared" si="23"/>
        <v>15919.38488</v>
      </c>
      <c r="AE1840" s="32">
        <f t="shared" si="2"/>
        <v>15919.38488</v>
      </c>
      <c r="AF1840" s="32"/>
    </row>
    <row r="1841">
      <c r="A1841" s="86">
        <v>2020.0</v>
      </c>
      <c r="B1841" s="87">
        <v>6.0</v>
      </c>
      <c r="C1841" s="105" t="s">
        <v>53</v>
      </c>
      <c r="D1841" s="104">
        <v>0.0</v>
      </c>
      <c r="E1841" s="104">
        <v>0.0</v>
      </c>
      <c r="F1841" s="104">
        <v>0.0</v>
      </c>
      <c r="G1841" s="104">
        <v>-4841.68</v>
      </c>
      <c r="H1841" s="104">
        <v>29215.28</v>
      </c>
      <c r="I1841" s="104">
        <v>120782.29</v>
      </c>
      <c r="J1841" s="104">
        <v>-279421.58</v>
      </c>
      <c r="K1841" s="32"/>
      <c r="L1841" s="32"/>
      <c r="M1841" s="32"/>
      <c r="N1841" s="32"/>
      <c r="O1841" s="106">
        <v>2114900.31</v>
      </c>
      <c r="P1841" s="91">
        <f>IFERROR(__xludf.DUMMYFUNCTION("IFERROR(sum(FILTER($D:$N,$C:$C = $C1841,$A:$A &lt; $A1841,$B:$B = 12)),0) + sum($D1841:$N1841)"),2114900.31)</f>
        <v>2114900.31</v>
      </c>
      <c r="Q1841" s="92">
        <f t="shared" si="1"/>
        <v>0</v>
      </c>
      <c r="R1841" s="91">
        <f t="array" ref="R1841">IFERROR(INDEX('Fund YTD Target Values'!$1:$1000, MATCH($C1841,'Fund YTD Target Values'!$A:$A,0), MATCH($A1841,'Fund YTD Target Values'!$1:$1,0)),0)</f>
        <v>2319668.115</v>
      </c>
      <c r="S1841" s="91">
        <f>IFERROR(__xludf.DUMMYFUNCTION("IFERROR(sum(FILTER('Fund Investment Data'!$V:$V, 'Fund Investment Data'!$C:$C = $C1841, 'Fund Investment Data'!$A:$A &lt; $A1841)),0) + IFERROR(sum(FILTER('Fund Investment Data'!$V:$V, 'Fund Investment Data'!$C:$C = $C1841, 'Fund Investment Data'!$A:$A = $A1"&amp;"841, 'Fund Investment Data'!$B:$B &lt;= $B1841)),0)"),2005500.0)</f>
        <v>2005500</v>
      </c>
      <c r="T1841" s="32"/>
      <c r="U1841" s="32"/>
      <c r="V1841" s="32">
        <f>IFERROR(__xludf.DUMMYFUNCTION("$D1841 - IFERROR(FILTER($D:$D,$C:$C = $C1841, $A:$A = $A1841, $B:$B = $B1841 - 1),0)"),0.0)</f>
        <v>0</v>
      </c>
      <c r="W1841" s="93">
        <f>IFERROR(__xludf.DUMMYFUNCTION("$E1841 - IFERROR(FILTER($E:$E,$C:$C = $C1841, $A:$A = $A1841, $B:$B = $B1841 - 1),0)"),0.0)</f>
        <v>0</v>
      </c>
      <c r="X1841" s="91">
        <f>IFERROR(__xludf.DUMMYFUNCTION("iFERROR((FILTER('Fund Investment Data'!$Z:$Z, 'Fund Investment Data'!$C:$C = $C1841, 'Fund Investment Data'!$A:$A = $A1841 - 1, 'Fund Investment Data'!$B:$B = 12) + FILTER('Fund Investment Data'!$AB:$AB, 'Fund Investment Data'!$C:$C = $C1841, 'Fund Invest"&amp;"ment Data'!$A:$A = $A1841 - 1, 'Fund Investment Data'!$B:$B = 12)) * (1 + AVERAGE(FILTER('Inflation Data'!$C:$C,'Inflation Data'!$A:$A = ($A1841 - 2)))) * Parameters!$A$4,0)"),72128.4673033264)</f>
        <v>72128.4673</v>
      </c>
      <c r="Y1841" s="91">
        <f>IFERROR(__xludf.DUMMYFUNCTION("IFERROR((IFERROR(FILTER('Fund Investment Data'!$P:$P,'Fund Investment Data'!$C:$C = $C1841,'Fund Investment Data'!$A:$A = ($A1841 - 2), 'Fund Investment Data'!$B:$B = 12),0) - SUM(FILTER('Fund Investment Data'!$V:$V, 'Fund Investment Data'!$C:$C = $C1841,"&amp;" 'Fund Investment Data'!$A:$A = ($A1841 - 2), 'Fund Investment Data'!$B:$B &gt; 3)))  * Parameters!$B$4 * (1 - Parameters!$A$4),0)"),27628.22088)</f>
        <v>27628.22088</v>
      </c>
      <c r="Z1841" s="91">
        <f t="shared" si="24"/>
        <v>99756.68818</v>
      </c>
      <c r="AA1841" s="91">
        <f>IFERROR(__xludf.DUMMYFUNCTION("((IFERROR((SUM(FILTER('Fund Investment Data'!$V:$V, 'Fund Investment Data'!$C:$C = $C1841, 'Fund Investment Data'!$A:$A = $A1841 - 1, 'Fund Investment Data'!$B:$B &gt;= 4, 'Fund Investment Data'!$B:$B &lt;= ($B1841 + 5))) / 12) * ($B1841 - 3) * Parameters!$B$4,"&amp;" 0) + IF($B1841 &gt;= 9, IFERROR(SUM(FILTER('Fund Investment Data'!$V:$V, 'Fund Investment Data'!$C:$C = $C1841, 'Fund Investment Data'!$A:$A = $A1841, 'Fund Investment Data'!$B:$B &lt;= 3)) * Parameters!$B$4, 0),0)))"),0.0)</f>
        <v>0</v>
      </c>
      <c r="AB1841" s="32">
        <f>IFERROR(__xludf.DUMMYFUNCTION("IFERROR(((IFERROR(SUM(FILTER('Fund Investment Data'!$V:$V, 'Fund Investment Data'!$C:$C = $C1841, 'Fund Investment Data'!$A:$A = $A1841 - 2, 'Fund Investment Data'!$B:$B &gt;= 4)) * Parameters!$B$4,0) + IFERROR(SUM(FILTER('Fund Investment Data'!$V:$V, 'Fund "&amp;"Investment Data'!$C:$C = $C1841, 'Fund Investment Data'!$A:$A = $A1841 - 1, 'Fund Investment Data'!$B:$B &lt;= 3)) * Parameters!$B$4,0))),0)"),0.0)</f>
        <v>0</v>
      </c>
      <c r="AC1841" s="32" t="str">
        <f>IFERROR(__xludf.DUMMYFUNCTION("IFERROR(FILTER($AF:$AF,$C:$C = $C1841,$A:$A = $A1841 - 1,$B:$B = 12),0)"),"")</f>
        <v/>
      </c>
      <c r="AD1841" s="32">
        <f t="shared" si="23"/>
        <v>99756.68818</v>
      </c>
      <c r="AE1841" s="32">
        <f t="shared" si="2"/>
        <v>99756.68818</v>
      </c>
      <c r="AF1841" s="32"/>
    </row>
    <row r="1842">
      <c r="A1842" s="86">
        <v>2020.0</v>
      </c>
      <c r="B1842" s="87">
        <v>6.0</v>
      </c>
      <c r="C1842" s="105" t="s">
        <v>34</v>
      </c>
      <c r="D1842" s="104">
        <v>0.0</v>
      </c>
      <c r="E1842" s="104">
        <v>0.0</v>
      </c>
      <c r="F1842" s="104">
        <v>0.0</v>
      </c>
      <c r="G1842" s="104">
        <v>-318.0</v>
      </c>
      <c r="H1842" s="104">
        <v>1918.9</v>
      </c>
      <c r="I1842" s="104">
        <v>7933.12</v>
      </c>
      <c r="J1842" s="104">
        <v>-18352.7</v>
      </c>
      <c r="K1842" s="32"/>
      <c r="L1842" s="32"/>
      <c r="M1842" s="32"/>
      <c r="N1842" s="32"/>
      <c r="O1842" s="106">
        <v>138908.97</v>
      </c>
      <c r="P1842" s="91">
        <f>IFERROR(__xludf.DUMMYFUNCTION("IFERROR(sum(FILTER($D:$N,$C:$C = $C1842,$A:$A &lt; $A1842,$B:$B = 12)),0) + sum($D1842:$N1842)"),138908.96999999997)</f>
        <v>138908.97</v>
      </c>
      <c r="Q1842" s="92">
        <f t="shared" si="1"/>
        <v>0</v>
      </c>
      <c r="R1842" s="91">
        <f t="array" ref="R1842">IFERROR(INDEX('Fund YTD Target Values'!$1:$1000, MATCH($C1842,'Fund YTD Target Values'!$A:$A,0), MATCH($A1842,'Fund YTD Target Values'!$1:$1,0)),0)</f>
        <v>141101.0603</v>
      </c>
      <c r="S1842" s="91">
        <f>IFERROR(__xludf.DUMMYFUNCTION("IFERROR(sum(FILTER('Fund Investment Data'!$V:$V, 'Fund Investment Data'!$C:$C = $C1842, 'Fund Investment Data'!$A:$A &lt; $A1842)),0) + IFERROR(sum(FILTER('Fund Investment Data'!$V:$V, 'Fund Investment Data'!$C:$C = $C1842, 'Fund Investment Data'!$A:$A = $A1"&amp;"842, 'Fund Investment Data'!$B:$B &lt;= $B1842)),0)"),125000.0)</f>
        <v>125000</v>
      </c>
      <c r="T1842" s="32"/>
      <c r="U1842" s="32"/>
      <c r="V1842" s="32">
        <f>IFERROR(__xludf.DUMMYFUNCTION("$D1842 - IFERROR(FILTER($D:$D,$C:$C = $C1842, $A:$A = $A1842, $B:$B = $B1842 - 1),0)"),0.0)</f>
        <v>0</v>
      </c>
      <c r="W1842" s="93">
        <f>IFERROR(__xludf.DUMMYFUNCTION("$E1842 - IFERROR(FILTER($E:$E,$C:$C = $C1842, $A:$A = $A1842, $B:$B = $B1842 - 1),0)"),0.0)</f>
        <v>0</v>
      </c>
      <c r="X1842" s="91">
        <f>IFERROR(__xludf.DUMMYFUNCTION("iFERROR((FILTER('Fund Investment Data'!$Z:$Z, 'Fund Investment Data'!$C:$C = $C1842, 'Fund Investment Data'!$A:$A = $A1842 - 1, 'Fund Investment Data'!$B:$B = 12) + FILTER('Fund Investment Data'!$AB:$AB, 'Fund Investment Data'!$C:$C = $C1842, 'Fund Invest"&amp;"ment Data'!$A:$A = $A1842 - 1, 'Fund Investment Data'!$B:$B = 12)) * (1 + AVERAGE(FILTER('Inflation Data'!$C:$C,'Inflation Data'!$A:$A = ($A1842 - 2)))) * Parameters!$A$4,0)"),4562.512460415234)</f>
        <v>4562.51246</v>
      </c>
      <c r="Y1842" s="91">
        <f>IFERROR(__xludf.DUMMYFUNCTION("IFERROR((IFERROR(FILTER('Fund Investment Data'!$P:$P,'Fund Investment Data'!$C:$C = $C1842,'Fund Investment Data'!$A:$A = ($A1842 - 2), 'Fund Investment Data'!$B:$B = 12),0) - SUM(FILTER('Fund Investment Data'!$V:$V, 'Fund Investment Data'!$C:$C = $C1842,"&amp;" 'Fund Investment Data'!$A:$A = ($A1842 - 2), 'Fund Investment Data'!$B:$B &gt; 3)))  * Parameters!$B$4 * (1 - Parameters!$A$4),0)"),1706.9301450000003)</f>
        <v>1706.930145</v>
      </c>
      <c r="Z1842" s="91">
        <f t="shared" si="24"/>
        <v>6269.442605</v>
      </c>
      <c r="AA1842" s="91">
        <f>IFERROR(__xludf.DUMMYFUNCTION("((IFERROR((SUM(FILTER('Fund Investment Data'!$V:$V, 'Fund Investment Data'!$C:$C = $C1842, 'Fund Investment Data'!$A:$A = $A1842 - 1, 'Fund Investment Data'!$B:$B &gt;= 4, 'Fund Investment Data'!$B:$B &lt;= ($B1842 + 5))) / 12) * ($B1842 - 3) * Parameters!$B$4,"&amp;" 0) + IF($B1842 &gt;= 9, IFERROR(SUM(FILTER('Fund Investment Data'!$V:$V, 'Fund Investment Data'!$C:$C = $C1842, 'Fund Investment Data'!$A:$A = $A1842, 'Fund Investment Data'!$B:$B &lt;= 3)) * Parameters!$B$4, 0),0)))"),0.0)</f>
        <v>0</v>
      </c>
      <c r="AB1842" s="32">
        <f>IFERROR(__xludf.DUMMYFUNCTION("IFERROR(((IFERROR(SUM(FILTER('Fund Investment Data'!$V:$V, 'Fund Investment Data'!$C:$C = $C1842, 'Fund Investment Data'!$A:$A = $A1842 - 2, 'Fund Investment Data'!$B:$B &gt;= 4)) * Parameters!$B$4,0) + IFERROR(SUM(FILTER('Fund Investment Data'!$V:$V, 'Fund "&amp;"Investment Data'!$C:$C = $C1842, 'Fund Investment Data'!$A:$A = $A1842 - 1, 'Fund Investment Data'!$B:$B &lt;= 3)) * Parameters!$B$4,0))),0)"),225.0)</f>
        <v>225</v>
      </c>
      <c r="AC1842" s="32" t="str">
        <f>IFERROR(__xludf.DUMMYFUNCTION("IFERROR(FILTER($AF:$AF,$C:$C = $C1842,$A:$A = $A1842 - 1,$B:$B = 12),0)"),"")</f>
        <v/>
      </c>
      <c r="AD1842" s="32">
        <f t="shared" si="23"/>
        <v>6494.442605</v>
      </c>
      <c r="AE1842" s="32">
        <f t="shared" si="2"/>
        <v>6494.442605</v>
      </c>
      <c r="AF1842" s="32"/>
    </row>
    <row r="1843">
      <c r="A1843" s="86">
        <v>2020.0</v>
      </c>
      <c r="B1843" s="87">
        <v>6.0</v>
      </c>
      <c r="C1843" s="105" t="s">
        <v>54</v>
      </c>
      <c r="D1843" s="104">
        <v>299.0</v>
      </c>
      <c r="E1843" s="104">
        <v>0.0</v>
      </c>
      <c r="F1843" s="104">
        <v>0.0</v>
      </c>
      <c r="G1843" s="104">
        <v>-376.49</v>
      </c>
      <c r="H1843" s="104">
        <v>2272.14</v>
      </c>
      <c r="I1843" s="104">
        <v>9381.46</v>
      </c>
      <c r="J1843" s="104">
        <v>-21716.4</v>
      </c>
      <c r="K1843" s="32"/>
      <c r="L1843" s="32"/>
      <c r="M1843" s="32"/>
      <c r="N1843" s="32"/>
      <c r="O1843" s="106">
        <v>164524.89</v>
      </c>
      <c r="P1843" s="91">
        <f>IFERROR(__xludf.DUMMYFUNCTION("IFERROR(sum(FILTER($D:$N,$C:$C = $C1843,$A:$A &lt; $A1843,$B:$B = 12)),0) + sum($D1843:$N1843)"),164525.85999999996)</f>
        <v>164525.86</v>
      </c>
      <c r="Q1843" s="92">
        <f t="shared" si="1"/>
        <v>-0.9699999999</v>
      </c>
      <c r="R1843" s="91">
        <f t="array" ref="R1843">IFERROR(INDEX('Fund YTD Target Values'!$1:$1000, MATCH($C1843,'Fund YTD Target Values'!$A:$A,0), MATCH($A1843,'Fund YTD Target Values'!$1:$1,0)),0)</f>
        <v>162317.7907</v>
      </c>
      <c r="S1843" s="91">
        <f>IFERROR(__xludf.DUMMYFUNCTION("IFERROR(sum(FILTER('Fund Investment Data'!$V:$V, 'Fund Investment Data'!$C:$C = $C1843, 'Fund Investment Data'!$A:$A &lt; $A1843)),0) + IFERROR(sum(FILTER('Fund Investment Data'!$V:$V, 'Fund Investment Data'!$C:$C = $C1843, 'Fund Investment Data'!$A:$A = $A1"&amp;"843, 'Fund Investment Data'!$B:$B &lt;= $B1843)),0)"),113274.14999999998)</f>
        <v>113274.15</v>
      </c>
      <c r="T1843" s="32"/>
      <c r="U1843" s="32"/>
      <c r="V1843" s="32">
        <f>IFERROR(__xludf.DUMMYFUNCTION("$D1843 - IFERROR(FILTER($D:$D,$C:$C = $C1843, $A:$A = $A1843, $B:$B = $B1843 - 1),0)"),0.0)</f>
        <v>0</v>
      </c>
      <c r="W1843" s="93">
        <f>IFERROR(__xludf.DUMMYFUNCTION("$E1843 - IFERROR(FILTER($E:$E,$C:$C = $C1843, $A:$A = $A1843, $B:$B = $B1843 - 1),0)"),0.0)</f>
        <v>0</v>
      </c>
      <c r="X1843" s="91">
        <f>IFERROR(__xludf.DUMMYFUNCTION("iFERROR((FILTER('Fund Investment Data'!$Z:$Z, 'Fund Investment Data'!$C:$C = $C1843, 'Fund Investment Data'!$A:$A = $A1843 - 1, 'Fund Investment Data'!$B:$B = 12) + FILTER('Fund Investment Data'!$AB:$AB, 'Fund Investment Data'!$C:$C = $C1843, 'Fund Invest"&amp;"ment Data'!$A:$A = $A1843 - 1, 'Fund Investment Data'!$B:$B = 12)) * (1 + AVERAGE(FILTER('Inflation Data'!$C:$C,'Inflation Data'!$A:$A = ($A1843 - 2)))) * Parameters!$A$4,0)"),5485.4342945921035)</f>
        <v>5485.434295</v>
      </c>
      <c r="Y1843" s="91">
        <f>IFERROR(__xludf.DUMMYFUNCTION("IFERROR((IFERROR(FILTER('Fund Investment Data'!$P:$P,'Fund Investment Data'!$C:$C = $C1843,'Fund Investment Data'!$A:$A = ($A1843 - 2), 'Fund Investment Data'!$B:$B = 12),0) - SUM(FILTER('Fund Investment Data'!$V:$V, 'Fund Investment Data'!$C:$C = $C1843,"&amp;" 'Fund Investment Data'!$A:$A = ($A1843 - 2), 'Fund Investment Data'!$B:$B &gt; 3)))  * Parameters!$B$4 * (1 - Parameters!$A$4),0)"),2091.582674999999)</f>
        <v>2091.582675</v>
      </c>
      <c r="Z1843" s="91">
        <f t="shared" si="24"/>
        <v>7577.01697</v>
      </c>
      <c r="AA1843" s="91">
        <f>IFERROR(__xludf.DUMMYFUNCTION("((IFERROR((SUM(FILTER('Fund Investment Data'!$V:$V, 'Fund Investment Data'!$C:$C = $C1843, 'Fund Investment Data'!$A:$A = $A1843 - 1, 'Fund Investment Data'!$B:$B &gt;= 4, 'Fund Investment Data'!$B:$B &lt;= ($B1843 + 5))) / 12) * ($B1843 - 3) * Parameters!$B$4,"&amp;" 0) + IF($B1843 &gt;= 9, IFERROR(SUM(FILTER('Fund Investment Data'!$V:$V, 'Fund Investment Data'!$C:$C = $C1843, 'Fund Investment Data'!$A:$A = $A1843, 'Fund Investment Data'!$B:$B &lt;= 3)) * Parameters!$B$4, 0),0)))"),0.63)</f>
        <v>0.63</v>
      </c>
      <c r="AB1843" s="32">
        <f>IFERROR(__xludf.DUMMYFUNCTION("IFERROR(((IFERROR(SUM(FILTER('Fund Investment Data'!$V:$V, 'Fund Investment Data'!$C:$C = $C1843, 'Fund Investment Data'!$A:$A = $A1843 - 2, 'Fund Investment Data'!$B:$B &gt;= 4)) * Parameters!$B$4,0) + IFERROR(SUM(FILTER('Fund Investment Data'!$V:$V, 'Fund "&amp;"Investment Data'!$C:$C = $C1843, 'Fund Investment Data'!$A:$A = $A1843 - 1, 'Fund Investment Data'!$B:$B &lt;= 3)) * Parameters!$B$4,0))),0)"),6.075)</f>
        <v>6.075</v>
      </c>
      <c r="AC1843" s="32" t="str">
        <f>IFERROR(__xludf.DUMMYFUNCTION("IFERROR(FILTER($AF:$AF,$C:$C = $C1843,$A:$A = $A1843 - 1,$B:$B = 12),0)"),"")</f>
        <v/>
      </c>
      <c r="AD1843" s="32">
        <f t="shared" si="23"/>
        <v>7583.72197</v>
      </c>
      <c r="AE1843" s="32">
        <f t="shared" si="2"/>
        <v>7583.72197</v>
      </c>
      <c r="AF1843" s="32"/>
    </row>
    <row r="1844">
      <c r="A1844" s="86">
        <v>2020.0</v>
      </c>
      <c r="B1844" s="87">
        <v>6.0</v>
      </c>
      <c r="C1844" s="105" t="s">
        <v>55</v>
      </c>
      <c r="D1844" s="104">
        <v>0.0</v>
      </c>
      <c r="E1844" s="104">
        <v>0.0</v>
      </c>
      <c r="F1844" s="104">
        <v>0.0</v>
      </c>
      <c r="G1844" s="104">
        <v>-797.61</v>
      </c>
      <c r="H1844" s="104">
        <v>4812.86</v>
      </c>
      <c r="I1844" s="104">
        <v>19897.38</v>
      </c>
      <c r="J1844" s="104">
        <v>-46031.27</v>
      </c>
      <c r="K1844" s="32"/>
      <c r="L1844" s="32"/>
      <c r="M1844" s="32"/>
      <c r="N1844" s="32"/>
      <c r="O1844" s="106">
        <v>348403.71</v>
      </c>
      <c r="P1844" s="91">
        <f>IFERROR(__xludf.DUMMYFUNCTION("IFERROR(sum(FILTER($D:$N,$C:$C = $C1844,$A:$A &lt; $A1844,$B:$B = 12)),0) + sum($D1844:$N1844)"),348403.7099999999)</f>
        <v>348403.71</v>
      </c>
      <c r="Q1844" s="92">
        <f t="shared" si="1"/>
        <v>0.0000000001164153218</v>
      </c>
      <c r="R1844" s="91">
        <f t="array" ref="R1844">IFERROR(INDEX('Fund YTD Target Values'!$1:$1000, MATCH($C1844,'Fund YTD Target Values'!$A:$A,0), MATCH($A1844,'Fund YTD Target Values'!$1:$1,0)),0)</f>
        <v>373132.6187</v>
      </c>
      <c r="S1844" s="91">
        <f>IFERROR(__xludf.DUMMYFUNCTION("IFERROR(sum(FILTER('Fund Investment Data'!$V:$V, 'Fund Investment Data'!$C:$C = $C1844, 'Fund Investment Data'!$A:$A &lt; $A1844)),0) + IFERROR(sum(FILTER('Fund Investment Data'!$V:$V, 'Fund Investment Data'!$C:$C = $C1844, 'Fund Investment Data'!$A:$A = $A1"&amp;"844, 'Fund Investment Data'!$B:$B &lt;= $B1844)),0)"),350000.0)</f>
        <v>350000</v>
      </c>
      <c r="T1844" s="32"/>
      <c r="U1844" s="32"/>
      <c r="V1844" s="32">
        <f>IFERROR(__xludf.DUMMYFUNCTION("$D1844 - IFERROR(FILTER($D:$D,$C:$C = $C1844, $A:$A = $A1844, $B:$B = $B1844 - 1),0)"),0.0)</f>
        <v>0</v>
      </c>
      <c r="W1844" s="93">
        <f>IFERROR(__xludf.DUMMYFUNCTION("$E1844 - IFERROR(FILTER($E:$E,$C:$C = $C1844, $A:$A = $A1844, $B:$B = $B1844 - 1),0)"),0.0)</f>
        <v>0</v>
      </c>
      <c r="X1844" s="91">
        <f>IFERROR(__xludf.DUMMYFUNCTION("iFERROR((FILTER('Fund Investment Data'!$Z:$Z, 'Fund Investment Data'!$C:$C = $C1844, 'Fund Investment Data'!$A:$A = $A1844 - 1, 'Fund Investment Data'!$B:$B = 12) + FILTER('Fund Investment Data'!$AB:$AB, 'Fund Investment Data'!$C:$C = $C1844, 'Fund Invest"&amp;"ment Data'!$A:$A = $A1844 - 1, 'Fund Investment Data'!$B:$B = 12)) * (1 + AVERAGE(FILTER('Inflation Data'!$C:$C,'Inflation Data'!$A:$A = ($A1844 - 2)))) * Parameters!$A$4,0)"),8733.12388790319)</f>
        <v>8733.123888</v>
      </c>
      <c r="Y1844" s="91">
        <f>IFERROR(__xludf.DUMMYFUNCTION("IFERROR((IFERROR(FILTER('Fund Investment Data'!$P:$P,'Fund Investment Data'!$C:$C = $C1844,'Fund Investment Data'!$A:$A = ($A1844 - 2), 'Fund Investment Data'!$B:$B = 12),0) - SUM(FILTER('Fund Investment Data'!$V:$V, 'Fund Investment Data'!$C:$C = $C1844,"&amp;" 'Fund Investment Data'!$A:$A = ($A1844 - 2), 'Fund Investment Data'!$B:$B &gt; 3)))  * Parameters!$B$4 * (1 - Parameters!$A$4),0)"),2801.6676899999998)</f>
        <v>2801.66769</v>
      </c>
      <c r="Z1844" s="91">
        <f t="shared" si="24"/>
        <v>11534.79158</v>
      </c>
      <c r="AA1844" s="91">
        <f>IFERROR(__xludf.DUMMYFUNCTION("((IFERROR((SUM(FILTER('Fund Investment Data'!$V:$V, 'Fund Investment Data'!$C:$C = $C1844, 'Fund Investment Data'!$A:$A = $A1844 - 1, 'Fund Investment Data'!$B:$B &gt;= 4, 'Fund Investment Data'!$B:$B &lt;= ($B1844 + 5))) / 12) * ($B1844 - 3) * Parameters!$B$4,"&amp;" 0) + IF($B1844 &gt;= 9, IFERROR(SUM(FILTER('Fund Investment Data'!$V:$V, 'Fund Investment Data'!$C:$C = $C1844, 'Fund Investment Data'!$A:$A = $A1844, 'Fund Investment Data'!$B:$B &lt;= 3)) * Parameters!$B$4, 0),0)))"),0.0)</f>
        <v>0</v>
      </c>
      <c r="AB1844" s="32">
        <f>IFERROR(__xludf.DUMMYFUNCTION("IFERROR(((IFERROR(SUM(FILTER('Fund Investment Data'!$V:$V, 'Fund Investment Data'!$C:$C = $C1844, 'Fund Investment Data'!$A:$A = $A1844 - 2, 'Fund Investment Data'!$B:$B &gt;= 4)) * Parameters!$B$4,0) + IFERROR(SUM(FILTER('Fund Investment Data'!$V:$V, 'Fund "&amp;"Investment Data'!$C:$C = $C1844, 'Fund Investment Data'!$A:$A = $A1844 - 1, 'Fund Investment Data'!$B:$B &lt;= 3)) * Parameters!$B$4,0))),0)"),3150.0)</f>
        <v>3150</v>
      </c>
      <c r="AC1844" s="32" t="str">
        <f>IFERROR(__xludf.DUMMYFUNCTION("IFERROR(FILTER($AF:$AF,$C:$C = $C1844,$A:$A = $A1844 - 1,$B:$B = 12),0)"),"")</f>
        <v/>
      </c>
      <c r="AD1844" s="32">
        <f t="shared" si="23"/>
        <v>14684.79158</v>
      </c>
      <c r="AE1844" s="32">
        <f t="shared" si="2"/>
        <v>14684.79158</v>
      </c>
      <c r="AF1844" s="32"/>
    </row>
    <row r="1845">
      <c r="A1845" s="86">
        <v>2020.0</v>
      </c>
      <c r="B1845" s="87">
        <v>6.0</v>
      </c>
      <c r="C1845" s="105" t="s">
        <v>44</v>
      </c>
      <c r="D1845" s="104">
        <v>0.0</v>
      </c>
      <c r="E1845" s="104">
        <v>0.0</v>
      </c>
      <c r="F1845" s="104">
        <v>0.0</v>
      </c>
      <c r="G1845" s="104">
        <v>-605.16</v>
      </c>
      <c r="H1845" s="104">
        <v>3651.58</v>
      </c>
      <c r="I1845" s="104">
        <v>15096.35</v>
      </c>
      <c r="J1845" s="104">
        <v>-34924.37</v>
      </c>
      <c r="K1845" s="32"/>
      <c r="L1845" s="32"/>
      <c r="M1845" s="32"/>
      <c r="N1845" s="32"/>
      <c r="O1845" s="106">
        <v>264337.39</v>
      </c>
      <c r="P1845" s="91">
        <f>IFERROR(__xludf.DUMMYFUNCTION("IFERROR(sum(FILTER($D:$N,$C:$C = $C1845,$A:$A &lt; $A1845,$B:$B = 12)),0) + sum($D1845:$N1845)"),264338.2800000001)</f>
        <v>264338.28</v>
      </c>
      <c r="Q1845" s="92">
        <f t="shared" si="1"/>
        <v>-0.8900000001</v>
      </c>
      <c r="R1845" s="91">
        <f t="array" ref="R1845">IFERROR(INDEX('Fund YTD Target Values'!$1:$1000, MATCH($C1845,'Fund YTD Target Values'!$A:$A,0), MATCH($A1845,'Fund YTD Target Values'!$1:$1,0)),0)</f>
        <v>335306.2117</v>
      </c>
      <c r="S1845" s="91">
        <f>IFERROR(__xludf.DUMMYFUNCTION("IFERROR(sum(FILTER('Fund Investment Data'!$V:$V, 'Fund Investment Data'!$C:$C = $C1845, 'Fund Investment Data'!$A:$A &lt; $A1845)),0) + IFERROR(sum(FILTER('Fund Investment Data'!$V:$V, 'Fund Investment Data'!$C:$C = $C1845, 'Fund Investment Data'!$A:$A = $A1"&amp;"845, 'Fund Investment Data'!$B:$B &lt;= $B1845)),0)"),250000.0)</f>
        <v>250000</v>
      </c>
      <c r="T1845" s="32"/>
      <c r="U1845" s="32"/>
      <c r="V1845" s="32">
        <f>IFERROR(__xludf.DUMMYFUNCTION("$D1845 - IFERROR(FILTER($D:$D,$C:$C = $C1845, $A:$A = $A1845, $B:$B = $B1845 - 1),0)"),0.0)</f>
        <v>0</v>
      </c>
      <c r="W1845" s="93">
        <f>IFERROR(__xludf.DUMMYFUNCTION("$E1845 - IFERROR(FILTER($E:$E,$C:$C = $C1845, $A:$A = $A1845, $B:$B = $B1845 - 1),0)"),0.0)</f>
        <v>0</v>
      </c>
      <c r="X1845" s="91">
        <f>IFERROR(__xludf.DUMMYFUNCTION("iFERROR((FILTER('Fund Investment Data'!$Z:$Z, 'Fund Investment Data'!$C:$C = $C1845, 'Fund Investment Data'!$A:$A = $A1845 - 1, 'Fund Investment Data'!$B:$B = 12) + FILTER('Fund Investment Data'!$AB:$AB, 'Fund Investment Data'!$C:$C = $C1845, 'Fund Invest"&amp;"ment Data'!$A:$A = $A1845 - 1, 'Fund Investment Data'!$B:$B = 12)) * (1 + AVERAGE(FILTER('Inflation Data'!$C:$C,'Inflation Data'!$A:$A = ($A1845 - 2)))) * Parameters!$A$4,0)"),9387.616085113343)</f>
        <v>9387.616085</v>
      </c>
      <c r="Y1845" s="91">
        <f>IFERROR(__xludf.DUMMYFUNCTION("IFERROR((IFERROR(FILTER('Fund Investment Data'!$P:$P,'Fund Investment Data'!$C:$C = $C1845,'Fund Investment Data'!$A:$A = ($A1845 - 2), 'Fund Investment Data'!$B:$B = 12),0) - SUM(FILTER('Fund Investment Data'!$V:$V, 'Fund Investment Data'!$C:$C = $C1845,"&amp;" 'Fund Investment Data'!$A:$A = ($A1845 - 2), 'Fund Investment Data'!$B:$B &gt; 3)))  * Parameters!$B$4 * (1 - Parameters!$A$4),0)"),3384.7055550000014)</f>
        <v>3384.705555</v>
      </c>
      <c r="Z1845" s="91">
        <f t="shared" si="24"/>
        <v>12772.32164</v>
      </c>
      <c r="AA1845" s="91">
        <f>IFERROR(__xludf.DUMMYFUNCTION("((IFERROR((SUM(FILTER('Fund Investment Data'!$V:$V, 'Fund Investment Data'!$C:$C = $C1845, 'Fund Investment Data'!$A:$A = $A1845 - 1, 'Fund Investment Data'!$B:$B &gt;= 4, 'Fund Investment Data'!$B:$B &lt;= ($B1845 + 5))) / 12) * ($B1845 - 3) * Parameters!$B$4,"&amp;" 0) + IF($B1845 &gt;= 9, IFERROR(SUM(FILTER('Fund Investment Data'!$V:$V, 'Fund Investment Data'!$C:$C = $C1845, 'Fund Investment Data'!$A:$A = $A1845, 'Fund Investment Data'!$B:$B &lt;= 3)) * Parameters!$B$4, 0),0)))"),0.0)</f>
        <v>0</v>
      </c>
      <c r="AB1845" s="32">
        <f>IFERROR(__xludf.DUMMYFUNCTION("IFERROR(((IFERROR(SUM(FILTER('Fund Investment Data'!$V:$V, 'Fund Investment Data'!$C:$C = $C1845, 'Fund Investment Data'!$A:$A = $A1845 - 2, 'Fund Investment Data'!$B:$B &gt;= 4)) * Parameters!$B$4,0) + IFERROR(SUM(FILTER('Fund Investment Data'!$V:$V, 'Fund "&amp;"Investment Data'!$C:$C = $C1845, 'Fund Investment Data'!$A:$A = $A1845 - 1, 'Fund Investment Data'!$B:$B &lt;= 3)) * Parameters!$B$4,0))),0)"),0.0)</f>
        <v>0</v>
      </c>
      <c r="AC1845" s="32" t="str">
        <f>IFERROR(__xludf.DUMMYFUNCTION("IFERROR(FILTER($AF:$AF,$C:$C = $C1845,$A:$A = $A1845 - 1,$B:$B = 12),0)"),"")</f>
        <v/>
      </c>
      <c r="AD1845" s="32">
        <f t="shared" si="23"/>
        <v>12772.32164</v>
      </c>
      <c r="AE1845" s="32">
        <f t="shared" si="2"/>
        <v>12772.32164</v>
      </c>
      <c r="AF1845" s="32"/>
    </row>
    <row r="1846">
      <c r="A1846" s="86">
        <v>2020.0</v>
      </c>
      <c r="B1846" s="87">
        <v>6.0</v>
      </c>
      <c r="C1846" s="105" t="s">
        <v>45</v>
      </c>
      <c r="D1846" s="104">
        <v>0.0</v>
      </c>
      <c r="E1846" s="104">
        <v>0.0</v>
      </c>
      <c r="F1846" s="104">
        <v>0.0</v>
      </c>
      <c r="G1846" s="104">
        <v>-321.84</v>
      </c>
      <c r="H1846" s="104">
        <v>1942.08</v>
      </c>
      <c r="I1846" s="104">
        <v>8029.06</v>
      </c>
      <c r="J1846" s="104">
        <v>-18574.64</v>
      </c>
      <c r="K1846" s="32"/>
      <c r="L1846" s="32"/>
      <c r="M1846" s="32"/>
      <c r="N1846" s="32"/>
      <c r="O1846" s="106">
        <v>140588.82</v>
      </c>
      <c r="P1846" s="91">
        <f>IFERROR(__xludf.DUMMYFUNCTION("IFERROR(sum(FILTER($D:$N,$C:$C = $C1846,$A:$A &lt; $A1846,$B:$B = 12)),0) + sum($D1846:$N1846)"),140589.02999999997)</f>
        <v>140589.03</v>
      </c>
      <c r="Q1846" s="92">
        <f t="shared" si="1"/>
        <v>-0.21</v>
      </c>
      <c r="R1846" s="91">
        <f t="array" ref="R1846">IFERROR(INDEX('Fund YTD Target Values'!$1:$1000, MATCH($C1846,'Fund YTD Target Values'!$A:$A,0), MATCH($A1846,'Fund YTD Target Values'!$1:$1,0)),0)</f>
        <v>126414.6128</v>
      </c>
      <c r="S1846" s="91">
        <f>IFERROR(__xludf.DUMMYFUNCTION("IFERROR(sum(FILTER('Fund Investment Data'!$V:$V, 'Fund Investment Data'!$C:$C = $C1846, 'Fund Investment Data'!$A:$A &lt; $A1846)),0) + IFERROR(sum(FILTER('Fund Investment Data'!$V:$V, 'Fund Investment Data'!$C:$C = $C1846, 'Fund Investment Data'!$A:$A = $A1"&amp;"846, 'Fund Investment Data'!$B:$B &lt;= $B1846)),0)"),100000.0)</f>
        <v>100000</v>
      </c>
      <c r="T1846" s="32"/>
      <c r="U1846" s="32"/>
      <c r="V1846" s="32">
        <f>IFERROR(__xludf.DUMMYFUNCTION("$D1846 - IFERROR(FILTER($D:$D,$C:$C = $C1846, $A:$A = $A1846, $B:$B = $B1846 - 1),0)"),0.0)</f>
        <v>0</v>
      </c>
      <c r="W1846" s="93">
        <f>IFERROR(__xludf.DUMMYFUNCTION("$E1846 - IFERROR(FILTER($E:$E,$C:$C = $C1846, $A:$A = $A1846, $B:$B = $B1846 - 1),0)"),0.0)</f>
        <v>0</v>
      </c>
      <c r="X1846" s="91">
        <f>IFERROR(__xludf.DUMMYFUNCTION("iFERROR((FILTER('Fund Investment Data'!$Z:$Z, 'Fund Investment Data'!$C:$C = $C1846, 'Fund Investment Data'!$A:$A = $A1846 - 1, 'Fund Investment Data'!$B:$B = 12) + FILTER('Fund Investment Data'!$AB:$AB, 'Fund Investment Data'!$C:$C = $C1846, 'Fund Invest"&amp;"ment Data'!$A:$A = $A1846 - 1, 'Fund Investment Data'!$B:$B = 12)) * (1 + AVERAGE(FILTER('Inflation Data'!$C:$C,'Inflation Data'!$A:$A = ($A1846 - 2)))) * Parameters!$A$4,0)"),4167.033304324799)</f>
        <v>4167.033304</v>
      </c>
      <c r="Y1846" s="91">
        <f>IFERROR(__xludf.DUMMYFUNCTION("IFERROR((IFERROR(FILTER('Fund Investment Data'!$P:$P,'Fund Investment Data'!$C:$C = $C1846,'Fund Investment Data'!$A:$A = ($A1846 - 2), 'Fund Investment Data'!$B:$B = 12),0) - SUM(FILTER('Fund Investment Data'!$V:$V, 'Fund Investment Data'!$C:$C = $C1846,"&amp;" 'Fund Investment Data'!$A:$A = ($A1846 - 2), 'Fund Investment Data'!$B:$B &gt; 3)))  * Parameters!$B$4 * (1 - Parameters!$A$4),0)"),1786.5376199999996)</f>
        <v>1786.53762</v>
      </c>
      <c r="Z1846" s="91">
        <f t="shared" si="24"/>
        <v>5953.570924</v>
      </c>
      <c r="AA1846" s="91">
        <f>IFERROR(__xludf.DUMMYFUNCTION("((IFERROR((SUM(FILTER('Fund Investment Data'!$V:$V, 'Fund Investment Data'!$C:$C = $C1846, 'Fund Investment Data'!$A:$A = $A1846 - 1, 'Fund Investment Data'!$B:$B &gt;= 4, 'Fund Investment Data'!$B:$B &lt;= ($B1846 + 5))) / 12) * ($B1846 - 3) * Parameters!$B$4,"&amp;" 0) + IF($B1846 &gt;= 9, IFERROR(SUM(FILTER('Fund Investment Data'!$V:$V, 'Fund Investment Data'!$C:$C = $C1846, 'Fund Investment Data'!$A:$A = $A1846, 'Fund Investment Data'!$B:$B &lt;= 3)) * Parameters!$B$4, 0),0)))"),0.0)</f>
        <v>0</v>
      </c>
      <c r="AB1846" s="32">
        <f>IFERROR(__xludf.DUMMYFUNCTION("IFERROR(((IFERROR(SUM(FILTER('Fund Investment Data'!$V:$V, 'Fund Investment Data'!$C:$C = $C1846, 'Fund Investment Data'!$A:$A = $A1846 - 2, 'Fund Investment Data'!$B:$B &gt;= 4)) * Parameters!$B$4,0) + IFERROR(SUM(FILTER('Fund Investment Data'!$V:$V, 'Fund "&amp;"Investment Data'!$C:$C = $C1846, 'Fund Investment Data'!$A:$A = $A1846 - 1, 'Fund Investment Data'!$B:$B &lt;= 3)) * Parameters!$B$4,0))),0)"),0.0)</f>
        <v>0</v>
      </c>
      <c r="AC1846" s="32" t="str">
        <f>IFERROR(__xludf.DUMMYFUNCTION("IFERROR(FILTER($AF:$AF,$C:$C = $C1846,$A:$A = $A1846 - 1,$B:$B = 12),0)"),"")</f>
        <v/>
      </c>
      <c r="AD1846" s="32">
        <f t="shared" si="23"/>
        <v>5953.570924</v>
      </c>
      <c r="AE1846" s="32">
        <f t="shared" si="2"/>
        <v>5953.570924</v>
      </c>
      <c r="AF1846" s="32"/>
    </row>
    <row r="1847">
      <c r="A1847" s="86">
        <v>2020.0</v>
      </c>
      <c r="B1847" s="87">
        <v>6.0</v>
      </c>
      <c r="C1847" s="105" t="s">
        <v>35</v>
      </c>
      <c r="D1847" s="104">
        <v>0.0</v>
      </c>
      <c r="E1847" s="104">
        <v>0.0</v>
      </c>
      <c r="F1847" s="104">
        <v>0.0</v>
      </c>
      <c r="G1847" s="104">
        <v>-3125.93</v>
      </c>
      <c r="H1847" s="104">
        <v>18862.25</v>
      </c>
      <c r="I1847" s="104">
        <v>77980.55</v>
      </c>
      <c r="J1847" s="104">
        <v>-180402.72</v>
      </c>
      <c r="K1847" s="32"/>
      <c r="L1847" s="32"/>
      <c r="M1847" s="32"/>
      <c r="N1847" s="32"/>
      <c r="O1847" s="106">
        <v>1365441.19</v>
      </c>
      <c r="P1847" s="91">
        <f>IFERROR(__xludf.DUMMYFUNCTION("IFERROR(sum(FILTER($D:$N,$C:$C = $C1847,$A:$A &lt; $A1847,$B:$B = 12)),0) + sum($D1847:$N1847)"),1365440.4200000004)</f>
        <v>1365440.42</v>
      </c>
      <c r="Q1847" s="92">
        <f t="shared" si="1"/>
        <v>0.7699999996</v>
      </c>
      <c r="R1847" s="91">
        <f t="array" ref="R1847">IFERROR(INDEX('Fund YTD Target Values'!$1:$1000, MATCH($C1847,'Fund YTD Target Values'!$A:$A,0), MATCH($A1847,'Fund YTD Target Values'!$1:$1,0)),0)</f>
        <v>1646621.83</v>
      </c>
      <c r="S1847" s="91">
        <f>IFERROR(__xludf.DUMMYFUNCTION("IFERROR(sum(FILTER('Fund Investment Data'!$V:$V, 'Fund Investment Data'!$C:$C = $C1847, 'Fund Investment Data'!$A:$A &lt; $A1847)),0) + IFERROR(sum(FILTER('Fund Investment Data'!$V:$V, 'Fund Investment Data'!$C:$C = $C1847, 'Fund Investment Data'!$A:$A = $A1"&amp;"847, 'Fund Investment Data'!$B:$B &lt;= $B1847)),0)"),1086625.0)</f>
        <v>1086625</v>
      </c>
      <c r="T1847" s="32"/>
      <c r="U1847" s="32"/>
      <c r="V1847" s="32">
        <f>IFERROR(__xludf.DUMMYFUNCTION("$D1847 - IFERROR(FILTER($D:$D,$C:$C = $C1847, $A:$A = $A1847, $B:$B = $B1847 - 1),0)"),0.0)</f>
        <v>0</v>
      </c>
      <c r="W1847" s="93">
        <f>IFERROR(__xludf.DUMMYFUNCTION("$E1847 - IFERROR(FILTER($E:$E,$C:$C = $C1847, $A:$A = $A1847, $B:$B = $B1847 - 1),0)"),0.0)</f>
        <v>0</v>
      </c>
      <c r="X1847" s="91">
        <f>IFERROR(__xludf.DUMMYFUNCTION("iFERROR((FILTER('Fund Investment Data'!$Z:$Z, 'Fund Investment Data'!$C:$C = $C1847, 'Fund Investment Data'!$A:$A = $A1847 - 1, 'Fund Investment Data'!$B:$B = 12) + FILTER('Fund Investment Data'!$AB:$AB, 'Fund Investment Data'!$C:$C = $C1847, 'Fund Invest"&amp;"ment Data'!$A:$A = $A1847 - 1, 'Fund Investment Data'!$B:$B = 12)) * (1 + AVERAGE(FILTER('Inflation Data'!$C:$C,'Inflation Data'!$A:$A = ($A1847 - 2)))) * Parameters!$A$4,0)"),48017.5257939409)</f>
        <v>48017.52579</v>
      </c>
      <c r="Y1847" s="91">
        <f>IFERROR(__xludf.DUMMYFUNCTION("IFERROR((IFERROR(FILTER('Fund Investment Data'!$P:$P,'Fund Investment Data'!$C:$C = $C1847,'Fund Investment Data'!$A:$A = ($A1847 - 2), 'Fund Investment Data'!$B:$B = 12),0) - SUM(FILTER('Fund Investment Data'!$V:$V, 'Fund Investment Data'!$C:$C = $C1847,"&amp;" 'Fund Investment Data'!$A:$A = ($A1847 - 2), 'Fund Investment Data'!$B:$B &gt; 3)))  * Parameters!$B$4 * (1 - Parameters!$A$4),0)"),17468.81194500001)</f>
        <v>17468.81195</v>
      </c>
      <c r="Z1847" s="91">
        <f t="shared" si="24"/>
        <v>65486.33774</v>
      </c>
      <c r="AA1847" s="91">
        <f>IFERROR(__xludf.DUMMYFUNCTION("((IFERROR((SUM(FILTER('Fund Investment Data'!$V:$V, 'Fund Investment Data'!$C:$C = $C1847, 'Fund Investment Data'!$A:$A = $A1847 - 1, 'Fund Investment Data'!$B:$B &gt;= 4, 'Fund Investment Data'!$B:$B &lt;= ($B1847 + 5))) / 12) * ($B1847 - 3) * Parameters!$B$4,"&amp;" 0) + IF($B1847 &gt;= 9, IFERROR(SUM(FILTER('Fund Investment Data'!$V:$V, 'Fund Investment Data'!$C:$C = $C1847, 'Fund Investment Data'!$A:$A = $A1847, 'Fund Investment Data'!$B:$B &lt;= 3)) * Parameters!$B$4, 0),0)))"),0.0)</f>
        <v>0</v>
      </c>
      <c r="AB1847" s="32">
        <f>IFERROR(__xludf.DUMMYFUNCTION("IFERROR(((IFERROR(SUM(FILTER('Fund Investment Data'!$V:$V, 'Fund Investment Data'!$C:$C = $C1847, 'Fund Investment Data'!$A:$A = $A1847 - 2, 'Fund Investment Data'!$B:$B &gt;= 4)) * Parameters!$B$4,0) + IFERROR(SUM(FILTER('Fund Investment Data'!$V:$V, 'Fund "&amp;"Investment Data'!$C:$C = $C1847, 'Fund Investment Data'!$A:$A = $A1847 - 1, 'Fund Investment Data'!$B:$B &lt;= 3)) * Parameters!$B$4,0))),0)"),0.0)</f>
        <v>0</v>
      </c>
      <c r="AC1847" s="32" t="str">
        <f>IFERROR(__xludf.DUMMYFUNCTION("IFERROR(FILTER($AF:$AF,$C:$C = $C1847,$A:$A = $A1847 - 1,$B:$B = 12),0)"),"")</f>
        <v/>
      </c>
      <c r="AD1847" s="32">
        <f t="shared" si="23"/>
        <v>65486.33774</v>
      </c>
      <c r="AE1847" s="32">
        <f t="shared" si="2"/>
        <v>65486.33774</v>
      </c>
      <c r="AF1847" s="32"/>
    </row>
    <row r="1848">
      <c r="A1848" s="86">
        <v>2020.0</v>
      </c>
      <c r="B1848" s="87">
        <v>6.0</v>
      </c>
      <c r="C1848" s="105" t="s">
        <v>56</v>
      </c>
      <c r="D1848" s="104">
        <v>0.0</v>
      </c>
      <c r="E1848" s="104">
        <v>0.0</v>
      </c>
      <c r="F1848" s="104">
        <v>0.0</v>
      </c>
      <c r="G1848" s="104">
        <v>-2420.17</v>
      </c>
      <c r="H1848" s="104">
        <v>14603.55</v>
      </c>
      <c r="I1848" s="104">
        <v>60374.22</v>
      </c>
      <c r="J1848" s="104">
        <v>-139671.64</v>
      </c>
      <c r="K1848" s="32"/>
      <c r="L1848" s="32"/>
      <c r="M1848" s="32"/>
      <c r="N1848" s="32"/>
      <c r="O1848" s="106">
        <v>1057153.79</v>
      </c>
      <c r="P1848" s="91">
        <f>IFERROR(__xludf.DUMMYFUNCTION("IFERROR(sum(FILTER($D:$N,$C:$C = $C1848,$A:$A &lt; $A1848,$B:$B = 12)),0) + sum($D1848:$N1848)"),1057153.7899999998)</f>
        <v>1057153.79</v>
      </c>
      <c r="Q1848" s="92">
        <f t="shared" si="1"/>
        <v>0.0000000002328306437</v>
      </c>
      <c r="R1848" s="91">
        <f t="array" ref="R1848">IFERROR(INDEX('Fund YTD Target Values'!$1:$1000, MATCH($C1848,'Fund YTD Target Values'!$A:$A,0), MATCH($A1848,'Fund YTD Target Values'!$1:$1,0)),0)</f>
        <v>1105978.68</v>
      </c>
      <c r="S1848" s="91">
        <f>IFERROR(__xludf.DUMMYFUNCTION("IFERROR(sum(FILTER('Fund Investment Data'!$V:$V, 'Fund Investment Data'!$C:$C = $C1848, 'Fund Investment Data'!$A:$A &lt; $A1848)),0) + IFERROR(sum(FILTER('Fund Investment Data'!$V:$V, 'Fund Investment Data'!$C:$C = $C1848, 'Fund Investment Data'!$A:$A = $A1"&amp;"848, 'Fund Investment Data'!$B:$B &lt;= $B1848)),0)"),1000000.0)</f>
        <v>1000000</v>
      </c>
      <c r="T1848" s="32"/>
      <c r="U1848" s="32"/>
      <c r="V1848" s="32">
        <f>IFERROR(__xludf.DUMMYFUNCTION("$D1848 - IFERROR(FILTER($D:$D,$C:$C = $C1848, $A:$A = $A1848, $B:$B = $B1848 - 1),0)"),0.0)</f>
        <v>0</v>
      </c>
      <c r="W1848" s="93">
        <f>IFERROR(__xludf.DUMMYFUNCTION("$E1848 - IFERROR(FILTER($E:$E,$C:$C = $C1848, $A:$A = $A1848, $B:$B = $B1848 - 1),0)"),0.0)</f>
        <v>0</v>
      </c>
      <c r="X1848" s="91">
        <f>IFERROR(__xludf.DUMMYFUNCTION("iFERROR((FILTER('Fund Investment Data'!$Z:$Z, 'Fund Investment Data'!$C:$C = $C1848, 'Fund Investment Data'!$A:$A = $A1848 - 1, 'Fund Investment Data'!$B:$B = 12) + FILTER('Fund Investment Data'!$AB:$AB, 'Fund Investment Data'!$C:$C = $C1848, 'Fund Invest"&amp;"ment Data'!$A:$A = $A1848 - 1, 'Fund Investment Data'!$B:$B = 12)) * (1 + AVERAGE(FILTER('Inflation Data'!$C:$C,'Inflation Data'!$A:$A = ($A1848 - 2)))) * Parameters!$A$4,0)"),34855.73272923416)</f>
        <v>34855.73273</v>
      </c>
      <c r="Y1848" s="91">
        <f>IFERROR(__xludf.DUMMYFUNCTION("IFERROR((IFERROR(FILTER('Fund Investment Data'!$P:$P,'Fund Investment Data'!$C:$C = $C1848,'Fund Investment Data'!$A:$A = ($A1848 - 2), 'Fund Investment Data'!$B:$B = 12),0) - SUM(FILTER('Fund Investment Data'!$V:$V, 'Fund Investment Data'!$C:$C = $C1848,"&amp;" 'Fund Investment Data'!$A:$A = ($A1848 - 2), 'Fund Investment Data'!$B:$B &gt; 3)))  * Parameters!$B$4 * (1 - Parameters!$A$4),0)"),13492.071585)</f>
        <v>13492.07159</v>
      </c>
      <c r="Z1848" s="91">
        <f t="shared" si="24"/>
        <v>48347.80431</v>
      </c>
      <c r="AA1848" s="91">
        <f>IFERROR(__xludf.DUMMYFUNCTION("((IFERROR((SUM(FILTER('Fund Investment Data'!$V:$V, 'Fund Investment Data'!$C:$C = $C1848, 'Fund Investment Data'!$A:$A = $A1848 - 1, 'Fund Investment Data'!$B:$B &gt;= 4, 'Fund Investment Data'!$B:$B &lt;= ($B1848 + 5))) / 12) * ($B1848 - 3) * Parameters!$B$4,"&amp;" 0) + IF($B1848 &gt;= 9, IFERROR(SUM(FILTER('Fund Investment Data'!$V:$V, 'Fund Investment Data'!$C:$C = $C1848, 'Fund Investment Data'!$A:$A = $A1848, 'Fund Investment Data'!$B:$B &lt;= 3)) * Parameters!$B$4, 0),0)))"),0.0)</f>
        <v>0</v>
      </c>
      <c r="AB1848" s="32">
        <f>IFERROR(__xludf.DUMMYFUNCTION("IFERROR(((IFERROR(SUM(FILTER('Fund Investment Data'!$V:$V, 'Fund Investment Data'!$C:$C = $C1848, 'Fund Investment Data'!$A:$A = $A1848 - 2, 'Fund Investment Data'!$B:$B &gt;= 4)) * Parameters!$B$4,0) + IFERROR(SUM(FILTER('Fund Investment Data'!$V:$V, 'Fund "&amp;"Investment Data'!$C:$C = $C1848, 'Fund Investment Data'!$A:$A = $A1848 - 1, 'Fund Investment Data'!$B:$B &lt;= 3)) * Parameters!$B$4,0))),0)"),0.0)</f>
        <v>0</v>
      </c>
      <c r="AC1848" s="32" t="str">
        <f>IFERROR(__xludf.DUMMYFUNCTION("IFERROR(FILTER($AF:$AF,$C:$C = $C1848,$A:$A = $A1848 - 1,$B:$B = 12),0)"),"")</f>
        <v/>
      </c>
      <c r="AD1848" s="32">
        <f t="shared" si="23"/>
        <v>48347.80431</v>
      </c>
      <c r="AE1848" s="32">
        <f t="shared" si="2"/>
        <v>48347.80431</v>
      </c>
      <c r="AF1848" s="32"/>
    </row>
    <row r="1849">
      <c r="A1849" s="86">
        <v>2020.0</v>
      </c>
      <c r="B1849" s="87">
        <v>6.0</v>
      </c>
      <c r="C1849" s="105" t="s">
        <v>57</v>
      </c>
      <c r="D1849" s="104">
        <v>0.0</v>
      </c>
      <c r="E1849" s="104">
        <v>0.0</v>
      </c>
      <c r="F1849" s="104">
        <v>0.0</v>
      </c>
      <c r="G1849" s="104">
        <v>-4444.28</v>
      </c>
      <c r="H1849" s="104">
        <v>26817.27</v>
      </c>
      <c r="I1849" s="104">
        <v>110868.34</v>
      </c>
      <c r="J1849" s="104">
        <v>-256486.34</v>
      </c>
      <c r="K1849" s="32"/>
      <c r="L1849" s="32"/>
      <c r="M1849" s="32"/>
      <c r="N1849" s="32"/>
      <c r="O1849" s="106">
        <v>1941306.97</v>
      </c>
      <c r="P1849" s="91">
        <f>IFERROR(__xludf.DUMMYFUNCTION("IFERROR(sum(FILTER($D:$N,$C:$C = $C1849,$A:$A &lt; $A1849,$B:$B = 12)),0) + sum($D1849:$N1849)"),1941306.9700000002)</f>
        <v>1941306.97</v>
      </c>
      <c r="Q1849" s="92">
        <f t="shared" si="1"/>
        <v>-0.0000000002328306437</v>
      </c>
      <c r="R1849" s="91">
        <f t="array" ref="R1849">IFERROR(INDEX('Fund YTD Target Values'!$1:$1000, MATCH($C1849,'Fund YTD Target Values'!$A:$A,0), MATCH($A1849,'Fund YTD Target Values'!$1:$1,0)),0)</f>
        <v>2136262.679</v>
      </c>
      <c r="S1849" s="91">
        <f>IFERROR(__xludf.DUMMYFUNCTION("IFERROR(sum(FILTER('Fund Investment Data'!$V:$V, 'Fund Investment Data'!$C:$C = $C1849, 'Fund Investment Data'!$A:$A &lt; $A1849)),0) + IFERROR(sum(FILTER('Fund Investment Data'!$V:$V, 'Fund Investment Data'!$C:$C = $C1849, 'Fund Investment Data'!$A:$A = $A1"&amp;"849, 'Fund Investment Data'!$B:$B &lt;= $B1849)),0)"),2000000.0)</f>
        <v>2000000</v>
      </c>
      <c r="T1849" s="32"/>
      <c r="U1849" s="32"/>
      <c r="V1849" s="32">
        <f>IFERROR(__xludf.DUMMYFUNCTION("$D1849 - IFERROR(FILTER($D:$D,$C:$C = $C1849, $A:$A = $A1849, $B:$B = $B1849 - 1),0)"),0.0)</f>
        <v>0</v>
      </c>
      <c r="W1849" s="93">
        <f>IFERROR(__xludf.DUMMYFUNCTION("$E1849 - IFERROR(FILTER($E:$E,$C:$C = $C1849, $A:$A = $A1849, $B:$B = $B1849 - 1),0)"),0.0)</f>
        <v>0</v>
      </c>
      <c r="X1849" s="91">
        <f>IFERROR(__xludf.DUMMYFUNCTION("iFERROR((FILTER('Fund Investment Data'!$Z:$Z, 'Fund Investment Data'!$C:$C = $C1849, 'Fund Investment Data'!$A:$A = $A1849 - 1, 'Fund Investment Data'!$B:$B = 12) + FILTER('Fund Investment Data'!$AB:$AB, 'Fund Investment Data'!$C:$C = $C1849, 'Fund Invest"&amp;"ment Data'!$A:$A = $A1849 - 1, 'Fund Investment Data'!$B:$B = 12)) * (1 + AVERAGE(FILTER('Inflation Data'!$C:$C,'Inflation Data'!$A:$A = ($A1849 - 2)))) * Parameters!$A$4,0)"),64879.45168497103)</f>
        <v>64879.45168</v>
      </c>
      <c r="Y1849" s="91">
        <f>IFERROR(__xludf.DUMMYFUNCTION("IFERROR((IFERROR(FILTER('Fund Investment Data'!$P:$P,'Fund Investment Data'!$C:$C = $C1849,'Fund Investment Data'!$A:$A = ($A1849 - 2), 'Fund Investment Data'!$B:$B = 12),0) - SUM(FILTER('Fund Investment Data'!$V:$V, 'Fund Investment Data'!$C:$C = $C1849,"&amp;" 'Fund Investment Data'!$A:$A = ($A1849 - 2), 'Fund Investment Data'!$B:$B &gt; 3)))  * Parameters!$B$4 * (1 - Parameters!$A$4),0)"),25386.945345000004)</f>
        <v>25386.94535</v>
      </c>
      <c r="Z1849" s="91">
        <f t="shared" si="24"/>
        <v>90266.39703</v>
      </c>
      <c r="AA1849" s="91">
        <f>IFERROR(__xludf.DUMMYFUNCTION("((IFERROR((SUM(FILTER('Fund Investment Data'!$V:$V, 'Fund Investment Data'!$C:$C = $C1849, 'Fund Investment Data'!$A:$A = $A1849 - 1, 'Fund Investment Data'!$B:$B &gt;= 4, 'Fund Investment Data'!$B:$B &lt;= ($B1849 + 5))) / 12) * ($B1849 - 3) * Parameters!$B$4,"&amp;" 0) + IF($B1849 &gt;= 9, IFERROR(SUM(FILTER('Fund Investment Data'!$V:$V, 'Fund Investment Data'!$C:$C = $C1849, 'Fund Investment Data'!$A:$A = $A1849, 'Fund Investment Data'!$B:$B &lt;= 3)) * Parameters!$B$4, 0),0)))"),0.0)</f>
        <v>0</v>
      </c>
      <c r="AB1849" s="32">
        <f>IFERROR(__xludf.DUMMYFUNCTION("IFERROR(((IFERROR(SUM(FILTER('Fund Investment Data'!$V:$V, 'Fund Investment Data'!$C:$C = $C1849, 'Fund Investment Data'!$A:$A = $A1849 - 2, 'Fund Investment Data'!$B:$B &gt;= 4)) * Parameters!$B$4,0) + IFERROR(SUM(FILTER('Fund Investment Data'!$V:$V, 'Fund "&amp;"Investment Data'!$C:$C = $C1849, 'Fund Investment Data'!$A:$A = $A1849 - 1, 'Fund Investment Data'!$B:$B &lt;= 3)) * Parameters!$B$4,0))),0)"),0.0)</f>
        <v>0</v>
      </c>
      <c r="AC1849" s="32" t="str">
        <f>IFERROR(__xludf.DUMMYFUNCTION("IFERROR(FILTER($AF:$AF,$C:$C = $C1849,$A:$A = $A1849 - 1,$B:$B = 12),0)"),"")</f>
        <v/>
      </c>
      <c r="AD1849" s="32">
        <f t="shared" si="23"/>
        <v>90266.39703</v>
      </c>
      <c r="AE1849" s="32">
        <f t="shared" si="2"/>
        <v>90266.39703</v>
      </c>
      <c r="AF1849" s="32"/>
    </row>
    <row r="1850">
      <c r="A1850" s="86">
        <v>2020.0</v>
      </c>
      <c r="B1850" s="87">
        <v>6.0</v>
      </c>
      <c r="C1850" s="105" t="s">
        <v>58</v>
      </c>
      <c r="D1850" s="104">
        <v>0.0</v>
      </c>
      <c r="E1850" s="104">
        <v>0.0</v>
      </c>
      <c r="F1850" s="104">
        <v>0.0</v>
      </c>
      <c r="G1850" s="104">
        <v>-4443.57</v>
      </c>
      <c r="H1850" s="104">
        <v>26813.34</v>
      </c>
      <c r="I1850" s="104">
        <v>110852.14</v>
      </c>
      <c r="J1850" s="104">
        <v>-256448.87</v>
      </c>
      <c r="K1850" s="32"/>
      <c r="L1850" s="32"/>
      <c r="M1850" s="32"/>
      <c r="N1850" s="32"/>
      <c r="O1850" s="106">
        <v>1941023.26</v>
      </c>
      <c r="P1850" s="91">
        <f>IFERROR(__xludf.DUMMYFUNCTION("IFERROR(sum(FILTER($D:$N,$C:$C = $C1850,$A:$A &lt; $A1850,$B:$B = 12)),0) + sum($D1850:$N1850)"),1941023.26)</f>
        <v>1941023.26</v>
      </c>
      <c r="Q1850" s="92">
        <f t="shared" si="1"/>
        <v>0</v>
      </c>
      <c r="R1850" s="91">
        <f t="array" ref="R1850">IFERROR(INDEX('Fund YTD Target Values'!$1:$1000, MATCH($C1850,'Fund YTD Target Values'!$A:$A,0), MATCH($A1850,'Fund YTD Target Values'!$1:$1,0)),0)</f>
        <v>2136262.679</v>
      </c>
      <c r="S1850" s="91">
        <f>IFERROR(__xludf.DUMMYFUNCTION("IFERROR(sum(FILTER('Fund Investment Data'!$V:$V, 'Fund Investment Data'!$C:$C = $C1850, 'Fund Investment Data'!$A:$A &lt; $A1850)),0) + IFERROR(sum(FILTER('Fund Investment Data'!$V:$V, 'Fund Investment Data'!$C:$C = $C1850, 'Fund Investment Data'!$A:$A = $A1"&amp;"850, 'Fund Investment Data'!$B:$B &lt;= $B1850)),0)"),2000000.0)</f>
        <v>2000000</v>
      </c>
      <c r="T1850" s="32"/>
      <c r="U1850" s="32"/>
      <c r="V1850" s="32">
        <f>IFERROR(__xludf.DUMMYFUNCTION("$D1850 - IFERROR(FILTER($D:$D,$C:$C = $C1850, $A:$A = $A1850, $B:$B = $B1850 - 1),0)"),0.0)</f>
        <v>0</v>
      </c>
      <c r="W1850" s="93">
        <f>IFERROR(__xludf.DUMMYFUNCTION("$E1850 - IFERROR(FILTER($E:$E,$C:$C = $C1850, $A:$A = $A1850, $B:$B = $B1850 - 1),0)"),0.0)</f>
        <v>0</v>
      </c>
      <c r="X1850" s="91">
        <f>IFERROR(__xludf.DUMMYFUNCTION("iFERROR((FILTER('Fund Investment Data'!$Z:$Z, 'Fund Investment Data'!$C:$C = $C1850, 'Fund Investment Data'!$A:$A = $A1850 - 1, 'Fund Investment Data'!$B:$B = 12) + FILTER('Fund Investment Data'!$AB:$AB, 'Fund Investment Data'!$C:$C = $C1850, 'Fund Invest"&amp;"ment Data'!$A:$A = $A1850 - 1, 'Fund Investment Data'!$B:$B = 12)) * (1 + AVERAGE(FILTER('Inflation Data'!$C:$C,'Inflation Data'!$A:$A = ($A1850 - 2)))) * Parameters!$A$4,0)"),64879.45168497103)</f>
        <v>64879.45168</v>
      </c>
      <c r="Y1850" s="91">
        <f>IFERROR(__xludf.DUMMYFUNCTION("IFERROR((IFERROR(FILTER('Fund Investment Data'!$P:$P,'Fund Investment Data'!$C:$C = $C1850,'Fund Investment Data'!$A:$A = ($A1850 - 2), 'Fund Investment Data'!$B:$B = 12),0) - SUM(FILTER('Fund Investment Data'!$V:$V, 'Fund Investment Data'!$C:$C = $C1850,"&amp;" 'Fund Investment Data'!$A:$A = ($A1850 - 2), 'Fund Investment Data'!$B:$B &gt; 3)))  * Parameters!$B$4 * (1 - Parameters!$A$4),0)"),25116.945075000007)</f>
        <v>25116.94508</v>
      </c>
      <c r="Z1850" s="91">
        <f t="shared" si="24"/>
        <v>89996.39676</v>
      </c>
      <c r="AA1850" s="91">
        <f>IFERROR(__xludf.DUMMYFUNCTION("((IFERROR((SUM(FILTER('Fund Investment Data'!$V:$V, 'Fund Investment Data'!$C:$C = $C1850, 'Fund Investment Data'!$A:$A = $A1850 - 1, 'Fund Investment Data'!$B:$B &gt;= 4, 'Fund Investment Data'!$B:$B &lt;= ($B1850 + 5))) / 12) * ($B1850 - 3) * Parameters!$B$4,"&amp;" 0) + IF($B1850 &gt;= 9, IFERROR(SUM(FILTER('Fund Investment Data'!$V:$V, 'Fund Investment Data'!$C:$C = $C1850, 'Fund Investment Data'!$A:$A = $A1850, 'Fund Investment Data'!$B:$B &lt;= 3)) * Parameters!$B$4, 0),0)))"),0.0)</f>
        <v>0</v>
      </c>
      <c r="AB1850" s="32">
        <f>IFERROR(__xludf.DUMMYFUNCTION("IFERROR(((IFERROR(SUM(FILTER('Fund Investment Data'!$V:$V, 'Fund Investment Data'!$C:$C = $C1850, 'Fund Investment Data'!$A:$A = $A1850 - 2, 'Fund Investment Data'!$B:$B &gt;= 4)) * Parameters!$B$4,0) + IFERROR(SUM(FILTER('Fund Investment Data'!$V:$V, 'Fund "&amp;"Investment Data'!$C:$C = $C1850, 'Fund Investment Data'!$A:$A = $A1850 - 1, 'Fund Investment Data'!$B:$B &lt;= 3)) * Parameters!$B$4,0))),0)"),0.0)</f>
        <v>0</v>
      </c>
      <c r="AC1850" s="32" t="str">
        <f>IFERROR(__xludf.DUMMYFUNCTION("IFERROR(FILTER($AF:$AF,$C:$C = $C1850,$A:$A = $A1850 - 1,$B:$B = 12),0)"),"")</f>
        <v/>
      </c>
      <c r="AD1850" s="32">
        <f t="shared" si="23"/>
        <v>89996.39676</v>
      </c>
      <c r="AE1850" s="32">
        <f t="shared" si="2"/>
        <v>89996.39676</v>
      </c>
      <c r="AF1850" s="32"/>
    </row>
    <row r="1851">
      <c r="A1851" s="86"/>
      <c r="B1851" s="87"/>
      <c r="C1851" s="88"/>
      <c r="D1851" s="104"/>
      <c r="E1851" s="104"/>
      <c r="F1851" s="104"/>
      <c r="G1851" s="104"/>
      <c r="H1851" s="104"/>
      <c r="I1851" s="104"/>
      <c r="J1851" s="104"/>
      <c r="K1851" s="32"/>
      <c r="L1851" s="32"/>
      <c r="M1851" s="32"/>
      <c r="N1851" s="32"/>
      <c r="O1851" s="106"/>
      <c r="P1851" s="91">
        <f>IFERROR(__xludf.DUMMYFUNCTION("IFERROR(sum(FILTER($D:$N,$C:$C = $C1851,$A:$A &lt; $A1851,$B:$B = 12)),0) + sum($D1851:$N1851)"),0.0)</f>
        <v>0</v>
      </c>
      <c r="Q1851" s="92">
        <f t="shared" si="1"/>
        <v>0</v>
      </c>
      <c r="R1851" s="91">
        <f t="array" ref="R1851">IFERROR(INDEX('Fund YTD Target Values'!$1:$1000, MATCH($C1851,'Fund YTD Target Values'!$A:$A,0), MATCH($A1851,'Fund YTD Target Values'!$1:$1,0)),0)</f>
        <v>0</v>
      </c>
      <c r="S1851" s="91">
        <f>IFERROR(__xludf.DUMMYFUNCTION("IFERROR(sum(FILTER('Fund Investment Data'!$V:$V, 'Fund Investment Data'!$C:$C = $C1851, 'Fund Investment Data'!$A:$A &lt; $A1851)),0) + IFERROR(sum(FILTER('Fund Investment Data'!$V:$V, 'Fund Investment Data'!$C:$C = $C1851, 'Fund Investment Data'!$A:$A = $A1"&amp;"851, 'Fund Investment Data'!$B:$B &lt;= $B1851)),0)"),0.0)</f>
        <v>0</v>
      </c>
      <c r="T1851" s="32"/>
      <c r="U1851" s="32"/>
      <c r="V1851" s="32">
        <f>IFERROR(__xludf.DUMMYFUNCTION("$D1851 - IFERROR(FILTER($D:$D,$C:$C = $C1851, $A:$A = $A1851, $B:$B = $B1851 - 1),0)"),0.0)</f>
        <v>0</v>
      </c>
      <c r="W1851" s="93">
        <f>IFERROR(__xludf.DUMMYFUNCTION("$E1851 - IFERROR(FILTER($E:$E,$C:$C = $C1851, $A:$A = $A1851, $B:$B = $B1851 - 1),0)"),0.0)</f>
        <v>0</v>
      </c>
      <c r="X1851" s="91">
        <f>IFERROR(__xludf.DUMMYFUNCTION("iFERROR((FILTER('Fund Investment Data'!$Z:$Z, 'Fund Investment Data'!$C:$C = $C1851, 'Fund Investment Data'!$A:$A = $A1851 - 1, 'Fund Investment Data'!$B:$B = 12) + FILTER('Fund Investment Data'!$AB:$AB, 'Fund Investment Data'!$C:$C = $C1851, 'Fund Invest"&amp;"ment Data'!$A:$A = $A1851 - 1, 'Fund Investment Data'!$B:$B = 12)) * (1 + AVERAGE(FILTER('Inflation Data'!$C:$C,'Inflation Data'!$A:$A = ($A1851 - 2)))) * Parameters!$A$4,0)"),0.0)</f>
        <v>0</v>
      </c>
      <c r="Y1851" s="91">
        <f>IFERROR(__xludf.DUMMYFUNCTION("IFERROR((IFERROR(FILTER('Fund Investment Data'!$P:$P,'Fund Investment Data'!$C:$C = $C1851,'Fund Investment Data'!$A:$A = ($A1851 - 2), 'Fund Investment Data'!$B:$B = 12),0) - SUM(FILTER('Fund Investment Data'!$V:$V, 'Fund Investment Data'!$C:$C = $C1851,"&amp;" 'Fund Investment Data'!$A:$A = ($A1851 - 2), 'Fund Investment Data'!$B:$B &gt; 3)))  * Parameters!$B$4 * (1 - Parameters!$A$4),0)"),0.0)</f>
        <v>0</v>
      </c>
      <c r="Z1851" s="91">
        <f t="shared" si="24"/>
        <v>0</v>
      </c>
      <c r="AA1851" s="91">
        <f>IFERROR(__xludf.DUMMYFUNCTION("((IFERROR((SUM(FILTER('Fund Investment Data'!$V:$V, 'Fund Investment Data'!$C:$C = $C1851, 'Fund Investment Data'!$A:$A = $A1851 - 1, 'Fund Investment Data'!$B:$B &gt;= 4, 'Fund Investment Data'!$B:$B &lt;= ($B1851 + 5))) / 12) * ($B1851 - 3) * Parameters!$B$4,"&amp;" 0) + IF($B1851 &gt;= 9, IFERROR(SUM(FILTER('Fund Investment Data'!$V:$V, 'Fund Investment Data'!$C:$C = $C1851, 'Fund Investment Data'!$A:$A = $A1851, 'Fund Investment Data'!$B:$B &lt;= 3)) * Parameters!$B$4, 0),0)))"),0.0)</f>
        <v>0</v>
      </c>
      <c r="AB1851" s="32">
        <f>IFERROR(__xludf.DUMMYFUNCTION("IFERROR(((IFERROR(SUM(FILTER('Fund Investment Data'!$V:$V, 'Fund Investment Data'!$C:$C = $C1851, 'Fund Investment Data'!$A:$A = $A1851 - 2, 'Fund Investment Data'!$B:$B &gt;= 4)) * Parameters!$B$4,0) + IFERROR(SUM(FILTER('Fund Investment Data'!$V:$V, 'Fund "&amp;"Investment Data'!$C:$C = $C1851, 'Fund Investment Data'!$A:$A = $A1851 - 1, 'Fund Investment Data'!$B:$B &lt;= 3)) * Parameters!$B$4,0))),0)"),0.0)</f>
        <v>0</v>
      </c>
      <c r="AC1851" s="32">
        <f>IFERROR(__xludf.DUMMYFUNCTION("IFERROR(FILTER($AF:$AF,$C:$C = $C1851,$A:$A = $A1851 - 1,$B:$B = 12),0)"),0.0)</f>
        <v>0</v>
      </c>
      <c r="AD1851" s="32">
        <f t="shared" si="23"/>
        <v>0</v>
      </c>
      <c r="AE1851" s="32">
        <f t="shared" si="2"/>
        <v>0</v>
      </c>
      <c r="AF1851" s="32"/>
    </row>
    <row r="1852">
      <c r="A1852" s="86"/>
      <c r="B1852" s="87"/>
      <c r="C1852" s="88"/>
      <c r="D1852" s="104"/>
      <c r="E1852" s="104"/>
      <c r="F1852" s="104"/>
      <c r="G1852" s="104"/>
      <c r="H1852" s="104"/>
      <c r="I1852" s="104"/>
      <c r="J1852" s="104"/>
      <c r="K1852" s="32"/>
      <c r="L1852" s="32"/>
      <c r="M1852" s="32"/>
      <c r="N1852" s="32"/>
      <c r="O1852" s="106"/>
      <c r="P1852" s="91">
        <f>IFERROR(__xludf.DUMMYFUNCTION("IFERROR(sum(FILTER($D:$N,$C:$C = $C1852,$A:$A &lt; $A1852,$B:$B = 12)),0) + sum($D1852:$N1852)"),0.0)</f>
        <v>0</v>
      </c>
      <c r="Q1852" s="92">
        <f t="shared" si="1"/>
        <v>0</v>
      </c>
      <c r="R1852" s="91">
        <f t="array" ref="R1852">IFERROR(INDEX('Fund YTD Target Values'!$1:$1000, MATCH($C1852,'Fund YTD Target Values'!$A:$A,0), MATCH($A1852,'Fund YTD Target Values'!$1:$1,0)),0)</f>
        <v>0</v>
      </c>
      <c r="S1852" s="91">
        <f>IFERROR(__xludf.DUMMYFUNCTION("IFERROR(sum(FILTER('Fund Investment Data'!$V:$V, 'Fund Investment Data'!$C:$C = $C1852, 'Fund Investment Data'!$A:$A &lt; $A1852)),0) + IFERROR(sum(FILTER('Fund Investment Data'!$V:$V, 'Fund Investment Data'!$C:$C = $C1852, 'Fund Investment Data'!$A:$A = $A1"&amp;"852, 'Fund Investment Data'!$B:$B &lt;= $B1852)),0)"),0.0)</f>
        <v>0</v>
      </c>
      <c r="T1852" s="32"/>
      <c r="U1852" s="32"/>
      <c r="V1852" s="32">
        <f>IFERROR(__xludf.DUMMYFUNCTION("$D1852 - IFERROR(FILTER($D:$D,$C:$C = $C1852, $A:$A = $A1852, $B:$B = $B1852 - 1),0)"),0.0)</f>
        <v>0</v>
      </c>
      <c r="W1852" s="93">
        <f>IFERROR(__xludf.DUMMYFUNCTION("$E1852 - IFERROR(FILTER($E:$E,$C:$C = $C1852, $A:$A = $A1852, $B:$B = $B1852 - 1),0)"),0.0)</f>
        <v>0</v>
      </c>
      <c r="X1852" s="91">
        <f>IFERROR(__xludf.DUMMYFUNCTION("iFERROR((FILTER('Fund Investment Data'!$Z:$Z, 'Fund Investment Data'!$C:$C = $C1852, 'Fund Investment Data'!$A:$A = $A1852 - 1, 'Fund Investment Data'!$B:$B = 12) + FILTER('Fund Investment Data'!$AB:$AB, 'Fund Investment Data'!$C:$C = $C1852, 'Fund Invest"&amp;"ment Data'!$A:$A = $A1852 - 1, 'Fund Investment Data'!$B:$B = 12)) * (1 + AVERAGE(FILTER('Inflation Data'!$C:$C,'Inflation Data'!$A:$A = ($A1852 - 2)))) * Parameters!$A$4,0)"),0.0)</f>
        <v>0</v>
      </c>
      <c r="Y1852" s="91">
        <f>IFERROR(__xludf.DUMMYFUNCTION("IFERROR((IFERROR(FILTER('Fund Investment Data'!$P:$P,'Fund Investment Data'!$C:$C = $C1852,'Fund Investment Data'!$A:$A = ($A1852 - 2), 'Fund Investment Data'!$B:$B = 12),0) - SUM(FILTER('Fund Investment Data'!$V:$V, 'Fund Investment Data'!$C:$C = $C1852,"&amp;" 'Fund Investment Data'!$A:$A = ($A1852 - 2), 'Fund Investment Data'!$B:$B &gt; 3)))  * Parameters!$B$4 * (1 - Parameters!$A$4),0)"),0.0)</f>
        <v>0</v>
      </c>
      <c r="Z1852" s="91">
        <f t="shared" si="24"/>
        <v>0</v>
      </c>
      <c r="AA1852" s="91">
        <f>IFERROR(__xludf.DUMMYFUNCTION("((IFERROR((SUM(FILTER('Fund Investment Data'!$V:$V, 'Fund Investment Data'!$C:$C = $C1852, 'Fund Investment Data'!$A:$A = $A1852 - 1, 'Fund Investment Data'!$B:$B &gt;= 4, 'Fund Investment Data'!$B:$B &lt;= ($B1852 + 5))) / 12) * ($B1852 - 3) * Parameters!$B$4,"&amp;" 0) + IF($B1852 &gt;= 9, IFERROR(SUM(FILTER('Fund Investment Data'!$V:$V, 'Fund Investment Data'!$C:$C = $C1852, 'Fund Investment Data'!$A:$A = $A1852, 'Fund Investment Data'!$B:$B &lt;= 3)) * Parameters!$B$4, 0),0)))"),0.0)</f>
        <v>0</v>
      </c>
      <c r="AB1852" s="32">
        <f>IFERROR(__xludf.DUMMYFUNCTION("IFERROR(((IFERROR(SUM(FILTER('Fund Investment Data'!$V:$V, 'Fund Investment Data'!$C:$C = $C1852, 'Fund Investment Data'!$A:$A = $A1852 - 2, 'Fund Investment Data'!$B:$B &gt;= 4)) * Parameters!$B$4,0) + IFERROR(SUM(FILTER('Fund Investment Data'!$V:$V, 'Fund "&amp;"Investment Data'!$C:$C = $C1852, 'Fund Investment Data'!$A:$A = $A1852 - 1, 'Fund Investment Data'!$B:$B &lt;= 3)) * Parameters!$B$4,0))),0)"),0.0)</f>
        <v>0</v>
      </c>
      <c r="AC1852" s="32">
        <f>IFERROR(__xludf.DUMMYFUNCTION("IFERROR(FILTER($AF:$AF,$C:$C = $C1852,$A:$A = $A1852 - 1,$B:$B = 12),0)"),0.0)</f>
        <v>0</v>
      </c>
      <c r="AD1852" s="32">
        <f t="shared" si="23"/>
        <v>0</v>
      </c>
      <c r="AE1852" s="32">
        <f t="shared" si="2"/>
        <v>0</v>
      </c>
      <c r="AF1852" s="32"/>
    </row>
    <row r="1853">
      <c r="A1853" s="86"/>
      <c r="B1853" s="87"/>
      <c r="C1853" s="88"/>
      <c r="D1853" s="104"/>
      <c r="E1853" s="104"/>
      <c r="F1853" s="104"/>
      <c r="G1853" s="104"/>
      <c r="H1853" s="104"/>
      <c r="I1853" s="104"/>
      <c r="J1853" s="104"/>
      <c r="K1853" s="32"/>
      <c r="L1853" s="32"/>
      <c r="M1853" s="32"/>
      <c r="N1853" s="32"/>
      <c r="O1853" s="106"/>
      <c r="P1853" s="91">
        <f>IFERROR(__xludf.DUMMYFUNCTION("IFERROR(sum(FILTER($D:$N,$C:$C = $C1853,$A:$A &lt; $A1853,$B:$B = 12)),0) + sum($D1853:$N1853)"),0.0)</f>
        <v>0</v>
      </c>
      <c r="Q1853" s="92">
        <f t="shared" si="1"/>
        <v>0</v>
      </c>
      <c r="R1853" s="91">
        <f t="array" ref="R1853">IFERROR(INDEX('Fund YTD Target Values'!$1:$1000, MATCH($C1853,'Fund YTD Target Values'!$A:$A,0), MATCH($A1853,'Fund YTD Target Values'!$1:$1,0)),0)</f>
        <v>0</v>
      </c>
      <c r="S1853" s="91">
        <f>IFERROR(__xludf.DUMMYFUNCTION("IFERROR(sum(FILTER('Fund Investment Data'!$V:$V, 'Fund Investment Data'!$C:$C = $C1853, 'Fund Investment Data'!$A:$A &lt; $A1853)),0) + IFERROR(sum(FILTER('Fund Investment Data'!$V:$V, 'Fund Investment Data'!$C:$C = $C1853, 'Fund Investment Data'!$A:$A = $A1"&amp;"853, 'Fund Investment Data'!$B:$B &lt;= $B1853)),0)"),0.0)</f>
        <v>0</v>
      </c>
      <c r="T1853" s="32"/>
      <c r="U1853" s="32"/>
      <c r="V1853" s="32">
        <f>IFERROR(__xludf.DUMMYFUNCTION("$D1853 - IFERROR(FILTER($D:$D,$C:$C = $C1853, $A:$A = $A1853, $B:$B = $B1853 - 1),0)"),0.0)</f>
        <v>0</v>
      </c>
      <c r="W1853" s="93">
        <f>IFERROR(__xludf.DUMMYFUNCTION("$E1853 - IFERROR(FILTER($E:$E,$C:$C = $C1853, $A:$A = $A1853, $B:$B = $B1853 - 1),0)"),0.0)</f>
        <v>0</v>
      </c>
      <c r="X1853" s="91">
        <f>IFERROR(__xludf.DUMMYFUNCTION("iFERROR((FILTER('Fund Investment Data'!$Z:$Z, 'Fund Investment Data'!$C:$C = $C1853, 'Fund Investment Data'!$A:$A = $A1853 - 1, 'Fund Investment Data'!$B:$B = 12) + FILTER('Fund Investment Data'!$AB:$AB, 'Fund Investment Data'!$C:$C = $C1853, 'Fund Invest"&amp;"ment Data'!$A:$A = $A1853 - 1, 'Fund Investment Data'!$B:$B = 12)) * (1 + AVERAGE(FILTER('Inflation Data'!$C:$C,'Inflation Data'!$A:$A = ($A1853 - 2)))) * Parameters!$A$4,0)"),0.0)</f>
        <v>0</v>
      </c>
      <c r="Y1853" s="91">
        <f>IFERROR(__xludf.DUMMYFUNCTION("IFERROR((IFERROR(FILTER('Fund Investment Data'!$P:$P,'Fund Investment Data'!$C:$C = $C1853,'Fund Investment Data'!$A:$A = ($A1853 - 2), 'Fund Investment Data'!$B:$B = 12),0) - SUM(FILTER('Fund Investment Data'!$V:$V, 'Fund Investment Data'!$C:$C = $C1853,"&amp;" 'Fund Investment Data'!$A:$A = ($A1853 - 2), 'Fund Investment Data'!$B:$B &gt; 3)))  * Parameters!$B$4 * (1 - Parameters!$A$4),0)"),0.0)</f>
        <v>0</v>
      </c>
      <c r="Z1853" s="91">
        <f t="shared" si="24"/>
        <v>0</v>
      </c>
      <c r="AA1853" s="91">
        <f>IFERROR(__xludf.DUMMYFUNCTION("((IFERROR((SUM(FILTER('Fund Investment Data'!$V:$V, 'Fund Investment Data'!$C:$C = $C1853, 'Fund Investment Data'!$A:$A = $A1853 - 1, 'Fund Investment Data'!$B:$B &gt;= 4, 'Fund Investment Data'!$B:$B &lt;= ($B1853 + 5))) / 12) * ($B1853 - 3) * Parameters!$B$4,"&amp;" 0) + IF($B1853 &gt;= 9, IFERROR(SUM(FILTER('Fund Investment Data'!$V:$V, 'Fund Investment Data'!$C:$C = $C1853, 'Fund Investment Data'!$A:$A = $A1853, 'Fund Investment Data'!$B:$B &lt;= 3)) * Parameters!$B$4, 0),0)))"),0.0)</f>
        <v>0</v>
      </c>
      <c r="AB1853" s="32">
        <f>IFERROR(__xludf.DUMMYFUNCTION("IFERROR(((IFERROR(SUM(FILTER('Fund Investment Data'!$V:$V, 'Fund Investment Data'!$C:$C = $C1853, 'Fund Investment Data'!$A:$A = $A1853 - 2, 'Fund Investment Data'!$B:$B &gt;= 4)) * Parameters!$B$4,0) + IFERROR(SUM(FILTER('Fund Investment Data'!$V:$V, 'Fund "&amp;"Investment Data'!$C:$C = $C1853, 'Fund Investment Data'!$A:$A = $A1853 - 1, 'Fund Investment Data'!$B:$B &lt;= 3)) * Parameters!$B$4,0))),0)"),0.0)</f>
        <v>0</v>
      </c>
      <c r="AC1853" s="32">
        <f>IFERROR(__xludf.DUMMYFUNCTION("IFERROR(FILTER($AF:$AF,$C:$C = $C1853,$A:$A = $A1853 - 1,$B:$B = 12),0)"),0.0)</f>
        <v>0</v>
      </c>
      <c r="AD1853" s="32">
        <f t="shared" si="23"/>
        <v>0</v>
      </c>
      <c r="AE1853" s="32">
        <f t="shared" si="2"/>
        <v>0</v>
      </c>
      <c r="AF1853" s="32"/>
    </row>
    <row r="1854">
      <c r="A1854" s="86"/>
      <c r="B1854" s="87"/>
      <c r="C1854" s="88"/>
      <c r="D1854" s="104"/>
      <c r="E1854" s="104"/>
      <c r="F1854" s="104"/>
      <c r="G1854" s="104"/>
      <c r="H1854" s="104"/>
      <c r="I1854" s="104"/>
      <c r="J1854" s="104"/>
      <c r="K1854" s="32"/>
      <c r="L1854" s="32"/>
      <c r="M1854" s="32"/>
      <c r="N1854" s="32"/>
      <c r="O1854" s="106"/>
      <c r="P1854" s="91">
        <f>IFERROR(__xludf.DUMMYFUNCTION("IFERROR(sum(FILTER($D:$N,$C:$C = $C1854,$A:$A &lt; $A1854,$B:$B = 12)),0) + sum($D1854:$N1854)"),0.0)</f>
        <v>0</v>
      </c>
      <c r="Q1854" s="92">
        <f t="shared" si="1"/>
        <v>0</v>
      </c>
      <c r="R1854" s="91">
        <f t="array" ref="R1854">IFERROR(INDEX('Fund YTD Target Values'!$1:$1000, MATCH($C1854,'Fund YTD Target Values'!$A:$A,0), MATCH($A1854,'Fund YTD Target Values'!$1:$1,0)),0)</f>
        <v>0</v>
      </c>
      <c r="S1854" s="91">
        <f>IFERROR(__xludf.DUMMYFUNCTION("IFERROR(sum(FILTER('Fund Investment Data'!$V:$V, 'Fund Investment Data'!$C:$C = $C1854, 'Fund Investment Data'!$A:$A &lt; $A1854)),0) + IFERROR(sum(FILTER('Fund Investment Data'!$V:$V, 'Fund Investment Data'!$C:$C = $C1854, 'Fund Investment Data'!$A:$A = $A1"&amp;"854, 'Fund Investment Data'!$B:$B &lt;= $B1854)),0)"),0.0)</f>
        <v>0</v>
      </c>
      <c r="T1854" s="32"/>
      <c r="U1854" s="32"/>
      <c r="V1854" s="32">
        <f>IFERROR(__xludf.DUMMYFUNCTION("$D1854 - IFERROR(FILTER($D:$D,$C:$C = $C1854, $A:$A = $A1854, $B:$B = $B1854 - 1),0)"),0.0)</f>
        <v>0</v>
      </c>
      <c r="W1854" s="93">
        <f>IFERROR(__xludf.DUMMYFUNCTION("$E1854 - IFERROR(FILTER($E:$E,$C:$C = $C1854, $A:$A = $A1854, $B:$B = $B1854 - 1),0)"),0.0)</f>
        <v>0</v>
      </c>
      <c r="X1854" s="91">
        <f>IFERROR(__xludf.DUMMYFUNCTION("iFERROR((FILTER('Fund Investment Data'!$Z:$Z, 'Fund Investment Data'!$C:$C = $C1854, 'Fund Investment Data'!$A:$A = $A1854 - 1, 'Fund Investment Data'!$B:$B = 12) + FILTER('Fund Investment Data'!$AB:$AB, 'Fund Investment Data'!$C:$C = $C1854, 'Fund Invest"&amp;"ment Data'!$A:$A = $A1854 - 1, 'Fund Investment Data'!$B:$B = 12)) * (1 + AVERAGE(FILTER('Inflation Data'!$C:$C,'Inflation Data'!$A:$A = ($A1854 - 2)))) * Parameters!$A$4,0)"),0.0)</f>
        <v>0</v>
      </c>
      <c r="Y1854" s="91">
        <f>IFERROR(__xludf.DUMMYFUNCTION("IFERROR((IFERROR(FILTER('Fund Investment Data'!$P:$P,'Fund Investment Data'!$C:$C = $C1854,'Fund Investment Data'!$A:$A = ($A1854 - 2), 'Fund Investment Data'!$B:$B = 12),0) - SUM(FILTER('Fund Investment Data'!$V:$V, 'Fund Investment Data'!$C:$C = $C1854,"&amp;" 'Fund Investment Data'!$A:$A = ($A1854 - 2), 'Fund Investment Data'!$B:$B &gt; 3)))  * Parameters!$B$4 * (1 - Parameters!$A$4),0)"),0.0)</f>
        <v>0</v>
      </c>
      <c r="Z1854" s="91">
        <f t="shared" si="24"/>
        <v>0</v>
      </c>
      <c r="AA1854" s="91">
        <f>IFERROR(__xludf.DUMMYFUNCTION("((IFERROR((SUM(FILTER('Fund Investment Data'!$V:$V, 'Fund Investment Data'!$C:$C = $C1854, 'Fund Investment Data'!$A:$A = $A1854 - 1, 'Fund Investment Data'!$B:$B &gt;= 4, 'Fund Investment Data'!$B:$B &lt;= ($B1854 + 5))) / 12) * ($B1854 - 3) * Parameters!$B$4,"&amp;" 0) + IF($B1854 &gt;= 9, IFERROR(SUM(FILTER('Fund Investment Data'!$V:$V, 'Fund Investment Data'!$C:$C = $C1854, 'Fund Investment Data'!$A:$A = $A1854, 'Fund Investment Data'!$B:$B &lt;= 3)) * Parameters!$B$4, 0),0)))"),0.0)</f>
        <v>0</v>
      </c>
      <c r="AB1854" s="32">
        <f>IFERROR(__xludf.DUMMYFUNCTION("IFERROR(((IFERROR(SUM(FILTER('Fund Investment Data'!$V:$V, 'Fund Investment Data'!$C:$C = $C1854, 'Fund Investment Data'!$A:$A = $A1854 - 2, 'Fund Investment Data'!$B:$B &gt;= 4)) * Parameters!$B$4,0) + IFERROR(SUM(FILTER('Fund Investment Data'!$V:$V, 'Fund "&amp;"Investment Data'!$C:$C = $C1854, 'Fund Investment Data'!$A:$A = $A1854 - 1, 'Fund Investment Data'!$B:$B &lt;= 3)) * Parameters!$B$4,0))),0)"),0.0)</f>
        <v>0</v>
      </c>
      <c r="AC1854" s="32">
        <f>IFERROR(__xludf.DUMMYFUNCTION("IFERROR(FILTER($AF:$AF,$C:$C = $C1854,$A:$A = $A1854 - 1,$B:$B = 12),0)"),0.0)</f>
        <v>0</v>
      </c>
      <c r="AD1854" s="32">
        <f t="shared" si="23"/>
        <v>0</v>
      </c>
      <c r="AE1854" s="32">
        <f t="shared" si="2"/>
        <v>0</v>
      </c>
      <c r="AF1854" s="32"/>
    </row>
    <row r="1855">
      <c r="A1855" s="86"/>
      <c r="B1855" s="87"/>
      <c r="C1855" s="88"/>
      <c r="D1855" s="104"/>
      <c r="E1855" s="104"/>
      <c r="F1855" s="104"/>
      <c r="G1855" s="104"/>
      <c r="H1855" s="104"/>
      <c r="I1855" s="104"/>
      <c r="J1855" s="104"/>
      <c r="K1855" s="32"/>
      <c r="L1855" s="32"/>
      <c r="M1855" s="32"/>
      <c r="N1855" s="32"/>
      <c r="O1855" s="106"/>
      <c r="P1855" s="91">
        <f>IFERROR(__xludf.DUMMYFUNCTION("IFERROR(sum(FILTER($D:$N,$C:$C = $C1855,$A:$A &lt; $A1855,$B:$B = 12)),0) + sum($D1855:$N1855)"),0.0)</f>
        <v>0</v>
      </c>
      <c r="Q1855" s="92">
        <f t="shared" si="1"/>
        <v>0</v>
      </c>
      <c r="R1855" s="91">
        <f t="array" ref="R1855">IFERROR(INDEX('Fund YTD Target Values'!$1:$1000, MATCH($C1855,'Fund YTD Target Values'!$A:$A,0), MATCH($A1855,'Fund YTD Target Values'!$1:$1,0)),0)</f>
        <v>0</v>
      </c>
      <c r="S1855" s="91">
        <f>IFERROR(__xludf.DUMMYFUNCTION("IFERROR(sum(FILTER('Fund Investment Data'!$V:$V, 'Fund Investment Data'!$C:$C = $C1855, 'Fund Investment Data'!$A:$A &lt; $A1855)),0) + IFERROR(sum(FILTER('Fund Investment Data'!$V:$V, 'Fund Investment Data'!$C:$C = $C1855, 'Fund Investment Data'!$A:$A = $A1"&amp;"855, 'Fund Investment Data'!$B:$B &lt;= $B1855)),0)"),0.0)</f>
        <v>0</v>
      </c>
      <c r="T1855" s="32"/>
      <c r="U1855" s="32"/>
      <c r="V1855" s="32">
        <f>IFERROR(__xludf.DUMMYFUNCTION("$D1855 - IFERROR(FILTER($D:$D,$C:$C = $C1855, $A:$A = $A1855, $B:$B = $B1855 - 1),0)"),0.0)</f>
        <v>0</v>
      </c>
      <c r="W1855" s="93">
        <f>IFERROR(__xludf.DUMMYFUNCTION("$E1855 - IFERROR(FILTER($E:$E,$C:$C = $C1855, $A:$A = $A1855, $B:$B = $B1855 - 1),0)"),0.0)</f>
        <v>0</v>
      </c>
      <c r="X1855" s="91">
        <f>IFERROR(__xludf.DUMMYFUNCTION("iFERROR((FILTER('Fund Investment Data'!$Z:$Z, 'Fund Investment Data'!$C:$C = $C1855, 'Fund Investment Data'!$A:$A = $A1855 - 1, 'Fund Investment Data'!$B:$B = 12) + FILTER('Fund Investment Data'!$AB:$AB, 'Fund Investment Data'!$C:$C = $C1855, 'Fund Invest"&amp;"ment Data'!$A:$A = $A1855 - 1, 'Fund Investment Data'!$B:$B = 12)) * (1 + AVERAGE(FILTER('Inflation Data'!$C:$C,'Inflation Data'!$A:$A = ($A1855 - 2)))) * Parameters!$A$4,0)"),0.0)</f>
        <v>0</v>
      </c>
      <c r="Y1855" s="91">
        <f>IFERROR(__xludf.DUMMYFUNCTION("IFERROR((IFERROR(FILTER('Fund Investment Data'!$P:$P,'Fund Investment Data'!$C:$C = $C1855,'Fund Investment Data'!$A:$A = ($A1855 - 2), 'Fund Investment Data'!$B:$B = 12),0) - SUM(FILTER('Fund Investment Data'!$V:$V, 'Fund Investment Data'!$C:$C = $C1855,"&amp;" 'Fund Investment Data'!$A:$A = ($A1855 - 2), 'Fund Investment Data'!$B:$B &gt; 3)))  * Parameters!$B$4 * (1 - Parameters!$A$4),0)"),0.0)</f>
        <v>0</v>
      </c>
      <c r="Z1855" s="91">
        <f t="shared" si="24"/>
        <v>0</v>
      </c>
      <c r="AA1855" s="91">
        <f>IFERROR(__xludf.DUMMYFUNCTION("((IFERROR((SUM(FILTER('Fund Investment Data'!$V:$V, 'Fund Investment Data'!$C:$C = $C1855, 'Fund Investment Data'!$A:$A = $A1855 - 1, 'Fund Investment Data'!$B:$B &gt;= 4, 'Fund Investment Data'!$B:$B &lt;= ($B1855 + 5))) / 12) * ($B1855 - 3) * Parameters!$B$4,"&amp;" 0) + IF($B1855 &gt;= 9, IFERROR(SUM(FILTER('Fund Investment Data'!$V:$V, 'Fund Investment Data'!$C:$C = $C1855, 'Fund Investment Data'!$A:$A = $A1855, 'Fund Investment Data'!$B:$B &lt;= 3)) * Parameters!$B$4, 0),0)))"),0.0)</f>
        <v>0</v>
      </c>
      <c r="AB1855" s="32">
        <f>IFERROR(__xludf.DUMMYFUNCTION("IFERROR(((IFERROR(SUM(FILTER('Fund Investment Data'!$V:$V, 'Fund Investment Data'!$C:$C = $C1855, 'Fund Investment Data'!$A:$A = $A1855 - 2, 'Fund Investment Data'!$B:$B &gt;= 4)) * Parameters!$B$4,0) + IFERROR(SUM(FILTER('Fund Investment Data'!$V:$V, 'Fund "&amp;"Investment Data'!$C:$C = $C1855, 'Fund Investment Data'!$A:$A = $A1855 - 1, 'Fund Investment Data'!$B:$B &lt;= 3)) * Parameters!$B$4,0))),0)"),0.0)</f>
        <v>0</v>
      </c>
      <c r="AC1855" s="32">
        <f>IFERROR(__xludf.DUMMYFUNCTION("IFERROR(FILTER($AF:$AF,$C:$C = $C1855,$A:$A = $A1855 - 1,$B:$B = 12),0)"),0.0)</f>
        <v>0</v>
      </c>
      <c r="AD1855" s="32">
        <f t="shared" si="23"/>
        <v>0</v>
      </c>
      <c r="AE1855" s="32">
        <f t="shared" si="2"/>
        <v>0</v>
      </c>
      <c r="AF1855" s="32"/>
    </row>
    <row r="1856">
      <c r="A1856" s="86"/>
      <c r="B1856" s="87"/>
      <c r="C1856" s="88"/>
      <c r="D1856" s="104"/>
      <c r="E1856" s="104"/>
      <c r="F1856" s="104"/>
      <c r="G1856" s="104"/>
      <c r="H1856" s="104"/>
      <c r="I1856" s="104"/>
      <c r="J1856" s="104"/>
      <c r="K1856" s="32"/>
      <c r="L1856" s="32"/>
      <c r="M1856" s="32"/>
      <c r="N1856" s="32"/>
      <c r="O1856" s="106"/>
      <c r="P1856" s="91">
        <f>IFERROR(__xludf.DUMMYFUNCTION("IFERROR(sum(FILTER($D:$N,$C:$C = $C1856,$A:$A &lt; $A1856,$B:$B = 12)),0) + sum($D1856:$N1856)"),0.0)</f>
        <v>0</v>
      </c>
      <c r="Q1856" s="92">
        <f t="shared" si="1"/>
        <v>0</v>
      </c>
      <c r="R1856" s="91">
        <f t="array" ref="R1856">IFERROR(INDEX('Fund YTD Target Values'!$1:$1000, MATCH($C1856,'Fund YTD Target Values'!$A:$A,0), MATCH($A1856,'Fund YTD Target Values'!$1:$1,0)),0)</f>
        <v>0</v>
      </c>
      <c r="S1856" s="91">
        <f>IFERROR(__xludf.DUMMYFUNCTION("IFERROR(sum(FILTER('Fund Investment Data'!$V:$V, 'Fund Investment Data'!$C:$C = $C1856, 'Fund Investment Data'!$A:$A &lt; $A1856)),0) + IFERROR(sum(FILTER('Fund Investment Data'!$V:$V, 'Fund Investment Data'!$C:$C = $C1856, 'Fund Investment Data'!$A:$A = $A1"&amp;"856, 'Fund Investment Data'!$B:$B &lt;= $B1856)),0)"),0.0)</f>
        <v>0</v>
      </c>
      <c r="T1856" s="32"/>
      <c r="U1856" s="32"/>
      <c r="V1856" s="32">
        <f>IFERROR(__xludf.DUMMYFUNCTION("$D1856 - IFERROR(FILTER($D:$D,$C:$C = $C1856, $A:$A = $A1856, $B:$B = $B1856 - 1),0)"),0.0)</f>
        <v>0</v>
      </c>
      <c r="W1856" s="93">
        <f>IFERROR(__xludf.DUMMYFUNCTION("$E1856 - IFERROR(FILTER($E:$E,$C:$C = $C1856, $A:$A = $A1856, $B:$B = $B1856 - 1),0)"),0.0)</f>
        <v>0</v>
      </c>
      <c r="X1856" s="91">
        <f>IFERROR(__xludf.DUMMYFUNCTION("iFERROR((FILTER('Fund Investment Data'!$Z:$Z, 'Fund Investment Data'!$C:$C = $C1856, 'Fund Investment Data'!$A:$A = $A1856 - 1, 'Fund Investment Data'!$B:$B = 12) + FILTER('Fund Investment Data'!$AB:$AB, 'Fund Investment Data'!$C:$C = $C1856, 'Fund Invest"&amp;"ment Data'!$A:$A = $A1856 - 1, 'Fund Investment Data'!$B:$B = 12)) * (1 + AVERAGE(FILTER('Inflation Data'!$C:$C,'Inflation Data'!$A:$A = ($A1856 - 2)))) * Parameters!$A$4,0)"),0.0)</f>
        <v>0</v>
      </c>
      <c r="Y1856" s="91">
        <f>IFERROR(__xludf.DUMMYFUNCTION("IFERROR((IFERROR(FILTER('Fund Investment Data'!$P:$P,'Fund Investment Data'!$C:$C = $C1856,'Fund Investment Data'!$A:$A = ($A1856 - 2), 'Fund Investment Data'!$B:$B = 12),0) - SUM(FILTER('Fund Investment Data'!$V:$V, 'Fund Investment Data'!$C:$C = $C1856,"&amp;" 'Fund Investment Data'!$A:$A = ($A1856 - 2), 'Fund Investment Data'!$B:$B &gt; 3)))  * Parameters!$B$4 * (1 - Parameters!$A$4),0)"),0.0)</f>
        <v>0</v>
      </c>
      <c r="Z1856" s="91">
        <f t="shared" si="24"/>
        <v>0</v>
      </c>
      <c r="AA1856" s="91">
        <f>IFERROR(__xludf.DUMMYFUNCTION("((IFERROR((SUM(FILTER('Fund Investment Data'!$V:$V, 'Fund Investment Data'!$C:$C = $C1856, 'Fund Investment Data'!$A:$A = $A1856 - 1, 'Fund Investment Data'!$B:$B &gt;= 4, 'Fund Investment Data'!$B:$B &lt;= ($B1856 + 5))) / 12) * ($B1856 - 3) * Parameters!$B$4,"&amp;" 0) + IF($B1856 &gt;= 9, IFERROR(SUM(FILTER('Fund Investment Data'!$V:$V, 'Fund Investment Data'!$C:$C = $C1856, 'Fund Investment Data'!$A:$A = $A1856, 'Fund Investment Data'!$B:$B &lt;= 3)) * Parameters!$B$4, 0),0)))"),0.0)</f>
        <v>0</v>
      </c>
      <c r="AB1856" s="32">
        <f>IFERROR(__xludf.DUMMYFUNCTION("IFERROR(((IFERROR(SUM(FILTER('Fund Investment Data'!$V:$V, 'Fund Investment Data'!$C:$C = $C1856, 'Fund Investment Data'!$A:$A = $A1856 - 2, 'Fund Investment Data'!$B:$B &gt;= 4)) * Parameters!$B$4,0) + IFERROR(SUM(FILTER('Fund Investment Data'!$V:$V, 'Fund "&amp;"Investment Data'!$C:$C = $C1856, 'Fund Investment Data'!$A:$A = $A1856 - 1, 'Fund Investment Data'!$B:$B &lt;= 3)) * Parameters!$B$4,0))),0)"),0.0)</f>
        <v>0</v>
      </c>
      <c r="AC1856" s="32">
        <f>IFERROR(__xludf.DUMMYFUNCTION("IFERROR(FILTER($AF:$AF,$C:$C = $C1856,$A:$A = $A1856 - 1,$B:$B = 12),0)"),0.0)</f>
        <v>0</v>
      </c>
      <c r="AD1856" s="32">
        <f t="shared" si="23"/>
        <v>0</v>
      </c>
      <c r="AE1856" s="32">
        <f t="shared" si="2"/>
        <v>0</v>
      </c>
      <c r="AF1856" s="32"/>
    </row>
    <row r="1857">
      <c r="A1857" s="86"/>
      <c r="B1857" s="87"/>
      <c r="C1857" s="88"/>
      <c r="D1857" s="104"/>
      <c r="E1857" s="104"/>
      <c r="F1857" s="104"/>
      <c r="G1857" s="104"/>
      <c r="H1857" s="104"/>
      <c r="I1857" s="104"/>
      <c r="J1857" s="104"/>
      <c r="K1857" s="32"/>
      <c r="L1857" s="32"/>
      <c r="M1857" s="32"/>
      <c r="N1857" s="32"/>
      <c r="O1857" s="106"/>
      <c r="P1857" s="91">
        <f>IFERROR(__xludf.DUMMYFUNCTION("IFERROR(sum(FILTER($D:$N,$C:$C = $C1857,$A:$A &lt; $A1857,$B:$B = 12)),0) + sum($D1857:$N1857)"),0.0)</f>
        <v>0</v>
      </c>
      <c r="Q1857" s="92">
        <f t="shared" si="1"/>
        <v>0</v>
      </c>
      <c r="R1857" s="91">
        <f t="array" ref="R1857">IFERROR(INDEX('Fund YTD Target Values'!$1:$1000, MATCH($C1857,'Fund YTD Target Values'!$A:$A,0), MATCH($A1857,'Fund YTD Target Values'!$1:$1,0)),0)</f>
        <v>0</v>
      </c>
      <c r="S1857" s="91">
        <f>IFERROR(__xludf.DUMMYFUNCTION("IFERROR(sum(FILTER('Fund Investment Data'!$V:$V, 'Fund Investment Data'!$C:$C = $C1857, 'Fund Investment Data'!$A:$A &lt; $A1857)),0) + IFERROR(sum(FILTER('Fund Investment Data'!$V:$V, 'Fund Investment Data'!$C:$C = $C1857, 'Fund Investment Data'!$A:$A = $A1"&amp;"857, 'Fund Investment Data'!$B:$B &lt;= $B1857)),0)"),0.0)</f>
        <v>0</v>
      </c>
      <c r="T1857" s="32"/>
      <c r="U1857" s="32"/>
      <c r="V1857" s="32">
        <f>IFERROR(__xludf.DUMMYFUNCTION("$D1857 - IFERROR(FILTER($D:$D,$C:$C = $C1857, $A:$A = $A1857, $B:$B = $B1857 - 1),0)"),0.0)</f>
        <v>0</v>
      </c>
      <c r="W1857" s="93">
        <f>IFERROR(__xludf.DUMMYFUNCTION("$E1857 - IFERROR(FILTER($E:$E,$C:$C = $C1857, $A:$A = $A1857, $B:$B = $B1857 - 1),0)"),0.0)</f>
        <v>0</v>
      </c>
      <c r="X1857" s="91">
        <f>IFERROR(__xludf.DUMMYFUNCTION("iFERROR((FILTER('Fund Investment Data'!$Z:$Z, 'Fund Investment Data'!$C:$C = $C1857, 'Fund Investment Data'!$A:$A = $A1857 - 1, 'Fund Investment Data'!$B:$B = 12) + FILTER('Fund Investment Data'!$AB:$AB, 'Fund Investment Data'!$C:$C = $C1857, 'Fund Invest"&amp;"ment Data'!$A:$A = $A1857 - 1, 'Fund Investment Data'!$B:$B = 12)) * (1 + AVERAGE(FILTER('Inflation Data'!$C:$C,'Inflation Data'!$A:$A = ($A1857 - 2)))) * Parameters!$A$4,0)"),0.0)</f>
        <v>0</v>
      </c>
      <c r="Y1857" s="91">
        <f>IFERROR(__xludf.DUMMYFUNCTION("IFERROR((IFERROR(FILTER('Fund Investment Data'!$P:$P,'Fund Investment Data'!$C:$C = $C1857,'Fund Investment Data'!$A:$A = ($A1857 - 2), 'Fund Investment Data'!$B:$B = 12),0) - SUM(FILTER('Fund Investment Data'!$V:$V, 'Fund Investment Data'!$C:$C = $C1857,"&amp;" 'Fund Investment Data'!$A:$A = ($A1857 - 2), 'Fund Investment Data'!$B:$B &gt; 3)))  * Parameters!$B$4 * (1 - Parameters!$A$4),0)"),0.0)</f>
        <v>0</v>
      </c>
      <c r="Z1857" s="91">
        <f t="shared" si="24"/>
        <v>0</v>
      </c>
      <c r="AA1857" s="91">
        <f>IFERROR(__xludf.DUMMYFUNCTION("((IFERROR((SUM(FILTER('Fund Investment Data'!$V:$V, 'Fund Investment Data'!$C:$C = $C1857, 'Fund Investment Data'!$A:$A = $A1857 - 1, 'Fund Investment Data'!$B:$B &gt;= 4, 'Fund Investment Data'!$B:$B &lt;= ($B1857 + 5))) / 12) * ($B1857 - 3) * Parameters!$B$4,"&amp;" 0) + IF($B1857 &gt;= 9, IFERROR(SUM(FILTER('Fund Investment Data'!$V:$V, 'Fund Investment Data'!$C:$C = $C1857, 'Fund Investment Data'!$A:$A = $A1857, 'Fund Investment Data'!$B:$B &lt;= 3)) * Parameters!$B$4, 0),0)))"),0.0)</f>
        <v>0</v>
      </c>
      <c r="AB1857" s="32">
        <f>IFERROR(__xludf.DUMMYFUNCTION("IFERROR(((IFERROR(SUM(FILTER('Fund Investment Data'!$V:$V, 'Fund Investment Data'!$C:$C = $C1857, 'Fund Investment Data'!$A:$A = $A1857 - 2, 'Fund Investment Data'!$B:$B &gt;= 4)) * Parameters!$B$4,0) + IFERROR(SUM(FILTER('Fund Investment Data'!$V:$V, 'Fund "&amp;"Investment Data'!$C:$C = $C1857, 'Fund Investment Data'!$A:$A = $A1857 - 1, 'Fund Investment Data'!$B:$B &lt;= 3)) * Parameters!$B$4,0))),0)"),0.0)</f>
        <v>0</v>
      </c>
      <c r="AC1857" s="32">
        <f>IFERROR(__xludf.DUMMYFUNCTION("IFERROR(FILTER($AF:$AF,$C:$C = $C1857,$A:$A = $A1857 - 1,$B:$B = 12),0)"),0.0)</f>
        <v>0</v>
      </c>
      <c r="AD1857" s="32">
        <f t="shared" si="23"/>
        <v>0</v>
      </c>
      <c r="AE1857" s="32">
        <f t="shared" si="2"/>
        <v>0</v>
      </c>
      <c r="AF1857" s="32"/>
    </row>
    <row r="1858">
      <c r="A1858" s="86"/>
      <c r="B1858" s="87"/>
      <c r="C1858" s="88"/>
      <c r="D1858" s="104"/>
      <c r="E1858" s="104"/>
      <c r="F1858" s="104"/>
      <c r="G1858" s="104"/>
      <c r="H1858" s="104"/>
      <c r="I1858" s="104"/>
      <c r="J1858" s="104"/>
      <c r="K1858" s="32"/>
      <c r="L1858" s="32"/>
      <c r="M1858" s="32"/>
      <c r="N1858" s="32"/>
      <c r="O1858" s="106"/>
      <c r="P1858" s="91">
        <f>IFERROR(__xludf.DUMMYFUNCTION("IFERROR(sum(FILTER($D:$N,$C:$C = $C1858,$A:$A &lt; $A1858,$B:$B = 12)),0) + sum($D1858:$N1858)"),0.0)</f>
        <v>0</v>
      </c>
      <c r="Q1858" s="92">
        <f t="shared" si="1"/>
        <v>0</v>
      </c>
      <c r="R1858" s="91">
        <f t="array" ref="R1858">IFERROR(INDEX('Fund YTD Target Values'!$1:$1000, MATCH($C1858,'Fund YTD Target Values'!$A:$A,0), MATCH($A1858,'Fund YTD Target Values'!$1:$1,0)),0)</f>
        <v>0</v>
      </c>
      <c r="S1858" s="91">
        <f>IFERROR(__xludf.DUMMYFUNCTION("IFERROR(sum(FILTER('Fund Investment Data'!$V:$V, 'Fund Investment Data'!$C:$C = $C1858, 'Fund Investment Data'!$A:$A &lt; $A1858)),0) + IFERROR(sum(FILTER('Fund Investment Data'!$V:$V, 'Fund Investment Data'!$C:$C = $C1858, 'Fund Investment Data'!$A:$A = $A1"&amp;"858, 'Fund Investment Data'!$B:$B &lt;= $B1858)),0)"),0.0)</f>
        <v>0</v>
      </c>
      <c r="T1858" s="32"/>
      <c r="U1858" s="32"/>
      <c r="V1858" s="32">
        <f>IFERROR(__xludf.DUMMYFUNCTION("$D1858 - IFERROR(FILTER($D:$D,$C:$C = $C1858, $A:$A = $A1858, $B:$B = $B1858 - 1),0)"),0.0)</f>
        <v>0</v>
      </c>
      <c r="W1858" s="93">
        <f>IFERROR(__xludf.DUMMYFUNCTION("$E1858 - IFERROR(FILTER($E:$E,$C:$C = $C1858, $A:$A = $A1858, $B:$B = $B1858 - 1),0)"),0.0)</f>
        <v>0</v>
      </c>
      <c r="X1858" s="91">
        <f>IFERROR(__xludf.DUMMYFUNCTION("iFERROR((FILTER('Fund Investment Data'!$Z:$Z, 'Fund Investment Data'!$C:$C = $C1858, 'Fund Investment Data'!$A:$A = $A1858 - 1, 'Fund Investment Data'!$B:$B = 12) + FILTER('Fund Investment Data'!$AB:$AB, 'Fund Investment Data'!$C:$C = $C1858, 'Fund Invest"&amp;"ment Data'!$A:$A = $A1858 - 1, 'Fund Investment Data'!$B:$B = 12)) * (1 + AVERAGE(FILTER('Inflation Data'!$C:$C,'Inflation Data'!$A:$A = ($A1858 - 2)))) * Parameters!$A$4,0)"),0.0)</f>
        <v>0</v>
      </c>
      <c r="Y1858" s="91">
        <f>IFERROR(__xludf.DUMMYFUNCTION("IFERROR((IFERROR(FILTER('Fund Investment Data'!$P:$P,'Fund Investment Data'!$C:$C = $C1858,'Fund Investment Data'!$A:$A = ($A1858 - 2), 'Fund Investment Data'!$B:$B = 12),0) - SUM(FILTER('Fund Investment Data'!$V:$V, 'Fund Investment Data'!$C:$C = $C1858,"&amp;" 'Fund Investment Data'!$A:$A = ($A1858 - 2), 'Fund Investment Data'!$B:$B &gt; 3)))  * Parameters!$B$4 * (1 - Parameters!$A$4),0)"),0.0)</f>
        <v>0</v>
      </c>
      <c r="Z1858" s="91">
        <f t="shared" si="24"/>
        <v>0</v>
      </c>
      <c r="AA1858" s="91">
        <f>IFERROR(__xludf.DUMMYFUNCTION("((IFERROR((SUM(FILTER('Fund Investment Data'!$V:$V, 'Fund Investment Data'!$C:$C = $C1858, 'Fund Investment Data'!$A:$A = $A1858 - 1, 'Fund Investment Data'!$B:$B &gt;= 4, 'Fund Investment Data'!$B:$B &lt;= ($B1858 + 5))) / 12) * ($B1858 - 3) * Parameters!$B$4,"&amp;" 0) + IF($B1858 &gt;= 9, IFERROR(SUM(FILTER('Fund Investment Data'!$V:$V, 'Fund Investment Data'!$C:$C = $C1858, 'Fund Investment Data'!$A:$A = $A1858, 'Fund Investment Data'!$B:$B &lt;= 3)) * Parameters!$B$4, 0),0)))"),0.0)</f>
        <v>0</v>
      </c>
      <c r="AB1858" s="32">
        <f>IFERROR(__xludf.DUMMYFUNCTION("IFERROR(((IFERROR(SUM(FILTER('Fund Investment Data'!$V:$V, 'Fund Investment Data'!$C:$C = $C1858, 'Fund Investment Data'!$A:$A = $A1858 - 2, 'Fund Investment Data'!$B:$B &gt;= 4)) * Parameters!$B$4,0) + IFERROR(SUM(FILTER('Fund Investment Data'!$V:$V, 'Fund "&amp;"Investment Data'!$C:$C = $C1858, 'Fund Investment Data'!$A:$A = $A1858 - 1, 'Fund Investment Data'!$B:$B &lt;= 3)) * Parameters!$B$4,0))),0)"),0.0)</f>
        <v>0</v>
      </c>
      <c r="AC1858" s="32">
        <f>IFERROR(__xludf.DUMMYFUNCTION("IFERROR(FILTER($AF:$AF,$C:$C = $C1858,$A:$A = $A1858 - 1,$B:$B = 12),0)"),0.0)</f>
        <v>0</v>
      </c>
      <c r="AD1858" s="32">
        <f t="shared" si="23"/>
        <v>0</v>
      </c>
      <c r="AE1858" s="32">
        <f t="shared" si="2"/>
        <v>0</v>
      </c>
      <c r="AF1858" s="32"/>
    </row>
    <row r="1859">
      <c r="A1859" s="86"/>
      <c r="B1859" s="87"/>
      <c r="C1859" s="88"/>
      <c r="D1859" s="104"/>
      <c r="E1859" s="104"/>
      <c r="F1859" s="104"/>
      <c r="G1859" s="104"/>
      <c r="H1859" s="104"/>
      <c r="I1859" s="104"/>
      <c r="J1859" s="104"/>
      <c r="K1859" s="32"/>
      <c r="L1859" s="32"/>
      <c r="M1859" s="32"/>
      <c r="N1859" s="32"/>
      <c r="O1859" s="106"/>
      <c r="P1859" s="91">
        <f>IFERROR(__xludf.DUMMYFUNCTION("IFERROR(sum(FILTER($D:$N,$C:$C = $C1859,$A:$A &lt; $A1859,$B:$B = 12)),0) + sum($D1859:$N1859)"),0.0)</f>
        <v>0</v>
      </c>
      <c r="Q1859" s="92">
        <f t="shared" si="1"/>
        <v>0</v>
      </c>
      <c r="R1859" s="91">
        <f t="array" ref="R1859">IFERROR(INDEX('Fund YTD Target Values'!$1:$1000, MATCH($C1859,'Fund YTD Target Values'!$A:$A,0), MATCH($A1859,'Fund YTD Target Values'!$1:$1,0)),0)</f>
        <v>0</v>
      </c>
      <c r="S1859" s="91">
        <f>IFERROR(__xludf.DUMMYFUNCTION("IFERROR(sum(FILTER('Fund Investment Data'!$V:$V, 'Fund Investment Data'!$C:$C = $C1859, 'Fund Investment Data'!$A:$A &lt; $A1859)),0) + IFERROR(sum(FILTER('Fund Investment Data'!$V:$V, 'Fund Investment Data'!$C:$C = $C1859, 'Fund Investment Data'!$A:$A = $A1"&amp;"859, 'Fund Investment Data'!$B:$B &lt;= $B1859)),0)"),0.0)</f>
        <v>0</v>
      </c>
      <c r="T1859" s="32"/>
      <c r="U1859" s="32"/>
      <c r="V1859" s="32">
        <f>IFERROR(__xludf.DUMMYFUNCTION("$D1859 - IFERROR(FILTER($D:$D,$C:$C = $C1859, $A:$A = $A1859, $B:$B = $B1859 - 1),0)"),0.0)</f>
        <v>0</v>
      </c>
      <c r="W1859" s="93">
        <f>IFERROR(__xludf.DUMMYFUNCTION("$E1859 - IFERROR(FILTER($E:$E,$C:$C = $C1859, $A:$A = $A1859, $B:$B = $B1859 - 1),0)"),0.0)</f>
        <v>0</v>
      </c>
      <c r="X1859" s="91">
        <f>IFERROR(__xludf.DUMMYFUNCTION("iFERROR((FILTER('Fund Investment Data'!$Z:$Z, 'Fund Investment Data'!$C:$C = $C1859, 'Fund Investment Data'!$A:$A = $A1859 - 1, 'Fund Investment Data'!$B:$B = 12) + FILTER('Fund Investment Data'!$AB:$AB, 'Fund Investment Data'!$C:$C = $C1859, 'Fund Invest"&amp;"ment Data'!$A:$A = $A1859 - 1, 'Fund Investment Data'!$B:$B = 12)) * (1 + AVERAGE(FILTER('Inflation Data'!$C:$C,'Inflation Data'!$A:$A = ($A1859 - 2)))) * Parameters!$A$4,0)"),0.0)</f>
        <v>0</v>
      </c>
      <c r="Y1859" s="91">
        <f>IFERROR(__xludf.DUMMYFUNCTION("IFERROR((IFERROR(FILTER('Fund Investment Data'!$P:$P,'Fund Investment Data'!$C:$C = $C1859,'Fund Investment Data'!$A:$A = ($A1859 - 2), 'Fund Investment Data'!$B:$B = 12),0) - SUM(FILTER('Fund Investment Data'!$V:$V, 'Fund Investment Data'!$C:$C = $C1859,"&amp;" 'Fund Investment Data'!$A:$A = ($A1859 - 2), 'Fund Investment Data'!$B:$B &gt; 3)))  * Parameters!$B$4 * (1 - Parameters!$A$4),0)"),0.0)</f>
        <v>0</v>
      </c>
      <c r="Z1859" s="91">
        <f t="shared" si="24"/>
        <v>0</v>
      </c>
      <c r="AA1859" s="91">
        <f>IFERROR(__xludf.DUMMYFUNCTION("((IFERROR((SUM(FILTER('Fund Investment Data'!$V:$V, 'Fund Investment Data'!$C:$C = $C1859, 'Fund Investment Data'!$A:$A = $A1859 - 1, 'Fund Investment Data'!$B:$B &gt;= 4, 'Fund Investment Data'!$B:$B &lt;= ($B1859 + 5))) / 12) * ($B1859 - 3) * Parameters!$B$4,"&amp;" 0) + IF($B1859 &gt;= 9, IFERROR(SUM(FILTER('Fund Investment Data'!$V:$V, 'Fund Investment Data'!$C:$C = $C1859, 'Fund Investment Data'!$A:$A = $A1859, 'Fund Investment Data'!$B:$B &lt;= 3)) * Parameters!$B$4, 0),0)))"),0.0)</f>
        <v>0</v>
      </c>
      <c r="AB1859" s="32">
        <f>IFERROR(__xludf.DUMMYFUNCTION("IFERROR(((IFERROR(SUM(FILTER('Fund Investment Data'!$V:$V, 'Fund Investment Data'!$C:$C = $C1859, 'Fund Investment Data'!$A:$A = $A1859 - 2, 'Fund Investment Data'!$B:$B &gt;= 4)) * Parameters!$B$4,0) + IFERROR(SUM(FILTER('Fund Investment Data'!$V:$V, 'Fund "&amp;"Investment Data'!$C:$C = $C1859, 'Fund Investment Data'!$A:$A = $A1859 - 1, 'Fund Investment Data'!$B:$B &lt;= 3)) * Parameters!$B$4,0))),0)"),0.0)</f>
        <v>0</v>
      </c>
      <c r="AC1859" s="32">
        <f>IFERROR(__xludf.DUMMYFUNCTION("IFERROR(FILTER($AF:$AF,$C:$C = $C1859,$A:$A = $A1859 - 1,$B:$B = 12),0)"),0.0)</f>
        <v>0</v>
      </c>
      <c r="AD1859" s="32">
        <f t="shared" si="23"/>
        <v>0</v>
      </c>
      <c r="AE1859" s="32">
        <f t="shared" si="2"/>
        <v>0</v>
      </c>
      <c r="AF1859" s="32"/>
    </row>
    <row r="1860">
      <c r="A1860" s="86"/>
      <c r="B1860" s="87"/>
      <c r="C1860" s="88"/>
      <c r="D1860" s="104"/>
      <c r="E1860" s="104"/>
      <c r="F1860" s="104"/>
      <c r="G1860" s="104"/>
      <c r="H1860" s="104"/>
      <c r="I1860" s="104"/>
      <c r="J1860" s="104"/>
      <c r="K1860" s="32"/>
      <c r="L1860" s="32"/>
      <c r="M1860" s="32"/>
      <c r="N1860" s="32"/>
      <c r="O1860" s="106"/>
      <c r="P1860" s="91">
        <f>IFERROR(__xludf.DUMMYFUNCTION("IFERROR(sum(FILTER($D:$N,$C:$C = $C1860,$A:$A &lt; $A1860,$B:$B = 12)),0) + sum($D1860:$N1860)"),0.0)</f>
        <v>0</v>
      </c>
      <c r="Q1860" s="92">
        <f t="shared" si="1"/>
        <v>0</v>
      </c>
      <c r="R1860" s="91">
        <f t="array" ref="R1860">IFERROR(INDEX('Fund YTD Target Values'!$1:$1000, MATCH($C1860,'Fund YTD Target Values'!$A:$A,0), MATCH($A1860,'Fund YTD Target Values'!$1:$1,0)),0)</f>
        <v>0</v>
      </c>
      <c r="S1860" s="91">
        <f>IFERROR(__xludf.DUMMYFUNCTION("IFERROR(sum(FILTER('Fund Investment Data'!$V:$V, 'Fund Investment Data'!$C:$C = $C1860, 'Fund Investment Data'!$A:$A &lt; $A1860)),0) + IFERROR(sum(FILTER('Fund Investment Data'!$V:$V, 'Fund Investment Data'!$C:$C = $C1860, 'Fund Investment Data'!$A:$A = $A1"&amp;"860, 'Fund Investment Data'!$B:$B &lt;= $B1860)),0)"),0.0)</f>
        <v>0</v>
      </c>
      <c r="T1860" s="32"/>
      <c r="U1860" s="32"/>
      <c r="V1860" s="32">
        <f>IFERROR(__xludf.DUMMYFUNCTION("$D1860 - IFERROR(FILTER($D:$D,$C:$C = $C1860, $A:$A = $A1860, $B:$B = $B1860 - 1),0)"),0.0)</f>
        <v>0</v>
      </c>
      <c r="W1860" s="93">
        <f>IFERROR(__xludf.DUMMYFUNCTION("$E1860 - IFERROR(FILTER($E:$E,$C:$C = $C1860, $A:$A = $A1860, $B:$B = $B1860 - 1),0)"),0.0)</f>
        <v>0</v>
      </c>
      <c r="X1860" s="91">
        <f>IFERROR(__xludf.DUMMYFUNCTION("iFERROR((FILTER('Fund Investment Data'!$Z:$Z, 'Fund Investment Data'!$C:$C = $C1860, 'Fund Investment Data'!$A:$A = $A1860 - 1, 'Fund Investment Data'!$B:$B = 12) + FILTER('Fund Investment Data'!$AB:$AB, 'Fund Investment Data'!$C:$C = $C1860, 'Fund Invest"&amp;"ment Data'!$A:$A = $A1860 - 1, 'Fund Investment Data'!$B:$B = 12)) * (1 + AVERAGE(FILTER('Inflation Data'!$C:$C,'Inflation Data'!$A:$A = ($A1860 - 2)))) * Parameters!$A$4,0)"),0.0)</f>
        <v>0</v>
      </c>
      <c r="Y1860" s="91">
        <f>IFERROR(__xludf.DUMMYFUNCTION("IFERROR((IFERROR(FILTER('Fund Investment Data'!$P:$P,'Fund Investment Data'!$C:$C = $C1860,'Fund Investment Data'!$A:$A = ($A1860 - 2), 'Fund Investment Data'!$B:$B = 12),0) - SUM(FILTER('Fund Investment Data'!$V:$V, 'Fund Investment Data'!$C:$C = $C1860,"&amp;" 'Fund Investment Data'!$A:$A = ($A1860 - 2), 'Fund Investment Data'!$B:$B &gt; 3)))  * Parameters!$B$4 * (1 - Parameters!$A$4),0)"),0.0)</f>
        <v>0</v>
      </c>
      <c r="Z1860" s="91">
        <f t="shared" si="24"/>
        <v>0</v>
      </c>
      <c r="AA1860" s="91">
        <f>IFERROR(__xludf.DUMMYFUNCTION("((IFERROR((SUM(FILTER('Fund Investment Data'!$V:$V, 'Fund Investment Data'!$C:$C = $C1860, 'Fund Investment Data'!$A:$A = $A1860 - 1, 'Fund Investment Data'!$B:$B &gt;= 4, 'Fund Investment Data'!$B:$B &lt;= ($B1860 + 5))) / 12) * ($B1860 - 3) * Parameters!$B$4,"&amp;" 0) + IF($B1860 &gt;= 9, IFERROR(SUM(FILTER('Fund Investment Data'!$V:$V, 'Fund Investment Data'!$C:$C = $C1860, 'Fund Investment Data'!$A:$A = $A1860, 'Fund Investment Data'!$B:$B &lt;= 3)) * Parameters!$B$4, 0),0)))"),0.0)</f>
        <v>0</v>
      </c>
      <c r="AB1860" s="32">
        <f>IFERROR(__xludf.DUMMYFUNCTION("IFERROR(((IFERROR(SUM(FILTER('Fund Investment Data'!$V:$V, 'Fund Investment Data'!$C:$C = $C1860, 'Fund Investment Data'!$A:$A = $A1860 - 2, 'Fund Investment Data'!$B:$B &gt;= 4)) * Parameters!$B$4,0) + IFERROR(SUM(FILTER('Fund Investment Data'!$V:$V, 'Fund "&amp;"Investment Data'!$C:$C = $C1860, 'Fund Investment Data'!$A:$A = $A1860 - 1, 'Fund Investment Data'!$B:$B &lt;= 3)) * Parameters!$B$4,0))),0)"),0.0)</f>
        <v>0</v>
      </c>
      <c r="AC1860" s="32">
        <f>IFERROR(__xludf.DUMMYFUNCTION("IFERROR(FILTER($AF:$AF,$C:$C = $C1860,$A:$A = $A1860 - 1,$B:$B = 12),0)"),0.0)</f>
        <v>0</v>
      </c>
      <c r="AD1860" s="32">
        <f t="shared" si="23"/>
        <v>0</v>
      </c>
      <c r="AE1860" s="32">
        <f t="shared" si="2"/>
        <v>0</v>
      </c>
      <c r="AF1860" s="32"/>
    </row>
    <row r="1861">
      <c r="A1861" s="86"/>
      <c r="B1861" s="87"/>
      <c r="C1861" s="88"/>
      <c r="D1861" s="104"/>
      <c r="E1861" s="104"/>
      <c r="F1861" s="104"/>
      <c r="G1861" s="104"/>
      <c r="H1861" s="104"/>
      <c r="I1861" s="104"/>
      <c r="J1861" s="104"/>
      <c r="K1861" s="32"/>
      <c r="L1861" s="32"/>
      <c r="M1861" s="32"/>
      <c r="N1861" s="32"/>
      <c r="O1861" s="106"/>
      <c r="P1861" s="91">
        <f>IFERROR(__xludf.DUMMYFUNCTION("IFERROR(sum(FILTER($D:$N,$C:$C = $C1861,$A:$A &lt; $A1861,$B:$B = 12)),0) + sum($D1861:$N1861)"),0.0)</f>
        <v>0</v>
      </c>
      <c r="Q1861" s="92">
        <f t="shared" si="1"/>
        <v>0</v>
      </c>
      <c r="R1861" s="91">
        <f t="array" ref="R1861">IFERROR(INDEX('Fund YTD Target Values'!$1:$1000, MATCH($C1861,'Fund YTD Target Values'!$A:$A,0), MATCH($A1861,'Fund YTD Target Values'!$1:$1,0)),0)</f>
        <v>0</v>
      </c>
      <c r="S1861" s="91">
        <f>IFERROR(__xludf.DUMMYFUNCTION("IFERROR(sum(FILTER('Fund Investment Data'!$V:$V, 'Fund Investment Data'!$C:$C = $C1861, 'Fund Investment Data'!$A:$A &lt; $A1861)),0) + IFERROR(sum(FILTER('Fund Investment Data'!$V:$V, 'Fund Investment Data'!$C:$C = $C1861, 'Fund Investment Data'!$A:$A = $A1"&amp;"861, 'Fund Investment Data'!$B:$B &lt;= $B1861)),0)"),0.0)</f>
        <v>0</v>
      </c>
      <c r="T1861" s="32"/>
      <c r="U1861" s="32"/>
      <c r="V1861" s="32">
        <f>IFERROR(__xludf.DUMMYFUNCTION("$D1861 - IFERROR(FILTER($D:$D,$C:$C = $C1861, $A:$A = $A1861, $B:$B = $B1861 - 1),0)"),0.0)</f>
        <v>0</v>
      </c>
      <c r="W1861" s="93">
        <f>IFERROR(__xludf.DUMMYFUNCTION("$E1861 - IFERROR(FILTER($E:$E,$C:$C = $C1861, $A:$A = $A1861, $B:$B = $B1861 - 1),0)"),0.0)</f>
        <v>0</v>
      </c>
      <c r="X1861" s="91">
        <f>IFERROR(__xludf.DUMMYFUNCTION("iFERROR((FILTER('Fund Investment Data'!$Z:$Z, 'Fund Investment Data'!$C:$C = $C1861, 'Fund Investment Data'!$A:$A = $A1861 - 1, 'Fund Investment Data'!$B:$B = 12) + FILTER('Fund Investment Data'!$AB:$AB, 'Fund Investment Data'!$C:$C = $C1861, 'Fund Invest"&amp;"ment Data'!$A:$A = $A1861 - 1, 'Fund Investment Data'!$B:$B = 12)) * (1 + AVERAGE(FILTER('Inflation Data'!$C:$C,'Inflation Data'!$A:$A = ($A1861 - 2)))) * Parameters!$A$4,0)"),0.0)</f>
        <v>0</v>
      </c>
      <c r="Y1861" s="91">
        <f>IFERROR(__xludf.DUMMYFUNCTION("IFERROR((IFERROR(FILTER('Fund Investment Data'!$P:$P,'Fund Investment Data'!$C:$C = $C1861,'Fund Investment Data'!$A:$A = ($A1861 - 2), 'Fund Investment Data'!$B:$B = 12),0) - SUM(FILTER('Fund Investment Data'!$V:$V, 'Fund Investment Data'!$C:$C = $C1861,"&amp;" 'Fund Investment Data'!$A:$A = ($A1861 - 2), 'Fund Investment Data'!$B:$B &gt; 3)))  * Parameters!$B$4 * (1 - Parameters!$A$4),0)"),0.0)</f>
        <v>0</v>
      </c>
      <c r="Z1861" s="91">
        <f t="shared" si="24"/>
        <v>0</v>
      </c>
      <c r="AA1861" s="91">
        <f>IFERROR(__xludf.DUMMYFUNCTION("((IFERROR((SUM(FILTER('Fund Investment Data'!$V:$V, 'Fund Investment Data'!$C:$C = $C1861, 'Fund Investment Data'!$A:$A = $A1861 - 1, 'Fund Investment Data'!$B:$B &gt;= 4, 'Fund Investment Data'!$B:$B &lt;= ($B1861 + 5))) / 12) * ($B1861 - 3) * Parameters!$B$4,"&amp;" 0) + IF($B1861 &gt;= 9, IFERROR(SUM(FILTER('Fund Investment Data'!$V:$V, 'Fund Investment Data'!$C:$C = $C1861, 'Fund Investment Data'!$A:$A = $A1861, 'Fund Investment Data'!$B:$B &lt;= 3)) * Parameters!$B$4, 0),0)))"),0.0)</f>
        <v>0</v>
      </c>
      <c r="AB1861" s="32">
        <f>IFERROR(__xludf.DUMMYFUNCTION("IFERROR(((IFERROR(SUM(FILTER('Fund Investment Data'!$V:$V, 'Fund Investment Data'!$C:$C = $C1861, 'Fund Investment Data'!$A:$A = $A1861 - 2, 'Fund Investment Data'!$B:$B &gt;= 4)) * Parameters!$B$4,0) + IFERROR(SUM(FILTER('Fund Investment Data'!$V:$V, 'Fund "&amp;"Investment Data'!$C:$C = $C1861, 'Fund Investment Data'!$A:$A = $A1861 - 1, 'Fund Investment Data'!$B:$B &lt;= 3)) * Parameters!$B$4,0))),0)"),0.0)</f>
        <v>0</v>
      </c>
      <c r="AC1861" s="32">
        <f>IFERROR(__xludf.DUMMYFUNCTION("IFERROR(FILTER($AF:$AF,$C:$C = $C1861,$A:$A = $A1861 - 1,$B:$B = 12),0)"),0.0)</f>
        <v>0</v>
      </c>
      <c r="AD1861" s="32">
        <f t="shared" si="23"/>
        <v>0</v>
      </c>
      <c r="AE1861" s="32">
        <f t="shared" si="2"/>
        <v>0</v>
      </c>
      <c r="AF1861" s="32"/>
    </row>
    <row r="1862">
      <c r="A1862" s="86"/>
      <c r="B1862" s="87"/>
      <c r="C1862" s="88"/>
      <c r="D1862" s="104"/>
      <c r="E1862" s="104"/>
      <c r="F1862" s="104"/>
      <c r="G1862" s="104"/>
      <c r="H1862" s="104"/>
      <c r="I1862" s="104"/>
      <c r="J1862" s="104"/>
      <c r="K1862" s="32"/>
      <c r="L1862" s="32"/>
      <c r="M1862" s="32"/>
      <c r="N1862" s="32"/>
      <c r="O1862" s="106"/>
      <c r="P1862" s="91">
        <f>IFERROR(__xludf.DUMMYFUNCTION("IFERROR(sum(FILTER($D:$N,$C:$C = $C1862,$A:$A &lt; $A1862,$B:$B = 12)),0) + sum($D1862:$N1862)"),0.0)</f>
        <v>0</v>
      </c>
      <c r="Q1862" s="92">
        <f t="shared" si="1"/>
        <v>0</v>
      </c>
      <c r="R1862" s="91">
        <f t="array" ref="R1862">IFERROR(INDEX('Fund YTD Target Values'!$1:$1000, MATCH($C1862,'Fund YTD Target Values'!$A:$A,0), MATCH($A1862,'Fund YTD Target Values'!$1:$1,0)),0)</f>
        <v>0</v>
      </c>
      <c r="S1862" s="91">
        <f>IFERROR(__xludf.DUMMYFUNCTION("IFERROR(sum(FILTER('Fund Investment Data'!$V:$V, 'Fund Investment Data'!$C:$C = $C1862, 'Fund Investment Data'!$A:$A &lt; $A1862)),0) + IFERROR(sum(FILTER('Fund Investment Data'!$V:$V, 'Fund Investment Data'!$C:$C = $C1862, 'Fund Investment Data'!$A:$A = $A1"&amp;"862, 'Fund Investment Data'!$B:$B &lt;= $B1862)),0)"),0.0)</f>
        <v>0</v>
      </c>
      <c r="T1862" s="32"/>
      <c r="U1862" s="32"/>
      <c r="V1862" s="32">
        <f>IFERROR(__xludf.DUMMYFUNCTION("$D1862 - IFERROR(FILTER($D:$D,$C:$C = $C1862, $A:$A = $A1862, $B:$B = $B1862 - 1),0)"),0.0)</f>
        <v>0</v>
      </c>
      <c r="W1862" s="93">
        <f>IFERROR(__xludf.DUMMYFUNCTION("$E1862 - IFERROR(FILTER($E:$E,$C:$C = $C1862, $A:$A = $A1862, $B:$B = $B1862 - 1),0)"),0.0)</f>
        <v>0</v>
      </c>
      <c r="X1862" s="91">
        <f>IFERROR(__xludf.DUMMYFUNCTION("iFERROR((FILTER('Fund Investment Data'!$Z:$Z, 'Fund Investment Data'!$C:$C = $C1862, 'Fund Investment Data'!$A:$A = $A1862 - 1, 'Fund Investment Data'!$B:$B = 12) + FILTER('Fund Investment Data'!$AB:$AB, 'Fund Investment Data'!$C:$C = $C1862, 'Fund Invest"&amp;"ment Data'!$A:$A = $A1862 - 1, 'Fund Investment Data'!$B:$B = 12)) * (1 + AVERAGE(FILTER('Inflation Data'!$C:$C,'Inflation Data'!$A:$A = ($A1862 - 2)))) * Parameters!$A$4,0)"),0.0)</f>
        <v>0</v>
      </c>
      <c r="Y1862" s="91">
        <f>IFERROR(__xludf.DUMMYFUNCTION("IFERROR((IFERROR(FILTER('Fund Investment Data'!$P:$P,'Fund Investment Data'!$C:$C = $C1862,'Fund Investment Data'!$A:$A = ($A1862 - 2), 'Fund Investment Data'!$B:$B = 12),0) - SUM(FILTER('Fund Investment Data'!$V:$V, 'Fund Investment Data'!$C:$C = $C1862,"&amp;" 'Fund Investment Data'!$A:$A = ($A1862 - 2), 'Fund Investment Data'!$B:$B &gt; 3)))  * Parameters!$B$4 * (1 - Parameters!$A$4),0)"),0.0)</f>
        <v>0</v>
      </c>
      <c r="Z1862" s="91">
        <f t="shared" si="24"/>
        <v>0</v>
      </c>
      <c r="AA1862" s="91">
        <f>IFERROR(__xludf.DUMMYFUNCTION("((IFERROR((SUM(FILTER('Fund Investment Data'!$V:$V, 'Fund Investment Data'!$C:$C = $C1862, 'Fund Investment Data'!$A:$A = $A1862 - 1, 'Fund Investment Data'!$B:$B &gt;= 4, 'Fund Investment Data'!$B:$B &lt;= ($B1862 + 5))) / 12) * ($B1862 - 3) * Parameters!$B$4,"&amp;" 0) + IF($B1862 &gt;= 9, IFERROR(SUM(FILTER('Fund Investment Data'!$V:$V, 'Fund Investment Data'!$C:$C = $C1862, 'Fund Investment Data'!$A:$A = $A1862, 'Fund Investment Data'!$B:$B &lt;= 3)) * Parameters!$B$4, 0),0)))"),0.0)</f>
        <v>0</v>
      </c>
      <c r="AB1862" s="32">
        <f>IFERROR(__xludf.DUMMYFUNCTION("IFERROR(((IFERROR(SUM(FILTER('Fund Investment Data'!$V:$V, 'Fund Investment Data'!$C:$C = $C1862, 'Fund Investment Data'!$A:$A = $A1862 - 2, 'Fund Investment Data'!$B:$B &gt;= 4)) * Parameters!$B$4,0) + IFERROR(SUM(FILTER('Fund Investment Data'!$V:$V, 'Fund "&amp;"Investment Data'!$C:$C = $C1862, 'Fund Investment Data'!$A:$A = $A1862 - 1, 'Fund Investment Data'!$B:$B &lt;= 3)) * Parameters!$B$4,0))),0)"),0.0)</f>
        <v>0</v>
      </c>
      <c r="AC1862" s="32">
        <f>IFERROR(__xludf.DUMMYFUNCTION("IFERROR(FILTER($AF:$AF,$C:$C = $C1862,$A:$A = $A1862 - 1,$B:$B = 12),0)"),0.0)</f>
        <v>0</v>
      </c>
      <c r="AD1862" s="32">
        <f t="shared" si="23"/>
        <v>0</v>
      </c>
      <c r="AE1862" s="32">
        <f t="shared" si="2"/>
        <v>0</v>
      </c>
      <c r="AF1862" s="32"/>
    </row>
    <row r="1863">
      <c r="A1863" s="86"/>
      <c r="B1863" s="87"/>
      <c r="C1863" s="88"/>
      <c r="D1863" s="104"/>
      <c r="E1863" s="104"/>
      <c r="F1863" s="104"/>
      <c r="G1863" s="104"/>
      <c r="H1863" s="104"/>
      <c r="I1863" s="104"/>
      <c r="J1863" s="104"/>
      <c r="K1863" s="32"/>
      <c r="L1863" s="32"/>
      <c r="M1863" s="32"/>
      <c r="N1863" s="32"/>
      <c r="O1863" s="106"/>
      <c r="P1863" s="91">
        <f>IFERROR(__xludf.DUMMYFUNCTION("IFERROR(sum(FILTER($D:$N,$C:$C = $C1863,$A:$A &lt; $A1863,$B:$B = 12)),0) + sum($D1863:$N1863)"),0.0)</f>
        <v>0</v>
      </c>
      <c r="Q1863" s="92">
        <f t="shared" si="1"/>
        <v>0</v>
      </c>
      <c r="R1863" s="91">
        <f t="array" ref="R1863">IFERROR(INDEX('Fund YTD Target Values'!$1:$1000, MATCH($C1863,'Fund YTD Target Values'!$A:$A,0), MATCH($A1863,'Fund YTD Target Values'!$1:$1,0)),0)</f>
        <v>0</v>
      </c>
      <c r="S1863" s="91">
        <f>IFERROR(__xludf.DUMMYFUNCTION("IFERROR(sum(FILTER('Fund Investment Data'!$V:$V, 'Fund Investment Data'!$C:$C = $C1863, 'Fund Investment Data'!$A:$A &lt; $A1863)),0) + IFERROR(sum(FILTER('Fund Investment Data'!$V:$V, 'Fund Investment Data'!$C:$C = $C1863, 'Fund Investment Data'!$A:$A = $A1"&amp;"863, 'Fund Investment Data'!$B:$B &lt;= $B1863)),0)"),0.0)</f>
        <v>0</v>
      </c>
      <c r="T1863" s="32"/>
      <c r="U1863" s="32"/>
      <c r="V1863" s="32">
        <f>IFERROR(__xludf.DUMMYFUNCTION("$D1863 - IFERROR(FILTER($D:$D,$C:$C = $C1863, $A:$A = $A1863, $B:$B = $B1863 - 1),0)"),0.0)</f>
        <v>0</v>
      </c>
      <c r="W1863" s="93">
        <f>IFERROR(__xludf.DUMMYFUNCTION("$E1863 - IFERROR(FILTER($E:$E,$C:$C = $C1863, $A:$A = $A1863, $B:$B = $B1863 - 1),0)"),0.0)</f>
        <v>0</v>
      </c>
      <c r="X1863" s="91">
        <f>IFERROR(__xludf.DUMMYFUNCTION("iFERROR((FILTER('Fund Investment Data'!$Z:$Z, 'Fund Investment Data'!$C:$C = $C1863, 'Fund Investment Data'!$A:$A = $A1863 - 1, 'Fund Investment Data'!$B:$B = 12) + FILTER('Fund Investment Data'!$AB:$AB, 'Fund Investment Data'!$C:$C = $C1863, 'Fund Invest"&amp;"ment Data'!$A:$A = $A1863 - 1, 'Fund Investment Data'!$B:$B = 12)) * (1 + AVERAGE(FILTER('Inflation Data'!$C:$C,'Inflation Data'!$A:$A = ($A1863 - 2)))) * Parameters!$A$4,0)"),0.0)</f>
        <v>0</v>
      </c>
      <c r="Y1863" s="91">
        <f>IFERROR(__xludf.DUMMYFUNCTION("IFERROR((IFERROR(FILTER('Fund Investment Data'!$P:$P,'Fund Investment Data'!$C:$C = $C1863,'Fund Investment Data'!$A:$A = ($A1863 - 2), 'Fund Investment Data'!$B:$B = 12),0) - SUM(FILTER('Fund Investment Data'!$V:$V, 'Fund Investment Data'!$C:$C = $C1863,"&amp;" 'Fund Investment Data'!$A:$A = ($A1863 - 2), 'Fund Investment Data'!$B:$B &gt; 3)))  * Parameters!$B$4 * (1 - Parameters!$A$4),0)"),0.0)</f>
        <v>0</v>
      </c>
      <c r="Z1863" s="91">
        <f t="shared" si="24"/>
        <v>0</v>
      </c>
      <c r="AA1863" s="91">
        <f>IFERROR(__xludf.DUMMYFUNCTION("((IFERROR((SUM(FILTER('Fund Investment Data'!$V:$V, 'Fund Investment Data'!$C:$C = $C1863, 'Fund Investment Data'!$A:$A = $A1863 - 1, 'Fund Investment Data'!$B:$B &gt;= 4, 'Fund Investment Data'!$B:$B &lt;= ($B1863 + 5))) / 12) * ($B1863 - 3) * Parameters!$B$4,"&amp;" 0) + IF($B1863 &gt;= 9, IFERROR(SUM(FILTER('Fund Investment Data'!$V:$V, 'Fund Investment Data'!$C:$C = $C1863, 'Fund Investment Data'!$A:$A = $A1863, 'Fund Investment Data'!$B:$B &lt;= 3)) * Parameters!$B$4, 0),0)))"),0.0)</f>
        <v>0</v>
      </c>
      <c r="AB1863" s="32">
        <f>IFERROR(__xludf.DUMMYFUNCTION("IFERROR(((IFERROR(SUM(FILTER('Fund Investment Data'!$V:$V, 'Fund Investment Data'!$C:$C = $C1863, 'Fund Investment Data'!$A:$A = $A1863 - 2, 'Fund Investment Data'!$B:$B &gt;= 4)) * Parameters!$B$4,0) + IFERROR(SUM(FILTER('Fund Investment Data'!$V:$V, 'Fund "&amp;"Investment Data'!$C:$C = $C1863, 'Fund Investment Data'!$A:$A = $A1863 - 1, 'Fund Investment Data'!$B:$B &lt;= 3)) * Parameters!$B$4,0))),0)"),0.0)</f>
        <v>0</v>
      </c>
      <c r="AC1863" s="32">
        <f>IFERROR(__xludf.DUMMYFUNCTION("IFERROR(FILTER($AF:$AF,$C:$C = $C1863,$A:$A = $A1863 - 1,$B:$B = 12),0)"),0.0)</f>
        <v>0</v>
      </c>
      <c r="AD1863" s="32">
        <f t="shared" si="23"/>
        <v>0</v>
      </c>
      <c r="AE1863" s="32">
        <f t="shared" si="2"/>
        <v>0</v>
      </c>
      <c r="AF1863" s="32"/>
    </row>
    <row r="1864">
      <c r="A1864" s="86"/>
      <c r="B1864" s="87"/>
      <c r="C1864" s="88"/>
      <c r="D1864" s="104"/>
      <c r="E1864" s="104"/>
      <c r="F1864" s="104"/>
      <c r="G1864" s="104"/>
      <c r="H1864" s="104"/>
      <c r="I1864" s="104"/>
      <c r="J1864" s="104"/>
      <c r="K1864" s="32"/>
      <c r="L1864" s="32"/>
      <c r="M1864" s="32"/>
      <c r="N1864" s="32"/>
      <c r="O1864" s="106"/>
      <c r="P1864" s="91">
        <f>IFERROR(__xludf.DUMMYFUNCTION("IFERROR(sum(FILTER($D:$N,$C:$C = $C1864,$A:$A &lt; $A1864,$B:$B = 12)),0) + sum($D1864:$N1864)"),0.0)</f>
        <v>0</v>
      </c>
      <c r="Q1864" s="92">
        <f t="shared" si="1"/>
        <v>0</v>
      </c>
      <c r="R1864" s="91">
        <f t="array" ref="R1864">IFERROR(INDEX('Fund YTD Target Values'!$1:$1000, MATCH($C1864,'Fund YTD Target Values'!$A:$A,0), MATCH($A1864,'Fund YTD Target Values'!$1:$1,0)),0)</f>
        <v>0</v>
      </c>
      <c r="S1864" s="91">
        <f>IFERROR(__xludf.DUMMYFUNCTION("IFERROR(sum(FILTER('Fund Investment Data'!$V:$V, 'Fund Investment Data'!$C:$C = $C1864, 'Fund Investment Data'!$A:$A &lt; $A1864)),0) + IFERROR(sum(FILTER('Fund Investment Data'!$V:$V, 'Fund Investment Data'!$C:$C = $C1864, 'Fund Investment Data'!$A:$A = $A1"&amp;"864, 'Fund Investment Data'!$B:$B &lt;= $B1864)),0)"),0.0)</f>
        <v>0</v>
      </c>
      <c r="T1864" s="32"/>
      <c r="U1864" s="32"/>
      <c r="V1864" s="32">
        <f>IFERROR(__xludf.DUMMYFUNCTION("$D1864 - IFERROR(FILTER($D:$D,$C:$C = $C1864, $A:$A = $A1864, $B:$B = $B1864 - 1),0)"),0.0)</f>
        <v>0</v>
      </c>
      <c r="W1864" s="93">
        <f>IFERROR(__xludf.DUMMYFUNCTION("$E1864 - IFERROR(FILTER($E:$E,$C:$C = $C1864, $A:$A = $A1864, $B:$B = $B1864 - 1),0)"),0.0)</f>
        <v>0</v>
      </c>
      <c r="X1864" s="91">
        <f>IFERROR(__xludf.DUMMYFUNCTION("iFERROR((FILTER('Fund Investment Data'!$Z:$Z, 'Fund Investment Data'!$C:$C = $C1864, 'Fund Investment Data'!$A:$A = $A1864 - 1, 'Fund Investment Data'!$B:$B = 12) + FILTER('Fund Investment Data'!$AB:$AB, 'Fund Investment Data'!$C:$C = $C1864, 'Fund Invest"&amp;"ment Data'!$A:$A = $A1864 - 1, 'Fund Investment Data'!$B:$B = 12)) * (1 + AVERAGE(FILTER('Inflation Data'!$C:$C,'Inflation Data'!$A:$A = ($A1864 - 2)))) * Parameters!$A$4,0)"),0.0)</f>
        <v>0</v>
      </c>
      <c r="Y1864" s="91">
        <f>IFERROR(__xludf.DUMMYFUNCTION("IFERROR((IFERROR(FILTER('Fund Investment Data'!$P:$P,'Fund Investment Data'!$C:$C = $C1864,'Fund Investment Data'!$A:$A = ($A1864 - 2), 'Fund Investment Data'!$B:$B = 12),0) - SUM(FILTER('Fund Investment Data'!$V:$V, 'Fund Investment Data'!$C:$C = $C1864,"&amp;" 'Fund Investment Data'!$A:$A = ($A1864 - 2), 'Fund Investment Data'!$B:$B &gt; 3)))  * Parameters!$B$4 * (1 - Parameters!$A$4),0)"),0.0)</f>
        <v>0</v>
      </c>
      <c r="Z1864" s="91">
        <f t="shared" si="24"/>
        <v>0</v>
      </c>
      <c r="AA1864" s="91">
        <f>IFERROR(__xludf.DUMMYFUNCTION("((IFERROR((SUM(FILTER('Fund Investment Data'!$V:$V, 'Fund Investment Data'!$C:$C = $C1864, 'Fund Investment Data'!$A:$A = $A1864 - 1, 'Fund Investment Data'!$B:$B &gt;= 4, 'Fund Investment Data'!$B:$B &lt;= ($B1864 + 5))) / 12) * ($B1864 - 3) * Parameters!$B$4,"&amp;" 0) + IF($B1864 &gt;= 9, IFERROR(SUM(FILTER('Fund Investment Data'!$V:$V, 'Fund Investment Data'!$C:$C = $C1864, 'Fund Investment Data'!$A:$A = $A1864, 'Fund Investment Data'!$B:$B &lt;= 3)) * Parameters!$B$4, 0),0)))"),0.0)</f>
        <v>0</v>
      </c>
      <c r="AB1864" s="32">
        <f>IFERROR(__xludf.DUMMYFUNCTION("IFERROR(((IFERROR(SUM(FILTER('Fund Investment Data'!$V:$V, 'Fund Investment Data'!$C:$C = $C1864, 'Fund Investment Data'!$A:$A = $A1864 - 2, 'Fund Investment Data'!$B:$B &gt;= 4)) * Parameters!$B$4,0) + IFERROR(SUM(FILTER('Fund Investment Data'!$V:$V, 'Fund "&amp;"Investment Data'!$C:$C = $C1864, 'Fund Investment Data'!$A:$A = $A1864 - 1, 'Fund Investment Data'!$B:$B &lt;= 3)) * Parameters!$B$4,0))),0)"),0.0)</f>
        <v>0</v>
      </c>
      <c r="AC1864" s="32">
        <f>IFERROR(__xludf.DUMMYFUNCTION("IFERROR(FILTER($AF:$AF,$C:$C = $C1864,$A:$A = $A1864 - 1,$B:$B = 12),0)"),0.0)</f>
        <v>0</v>
      </c>
      <c r="AD1864" s="32">
        <f t="shared" si="23"/>
        <v>0</v>
      </c>
      <c r="AE1864" s="32">
        <f t="shared" si="2"/>
        <v>0</v>
      </c>
      <c r="AF1864" s="32"/>
    </row>
    <row r="1865">
      <c r="A1865" s="86"/>
      <c r="B1865" s="87"/>
      <c r="C1865" s="88"/>
      <c r="D1865" s="104"/>
      <c r="E1865" s="104"/>
      <c r="F1865" s="104"/>
      <c r="G1865" s="104"/>
      <c r="H1865" s="104"/>
      <c r="I1865" s="104"/>
      <c r="J1865" s="104"/>
      <c r="K1865" s="32"/>
      <c r="L1865" s="32"/>
      <c r="M1865" s="32"/>
      <c r="N1865" s="32"/>
      <c r="O1865" s="106"/>
      <c r="P1865" s="91">
        <f>IFERROR(__xludf.DUMMYFUNCTION("IFERROR(sum(FILTER($D:$N,$C:$C = $C1865,$A:$A &lt; $A1865,$B:$B = 12)),0) + sum($D1865:$N1865)"),0.0)</f>
        <v>0</v>
      </c>
      <c r="Q1865" s="92">
        <f t="shared" si="1"/>
        <v>0</v>
      </c>
      <c r="R1865" s="91">
        <f t="array" ref="R1865">IFERROR(INDEX('Fund YTD Target Values'!$1:$1000, MATCH($C1865,'Fund YTD Target Values'!$A:$A,0), MATCH($A1865,'Fund YTD Target Values'!$1:$1,0)),0)</f>
        <v>0</v>
      </c>
      <c r="S1865" s="91">
        <f>IFERROR(__xludf.DUMMYFUNCTION("IFERROR(sum(FILTER('Fund Investment Data'!$V:$V, 'Fund Investment Data'!$C:$C = $C1865, 'Fund Investment Data'!$A:$A &lt; $A1865)),0) + IFERROR(sum(FILTER('Fund Investment Data'!$V:$V, 'Fund Investment Data'!$C:$C = $C1865, 'Fund Investment Data'!$A:$A = $A1"&amp;"865, 'Fund Investment Data'!$B:$B &lt;= $B1865)),0)"),0.0)</f>
        <v>0</v>
      </c>
      <c r="T1865" s="32"/>
      <c r="U1865" s="32"/>
      <c r="V1865" s="32">
        <f>IFERROR(__xludf.DUMMYFUNCTION("$D1865 - IFERROR(FILTER($D:$D,$C:$C = $C1865, $A:$A = $A1865, $B:$B = $B1865 - 1),0)"),0.0)</f>
        <v>0</v>
      </c>
      <c r="W1865" s="93">
        <f>IFERROR(__xludf.DUMMYFUNCTION("$E1865 - IFERROR(FILTER($E:$E,$C:$C = $C1865, $A:$A = $A1865, $B:$B = $B1865 - 1),0)"),0.0)</f>
        <v>0</v>
      </c>
      <c r="X1865" s="91">
        <f>IFERROR(__xludf.DUMMYFUNCTION("iFERROR((FILTER('Fund Investment Data'!$Z:$Z, 'Fund Investment Data'!$C:$C = $C1865, 'Fund Investment Data'!$A:$A = $A1865 - 1, 'Fund Investment Data'!$B:$B = 12) + FILTER('Fund Investment Data'!$AB:$AB, 'Fund Investment Data'!$C:$C = $C1865, 'Fund Invest"&amp;"ment Data'!$A:$A = $A1865 - 1, 'Fund Investment Data'!$B:$B = 12)) * (1 + AVERAGE(FILTER('Inflation Data'!$C:$C,'Inflation Data'!$A:$A = ($A1865 - 2)))) * Parameters!$A$4,0)"),0.0)</f>
        <v>0</v>
      </c>
      <c r="Y1865" s="91">
        <f>IFERROR(__xludf.DUMMYFUNCTION("IFERROR((IFERROR(FILTER('Fund Investment Data'!$P:$P,'Fund Investment Data'!$C:$C = $C1865,'Fund Investment Data'!$A:$A = ($A1865 - 2), 'Fund Investment Data'!$B:$B = 12),0) - SUM(FILTER('Fund Investment Data'!$V:$V, 'Fund Investment Data'!$C:$C = $C1865,"&amp;" 'Fund Investment Data'!$A:$A = ($A1865 - 2), 'Fund Investment Data'!$B:$B &gt; 3)))  * Parameters!$B$4 * (1 - Parameters!$A$4),0)"),0.0)</f>
        <v>0</v>
      </c>
      <c r="Z1865" s="91">
        <f t="shared" si="24"/>
        <v>0</v>
      </c>
      <c r="AA1865" s="91">
        <f>IFERROR(__xludf.DUMMYFUNCTION("((IFERROR((SUM(FILTER('Fund Investment Data'!$V:$V, 'Fund Investment Data'!$C:$C = $C1865, 'Fund Investment Data'!$A:$A = $A1865 - 1, 'Fund Investment Data'!$B:$B &gt;= 4, 'Fund Investment Data'!$B:$B &lt;= ($B1865 + 5))) / 12) * ($B1865 - 3) * Parameters!$B$4,"&amp;" 0) + IF($B1865 &gt;= 9, IFERROR(SUM(FILTER('Fund Investment Data'!$V:$V, 'Fund Investment Data'!$C:$C = $C1865, 'Fund Investment Data'!$A:$A = $A1865, 'Fund Investment Data'!$B:$B &lt;= 3)) * Parameters!$B$4, 0),0)))"),0.0)</f>
        <v>0</v>
      </c>
      <c r="AB1865" s="32">
        <f>IFERROR(__xludf.DUMMYFUNCTION("IFERROR(((IFERROR(SUM(FILTER('Fund Investment Data'!$V:$V, 'Fund Investment Data'!$C:$C = $C1865, 'Fund Investment Data'!$A:$A = $A1865 - 2, 'Fund Investment Data'!$B:$B &gt;= 4)) * Parameters!$B$4,0) + IFERROR(SUM(FILTER('Fund Investment Data'!$V:$V, 'Fund "&amp;"Investment Data'!$C:$C = $C1865, 'Fund Investment Data'!$A:$A = $A1865 - 1, 'Fund Investment Data'!$B:$B &lt;= 3)) * Parameters!$B$4,0))),0)"),0.0)</f>
        <v>0</v>
      </c>
      <c r="AC1865" s="32">
        <f>IFERROR(__xludf.DUMMYFUNCTION("IFERROR(FILTER($AF:$AF,$C:$C = $C1865,$A:$A = $A1865 - 1,$B:$B = 12),0)"),0.0)</f>
        <v>0</v>
      </c>
      <c r="AD1865" s="32">
        <f t="shared" si="23"/>
        <v>0</v>
      </c>
      <c r="AE1865" s="32">
        <f t="shared" si="2"/>
        <v>0</v>
      </c>
      <c r="AF1865" s="32"/>
    </row>
    <row r="1866">
      <c r="A1866" s="86"/>
      <c r="B1866" s="87"/>
      <c r="C1866" s="88"/>
      <c r="D1866" s="104"/>
      <c r="E1866" s="104"/>
      <c r="F1866" s="104"/>
      <c r="G1866" s="104"/>
      <c r="H1866" s="104"/>
      <c r="I1866" s="104"/>
      <c r="J1866" s="104"/>
      <c r="K1866" s="32"/>
      <c r="L1866" s="32"/>
      <c r="M1866" s="32"/>
      <c r="N1866" s="32"/>
      <c r="O1866" s="106"/>
      <c r="P1866" s="91">
        <f>IFERROR(__xludf.DUMMYFUNCTION("IFERROR(sum(FILTER($D:$N,$C:$C = $C1866,$A:$A &lt; $A1866,$B:$B = 12)),0) + sum($D1866:$N1866)"),0.0)</f>
        <v>0</v>
      </c>
      <c r="Q1866" s="92">
        <f t="shared" si="1"/>
        <v>0</v>
      </c>
      <c r="R1866" s="91">
        <f t="array" ref="R1866">IFERROR(INDEX('Fund YTD Target Values'!$1:$1000, MATCH($C1866,'Fund YTD Target Values'!$A:$A,0), MATCH($A1866,'Fund YTD Target Values'!$1:$1,0)),0)</f>
        <v>0</v>
      </c>
      <c r="S1866" s="91">
        <f>IFERROR(__xludf.DUMMYFUNCTION("IFERROR(sum(FILTER('Fund Investment Data'!$V:$V, 'Fund Investment Data'!$C:$C = $C1866, 'Fund Investment Data'!$A:$A &lt; $A1866)),0) + IFERROR(sum(FILTER('Fund Investment Data'!$V:$V, 'Fund Investment Data'!$C:$C = $C1866, 'Fund Investment Data'!$A:$A = $A1"&amp;"866, 'Fund Investment Data'!$B:$B &lt;= $B1866)),0)"),0.0)</f>
        <v>0</v>
      </c>
      <c r="T1866" s="32"/>
      <c r="U1866" s="32"/>
      <c r="V1866" s="32">
        <f>IFERROR(__xludf.DUMMYFUNCTION("$D1866 - IFERROR(FILTER($D:$D,$C:$C = $C1866, $A:$A = $A1866, $B:$B = $B1866 - 1),0)"),0.0)</f>
        <v>0</v>
      </c>
      <c r="W1866" s="93">
        <f>IFERROR(__xludf.DUMMYFUNCTION("$E1866 - IFERROR(FILTER($E:$E,$C:$C = $C1866, $A:$A = $A1866, $B:$B = $B1866 - 1),0)"),0.0)</f>
        <v>0</v>
      </c>
      <c r="X1866" s="91">
        <f>IFERROR(__xludf.DUMMYFUNCTION("iFERROR((FILTER('Fund Investment Data'!$Z:$Z, 'Fund Investment Data'!$C:$C = $C1866, 'Fund Investment Data'!$A:$A = $A1866 - 1, 'Fund Investment Data'!$B:$B = 12) + FILTER('Fund Investment Data'!$AB:$AB, 'Fund Investment Data'!$C:$C = $C1866, 'Fund Invest"&amp;"ment Data'!$A:$A = $A1866 - 1, 'Fund Investment Data'!$B:$B = 12)) * (1 + AVERAGE(FILTER('Inflation Data'!$C:$C,'Inflation Data'!$A:$A = ($A1866 - 2)))) * Parameters!$A$4,0)"),0.0)</f>
        <v>0</v>
      </c>
      <c r="Y1866" s="91">
        <f>IFERROR(__xludf.DUMMYFUNCTION("IFERROR((IFERROR(FILTER('Fund Investment Data'!$P:$P,'Fund Investment Data'!$C:$C = $C1866,'Fund Investment Data'!$A:$A = ($A1866 - 2), 'Fund Investment Data'!$B:$B = 12),0) - SUM(FILTER('Fund Investment Data'!$V:$V, 'Fund Investment Data'!$C:$C = $C1866,"&amp;" 'Fund Investment Data'!$A:$A = ($A1866 - 2), 'Fund Investment Data'!$B:$B &gt; 3)))  * Parameters!$B$4 * (1 - Parameters!$A$4),0)"),0.0)</f>
        <v>0</v>
      </c>
      <c r="Z1866" s="91">
        <f t="shared" si="24"/>
        <v>0</v>
      </c>
      <c r="AA1866" s="91">
        <f>IFERROR(__xludf.DUMMYFUNCTION("((IFERROR((SUM(FILTER('Fund Investment Data'!$V:$V, 'Fund Investment Data'!$C:$C = $C1866, 'Fund Investment Data'!$A:$A = $A1866 - 1, 'Fund Investment Data'!$B:$B &gt;= 4, 'Fund Investment Data'!$B:$B &lt;= ($B1866 + 5))) / 12) * ($B1866 - 3) * Parameters!$B$4,"&amp;" 0) + IF($B1866 &gt;= 9, IFERROR(SUM(FILTER('Fund Investment Data'!$V:$V, 'Fund Investment Data'!$C:$C = $C1866, 'Fund Investment Data'!$A:$A = $A1866, 'Fund Investment Data'!$B:$B &lt;= 3)) * Parameters!$B$4, 0),0)))"),0.0)</f>
        <v>0</v>
      </c>
      <c r="AB1866" s="32">
        <f>IFERROR(__xludf.DUMMYFUNCTION("IFERROR(((IFERROR(SUM(FILTER('Fund Investment Data'!$V:$V, 'Fund Investment Data'!$C:$C = $C1866, 'Fund Investment Data'!$A:$A = $A1866 - 2, 'Fund Investment Data'!$B:$B &gt;= 4)) * Parameters!$B$4,0) + IFERROR(SUM(FILTER('Fund Investment Data'!$V:$V, 'Fund "&amp;"Investment Data'!$C:$C = $C1866, 'Fund Investment Data'!$A:$A = $A1866 - 1, 'Fund Investment Data'!$B:$B &lt;= 3)) * Parameters!$B$4,0))),0)"),0.0)</f>
        <v>0</v>
      </c>
      <c r="AC1866" s="32">
        <f>IFERROR(__xludf.DUMMYFUNCTION("IFERROR(FILTER($AF:$AF,$C:$C = $C1866,$A:$A = $A1866 - 1,$B:$B = 12),0)"),0.0)</f>
        <v>0</v>
      </c>
      <c r="AD1866" s="32">
        <f t="shared" si="23"/>
        <v>0</v>
      </c>
      <c r="AE1866" s="32">
        <f t="shared" si="2"/>
        <v>0</v>
      </c>
      <c r="AF1866" s="32"/>
    </row>
    <row r="1867">
      <c r="A1867" s="86"/>
      <c r="B1867" s="87"/>
      <c r="C1867" s="88"/>
      <c r="D1867" s="104"/>
      <c r="E1867" s="104"/>
      <c r="F1867" s="104"/>
      <c r="G1867" s="104"/>
      <c r="H1867" s="104"/>
      <c r="I1867" s="104"/>
      <c r="J1867" s="104"/>
      <c r="K1867" s="32"/>
      <c r="L1867" s="32"/>
      <c r="M1867" s="32"/>
      <c r="N1867" s="32"/>
      <c r="O1867" s="106"/>
      <c r="P1867" s="91">
        <f>IFERROR(__xludf.DUMMYFUNCTION("IFERROR(sum(FILTER($D:$N,$C:$C = $C1867,$A:$A &lt; $A1867,$B:$B = 12)),0) + sum($D1867:$N1867)"),0.0)</f>
        <v>0</v>
      </c>
      <c r="Q1867" s="92">
        <f t="shared" si="1"/>
        <v>0</v>
      </c>
      <c r="R1867" s="91">
        <f t="array" ref="R1867">IFERROR(INDEX('Fund YTD Target Values'!$1:$1000, MATCH($C1867,'Fund YTD Target Values'!$A:$A,0), MATCH($A1867,'Fund YTD Target Values'!$1:$1,0)),0)</f>
        <v>0</v>
      </c>
      <c r="S1867" s="91">
        <f>IFERROR(__xludf.DUMMYFUNCTION("IFERROR(sum(FILTER('Fund Investment Data'!$V:$V, 'Fund Investment Data'!$C:$C = $C1867, 'Fund Investment Data'!$A:$A &lt; $A1867)),0) + IFERROR(sum(FILTER('Fund Investment Data'!$V:$V, 'Fund Investment Data'!$C:$C = $C1867, 'Fund Investment Data'!$A:$A = $A1"&amp;"867, 'Fund Investment Data'!$B:$B &lt;= $B1867)),0)"),0.0)</f>
        <v>0</v>
      </c>
      <c r="T1867" s="32"/>
      <c r="U1867" s="32"/>
      <c r="V1867" s="32">
        <f>IFERROR(__xludf.DUMMYFUNCTION("$D1867 - IFERROR(FILTER($D:$D,$C:$C = $C1867, $A:$A = $A1867, $B:$B = $B1867 - 1),0)"),0.0)</f>
        <v>0</v>
      </c>
      <c r="W1867" s="93">
        <f>IFERROR(__xludf.DUMMYFUNCTION("$E1867 - IFERROR(FILTER($E:$E,$C:$C = $C1867, $A:$A = $A1867, $B:$B = $B1867 - 1),0)"),0.0)</f>
        <v>0</v>
      </c>
      <c r="X1867" s="91">
        <f>IFERROR(__xludf.DUMMYFUNCTION("iFERROR((FILTER('Fund Investment Data'!$Z:$Z, 'Fund Investment Data'!$C:$C = $C1867, 'Fund Investment Data'!$A:$A = $A1867 - 1, 'Fund Investment Data'!$B:$B = 12) + FILTER('Fund Investment Data'!$AB:$AB, 'Fund Investment Data'!$C:$C = $C1867, 'Fund Invest"&amp;"ment Data'!$A:$A = $A1867 - 1, 'Fund Investment Data'!$B:$B = 12)) * (1 + AVERAGE(FILTER('Inflation Data'!$C:$C,'Inflation Data'!$A:$A = ($A1867 - 2)))) * Parameters!$A$4,0)"),0.0)</f>
        <v>0</v>
      </c>
      <c r="Y1867" s="91">
        <f>IFERROR(__xludf.DUMMYFUNCTION("IFERROR((IFERROR(FILTER('Fund Investment Data'!$P:$P,'Fund Investment Data'!$C:$C = $C1867,'Fund Investment Data'!$A:$A = ($A1867 - 2), 'Fund Investment Data'!$B:$B = 12),0) - SUM(FILTER('Fund Investment Data'!$V:$V, 'Fund Investment Data'!$C:$C = $C1867,"&amp;" 'Fund Investment Data'!$A:$A = ($A1867 - 2), 'Fund Investment Data'!$B:$B &gt; 3)))  * Parameters!$B$4 * (1 - Parameters!$A$4),0)"),0.0)</f>
        <v>0</v>
      </c>
      <c r="Z1867" s="91">
        <f t="shared" si="24"/>
        <v>0</v>
      </c>
      <c r="AA1867" s="91">
        <f>IFERROR(__xludf.DUMMYFUNCTION("((IFERROR((SUM(FILTER('Fund Investment Data'!$V:$V, 'Fund Investment Data'!$C:$C = $C1867, 'Fund Investment Data'!$A:$A = $A1867 - 1, 'Fund Investment Data'!$B:$B &gt;= 4, 'Fund Investment Data'!$B:$B &lt;= ($B1867 + 5))) / 12) * ($B1867 - 3) * Parameters!$B$4,"&amp;" 0) + IF($B1867 &gt;= 9, IFERROR(SUM(FILTER('Fund Investment Data'!$V:$V, 'Fund Investment Data'!$C:$C = $C1867, 'Fund Investment Data'!$A:$A = $A1867, 'Fund Investment Data'!$B:$B &lt;= 3)) * Parameters!$B$4, 0),0)))"),0.0)</f>
        <v>0</v>
      </c>
      <c r="AB1867" s="32">
        <f>IFERROR(__xludf.DUMMYFUNCTION("IFERROR(((IFERROR(SUM(FILTER('Fund Investment Data'!$V:$V, 'Fund Investment Data'!$C:$C = $C1867, 'Fund Investment Data'!$A:$A = $A1867 - 2, 'Fund Investment Data'!$B:$B &gt;= 4)) * Parameters!$B$4,0) + IFERROR(SUM(FILTER('Fund Investment Data'!$V:$V, 'Fund "&amp;"Investment Data'!$C:$C = $C1867, 'Fund Investment Data'!$A:$A = $A1867 - 1, 'Fund Investment Data'!$B:$B &lt;= 3)) * Parameters!$B$4,0))),0)"),0.0)</f>
        <v>0</v>
      </c>
      <c r="AC1867" s="32">
        <f>IFERROR(__xludf.DUMMYFUNCTION("IFERROR(FILTER($AF:$AF,$C:$C = $C1867,$A:$A = $A1867 - 1,$B:$B = 12),0)"),0.0)</f>
        <v>0</v>
      </c>
      <c r="AD1867" s="32">
        <f t="shared" si="23"/>
        <v>0</v>
      </c>
      <c r="AE1867" s="32">
        <f t="shared" si="2"/>
        <v>0</v>
      </c>
      <c r="AF1867" s="32"/>
    </row>
    <row r="1868">
      <c r="A1868" s="86"/>
      <c r="B1868" s="87"/>
      <c r="C1868" s="88"/>
      <c r="D1868" s="104"/>
      <c r="E1868" s="104"/>
      <c r="F1868" s="104"/>
      <c r="G1868" s="104"/>
      <c r="H1868" s="104"/>
      <c r="I1868" s="104"/>
      <c r="J1868" s="104"/>
      <c r="K1868" s="32"/>
      <c r="L1868" s="32"/>
      <c r="M1868" s="32"/>
      <c r="N1868" s="32"/>
      <c r="O1868" s="106"/>
      <c r="P1868" s="91">
        <f>IFERROR(__xludf.DUMMYFUNCTION("IFERROR(sum(FILTER($D:$N,$C:$C = $C1868,$A:$A &lt; $A1868,$B:$B = 12)),0) + sum($D1868:$N1868)"),0.0)</f>
        <v>0</v>
      </c>
      <c r="Q1868" s="92">
        <f t="shared" si="1"/>
        <v>0</v>
      </c>
      <c r="R1868" s="91">
        <f t="array" ref="R1868">IFERROR(INDEX('Fund YTD Target Values'!$1:$1000, MATCH($C1868,'Fund YTD Target Values'!$A:$A,0), MATCH($A1868,'Fund YTD Target Values'!$1:$1,0)),0)</f>
        <v>0</v>
      </c>
      <c r="S1868" s="91">
        <f>IFERROR(__xludf.DUMMYFUNCTION("IFERROR(sum(FILTER('Fund Investment Data'!$V:$V, 'Fund Investment Data'!$C:$C = $C1868, 'Fund Investment Data'!$A:$A &lt; $A1868)),0) + IFERROR(sum(FILTER('Fund Investment Data'!$V:$V, 'Fund Investment Data'!$C:$C = $C1868, 'Fund Investment Data'!$A:$A = $A1"&amp;"868, 'Fund Investment Data'!$B:$B &lt;= $B1868)),0)"),0.0)</f>
        <v>0</v>
      </c>
      <c r="T1868" s="32"/>
      <c r="U1868" s="32"/>
      <c r="V1868" s="32">
        <f>IFERROR(__xludf.DUMMYFUNCTION("$D1868 - IFERROR(FILTER($D:$D,$C:$C = $C1868, $A:$A = $A1868, $B:$B = $B1868 - 1),0)"),0.0)</f>
        <v>0</v>
      </c>
      <c r="W1868" s="93">
        <f>IFERROR(__xludf.DUMMYFUNCTION("$E1868 - IFERROR(FILTER($E:$E,$C:$C = $C1868, $A:$A = $A1868, $B:$B = $B1868 - 1),0)"),0.0)</f>
        <v>0</v>
      </c>
      <c r="X1868" s="91">
        <f>IFERROR(__xludf.DUMMYFUNCTION("iFERROR((FILTER('Fund Investment Data'!$Z:$Z, 'Fund Investment Data'!$C:$C = $C1868, 'Fund Investment Data'!$A:$A = $A1868 - 1, 'Fund Investment Data'!$B:$B = 12) + FILTER('Fund Investment Data'!$AB:$AB, 'Fund Investment Data'!$C:$C = $C1868, 'Fund Invest"&amp;"ment Data'!$A:$A = $A1868 - 1, 'Fund Investment Data'!$B:$B = 12)) * (1 + AVERAGE(FILTER('Inflation Data'!$C:$C,'Inflation Data'!$A:$A = ($A1868 - 2)))) * Parameters!$A$4,0)"),0.0)</f>
        <v>0</v>
      </c>
      <c r="Y1868" s="91">
        <f>IFERROR(__xludf.DUMMYFUNCTION("IFERROR((IFERROR(FILTER('Fund Investment Data'!$P:$P,'Fund Investment Data'!$C:$C = $C1868,'Fund Investment Data'!$A:$A = ($A1868 - 2), 'Fund Investment Data'!$B:$B = 12),0) - SUM(FILTER('Fund Investment Data'!$V:$V, 'Fund Investment Data'!$C:$C = $C1868,"&amp;" 'Fund Investment Data'!$A:$A = ($A1868 - 2), 'Fund Investment Data'!$B:$B &gt; 3)))  * Parameters!$B$4 * (1 - Parameters!$A$4),0)"),0.0)</f>
        <v>0</v>
      </c>
      <c r="Z1868" s="91">
        <f t="shared" si="24"/>
        <v>0</v>
      </c>
      <c r="AA1868" s="91">
        <f>IFERROR(__xludf.DUMMYFUNCTION("((IFERROR((SUM(FILTER('Fund Investment Data'!$V:$V, 'Fund Investment Data'!$C:$C = $C1868, 'Fund Investment Data'!$A:$A = $A1868 - 1, 'Fund Investment Data'!$B:$B &gt;= 4, 'Fund Investment Data'!$B:$B &lt;= ($B1868 + 5))) / 12) * ($B1868 - 3) * Parameters!$B$4,"&amp;" 0) + IF($B1868 &gt;= 9, IFERROR(SUM(FILTER('Fund Investment Data'!$V:$V, 'Fund Investment Data'!$C:$C = $C1868, 'Fund Investment Data'!$A:$A = $A1868, 'Fund Investment Data'!$B:$B &lt;= 3)) * Parameters!$B$4, 0),0)))"),0.0)</f>
        <v>0</v>
      </c>
      <c r="AB1868" s="32">
        <f>IFERROR(__xludf.DUMMYFUNCTION("IFERROR(((IFERROR(SUM(FILTER('Fund Investment Data'!$V:$V, 'Fund Investment Data'!$C:$C = $C1868, 'Fund Investment Data'!$A:$A = $A1868 - 2, 'Fund Investment Data'!$B:$B &gt;= 4)) * Parameters!$B$4,0) + IFERROR(SUM(FILTER('Fund Investment Data'!$V:$V, 'Fund "&amp;"Investment Data'!$C:$C = $C1868, 'Fund Investment Data'!$A:$A = $A1868 - 1, 'Fund Investment Data'!$B:$B &lt;= 3)) * Parameters!$B$4,0))),0)"),0.0)</f>
        <v>0</v>
      </c>
      <c r="AC1868" s="32">
        <f>IFERROR(__xludf.DUMMYFUNCTION("IFERROR(FILTER($AF:$AF,$C:$C = $C1868,$A:$A = $A1868 - 1,$B:$B = 12),0)"),0.0)</f>
        <v>0</v>
      </c>
      <c r="AD1868" s="32">
        <f t="shared" si="23"/>
        <v>0</v>
      </c>
      <c r="AE1868" s="32">
        <f t="shared" si="2"/>
        <v>0</v>
      </c>
      <c r="AF1868" s="32"/>
    </row>
    <row r="1869">
      <c r="A1869" s="86"/>
      <c r="B1869" s="87"/>
      <c r="C1869" s="88"/>
      <c r="D1869" s="104"/>
      <c r="E1869" s="104"/>
      <c r="F1869" s="104"/>
      <c r="G1869" s="104"/>
      <c r="H1869" s="104"/>
      <c r="I1869" s="104"/>
      <c r="J1869" s="104"/>
      <c r="K1869" s="32"/>
      <c r="L1869" s="32"/>
      <c r="M1869" s="32"/>
      <c r="N1869" s="32"/>
      <c r="O1869" s="106"/>
      <c r="P1869" s="91">
        <f>IFERROR(__xludf.DUMMYFUNCTION("IFERROR(sum(FILTER($D:$N,$C:$C = $C1869,$A:$A &lt; $A1869,$B:$B = 12)),0) + sum($D1869:$N1869)"),0.0)</f>
        <v>0</v>
      </c>
      <c r="Q1869" s="92">
        <f t="shared" si="1"/>
        <v>0</v>
      </c>
      <c r="R1869" s="91">
        <f t="array" ref="R1869">IFERROR(INDEX('Fund YTD Target Values'!$1:$1000, MATCH($C1869,'Fund YTD Target Values'!$A:$A,0), MATCH($A1869,'Fund YTD Target Values'!$1:$1,0)),0)</f>
        <v>0</v>
      </c>
      <c r="S1869" s="91">
        <f>IFERROR(__xludf.DUMMYFUNCTION("IFERROR(sum(FILTER('Fund Investment Data'!$V:$V, 'Fund Investment Data'!$C:$C = $C1869, 'Fund Investment Data'!$A:$A &lt; $A1869)),0) + IFERROR(sum(FILTER('Fund Investment Data'!$V:$V, 'Fund Investment Data'!$C:$C = $C1869, 'Fund Investment Data'!$A:$A = $A1"&amp;"869, 'Fund Investment Data'!$B:$B &lt;= $B1869)),0)"),0.0)</f>
        <v>0</v>
      </c>
      <c r="T1869" s="32"/>
      <c r="U1869" s="32"/>
      <c r="V1869" s="32">
        <f>IFERROR(__xludf.DUMMYFUNCTION("$D1869 - IFERROR(FILTER($D:$D,$C:$C = $C1869, $A:$A = $A1869, $B:$B = $B1869 - 1),0)"),0.0)</f>
        <v>0</v>
      </c>
      <c r="W1869" s="93">
        <f>IFERROR(__xludf.DUMMYFUNCTION("$E1869 - IFERROR(FILTER($E:$E,$C:$C = $C1869, $A:$A = $A1869, $B:$B = $B1869 - 1),0)"),0.0)</f>
        <v>0</v>
      </c>
      <c r="X1869" s="91">
        <f>IFERROR(__xludf.DUMMYFUNCTION("iFERROR((FILTER('Fund Investment Data'!$Z:$Z, 'Fund Investment Data'!$C:$C = $C1869, 'Fund Investment Data'!$A:$A = $A1869 - 1, 'Fund Investment Data'!$B:$B = 12) + FILTER('Fund Investment Data'!$AB:$AB, 'Fund Investment Data'!$C:$C = $C1869, 'Fund Invest"&amp;"ment Data'!$A:$A = $A1869 - 1, 'Fund Investment Data'!$B:$B = 12)) * (1 + AVERAGE(FILTER('Inflation Data'!$C:$C,'Inflation Data'!$A:$A = ($A1869 - 2)))) * Parameters!$A$4,0)"),0.0)</f>
        <v>0</v>
      </c>
      <c r="Y1869" s="91">
        <f>IFERROR(__xludf.DUMMYFUNCTION("IFERROR((IFERROR(FILTER('Fund Investment Data'!$P:$P,'Fund Investment Data'!$C:$C = $C1869,'Fund Investment Data'!$A:$A = ($A1869 - 2), 'Fund Investment Data'!$B:$B = 12),0) - SUM(FILTER('Fund Investment Data'!$V:$V, 'Fund Investment Data'!$C:$C = $C1869,"&amp;" 'Fund Investment Data'!$A:$A = ($A1869 - 2), 'Fund Investment Data'!$B:$B &gt; 3)))  * Parameters!$B$4 * (1 - Parameters!$A$4),0)"),0.0)</f>
        <v>0</v>
      </c>
      <c r="Z1869" s="91">
        <f t="shared" si="24"/>
        <v>0</v>
      </c>
      <c r="AA1869" s="91">
        <f>IFERROR(__xludf.DUMMYFUNCTION("((IFERROR((SUM(FILTER('Fund Investment Data'!$V:$V, 'Fund Investment Data'!$C:$C = $C1869, 'Fund Investment Data'!$A:$A = $A1869 - 1, 'Fund Investment Data'!$B:$B &gt;= 4, 'Fund Investment Data'!$B:$B &lt;= ($B1869 + 5))) / 12) * ($B1869 - 3) * Parameters!$B$4,"&amp;" 0) + IF($B1869 &gt;= 9, IFERROR(SUM(FILTER('Fund Investment Data'!$V:$V, 'Fund Investment Data'!$C:$C = $C1869, 'Fund Investment Data'!$A:$A = $A1869, 'Fund Investment Data'!$B:$B &lt;= 3)) * Parameters!$B$4, 0),0)))"),0.0)</f>
        <v>0</v>
      </c>
      <c r="AB1869" s="32">
        <f>IFERROR(__xludf.DUMMYFUNCTION("IFERROR(((IFERROR(SUM(FILTER('Fund Investment Data'!$V:$V, 'Fund Investment Data'!$C:$C = $C1869, 'Fund Investment Data'!$A:$A = $A1869 - 2, 'Fund Investment Data'!$B:$B &gt;= 4)) * Parameters!$B$4,0) + IFERROR(SUM(FILTER('Fund Investment Data'!$V:$V, 'Fund "&amp;"Investment Data'!$C:$C = $C1869, 'Fund Investment Data'!$A:$A = $A1869 - 1, 'Fund Investment Data'!$B:$B &lt;= 3)) * Parameters!$B$4,0))),0)"),0.0)</f>
        <v>0</v>
      </c>
      <c r="AC1869" s="32">
        <f>IFERROR(__xludf.DUMMYFUNCTION("IFERROR(FILTER($AF:$AF,$C:$C = $C1869,$A:$A = $A1869 - 1,$B:$B = 12),0)"),0.0)</f>
        <v>0</v>
      </c>
      <c r="AD1869" s="32">
        <f t="shared" si="23"/>
        <v>0</v>
      </c>
      <c r="AE1869" s="32">
        <f t="shared" si="2"/>
        <v>0</v>
      </c>
      <c r="AF1869" s="32"/>
    </row>
    <row r="1870">
      <c r="A1870" s="86"/>
      <c r="B1870" s="87"/>
      <c r="C1870" s="88"/>
      <c r="D1870" s="104"/>
      <c r="E1870" s="104"/>
      <c r="F1870" s="104"/>
      <c r="G1870" s="104"/>
      <c r="H1870" s="104"/>
      <c r="I1870" s="104"/>
      <c r="J1870" s="104"/>
      <c r="K1870" s="32"/>
      <c r="L1870" s="32"/>
      <c r="M1870" s="32"/>
      <c r="N1870" s="32"/>
      <c r="O1870" s="106"/>
      <c r="P1870" s="91">
        <f>IFERROR(__xludf.DUMMYFUNCTION("IFERROR(sum(FILTER($D:$N,$C:$C = $C1870,$A:$A &lt; $A1870,$B:$B = 12)),0) + sum($D1870:$N1870)"),0.0)</f>
        <v>0</v>
      </c>
      <c r="Q1870" s="92">
        <f t="shared" si="1"/>
        <v>0</v>
      </c>
      <c r="R1870" s="91">
        <f t="array" ref="R1870">IFERROR(INDEX('Fund YTD Target Values'!$1:$1000, MATCH($C1870,'Fund YTD Target Values'!$A:$A,0), MATCH($A1870,'Fund YTD Target Values'!$1:$1,0)),0)</f>
        <v>0</v>
      </c>
      <c r="S1870" s="91">
        <f>IFERROR(__xludf.DUMMYFUNCTION("IFERROR(sum(FILTER('Fund Investment Data'!$V:$V, 'Fund Investment Data'!$C:$C = $C1870, 'Fund Investment Data'!$A:$A &lt; $A1870)),0) + IFERROR(sum(FILTER('Fund Investment Data'!$V:$V, 'Fund Investment Data'!$C:$C = $C1870, 'Fund Investment Data'!$A:$A = $A1"&amp;"870, 'Fund Investment Data'!$B:$B &lt;= $B1870)),0)"),0.0)</f>
        <v>0</v>
      </c>
      <c r="T1870" s="32"/>
      <c r="U1870" s="32"/>
      <c r="V1870" s="32">
        <f>IFERROR(__xludf.DUMMYFUNCTION("$D1870 - IFERROR(FILTER($D:$D,$C:$C = $C1870, $A:$A = $A1870, $B:$B = $B1870 - 1),0)"),0.0)</f>
        <v>0</v>
      </c>
      <c r="W1870" s="93">
        <f>IFERROR(__xludf.DUMMYFUNCTION("$E1870 - IFERROR(FILTER($E:$E,$C:$C = $C1870, $A:$A = $A1870, $B:$B = $B1870 - 1),0)"),0.0)</f>
        <v>0</v>
      </c>
      <c r="X1870" s="91">
        <f>IFERROR(__xludf.DUMMYFUNCTION("iFERROR((FILTER('Fund Investment Data'!$Z:$Z, 'Fund Investment Data'!$C:$C = $C1870, 'Fund Investment Data'!$A:$A = $A1870 - 1, 'Fund Investment Data'!$B:$B = 12) + FILTER('Fund Investment Data'!$AB:$AB, 'Fund Investment Data'!$C:$C = $C1870, 'Fund Invest"&amp;"ment Data'!$A:$A = $A1870 - 1, 'Fund Investment Data'!$B:$B = 12)) * (1 + AVERAGE(FILTER('Inflation Data'!$C:$C,'Inflation Data'!$A:$A = ($A1870 - 2)))) * Parameters!$A$4,0)"),0.0)</f>
        <v>0</v>
      </c>
      <c r="Y1870" s="91">
        <f>IFERROR(__xludf.DUMMYFUNCTION("IFERROR((IFERROR(FILTER('Fund Investment Data'!$P:$P,'Fund Investment Data'!$C:$C = $C1870,'Fund Investment Data'!$A:$A = ($A1870 - 2), 'Fund Investment Data'!$B:$B = 12),0) - SUM(FILTER('Fund Investment Data'!$V:$V, 'Fund Investment Data'!$C:$C = $C1870,"&amp;" 'Fund Investment Data'!$A:$A = ($A1870 - 2), 'Fund Investment Data'!$B:$B &gt; 3)))  * Parameters!$B$4 * (1 - Parameters!$A$4),0)"),0.0)</f>
        <v>0</v>
      </c>
      <c r="Z1870" s="91">
        <f t="shared" si="24"/>
        <v>0</v>
      </c>
      <c r="AA1870" s="91">
        <f>IFERROR(__xludf.DUMMYFUNCTION("((IFERROR((SUM(FILTER('Fund Investment Data'!$V:$V, 'Fund Investment Data'!$C:$C = $C1870, 'Fund Investment Data'!$A:$A = $A1870 - 1, 'Fund Investment Data'!$B:$B &gt;= 4, 'Fund Investment Data'!$B:$B &lt;= ($B1870 + 5))) / 12) * ($B1870 - 3) * Parameters!$B$4,"&amp;" 0) + IF($B1870 &gt;= 9, IFERROR(SUM(FILTER('Fund Investment Data'!$V:$V, 'Fund Investment Data'!$C:$C = $C1870, 'Fund Investment Data'!$A:$A = $A1870, 'Fund Investment Data'!$B:$B &lt;= 3)) * Parameters!$B$4, 0),0)))"),0.0)</f>
        <v>0</v>
      </c>
      <c r="AB1870" s="32">
        <f>IFERROR(__xludf.DUMMYFUNCTION("IFERROR(((IFERROR(SUM(FILTER('Fund Investment Data'!$V:$V, 'Fund Investment Data'!$C:$C = $C1870, 'Fund Investment Data'!$A:$A = $A1870 - 2, 'Fund Investment Data'!$B:$B &gt;= 4)) * Parameters!$B$4,0) + IFERROR(SUM(FILTER('Fund Investment Data'!$V:$V, 'Fund "&amp;"Investment Data'!$C:$C = $C1870, 'Fund Investment Data'!$A:$A = $A1870 - 1, 'Fund Investment Data'!$B:$B &lt;= 3)) * Parameters!$B$4,0))),0)"),0.0)</f>
        <v>0</v>
      </c>
      <c r="AC1870" s="32">
        <f>IFERROR(__xludf.DUMMYFUNCTION("IFERROR(FILTER($AF:$AF,$C:$C = $C1870,$A:$A = $A1870 - 1,$B:$B = 12),0)"),0.0)</f>
        <v>0</v>
      </c>
      <c r="AD1870" s="32">
        <f t="shared" si="23"/>
        <v>0</v>
      </c>
      <c r="AE1870" s="32">
        <f t="shared" si="2"/>
        <v>0</v>
      </c>
      <c r="AF1870" s="32"/>
    </row>
    <row r="1871">
      <c r="A1871" s="86"/>
      <c r="B1871" s="87"/>
      <c r="C1871" s="88"/>
      <c r="D1871" s="104"/>
      <c r="E1871" s="104"/>
      <c r="F1871" s="104"/>
      <c r="G1871" s="104"/>
      <c r="H1871" s="104"/>
      <c r="I1871" s="104"/>
      <c r="J1871" s="104"/>
      <c r="K1871" s="32"/>
      <c r="L1871" s="32"/>
      <c r="M1871" s="32"/>
      <c r="N1871" s="32"/>
      <c r="O1871" s="106"/>
      <c r="P1871" s="91">
        <f>IFERROR(__xludf.DUMMYFUNCTION("IFERROR(sum(FILTER($D:$N,$C:$C = $C1871,$A:$A &lt; $A1871,$B:$B = 12)),0) + sum($D1871:$N1871)"),0.0)</f>
        <v>0</v>
      </c>
      <c r="Q1871" s="92">
        <f t="shared" si="1"/>
        <v>0</v>
      </c>
      <c r="R1871" s="91">
        <f t="array" ref="R1871">IFERROR(INDEX('Fund YTD Target Values'!$1:$1000, MATCH($C1871,'Fund YTD Target Values'!$A:$A,0), MATCH($A1871,'Fund YTD Target Values'!$1:$1,0)),0)</f>
        <v>0</v>
      </c>
      <c r="S1871" s="91">
        <f>IFERROR(__xludf.DUMMYFUNCTION("IFERROR(sum(FILTER('Fund Investment Data'!$V:$V, 'Fund Investment Data'!$C:$C = $C1871, 'Fund Investment Data'!$A:$A &lt; $A1871)),0) + IFERROR(sum(FILTER('Fund Investment Data'!$V:$V, 'Fund Investment Data'!$C:$C = $C1871, 'Fund Investment Data'!$A:$A = $A1"&amp;"871, 'Fund Investment Data'!$B:$B &lt;= $B1871)),0)"),0.0)</f>
        <v>0</v>
      </c>
      <c r="T1871" s="32"/>
      <c r="U1871" s="32"/>
      <c r="V1871" s="32">
        <f>IFERROR(__xludf.DUMMYFUNCTION("$D1871 - IFERROR(FILTER($D:$D,$C:$C = $C1871, $A:$A = $A1871, $B:$B = $B1871 - 1),0)"),0.0)</f>
        <v>0</v>
      </c>
      <c r="W1871" s="93">
        <f>IFERROR(__xludf.DUMMYFUNCTION("$E1871 - IFERROR(FILTER($E:$E,$C:$C = $C1871, $A:$A = $A1871, $B:$B = $B1871 - 1),0)"),0.0)</f>
        <v>0</v>
      </c>
      <c r="X1871" s="91">
        <f>IFERROR(__xludf.DUMMYFUNCTION("iFERROR((FILTER('Fund Investment Data'!$Z:$Z, 'Fund Investment Data'!$C:$C = $C1871, 'Fund Investment Data'!$A:$A = $A1871 - 1, 'Fund Investment Data'!$B:$B = 12) + FILTER('Fund Investment Data'!$AB:$AB, 'Fund Investment Data'!$C:$C = $C1871, 'Fund Invest"&amp;"ment Data'!$A:$A = $A1871 - 1, 'Fund Investment Data'!$B:$B = 12)) * (1 + AVERAGE(FILTER('Inflation Data'!$C:$C,'Inflation Data'!$A:$A = ($A1871 - 2)))) * Parameters!$A$4,0)"),0.0)</f>
        <v>0</v>
      </c>
      <c r="Y1871" s="91">
        <f>IFERROR(__xludf.DUMMYFUNCTION("IFERROR((IFERROR(FILTER('Fund Investment Data'!$P:$P,'Fund Investment Data'!$C:$C = $C1871,'Fund Investment Data'!$A:$A = ($A1871 - 2), 'Fund Investment Data'!$B:$B = 12),0) - SUM(FILTER('Fund Investment Data'!$V:$V, 'Fund Investment Data'!$C:$C = $C1871,"&amp;" 'Fund Investment Data'!$A:$A = ($A1871 - 2), 'Fund Investment Data'!$B:$B &gt; 3)))  * Parameters!$B$4 * (1 - Parameters!$A$4),0)"),0.0)</f>
        <v>0</v>
      </c>
      <c r="Z1871" s="91">
        <f t="shared" si="24"/>
        <v>0</v>
      </c>
      <c r="AA1871" s="91">
        <f>IFERROR(__xludf.DUMMYFUNCTION("((IFERROR((SUM(FILTER('Fund Investment Data'!$V:$V, 'Fund Investment Data'!$C:$C = $C1871, 'Fund Investment Data'!$A:$A = $A1871 - 1, 'Fund Investment Data'!$B:$B &gt;= 4, 'Fund Investment Data'!$B:$B &lt;= ($B1871 + 5))) / 12) * ($B1871 - 3) * Parameters!$B$4,"&amp;" 0) + IF($B1871 &gt;= 9, IFERROR(SUM(FILTER('Fund Investment Data'!$V:$V, 'Fund Investment Data'!$C:$C = $C1871, 'Fund Investment Data'!$A:$A = $A1871, 'Fund Investment Data'!$B:$B &lt;= 3)) * Parameters!$B$4, 0),0)))"),0.0)</f>
        <v>0</v>
      </c>
      <c r="AB1871" s="32">
        <f>IFERROR(__xludf.DUMMYFUNCTION("IFERROR(((IFERROR(SUM(FILTER('Fund Investment Data'!$V:$V, 'Fund Investment Data'!$C:$C = $C1871, 'Fund Investment Data'!$A:$A = $A1871 - 2, 'Fund Investment Data'!$B:$B &gt;= 4)) * Parameters!$B$4,0) + IFERROR(SUM(FILTER('Fund Investment Data'!$V:$V, 'Fund "&amp;"Investment Data'!$C:$C = $C1871, 'Fund Investment Data'!$A:$A = $A1871 - 1, 'Fund Investment Data'!$B:$B &lt;= 3)) * Parameters!$B$4,0))),0)"),0.0)</f>
        <v>0</v>
      </c>
      <c r="AC1871" s="32">
        <f>IFERROR(__xludf.DUMMYFUNCTION("IFERROR(FILTER($AF:$AF,$C:$C = $C1871,$A:$A = $A1871 - 1,$B:$B = 12),0)"),0.0)</f>
        <v>0</v>
      </c>
      <c r="AD1871" s="32">
        <f t="shared" si="23"/>
        <v>0</v>
      </c>
      <c r="AE1871" s="32">
        <f t="shared" si="2"/>
        <v>0</v>
      </c>
      <c r="AF1871" s="32"/>
    </row>
    <row r="1872">
      <c r="A1872" s="86"/>
      <c r="B1872" s="87"/>
      <c r="C1872" s="88"/>
      <c r="D1872" s="104"/>
      <c r="E1872" s="104"/>
      <c r="F1872" s="104"/>
      <c r="G1872" s="104"/>
      <c r="H1872" s="104"/>
      <c r="I1872" s="104"/>
      <c r="J1872" s="104"/>
      <c r="K1872" s="32"/>
      <c r="L1872" s="32"/>
      <c r="M1872" s="32"/>
      <c r="N1872" s="32"/>
      <c r="O1872" s="106"/>
      <c r="P1872" s="91">
        <f>IFERROR(__xludf.DUMMYFUNCTION("IFERROR(sum(FILTER($D:$N,$C:$C = $C1872,$A:$A &lt; $A1872,$B:$B = 12)),0) + sum($D1872:$N1872)"),0.0)</f>
        <v>0</v>
      </c>
      <c r="Q1872" s="92">
        <f t="shared" si="1"/>
        <v>0</v>
      </c>
      <c r="R1872" s="91">
        <f t="array" ref="R1872">IFERROR(INDEX('Fund YTD Target Values'!$1:$1000, MATCH($C1872,'Fund YTD Target Values'!$A:$A,0), MATCH($A1872,'Fund YTD Target Values'!$1:$1,0)),0)</f>
        <v>0</v>
      </c>
      <c r="S1872" s="91">
        <f>IFERROR(__xludf.DUMMYFUNCTION("IFERROR(sum(FILTER('Fund Investment Data'!$V:$V, 'Fund Investment Data'!$C:$C = $C1872, 'Fund Investment Data'!$A:$A &lt; $A1872)),0) + IFERROR(sum(FILTER('Fund Investment Data'!$V:$V, 'Fund Investment Data'!$C:$C = $C1872, 'Fund Investment Data'!$A:$A = $A1"&amp;"872, 'Fund Investment Data'!$B:$B &lt;= $B1872)),0)"),0.0)</f>
        <v>0</v>
      </c>
      <c r="T1872" s="32"/>
      <c r="U1872" s="32"/>
      <c r="V1872" s="32">
        <f>IFERROR(__xludf.DUMMYFUNCTION("$D1872 - IFERROR(FILTER($D:$D,$C:$C = $C1872, $A:$A = $A1872, $B:$B = $B1872 - 1),0)"),0.0)</f>
        <v>0</v>
      </c>
      <c r="W1872" s="93">
        <f>IFERROR(__xludf.DUMMYFUNCTION("$E1872 - IFERROR(FILTER($E:$E,$C:$C = $C1872, $A:$A = $A1872, $B:$B = $B1872 - 1),0)"),0.0)</f>
        <v>0</v>
      </c>
      <c r="X1872" s="91">
        <f>IFERROR(__xludf.DUMMYFUNCTION("iFERROR((FILTER('Fund Investment Data'!$Z:$Z, 'Fund Investment Data'!$C:$C = $C1872, 'Fund Investment Data'!$A:$A = $A1872 - 1, 'Fund Investment Data'!$B:$B = 12) + FILTER('Fund Investment Data'!$AB:$AB, 'Fund Investment Data'!$C:$C = $C1872, 'Fund Invest"&amp;"ment Data'!$A:$A = $A1872 - 1, 'Fund Investment Data'!$B:$B = 12)) * (1 + AVERAGE(FILTER('Inflation Data'!$C:$C,'Inflation Data'!$A:$A = ($A1872 - 2)))) * Parameters!$A$4,0)"),0.0)</f>
        <v>0</v>
      </c>
      <c r="Y1872" s="91">
        <f>IFERROR(__xludf.DUMMYFUNCTION("IFERROR((IFERROR(FILTER('Fund Investment Data'!$P:$P,'Fund Investment Data'!$C:$C = $C1872,'Fund Investment Data'!$A:$A = ($A1872 - 2), 'Fund Investment Data'!$B:$B = 12),0) - SUM(FILTER('Fund Investment Data'!$V:$V, 'Fund Investment Data'!$C:$C = $C1872,"&amp;" 'Fund Investment Data'!$A:$A = ($A1872 - 2), 'Fund Investment Data'!$B:$B &gt; 3)))  * Parameters!$B$4 * (1 - Parameters!$A$4),0)"),0.0)</f>
        <v>0</v>
      </c>
      <c r="Z1872" s="91">
        <f t="shared" si="24"/>
        <v>0</v>
      </c>
      <c r="AA1872" s="91">
        <f>IFERROR(__xludf.DUMMYFUNCTION("((IFERROR((SUM(FILTER('Fund Investment Data'!$V:$V, 'Fund Investment Data'!$C:$C = $C1872, 'Fund Investment Data'!$A:$A = $A1872 - 1, 'Fund Investment Data'!$B:$B &gt;= 4, 'Fund Investment Data'!$B:$B &lt;= ($B1872 + 5))) / 12) * ($B1872 - 3) * Parameters!$B$4,"&amp;" 0) + IF($B1872 &gt;= 9, IFERROR(SUM(FILTER('Fund Investment Data'!$V:$V, 'Fund Investment Data'!$C:$C = $C1872, 'Fund Investment Data'!$A:$A = $A1872, 'Fund Investment Data'!$B:$B &lt;= 3)) * Parameters!$B$4, 0),0)))"),0.0)</f>
        <v>0</v>
      </c>
      <c r="AB1872" s="32">
        <f>IFERROR(__xludf.DUMMYFUNCTION("IFERROR(((IFERROR(SUM(FILTER('Fund Investment Data'!$V:$V, 'Fund Investment Data'!$C:$C = $C1872, 'Fund Investment Data'!$A:$A = $A1872 - 2, 'Fund Investment Data'!$B:$B &gt;= 4)) * Parameters!$B$4,0) + IFERROR(SUM(FILTER('Fund Investment Data'!$V:$V, 'Fund "&amp;"Investment Data'!$C:$C = $C1872, 'Fund Investment Data'!$A:$A = $A1872 - 1, 'Fund Investment Data'!$B:$B &lt;= 3)) * Parameters!$B$4,0))),0)"),0.0)</f>
        <v>0</v>
      </c>
      <c r="AC1872" s="32">
        <f>IFERROR(__xludf.DUMMYFUNCTION("IFERROR(FILTER($AF:$AF,$C:$C = $C1872,$A:$A = $A1872 - 1,$B:$B = 12),0)"),0.0)</f>
        <v>0</v>
      </c>
      <c r="AD1872" s="32">
        <f t="shared" si="23"/>
        <v>0</v>
      </c>
      <c r="AE1872" s="32">
        <f t="shared" si="2"/>
        <v>0</v>
      </c>
      <c r="AF1872" s="32"/>
    </row>
    <row r="1873">
      <c r="A1873" s="86"/>
      <c r="B1873" s="87"/>
      <c r="C1873" s="88"/>
      <c r="D1873" s="104"/>
      <c r="E1873" s="104"/>
      <c r="F1873" s="104"/>
      <c r="G1873" s="104"/>
      <c r="H1873" s="104"/>
      <c r="I1873" s="104"/>
      <c r="J1873" s="104"/>
      <c r="K1873" s="32"/>
      <c r="L1873" s="32"/>
      <c r="M1873" s="32"/>
      <c r="N1873" s="32"/>
      <c r="O1873" s="106"/>
      <c r="P1873" s="91">
        <f>IFERROR(__xludf.DUMMYFUNCTION("IFERROR(sum(FILTER($D:$N,$C:$C = $C1873,$A:$A &lt; $A1873,$B:$B = 12)),0) + sum($D1873:$N1873)"),0.0)</f>
        <v>0</v>
      </c>
      <c r="Q1873" s="92">
        <f t="shared" si="1"/>
        <v>0</v>
      </c>
      <c r="R1873" s="91">
        <f t="array" ref="R1873">IFERROR(INDEX('Fund YTD Target Values'!$1:$1000, MATCH($C1873,'Fund YTD Target Values'!$A:$A,0), MATCH($A1873,'Fund YTD Target Values'!$1:$1,0)),0)</f>
        <v>0</v>
      </c>
      <c r="S1873" s="91">
        <f>IFERROR(__xludf.DUMMYFUNCTION("IFERROR(sum(FILTER('Fund Investment Data'!$V:$V, 'Fund Investment Data'!$C:$C = $C1873, 'Fund Investment Data'!$A:$A &lt; $A1873)),0) + IFERROR(sum(FILTER('Fund Investment Data'!$V:$V, 'Fund Investment Data'!$C:$C = $C1873, 'Fund Investment Data'!$A:$A = $A1"&amp;"873, 'Fund Investment Data'!$B:$B &lt;= $B1873)),0)"),0.0)</f>
        <v>0</v>
      </c>
      <c r="T1873" s="32"/>
      <c r="U1873" s="32"/>
      <c r="V1873" s="32">
        <f>IFERROR(__xludf.DUMMYFUNCTION("$D1873 - IFERROR(FILTER($D:$D,$C:$C = $C1873, $A:$A = $A1873, $B:$B = $B1873 - 1),0)"),0.0)</f>
        <v>0</v>
      </c>
      <c r="W1873" s="93">
        <f>IFERROR(__xludf.DUMMYFUNCTION("$E1873 - IFERROR(FILTER($E:$E,$C:$C = $C1873, $A:$A = $A1873, $B:$B = $B1873 - 1),0)"),0.0)</f>
        <v>0</v>
      </c>
      <c r="X1873" s="91">
        <f>IFERROR(__xludf.DUMMYFUNCTION("iFERROR((FILTER('Fund Investment Data'!$Z:$Z, 'Fund Investment Data'!$C:$C = $C1873, 'Fund Investment Data'!$A:$A = $A1873 - 1, 'Fund Investment Data'!$B:$B = 12) + FILTER('Fund Investment Data'!$AB:$AB, 'Fund Investment Data'!$C:$C = $C1873, 'Fund Invest"&amp;"ment Data'!$A:$A = $A1873 - 1, 'Fund Investment Data'!$B:$B = 12)) * (1 + AVERAGE(FILTER('Inflation Data'!$C:$C,'Inflation Data'!$A:$A = ($A1873 - 2)))) * Parameters!$A$4,0)"),0.0)</f>
        <v>0</v>
      </c>
      <c r="Y1873" s="91">
        <f>IFERROR(__xludf.DUMMYFUNCTION("IFERROR((IFERROR(FILTER('Fund Investment Data'!$P:$P,'Fund Investment Data'!$C:$C = $C1873,'Fund Investment Data'!$A:$A = ($A1873 - 2), 'Fund Investment Data'!$B:$B = 12),0) - SUM(FILTER('Fund Investment Data'!$V:$V, 'Fund Investment Data'!$C:$C = $C1873,"&amp;" 'Fund Investment Data'!$A:$A = ($A1873 - 2), 'Fund Investment Data'!$B:$B &gt; 3)))  * Parameters!$B$4 * (1 - Parameters!$A$4),0)"),0.0)</f>
        <v>0</v>
      </c>
      <c r="Z1873" s="91">
        <f t="shared" si="24"/>
        <v>0</v>
      </c>
      <c r="AA1873" s="91">
        <f>IFERROR(__xludf.DUMMYFUNCTION("((IFERROR((SUM(FILTER('Fund Investment Data'!$V:$V, 'Fund Investment Data'!$C:$C = $C1873, 'Fund Investment Data'!$A:$A = $A1873 - 1, 'Fund Investment Data'!$B:$B &gt;= 4, 'Fund Investment Data'!$B:$B &lt;= ($B1873 + 5))) / 12) * ($B1873 - 3) * Parameters!$B$4,"&amp;" 0) + IF($B1873 &gt;= 9, IFERROR(SUM(FILTER('Fund Investment Data'!$V:$V, 'Fund Investment Data'!$C:$C = $C1873, 'Fund Investment Data'!$A:$A = $A1873, 'Fund Investment Data'!$B:$B &lt;= 3)) * Parameters!$B$4, 0),0)))"),0.0)</f>
        <v>0</v>
      </c>
      <c r="AB1873" s="32">
        <f>IFERROR(__xludf.DUMMYFUNCTION("IFERROR(((IFERROR(SUM(FILTER('Fund Investment Data'!$V:$V, 'Fund Investment Data'!$C:$C = $C1873, 'Fund Investment Data'!$A:$A = $A1873 - 2, 'Fund Investment Data'!$B:$B &gt;= 4)) * Parameters!$B$4,0) + IFERROR(SUM(FILTER('Fund Investment Data'!$V:$V, 'Fund "&amp;"Investment Data'!$C:$C = $C1873, 'Fund Investment Data'!$A:$A = $A1873 - 1, 'Fund Investment Data'!$B:$B &lt;= 3)) * Parameters!$B$4,0))),0)"),0.0)</f>
        <v>0</v>
      </c>
      <c r="AC1873" s="32">
        <f>IFERROR(__xludf.DUMMYFUNCTION("IFERROR(FILTER($AF:$AF,$C:$C = $C1873,$A:$A = $A1873 - 1,$B:$B = 12),0)"),0.0)</f>
        <v>0</v>
      </c>
      <c r="AD1873" s="32">
        <f t="shared" si="23"/>
        <v>0</v>
      </c>
      <c r="AE1873" s="32">
        <f t="shared" si="2"/>
        <v>0</v>
      </c>
      <c r="AF1873" s="32"/>
    </row>
    <row r="1874">
      <c r="A1874" s="86"/>
      <c r="B1874" s="87"/>
      <c r="C1874" s="88"/>
      <c r="D1874" s="104"/>
      <c r="E1874" s="104"/>
      <c r="F1874" s="104"/>
      <c r="G1874" s="104"/>
      <c r="H1874" s="104"/>
      <c r="I1874" s="104"/>
      <c r="J1874" s="104"/>
      <c r="K1874" s="32"/>
      <c r="L1874" s="32"/>
      <c r="M1874" s="32"/>
      <c r="N1874" s="32"/>
      <c r="O1874" s="106"/>
      <c r="P1874" s="91">
        <f>IFERROR(__xludf.DUMMYFUNCTION("IFERROR(sum(FILTER($D:$N,$C:$C = $C1874,$A:$A &lt; $A1874,$B:$B = 12)),0) + sum($D1874:$N1874)"),0.0)</f>
        <v>0</v>
      </c>
      <c r="Q1874" s="92">
        <f t="shared" si="1"/>
        <v>0</v>
      </c>
      <c r="R1874" s="91">
        <f t="array" ref="R1874">IFERROR(INDEX('Fund YTD Target Values'!$1:$1000, MATCH($C1874,'Fund YTD Target Values'!$A:$A,0), MATCH($A1874,'Fund YTD Target Values'!$1:$1,0)),0)</f>
        <v>0</v>
      </c>
      <c r="S1874" s="91">
        <f>IFERROR(__xludf.DUMMYFUNCTION("IFERROR(sum(FILTER('Fund Investment Data'!$V:$V, 'Fund Investment Data'!$C:$C = $C1874, 'Fund Investment Data'!$A:$A &lt; $A1874)),0) + IFERROR(sum(FILTER('Fund Investment Data'!$V:$V, 'Fund Investment Data'!$C:$C = $C1874, 'Fund Investment Data'!$A:$A = $A1"&amp;"874, 'Fund Investment Data'!$B:$B &lt;= $B1874)),0)"),0.0)</f>
        <v>0</v>
      </c>
      <c r="T1874" s="32"/>
      <c r="U1874" s="32"/>
      <c r="V1874" s="32">
        <f>IFERROR(__xludf.DUMMYFUNCTION("$D1874 - IFERROR(FILTER($D:$D,$C:$C = $C1874, $A:$A = $A1874, $B:$B = $B1874 - 1),0)"),0.0)</f>
        <v>0</v>
      </c>
      <c r="W1874" s="93">
        <f>IFERROR(__xludf.DUMMYFUNCTION("$E1874 - IFERROR(FILTER($E:$E,$C:$C = $C1874, $A:$A = $A1874, $B:$B = $B1874 - 1),0)"),0.0)</f>
        <v>0</v>
      </c>
      <c r="X1874" s="91">
        <f>IFERROR(__xludf.DUMMYFUNCTION("iFERROR((FILTER('Fund Investment Data'!$Z:$Z, 'Fund Investment Data'!$C:$C = $C1874, 'Fund Investment Data'!$A:$A = $A1874 - 1, 'Fund Investment Data'!$B:$B = 12) + FILTER('Fund Investment Data'!$AB:$AB, 'Fund Investment Data'!$C:$C = $C1874, 'Fund Invest"&amp;"ment Data'!$A:$A = $A1874 - 1, 'Fund Investment Data'!$B:$B = 12)) * (1 + AVERAGE(FILTER('Inflation Data'!$C:$C,'Inflation Data'!$A:$A = ($A1874 - 2)))) * Parameters!$A$4,0)"),0.0)</f>
        <v>0</v>
      </c>
      <c r="Y1874" s="91">
        <f>IFERROR(__xludf.DUMMYFUNCTION("IFERROR((IFERROR(FILTER('Fund Investment Data'!$P:$P,'Fund Investment Data'!$C:$C = $C1874,'Fund Investment Data'!$A:$A = ($A1874 - 2), 'Fund Investment Data'!$B:$B = 12),0) - SUM(FILTER('Fund Investment Data'!$V:$V, 'Fund Investment Data'!$C:$C = $C1874,"&amp;" 'Fund Investment Data'!$A:$A = ($A1874 - 2), 'Fund Investment Data'!$B:$B &gt; 3)))  * Parameters!$B$4 * (1 - Parameters!$A$4),0)"),0.0)</f>
        <v>0</v>
      </c>
      <c r="Z1874" s="91">
        <f t="shared" si="24"/>
        <v>0</v>
      </c>
      <c r="AA1874" s="91">
        <f>IFERROR(__xludf.DUMMYFUNCTION("((IFERROR((SUM(FILTER('Fund Investment Data'!$V:$V, 'Fund Investment Data'!$C:$C = $C1874, 'Fund Investment Data'!$A:$A = $A1874 - 1, 'Fund Investment Data'!$B:$B &gt;= 4, 'Fund Investment Data'!$B:$B &lt;= ($B1874 + 5))) / 12) * ($B1874 - 3) * Parameters!$B$4,"&amp;" 0) + IF($B1874 &gt;= 9, IFERROR(SUM(FILTER('Fund Investment Data'!$V:$V, 'Fund Investment Data'!$C:$C = $C1874, 'Fund Investment Data'!$A:$A = $A1874, 'Fund Investment Data'!$B:$B &lt;= 3)) * Parameters!$B$4, 0),0)))"),0.0)</f>
        <v>0</v>
      </c>
      <c r="AB1874" s="32">
        <f>IFERROR(__xludf.DUMMYFUNCTION("IFERROR(((IFERROR(SUM(FILTER('Fund Investment Data'!$V:$V, 'Fund Investment Data'!$C:$C = $C1874, 'Fund Investment Data'!$A:$A = $A1874 - 2, 'Fund Investment Data'!$B:$B &gt;= 4)) * Parameters!$B$4,0) + IFERROR(SUM(FILTER('Fund Investment Data'!$V:$V, 'Fund "&amp;"Investment Data'!$C:$C = $C1874, 'Fund Investment Data'!$A:$A = $A1874 - 1, 'Fund Investment Data'!$B:$B &lt;= 3)) * Parameters!$B$4,0))),0)"),0.0)</f>
        <v>0</v>
      </c>
      <c r="AC1874" s="32">
        <f>IFERROR(__xludf.DUMMYFUNCTION("IFERROR(FILTER($AF:$AF,$C:$C = $C1874,$A:$A = $A1874 - 1,$B:$B = 12),0)"),0.0)</f>
        <v>0</v>
      </c>
      <c r="AD1874" s="32">
        <f t="shared" si="23"/>
        <v>0</v>
      </c>
      <c r="AE1874" s="32">
        <f t="shared" si="2"/>
        <v>0</v>
      </c>
      <c r="AF1874" s="32"/>
    </row>
    <row r="1875">
      <c r="A1875" s="86"/>
      <c r="B1875" s="87"/>
      <c r="C1875" s="88"/>
      <c r="D1875" s="104"/>
      <c r="E1875" s="104"/>
      <c r="F1875" s="104"/>
      <c r="G1875" s="104"/>
      <c r="H1875" s="104"/>
      <c r="I1875" s="104"/>
      <c r="J1875" s="104"/>
      <c r="K1875" s="32"/>
      <c r="L1875" s="32"/>
      <c r="M1875" s="32"/>
      <c r="N1875" s="32"/>
      <c r="O1875" s="106"/>
      <c r="P1875" s="91">
        <f>IFERROR(__xludf.DUMMYFUNCTION("IFERROR(sum(FILTER($D:$N,$C:$C = $C1875,$A:$A &lt; $A1875,$B:$B = 12)),0) + sum($D1875:$N1875)"),0.0)</f>
        <v>0</v>
      </c>
      <c r="Q1875" s="92">
        <f t="shared" si="1"/>
        <v>0</v>
      </c>
      <c r="R1875" s="91">
        <f t="array" ref="R1875">IFERROR(INDEX('Fund YTD Target Values'!$1:$1000, MATCH($C1875,'Fund YTD Target Values'!$A:$A,0), MATCH($A1875,'Fund YTD Target Values'!$1:$1,0)),0)</f>
        <v>0</v>
      </c>
      <c r="S1875" s="91">
        <f>IFERROR(__xludf.DUMMYFUNCTION("IFERROR(sum(FILTER('Fund Investment Data'!$V:$V, 'Fund Investment Data'!$C:$C = $C1875, 'Fund Investment Data'!$A:$A &lt; $A1875)),0) + IFERROR(sum(FILTER('Fund Investment Data'!$V:$V, 'Fund Investment Data'!$C:$C = $C1875, 'Fund Investment Data'!$A:$A = $A1"&amp;"875, 'Fund Investment Data'!$B:$B &lt;= $B1875)),0)"),0.0)</f>
        <v>0</v>
      </c>
      <c r="T1875" s="32"/>
      <c r="U1875" s="32"/>
      <c r="V1875" s="32">
        <f>IFERROR(__xludf.DUMMYFUNCTION("$D1875 - IFERROR(FILTER($D:$D,$C:$C = $C1875, $A:$A = $A1875, $B:$B = $B1875 - 1),0)"),0.0)</f>
        <v>0</v>
      </c>
      <c r="W1875" s="93">
        <f>IFERROR(__xludf.DUMMYFUNCTION("$E1875 - IFERROR(FILTER($E:$E,$C:$C = $C1875, $A:$A = $A1875, $B:$B = $B1875 - 1),0)"),0.0)</f>
        <v>0</v>
      </c>
      <c r="X1875" s="91">
        <f>IFERROR(__xludf.DUMMYFUNCTION("iFERROR((FILTER('Fund Investment Data'!$Z:$Z, 'Fund Investment Data'!$C:$C = $C1875, 'Fund Investment Data'!$A:$A = $A1875 - 1, 'Fund Investment Data'!$B:$B = 12) + FILTER('Fund Investment Data'!$AB:$AB, 'Fund Investment Data'!$C:$C = $C1875, 'Fund Invest"&amp;"ment Data'!$A:$A = $A1875 - 1, 'Fund Investment Data'!$B:$B = 12)) * (1 + AVERAGE(FILTER('Inflation Data'!$C:$C,'Inflation Data'!$A:$A = ($A1875 - 2)))) * Parameters!$A$4,0)"),0.0)</f>
        <v>0</v>
      </c>
      <c r="Y1875" s="91">
        <f>IFERROR(__xludf.DUMMYFUNCTION("IFERROR((IFERROR(FILTER('Fund Investment Data'!$P:$P,'Fund Investment Data'!$C:$C = $C1875,'Fund Investment Data'!$A:$A = ($A1875 - 2), 'Fund Investment Data'!$B:$B = 12),0) - SUM(FILTER('Fund Investment Data'!$V:$V, 'Fund Investment Data'!$C:$C = $C1875,"&amp;" 'Fund Investment Data'!$A:$A = ($A1875 - 2), 'Fund Investment Data'!$B:$B &gt; 3)))  * Parameters!$B$4 * (1 - Parameters!$A$4),0)"),0.0)</f>
        <v>0</v>
      </c>
      <c r="Z1875" s="91">
        <f t="shared" si="24"/>
        <v>0</v>
      </c>
      <c r="AA1875" s="91">
        <f>IFERROR(__xludf.DUMMYFUNCTION("((IFERROR((SUM(FILTER('Fund Investment Data'!$V:$V, 'Fund Investment Data'!$C:$C = $C1875, 'Fund Investment Data'!$A:$A = $A1875 - 1, 'Fund Investment Data'!$B:$B &gt;= 4, 'Fund Investment Data'!$B:$B &lt;= ($B1875 + 5))) / 12) * ($B1875 - 3) * Parameters!$B$4,"&amp;" 0) + IF($B1875 &gt;= 9, IFERROR(SUM(FILTER('Fund Investment Data'!$V:$V, 'Fund Investment Data'!$C:$C = $C1875, 'Fund Investment Data'!$A:$A = $A1875, 'Fund Investment Data'!$B:$B &lt;= 3)) * Parameters!$B$4, 0),0)))"),0.0)</f>
        <v>0</v>
      </c>
      <c r="AB1875" s="32">
        <f>IFERROR(__xludf.DUMMYFUNCTION("IFERROR(((IFERROR(SUM(FILTER('Fund Investment Data'!$V:$V, 'Fund Investment Data'!$C:$C = $C1875, 'Fund Investment Data'!$A:$A = $A1875 - 2, 'Fund Investment Data'!$B:$B &gt;= 4)) * Parameters!$B$4,0) + IFERROR(SUM(FILTER('Fund Investment Data'!$V:$V, 'Fund "&amp;"Investment Data'!$C:$C = $C1875, 'Fund Investment Data'!$A:$A = $A1875 - 1, 'Fund Investment Data'!$B:$B &lt;= 3)) * Parameters!$B$4,0))),0)"),0.0)</f>
        <v>0</v>
      </c>
      <c r="AC1875" s="32">
        <f>IFERROR(__xludf.DUMMYFUNCTION("IFERROR(FILTER($AF:$AF,$C:$C = $C1875,$A:$A = $A1875 - 1,$B:$B = 12),0)"),0.0)</f>
        <v>0</v>
      </c>
      <c r="AD1875" s="32">
        <f t="shared" si="23"/>
        <v>0</v>
      </c>
      <c r="AE1875" s="32">
        <f t="shared" si="2"/>
        <v>0</v>
      </c>
      <c r="AF1875" s="32"/>
    </row>
    <row r="1876">
      <c r="A1876" s="86"/>
      <c r="B1876" s="87"/>
      <c r="C1876" s="88"/>
      <c r="D1876" s="104"/>
      <c r="E1876" s="104"/>
      <c r="F1876" s="104"/>
      <c r="G1876" s="104"/>
      <c r="H1876" s="104"/>
      <c r="I1876" s="104"/>
      <c r="J1876" s="104"/>
      <c r="K1876" s="32"/>
      <c r="L1876" s="32"/>
      <c r="M1876" s="32"/>
      <c r="N1876" s="32"/>
      <c r="O1876" s="106"/>
      <c r="P1876" s="91">
        <f>IFERROR(__xludf.DUMMYFUNCTION("IFERROR(sum(FILTER($D:$N,$C:$C = $C1876,$A:$A &lt; $A1876,$B:$B = 12)),0) + sum($D1876:$N1876)"),0.0)</f>
        <v>0</v>
      </c>
      <c r="Q1876" s="92">
        <f t="shared" si="1"/>
        <v>0</v>
      </c>
      <c r="R1876" s="91">
        <f t="array" ref="R1876">IFERROR(INDEX('Fund YTD Target Values'!$1:$1000, MATCH($C1876,'Fund YTD Target Values'!$A:$A,0), MATCH($A1876,'Fund YTD Target Values'!$1:$1,0)),0)</f>
        <v>0</v>
      </c>
      <c r="S1876" s="91">
        <f>IFERROR(__xludf.DUMMYFUNCTION("IFERROR(sum(FILTER('Fund Investment Data'!$V:$V, 'Fund Investment Data'!$C:$C = $C1876, 'Fund Investment Data'!$A:$A &lt; $A1876)),0) + IFERROR(sum(FILTER('Fund Investment Data'!$V:$V, 'Fund Investment Data'!$C:$C = $C1876, 'Fund Investment Data'!$A:$A = $A1"&amp;"876, 'Fund Investment Data'!$B:$B &lt;= $B1876)),0)"),0.0)</f>
        <v>0</v>
      </c>
      <c r="T1876" s="32"/>
      <c r="U1876" s="32"/>
      <c r="V1876" s="32">
        <f>IFERROR(__xludf.DUMMYFUNCTION("$D1876 - IFERROR(FILTER($D:$D,$C:$C = $C1876, $A:$A = $A1876, $B:$B = $B1876 - 1),0)"),0.0)</f>
        <v>0</v>
      </c>
      <c r="W1876" s="93">
        <f>IFERROR(__xludf.DUMMYFUNCTION("$E1876 - IFERROR(FILTER($E:$E,$C:$C = $C1876, $A:$A = $A1876, $B:$B = $B1876 - 1),0)"),0.0)</f>
        <v>0</v>
      </c>
      <c r="X1876" s="91">
        <f>IFERROR(__xludf.DUMMYFUNCTION("iFERROR((FILTER('Fund Investment Data'!$Z:$Z, 'Fund Investment Data'!$C:$C = $C1876, 'Fund Investment Data'!$A:$A = $A1876 - 1, 'Fund Investment Data'!$B:$B = 12) + FILTER('Fund Investment Data'!$AB:$AB, 'Fund Investment Data'!$C:$C = $C1876, 'Fund Invest"&amp;"ment Data'!$A:$A = $A1876 - 1, 'Fund Investment Data'!$B:$B = 12)) * (1 + AVERAGE(FILTER('Inflation Data'!$C:$C,'Inflation Data'!$A:$A = ($A1876 - 2)))) * Parameters!$A$4,0)"),0.0)</f>
        <v>0</v>
      </c>
      <c r="Y1876" s="91">
        <f>IFERROR(__xludf.DUMMYFUNCTION("IFERROR((IFERROR(FILTER('Fund Investment Data'!$P:$P,'Fund Investment Data'!$C:$C = $C1876,'Fund Investment Data'!$A:$A = ($A1876 - 2), 'Fund Investment Data'!$B:$B = 12),0) - SUM(FILTER('Fund Investment Data'!$V:$V, 'Fund Investment Data'!$C:$C = $C1876,"&amp;" 'Fund Investment Data'!$A:$A = ($A1876 - 2), 'Fund Investment Data'!$B:$B &gt; 3)))  * Parameters!$B$4 * (1 - Parameters!$A$4),0)"),0.0)</f>
        <v>0</v>
      </c>
      <c r="Z1876" s="91">
        <f t="shared" si="24"/>
        <v>0</v>
      </c>
      <c r="AA1876" s="91">
        <f>IFERROR(__xludf.DUMMYFUNCTION("((IFERROR((SUM(FILTER('Fund Investment Data'!$V:$V, 'Fund Investment Data'!$C:$C = $C1876, 'Fund Investment Data'!$A:$A = $A1876 - 1, 'Fund Investment Data'!$B:$B &gt;= 4, 'Fund Investment Data'!$B:$B &lt;= ($B1876 + 5))) / 12) * ($B1876 - 3) * Parameters!$B$4,"&amp;" 0) + IF($B1876 &gt;= 9, IFERROR(SUM(FILTER('Fund Investment Data'!$V:$V, 'Fund Investment Data'!$C:$C = $C1876, 'Fund Investment Data'!$A:$A = $A1876, 'Fund Investment Data'!$B:$B &lt;= 3)) * Parameters!$B$4, 0),0)))"),0.0)</f>
        <v>0</v>
      </c>
      <c r="AB1876" s="32">
        <f>IFERROR(__xludf.DUMMYFUNCTION("IFERROR(((IFERROR(SUM(FILTER('Fund Investment Data'!$V:$V, 'Fund Investment Data'!$C:$C = $C1876, 'Fund Investment Data'!$A:$A = $A1876 - 2, 'Fund Investment Data'!$B:$B &gt;= 4)) * Parameters!$B$4,0) + IFERROR(SUM(FILTER('Fund Investment Data'!$V:$V, 'Fund "&amp;"Investment Data'!$C:$C = $C1876, 'Fund Investment Data'!$A:$A = $A1876 - 1, 'Fund Investment Data'!$B:$B &lt;= 3)) * Parameters!$B$4,0))),0)"),0.0)</f>
        <v>0</v>
      </c>
      <c r="AC1876" s="32">
        <f>IFERROR(__xludf.DUMMYFUNCTION("IFERROR(FILTER($AF:$AF,$C:$C = $C1876,$A:$A = $A1876 - 1,$B:$B = 12),0)"),0.0)</f>
        <v>0</v>
      </c>
      <c r="AD1876" s="32">
        <f t="shared" si="23"/>
        <v>0</v>
      </c>
      <c r="AE1876" s="32">
        <f t="shared" si="2"/>
        <v>0</v>
      </c>
      <c r="AF1876" s="32"/>
    </row>
    <row r="1877">
      <c r="A1877" s="86"/>
      <c r="B1877" s="87"/>
      <c r="C1877" s="88"/>
      <c r="D1877" s="104"/>
      <c r="E1877" s="104"/>
      <c r="F1877" s="104"/>
      <c r="G1877" s="104"/>
      <c r="H1877" s="104"/>
      <c r="I1877" s="104"/>
      <c r="J1877" s="104"/>
      <c r="K1877" s="32"/>
      <c r="L1877" s="32"/>
      <c r="M1877" s="32"/>
      <c r="N1877" s="32"/>
      <c r="O1877" s="106"/>
      <c r="P1877" s="91">
        <f>IFERROR(__xludf.DUMMYFUNCTION("IFERROR(sum(FILTER($D:$N,$C:$C = $C1877,$A:$A &lt; $A1877,$B:$B = 12)),0) + sum($D1877:$N1877)"),0.0)</f>
        <v>0</v>
      </c>
      <c r="Q1877" s="92">
        <f t="shared" si="1"/>
        <v>0</v>
      </c>
      <c r="R1877" s="91">
        <f t="array" ref="R1877">IFERROR(INDEX('Fund YTD Target Values'!$1:$1000, MATCH($C1877,'Fund YTD Target Values'!$A:$A,0), MATCH($A1877,'Fund YTD Target Values'!$1:$1,0)),0)</f>
        <v>0</v>
      </c>
      <c r="S1877" s="91">
        <f>IFERROR(__xludf.DUMMYFUNCTION("IFERROR(sum(FILTER('Fund Investment Data'!$V:$V, 'Fund Investment Data'!$C:$C = $C1877, 'Fund Investment Data'!$A:$A &lt; $A1877)),0) + IFERROR(sum(FILTER('Fund Investment Data'!$V:$V, 'Fund Investment Data'!$C:$C = $C1877, 'Fund Investment Data'!$A:$A = $A1"&amp;"877, 'Fund Investment Data'!$B:$B &lt;= $B1877)),0)"),0.0)</f>
        <v>0</v>
      </c>
      <c r="T1877" s="32"/>
      <c r="U1877" s="32"/>
      <c r="V1877" s="32">
        <f>IFERROR(__xludf.DUMMYFUNCTION("$D1877 - IFERROR(FILTER($D:$D,$C:$C = $C1877, $A:$A = $A1877, $B:$B = $B1877 - 1),0)"),0.0)</f>
        <v>0</v>
      </c>
      <c r="W1877" s="93">
        <f>IFERROR(__xludf.DUMMYFUNCTION("$E1877 - IFERROR(FILTER($E:$E,$C:$C = $C1877, $A:$A = $A1877, $B:$B = $B1877 - 1),0)"),0.0)</f>
        <v>0</v>
      </c>
      <c r="X1877" s="91">
        <f>IFERROR(__xludf.DUMMYFUNCTION("iFERROR((FILTER('Fund Investment Data'!$Z:$Z, 'Fund Investment Data'!$C:$C = $C1877, 'Fund Investment Data'!$A:$A = $A1877 - 1, 'Fund Investment Data'!$B:$B = 12) + FILTER('Fund Investment Data'!$AB:$AB, 'Fund Investment Data'!$C:$C = $C1877, 'Fund Invest"&amp;"ment Data'!$A:$A = $A1877 - 1, 'Fund Investment Data'!$B:$B = 12)) * (1 + AVERAGE(FILTER('Inflation Data'!$C:$C,'Inflation Data'!$A:$A = ($A1877 - 2)))) * Parameters!$A$4,0)"),0.0)</f>
        <v>0</v>
      </c>
      <c r="Y1877" s="91">
        <f>IFERROR(__xludf.DUMMYFUNCTION("IFERROR((IFERROR(FILTER('Fund Investment Data'!$P:$P,'Fund Investment Data'!$C:$C = $C1877,'Fund Investment Data'!$A:$A = ($A1877 - 2), 'Fund Investment Data'!$B:$B = 12),0) - SUM(FILTER('Fund Investment Data'!$V:$V, 'Fund Investment Data'!$C:$C = $C1877,"&amp;" 'Fund Investment Data'!$A:$A = ($A1877 - 2), 'Fund Investment Data'!$B:$B &gt; 3)))  * Parameters!$B$4 * (1 - Parameters!$A$4),0)"),0.0)</f>
        <v>0</v>
      </c>
      <c r="Z1877" s="91">
        <f t="shared" si="24"/>
        <v>0</v>
      </c>
      <c r="AA1877" s="91">
        <f>IFERROR(__xludf.DUMMYFUNCTION("((IFERROR((SUM(FILTER('Fund Investment Data'!$V:$V, 'Fund Investment Data'!$C:$C = $C1877, 'Fund Investment Data'!$A:$A = $A1877 - 1, 'Fund Investment Data'!$B:$B &gt;= 4, 'Fund Investment Data'!$B:$B &lt;= ($B1877 + 5))) / 12) * ($B1877 - 3) * Parameters!$B$4,"&amp;" 0) + IF($B1877 &gt;= 9, IFERROR(SUM(FILTER('Fund Investment Data'!$V:$V, 'Fund Investment Data'!$C:$C = $C1877, 'Fund Investment Data'!$A:$A = $A1877, 'Fund Investment Data'!$B:$B &lt;= 3)) * Parameters!$B$4, 0),0)))"),0.0)</f>
        <v>0</v>
      </c>
      <c r="AB1877" s="32">
        <f>IFERROR(__xludf.DUMMYFUNCTION("IFERROR(((IFERROR(SUM(FILTER('Fund Investment Data'!$V:$V, 'Fund Investment Data'!$C:$C = $C1877, 'Fund Investment Data'!$A:$A = $A1877 - 2, 'Fund Investment Data'!$B:$B &gt;= 4)) * Parameters!$B$4,0) + IFERROR(SUM(FILTER('Fund Investment Data'!$V:$V, 'Fund "&amp;"Investment Data'!$C:$C = $C1877, 'Fund Investment Data'!$A:$A = $A1877 - 1, 'Fund Investment Data'!$B:$B &lt;= 3)) * Parameters!$B$4,0))),0)"),0.0)</f>
        <v>0</v>
      </c>
      <c r="AC1877" s="32">
        <f>IFERROR(__xludf.DUMMYFUNCTION("IFERROR(FILTER($AF:$AF,$C:$C = $C1877,$A:$A = $A1877 - 1,$B:$B = 12),0)"),0.0)</f>
        <v>0</v>
      </c>
      <c r="AD1877" s="32">
        <f t="shared" si="23"/>
        <v>0</v>
      </c>
      <c r="AE1877" s="32">
        <f t="shared" si="2"/>
        <v>0</v>
      </c>
      <c r="AF1877" s="32"/>
    </row>
    <row r="1878">
      <c r="A1878" s="86"/>
      <c r="B1878" s="87"/>
      <c r="C1878" s="88"/>
      <c r="D1878" s="104"/>
      <c r="E1878" s="104"/>
      <c r="F1878" s="104"/>
      <c r="G1878" s="104"/>
      <c r="H1878" s="104"/>
      <c r="I1878" s="104"/>
      <c r="J1878" s="104"/>
      <c r="K1878" s="32"/>
      <c r="L1878" s="32"/>
      <c r="M1878" s="32"/>
      <c r="N1878" s="32"/>
      <c r="O1878" s="106"/>
      <c r="P1878" s="91">
        <f>IFERROR(__xludf.DUMMYFUNCTION("IFERROR(sum(FILTER($D:$N,$C:$C = $C1878,$A:$A &lt; $A1878,$B:$B = 12)),0) + sum($D1878:$N1878)"),0.0)</f>
        <v>0</v>
      </c>
      <c r="Q1878" s="92">
        <f t="shared" si="1"/>
        <v>0</v>
      </c>
      <c r="R1878" s="91">
        <f t="array" ref="R1878">IFERROR(INDEX('Fund YTD Target Values'!$1:$1000, MATCH($C1878,'Fund YTD Target Values'!$A:$A,0), MATCH($A1878,'Fund YTD Target Values'!$1:$1,0)),0)</f>
        <v>0</v>
      </c>
      <c r="S1878" s="91">
        <f>IFERROR(__xludf.DUMMYFUNCTION("IFERROR(sum(FILTER('Fund Investment Data'!$V:$V, 'Fund Investment Data'!$C:$C = $C1878, 'Fund Investment Data'!$A:$A &lt; $A1878)),0) + IFERROR(sum(FILTER('Fund Investment Data'!$V:$V, 'Fund Investment Data'!$C:$C = $C1878, 'Fund Investment Data'!$A:$A = $A1"&amp;"878, 'Fund Investment Data'!$B:$B &lt;= $B1878)),0)"),0.0)</f>
        <v>0</v>
      </c>
      <c r="T1878" s="32"/>
      <c r="U1878" s="32"/>
      <c r="V1878" s="32">
        <f>IFERROR(__xludf.DUMMYFUNCTION("$D1878 - IFERROR(FILTER($D:$D,$C:$C = $C1878, $A:$A = $A1878, $B:$B = $B1878 - 1),0)"),0.0)</f>
        <v>0</v>
      </c>
      <c r="W1878" s="93">
        <f>IFERROR(__xludf.DUMMYFUNCTION("$E1878 - IFERROR(FILTER($E:$E,$C:$C = $C1878, $A:$A = $A1878, $B:$B = $B1878 - 1),0)"),0.0)</f>
        <v>0</v>
      </c>
      <c r="X1878" s="91">
        <f>IFERROR(__xludf.DUMMYFUNCTION("iFERROR((FILTER('Fund Investment Data'!$Z:$Z, 'Fund Investment Data'!$C:$C = $C1878, 'Fund Investment Data'!$A:$A = $A1878 - 1, 'Fund Investment Data'!$B:$B = 12) + FILTER('Fund Investment Data'!$AB:$AB, 'Fund Investment Data'!$C:$C = $C1878, 'Fund Invest"&amp;"ment Data'!$A:$A = $A1878 - 1, 'Fund Investment Data'!$B:$B = 12)) * (1 + AVERAGE(FILTER('Inflation Data'!$C:$C,'Inflation Data'!$A:$A = ($A1878 - 2)))) * Parameters!$A$4,0)"),0.0)</f>
        <v>0</v>
      </c>
      <c r="Y1878" s="91">
        <f>IFERROR(__xludf.DUMMYFUNCTION("IFERROR((IFERROR(FILTER('Fund Investment Data'!$P:$P,'Fund Investment Data'!$C:$C = $C1878,'Fund Investment Data'!$A:$A = ($A1878 - 2), 'Fund Investment Data'!$B:$B = 12),0) - SUM(FILTER('Fund Investment Data'!$V:$V, 'Fund Investment Data'!$C:$C = $C1878,"&amp;" 'Fund Investment Data'!$A:$A = ($A1878 - 2), 'Fund Investment Data'!$B:$B &gt; 3)))  * Parameters!$B$4 * (1 - Parameters!$A$4),0)"),0.0)</f>
        <v>0</v>
      </c>
      <c r="Z1878" s="91">
        <f t="shared" si="24"/>
        <v>0</v>
      </c>
      <c r="AA1878" s="91">
        <f>IFERROR(__xludf.DUMMYFUNCTION("((IFERROR((SUM(FILTER('Fund Investment Data'!$V:$V, 'Fund Investment Data'!$C:$C = $C1878, 'Fund Investment Data'!$A:$A = $A1878 - 1, 'Fund Investment Data'!$B:$B &gt;= 4, 'Fund Investment Data'!$B:$B &lt;= ($B1878 + 5))) / 12) * ($B1878 - 3) * Parameters!$B$4,"&amp;" 0) + IF($B1878 &gt;= 9, IFERROR(SUM(FILTER('Fund Investment Data'!$V:$V, 'Fund Investment Data'!$C:$C = $C1878, 'Fund Investment Data'!$A:$A = $A1878, 'Fund Investment Data'!$B:$B &lt;= 3)) * Parameters!$B$4, 0),0)))"),0.0)</f>
        <v>0</v>
      </c>
      <c r="AB1878" s="32">
        <f>IFERROR(__xludf.DUMMYFUNCTION("IFERROR(((IFERROR(SUM(FILTER('Fund Investment Data'!$V:$V, 'Fund Investment Data'!$C:$C = $C1878, 'Fund Investment Data'!$A:$A = $A1878 - 2, 'Fund Investment Data'!$B:$B &gt;= 4)) * Parameters!$B$4,0) + IFERROR(SUM(FILTER('Fund Investment Data'!$V:$V, 'Fund "&amp;"Investment Data'!$C:$C = $C1878, 'Fund Investment Data'!$A:$A = $A1878 - 1, 'Fund Investment Data'!$B:$B &lt;= 3)) * Parameters!$B$4,0))),0)"),0.0)</f>
        <v>0</v>
      </c>
      <c r="AC1878" s="32">
        <f>IFERROR(__xludf.DUMMYFUNCTION("IFERROR(FILTER($AF:$AF,$C:$C = $C1878,$A:$A = $A1878 - 1,$B:$B = 12),0)"),0.0)</f>
        <v>0</v>
      </c>
      <c r="AD1878" s="32">
        <f t="shared" si="23"/>
        <v>0</v>
      </c>
      <c r="AE1878" s="32">
        <f t="shared" si="2"/>
        <v>0</v>
      </c>
      <c r="AF1878" s="32"/>
    </row>
    <row r="1879">
      <c r="A1879" s="86"/>
      <c r="B1879" s="87"/>
      <c r="C1879" s="88"/>
      <c r="D1879" s="104"/>
      <c r="E1879" s="104"/>
      <c r="F1879" s="104"/>
      <c r="G1879" s="104"/>
      <c r="H1879" s="104"/>
      <c r="I1879" s="104"/>
      <c r="J1879" s="104"/>
      <c r="K1879" s="32"/>
      <c r="L1879" s="32"/>
      <c r="M1879" s="32"/>
      <c r="N1879" s="32"/>
      <c r="O1879" s="106"/>
      <c r="P1879" s="91">
        <f>IFERROR(__xludf.DUMMYFUNCTION("IFERROR(sum(FILTER($D:$N,$C:$C = $C1879,$A:$A &lt; $A1879,$B:$B = 12)),0) + sum($D1879:$N1879)"),0.0)</f>
        <v>0</v>
      </c>
      <c r="Q1879" s="92">
        <f t="shared" si="1"/>
        <v>0</v>
      </c>
      <c r="R1879" s="91">
        <f t="array" ref="R1879">IFERROR(INDEX('Fund YTD Target Values'!$1:$1000, MATCH($C1879,'Fund YTD Target Values'!$A:$A,0), MATCH($A1879,'Fund YTD Target Values'!$1:$1,0)),0)</f>
        <v>0</v>
      </c>
      <c r="S1879" s="91">
        <f>IFERROR(__xludf.DUMMYFUNCTION("IFERROR(sum(FILTER('Fund Investment Data'!$V:$V, 'Fund Investment Data'!$C:$C = $C1879, 'Fund Investment Data'!$A:$A &lt; $A1879)),0) + IFERROR(sum(FILTER('Fund Investment Data'!$V:$V, 'Fund Investment Data'!$C:$C = $C1879, 'Fund Investment Data'!$A:$A = $A1"&amp;"879, 'Fund Investment Data'!$B:$B &lt;= $B1879)),0)"),0.0)</f>
        <v>0</v>
      </c>
      <c r="T1879" s="32"/>
      <c r="U1879" s="32"/>
      <c r="V1879" s="32">
        <f>IFERROR(__xludf.DUMMYFUNCTION("$D1879 - IFERROR(FILTER($D:$D,$C:$C = $C1879, $A:$A = $A1879, $B:$B = $B1879 - 1),0)"),0.0)</f>
        <v>0</v>
      </c>
      <c r="W1879" s="93">
        <f>IFERROR(__xludf.DUMMYFUNCTION("$E1879 - IFERROR(FILTER($E:$E,$C:$C = $C1879, $A:$A = $A1879, $B:$B = $B1879 - 1),0)"),0.0)</f>
        <v>0</v>
      </c>
      <c r="X1879" s="91">
        <f>IFERROR(__xludf.DUMMYFUNCTION("iFERROR((FILTER('Fund Investment Data'!$Z:$Z, 'Fund Investment Data'!$C:$C = $C1879, 'Fund Investment Data'!$A:$A = $A1879 - 1, 'Fund Investment Data'!$B:$B = 12) + FILTER('Fund Investment Data'!$AB:$AB, 'Fund Investment Data'!$C:$C = $C1879, 'Fund Invest"&amp;"ment Data'!$A:$A = $A1879 - 1, 'Fund Investment Data'!$B:$B = 12)) * (1 + AVERAGE(FILTER('Inflation Data'!$C:$C,'Inflation Data'!$A:$A = ($A1879 - 2)))) * Parameters!$A$4,0)"),0.0)</f>
        <v>0</v>
      </c>
      <c r="Y1879" s="91">
        <f>IFERROR(__xludf.DUMMYFUNCTION("IFERROR((IFERROR(FILTER('Fund Investment Data'!$P:$P,'Fund Investment Data'!$C:$C = $C1879,'Fund Investment Data'!$A:$A = ($A1879 - 2), 'Fund Investment Data'!$B:$B = 12),0) - SUM(FILTER('Fund Investment Data'!$V:$V, 'Fund Investment Data'!$C:$C = $C1879,"&amp;" 'Fund Investment Data'!$A:$A = ($A1879 - 2), 'Fund Investment Data'!$B:$B &gt; 3)))  * Parameters!$B$4 * (1 - Parameters!$A$4),0)"),0.0)</f>
        <v>0</v>
      </c>
      <c r="Z1879" s="91">
        <f t="shared" si="24"/>
        <v>0</v>
      </c>
      <c r="AA1879" s="91">
        <f>IFERROR(__xludf.DUMMYFUNCTION("((IFERROR((SUM(FILTER('Fund Investment Data'!$V:$V, 'Fund Investment Data'!$C:$C = $C1879, 'Fund Investment Data'!$A:$A = $A1879 - 1, 'Fund Investment Data'!$B:$B &gt;= 4, 'Fund Investment Data'!$B:$B &lt;= ($B1879 + 5))) / 12) * ($B1879 - 3) * Parameters!$B$4,"&amp;" 0) + IF($B1879 &gt;= 9, IFERROR(SUM(FILTER('Fund Investment Data'!$V:$V, 'Fund Investment Data'!$C:$C = $C1879, 'Fund Investment Data'!$A:$A = $A1879, 'Fund Investment Data'!$B:$B &lt;= 3)) * Parameters!$B$4, 0),0)))"),0.0)</f>
        <v>0</v>
      </c>
      <c r="AB1879" s="32">
        <f>IFERROR(__xludf.DUMMYFUNCTION("IFERROR(((IFERROR(SUM(FILTER('Fund Investment Data'!$V:$V, 'Fund Investment Data'!$C:$C = $C1879, 'Fund Investment Data'!$A:$A = $A1879 - 2, 'Fund Investment Data'!$B:$B &gt;= 4)) * Parameters!$B$4,0) + IFERROR(SUM(FILTER('Fund Investment Data'!$V:$V, 'Fund "&amp;"Investment Data'!$C:$C = $C1879, 'Fund Investment Data'!$A:$A = $A1879 - 1, 'Fund Investment Data'!$B:$B &lt;= 3)) * Parameters!$B$4,0))),0)"),0.0)</f>
        <v>0</v>
      </c>
      <c r="AC1879" s="32">
        <f>IFERROR(__xludf.DUMMYFUNCTION("IFERROR(FILTER($AF:$AF,$C:$C = $C1879,$A:$A = $A1879 - 1,$B:$B = 12),0)"),0.0)</f>
        <v>0</v>
      </c>
      <c r="AD1879" s="32">
        <f t="shared" si="23"/>
        <v>0</v>
      </c>
      <c r="AE1879" s="32">
        <f t="shared" si="2"/>
        <v>0</v>
      </c>
      <c r="AF1879" s="32"/>
    </row>
    <row r="1880">
      <c r="A1880" s="86"/>
      <c r="B1880" s="87"/>
      <c r="C1880" s="88"/>
      <c r="D1880" s="104"/>
      <c r="E1880" s="104"/>
      <c r="F1880" s="104"/>
      <c r="G1880" s="104"/>
      <c r="H1880" s="104"/>
      <c r="I1880" s="104"/>
      <c r="J1880" s="104"/>
      <c r="K1880" s="32"/>
      <c r="L1880" s="32"/>
      <c r="M1880" s="32"/>
      <c r="N1880" s="32"/>
      <c r="O1880" s="106"/>
      <c r="P1880" s="91">
        <f>IFERROR(__xludf.DUMMYFUNCTION("IFERROR(sum(FILTER($D:$N,$C:$C = $C1880,$A:$A &lt; $A1880,$B:$B = 12)),0) + sum($D1880:$N1880)"),0.0)</f>
        <v>0</v>
      </c>
      <c r="Q1880" s="92">
        <f t="shared" si="1"/>
        <v>0</v>
      </c>
      <c r="R1880" s="91">
        <f t="array" ref="R1880">IFERROR(INDEX('Fund YTD Target Values'!$1:$1000, MATCH($C1880,'Fund YTD Target Values'!$A:$A,0), MATCH($A1880,'Fund YTD Target Values'!$1:$1,0)),0)</f>
        <v>0</v>
      </c>
      <c r="S1880" s="91">
        <f>IFERROR(__xludf.DUMMYFUNCTION("IFERROR(sum(FILTER('Fund Investment Data'!$V:$V, 'Fund Investment Data'!$C:$C = $C1880, 'Fund Investment Data'!$A:$A &lt; $A1880)),0) + IFERROR(sum(FILTER('Fund Investment Data'!$V:$V, 'Fund Investment Data'!$C:$C = $C1880, 'Fund Investment Data'!$A:$A = $A1"&amp;"880, 'Fund Investment Data'!$B:$B &lt;= $B1880)),0)"),0.0)</f>
        <v>0</v>
      </c>
      <c r="T1880" s="32"/>
      <c r="U1880" s="32"/>
      <c r="V1880" s="32">
        <f>IFERROR(__xludf.DUMMYFUNCTION("$D1880 - IFERROR(FILTER($D:$D,$C:$C = $C1880, $A:$A = $A1880, $B:$B = $B1880 - 1),0)"),0.0)</f>
        <v>0</v>
      </c>
      <c r="W1880" s="93">
        <f>IFERROR(__xludf.DUMMYFUNCTION("$E1880 - IFERROR(FILTER($E:$E,$C:$C = $C1880, $A:$A = $A1880, $B:$B = $B1880 - 1),0)"),0.0)</f>
        <v>0</v>
      </c>
      <c r="X1880" s="91">
        <f>IFERROR(__xludf.DUMMYFUNCTION("iFERROR((FILTER('Fund Investment Data'!$Z:$Z, 'Fund Investment Data'!$C:$C = $C1880, 'Fund Investment Data'!$A:$A = $A1880 - 1, 'Fund Investment Data'!$B:$B = 12) + FILTER('Fund Investment Data'!$AB:$AB, 'Fund Investment Data'!$C:$C = $C1880, 'Fund Invest"&amp;"ment Data'!$A:$A = $A1880 - 1, 'Fund Investment Data'!$B:$B = 12)) * (1 + AVERAGE(FILTER('Inflation Data'!$C:$C,'Inflation Data'!$A:$A = ($A1880 - 2)))) * Parameters!$A$4,0)"),0.0)</f>
        <v>0</v>
      </c>
      <c r="Y1880" s="91">
        <f>IFERROR(__xludf.DUMMYFUNCTION("IFERROR((IFERROR(FILTER('Fund Investment Data'!$P:$P,'Fund Investment Data'!$C:$C = $C1880,'Fund Investment Data'!$A:$A = ($A1880 - 2), 'Fund Investment Data'!$B:$B = 12),0) - SUM(FILTER('Fund Investment Data'!$V:$V, 'Fund Investment Data'!$C:$C = $C1880,"&amp;" 'Fund Investment Data'!$A:$A = ($A1880 - 2), 'Fund Investment Data'!$B:$B &gt; 3)))  * Parameters!$B$4 * (1 - Parameters!$A$4),0)"),0.0)</f>
        <v>0</v>
      </c>
      <c r="Z1880" s="91">
        <f t="shared" si="24"/>
        <v>0</v>
      </c>
      <c r="AA1880" s="91">
        <f>IFERROR(__xludf.DUMMYFUNCTION("((IFERROR((SUM(FILTER('Fund Investment Data'!$V:$V, 'Fund Investment Data'!$C:$C = $C1880, 'Fund Investment Data'!$A:$A = $A1880 - 1, 'Fund Investment Data'!$B:$B &gt;= 4, 'Fund Investment Data'!$B:$B &lt;= ($B1880 + 5))) / 12) * ($B1880 - 3) * Parameters!$B$4,"&amp;" 0) + IF($B1880 &gt;= 9, IFERROR(SUM(FILTER('Fund Investment Data'!$V:$V, 'Fund Investment Data'!$C:$C = $C1880, 'Fund Investment Data'!$A:$A = $A1880, 'Fund Investment Data'!$B:$B &lt;= 3)) * Parameters!$B$4, 0),0)))"),0.0)</f>
        <v>0</v>
      </c>
      <c r="AB1880" s="32">
        <f>IFERROR(__xludf.DUMMYFUNCTION("IFERROR(((IFERROR(SUM(FILTER('Fund Investment Data'!$V:$V, 'Fund Investment Data'!$C:$C = $C1880, 'Fund Investment Data'!$A:$A = $A1880 - 2, 'Fund Investment Data'!$B:$B &gt;= 4)) * Parameters!$B$4,0) + IFERROR(SUM(FILTER('Fund Investment Data'!$V:$V, 'Fund "&amp;"Investment Data'!$C:$C = $C1880, 'Fund Investment Data'!$A:$A = $A1880 - 1, 'Fund Investment Data'!$B:$B &lt;= 3)) * Parameters!$B$4,0))),0)"),0.0)</f>
        <v>0</v>
      </c>
      <c r="AC1880" s="32">
        <f>IFERROR(__xludf.DUMMYFUNCTION("IFERROR(FILTER($AF:$AF,$C:$C = $C1880,$A:$A = $A1880 - 1,$B:$B = 12),0)"),0.0)</f>
        <v>0</v>
      </c>
      <c r="AD1880" s="32">
        <f t="shared" si="23"/>
        <v>0</v>
      </c>
      <c r="AE1880" s="32">
        <f t="shared" si="2"/>
        <v>0</v>
      </c>
      <c r="AF1880" s="32"/>
    </row>
    <row r="1881">
      <c r="A1881" s="86"/>
      <c r="B1881" s="87"/>
      <c r="C1881" s="88"/>
      <c r="D1881" s="104"/>
      <c r="E1881" s="104"/>
      <c r="F1881" s="104"/>
      <c r="G1881" s="104"/>
      <c r="H1881" s="104"/>
      <c r="I1881" s="104"/>
      <c r="J1881" s="104"/>
      <c r="K1881" s="32"/>
      <c r="L1881" s="32"/>
      <c r="M1881" s="32"/>
      <c r="N1881" s="32"/>
      <c r="O1881" s="106"/>
      <c r="P1881" s="91">
        <f>IFERROR(__xludf.DUMMYFUNCTION("IFERROR(sum(FILTER($D:$N,$C:$C = $C1881,$A:$A &lt; $A1881,$B:$B = 12)),0) + sum($D1881:$N1881)"),0.0)</f>
        <v>0</v>
      </c>
      <c r="Q1881" s="92">
        <f t="shared" si="1"/>
        <v>0</v>
      </c>
      <c r="R1881" s="91">
        <f t="array" ref="R1881">IFERROR(INDEX('Fund YTD Target Values'!$1:$1000, MATCH($C1881,'Fund YTD Target Values'!$A:$A,0), MATCH($A1881,'Fund YTD Target Values'!$1:$1,0)),0)</f>
        <v>0</v>
      </c>
      <c r="S1881" s="91">
        <f>IFERROR(__xludf.DUMMYFUNCTION("IFERROR(sum(FILTER('Fund Investment Data'!$V:$V, 'Fund Investment Data'!$C:$C = $C1881, 'Fund Investment Data'!$A:$A &lt; $A1881)),0) + IFERROR(sum(FILTER('Fund Investment Data'!$V:$V, 'Fund Investment Data'!$C:$C = $C1881, 'Fund Investment Data'!$A:$A = $A1"&amp;"881, 'Fund Investment Data'!$B:$B &lt;= $B1881)),0)"),0.0)</f>
        <v>0</v>
      </c>
      <c r="T1881" s="32"/>
      <c r="U1881" s="32"/>
      <c r="V1881" s="32">
        <f>IFERROR(__xludf.DUMMYFUNCTION("$D1881 - IFERROR(FILTER($D:$D,$C:$C = $C1881, $A:$A = $A1881, $B:$B = $B1881 - 1),0)"),0.0)</f>
        <v>0</v>
      </c>
      <c r="W1881" s="93">
        <f>IFERROR(__xludf.DUMMYFUNCTION("$E1881 - IFERROR(FILTER($E:$E,$C:$C = $C1881, $A:$A = $A1881, $B:$B = $B1881 - 1),0)"),0.0)</f>
        <v>0</v>
      </c>
      <c r="X1881" s="91">
        <f>IFERROR(__xludf.DUMMYFUNCTION("iFERROR((FILTER('Fund Investment Data'!$Z:$Z, 'Fund Investment Data'!$C:$C = $C1881, 'Fund Investment Data'!$A:$A = $A1881 - 1, 'Fund Investment Data'!$B:$B = 12) + FILTER('Fund Investment Data'!$AB:$AB, 'Fund Investment Data'!$C:$C = $C1881, 'Fund Invest"&amp;"ment Data'!$A:$A = $A1881 - 1, 'Fund Investment Data'!$B:$B = 12)) * (1 + AVERAGE(FILTER('Inflation Data'!$C:$C,'Inflation Data'!$A:$A = ($A1881 - 2)))) * Parameters!$A$4,0)"),0.0)</f>
        <v>0</v>
      </c>
      <c r="Y1881" s="91">
        <f>IFERROR(__xludf.DUMMYFUNCTION("IFERROR((IFERROR(FILTER('Fund Investment Data'!$P:$P,'Fund Investment Data'!$C:$C = $C1881,'Fund Investment Data'!$A:$A = ($A1881 - 2), 'Fund Investment Data'!$B:$B = 12),0) - SUM(FILTER('Fund Investment Data'!$V:$V, 'Fund Investment Data'!$C:$C = $C1881,"&amp;" 'Fund Investment Data'!$A:$A = ($A1881 - 2), 'Fund Investment Data'!$B:$B &gt; 3)))  * Parameters!$B$4 * (1 - Parameters!$A$4),0)"),0.0)</f>
        <v>0</v>
      </c>
      <c r="Z1881" s="91">
        <f t="shared" si="24"/>
        <v>0</v>
      </c>
      <c r="AA1881" s="91">
        <f>IFERROR(__xludf.DUMMYFUNCTION("((IFERROR((SUM(FILTER('Fund Investment Data'!$V:$V, 'Fund Investment Data'!$C:$C = $C1881, 'Fund Investment Data'!$A:$A = $A1881 - 1, 'Fund Investment Data'!$B:$B &gt;= 4, 'Fund Investment Data'!$B:$B &lt;= ($B1881 + 5))) / 12) * ($B1881 - 3) * Parameters!$B$4,"&amp;" 0) + IF($B1881 &gt;= 9, IFERROR(SUM(FILTER('Fund Investment Data'!$V:$V, 'Fund Investment Data'!$C:$C = $C1881, 'Fund Investment Data'!$A:$A = $A1881, 'Fund Investment Data'!$B:$B &lt;= 3)) * Parameters!$B$4, 0),0)))"),0.0)</f>
        <v>0</v>
      </c>
      <c r="AB1881" s="32">
        <f>IFERROR(__xludf.DUMMYFUNCTION("IFERROR(((IFERROR(SUM(FILTER('Fund Investment Data'!$V:$V, 'Fund Investment Data'!$C:$C = $C1881, 'Fund Investment Data'!$A:$A = $A1881 - 2, 'Fund Investment Data'!$B:$B &gt;= 4)) * Parameters!$B$4,0) + IFERROR(SUM(FILTER('Fund Investment Data'!$V:$V, 'Fund "&amp;"Investment Data'!$C:$C = $C1881, 'Fund Investment Data'!$A:$A = $A1881 - 1, 'Fund Investment Data'!$B:$B &lt;= 3)) * Parameters!$B$4,0))),0)"),0.0)</f>
        <v>0</v>
      </c>
      <c r="AC1881" s="32">
        <f>IFERROR(__xludf.DUMMYFUNCTION("IFERROR(FILTER($AF:$AF,$C:$C = $C1881,$A:$A = $A1881 - 1,$B:$B = 12),0)"),0.0)</f>
        <v>0</v>
      </c>
      <c r="AD1881" s="32">
        <f t="shared" si="23"/>
        <v>0</v>
      </c>
      <c r="AE1881" s="32">
        <f t="shared" si="2"/>
        <v>0</v>
      </c>
      <c r="AF1881" s="32"/>
    </row>
    <row r="1882">
      <c r="A1882" s="86"/>
      <c r="B1882" s="87"/>
      <c r="C1882" s="88"/>
      <c r="D1882" s="104"/>
      <c r="E1882" s="104"/>
      <c r="F1882" s="104"/>
      <c r="G1882" s="104"/>
      <c r="H1882" s="104"/>
      <c r="I1882" s="104"/>
      <c r="J1882" s="104"/>
      <c r="K1882" s="32"/>
      <c r="L1882" s="32"/>
      <c r="M1882" s="32"/>
      <c r="N1882" s="32"/>
      <c r="O1882" s="106"/>
      <c r="P1882" s="91">
        <f>IFERROR(__xludf.DUMMYFUNCTION("IFERROR(sum(FILTER($D:$N,$C:$C = $C1882,$A:$A &lt; $A1882,$B:$B = 12)),0) + sum($D1882:$N1882)"),0.0)</f>
        <v>0</v>
      </c>
      <c r="Q1882" s="92">
        <f t="shared" si="1"/>
        <v>0</v>
      </c>
      <c r="R1882" s="91">
        <f t="array" ref="R1882">IFERROR(INDEX('Fund YTD Target Values'!$1:$1000, MATCH($C1882,'Fund YTD Target Values'!$A:$A,0), MATCH($A1882,'Fund YTD Target Values'!$1:$1,0)),0)</f>
        <v>0</v>
      </c>
      <c r="S1882" s="91">
        <f>IFERROR(__xludf.DUMMYFUNCTION("IFERROR(sum(FILTER('Fund Investment Data'!$V:$V, 'Fund Investment Data'!$C:$C = $C1882, 'Fund Investment Data'!$A:$A &lt; $A1882)),0) + IFERROR(sum(FILTER('Fund Investment Data'!$V:$V, 'Fund Investment Data'!$C:$C = $C1882, 'Fund Investment Data'!$A:$A = $A1"&amp;"882, 'Fund Investment Data'!$B:$B &lt;= $B1882)),0)"),0.0)</f>
        <v>0</v>
      </c>
      <c r="T1882" s="32"/>
      <c r="U1882" s="32"/>
      <c r="V1882" s="32">
        <f>IFERROR(__xludf.DUMMYFUNCTION("$D1882 - IFERROR(FILTER($D:$D,$C:$C = $C1882, $A:$A = $A1882, $B:$B = $B1882 - 1),0)"),0.0)</f>
        <v>0</v>
      </c>
      <c r="W1882" s="93">
        <f>IFERROR(__xludf.DUMMYFUNCTION("$E1882 - IFERROR(FILTER($E:$E,$C:$C = $C1882, $A:$A = $A1882, $B:$B = $B1882 - 1),0)"),0.0)</f>
        <v>0</v>
      </c>
      <c r="X1882" s="91">
        <f>IFERROR(__xludf.DUMMYFUNCTION("iFERROR((FILTER('Fund Investment Data'!$Z:$Z, 'Fund Investment Data'!$C:$C = $C1882, 'Fund Investment Data'!$A:$A = $A1882 - 1, 'Fund Investment Data'!$B:$B = 12) + FILTER('Fund Investment Data'!$AB:$AB, 'Fund Investment Data'!$C:$C = $C1882, 'Fund Invest"&amp;"ment Data'!$A:$A = $A1882 - 1, 'Fund Investment Data'!$B:$B = 12)) * (1 + AVERAGE(FILTER('Inflation Data'!$C:$C,'Inflation Data'!$A:$A = ($A1882 - 2)))) * Parameters!$A$4,0)"),0.0)</f>
        <v>0</v>
      </c>
      <c r="Y1882" s="91">
        <f>IFERROR(__xludf.DUMMYFUNCTION("IFERROR((IFERROR(FILTER('Fund Investment Data'!$P:$P,'Fund Investment Data'!$C:$C = $C1882,'Fund Investment Data'!$A:$A = ($A1882 - 2), 'Fund Investment Data'!$B:$B = 12),0) - SUM(FILTER('Fund Investment Data'!$V:$V, 'Fund Investment Data'!$C:$C = $C1882,"&amp;" 'Fund Investment Data'!$A:$A = ($A1882 - 2), 'Fund Investment Data'!$B:$B &gt; 3)))  * Parameters!$B$4 * (1 - Parameters!$A$4),0)"),0.0)</f>
        <v>0</v>
      </c>
      <c r="Z1882" s="91">
        <f t="shared" si="24"/>
        <v>0</v>
      </c>
      <c r="AA1882" s="91">
        <f>IFERROR(__xludf.DUMMYFUNCTION("((IFERROR((SUM(FILTER('Fund Investment Data'!$V:$V, 'Fund Investment Data'!$C:$C = $C1882, 'Fund Investment Data'!$A:$A = $A1882 - 1, 'Fund Investment Data'!$B:$B &gt;= 4, 'Fund Investment Data'!$B:$B &lt;= ($B1882 + 5))) / 12) * ($B1882 - 3) * Parameters!$B$4,"&amp;" 0) + IF($B1882 &gt;= 9, IFERROR(SUM(FILTER('Fund Investment Data'!$V:$V, 'Fund Investment Data'!$C:$C = $C1882, 'Fund Investment Data'!$A:$A = $A1882, 'Fund Investment Data'!$B:$B &lt;= 3)) * Parameters!$B$4, 0),0)))"),0.0)</f>
        <v>0</v>
      </c>
      <c r="AB1882" s="32">
        <f>IFERROR(__xludf.DUMMYFUNCTION("IFERROR(((IFERROR(SUM(FILTER('Fund Investment Data'!$V:$V, 'Fund Investment Data'!$C:$C = $C1882, 'Fund Investment Data'!$A:$A = $A1882 - 2, 'Fund Investment Data'!$B:$B &gt;= 4)) * Parameters!$B$4,0) + IFERROR(SUM(FILTER('Fund Investment Data'!$V:$V, 'Fund "&amp;"Investment Data'!$C:$C = $C1882, 'Fund Investment Data'!$A:$A = $A1882 - 1, 'Fund Investment Data'!$B:$B &lt;= 3)) * Parameters!$B$4,0))),0)"),0.0)</f>
        <v>0</v>
      </c>
      <c r="AC1882" s="32">
        <f>IFERROR(__xludf.DUMMYFUNCTION("IFERROR(FILTER($AF:$AF,$C:$C = $C1882,$A:$A = $A1882 - 1,$B:$B = 12),0)"),0.0)</f>
        <v>0</v>
      </c>
      <c r="AD1882" s="32">
        <f t="shared" si="23"/>
        <v>0</v>
      </c>
      <c r="AE1882" s="32">
        <f t="shared" si="2"/>
        <v>0</v>
      </c>
      <c r="AF1882" s="32"/>
    </row>
    <row r="1883">
      <c r="A1883" s="86"/>
      <c r="B1883" s="87"/>
      <c r="C1883" s="88"/>
      <c r="D1883" s="104"/>
      <c r="E1883" s="104"/>
      <c r="F1883" s="104"/>
      <c r="G1883" s="104"/>
      <c r="H1883" s="104"/>
      <c r="I1883" s="104"/>
      <c r="J1883" s="104"/>
      <c r="K1883" s="32"/>
      <c r="L1883" s="32"/>
      <c r="M1883" s="32"/>
      <c r="N1883" s="32"/>
      <c r="O1883" s="106"/>
      <c r="P1883" s="91">
        <f>IFERROR(__xludf.DUMMYFUNCTION("IFERROR(sum(FILTER($D:$N,$C:$C = $C1883,$A:$A &lt; $A1883,$B:$B = 12)),0) + sum($D1883:$N1883)"),0.0)</f>
        <v>0</v>
      </c>
      <c r="Q1883" s="92">
        <f t="shared" si="1"/>
        <v>0</v>
      </c>
      <c r="R1883" s="91">
        <f t="array" ref="R1883">IFERROR(INDEX('Fund YTD Target Values'!$1:$1000, MATCH($C1883,'Fund YTD Target Values'!$A:$A,0), MATCH($A1883,'Fund YTD Target Values'!$1:$1,0)),0)</f>
        <v>0</v>
      </c>
      <c r="S1883" s="91">
        <f>IFERROR(__xludf.DUMMYFUNCTION("IFERROR(sum(FILTER('Fund Investment Data'!$V:$V, 'Fund Investment Data'!$C:$C = $C1883, 'Fund Investment Data'!$A:$A &lt; $A1883)),0) + IFERROR(sum(FILTER('Fund Investment Data'!$V:$V, 'Fund Investment Data'!$C:$C = $C1883, 'Fund Investment Data'!$A:$A = $A1"&amp;"883, 'Fund Investment Data'!$B:$B &lt;= $B1883)),0)"),0.0)</f>
        <v>0</v>
      </c>
      <c r="T1883" s="32"/>
      <c r="U1883" s="32"/>
      <c r="V1883" s="32">
        <f>IFERROR(__xludf.DUMMYFUNCTION("$D1883 - IFERROR(FILTER($D:$D,$C:$C = $C1883, $A:$A = $A1883, $B:$B = $B1883 - 1),0)"),0.0)</f>
        <v>0</v>
      </c>
      <c r="W1883" s="93">
        <f>IFERROR(__xludf.DUMMYFUNCTION("$E1883 - IFERROR(FILTER($E:$E,$C:$C = $C1883, $A:$A = $A1883, $B:$B = $B1883 - 1),0)"),0.0)</f>
        <v>0</v>
      </c>
      <c r="X1883" s="91">
        <f>IFERROR(__xludf.DUMMYFUNCTION("iFERROR((FILTER('Fund Investment Data'!$Z:$Z, 'Fund Investment Data'!$C:$C = $C1883, 'Fund Investment Data'!$A:$A = $A1883 - 1, 'Fund Investment Data'!$B:$B = 12) + FILTER('Fund Investment Data'!$AB:$AB, 'Fund Investment Data'!$C:$C = $C1883, 'Fund Invest"&amp;"ment Data'!$A:$A = $A1883 - 1, 'Fund Investment Data'!$B:$B = 12)) * (1 + AVERAGE(FILTER('Inflation Data'!$C:$C,'Inflation Data'!$A:$A = ($A1883 - 2)))) * Parameters!$A$4,0)"),0.0)</f>
        <v>0</v>
      </c>
      <c r="Y1883" s="91">
        <f>IFERROR(__xludf.DUMMYFUNCTION("IFERROR((IFERROR(FILTER('Fund Investment Data'!$P:$P,'Fund Investment Data'!$C:$C = $C1883,'Fund Investment Data'!$A:$A = ($A1883 - 2), 'Fund Investment Data'!$B:$B = 12),0) - SUM(FILTER('Fund Investment Data'!$V:$V, 'Fund Investment Data'!$C:$C = $C1883,"&amp;" 'Fund Investment Data'!$A:$A = ($A1883 - 2), 'Fund Investment Data'!$B:$B &gt; 3)))  * Parameters!$B$4 * (1 - Parameters!$A$4),0)"),0.0)</f>
        <v>0</v>
      </c>
      <c r="Z1883" s="91">
        <f t="shared" si="24"/>
        <v>0</v>
      </c>
      <c r="AA1883" s="91">
        <f>IFERROR(__xludf.DUMMYFUNCTION("((IFERROR((SUM(FILTER('Fund Investment Data'!$V:$V, 'Fund Investment Data'!$C:$C = $C1883, 'Fund Investment Data'!$A:$A = $A1883 - 1, 'Fund Investment Data'!$B:$B &gt;= 4, 'Fund Investment Data'!$B:$B &lt;= ($B1883 + 5))) / 12) * ($B1883 - 3) * Parameters!$B$4,"&amp;" 0) + IF($B1883 &gt;= 9, IFERROR(SUM(FILTER('Fund Investment Data'!$V:$V, 'Fund Investment Data'!$C:$C = $C1883, 'Fund Investment Data'!$A:$A = $A1883, 'Fund Investment Data'!$B:$B &lt;= 3)) * Parameters!$B$4, 0),0)))"),0.0)</f>
        <v>0</v>
      </c>
      <c r="AB1883" s="32">
        <f>IFERROR(__xludf.DUMMYFUNCTION("IFERROR(((IFERROR(SUM(FILTER('Fund Investment Data'!$V:$V, 'Fund Investment Data'!$C:$C = $C1883, 'Fund Investment Data'!$A:$A = $A1883 - 2, 'Fund Investment Data'!$B:$B &gt;= 4)) * Parameters!$B$4,0) + IFERROR(SUM(FILTER('Fund Investment Data'!$V:$V, 'Fund "&amp;"Investment Data'!$C:$C = $C1883, 'Fund Investment Data'!$A:$A = $A1883 - 1, 'Fund Investment Data'!$B:$B &lt;= 3)) * Parameters!$B$4,0))),0)"),0.0)</f>
        <v>0</v>
      </c>
      <c r="AC1883" s="32">
        <f>IFERROR(__xludf.DUMMYFUNCTION("IFERROR(FILTER($AF:$AF,$C:$C = $C1883,$A:$A = $A1883 - 1,$B:$B = 12),0)"),0.0)</f>
        <v>0</v>
      </c>
      <c r="AD1883" s="32">
        <f t="shared" si="23"/>
        <v>0</v>
      </c>
      <c r="AE1883" s="32">
        <f t="shared" si="2"/>
        <v>0</v>
      </c>
      <c r="AF1883" s="32"/>
    </row>
    <row r="1884">
      <c r="A1884" s="86"/>
      <c r="B1884" s="87"/>
      <c r="C1884" s="88"/>
      <c r="D1884" s="104"/>
      <c r="E1884" s="104"/>
      <c r="F1884" s="104"/>
      <c r="G1884" s="104"/>
      <c r="H1884" s="104"/>
      <c r="I1884" s="104"/>
      <c r="J1884" s="104"/>
      <c r="K1884" s="32"/>
      <c r="L1884" s="32"/>
      <c r="M1884" s="32"/>
      <c r="N1884" s="32"/>
      <c r="O1884" s="106"/>
      <c r="P1884" s="91">
        <f>IFERROR(__xludf.DUMMYFUNCTION("IFERROR(sum(FILTER($D:$N,$C:$C = $C1884,$A:$A &lt; $A1884,$B:$B = 12)),0) + sum($D1884:$N1884)"),0.0)</f>
        <v>0</v>
      </c>
      <c r="Q1884" s="92">
        <f t="shared" si="1"/>
        <v>0</v>
      </c>
      <c r="R1884" s="91">
        <f t="array" ref="R1884">IFERROR(INDEX('Fund YTD Target Values'!$1:$1000, MATCH($C1884,'Fund YTD Target Values'!$A:$A,0), MATCH($A1884,'Fund YTD Target Values'!$1:$1,0)),0)</f>
        <v>0</v>
      </c>
      <c r="S1884" s="91">
        <f>IFERROR(__xludf.DUMMYFUNCTION("IFERROR(sum(FILTER('Fund Investment Data'!$V:$V, 'Fund Investment Data'!$C:$C = $C1884, 'Fund Investment Data'!$A:$A &lt; $A1884)),0) + IFERROR(sum(FILTER('Fund Investment Data'!$V:$V, 'Fund Investment Data'!$C:$C = $C1884, 'Fund Investment Data'!$A:$A = $A1"&amp;"884, 'Fund Investment Data'!$B:$B &lt;= $B1884)),0)"),0.0)</f>
        <v>0</v>
      </c>
      <c r="T1884" s="32"/>
      <c r="U1884" s="32"/>
      <c r="V1884" s="32">
        <f>IFERROR(__xludf.DUMMYFUNCTION("$D1884 - IFERROR(FILTER($D:$D,$C:$C = $C1884, $A:$A = $A1884, $B:$B = $B1884 - 1),0)"),0.0)</f>
        <v>0</v>
      </c>
      <c r="W1884" s="93">
        <f>IFERROR(__xludf.DUMMYFUNCTION("$E1884 - IFERROR(FILTER($E:$E,$C:$C = $C1884, $A:$A = $A1884, $B:$B = $B1884 - 1),0)"),0.0)</f>
        <v>0</v>
      </c>
      <c r="X1884" s="91">
        <f>IFERROR(__xludf.DUMMYFUNCTION("iFERROR((FILTER('Fund Investment Data'!$Z:$Z, 'Fund Investment Data'!$C:$C = $C1884, 'Fund Investment Data'!$A:$A = $A1884 - 1, 'Fund Investment Data'!$B:$B = 12) + FILTER('Fund Investment Data'!$AB:$AB, 'Fund Investment Data'!$C:$C = $C1884, 'Fund Invest"&amp;"ment Data'!$A:$A = $A1884 - 1, 'Fund Investment Data'!$B:$B = 12)) * (1 + AVERAGE(FILTER('Inflation Data'!$C:$C,'Inflation Data'!$A:$A = ($A1884 - 2)))) * Parameters!$A$4,0)"),0.0)</f>
        <v>0</v>
      </c>
      <c r="Y1884" s="91">
        <f>IFERROR(__xludf.DUMMYFUNCTION("IFERROR((IFERROR(FILTER('Fund Investment Data'!$P:$P,'Fund Investment Data'!$C:$C = $C1884,'Fund Investment Data'!$A:$A = ($A1884 - 2), 'Fund Investment Data'!$B:$B = 12),0) - SUM(FILTER('Fund Investment Data'!$V:$V, 'Fund Investment Data'!$C:$C = $C1884,"&amp;" 'Fund Investment Data'!$A:$A = ($A1884 - 2), 'Fund Investment Data'!$B:$B &gt; 3)))  * Parameters!$B$4 * (1 - Parameters!$A$4),0)"),0.0)</f>
        <v>0</v>
      </c>
      <c r="Z1884" s="91">
        <f t="shared" si="24"/>
        <v>0</v>
      </c>
      <c r="AA1884" s="91">
        <f>IFERROR(__xludf.DUMMYFUNCTION("((IFERROR((SUM(FILTER('Fund Investment Data'!$V:$V, 'Fund Investment Data'!$C:$C = $C1884, 'Fund Investment Data'!$A:$A = $A1884 - 1, 'Fund Investment Data'!$B:$B &gt;= 4, 'Fund Investment Data'!$B:$B &lt;= ($B1884 + 5))) / 12) * ($B1884 - 3) * Parameters!$B$4,"&amp;" 0) + IF($B1884 &gt;= 9, IFERROR(SUM(FILTER('Fund Investment Data'!$V:$V, 'Fund Investment Data'!$C:$C = $C1884, 'Fund Investment Data'!$A:$A = $A1884, 'Fund Investment Data'!$B:$B &lt;= 3)) * Parameters!$B$4, 0),0)))"),0.0)</f>
        <v>0</v>
      </c>
      <c r="AB1884" s="32">
        <f>IFERROR(__xludf.DUMMYFUNCTION("IFERROR(((IFERROR(SUM(FILTER('Fund Investment Data'!$V:$V, 'Fund Investment Data'!$C:$C = $C1884, 'Fund Investment Data'!$A:$A = $A1884 - 2, 'Fund Investment Data'!$B:$B &gt;= 4)) * Parameters!$B$4,0) + IFERROR(SUM(FILTER('Fund Investment Data'!$V:$V, 'Fund "&amp;"Investment Data'!$C:$C = $C1884, 'Fund Investment Data'!$A:$A = $A1884 - 1, 'Fund Investment Data'!$B:$B &lt;= 3)) * Parameters!$B$4,0))),0)"),0.0)</f>
        <v>0</v>
      </c>
      <c r="AC1884" s="32">
        <f>IFERROR(__xludf.DUMMYFUNCTION("IFERROR(FILTER($AF:$AF,$C:$C = $C1884,$A:$A = $A1884 - 1,$B:$B = 12),0)"),0.0)</f>
        <v>0</v>
      </c>
      <c r="AD1884" s="32">
        <f t="shared" si="23"/>
        <v>0</v>
      </c>
      <c r="AE1884" s="32">
        <f t="shared" si="2"/>
        <v>0</v>
      </c>
      <c r="AF1884" s="32"/>
    </row>
    <row r="1885">
      <c r="A1885" s="86"/>
      <c r="B1885" s="87"/>
      <c r="C1885" s="88"/>
      <c r="D1885" s="104"/>
      <c r="E1885" s="104"/>
      <c r="F1885" s="104"/>
      <c r="G1885" s="104"/>
      <c r="H1885" s="104"/>
      <c r="I1885" s="104"/>
      <c r="J1885" s="104"/>
      <c r="K1885" s="32"/>
      <c r="L1885" s="32"/>
      <c r="M1885" s="32"/>
      <c r="N1885" s="32"/>
      <c r="O1885" s="106"/>
      <c r="P1885" s="91">
        <f>IFERROR(__xludf.DUMMYFUNCTION("IFERROR(sum(FILTER($D:$N,$C:$C = $C1885,$A:$A &lt; $A1885,$B:$B = 12)),0) + sum($D1885:$N1885)"),0.0)</f>
        <v>0</v>
      </c>
      <c r="Q1885" s="92">
        <f t="shared" si="1"/>
        <v>0</v>
      </c>
      <c r="R1885" s="91">
        <f t="array" ref="R1885">IFERROR(INDEX('Fund YTD Target Values'!$1:$1000, MATCH($C1885,'Fund YTD Target Values'!$A:$A,0), MATCH($A1885,'Fund YTD Target Values'!$1:$1,0)),0)</f>
        <v>0</v>
      </c>
      <c r="S1885" s="91">
        <f>IFERROR(__xludf.DUMMYFUNCTION("IFERROR(sum(FILTER('Fund Investment Data'!$V:$V, 'Fund Investment Data'!$C:$C = $C1885, 'Fund Investment Data'!$A:$A &lt; $A1885)),0) + IFERROR(sum(FILTER('Fund Investment Data'!$V:$V, 'Fund Investment Data'!$C:$C = $C1885, 'Fund Investment Data'!$A:$A = $A1"&amp;"885, 'Fund Investment Data'!$B:$B &lt;= $B1885)),0)"),0.0)</f>
        <v>0</v>
      </c>
      <c r="T1885" s="32"/>
      <c r="U1885" s="32"/>
      <c r="V1885" s="32">
        <f>IFERROR(__xludf.DUMMYFUNCTION("$D1885 - IFERROR(FILTER($D:$D,$C:$C = $C1885, $A:$A = $A1885, $B:$B = $B1885 - 1),0)"),0.0)</f>
        <v>0</v>
      </c>
      <c r="W1885" s="93">
        <f>IFERROR(__xludf.DUMMYFUNCTION("$E1885 - IFERROR(FILTER($E:$E,$C:$C = $C1885, $A:$A = $A1885, $B:$B = $B1885 - 1),0)"),0.0)</f>
        <v>0</v>
      </c>
      <c r="X1885" s="91">
        <f>IFERROR(__xludf.DUMMYFUNCTION("iFERROR((FILTER('Fund Investment Data'!$Z:$Z, 'Fund Investment Data'!$C:$C = $C1885, 'Fund Investment Data'!$A:$A = $A1885 - 1, 'Fund Investment Data'!$B:$B = 12) + FILTER('Fund Investment Data'!$AB:$AB, 'Fund Investment Data'!$C:$C = $C1885, 'Fund Invest"&amp;"ment Data'!$A:$A = $A1885 - 1, 'Fund Investment Data'!$B:$B = 12)) * (1 + AVERAGE(FILTER('Inflation Data'!$C:$C,'Inflation Data'!$A:$A = ($A1885 - 2)))) * Parameters!$A$4,0)"),0.0)</f>
        <v>0</v>
      </c>
      <c r="Y1885" s="91">
        <f>IFERROR(__xludf.DUMMYFUNCTION("IFERROR((IFERROR(FILTER('Fund Investment Data'!$P:$P,'Fund Investment Data'!$C:$C = $C1885,'Fund Investment Data'!$A:$A = ($A1885 - 2), 'Fund Investment Data'!$B:$B = 12),0) - SUM(FILTER('Fund Investment Data'!$V:$V, 'Fund Investment Data'!$C:$C = $C1885,"&amp;" 'Fund Investment Data'!$A:$A = ($A1885 - 2), 'Fund Investment Data'!$B:$B &gt; 3)))  * Parameters!$B$4 * (1 - Parameters!$A$4),0)"),0.0)</f>
        <v>0</v>
      </c>
      <c r="Z1885" s="91">
        <f t="shared" si="24"/>
        <v>0</v>
      </c>
      <c r="AA1885" s="91">
        <f>IFERROR(__xludf.DUMMYFUNCTION("((IFERROR((SUM(FILTER('Fund Investment Data'!$V:$V, 'Fund Investment Data'!$C:$C = $C1885, 'Fund Investment Data'!$A:$A = $A1885 - 1, 'Fund Investment Data'!$B:$B &gt;= 4, 'Fund Investment Data'!$B:$B &lt;= ($B1885 + 5))) / 12) * ($B1885 - 3) * Parameters!$B$4,"&amp;" 0) + IF($B1885 &gt;= 9, IFERROR(SUM(FILTER('Fund Investment Data'!$V:$V, 'Fund Investment Data'!$C:$C = $C1885, 'Fund Investment Data'!$A:$A = $A1885, 'Fund Investment Data'!$B:$B &lt;= 3)) * Parameters!$B$4, 0),0)))"),0.0)</f>
        <v>0</v>
      </c>
      <c r="AB1885" s="32">
        <f>IFERROR(__xludf.DUMMYFUNCTION("IFERROR(((IFERROR(SUM(FILTER('Fund Investment Data'!$V:$V, 'Fund Investment Data'!$C:$C = $C1885, 'Fund Investment Data'!$A:$A = $A1885 - 2, 'Fund Investment Data'!$B:$B &gt;= 4)) * Parameters!$B$4,0) + IFERROR(SUM(FILTER('Fund Investment Data'!$V:$V, 'Fund "&amp;"Investment Data'!$C:$C = $C1885, 'Fund Investment Data'!$A:$A = $A1885 - 1, 'Fund Investment Data'!$B:$B &lt;= 3)) * Parameters!$B$4,0))),0)"),0.0)</f>
        <v>0</v>
      </c>
      <c r="AC1885" s="32">
        <f>IFERROR(__xludf.DUMMYFUNCTION("IFERROR(FILTER($AF:$AF,$C:$C = $C1885,$A:$A = $A1885 - 1,$B:$B = 12),0)"),0.0)</f>
        <v>0</v>
      </c>
      <c r="AD1885" s="32">
        <f t="shared" si="23"/>
        <v>0</v>
      </c>
      <c r="AE1885" s="32">
        <f t="shared" si="2"/>
        <v>0</v>
      </c>
      <c r="AF1885" s="32"/>
    </row>
    <row r="1886">
      <c r="A1886" s="86"/>
      <c r="B1886" s="87"/>
      <c r="C1886" s="88"/>
      <c r="D1886" s="104"/>
      <c r="E1886" s="104"/>
      <c r="F1886" s="104"/>
      <c r="G1886" s="104"/>
      <c r="H1886" s="104"/>
      <c r="I1886" s="104"/>
      <c r="J1886" s="104"/>
      <c r="K1886" s="32"/>
      <c r="L1886" s="32"/>
      <c r="M1886" s="32"/>
      <c r="N1886" s="32"/>
      <c r="O1886" s="106"/>
      <c r="P1886" s="91">
        <f>IFERROR(__xludf.DUMMYFUNCTION("IFERROR(sum(FILTER($D:$N,$C:$C = $C1886,$A:$A &lt; $A1886,$B:$B = 12)),0) + sum($D1886:$N1886)"),0.0)</f>
        <v>0</v>
      </c>
      <c r="Q1886" s="92">
        <f t="shared" si="1"/>
        <v>0</v>
      </c>
      <c r="R1886" s="91">
        <f t="array" ref="R1886">IFERROR(INDEX('Fund YTD Target Values'!$1:$1000, MATCH($C1886,'Fund YTD Target Values'!$A:$A,0), MATCH($A1886,'Fund YTD Target Values'!$1:$1,0)),0)</f>
        <v>0</v>
      </c>
      <c r="S1886" s="91">
        <f>IFERROR(__xludf.DUMMYFUNCTION("IFERROR(sum(FILTER('Fund Investment Data'!$V:$V, 'Fund Investment Data'!$C:$C = $C1886, 'Fund Investment Data'!$A:$A &lt; $A1886)),0) + IFERROR(sum(FILTER('Fund Investment Data'!$V:$V, 'Fund Investment Data'!$C:$C = $C1886, 'Fund Investment Data'!$A:$A = $A1"&amp;"886, 'Fund Investment Data'!$B:$B &lt;= $B1886)),0)"),0.0)</f>
        <v>0</v>
      </c>
      <c r="T1886" s="32"/>
      <c r="U1886" s="32"/>
      <c r="V1886" s="32">
        <f>IFERROR(__xludf.DUMMYFUNCTION("$D1886 - IFERROR(FILTER($D:$D,$C:$C = $C1886, $A:$A = $A1886, $B:$B = $B1886 - 1),0)"),0.0)</f>
        <v>0</v>
      </c>
      <c r="W1886" s="93">
        <f>IFERROR(__xludf.DUMMYFUNCTION("$E1886 - IFERROR(FILTER($E:$E,$C:$C = $C1886, $A:$A = $A1886, $B:$B = $B1886 - 1),0)"),0.0)</f>
        <v>0</v>
      </c>
      <c r="X1886" s="91">
        <f>IFERROR(__xludf.DUMMYFUNCTION("iFERROR((FILTER('Fund Investment Data'!$Z:$Z, 'Fund Investment Data'!$C:$C = $C1886, 'Fund Investment Data'!$A:$A = $A1886 - 1, 'Fund Investment Data'!$B:$B = 12) + FILTER('Fund Investment Data'!$AB:$AB, 'Fund Investment Data'!$C:$C = $C1886, 'Fund Invest"&amp;"ment Data'!$A:$A = $A1886 - 1, 'Fund Investment Data'!$B:$B = 12)) * (1 + AVERAGE(FILTER('Inflation Data'!$C:$C,'Inflation Data'!$A:$A = ($A1886 - 2)))) * Parameters!$A$4,0)"),0.0)</f>
        <v>0</v>
      </c>
      <c r="Y1886" s="91">
        <f>IFERROR(__xludf.DUMMYFUNCTION("IFERROR((IFERROR(FILTER('Fund Investment Data'!$P:$P,'Fund Investment Data'!$C:$C = $C1886,'Fund Investment Data'!$A:$A = ($A1886 - 2), 'Fund Investment Data'!$B:$B = 12),0) - SUM(FILTER('Fund Investment Data'!$V:$V, 'Fund Investment Data'!$C:$C = $C1886,"&amp;" 'Fund Investment Data'!$A:$A = ($A1886 - 2), 'Fund Investment Data'!$B:$B &gt; 3)))  * Parameters!$B$4 * (1 - Parameters!$A$4),0)"),0.0)</f>
        <v>0</v>
      </c>
      <c r="Z1886" s="91">
        <f t="shared" si="24"/>
        <v>0</v>
      </c>
      <c r="AA1886" s="91">
        <f>IFERROR(__xludf.DUMMYFUNCTION("((IFERROR((SUM(FILTER('Fund Investment Data'!$V:$V, 'Fund Investment Data'!$C:$C = $C1886, 'Fund Investment Data'!$A:$A = $A1886 - 1, 'Fund Investment Data'!$B:$B &gt;= 4, 'Fund Investment Data'!$B:$B &lt;= ($B1886 + 5))) / 12) * ($B1886 - 3) * Parameters!$B$4,"&amp;" 0) + IF($B1886 &gt;= 9, IFERROR(SUM(FILTER('Fund Investment Data'!$V:$V, 'Fund Investment Data'!$C:$C = $C1886, 'Fund Investment Data'!$A:$A = $A1886, 'Fund Investment Data'!$B:$B &lt;= 3)) * Parameters!$B$4, 0),0)))"),0.0)</f>
        <v>0</v>
      </c>
      <c r="AB1886" s="32">
        <f>IFERROR(__xludf.DUMMYFUNCTION("IFERROR(((IFERROR(SUM(FILTER('Fund Investment Data'!$V:$V, 'Fund Investment Data'!$C:$C = $C1886, 'Fund Investment Data'!$A:$A = $A1886 - 2, 'Fund Investment Data'!$B:$B &gt;= 4)) * Parameters!$B$4,0) + IFERROR(SUM(FILTER('Fund Investment Data'!$V:$V, 'Fund "&amp;"Investment Data'!$C:$C = $C1886, 'Fund Investment Data'!$A:$A = $A1886 - 1, 'Fund Investment Data'!$B:$B &lt;= 3)) * Parameters!$B$4,0))),0)"),0.0)</f>
        <v>0</v>
      </c>
      <c r="AC1886" s="32">
        <f>IFERROR(__xludf.DUMMYFUNCTION("IFERROR(FILTER($AF:$AF,$C:$C = $C1886,$A:$A = $A1886 - 1,$B:$B = 12),0)"),0.0)</f>
        <v>0</v>
      </c>
      <c r="AD1886" s="32">
        <f t="shared" si="23"/>
        <v>0</v>
      </c>
      <c r="AE1886" s="32">
        <f t="shared" si="2"/>
        <v>0</v>
      </c>
      <c r="AF1886" s="32"/>
    </row>
    <row r="1887">
      <c r="A1887" s="86"/>
      <c r="B1887" s="87"/>
      <c r="C1887" s="88"/>
      <c r="D1887" s="104"/>
      <c r="E1887" s="104"/>
      <c r="F1887" s="104"/>
      <c r="G1887" s="104"/>
      <c r="H1887" s="104"/>
      <c r="I1887" s="104"/>
      <c r="J1887" s="104"/>
      <c r="K1887" s="32"/>
      <c r="L1887" s="32"/>
      <c r="M1887" s="32"/>
      <c r="N1887" s="32"/>
      <c r="O1887" s="106"/>
      <c r="P1887" s="91">
        <f>IFERROR(__xludf.DUMMYFUNCTION("IFERROR(sum(FILTER($D:$N,$C:$C = $C1887,$A:$A &lt; $A1887,$B:$B = 12)),0) + sum($D1887:$N1887)"),0.0)</f>
        <v>0</v>
      </c>
      <c r="Q1887" s="92">
        <f t="shared" si="1"/>
        <v>0</v>
      </c>
      <c r="R1887" s="91">
        <f t="array" ref="R1887">IFERROR(INDEX('Fund YTD Target Values'!$1:$1000, MATCH($C1887,'Fund YTD Target Values'!$A:$A,0), MATCH($A1887,'Fund YTD Target Values'!$1:$1,0)),0)</f>
        <v>0</v>
      </c>
      <c r="S1887" s="91">
        <f>IFERROR(__xludf.DUMMYFUNCTION("IFERROR(sum(FILTER('Fund Investment Data'!$V:$V, 'Fund Investment Data'!$C:$C = $C1887, 'Fund Investment Data'!$A:$A &lt; $A1887)),0) + IFERROR(sum(FILTER('Fund Investment Data'!$V:$V, 'Fund Investment Data'!$C:$C = $C1887, 'Fund Investment Data'!$A:$A = $A1"&amp;"887, 'Fund Investment Data'!$B:$B &lt;= $B1887)),0)"),0.0)</f>
        <v>0</v>
      </c>
      <c r="T1887" s="32"/>
      <c r="U1887" s="32"/>
      <c r="V1887" s="32">
        <f>IFERROR(__xludf.DUMMYFUNCTION("$D1887 - IFERROR(FILTER($D:$D,$C:$C = $C1887, $A:$A = $A1887, $B:$B = $B1887 - 1),0)"),0.0)</f>
        <v>0</v>
      </c>
      <c r="W1887" s="93">
        <f>IFERROR(__xludf.DUMMYFUNCTION("$E1887 - IFERROR(FILTER($E:$E,$C:$C = $C1887, $A:$A = $A1887, $B:$B = $B1887 - 1),0)"),0.0)</f>
        <v>0</v>
      </c>
      <c r="X1887" s="91">
        <f>IFERROR(__xludf.DUMMYFUNCTION("iFERROR((FILTER('Fund Investment Data'!$Z:$Z, 'Fund Investment Data'!$C:$C = $C1887, 'Fund Investment Data'!$A:$A = $A1887 - 1, 'Fund Investment Data'!$B:$B = 12) + FILTER('Fund Investment Data'!$AB:$AB, 'Fund Investment Data'!$C:$C = $C1887, 'Fund Invest"&amp;"ment Data'!$A:$A = $A1887 - 1, 'Fund Investment Data'!$B:$B = 12)) * (1 + AVERAGE(FILTER('Inflation Data'!$C:$C,'Inflation Data'!$A:$A = ($A1887 - 2)))) * Parameters!$A$4,0)"),0.0)</f>
        <v>0</v>
      </c>
      <c r="Y1887" s="91">
        <f>IFERROR(__xludf.DUMMYFUNCTION("IFERROR((IFERROR(FILTER('Fund Investment Data'!$P:$P,'Fund Investment Data'!$C:$C = $C1887,'Fund Investment Data'!$A:$A = ($A1887 - 2), 'Fund Investment Data'!$B:$B = 12),0) - SUM(FILTER('Fund Investment Data'!$V:$V, 'Fund Investment Data'!$C:$C = $C1887,"&amp;" 'Fund Investment Data'!$A:$A = ($A1887 - 2), 'Fund Investment Data'!$B:$B &gt; 3)))  * Parameters!$B$4 * (1 - Parameters!$A$4),0)"),0.0)</f>
        <v>0</v>
      </c>
      <c r="Z1887" s="91">
        <f t="shared" si="24"/>
        <v>0</v>
      </c>
      <c r="AA1887" s="91">
        <f>IFERROR(__xludf.DUMMYFUNCTION("((IFERROR((SUM(FILTER('Fund Investment Data'!$V:$V, 'Fund Investment Data'!$C:$C = $C1887, 'Fund Investment Data'!$A:$A = $A1887 - 1, 'Fund Investment Data'!$B:$B &gt;= 4, 'Fund Investment Data'!$B:$B &lt;= ($B1887 + 5))) / 12) * ($B1887 - 3) * Parameters!$B$4,"&amp;" 0) + IF($B1887 &gt;= 9, IFERROR(SUM(FILTER('Fund Investment Data'!$V:$V, 'Fund Investment Data'!$C:$C = $C1887, 'Fund Investment Data'!$A:$A = $A1887, 'Fund Investment Data'!$B:$B &lt;= 3)) * Parameters!$B$4, 0),0)))"),0.0)</f>
        <v>0</v>
      </c>
      <c r="AB1887" s="32">
        <f>IFERROR(__xludf.DUMMYFUNCTION("IFERROR(((IFERROR(SUM(FILTER('Fund Investment Data'!$V:$V, 'Fund Investment Data'!$C:$C = $C1887, 'Fund Investment Data'!$A:$A = $A1887 - 2, 'Fund Investment Data'!$B:$B &gt;= 4)) * Parameters!$B$4,0) + IFERROR(SUM(FILTER('Fund Investment Data'!$V:$V, 'Fund "&amp;"Investment Data'!$C:$C = $C1887, 'Fund Investment Data'!$A:$A = $A1887 - 1, 'Fund Investment Data'!$B:$B &lt;= 3)) * Parameters!$B$4,0))),0)"),0.0)</f>
        <v>0</v>
      </c>
      <c r="AC1887" s="32">
        <f>IFERROR(__xludf.DUMMYFUNCTION("IFERROR(FILTER($AF:$AF,$C:$C = $C1887,$A:$A = $A1887 - 1,$B:$B = 12),0)"),0.0)</f>
        <v>0</v>
      </c>
      <c r="AD1887" s="32">
        <f t="shared" si="23"/>
        <v>0</v>
      </c>
      <c r="AE1887" s="32">
        <f t="shared" si="2"/>
        <v>0</v>
      </c>
      <c r="AF1887" s="32"/>
    </row>
    <row r="1888">
      <c r="A1888" s="86"/>
      <c r="B1888" s="87"/>
      <c r="C1888" s="88"/>
      <c r="D1888" s="104"/>
      <c r="E1888" s="104"/>
      <c r="F1888" s="104"/>
      <c r="G1888" s="104"/>
      <c r="H1888" s="104"/>
      <c r="I1888" s="104"/>
      <c r="J1888" s="104"/>
      <c r="K1888" s="32"/>
      <c r="L1888" s="32"/>
      <c r="M1888" s="32"/>
      <c r="N1888" s="32"/>
      <c r="O1888" s="106"/>
      <c r="P1888" s="91">
        <f>IFERROR(__xludf.DUMMYFUNCTION("IFERROR(sum(FILTER($D:$N,$C:$C = $C1888,$A:$A &lt; $A1888,$B:$B = 12)),0) + sum($D1888:$N1888)"),0.0)</f>
        <v>0</v>
      </c>
      <c r="Q1888" s="92">
        <f t="shared" si="1"/>
        <v>0</v>
      </c>
      <c r="R1888" s="91">
        <f t="array" ref="R1888">IFERROR(INDEX('Fund YTD Target Values'!$1:$1000, MATCH($C1888,'Fund YTD Target Values'!$A:$A,0), MATCH($A1888,'Fund YTD Target Values'!$1:$1,0)),0)</f>
        <v>0</v>
      </c>
      <c r="S1888" s="91">
        <f>IFERROR(__xludf.DUMMYFUNCTION("IFERROR(sum(FILTER('Fund Investment Data'!$V:$V, 'Fund Investment Data'!$C:$C = $C1888, 'Fund Investment Data'!$A:$A &lt; $A1888)),0) + IFERROR(sum(FILTER('Fund Investment Data'!$V:$V, 'Fund Investment Data'!$C:$C = $C1888, 'Fund Investment Data'!$A:$A = $A1"&amp;"888, 'Fund Investment Data'!$B:$B &lt;= $B1888)),0)"),0.0)</f>
        <v>0</v>
      </c>
      <c r="T1888" s="32"/>
      <c r="U1888" s="32"/>
      <c r="V1888" s="32">
        <f>IFERROR(__xludf.DUMMYFUNCTION("$D1888 - IFERROR(FILTER($D:$D,$C:$C = $C1888, $A:$A = $A1888, $B:$B = $B1888 - 1),0)"),0.0)</f>
        <v>0</v>
      </c>
      <c r="W1888" s="93">
        <f>IFERROR(__xludf.DUMMYFUNCTION("$E1888 - IFERROR(FILTER($E:$E,$C:$C = $C1888, $A:$A = $A1888, $B:$B = $B1888 - 1),0)"),0.0)</f>
        <v>0</v>
      </c>
      <c r="X1888" s="91">
        <f>IFERROR(__xludf.DUMMYFUNCTION("iFERROR((FILTER('Fund Investment Data'!$Z:$Z, 'Fund Investment Data'!$C:$C = $C1888, 'Fund Investment Data'!$A:$A = $A1888 - 1, 'Fund Investment Data'!$B:$B = 12) + FILTER('Fund Investment Data'!$AB:$AB, 'Fund Investment Data'!$C:$C = $C1888, 'Fund Invest"&amp;"ment Data'!$A:$A = $A1888 - 1, 'Fund Investment Data'!$B:$B = 12)) * (1 + AVERAGE(FILTER('Inflation Data'!$C:$C,'Inflation Data'!$A:$A = ($A1888 - 2)))) * Parameters!$A$4,0)"),0.0)</f>
        <v>0</v>
      </c>
      <c r="Y1888" s="91">
        <f>IFERROR(__xludf.DUMMYFUNCTION("IFERROR((IFERROR(FILTER('Fund Investment Data'!$P:$P,'Fund Investment Data'!$C:$C = $C1888,'Fund Investment Data'!$A:$A = ($A1888 - 2), 'Fund Investment Data'!$B:$B = 12),0) - SUM(FILTER('Fund Investment Data'!$V:$V, 'Fund Investment Data'!$C:$C = $C1888,"&amp;" 'Fund Investment Data'!$A:$A = ($A1888 - 2), 'Fund Investment Data'!$B:$B &gt; 3)))  * Parameters!$B$4 * (1 - Parameters!$A$4),0)"),0.0)</f>
        <v>0</v>
      </c>
      <c r="Z1888" s="91">
        <f t="shared" si="24"/>
        <v>0</v>
      </c>
      <c r="AA1888" s="91">
        <f>IFERROR(__xludf.DUMMYFUNCTION("((IFERROR((SUM(FILTER('Fund Investment Data'!$V:$V, 'Fund Investment Data'!$C:$C = $C1888, 'Fund Investment Data'!$A:$A = $A1888 - 1, 'Fund Investment Data'!$B:$B &gt;= 4, 'Fund Investment Data'!$B:$B &lt;= ($B1888 + 5))) / 12) * ($B1888 - 3) * Parameters!$B$4,"&amp;" 0) + IF($B1888 &gt;= 9, IFERROR(SUM(FILTER('Fund Investment Data'!$V:$V, 'Fund Investment Data'!$C:$C = $C1888, 'Fund Investment Data'!$A:$A = $A1888, 'Fund Investment Data'!$B:$B &lt;= 3)) * Parameters!$B$4, 0),0)))"),0.0)</f>
        <v>0</v>
      </c>
      <c r="AB1888" s="32">
        <f>IFERROR(__xludf.DUMMYFUNCTION("IFERROR(((IFERROR(SUM(FILTER('Fund Investment Data'!$V:$V, 'Fund Investment Data'!$C:$C = $C1888, 'Fund Investment Data'!$A:$A = $A1888 - 2, 'Fund Investment Data'!$B:$B &gt;= 4)) * Parameters!$B$4,0) + IFERROR(SUM(FILTER('Fund Investment Data'!$V:$V, 'Fund "&amp;"Investment Data'!$C:$C = $C1888, 'Fund Investment Data'!$A:$A = $A1888 - 1, 'Fund Investment Data'!$B:$B &lt;= 3)) * Parameters!$B$4,0))),0)"),0.0)</f>
        <v>0</v>
      </c>
      <c r="AC1888" s="32">
        <f>IFERROR(__xludf.DUMMYFUNCTION("IFERROR(FILTER($AF:$AF,$C:$C = $C1888,$A:$A = $A1888 - 1,$B:$B = 12),0)"),0.0)</f>
        <v>0</v>
      </c>
      <c r="AD1888" s="32">
        <f t="shared" si="23"/>
        <v>0</v>
      </c>
      <c r="AE1888" s="32">
        <f t="shared" si="2"/>
        <v>0</v>
      </c>
      <c r="AF1888" s="32"/>
    </row>
    <row r="1889">
      <c r="A1889" s="86"/>
      <c r="B1889" s="87"/>
      <c r="C1889" s="88"/>
      <c r="D1889" s="104"/>
      <c r="E1889" s="104"/>
      <c r="F1889" s="104"/>
      <c r="G1889" s="104"/>
      <c r="H1889" s="104"/>
      <c r="I1889" s="104"/>
      <c r="J1889" s="104"/>
      <c r="K1889" s="32"/>
      <c r="L1889" s="32"/>
      <c r="M1889" s="32"/>
      <c r="N1889" s="32"/>
      <c r="O1889" s="106"/>
      <c r="P1889" s="91">
        <f>IFERROR(__xludf.DUMMYFUNCTION("IFERROR(sum(FILTER($D:$N,$C:$C = $C1889,$A:$A &lt; $A1889,$B:$B = 12)),0) + sum($D1889:$N1889)"),0.0)</f>
        <v>0</v>
      </c>
      <c r="Q1889" s="92">
        <f t="shared" si="1"/>
        <v>0</v>
      </c>
      <c r="R1889" s="91">
        <f t="array" ref="R1889">IFERROR(INDEX('Fund YTD Target Values'!$1:$1000, MATCH($C1889,'Fund YTD Target Values'!$A:$A,0), MATCH($A1889,'Fund YTD Target Values'!$1:$1,0)),0)</f>
        <v>0</v>
      </c>
      <c r="S1889" s="91">
        <f>IFERROR(__xludf.DUMMYFUNCTION("IFERROR(sum(FILTER('Fund Investment Data'!$V:$V, 'Fund Investment Data'!$C:$C = $C1889, 'Fund Investment Data'!$A:$A &lt; $A1889)),0) + IFERROR(sum(FILTER('Fund Investment Data'!$V:$V, 'Fund Investment Data'!$C:$C = $C1889, 'Fund Investment Data'!$A:$A = $A1"&amp;"889, 'Fund Investment Data'!$B:$B &lt;= $B1889)),0)"),0.0)</f>
        <v>0</v>
      </c>
      <c r="T1889" s="32"/>
      <c r="U1889" s="32"/>
      <c r="V1889" s="32">
        <f>IFERROR(__xludf.DUMMYFUNCTION("$D1889 - IFERROR(FILTER($D:$D,$C:$C = $C1889, $A:$A = $A1889, $B:$B = $B1889 - 1),0)"),0.0)</f>
        <v>0</v>
      </c>
      <c r="W1889" s="93">
        <f>IFERROR(__xludf.DUMMYFUNCTION("$E1889 - IFERROR(FILTER($E:$E,$C:$C = $C1889, $A:$A = $A1889, $B:$B = $B1889 - 1),0)"),0.0)</f>
        <v>0</v>
      </c>
      <c r="X1889" s="91">
        <f>IFERROR(__xludf.DUMMYFUNCTION("iFERROR((FILTER('Fund Investment Data'!$Z:$Z, 'Fund Investment Data'!$C:$C = $C1889, 'Fund Investment Data'!$A:$A = $A1889 - 1, 'Fund Investment Data'!$B:$B = 12) + FILTER('Fund Investment Data'!$AB:$AB, 'Fund Investment Data'!$C:$C = $C1889, 'Fund Invest"&amp;"ment Data'!$A:$A = $A1889 - 1, 'Fund Investment Data'!$B:$B = 12)) * (1 + AVERAGE(FILTER('Inflation Data'!$C:$C,'Inflation Data'!$A:$A = ($A1889 - 2)))) * Parameters!$A$4,0)"),0.0)</f>
        <v>0</v>
      </c>
      <c r="Y1889" s="91">
        <f>IFERROR(__xludf.DUMMYFUNCTION("IFERROR((IFERROR(FILTER('Fund Investment Data'!$P:$P,'Fund Investment Data'!$C:$C = $C1889,'Fund Investment Data'!$A:$A = ($A1889 - 2), 'Fund Investment Data'!$B:$B = 12),0) - SUM(FILTER('Fund Investment Data'!$V:$V, 'Fund Investment Data'!$C:$C = $C1889,"&amp;" 'Fund Investment Data'!$A:$A = ($A1889 - 2), 'Fund Investment Data'!$B:$B &gt; 3)))  * Parameters!$B$4 * (1 - Parameters!$A$4),0)"),0.0)</f>
        <v>0</v>
      </c>
      <c r="Z1889" s="91">
        <f t="shared" si="24"/>
        <v>0</v>
      </c>
      <c r="AA1889" s="91">
        <f>IFERROR(__xludf.DUMMYFUNCTION("((IFERROR((SUM(FILTER('Fund Investment Data'!$V:$V, 'Fund Investment Data'!$C:$C = $C1889, 'Fund Investment Data'!$A:$A = $A1889 - 1, 'Fund Investment Data'!$B:$B &gt;= 4, 'Fund Investment Data'!$B:$B &lt;= ($B1889 + 5))) / 12) * ($B1889 - 3) * Parameters!$B$4,"&amp;" 0) + IF($B1889 &gt;= 9, IFERROR(SUM(FILTER('Fund Investment Data'!$V:$V, 'Fund Investment Data'!$C:$C = $C1889, 'Fund Investment Data'!$A:$A = $A1889, 'Fund Investment Data'!$B:$B &lt;= 3)) * Parameters!$B$4, 0),0)))"),0.0)</f>
        <v>0</v>
      </c>
      <c r="AB1889" s="32">
        <f>IFERROR(__xludf.DUMMYFUNCTION("IFERROR(((IFERROR(SUM(FILTER('Fund Investment Data'!$V:$V, 'Fund Investment Data'!$C:$C = $C1889, 'Fund Investment Data'!$A:$A = $A1889 - 2, 'Fund Investment Data'!$B:$B &gt;= 4)) * Parameters!$B$4,0) + IFERROR(SUM(FILTER('Fund Investment Data'!$V:$V, 'Fund "&amp;"Investment Data'!$C:$C = $C1889, 'Fund Investment Data'!$A:$A = $A1889 - 1, 'Fund Investment Data'!$B:$B &lt;= 3)) * Parameters!$B$4,0))),0)"),0.0)</f>
        <v>0</v>
      </c>
      <c r="AC1889" s="32">
        <f>IFERROR(__xludf.DUMMYFUNCTION("IFERROR(FILTER($AF:$AF,$C:$C = $C1889,$A:$A = $A1889 - 1,$B:$B = 12),0)"),0.0)</f>
        <v>0</v>
      </c>
      <c r="AD1889" s="32">
        <f t="shared" si="23"/>
        <v>0</v>
      </c>
      <c r="AE1889" s="32">
        <f t="shared" si="2"/>
        <v>0</v>
      </c>
      <c r="AF1889" s="32"/>
    </row>
    <row r="1890">
      <c r="A1890" s="86"/>
      <c r="B1890" s="87"/>
      <c r="C1890" s="88"/>
      <c r="D1890" s="104"/>
      <c r="E1890" s="104"/>
      <c r="F1890" s="104"/>
      <c r="G1890" s="104"/>
      <c r="H1890" s="104"/>
      <c r="I1890" s="104"/>
      <c r="J1890" s="104"/>
      <c r="K1890" s="32"/>
      <c r="L1890" s="32"/>
      <c r="M1890" s="32"/>
      <c r="N1890" s="32"/>
      <c r="O1890" s="106"/>
      <c r="P1890" s="91">
        <f>IFERROR(__xludf.DUMMYFUNCTION("IFERROR(sum(FILTER($D:$N,$C:$C = $C1890,$A:$A &lt; $A1890,$B:$B = 12)),0) + sum($D1890:$N1890)"),0.0)</f>
        <v>0</v>
      </c>
      <c r="Q1890" s="92">
        <f t="shared" si="1"/>
        <v>0</v>
      </c>
      <c r="R1890" s="91">
        <f t="array" ref="R1890">IFERROR(INDEX('Fund YTD Target Values'!$1:$1000, MATCH($C1890,'Fund YTD Target Values'!$A:$A,0), MATCH($A1890,'Fund YTD Target Values'!$1:$1,0)),0)</f>
        <v>0</v>
      </c>
      <c r="S1890" s="91">
        <f>IFERROR(__xludf.DUMMYFUNCTION("IFERROR(sum(FILTER('Fund Investment Data'!$V:$V, 'Fund Investment Data'!$C:$C = $C1890, 'Fund Investment Data'!$A:$A &lt; $A1890)),0) + IFERROR(sum(FILTER('Fund Investment Data'!$V:$V, 'Fund Investment Data'!$C:$C = $C1890, 'Fund Investment Data'!$A:$A = $A1"&amp;"890, 'Fund Investment Data'!$B:$B &lt;= $B1890)),0)"),0.0)</f>
        <v>0</v>
      </c>
      <c r="T1890" s="32"/>
      <c r="U1890" s="32"/>
      <c r="V1890" s="32">
        <f>IFERROR(__xludf.DUMMYFUNCTION("$D1890 - IFERROR(FILTER($D:$D,$C:$C = $C1890, $A:$A = $A1890, $B:$B = $B1890 - 1),0)"),0.0)</f>
        <v>0</v>
      </c>
      <c r="W1890" s="93">
        <f>IFERROR(__xludf.DUMMYFUNCTION("$E1890 - IFERROR(FILTER($E:$E,$C:$C = $C1890, $A:$A = $A1890, $B:$B = $B1890 - 1),0)"),0.0)</f>
        <v>0</v>
      </c>
      <c r="X1890" s="91">
        <f>IFERROR(__xludf.DUMMYFUNCTION("iFERROR((FILTER('Fund Investment Data'!$Z:$Z, 'Fund Investment Data'!$C:$C = $C1890, 'Fund Investment Data'!$A:$A = $A1890 - 1, 'Fund Investment Data'!$B:$B = 12) + FILTER('Fund Investment Data'!$AB:$AB, 'Fund Investment Data'!$C:$C = $C1890, 'Fund Invest"&amp;"ment Data'!$A:$A = $A1890 - 1, 'Fund Investment Data'!$B:$B = 12)) * (1 + AVERAGE(FILTER('Inflation Data'!$C:$C,'Inflation Data'!$A:$A = ($A1890 - 2)))) * Parameters!$A$4,0)"),0.0)</f>
        <v>0</v>
      </c>
      <c r="Y1890" s="91">
        <f>IFERROR(__xludf.DUMMYFUNCTION("IFERROR((IFERROR(FILTER('Fund Investment Data'!$P:$P,'Fund Investment Data'!$C:$C = $C1890,'Fund Investment Data'!$A:$A = ($A1890 - 2), 'Fund Investment Data'!$B:$B = 12),0) - SUM(FILTER('Fund Investment Data'!$V:$V, 'Fund Investment Data'!$C:$C = $C1890,"&amp;" 'Fund Investment Data'!$A:$A = ($A1890 - 2), 'Fund Investment Data'!$B:$B &gt; 3)))  * Parameters!$B$4 * (1 - Parameters!$A$4),0)"),0.0)</f>
        <v>0</v>
      </c>
      <c r="Z1890" s="91">
        <f t="shared" si="24"/>
        <v>0</v>
      </c>
      <c r="AA1890" s="91">
        <f>IFERROR(__xludf.DUMMYFUNCTION("((IFERROR((SUM(FILTER('Fund Investment Data'!$V:$V, 'Fund Investment Data'!$C:$C = $C1890, 'Fund Investment Data'!$A:$A = $A1890 - 1, 'Fund Investment Data'!$B:$B &gt;= 4, 'Fund Investment Data'!$B:$B &lt;= ($B1890 + 5))) / 12) * ($B1890 - 3) * Parameters!$B$4,"&amp;" 0) + IF($B1890 &gt;= 9, IFERROR(SUM(FILTER('Fund Investment Data'!$V:$V, 'Fund Investment Data'!$C:$C = $C1890, 'Fund Investment Data'!$A:$A = $A1890, 'Fund Investment Data'!$B:$B &lt;= 3)) * Parameters!$B$4, 0),0)))"),0.0)</f>
        <v>0</v>
      </c>
      <c r="AB1890" s="32">
        <f>IFERROR(__xludf.DUMMYFUNCTION("IFERROR(((IFERROR(SUM(FILTER('Fund Investment Data'!$V:$V, 'Fund Investment Data'!$C:$C = $C1890, 'Fund Investment Data'!$A:$A = $A1890 - 2, 'Fund Investment Data'!$B:$B &gt;= 4)) * Parameters!$B$4,0) + IFERROR(SUM(FILTER('Fund Investment Data'!$V:$V, 'Fund "&amp;"Investment Data'!$C:$C = $C1890, 'Fund Investment Data'!$A:$A = $A1890 - 1, 'Fund Investment Data'!$B:$B &lt;= 3)) * Parameters!$B$4,0))),0)"),0.0)</f>
        <v>0</v>
      </c>
      <c r="AC1890" s="32">
        <f>IFERROR(__xludf.DUMMYFUNCTION("IFERROR(FILTER($AF:$AF,$C:$C = $C1890,$A:$A = $A1890 - 1,$B:$B = 12),0)"),0.0)</f>
        <v>0</v>
      </c>
      <c r="AD1890" s="32">
        <f t="shared" si="23"/>
        <v>0</v>
      </c>
      <c r="AE1890" s="32">
        <f t="shared" si="2"/>
        <v>0</v>
      </c>
      <c r="AF1890" s="32"/>
    </row>
    <row r="1891">
      <c r="A1891" s="86"/>
      <c r="B1891" s="87"/>
      <c r="C1891" s="88"/>
      <c r="D1891" s="104"/>
      <c r="E1891" s="104"/>
      <c r="F1891" s="104"/>
      <c r="G1891" s="104"/>
      <c r="H1891" s="104"/>
      <c r="I1891" s="104"/>
      <c r="J1891" s="104"/>
      <c r="K1891" s="32"/>
      <c r="L1891" s="32"/>
      <c r="M1891" s="32"/>
      <c r="N1891" s="32"/>
      <c r="O1891" s="106"/>
      <c r="P1891" s="91">
        <f>IFERROR(__xludf.DUMMYFUNCTION("IFERROR(sum(FILTER($D:$N,$C:$C = $C1891,$A:$A &lt; $A1891,$B:$B = 12)),0) + sum($D1891:$N1891)"),0.0)</f>
        <v>0</v>
      </c>
      <c r="Q1891" s="92">
        <f t="shared" si="1"/>
        <v>0</v>
      </c>
      <c r="R1891" s="91">
        <f t="array" ref="R1891">IFERROR(INDEX('Fund YTD Target Values'!$1:$1000, MATCH($C1891,'Fund YTD Target Values'!$A:$A,0), MATCH($A1891,'Fund YTD Target Values'!$1:$1,0)),0)</f>
        <v>0</v>
      </c>
      <c r="S1891" s="91">
        <f>IFERROR(__xludf.DUMMYFUNCTION("IFERROR(sum(FILTER('Fund Investment Data'!$V:$V, 'Fund Investment Data'!$C:$C = $C1891, 'Fund Investment Data'!$A:$A &lt; $A1891)),0) + IFERROR(sum(FILTER('Fund Investment Data'!$V:$V, 'Fund Investment Data'!$C:$C = $C1891, 'Fund Investment Data'!$A:$A = $A1"&amp;"891, 'Fund Investment Data'!$B:$B &lt;= $B1891)),0)"),0.0)</f>
        <v>0</v>
      </c>
      <c r="T1891" s="32"/>
      <c r="U1891" s="32"/>
      <c r="V1891" s="32">
        <f>IFERROR(__xludf.DUMMYFUNCTION("$D1891 - IFERROR(FILTER($D:$D,$C:$C = $C1891, $A:$A = $A1891, $B:$B = $B1891 - 1),0)"),0.0)</f>
        <v>0</v>
      </c>
      <c r="W1891" s="93">
        <f>IFERROR(__xludf.DUMMYFUNCTION("$E1891 - IFERROR(FILTER($E:$E,$C:$C = $C1891, $A:$A = $A1891, $B:$B = $B1891 - 1),0)"),0.0)</f>
        <v>0</v>
      </c>
      <c r="X1891" s="91">
        <f>IFERROR(__xludf.DUMMYFUNCTION("iFERROR((FILTER('Fund Investment Data'!$Z:$Z, 'Fund Investment Data'!$C:$C = $C1891, 'Fund Investment Data'!$A:$A = $A1891 - 1, 'Fund Investment Data'!$B:$B = 12) + FILTER('Fund Investment Data'!$AB:$AB, 'Fund Investment Data'!$C:$C = $C1891, 'Fund Invest"&amp;"ment Data'!$A:$A = $A1891 - 1, 'Fund Investment Data'!$B:$B = 12)) * (1 + AVERAGE(FILTER('Inflation Data'!$C:$C,'Inflation Data'!$A:$A = ($A1891 - 2)))) * Parameters!$A$4,0)"),0.0)</f>
        <v>0</v>
      </c>
      <c r="Y1891" s="91">
        <f>IFERROR(__xludf.DUMMYFUNCTION("IFERROR((IFERROR(FILTER('Fund Investment Data'!$P:$P,'Fund Investment Data'!$C:$C = $C1891,'Fund Investment Data'!$A:$A = ($A1891 - 2), 'Fund Investment Data'!$B:$B = 12),0) - SUM(FILTER('Fund Investment Data'!$V:$V, 'Fund Investment Data'!$C:$C = $C1891,"&amp;" 'Fund Investment Data'!$A:$A = ($A1891 - 2), 'Fund Investment Data'!$B:$B &gt; 3)))  * Parameters!$B$4 * (1 - Parameters!$A$4),0)"),0.0)</f>
        <v>0</v>
      </c>
      <c r="Z1891" s="91">
        <f t="shared" si="24"/>
        <v>0</v>
      </c>
      <c r="AA1891" s="91">
        <f>IFERROR(__xludf.DUMMYFUNCTION("((IFERROR((SUM(FILTER('Fund Investment Data'!$V:$V, 'Fund Investment Data'!$C:$C = $C1891, 'Fund Investment Data'!$A:$A = $A1891 - 1, 'Fund Investment Data'!$B:$B &gt;= 4, 'Fund Investment Data'!$B:$B &lt;= ($B1891 + 5))) / 12) * ($B1891 - 3) * Parameters!$B$4,"&amp;" 0) + IF($B1891 &gt;= 9, IFERROR(SUM(FILTER('Fund Investment Data'!$V:$V, 'Fund Investment Data'!$C:$C = $C1891, 'Fund Investment Data'!$A:$A = $A1891, 'Fund Investment Data'!$B:$B &lt;= 3)) * Parameters!$B$4, 0),0)))"),0.0)</f>
        <v>0</v>
      </c>
      <c r="AB1891" s="32">
        <f>IFERROR(__xludf.DUMMYFUNCTION("IFERROR(((IFERROR(SUM(FILTER('Fund Investment Data'!$V:$V, 'Fund Investment Data'!$C:$C = $C1891, 'Fund Investment Data'!$A:$A = $A1891 - 2, 'Fund Investment Data'!$B:$B &gt;= 4)) * Parameters!$B$4,0) + IFERROR(SUM(FILTER('Fund Investment Data'!$V:$V, 'Fund "&amp;"Investment Data'!$C:$C = $C1891, 'Fund Investment Data'!$A:$A = $A1891 - 1, 'Fund Investment Data'!$B:$B &lt;= 3)) * Parameters!$B$4,0))),0)"),0.0)</f>
        <v>0</v>
      </c>
      <c r="AC1891" s="32">
        <f>IFERROR(__xludf.DUMMYFUNCTION("IFERROR(FILTER($AF:$AF,$C:$C = $C1891,$A:$A = $A1891 - 1,$B:$B = 12),0)"),0.0)</f>
        <v>0</v>
      </c>
      <c r="AD1891" s="32">
        <f t="shared" si="23"/>
        <v>0</v>
      </c>
      <c r="AE1891" s="32">
        <f t="shared" si="2"/>
        <v>0</v>
      </c>
      <c r="AF1891" s="32"/>
    </row>
    <row r="1892">
      <c r="A1892" s="86"/>
      <c r="B1892" s="87"/>
      <c r="C1892" s="88"/>
      <c r="D1892" s="104"/>
      <c r="E1892" s="104"/>
      <c r="F1892" s="104"/>
      <c r="G1892" s="104"/>
      <c r="H1892" s="104"/>
      <c r="I1892" s="104"/>
      <c r="J1892" s="104"/>
      <c r="K1892" s="32"/>
      <c r="L1892" s="32"/>
      <c r="M1892" s="32"/>
      <c r="N1892" s="32"/>
      <c r="O1892" s="106"/>
      <c r="P1892" s="91">
        <f>IFERROR(__xludf.DUMMYFUNCTION("IFERROR(sum(FILTER($D:$N,$C:$C = $C1892,$A:$A &lt; $A1892,$B:$B = 12)),0) + sum($D1892:$N1892)"),0.0)</f>
        <v>0</v>
      </c>
      <c r="Q1892" s="92">
        <f t="shared" si="1"/>
        <v>0</v>
      </c>
      <c r="R1892" s="91">
        <f t="array" ref="R1892">IFERROR(INDEX('Fund YTD Target Values'!$1:$1000, MATCH($C1892,'Fund YTD Target Values'!$A:$A,0), MATCH($A1892,'Fund YTD Target Values'!$1:$1,0)),0)</f>
        <v>0</v>
      </c>
      <c r="S1892" s="91">
        <f>IFERROR(__xludf.DUMMYFUNCTION("IFERROR(sum(FILTER('Fund Investment Data'!$V:$V, 'Fund Investment Data'!$C:$C = $C1892, 'Fund Investment Data'!$A:$A &lt; $A1892)),0) + IFERROR(sum(FILTER('Fund Investment Data'!$V:$V, 'Fund Investment Data'!$C:$C = $C1892, 'Fund Investment Data'!$A:$A = $A1"&amp;"892, 'Fund Investment Data'!$B:$B &lt;= $B1892)),0)"),0.0)</f>
        <v>0</v>
      </c>
      <c r="T1892" s="32"/>
      <c r="U1892" s="32"/>
      <c r="V1892" s="32">
        <f>IFERROR(__xludf.DUMMYFUNCTION("$D1892 - IFERROR(FILTER($D:$D,$C:$C = $C1892, $A:$A = $A1892, $B:$B = $B1892 - 1),0)"),0.0)</f>
        <v>0</v>
      </c>
      <c r="W1892" s="93">
        <f>IFERROR(__xludf.DUMMYFUNCTION("$E1892 - IFERROR(FILTER($E:$E,$C:$C = $C1892, $A:$A = $A1892, $B:$B = $B1892 - 1),0)"),0.0)</f>
        <v>0</v>
      </c>
      <c r="X1892" s="91">
        <f>IFERROR(__xludf.DUMMYFUNCTION("iFERROR((FILTER('Fund Investment Data'!$Z:$Z, 'Fund Investment Data'!$C:$C = $C1892, 'Fund Investment Data'!$A:$A = $A1892 - 1, 'Fund Investment Data'!$B:$B = 12) + FILTER('Fund Investment Data'!$AB:$AB, 'Fund Investment Data'!$C:$C = $C1892, 'Fund Invest"&amp;"ment Data'!$A:$A = $A1892 - 1, 'Fund Investment Data'!$B:$B = 12)) * (1 + AVERAGE(FILTER('Inflation Data'!$C:$C,'Inflation Data'!$A:$A = ($A1892 - 2)))) * Parameters!$A$4,0)"),0.0)</f>
        <v>0</v>
      </c>
      <c r="Y1892" s="91">
        <f>IFERROR(__xludf.DUMMYFUNCTION("IFERROR((IFERROR(FILTER('Fund Investment Data'!$P:$P,'Fund Investment Data'!$C:$C = $C1892,'Fund Investment Data'!$A:$A = ($A1892 - 2), 'Fund Investment Data'!$B:$B = 12),0) - SUM(FILTER('Fund Investment Data'!$V:$V, 'Fund Investment Data'!$C:$C = $C1892,"&amp;" 'Fund Investment Data'!$A:$A = ($A1892 - 2), 'Fund Investment Data'!$B:$B &gt; 3)))  * Parameters!$B$4 * (1 - Parameters!$A$4),0)"),0.0)</f>
        <v>0</v>
      </c>
      <c r="Z1892" s="91">
        <f t="shared" si="24"/>
        <v>0</v>
      </c>
      <c r="AA1892" s="91">
        <f>IFERROR(__xludf.DUMMYFUNCTION("((IFERROR((SUM(FILTER('Fund Investment Data'!$V:$V, 'Fund Investment Data'!$C:$C = $C1892, 'Fund Investment Data'!$A:$A = $A1892 - 1, 'Fund Investment Data'!$B:$B &gt;= 4, 'Fund Investment Data'!$B:$B &lt;= ($B1892 + 5))) / 12) * ($B1892 - 3) * Parameters!$B$4,"&amp;" 0) + IF($B1892 &gt;= 9, IFERROR(SUM(FILTER('Fund Investment Data'!$V:$V, 'Fund Investment Data'!$C:$C = $C1892, 'Fund Investment Data'!$A:$A = $A1892, 'Fund Investment Data'!$B:$B &lt;= 3)) * Parameters!$B$4, 0),0)))"),0.0)</f>
        <v>0</v>
      </c>
      <c r="AB1892" s="32">
        <f>IFERROR(__xludf.DUMMYFUNCTION("IFERROR(((IFERROR(SUM(FILTER('Fund Investment Data'!$V:$V, 'Fund Investment Data'!$C:$C = $C1892, 'Fund Investment Data'!$A:$A = $A1892 - 2, 'Fund Investment Data'!$B:$B &gt;= 4)) * Parameters!$B$4,0) + IFERROR(SUM(FILTER('Fund Investment Data'!$V:$V, 'Fund "&amp;"Investment Data'!$C:$C = $C1892, 'Fund Investment Data'!$A:$A = $A1892 - 1, 'Fund Investment Data'!$B:$B &lt;= 3)) * Parameters!$B$4,0))),0)"),0.0)</f>
        <v>0</v>
      </c>
      <c r="AC1892" s="32">
        <f>IFERROR(__xludf.DUMMYFUNCTION("IFERROR(FILTER($AF:$AF,$C:$C = $C1892,$A:$A = $A1892 - 1,$B:$B = 12),0)"),0.0)</f>
        <v>0</v>
      </c>
      <c r="AD1892" s="32">
        <f t="shared" si="23"/>
        <v>0</v>
      </c>
      <c r="AE1892" s="32">
        <f t="shared" si="2"/>
        <v>0</v>
      </c>
      <c r="AF1892" s="32"/>
    </row>
    <row r="1893">
      <c r="A1893" s="86"/>
      <c r="B1893" s="87"/>
      <c r="C1893" s="88"/>
      <c r="D1893" s="104"/>
      <c r="E1893" s="104"/>
      <c r="F1893" s="104"/>
      <c r="G1893" s="104"/>
      <c r="H1893" s="104"/>
      <c r="I1893" s="104"/>
      <c r="J1893" s="104"/>
      <c r="K1893" s="32"/>
      <c r="L1893" s="32"/>
      <c r="M1893" s="32"/>
      <c r="N1893" s="32"/>
      <c r="O1893" s="106"/>
      <c r="P1893" s="91">
        <f>IFERROR(__xludf.DUMMYFUNCTION("IFERROR(sum(FILTER($D:$N,$C:$C = $C1893,$A:$A &lt; $A1893,$B:$B = 12)),0) + sum($D1893:$N1893)"),0.0)</f>
        <v>0</v>
      </c>
      <c r="Q1893" s="92">
        <f t="shared" si="1"/>
        <v>0</v>
      </c>
      <c r="R1893" s="91">
        <f t="array" ref="R1893">IFERROR(INDEX('Fund YTD Target Values'!$1:$1000, MATCH($C1893,'Fund YTD Target Values'!$A:$A,0), MATCH($A1893,'Fund YTD Target Values'!$1:$1,0)),0)</f>
        <v>0</v>
      </c>
      <c r="S1893" s="91">
        <f>IFERROR(__xludf.DUMMYFUNCTION("IFERROR(sum(FILTER('Fund Investment Data'!$V:$V, 'Fund Investment Data'!$C:$C = $C1893, 'Fund Investment Data'!$A:$A &lt; $A1893)),0) + IFERROR(sum(FILTER('Fund Investment Data'!$V:$V, 'Fund Investment Data'!$C:$C = $C1893, 'Fund Investment Data'!$A:$A = $A1"&amp;"893, 'Fund Investment Data'!$B:$B &lt;= $B1893)),0)"),0.0)</f>
        <v>0</v>
      </c>
      <c r="T1893" s="32"/>
      <c r="U1893" s="32"/>
      <c r="V1893" s="32">
        <f>IFERROR(__xludf.DUMMYFUNCTION("$D1893 - IFERROR(FILTER($D:$D,$C:$C = $C1893, $A:$A = $A1893, $B:$B = $B1893 - 1),0)"),0.0)</f>
        <v>0</v>
      </c>
      <c r="W1893" s="93">
        <f>IFERROR(__xludf.DUMMYFUNCTION("$E1893 - IFERROR(FILTER($E:$E,$C:$C = $C1893, $A:$A = $A1893, $B:$B = $B1893 - 1),0)"),0.0)</f>
        <v>0</v>
      </c>
      <c r="X1893" s="91">
        <f>IFERROR(__xludf.DUMMYFUNCTION("iFERROR((FILTER('Fund Investment Data'!$Z:$Z, 'Fund Investment Data'!$C:$C = $C1893, 'Fund Investment Data'!$A:$A = $A1893 - 1, 'Fund Investment Data'!$B:$B = 12) + FILTER('Fund Investment Data'!$AB:$AB, 'Fund Investment Data'!$C:$C = $C1893, 'Fund Invest"&amp;"ment Data'!$A:$A = $A1893 - 1, 'Fund Investment Data'!$B:$B = 12)) * (1 + AVERAGE(FILTER('Inflation Data'!$C:$C,'Inflation Data'!$A:$A = ($A1893 - 2)))) * Parameters!$A$4,0)"),0.0)</f>
        <v>0</v>
      </c>
      <c r="Y1893" s="91">
        <f>IFERROR(__xludf.DUMMYFUNCTION("IFERROR((IFERROR(FILTER('Fund Investment Data'!$P:$P,'Fund Investment Data'!$C:$C = $C1893,'Fund Investment Data'!$A:$A = ($A1893 - 2), 'Fund Investment Data'!$B:$B = 12),0) - SUM(FILTER('Fund Investment Data'!$V:$V, 'Fund Investment Data'!$C:$C = $C1893,"&amp;" 'Fund Investment Data'!$A:$A = ($A1893 - 2), 'Fund Investment Data'!$B:$B &gt; 3)))  * Parameters!$B$4 * (1 - Parameters!$A$4),0)"),0.0)</f>
        <v>0</v>
      </c>
      <c r="Z1893" s="91">
        <f t="shared" si="24"/>
        <v>0</v>
      </c>
      <c r="AA1893" s="91">
        <f>IFERROR(__xludf.DUMMYFUNCTION("((IFERROR((SUM(FILTER('Fund Investment Data'!$V:$V, 'Fund Investment Data'!$C:$C = $C1893, 'Fund Investment Data'!$A:$A = $A1893 - 1, 'Fund Investment Data'!$B:$B &gt;= 4, 'Fund Investment Data'!$B:$B &lt;= ($B1893 + 5))) / 12) * ($B1893 - 3) * Parameters!$B$4,"&amp;" 0) + IF($B1893 &gt;= 9, IFERROR(SUM(FILTER('Fund Investment Data'!$V:$V, 'Fund Investment Data'!$C:$C = $C1893, 'Fund Investment Data'!$A:$A = $A1893, 'Fund Investment Data'!$B:$B &lt;= 3)) * Parameters!$B$4, 0),0)))"),0.0)</f>
        <v>0</v>
      </c>
      <c r="AB1893" s="32">
        <f>IFERROR(__xludf.DUMMYFUNCTION("IFERROR(((IFERROR(SUM(FILTER('Fund Investment Data'!$V:$V, 'Fund Investment Data'!$C:$C = $C1893, 'Fund Investment Data'!$A:$A = $A1893 - 2, 'Fund Investment Data'!$B:$B &gt;= 4)) * Parameters!$B$4,0) + IFERROR(SUM(FILTER('Fund Investment Data'!$V:$V, 'Fund "&amp;"Investment Data'!$C:$C = $C1893, 'Fund Investment Data'!$A:$A = $A1893 - 1, 'Fund Investment Data'!$B:$B &lt;= 3)) * Parameters!$B$4,0))),0)"),0.0)</f>
        <v>0</v>
      </c>
      <c r="AC1893" s="32">
        <f>IFERROR(__xludf.DUMMYFUNCTION("IFERROR(FILTER($AF:$AF,$C:$C = $C1893,$A:$A = $A1893 - 1,$B:$B = 12),0)"),0.0)</f>
        <v>0</v>
      </c>
      <c r="AD1893" s="32">
        <f t="shared" si="23"/>
        <v>0</v>
      </c>
      <c r="AE1893" s="32">
        <f t="shared" si="2"/>
        <v>0</v>
      </c>
      <c r="AF1893" s="32"/>
    </row>
    <row r="1894">
      <c r="A1894" s="86"/>
      <c r="B1894" s="87"/>
      <c r="C1894" s="88"/>
      <c r="D1894" s="104"/>
      <c r="E1894" s="104"/>
      <c r="F1894" s="104"/>
      <c r="G1894" s="104"/>
      <c r="H1894" s="104"/>
      <c r="I1894" s="104"/>
      <c r="J1894" s="104"/>
      <c r="K1894" s="32"/>
      <c r="L1894" s="32"/>
      <c r="M1894" s="32"/>
      <c r="N1894" s="32"/>
      <c r="O1894" s="106"/>
      <c r="P1894" s="91">
        <f>IFERROR(__xludf.DUMMYFUNCTION("IFERROR(sum(FILTER($D:$N,$C:$C = $C1894,$A:$A &lt; $A1894,$B:$B = 12)),0) + sum($D1894:$N1894)"),0.0)</f>
        <v>0</v>
      </c>
      <c r="Q1894" s="92">
        <f t="shared" si="1"/>
        <v>0</v>
      </c>
      <c r="R1894" s="91">
        <f t="array" ref="R1894">IFERROR(INDEX('Fund YTD Target Values'!$1:$1000, MATCH($C1894,'Fund YTD Target Values'!$A:$A,0), MATCH($A1894,'Fund YTD Target Values'!$1:$1,0)),0)</f>
        <v>0</v>
      </c>
      <c r="S1894" s="91">
        <f>IFERROR(__xludf.DUMMYFUNCTION("IFERROR(sum(FILTER('Fund Investment Data'!$V:$V, 'Fund Investment Data'!$C:$C = $C1894, 'Fund Investment Data'!$A:$A &lt; $A1894)),0) + IFERROR(sum(FILTER('Fund Investment Data'!$V:$V, 'Fund Investment Data'!$C:$C = $C1894, 'Fund Investment Data'!$A:$A = $A1"&amp;"894, 'Fund Investment Data'!$B:$B &lt;= $B1894)),0)"),0.0)</f>
        <v>0</v>
      </c>
      <c r="T1894" s="32"/>
      <c r="U1894" s="32"/>
      <c r="V1894" s="32">
        <f>IFERROR(__xludf.DUMMYFUNCTION("$D1894 - IFERROR(FILTER($D:$D,$C:$C = $C1894, $A:$A = $A1894, $B:$B = $B1894 - 1),0)"),0.0)</f>
        <v>0</v>
      </c>
      <c r="W1894" s="93">
        <f>IFERROR(__xludf.DUMMYFUNCTION("$E1894 - IFERROR(FILTER($E:$E,$C:$C = $C1894, $A:$A = $A1894, $B:$B = $B1894 - 1),0)"),0.0)</f>
        <v>0</v>
      </c>
      <c r="X1894" s="91">
        <f>IFERROR(__xludf.DUMMYFUNCTION("iFERROR((FILTER('Fund Investment Data'!$Z:$Z, 'Fund Investment Data'!$C:$C = $C1894, 'Fund Investment Data'!$A:$A = $A1894 - 1, 'Fund Investment Data'!$B:$B = 12) + FILTER('Fund Investment Data'!$AB:$AB, 'Fund Investment Data'!$C:$C = $C1894, 'Fund Invest"&amp;"ment Data'!$A:$A = $A1894 - 1, 'Fund Investment Data'!$B:$B = 12)) * (1 + AVERAGE(FILTER('Inflation Data'!$C:$C,'Inflation Data'!$A:$A = ($A1894 - 2)))) * Parameters!$A$4,0)"),0.0)</f>
        <v>0</v>
      </c>
      <c r="Y1894" s="91">
        <f>IFERROR(__xludf.DUMMYFUNCTION("IFERROR((IFERROR(FILTER('Fund Investment Data'!$P:$P,'Fund Investment Data'!$C:$C = $C1894,'Fund Investment Data'!$A:$A = ($A1894 - 2), 'Fund Investment Data'!$B:$B = 12),0) - SUM(FILTER('Fund Investment Data'!$V:$V, 'Fund Investment Data'!$C:$C = $C1894,"&amp;" 'Fund Investment Data'!$A:$A = ($A1894 - 2), 'Fund Investment Data'!$B:$B &gt; 3)))  * Parameters!$B$4 * (1 - Parameters!$A$4),0)"),0.0)</f>
        <v>0</v>
      </c>
      <c r="Z1894" s="91">
        <f t="shared" si="24"/>
        <v>0</v>
      </c>
      <c r="AA1894" s="91">
        <f>IFERROR(__xludf.DUMMYFUNCTION("((IFERROR((SUM(FILTER('Fund Investment Data'!$V:$V, 'Fund Investment Data'!$C:$C = $C1894, 'Fund Investment Data'!$A:$A = $A1894 - 1, 'Fund Investment Data'!$B:$B &gt;= 4, 'Fund Investment Data'!$B:$B &lt;= ($B1894 + 5))) / 12) * ($B1894 - 3) * Parameters!$B$4,"&amp;" 0) + IF($B1894 &gt;= 9, IFERROR(SUM(FILTER('Fund Investment Data'!$V:$V, 'Fund Investment Data'!$C:$C = $C1894, 'Fund Investment Data'!$A:$A = $A1894, 'Fund Investment Data'!$B:$B &lt;= 3)) * Parameters!$B$4, 0),0)))"),0.0)</f>
        <v>0</v>
      </c>
      <c r="AB1894" s="32">
        <f>IFERROR(__xludf.DUMMYFUNCTION("IFERROR(((IFERROR(SUM(FILTER('Fund Investment Data'!$V:$V, 'Fund Investment Data'!$C:$C = $C1894, 'Fund Investment Data'!$A:$A = $A1894 - 2, 'Fund Investment Data'!$B:$B &gt;= 4)) * Parameters!$B$4,0) + IFERROR(SUM(FILTER('Fund Investment Data'!$V:$V, 'Fund "&amp;"Investment Data'!$C:$C = $C1894, 'Fund Investment Data'!$A:$A = $A1894 - 1, 'Fund Investment Data'!$B:$B &lt;= 3)) * Parameters!$B$4,0))),0)"),0.0)</f>
        <v>0</v>
      </c>
      <c r="AC1894" s="32">
        <f>IFERROR(__xludf.DUMMYFUNCTION("IFERROR(FILTER($AF:$AF,$C:$C = $C1894,$A:$A = $A1894 - 1,$B:$B = 12),0)"),0.0)</f>
        <v>0</v>
      </c>
      <c r="AD1894" s="32">
        <f t="shared" si="23"/>
        <v>0</v>
      </c>
      <c r="AE1894" s="32">
        <f t="shared" si="2"/>
        <v>0</v>
      </c>
      <c r="AF1894" s="32"/>
    </row>
    <row r="1895">
      <c r="A1895" s="86"/>
      <c r="B1895" s="87"/>
      <c r="C1895" s="88"/>
      <c r="D1895" s="104"/>
      <c r="E1895" s="104"/>
      <c r="F1895" s="104"/>
      <c r="G1895" s="104"/>
      <c r="H1895" s="104"/>
      <c r="I1895" s="104"/>
      <c r="J1895" s="104"/>
      <c r="K1895" s="32"/>
      <c r="L1895" s="32"/>
      <c r="M1895" s="32"/>
      <c r="N1895" s="32"/>
      <c r="O1895" s="106"/>
      <c r="P1895" s="91">
        <f>IFERROR(__xludf.DUMMYFUNCTION("IFERROR(sum(FILTER($D:$N,$C:$C = $C1895,$A:$A &lt; $A1895,$B:$B = 12)),0) + sum($D1895:$N1895)"),0.0)</f>
        <v>0</v>
      </c>
      <c r="Q1895" s="92">
        <f t="shared" si="1"/>
        <v>0</v>
      </c>
      <c r="R1895" s="91">
        <f t="array" ref="R1895">IFERROR(INDEX('Fund YTD Target Values'!$1:$1000, MATCH($C1895,'Fund YTD Target Values'!$A:$A,0), MATCH($A1895,'Fund YTD Target Values'!$1:$1,0)),0)</f>
        <v>0</v>
      </c>
      <c r="S1895" s="91">
        <f>IFERROR(__xludf.DUMMYFUNCTION("IFERROR(sum(FILTER('Fund Investment Data'!$V:$V, 'Fund Investment Data'!$C:$C = $C1895, 'Fund Investment Data'!$A:$A &lt; $A1895)),0) + IFERROR(sum(FILTER('Fund Investment Data'!$V:$V, 'Fund Investment Data'!$C:$C = $C1895, 'Fund Investment Data'!$A:$A = $A1"&amp;"895, 'Fund Investment Data'!$B:$B &lt;= $B1895)),0)"),0.0)</f>
        <v>0</v>
      </c>
      <c r="T1895" s="32"/>
      <c r="U1895" s="32"/>
      <c r="V1895" s="32">
        <f>IFERROR(__xludf.DUMMYFUNCTION("$D1895 - IFERROR(FILTER($D:$D,$C:$C = $C1895, $A:$A = $A1895, $B:$B = $B1895 - 1),0)"),0.0)</f>
        <v>0</v>
      </c>
      <c r="W1895" s="93">
        <f>IFERROR(__xludf.DUMMYFUNCTION("$E1895 - IFERROR(FILTER($E:$E,$C:$C = $C1895, $A:$A = $A1895, $B:$B = $B1895 - 1),0)"),0.0)</f>
        <v>0</v>
      </c>
      <c r="X1895" s="91">
        <f>IFERROR(__xludf.DUMMYFUNCTION("iFERROR((FILTER('Fund Investment Data'!$Z:$Z, 'Fund Investment Data'!$C:$C = $C1895, 'Fund Investment Data'!$A:$A = $A1895 - 1, 'Fund Investment Data'!$B:$B = 12) + FILTER('Fund Investment Data'!$AB:$AB, 'Fund Investment Data'!$C:$C = $C1895, 'Fund Invest"&amp;"ment Data'!$A:$A = $A1895 - 1, 'Fund Investment Data'!$B:$B = 12)) * (1 + AVERAGE(FILTER('Inflation Data'!$C:$C,'Inflation Data'!$A:$A = ($A1895 - 2)))) * Parameters!$A$4,0)"),0.0)</f>
        <v>0</v>
      </c>
      <c r="Y1895" s="91">
        <f>IFERROR(__xludf.DUMMYFUNCTION("IFERROR((IFERROR(FILTER('Fund Investment Data'!$P:$P,'Fund Investment Data'!$C:$C = $C1895,'Fund Investment Data'!$A:$A = ($A1895 - 2), 'Fund Investment Data'!$B:$B = 12),0) - SUM(FILTER('Fund Investment Data'!$V:$V, 'Fund Investment Data'!$C:$C = $C1895,"&amp;" 'Fund Investment Data'!$A:$A = ($A1895 - 2), 'Fund Investment Data'!$B:$B &gt; 3)))  * Parameters!$B$4 * (1 - Parameters!$A$4),0)"),0.0)</f>
        <v>0</v>
      </c>
      <c r="Z1895" s="91">
        <f t="shared" si="24"/>
        <v>0</v>
      </c>
      <c r="AA1895" s="91">
        <f>IFERROR(__xludf.DUMMYFUNCTION("((IFERROR((SUM(FILTER('Fund Investment Data'!$V:$V, 'Fund Investment Data'!$C:$C = $C1895, 'Fund Investment Data'!$A:$A = $A1895 - 1, 'Fund Investment Data'!$B:$B &gt;= 4, 'Fund Investment Data'!$B:$B &lt;= ($B1895 + 5))) / 12) * ($B1895 - 3) * Parameters!$B$4,"&amp;" 0) + IF($B1895 &gt;= 9, IFERROR(SUM(FILTER('Fund Investment Data'!$V:$V, 'Fund Investment Data'!$C:$C = $C1895, 'Fund Investment Data'!$A:$A = $A1895, 'Fund Investment Data'!$B:$B &lt;= 3)) * Parameters!$B$4, 0),0)))"),0.0)</f>
        <v>0</v>
      </c>
      <c r="AB1895" s="32">
        <f>IFERROR(__xludf.DUMMYFUNCTION("IFERROR(((IFERROR(SUM(FILTER('Fund Investment Data'!$V:$V, 'Fund Investment Data'!$C:$C = $C1895, 'Fund Investment Data'!$A:$A = $A1895 - 2, 'Fund Investment Data'!$B:$B &gt;= 4)) * Parameters!$B$4,0) + IFERROR(SUM(FILTER('Fund Investment Data'!$V:$V, 'Fund "&amp;"Investment Data'!$C:$C = $C1895, 'Fund Investment Data'!$A:$A = $A1895 - 1, 'Fund Investment Data'!$B:$B &lt;= 3)) * Parameters!$B$4,0))),0)"),0.0)</f>
        <v>0</v>
      </c>
      <c r="AC1895" s="32">
        <f>IFERROR(__xludf.DUMMYFUNCTION("IFERROR(FILTER($AF:$AF,$C:$C = $C1895,$A:$A = $A1895 - 1,$B:$B = 12),0)"),0.0)</f>
        <v>0</v>
      </c>
      <c r="AD1895" s="32">
        <f t="shared" si="23"/>
        <v>0</v>
      </c>
      <c r="AE1895" s="32">
        <f t="shared" si="2"/>
        <v>0</v>
      </c>
      <c r="AF1895" s="32"/>
    </row>
    <row r="1896">
      <c r="A1896" s="86"/>
      <c r="B1896" s="87"/>
      <c r="C1896" s="88"/>
      <c r="D1896" s="104"/>
      <c r="E1896" s="104"/>
      <c r="F1896" s="104"/>
      <c r="G1896" s="104"/>
      <c r="H1896" s="104"/>
      <c r="I1896" s="104"/>
      <c r="J1896" s="104"/>
      <c r="K1896" s="32"/>
      <c r="L1896" s="32"/>
      <c r="M1896" s="32"/>
      <c r="N1896" s="32"/>
      <c r="O1896" s="106"/>
      <c r="P1896" s="91">
        <f>IFERROR(__xludf.DUMMYFUNCTION("IFERROR(sum(FILTER($D:$N,$C:$C = $C1896,$A:$A &lt; $A1896,$B:$B = 12)),0) + sum($D1896:$N1896)"),0.0)</f>
        <v>0</v>
      </c>
      <c r="Q1896" s="92">
        <f t="shared" si="1"/>
        <v>0</v>
      </c>
      <c r="R1896" s="91">
        <f t="array" ref="R1896">IFERROR(INDEX('Fund YTD Target Values'!$1:$1000, MATCH($C1896,'Fund YTD Target Values'!$A:$A,0), MATCH($A1896,'Fund YTD Target Values'!$1:$1,0)),0)</f>
        <v>0</v>
      </c>
      <c r="S1896" s="91">
        <f>IFERROR(__xludf.DUMMYFUNCTION("IFERROR(sum(FILTER('Fund Investment Data'!$V:$V, 'Fund Investment Data'!$C:$C = $C1896, 'Fund Investment Data'!$A:$A &lt; $A1896)),0) + IFERROR(sum(FILTER('Fund Investment Data'!$V:$V, 'Fund Investment Data'!$C:$C = $C1896, 'Fund Investment Data'!$A:$A = $A1"&amp;"896, 'Fund Investment Data'!$B:$B &lt;= $B1896)),0)"),0.0)</f>
        <v>0</v>
      </c>
      <c r="T1896" s="32"/>
      <c r="U1896" s="32"/>
      <c r="V1896" s="32">
        <f>IFERROR(__xludf.DUMMYFUNCTION("$D1896 - IFERROR(FILTER($D:$D,$C:$C = $C1896, $A:$A = $A1896, $B:$B = $B1896 - 1),0)"),0.0)</f>
        <v>0</v>
      </c>
      <c r="W1896" s="93">
        <f>IFERROR(__xludf.DUMMYFUNCTION("$E1896 - IFERROR(FILTER($E:$E,$C:$C = $C1896, $A:$A = $A1896, $B:$B = $B1896 - 1),0)"),0.0)</f>
        <v>0</v>
      </c>
      <c r="X1896" s="91">
        <f>IFERROR(__xludf.DUMMYFUNCTION("iFERROR((FILTER('Fund Investment Data'!$Z:$Z, 'Fund Investment Data'!$C:$C = $C1896, 'Fund Investment Data'!$A:$A = $A1896 - 1, 'Fund Investment Data'!$B:$B = 12) + FILTER('Fund Investment Data'!$AB:$AB, 'Fund Investment Data'!$C:$C = $C1896, 'Fund Invest"&amp;"ment Data'!$A:$A = $A1896 - 1, 'Fund Investment Data'!$B:$B = 12)) * (1 + AVERAGE(FILTER('Inflation Data'!$C:$C,'Inflation Data'!$A:$A = ($A1896 - 2)))) * Parameters!$A$4,0)"),0.0)</f>
        <v>0</v>
      </c>
      <c r="Y1896" s="91">
        <f>IFERROR(__xludf.DUMMYFUNCTION("IFERROR((IFERROR(FILTER('Fund Investment Data'!$P:$P,'Fund Investment Data'!$C:$C = $C1896,'Fund Investment Data'!$A:$A = ($A1896 - 2), 'Fund Investment Data'!$B:$B = 12),0) - SUM(FILTER('Fund Investment Data'!$V:$V, 'Fund Investment Data'!$C:$C = $C1896,"&amp;" 'Fund Investment Data'!$A:$A = ($A1896 - 2), 'Fund Investment Data'!$B:$B &gt; 3)))  * Parameters!$B$4 * (1 - Parameters!$A$4),0)"),0.0)</f>
        <v>0</v>
      </c>
      <c r="Z1896" s="91">
        <f t="shared" si="24"/>
        <v>0</v>
      </c>
      <c r="AA1896" s="91">
        <f>IFERROR(__xludf.DUMMYFUNCTION("((IFERROR((SUM(FILTER('Fund Investment Data'!$V:$V, 'Fund Investment Data'!$C:$C = $C1896, 'Fund Investment Data'!$A:$A = $A1896 - 1, 'Fund Investment Data'!$B:$B &gt;= 4, 'Fund Investment Data'!$B:$B &lt;= ($B1896 + 5))) / 12) * ($B1896 - 3) * Parameters!$B$4,"&amp;" 0) + IF($B1896 &gt;= 9, IFERROR(SUM(FILTER('Fund Investment Data'!$V:$V, 'Fund Investment Data'!$C:$C = $C1896, 'Fund Investment Data'!$A:$A = $A1896, 'Fund Investment Data'!$B:$B &lt;= 3)) * Parameters!$B$4, 0),0)))"),0.0)</f>
        <v>0</v>
      </c>
      <c r="AB1896" s="32">
        <f>IFERROR(__xludf.DUMMYFUNCTION("IFERROR(((IFERROR(SUM(FILTER('Fund Investment Data'!$V:$V, 'Fund Investment Data'!$C:$C = $C1896, 'Fund Investment Data'!$A:$A = $A1896 - 2, 'Fund Investment Data'!$B:$B &gt;= 4)) * Parameters!$B$4,0) + IFERROR(SUM(FILTER('Fund Investment Data'!$V:$V, 'Fund "&amp;"Investment Data'!$C:$C = $C1896, 'Fund Investment Data'!$A:$A = $A1896 - 1, 'Fund Investment Data'!$B:$B &lt;= 3)) * Parameters!$B$4,0))),0)"),0.0)</f>
        <v>0</v>
      </c>
      <c r="AC1896" s="32">
        <f>IFERROR(__xludf.DUMMYFUNCTION("IFERROR(FILTER($AF:$AF,$C:$C = $C1896,$A:$A = $A1896 - 1,$B:$B = 12),0)"),0.0)</f>
        <v>0</v>
      </c>
      <c r="AD1896" s="32">
        <f t="shared" si="23"/>
        <v>0</v>
      </c>
      <c r="AE1896" s="32">
        <f t="shared" si="2"/>
        <v>0</v>
      </c>
      <c r="AF1896" s="32"/>
    </row>
    <row r="1897">
      <c r="A1897" s="86"/>
      <c r="B1897" s="87"/>
      <c r="C1897" s="88"/>
      <c r="D1897" s="104"/>
      <c r="E1897" s="104"/>
      <c r="F1897" s="104"/>
      <c r="G1897" s="104"/>
      <c r="H1897" s="104"/>
      <c r="I1897" s="104"/>
      <c r="J1897" s="104"/>
      <c r="K1897" s="32"/>
      <c r="L1897" s="32"/>
      <c r="M1897" s="32"/>
      <c r="N1897" s="32"/>
      <c r="O1897" s="106"/>
      <c r="P1897" s="91">
        <f>IFERROR(__xludf.DUMMYFUNCTION("IFERROR(sum(FILTER($D:$N,$C:$C = $C1897,$A:$A &lt; $A1897,$B:$B = 12)),0) + sum($D1897:$N1897)"),0.0)</f>
        <v>0</v>
      </c>
      <c r="Q1897" s="92">
        <f t="shared" si="1"/>
        <v>0</v>
      </c>
      <c r="R1897" s="91">
        <f t="array" ref="R1897">IFERROR(INDEX('Fund YTD Target Values'!$1:$1000, MATCH($C1897,'Fund YTD Target Values'!$A:$A,0), MATCH($A1897,'Fund YTD Target Values'!$1:$1,0)),0)</f>
        <v>0</v>
      </c>
      <c r="S1897" s="91">
        <f>IFERROR(__xludf.DUMMYFUNCTION("IFERROR(sum(FILTER('Fund Investment Data'!$V:$V, 'Fund Investment Data'!$C:$C = $C1897, 'Fund Investment Data'!$A:$A &lt; $A1897)),0) + IFERROR(sum(FILTER('Fund Investment Data'!$V:$V, 'Fund Investment Data'!$C:$C = $C1897, 'Fund Investment Data'!$A:$A = $A1"&amp;"897, 'Fund Investment Data'!$B:$B &lt;= $B1897)),0)"),0.0)</f>
        <v>0</v>
      </c>
      <c r="T1897" s="32"/>
      <c r="U1897" s="32"/>
      <c r="V1897" s="32">
        <f>IFERROR(__xludf.DUMMYFUNCTION("$D1897 - IFERROR(FILTER($D:$D,$C:$C = $C1897, $A:$A = $A1897, $B:$B = $B1897 - 1),0)"),0.0)</f>
        <v>0</v>
      </c>
      <c r="W1897" s="93">
        <f>IFERROR(__xludf.DUMMYFUNCTION("$E1897 - IFERROR(FILTER($E:$E,$C:$C = $C1897, $A:$A = $A1897, $B:$B = $B1897 - 1),0)"),0.0)</f>
        <v>0</v>
      </c>
      <c r="X1897" s="91">
        <f>IFERROR(__xludf.DUMMYFUNCTION("iFERROR((FILTER('Fund Investment Data'!$Z:$Z, 'Fund Investment Data'!$C:$C = $C1897, 'Fund Investment Data'!$A:$A = $A1897 - 1, 'Fund Investment Data'!$B:$B = 12) + FILTER('Fund Investment Data'!$AB:$AB, 'Fund Investment Data'!$C:$C = $C1897, 'Fund Invest"&amp;"ment Data'!$A:$A = $A1897 - 1, 'Fund Investment Data'!$B:$B = 12)) * (1 + AVERAGE(FILTER('Inflation Data'!$C:$C,'Inflation Data'!$A:$A = ($A1897 - 2)))) * Parameters!$A$4,0)"),0.0)</f>
        <v>0</v>
      </c>
      <c r="Y1897" s="91">
        <f>IFERROR(__xludf.DUMMYFUNCTION("IFERROR((IFERROR(FILTER('Fund Investment Data'!$P:$P,'Fund Investment Data'!$C:$C = $C1897,'Fund Investment Data'!$A:$A = ($A1897 - 2), 'Fund Investment Data'!$B:$B = 12),0) - SUM(FILTER('Fund Investment Data'!$V:$V, 'Fund Investment Data'!$C:$C = $C1897,"&amp;" 'Fund Investment Data'!$A:$A = ($A1897 - 2), 'Fund Investment Data'!$B:$B &gt; 3)))  * Parameters!$B$4 * (1 - Parameters!$A$4),0)"),0.0)</f>
        <v>0</v>
      </c>
      <c r="Z1897" s="91">
        <f t="shared" si="24"/>
        <v>0</v>
      </c>
      <c r="AA1897" s="91">
        <f>IFERROR(__xludf.DUMMYFUNCTION("((IFERROR((SUM(FILTER('Fund Investment Data'!$V:$V, 'Fund Investment Data'!$C:$C = $C1897, 'Fund Investment Data'!$A:$A = $A1897 - 1, 'Fund Investment Data'!$B:$B &gt;= 4, 'Fund Investment Data'!$B:$B &lt;= ($B1897 + 5))) / 12) * ($B1897 - 3) * Parameters!$B$4,"&amp;" 0) + IF($B1897 &gt;= 9, IFERROR(SUM(FILTER('Fund Investment Data'!$V:$V, 'Fund Investment Data'!$C:$C = $C1897, 'Fund Investment Data'!$A:$A = $A1897, 'Fund Investment Data'!$B:$B &lt;= 3)) * Parameters!$B$4, 0),0)))"),0.0)</f>
        <v>0</v>
      </c>
      <c r="AB1897" s="32">
        <f>IFERROR(__xludf.DUMMYFUNCTION("IFERROR(((IFERROR(SUM(FILTER('Fund Investment Data'!$V:$V, 'Fund Investment Data'!$C:$C = $C1897, 'Fund Investment Data'!$A:$A = $A1897 - 2, 'Fund Investment Data'!$B:$B &gt;= 4)) * Parameters!$B$4,0) + IFERROR(SUM(FILTER('Fund Investment Data'!$V:$V, 'Fund "&amp;"Investment Data'!$C:$C = $C1897, 'Fund Investment Data'!$A:$A = $A1897 - 1, 'Fund Investment Data'!$B:$B &lt;= 3)) * Parameters!$B$4,0))),0)"),0.0)</f>
        <v>0</v>
      </c>
      <c r="AC1897" s="32">
        <f>IFERROR(__xludf.DUMMYFUNCTION("IFERROR(FILTER($AF:$AF,$C:$C = $C1897,$A:$A = $A1897 - 1,$B:$B = 12),0)"),0.0)</f>
        <v>0</v>
      </c>
      <c r="AD1897" s="32">
        <f t="shared" si="23"/>
        <v>0</v>
      </c>
      <c r="AE1897" s="32">
        <f t="shared" si="2"/>
        <v>0</v>
      </c>
      <c r="AF1897" s="32"/>
    </row>
    <row r="1898">
      <c r="A1898" s="86"/>
      <c r="B1898" s="87"/>
      <c r="C1898" s="88"/>
      <c r="D1898" s="104"/>
      <c r="E1898" s="104"/>
      <c r="F1898" s="104"/>
      <c r="G1898" s="104"/>
      <c r="H1898" s="104"/>
      <c r="I1898" s="104"/>
      <c r="J1898" s="104"/>
      <c r="K1898" s="32"/>
      <c r="L1898" s="32"/>
      <c r="M1898" s="32"/>
      <c r="N1898" s="32"/>
      <c r="O1898" s="106"/>
      <c r="P1898" s="91">
        <f>IFERROR(__xludf.DUMMYFUNCTION("IFERROR(sum(FILTER($D:$N,$C:$C = $C1898,$A:$A &lt; $A1898,$B:$B = 12)),0) + sum($D1898:$N1898)"),0.0)</f>
        <v>0</v>
      </c>
      <c r="Q1898" s="92">
        <f t="shared" si="1"/>
        <v>0</v>
      </c>
      <c r="R1898" s="91">
        <f t="array" ref="R1898">IFERROR(INDEX('Fund YTD Target Values'!$1:$1000, MATCH($C1898,'Fund YTD Target Values'!$A:$A,0), MATCH($A1898,'Fund YTD Target Values'!$1:$1,0)),0)</f>
        <v>0</v>
      </c>
      <c r="S1898" s="91">
        <f>IFERROR(__xludf.DUMMYFUNCTION("IFERROR(sum(FILTER('Fund Investment Data'!$V:$V, 'Fund Investment Data'!$C:$C = $C1898, 'Fund Investment Data'!$A:$A &lt; $A1898)),0) + IFERROR(sum(FILTER('Fund Investment Data'!$V:$V, 'Fund Investment Data'!$C:$C = $C1898, 'Fund Investment Data'!$A:$A = $A1"&amp;"898, 'Fund Investment Data'!$B:$B &lt;= $B1898)),0)"),0.0)</f>
        <v>0</v>
      </c>
      <c r="T1898" s="32"/>
      <c r="U1898" s="32"/>
      <c r="V1898" s="32">
        <f>IFERROR(__xludf.DUMMYFUNCTION("$D1898 - IFERROR(FILTER($D:$D,$C:$C = $C1898, $A:$A = $A1898, $B:$B = $B1898 - 1),0)"),0.0)</f>
        <v>0</v>
      </c>
      <c r="W1898" s="93">
        <f>IFERROR(__xludf.DUMMYFUNCTION("$E1898 - IFERROR(FILTER($E:$E,$C:$C = $C1898, $A:$A = $A1898, $B:$B = $B1898 - 1),0)"),0.0)</f>
        <v>0</v>
      </c>
      <c r="X1898" s="91">
        <f>IFERROR(__xludf.DUMMYFUNCTION("iFERROR((FILTER('Fund Investment Data'!$Z:$Z, 'Fund Investment Data'!$C:$C = $C1898, 'Fund Investment Data'!$A:$A = $A1898 - 1, 'Fund Investment Data'!$B:$B = 12) + FILTER('Fund Investment Data'!$AB:$AB, 'Fund Investment Data'!$C:$C = $C1898, 'Fund Invest"&amp;"ment Data'!$A:$A = $A1898 - 1, 'Fund Investment Data'!$B:$B = 12)) * (1 + AVERAGE(FILTER('Inflation Data'!$C:$C,'Inflation Data'!$A:$A = ($A1898 - 2)))) * Parameters!$A$4,0)"),0.0)</f>
        <v>0</v>
      </c>
      <c r="Y1898" s="91">
        <f>IFERROR(__xludf.DUMMYFUNCTION("IFERROR((IFERROR(FILTER('Fund Investment Data'!$P:$P,'Fund Investment Data'!$C:$C = $C1898,'Fund Investment Data'!$A:$A = ($A1898 - 2), 'Fund Investment Data'!$B:$B = 12),0) - SUM(FILTER('Fund Investment Data'!$V:$V, 'Fund Investment Data'!$C:$C = $C1898,"&amp;" 'Fund Investment Data'!$A:$A = ($A1898 - 2), 'Fund Investment Data'!$B:$B &gt; 3)))  * Parameters!$B$4 * (1 - Parameters!$A$4),0)"),0.0)</f>
        <v>0</v>
      </c>
      <c r="Z1898" s="91">
        <f t="shared" si="24"/>
        <v>0</v>
      </c>
      <c r="AA1898" s="91">
        <f>IFERROR(__xludf.DUMMYFUNCTION("((IFERROR((SUM(FILTER('Fund Investment Data'!$V:$V, 'Fund Investment Data'!$C:$C = $C1898, 'Fund Investment Data'!$A:$A = $A1898 - 1, 'Fund Investment Data'!$B:$B &gt;= 4, 'Fund Investment Data'!$B:$B &lt;= ($B1898 + 5))) / 12) * ($B1898 - 3) * Parameters!$B$4,"&amp;" 0) + IF($B1898 &gt;= 9, IFERROR(SUM(FILTER('Fund Investment Data'!$V:$V, 'Fund Investment Data'!$C:$C = $C1898, 'Fund Investment Data'!$A:$A = $A1898, 'Fund Investment Data'!$B:$B &lt;= 3)) * Parameters!$B$4, 0),0)))"),0.0)</f>
        <v>0</v>
      </c>
      <c r="AB1898" s="32">
        <f>IFERROR(__xludf.DUMMYFUNCTION("IFERROR(((IFERROR(SUM(FILTER('Fund Investment Data'!$V:$V, 'Fund Investment Data'!$C:$C = $C1898, 'Fund Investment Data'!$A:$A = $A1898 - 2, 'Fund Investment Data'!$B:$B &gt;= 4)) * Parameters!$B$4,0) + IFERROR(SUM(FILTER('Fund Investment Data'!$V:$V, 'Fund "&amp;"Investment Data'!$C:$C = $C1898, 'Fund Investment Data'!$A:$A = $A1898 - 1, 'Fund Investment Data'!$B:$B &lt;= 3)) * Parameters!$B$4,0))),0)"),0.0)</f>
        <v>0</v>
      </c>
      <c r="AC1898" s="32">
        <f>IFERROR(__xludf.DUMMYFUNCTION("IFERROR(FILTER($AF:$AF,$C:$C = $C1898,$A:$A = $A1898 - 1,$B:$B = 12),0)"),0.0)</f>
        <v>0</v>
      </c>
      <c r="AD1898" s="32">
        <f t="shared" si="23"/>
        <v>0</v>
      </c>
      <c r="AE1898" s="32">
        <f t="shared" si="2"/>
        <v>0</v>
      </c>
      <c r="AF1898" s="32"/>
    </row>
    <row r="1899">
      <c r="A1899" s="86"/>
      <c r="B1899" s="87"/>
      <c r="C1899" s="88"/>
      <c r="D1899" s="104"/>
      <c r="E1899" s="104"/>
      <c r="F1899" s="104"/>
      <c r="G1899" s="104"/>
      <c r="H1899" s="104"/>
      <c r="I1899" s="104"/>
      <c r="J1899" s="104"/>
      <c r="K1899" s="32"/>
      <c r="L1899" s="32"/>
      <c r="M1899" s="32"/>
      <c r="N1899" s="32"/>
      <c r="O1899" s="106"/>
      <c r="P1899" s="91">
        <f>IFERROR(__xludf.DUMMYFUNCTION("IFERROR(sum(FILTER($D:$N,$C:$C = $C1899,$A:$A &lt; $A1899,$B:$B = 12)),0) + sum($D1899:$N1899)"),0.0)</f>
        <v>0</v>
      </c>
      <c r="Q1899" s="92">
        <f t="shared" si="1"/>
        <v>0</v>
      </c>
      <c r="R1899" s="91">
        <f t="array" ref="R1899">IFERROR(INDEX('Fund YTD Target Values'!$1:$1000, MATCH($C1899,'Fund YTD Target Values'!$A:$A,0), MATCH($A1899,'Fund YTD Target Values'!$1:$1,0)),0)</f>
        <v>0</v>
      </c>
      <c r="S1899" s="91">
        <f>IFERROR(__xludf.DUMMYFUNCTION("IFERROR(sum(FILTER('Fund Investment Data'!$V:$V, 'Fund Investment Data'!$C:$C = $C1899, 'Fund Investment Data'!$A:$A &lt; $A1899)),0) + IFERROR(sum(FILTER('Fund Investment Data'!$V:$V, 'Fund Investment Data'!$C:$C = $C1899, 'Fund Investment Data'!$A:$A = $A1"&amp;"899, 'Fund Investment Data'!$B:$B &lt;= $B1899)),0)"),0.0)</f>
        <v>0</v>
      </c>
      <c r="T1899" s="32"/>
      <c r="U1899" s="32"/>
      <c r="V1899" s="32">
        <f>IFERROR(__xludf.DUMMYFUNCTION("$D1899 - IFERROR(FILTER($D:$D,$C:$C = $C1899, $A:$A = $A1899, $B:$B = $B1899 - 1),0)"),0.0)</f>
        <v>0</v>
      </c>
      <c r="W1899" s="93">
        <f>IFERROR(__xludf.DUMMYFUNCTION("$E1899 - IFERROR(FILTER($E:$E,$C:$C = $C1899, $A:$A = $A1899, $B:$B = $B1899 - 1),0)"),0.0)</f>
        <v>0</v>
      </c>
      <c r="X1899" s="91">
        <f>IFERROR(__xludf.DUMMYFUNCTION("iFERROR((FILTER('Fund Investment Data'!$Z:$Z, 'Fund Investment Data'!$C:$C = $C1899, 'Fund Investment Data'!$A:$A = $A1899 - 1, 'Fund Investment Data'!$B:$B = 12) + FILTER('Fund Investment Data'!$AB:$AB, 'Fund Investment Data'!$C:$C = $C1899, 'Fund Invest"&amp;"ment Data'!$A:$A = $A1899 - 1, 'Fund Investment Data'!$B:$B = 12)) * (1 + AVERAGE(FILTER('Inflation Data'!$C:$C,'Inflation Data'!$A:$A = ($A1899 - 2)))) * Parameters!$A$4,0)"),0.0)</f>
        <v>0</v>
      </c>
      <c r="Y1899" s="91">
        <f>IFERROR(__xludf.DUMMYFUNCTION("IFERROR((IFERROR(FILTER('Fund Investment Data'!$P:$P,'Fund Investment Data'!$C:$C = $C1899,'Fund Investment Data'!$A:$A = ($A1899 - 2), 'Fund Investment Data'!$B:$B = 12),0) - SUM(FILTER('Fund Investment Data'!$V:$V, 'Fund Investment Data'!$C:$C = $C1899,"&amp;" 'Fund Investment Data'!$A:$A = ($A1899 - 2), 'Fund Investment Data'!$B:$B &gt; 3)))  * Parameters!$B$4 * (1 - Parameters!$A$4),0)"),0.0)</f>
        <v>0</v>
      </c>
      <c r="Z1899" s="91">
        <f t="shared" si="24"/>
        <v>0</v>
      </c>
      <c r="AA1899" s="91">
        <f>IFERROR(__xludf.DUMMYFUNCTION("((IFERROR((SUM(FILTER('Fund Investment Data'!$V:$V, 'Fund Investment Data'!$C:$C = $C1899, 'Fund Investment Data'!$A:$A = $A1899 - 1, 'Fund Investment Data'!$B:$B &gt;= 4, 'Fund Investment Data'!$B:$B &lt;= ($B1899 + 5))) / 12) * ($B1899 - 3) * Parameters!$B$4,"&amp;" 0) + IF($B1899 &gt;= 9, IFERROR(SUM(FILTER('Fund Investment Data'!$V:$V, 'Fund Investment Data'!$C:$C = $C1899, 'Fund Investment Data'!$A:$A = $A1899, 'Fund Investment Data'!$B:$B &lt;= 3)) * Parameters!$B$4, 0),0)))"),0.0)</f>
        <v>0</v>
      </c>
      <c r="AB1899" s="32">
        <f>IFERROR(__xludf.DUMMYFUNCTION("IFERROR(((IFERROR(SUM(FILTER('Fund Investment Data'!$V:$V, 'Fund Investment Data'!$C:$C = $C1899, 'Fund Investment Data'!$A:$A = $A1899 - 2, 'Fund Investment Data'!$B:$B &gt;= 4)) * Parameters!$B$4,0) + IFERROR(SUM(FILTER('Fund Investment Data'!$V:$V, 'Fund "&amp;"Investment Data'!$C:$C = $C1899, 'Fund Investment Data'!$A:$A = $A1899 - 1, 'Fund Investment Data'!$B:$B &lt;= 3)) * Parameters!$B$4,0))),0)"),0.0)</f>
        <v>0</v>
      </c>
      <c r="AC1899" s="32">
        <f>IFERROR(__xludf.DUMMYFUNCTION("IFERROR(FILTER($AF:$AF,$C:$C = $C1899,$A:$A = $A1899 - 1,$B:$B = 12),0)"),0.0)</f>
        <v>0</v>
      </c>
      <c r="AD1899" s="32">
        <f t="shared" si="23"/>
        <v>0</v>
      </c>
      <c r="AE1899" s="32">
        <f t="shared" si="2"/>
        <v>0</v>
      </c>
      <c r="AF1899" s="32"/>
    </row>
    <row r="1900">
      <c r="A1900" s="86"/>
      <c r="B1900" s="87"/>
      <c r="C1900" s="88"/>
      <c r="D1900" s="104"/>
      <c r="E1900" s="104"/>
      <c r="F1900" s="104"/>
      <c r="G1900" s="104"/>
      <c r="H1900" s="104"/>
      <c r="I1900" s="104"/>
      <c r="J1900" s="104"/>
      <c r="K1900" s="32"/>
      <c r="L1900" s="32"/>
      <c r="M1900" s="32"/>
      <c r="N1900" s="32"/>
      <c r="O1900" s="106"/>
      <c r="P1900" s="91">
        <f>IFERROR(__xludf.DUMMYFUNCTION("IFERROR(sum(FILTER($D:$N,$C:$C = $C1900,$A:$A &lt; $A1900,$B:$B = 12)),0) + sum($D1900:$N1900)"),0.0)</f>
        <v>0</v>
      </c>
      <c r="Q1900" s="92">
        <f t="shared" si="1"/>
        <v>0</v>
      </c>
      <c r="R1900" s="91">
        <f t="array" ref="R1900">IFERROR(INDEX('Fund YTD Target Values'!$1:$1000, MATCH($C1900,'Fund YTD Target Values'!$A:$A,0), MATCH($A1900,'Fund YTD Target Values'!$1:$1,0)),0)</f>
        <v>0</v>
      </c>
      <c r="S1900" s="91">
        <f>IFERROR(__xludf.DUMMYFUNCTION("IFERROR(sum(FILTER('Fund Investment Data'!$V:$V, 'Fund Investment Data'!$C:$C = $C1900, 'Fund Investment Data'!$A:$A &lt; $A1900)),0) + IFERROR(sum(FILTER('Fund Investment Data'!$V:$V, 'Fund Investment Data'!$C:$C = $C1900, 'Fund Investment Data'!$A:$A = $A1"&amp;"900, 'Fund Investment Data'!$B:$B &lt;= $B1900)),0)"),0.0)</f>
        <v>0</v>
      </c>
      <c r="T1900" s="32"/>
      <c r="U1900" s="32"/>
      <c r="V1900" s="32">
        <f>IFERROR(__xludf.DUMMYFUNCTION("$D1900 - IFERROR(FILTER($D:$D,$C:$C = $C1900, $A:$A = $A1900, $B:$B = $B1900 - 1),0)"),0.0)</f>
        <v>0</v>
      </c>
      <c r="W1900" s="93">
        <f>IFERROR(__xludf.DUMMYFUNCTION("$E1900 - IFERROR(FILTER($E:$E,$C:$C = $C1900, $A:$A = $A1900, $B:$B = $B1900 - 1),0)"),0.0)</f>
        <v>0</v>
      </c>
      <c r="X1900" s="91">
        <f>IFERROR(__xludf.DUMMYFUNCTION("iFERROR((FILTER('Fund Investment Data'!$Z:$Z, 'Fund Investment Data'!$C:$C = $C1900, 'Fund Investment Data'!$A:$A = $A1900 - 1, 'Fund Investment Data'!$B:$B = 12) + FILTER('Fund Investment Data'!$AB:$AB, 'Fund Investment Data'!$C:$C = $C1900, 'Fund Invest"&amp;"ment Data'!$A:$A = $A1900 - 1, 'Fund Investment Data'!$B:$B = 12)) * (1 + AVERAGE(FILTER('Inflation Data'!$C:$C,'Inflation Data'!$A:$A = ($A1900 - 2)))) * Parameters!$A$4,0)"),0.0)</f>
        <v>0</v>
      </c>
      <c r="Y1900" s="91">
        <f>IFERROR(__xludf.DUMMYFUNCTION("IFERROR((IFERROR(FILTER('Fund Investment Data'!$P:$P,'Fund Investment Data'!$C:$C = $C1900,'Fund Investment Data'!$A:$A = ($A1900 - 2), 'Fund Investment Data'!$B:$B = 12),0) - SUM(FILTER('Fund Investment Data'!$V:$V, 'Fund Investment Data'!$C:$C = $C1900,"&amp;" 'Fund Investment Data'!$A:$A = ($A1900 - 2), 'Fund Investment Data'!$B:$B &gt; 3)))  * Parameters!$B$4 * (1 - Parameters!$A$4),0)"),0.0)</f>
        <v>0</v>
      </c>
      <c r="Z1900" s="91">
        <f t="shared" si="24"/>
        <v>0</v>
      </c>
      <c r="AA1900" s="91">
        <f>IFERROR(__xludf.DUMMYFUNCTION("((IFERROR((SUM(FILTER('Fund Investment Data'!$V:$V, 'Fund Investment Data'!$C:$C = $C1900, 'Fund Investment Data'!$A:$A = $A1900 - 1, 'Fund Investment Data'!$B:$B &gt;= 4, 'Fund Investment Data'!$B:$B &lt;= ($B1900 + 5))) / 12) * ($B1900 - 3) * Parameters!$B$4,"&amp;" 0) + IF($B1900 &gt;= 9, IFERROR(SUM(FILTER('Fund Investment Data'!$V:$V, 'Fund Investment Data'!$C:$C = $C1900, 'Fund Investment Data'!$A:$A = $A1900, 'Fund Investment Data'!$B:$B &lt;= 3)) * Parameters!$B$4, 0),0)))"),0.0)</f>
        <v>0</v>
      </c>
      <c r="AB1900" s="32">
        <f>IFERROR(__xludf.DUMMYFUNCTION("IFERROR(((IFERROR(SUM(FILTER('Fund Investment Data'!$V:$V, 'Fund Investment Data'!$C:$C = $C1900, 'Fund Investment Data'!$A:$A = $A1900 - 2, 'Fund Investment Data'!$B:$B &gt;= 4)) * Parameters!$B$4,0) + IFERROR(SUM(FILTER('Fund Investment Data'!$V:$V, 'Fund "&amp;"Investment Data'!$C:$C = $C1900, 'Fund Investment Data'!$A:$A = $A1900 - 1, 'Fund Investment Data'!$B:$B &lt;= 3)) * Parameters!$B$4,0))),0)"),0.0)</f>
        <v>0</v>
      </c>
      <c r="AC1900" s="32">
        <f>IFERROR(__xludf.DUMMYFUNCTION("IFERROR(FILTER($AF:$AF,$C:$C = $C1900,$A:$A = $A1900 - 1,$B:$B = 12),0)"),0.0)</f>
        <v>0</v>
      </c>
      <c r="AD1900" s="32">
        <f t="shared" si="23"/>
        <v>0</v>
      </c>
      <c r="AE1900" s="32">
        <f t="shared" si="2"/>
        <v>0</v>
      </c>
      <c r="AF1900" s="32"/>
    </row>
    <row r="1901">
      <c r="A1901" s="86"/>
      <c r="B1901" s="87"/>
      <c r="C1901" s="88"/>
      <c r="D1901" s="104"/>
      <c r="E1901" s="104"/>
      <c r="F1901" s="104"/>
      <c r="G1901" s="104"/>
      <c r="H1901" s="104"/>
      <c r="I1901" s="104"/>
      <c r="J1901" s="104"/>
      <c r="K1901" s="32"/>
      <c r="L1901" s="32"/>
      <c r="M1901" s="32"/>
      <c r="N1901" s="32"/>
      <c r="O1901" s="106"/>
      <c r="P1901" s="91">
        <f>IFERROR(__xludf.DUMMYFUNCTION("IFERROR(sum(FILTER($D:$N,$C:$C = $C1901,$A:$A &lt; $A1901,$B:$B = 12)),0) + sum($D1901:$N1901)"),0.0)</f>
        <v>0</v>
      </c>
      <c r="Q1901" s="92">
        <f t="shared" si="1"/>
        <v>0</v>
      </c>
      <c r="R1901" s="91">
        <f t="array" ref="R1901">IFERROR(INDEX('Fund YTD Target Values'!$1:$1000, MATCH($C1901,'Fund YTD Target Values'!$A:$A,0), MATCH($A1901,'Fund YTD Target Values'!$1:$1,0)),0)</f>
        <v>0</v>
      </c>
      <c r="S1901" s="91">
        <f>IFERROR(__xludf.DUMMYFUNCTION("IFERROR(sum(FILTER('Fund Investment Data'!$V:$V, 'Fund Investment Data'!$C:$C = $C1901, 'Fund Investment Data'!$A:$A &lt; $A1901)),0) + IFERROR(sum(FILTER('Fund Investment Data'!$V:$V, 'Fund Investment Data'!$C:$C = $C1901, 'Fund Investment Data'!$A:$A = $A1"&amp;"901, 'Fund Investment Data'!$B:$B &lt;= $B1901)),0)"),0.0)</f>
        <v>0</v>
      </c>
      <c r="T1901" s="32"/>
      <c r="U1901" s="32"/>
      <c r="V1901" s="32">
        <f>IFERROR(__xludf.DUMMYFUNCTION("$D1901 - IFERROR(FILTER($D:$D,$C:$C = $C1901, $A:$A = $A1901, $B:$B = $B1901 - 1),0)"),0.0)</f>
        <v>0</v>
      </c>
      <c r="W1901" s="93">
        <f>IFERROR(__xludf.DUMMYFUNCTION("$E1901 - IFERROR(FILTER($E:$E,$C:$C = $C1901, $A:$A = $A1901, $B:$B = $B1901 - 1),0)"),0.0)</f>
        <v>0</v>
      </c>
      <c r="X1901" s="91">
        <f>IFERROR(__xludf.DUMMYFUNCTION("iFERROR((FILTER('Fund Investment Data'!$Z:$Z, 'Fund Investment Data'!$C:$C = $C1901, 'Fund Investment Data'!$A:$A = $A1901 - 1, 'Fund Investment Data'!$B:$B = 12) + FILTER('Fund Investment Data'!$AB:$AB, 'Fund Investment Data'!$C:$C = $C1901, 'Fund Invest"&amp;"ment Data'!$A:$A = $A1901 - 1, 'Fund Investment Data'!$B:$B = 12)) * (1 + AVERAGE(FILTER('Inflation Data'!$C:$C,'Inflation Data'!$A:$A = ($A1901 - 2)))) * Parameters!$A$4,0)"),0.0)</f>
        <v>0</v>
      </c>
      <c r="Y1901" s="91">
        <f>IFERROR(__xludf.DUMMYFUNCTION("IFERROR((IFERROR(FILTER('Fund Investment Data'!$P:$P,'Fund Investment Data'!$C:$C = $C1901,'Fund Investment Data'!$A:$A = ($A1901 - 2), 'Fund Investment Data'!$B:$B = 12),0) - SUM(FILTER('Fund Investment Data'!$V:$V, 'Fund Investment Data'!$C:$C = $C1901,"&amp;" 'Fund Investment Data'!$A:$A = ($A1901 - 2), 'Fund Investment Data'!$B:$B &gt; 3)))  * Parameters!$B$4 * (1 - Parameters!$A$4),0)"),0.0)</f>
        <v>0</v>
      </c>
      <c r="Z1901" s="91">
        <f t="shared" si="24"/>
        <v>0</v>
      </c>
      <c r="AA1901" s="91">
        <f>IFERROR(__xludf.DUMMYFUNCTION("((IFERROR((SUM(FILTER('Fund Investment Data'!$V:$V, 'Fund Investment Data'!$C:$C = $C1901, 'Fund Investment Data'!$A:$A = $A1901 - 1, 'Fund Investment Data'!$B:$B &gt;= 4, 'Fund Investment Data'!$B:$B &lt;= ($B1901 + 5))) / 12) * ($B1901 - 3) * Parameters!$B$4,"&amp;" 0) + IF($B1901 &gt;= 9, IFERROR(SUM(FILTER('Fund Investment Data'!$V:$V, 'Fund Investment Data'!$C:$C = $C1901, 'Fund Investment Data'!$A:$A = $A1901, 'Fund Investment Data'!$B:$B &lt;= 3)) * Parameters!$B$4, 0),0)))"),0.0)</f>
        <v>0</v>
      </c>
      <c r="AB1901" s="32">
        <f>IFERROR(__xludf.DUMMYFUNCTION("IFERROR(((IFERROR(SUM(FILTER('Fund Investment Data'!$V:$V, 'Fund Investment Data'!$C:$C = $C1901, 'Fund Investment Data'!$A:$A = $A1901 - 2, 'Fund Investment Data'!$B:$B &gt;= 4)) * Parameters!$B$4,0) + IFERROR(SUM(FILTER('Fund Investment Data'!$V:$V, 'Fund "&amp;"Investment Data'!$C:$C = $C1901, 'Fund Investment Data'!$A:$A = $A1901 - 1, 'Fund Investment Data'!$B:$B &lt;= 3)) * Parameters!$B$4,0))),0)"),0.0)</f>
        <v>0</v>
      </c>
      <c r="AC1901" s="32">
        <f>IFERROR(__xludf.DUMMYFUNCTION("IFERROR(FILTER($AF:$AF,$C:$C = $C1901,$A:$A = $A1901 - 1,$B:$B = 12),0)"),0.0)</f>
        <v>0</v>
      </c>
      <c r="AD1901" s="32">
        <f t="shared" si="23"/>
        <v>0</v>
      </c>
      <c r="AE1901" s="32">
        <f t="shared" si="2"/>
        <v>0</v>
      </c>
      <c r="AF1901" s="32"/>
    </row>
    <row r="1902">
      <c r="A1902" s="86"/>
      <c r="B1902" s="87"/>
      <c r="C1902" s="88"/>
      <c r="D1902" s="104"/>
      <c r="E1902" s="104"/>
      <c r="F1902" s="104"/>
      <c r="G1902" s="104"/>
      <c r="H1902" s="104"/>
      <c r="I1902" s="104"/>
      <c r="J1902" s="104"/>
      <c r="K1902" s="32"/>
      <c r="L1902" s="32"/>
      <c r="M1902" s="32"/>
      <c r="N1902" s="32"/>
      <c r="O1902" s="106"/>
      <c r="P1902" s="91">
        <f>IFERROR(__xludf.DUMMYFUNCTION("IFERROR(sum(FILTER($D:$N,$C:$C = $C1902,$A:$A &lt; $A1902,$B:$B = 12)),0) + sum($D1902:$N1902)"),0.0)</f>
        <v>0</v>
      </c>
      <c r="Q1902" s="92">
        <f t="shared" si="1"/>
        <v>0</v>
      </c>
      <c r="R1902" s="91">
        <f t="array" ref="R1902">IFERROR(INDEX('Fund YTD Target Values'!$1:$1000, MATCH($C1902,'Fund YTD Target Values'!$A:$A,0), MATCH($A1902,'Fund YTD Target Values'!$1:$1,0)),0)</f>
        <v>0</v>
      </c>
      <c r="S1902" s="91">
        <f>IFERROR(__xludf.DUMMYFUNCTION("IFERROR(sum(FILTER('Fund Investment Data'!$V:$V, 'Fund Investment Data'!$C:$C = $C1902, 'Fund Investment Data'!$A:$A &lt; $A1902)),0) + IFERROR(sum(FILTER('Fund Investment Data'!$V:$V, 'Fund Investment Data'!$C:$C = $C1902, 'Fund Investment Data'!$A:$A = $A1"&amp;"902, 'Fund Investment Data'!$B:$B &lt;= $B1902)),0)"),0.0)</f>
        <v>0</v>
      </c>
      <c r="T1902" s="32"/>
      <c r="U1902" s="32"/>
      <c r="V1902" s="32">
        <f>IFERROR(__xludf.DUMMYFUNCTION("$D1902 - IFERROR(FILTER($D:$D,$C:$C = $C1902, $A:$A = $A1902, $B:$B = $B1902 - 1),0)"),0.0)</f>
        <v>0</v>
      </c>
      <c r="W1902" s="93">
        <f>IFERROR(__xludf.DUMMYFUNCTION("$E1902 - IFERROR(FILTER($E:$E,$C:$C = $C1902, $A:$A = $A1902, $B:$B = $B1902 - 1),0)"),0.0)</f>
        <v>0</v>
      </c>
      <c r="X1902" s="91">
        <f>IFERROR(__xludf.DUMMYFUNCTION("iFERROR((FILTER('Fund Investment Data'!$Z:$Z, 'Fund Investment Data'!$C:$C = $C1902, 'Fund Investment Data'!$A:$A = $A1902 - 1, 'Fund Investment Data'!$B:$B = 12) + FILTER('Fund Investment Data'!$AB:$AB, 'Fund Investment Data'!$C:$C = $C1902, 'Fund Invest"&amp;"ment Data'!$A:$A = $A1902 - 1, 'Fund Investment Data'!$B:$B = 12)) * (1 + AVERAGE(FILTER('Inflation Data'!$C:$C,'Inflation Data'!$A:$A = ($A1902 - 2)))) * Parameters!$A$4,0)"),0.0)</f>
        <v>0</v>
      </c>
      <c r="Y1902" s="91">
        <f>IFERROR(__xludf.DUMMYFUNCTION("IFERROR((IFERROR(FILTER('Fund Investment Data'!$P:$P,'Fund Investment Data'!$C:$C = $C1902,'Fund Investment Data'!$A:$A = ($A1902 - 2), 'Fund Investment Data'!$B:$B = 12),0) - SUM(FILTER('Fund Investment Data'!$V:$V, 'Fund Investment Data'!$C:$C = $C1902,"&amp;" 'Fund Investment Data'!$A:$A = ($A1902 - 2), 'Fund Investment Data'!$B:$B &gt; 3)))  * Parameters!$B$4 * (1 - Parameters!$A$4),0)"),0.0)</f>
        <v>0</v>
      </c>
      <c r="Z1902" s="91">
        <f t="shared" si="24"/>
        <v>0</v>
      </c>
      <c r="AA1902" s="91">
        <f>IFERROR(__xludf.DUMMYFUNCTION("((IFERROR((SUM(FILTER('Fund Investment Data'!$V:$V, 'Fund Investment Data'!$C:$C = $C1902, 'Fund Investment Data'!$A:$A = $A1902 - 1, 'Fund Investment Data'!$B:$B &gt;= 4, 'Fund Investment Data'!$B:$B &lt;= ($B1902 + 5))) / 12) * ($B1902 - 3) * Parameters!$B$4,"&amp;" 0) + IF($B1902 &gt;= 9, IFERROR(SUM(FILTER('Fund Investment Data'!$V:$V, 'Fund Investment Data'!$C:$C = $C1902, 'Fund Investment Data'!$A:$A = $A1902, 'Fund Investment Data'!$B:$B &lt;= 3)) * Parameters!$B$4, 0),0)))"),0.0)</f>
        <v>0</v>
      </c>
      <c r="AB1902" s="32">
        <f>IFERROR(__xludf.DUMMYFUNCTION("IFERROR(((IFERROR(SUM(FILTER('Fund Investment Data'!$V:$V, 'Fund Investment Data'!$C:$C = $C1902, 'Fund Investment Data'!$A:$A = $A1902 - 2, 'Fund Investment Data'!$B:$B &gt;= 4)) * Parameters!$B$4,0) + IFERROR(SUM(FILTER('Fund Investment Data'!$V:$V, 'Fund "&amp;"Investment Data'!$C:$C = $C1902, 'Fund Investment Data'!$A:$A = $A1902 - 1, 'Fund Investment Data'!$B:$B &lt;= 3)) * Parameters!$B$4,0))),0)"),0.0)</f>
        <v>0</v>
      </c>
      <c r="AC1902" s="32">
        <f>IFERROR(__xludf.DUMMYFUNCTION("IFERROR(FILTER($AF:$AF,$C:$C = $C1902,$A:$A = $A1902 - 1,$B:$B = 12),0)"),0.0)</f>
        <v>0</v>
      </c>
      <c r="AD1902" s="32">
        <f t="shared" si="23"/>
        <v>0</v>
      </c>
      <c r="AE1902" s="32">
        <f t="shared" si="2"/>
        <v>0</v>
      </c>
      <c r="AF1902" s="32"/>
    </row>
    <row r="1903">
      <c r="A1903" s="86"/>
      <c r="B1903" s="87"/>
      <c r="C1903" s="88"/>
      <c r="D1903" s="104"/>
      <c r="E1903" s="104"/>
      <c r="F1903" s="104"/>
      <c r="G1903" s="104"/>
      <c r="H1903" s="104"/>
      <c r="I1903" s="104"/>
      <c r="J1903" s="104"/>
      <c r="K1903" s="32"/>
      <c r="L1903" s="32"/>
      <c r="M1903" s="32"/>
      <c r="N1903" s="32"/>
      <c r="O1903" s="106"/>
      <c r="P1903" s="91">
        <f>IFERROR(__xludf.DUMMYFUNCTION("IFERROR(sum(FILTER($D:$N,$C:$C = $C1903,$A:$A &lt; $A1903,$B:$B = 12)),0) + sum($D1903:$N1903)"),0.0)</f>
        <v>0</v>
      </c>
      <c r="Q1903" s="92">
        <f t="shared" si="1"/>
        <v>0</v>
      </c>
      <c r="R1903" s="91">
        <f t="array" ref="R1903">IFERROR(INDEX('Fund YTD Target Values'!$1:$1000, MATCH($C1903,'Fund YTD Target Values'!$A:$A,0), MATCH($A1903,'Fund YTD Target Values'!$1:$1,0)),0)</f>
        <v>0</v>
      </c>
      <c r="S1903" s="91">
        <f>IFERROR(__xludf.DUMMYFUNCTION("IFERROR(sum(FILTER('Fund Investment Data'!$V:$V, 'Fund Investment Data'!$C:$C = $C1903, 'Fund Investment Data'!$A:$A &lt; $A1903)),0) + IFERROR(sum(FILTER('Fund Investment Data'!$V:$V, 'Fund Investment Data'!$C:$C = $C1903, 'Fund Investment Data'!$A:$A = $A1"&amp;"903, 'Fund Investment Data'!$B:$B &lt;= $B1903)),0)"),0.0)</f>
        <v>0</v>
      </c>
      <c r="T1903" s="32"/>
      <c r="U1903" s="32"/>
      <c r="V1903" s="32">
        <f>IFERROR(__xludf.DUMMYFUNCTION("$D1903 - IFERROR(FILTER($D:$D,$C:$C = $C1903, $A:$A = $A1903, $B:$B = $B1903 - 1),0)"),0.0)</f>
        <v>0</v>
      </c>
      <c r="W1903" s="93">
        <f>IFERROR(__xludf.DUMMYFUNCTION("$E1903 - IFERROR(FILTER($E:$E,$C:$C = $C1903, $A:$A = $A1903, $B:$B = $B1903 - 1),0)"),0.0)</f>
        <v>0</v>
      </c>
      <c r="X1903" s="91">
        <f>IFERROR(__xludf.DUMMYFUNCTION("iFERROR((FILTER('Fund Investment Data'!$Z:$Z, 'Fund Investment Data'!$C:$C = $C1903, 'Fund Investment Data'!$A:$A = $A1903 - 1, 'Fund Investment Data'!$B:$B = 12) + FILTER('Fund Investment Data'!$AB:$AB, 'Fund Investment Data'!$C:$C = $C1903, 'Fund Invest"&amp;"ment Data'!$A:$A = $A1903 - 1, 'Fund Investment Data'!$B:$B = 12)) * (1 + AVERAGE(FILTER('Inflation Data'!$C:$C,'Inflation Data'!$A:$A = ($A1903 - 2)))) * Parameters!$A$4,0)"),0.0)</f>
        <v>0</v>
      </c>
      <c r="Y1903" s="91">
        <f>IFERROR(__xludf.DUMMYFUNCTION("IFERROR((IFERROR(FILTER('Fund Investment Data'!$P:$P,'Fund Investment Data'!$C:$C = $C1903,'Fund Investment Data'!$A:$A = ($A1903 - 2), 'Fund Investment Data'!$B:$B = 12),0) - SUM(FILTER('Fund Investment Data'!$V:$V, 'Fund Investment Data'!$C:$C = $C1903,"&amp;" 'Fund Investment Data'!$A:$A = ($A1903 - 2), 'Fund Investment Data'!$B:$B &gt; 3)))  * Parameters!$B$4 * (1 - Parameters!$A$4),0)"),0.0)</f>
        <v>0</v>
      </c>
      <c r="Z1903" s="91">
        <f t="shared" si="24"/>
        <v>0</v>
      </c>
      <c r="AA1903" s="91">
        <f>IFERROR(__xludf.DUMMYFUNCTION("((IFERROR((SUM(FILTER('Fund Investment Data'!$V:$V, 'Fund Investment Data'!$C:$C = $C1903, 'Fund Investment Data'!$A:$A = $A1903 - 1, 'Fund Investment Data'!$B:$B &gt;= 4, 'Fund Investment Data'!$B:$B &lt;= ($B1903 + 5))) / 12) * ($B1903 - 3) * Parameters!$B$4,"&amp;" 0) + IF($B1903 &gt;= 9, IFERROR(SUM(FILTER('Fund Investment Data'!$V:$V, 'Fund Investment Data'!$C:$C = $C1903, 'Fund Investment Data'!$A:$A = $A1903, 'Fund Investment Data'!$B:$B &lt;= 3)) * Parameters!$B$4, 0),0)))"),0.0)</f>
        <v>0</v>
      </c>
      <c r="AB1903" s="32">
        <f>IFERROR(__xludf.DUMMYFUNCTION("IFERROR(((IFERROR(SUM(FILTER('Fund Investment Data'!$V:$V, 'Fund Investment Data'!$C:$C = $C1903, 'Fund Investment Data'!$A:$A = $A1903 - 2, 'Fund Investment Data'!$B:$B &gt;= 4)) * Parameters!$B$4,0) + IFERROR(SUM(FILTER('Fund Investment Data'!$V:$V, 'Fund "&amp;"Investment Data'!$C:$C = $C1903, 'Fund Investment Data'!$A:$A = $A1903 - 1, 'Fund Investment Data'!$B:$B &lt;= 3)) * Parameters!$B$4,0))),0)"),0.0)</f>
        <v>0</v>
      </c>
      <c r="AC1903" s="32">
        <f>IFERROR(__xludf.DUMMYFUNCTION("IFERROR(FILTER($AF:$AF,$C:$C = $C1903,$A:$A = $A1903 - 1,$B:$B = 12),0)"),0.0)</f>
        <v>0</v>
      </c>
      <c r="AD1903" s="32">
        <f t="shared" si="23"/>
        <v>0</v>
      </c>
      <c r="AE1903" s="32">
        <f t="shared" si="2"/>
        <v>0</v>
      </c>
      <c r="AF1903" s="32"/>
    </row>
    <row r="1904">
      <c r="A1904" s="86"/>
      <c r="B1904" s="87"/>
      <c r="C1904" s="88"/>
      <c r="D1904" s="104"/>
      <c r="E1904" s="104"/>
      <c r="F1904" s="104"/>
      <c r="G1904" s="104"/>
      <c r="H1904" s="104"/>
      <c r="I1904" s="104"/>
      <c r="J1904" s="104"/>
      <c r="K1904" s="32"/>
      <c r="L1904" s="32"/>
      <c r="M1904" s="32"/>
      <c r="N1904" s="32"/>
      <c r="O1904" s="106"/>
      <c r="P1904" s="91">
        <f>IFERROR(__xludf.DUMMYFUNCTION("IFERROR(sum(FILTER($D:$N,$C:$C = $C1904,$A:$A &lt; $A1904,$B:$B = 12)),0) + sum($D1904:$N1904)"),0.0)</f>
        <v>0</v>
      </c>
      <c r="Q1904" s="92">
        <f t="shared" si="1"/>
        <v>0</v>
      </c>
      <c r="R1904" s="91">
        <f t="array" ref="R1904">IFERROR(INDEX('Fund YTD Target Values'!$1:$1000, MATCH($C1904,'Fund YTD Target Values'!$A:$A,0), MATCH($A1904,'Fund YTD Target Values'!$1:$1,0)),0)</f>
        <v>0</v>
      </c>
      <c r="S1904" s="91">
        <f>IFERROR(__xludf.DUMMYFUNCTION("IFERROR(sum(FILTER('Fund Investment Data'!$V:$V, 'Fund Investment Data'!$C:$C = $C1904, 'Fund Investment Data'!$A:$A &lt; $A1904)),0) + IFERROR(sum(FILTER('Fund Investment Data'!$V:$V, 'Fund Investment Data'!$C:$C = $C1904, 'Fund Investment Data'!$A:$A = $A1"&amp;"904, 'Fund Investment Data'!$B:$B &lt;= $B1904)),0)"),0.0)</f>
        <v>0</v>
      </c>
      <c r="T1904" s="32"/>
      <c r="U1904" s="32"/>
      <c r="V1904" s="32">
        <f>IFERROR(__xludf.DUMMYFUNCTION("$D1904 - IFERROR(FILTER($D:$D,$C:$C = $C1904, $A:$A = $A1904, $B:$B = $B1904 - 1),0)"),0.0)</f>
        <v>0</v>
      </c>
      <c r="W1904" s="93">
        <f>IFERROR(__xludf.DUMMYFUNCTION("$E1904 - IFERROR(FILTER($E:$E,$C:$C = $C1904, $A:$A = $A1904, $B:$B = $B1904 - 1),0)"),0.0)</f>
        <v>0</v>
      </c>
      <c r="X1904" s="91">
        <f>IFERROR(__xludf.DUMMYFUNCTION("iFERROR((FILTER('Fund Investment Data'!$Z:$Z, 'Fund Investment Data'!$C:$C = $C1904, 'Fund Investment Data'!$A:$A = $A1904 - 1, 'Fund Investment Data'!$B:$B = 12) + FILTER('Fund Investment Data'!$AB:$AB, 'Fund Investment Data'!$C:$C = $C1904, 'Fund Invest"&amp;"ment Data'!$A:$A = $A1904 - 1, 'Fund Investment Data'!$B:$B = 12)) * (1 + AVERAGE(FILTER('Inflation Data'!$C:$C,'Inflation Data'!$A:$A = ($A1904 - 2)))) * Parameters!$A$4,0)"),0.0)</f>
        <v>0</v>
      </c>
      <c r="Y1904" s="91">
        <f>IFERROR(__xludf.DUMMYFUNCTION("IFERROR((IFERROR(FILTER('Fund Investment Data'!$P:$P,'Fund Investment Data'!$C:$C = $C1904,'Fund Investment Data'!$A:$A = ($A1904 - 2), 'Fund Investment Data'!$B:$B = 12),0) - SUM(FILTER('Fund Investment Data'!$V:$V, 'Fund Investment Data'!$C:$C = $C1904,"&amp;" 'Fund Investment Data'!$A:$A = ($A1904 - 2), 'Fund Investment Data'!$B:$B &gt; 3)))  * Parameters!$B$4 * (1 - Parameters!$A$4),0)"),0.0)</f>
        <v>0</v>
      </c>
      <c r="Z1904" s="91">
        <f t="shared" si="24"/>
        <v>0</v>
      </c>
      <c r="AA1904" s="91">
        <f>IFERROR(__xludf.DUMMYFUNCTION("((IFERROR((SUM(FILTER('Fund Investment Data'!$V:$V, 'Fund Investment Data'!$C:$C = $C1904, 'Fund Investment Data'!$A:$A = $A1904 - 1, 'Fund Investment Data'!$B:$B &gt;= 4, 'Fund Investment Data'!$B:$B &lt;= ($B1904 + 5))) / 12) * ($B1904 - 3) * Parameters!$B$4,"&amp;" 0) + IF($B1904 &gt;= 9, IFERROR(SUM(FILTER('Fund Investment Data'!$V:$V, 'Fund Investment Data'!$C:$C = $C1904, 'Fund Investment Data'!$A:$A = $A1904, 'Fund Investment Data'!$B:$B &lt;= 3)) * Parameters!$B$4, 0),0)))"),0.0)</f>
        <v>0</v>
      </c>
      <c r="AB1904" s="32">
        <f>IFERROR(__xludf.DUMMYFUNCTION("IFERROR(((IFERROR(SUM(FILTER('Fund Investment Data'!$V:$V, 'Fund Investment Data'!$C:$C = $C1904, 'Fund Investment Data'!$A:$A = $A1904 - 2, 'Fund Investment Data'!$B:$B &gt;= 4)) * Parameters!$B$4,0) + IFERROR(SUM(FILTER('Fund Investment Data'!$V:$V, 'Fund "&amp;"Investment Data'!$C:$C = $C1904, 'Fund Investment Data'!$A:$A = $A1904 - 1, 'Fund Investment Data'!$B:$B &lt;= 3)) * Parameters!$B$4,0))),0)"),0.0)</f>
        <v>0</v>
      </c>
      <c r="AC1904" s="32">
        <f>IFERROR(__xludf.DUMMYFUNCTION("IFERROR(FILTER($AF:$AF,$C:$C = $C1904,$A:$A = $A1904 - 1,$B:$B = 12),0)"),0.0)</f>
        <v>0</v>
      </c>
      <c r="AD1904" s="32">
        <f t="shared" si="23"/>
        <v>0</v>
      </c>
      <c r="AE1904" s="32">
        <f t="shared" si="2"/>
        <v>0</v>
      </c>
      <c r="AF1904" s="32"/>
    </row>
    <row r="1905">
      <c r="A1905" s="86"/>
      <c r="B1905" s="87"/>
      <c r="C1905" s="88"/>
      <c r="D1905" s="104"/>
      <c r="E1905" s="104"/>
      <c r="F1905" s="104"/>
      <c r="G1905" s="104"/>
      <c r="H1905" s="104"/>
      <c r="I1905" s="104"/>
      <c r="J1905" s="104"/>
      <c r="K1905" s="32"/>
      <c r="L1905" s="32"/>
      <c r="M1905" s="32"/>
      <c r="N1905" s="32"/>
      <c r="O1905" s="106"/>
      <c r="P1905" s="91">
        <f>IFERROR(__xludf.DUMMYFUNCTION("IFERROR(sum(FILTER($D:$N,$C:$C = $C1905,$A:$A &lt; $A1905,$B:$B = 12)),0) + sum($D1905:$N1905)"),0.0)</f>
        <v>0</v>
      </c>
      <c r="Q1905" s="92">
        <f t="shared" si="1"/>
        <v>0</v>
      </c>
      <c r="R1905" s="91">
        <f t="array" ref="R1905">IFERROR(INDEX('Fund YTD Target Values'!$1:$1000, MATCH($C1905,'Fund YTD Target Values'!$A:$A,0), MATCH($A1905,'Fund YTD Target Values'!$1:$1,0)),0)</f>
        <v>0</v>
      </c>
      <c r="S1905" s="91">
        <f>IFERROR(__xludf.DUMMYFUNCTION("IFERROR(sum(FILTER('Fund Investment Data'!$V:$V, 'Fund Investment Data'!$C:$C = $C1905, 'Fund Investment Data'!$A:$A &lt; $A1905)),0) + IFERROR(sum(FILTER('Fund Investment Data'!$V:$V, 'Fund Investment Data'!$C:$C = $C1905, 'Fund Investment Data'!$A:$A = $A1"&amp;"905, 'Fund Investment Data'!$B:$B &lt;= $B1905)),0)"),0.0)</f>
        <v>0</v>
      </c>
      <c r="T1905" s="32"/>
      <c r="U1905" s="32"/>
      <c r="V1905" s="32">
        <f>IFERROR(__xludf.DUMMYFUNCTION("$D1905 - IFERROR(FILTER($D:$D,$C:$C = $C1905, $A:$A = $A1905, $B:$B = $B1905 - 1),0)"),0.0)</f>
        <v>0</v>
      </c>
      <c r="W1905" s="93">
        <f>IFERROR(__xludf.DUMMYFUNCTION("$E1905 - IFERROR(FILTER($E:$E,$C:$C = $C1905, $A:$A = $A1905, $B:$B = $B1905 - 1),0)"),0.0)</f>
        <v>0</v>
      </c>
      <c r="X1905" s="91">
        <f>IFERROR(__xludf.DUMMYFUNCTION("iFERROR((FILTER('Fund Investment Data'!$Z:$Z, 'Fund Investment Data'!$C:$C = $C1905, 'Fund Investment Data'!$A:$A = $A1905 - 1, 'Fund Investment Data'!$B:$B = 12) + FILTER('Fund Investment Data'!$AB:$AB, 'Fund Investment Data'!$C:$C = $C1905, 'Fund Invest"&amp;"ment Data'!$A:$A = $A1905 - 1, 'Fund Investment Data'!$B:$B = 12)) * (1 + AVERAGE(FILTER('Inflation Data'!$C:$C,'Inflation Data'!$A:$A = ($A1905 - 2)))) * Parameters!$A$4,0)"),0.0)</f>
        <v>0</v>
      </c>
      <c r="Y1905" s="91">
        <f>IFERROR(__xludf.DUMMYFUNCTION("IFERROR((IFERROR(FILTER('Fund Investment Data'!$P:$P,'Fund Investment Data'!$C:$C = $C1905,'Fund Investment Data'!$A:$A = ($A1905 - 2), 'Fund Investment Data'!$B:$B = 12),0) - SUM(FILTER('Fund Investment Data'!$V:$V, 'Fund Investment Data'!$C:$C = $C1905,"&amp;" 'Fund Investment Data'!$A:$A = ($A1905 - 2), 'Fund Investment Data'!$B:$B &gt; 3)))  * Parameters!$B$4 * (1 - Parameters!$A$4),0)"),0.0)</f>
        <v>0</v>
      </c>
      <c r="Z1905" s="91">
        <f t="shared" si="24"/>
        <v>0</v>
      </c>
      <c r="AA1905" s="91">
        <f>IFERROR(__xludf.DUMMYFUNCTION("((IFERROR((SUM(FILTER('Fund Investment Data'!$V:$V, 'Fund Investment Data'!$C:$C = $C1905, 'Fund Investment Data'!$A:$A = $A1905 - 1, 'Fund Investment Data'!$B:$B &gt;= 4, 'Fund Investment Data'!$B:$B &lt;= ($B1905 + 5))) / 12) * ($B1905 - 3) * Parameters!$B$4,"&amp;" 0) + IF($B1905 &gt;= 9, IFERROR(SUM(FILTER('Fund Investment Data'!$V:$V, 'Fund Investment Data'!$C:$C = $C1905, 'Fund Investment Data'!$A:$A = $A1905, 'Fund Investment Data'!$B:$B &lt;= 3)) * Parameters!$B$4, 0),0)))"),0.0)</f>
        <v>0</v>
      </c>
      <c r="AB1905" s="32">
        <f>IFERROR(__xludf.DUMMYFUNCTION("IFERROR(((IFERROR(SUM(FILTER('Fund Investment Data'!$V:$V, 'Fund Investment Data'!$C:$C = $C1905, 'Fund Investment Data'!$A:$A = $A1905 - 2, 'Fund Investment Data'!$B:$B &gt;= 4)) * Parameters!$B$4,0) + IFERROR(SUM(FILTER('Fund Investment Data'!$V:$V, 'Fund "&amp;"Investment Data'!$C:$C = $C1905, 'Fund Investment Data'!$A:$A = $A1905 - 1, 'Fund Investment Data'!$B:$B &lt;= 3)) * Parameters!$B$4,0))),0)"),0.0)</f>
        <v>0</v>
      </c>
      <c r="AC1905" s="32">
        <f>IFERROR(__xludf.DUMMYFUNCTION("IFERROR(FILTER($AF:$AF,$C:$C = $C1905,$A:$A = $A1905 - 1,$B:$B = 12),0)"),0.0)</f>
        <v>0</v>
      </c>
      <c r="AD1905" s="32">
        <f t="shared" si="23"/>
        <v>0</v>
      </c>
      <c r="AE1905" s="32">
        <f t="shared" si="2"/>
        <v>0</v>
      </c>
      <c r="AF1905" s="32"/>
    </row>
    <row r="1906">
      <c r="A1906" s="86"/>
      <c r="B1906" s="87"/>
      <c r="C1906" s="88"/>
      <c r="D1906" s="104"/>
      <c r="E1906" s="104"/>
      <c r="F1906" s="104"/>
      <c r="G1906" s="104"/>
      <c r="H1906" s="104"/>
      <c r="I1906" s="104"/>
      <c r="J1906" s="104"/>
      <c r="K1906" s="32"/>
      <c r="L1906" s="32"/>
      <c r="M1906" s="32"/>
      <c r="N1906" s="32"/>
      <c r="O1906" s="106"/>
      <c r="P1906" s="91">
        <f>IFERROR(__xludf.DUMMYFUNCTION("IFERROR(sum(FILTER($D:$N,$C:$C = $C1906,$A:$A &lt; $A1906,$B:$B = 12)),0) + sum($D1906:$N1906)"),0.0)</f>
        <v>0</v>
      </c>
      <c r="Q1906" s="92">
        <f t="shared" si="1"/>
        <v>0</v>
      </c>
      <c r="R1906" s="91">
        <f t="array" ref="R1906">IFERROR(INDEX('Fund YTD Target Values'!$1:$1000, MATCH($C1906,'Fund YTD Target Values'!$A:$A,0), MATCH($A1906,'Fund YTD Target Values'!$1:$1,0)),0)</f>
        <v>0</v>
      </c>
      <c r="S1906" s="91">
        <f>IFERROR(__xludf.DUMMYFUNCTION("IFERROR(sum(FILTER('Fund Investment Data'!$V:$V, 'Fund Investment Data'!$C:$C = $C1906, 'Fund Investment Data'!$A:$A &lt; $A1906)),0) + IFERROR(sum(FILTER('Fund Investment Data'!$V:$V, 'Fund Investment Data'!$C:$C = $C1906, 'Fund Investment Data'!$A:$A = $A1"&amp;"906, 'Fund Investment Data'!$B:$B &lt;= $B1906)),0)"),0.0)</f>
        <v>0</v>
      </c>
      <c r="T1906" s="32"/>
      <c r="U1906" s="32"/>
      <c r="V1906" s="32">
        <f>IFERROR(__xludf.DUMMYFUNCTION("$D1906 - IFERROR(FILTER($D:$D,$C:$C = $C1906, $A:$A = $A1906, $B:$B = $B1906 - 1),0)"),0.0)</f>
        <v>0</v>
      </c>
      <c r="W1906" s="93">
        <f>IFERROR(__xludf.DUMMYFUNCTION("$E1906 - IFERROR(FILTER($E:$E,$C:$C = $C1906, $A:$A = $A1906, $B:$B = $B1906 - 1),0)"),0.0)</f>
        <v>0</v>
      </c>
      <c r="X1906" s="91">
        <f>IFERROR(__xludf.DUMMYFUNCTION("iFERROR((FILTER('Fund Investment Data'!$Z:$Z, 'Fund Investment Data'!$C:$C = $C1906, 'Fund Investment Data'!$A:$A = $A1906 - 1, 'Fund Investment Data'!$B:$B = 12) + FILTER('Fund Investment Data'!$AB:$AB, 'Fund Investment Data'!$C:$C = $C1906, 'Fund Invest"&amp;"ment Data'!$A:$A = $A1906 - 1, 'Fund Investment Data'!$B:$B = 12)) * (1 + AVERAGE(FILTER('Inflation Data'!$C:$C,'Inflation Data'!$A:$A = ($A1906 - 2)))) * Parameters!$A$4,0)"),0.0)</f>
        <v>0</v>
      </c>
      <c r="Y1906" s="91">
        <f>IFERROR(__xludf.DUMMYFUNCTION("IFERROR((IFERROR(FILTER('Fund Investment Data'!$P:$P,'Fund Investment Data'!$C:$C = $C1906,'Fund Investment Data'!$A:$A = ($A1906 - 2), 'Fund Investment Data'!$B:$B = 12),0) - SUM(FILTER('Fund Investment Data'!$V:$V, 'Fund Investment Data'!$C:$C = $C1906,"&amp;" 'Fund Investment Data'!$A:$A = ($A1906 - 2), 'Fund Investment Data'!$B:$B &gt; 3)))  * Parameters!$B$4 * (1 - Parameters!$A$4),0)"),0.0)</f>
        <v>0</v>
      </c>
      <c r="Z1906" s="91">
        <f t="shared" si="24"/>
        <v>0</v>
      </c>
      <c r="AA1906" s="91">
        <f>IFERROR(__xludf.DUMMYFUNCTION("((IFERROR((SUM(FILTER('Fund Investment Data'!$V:$V, 'Fund Investment Data'!$C:$C = $C1906, 'Fund Investment Data'!$A:$A = $A1906 - 1, 'Fund Investment Data'!$B:$B &gt;= 4, 'Fund Investment Data'!$B:$B &lt;= ($B1906 + 5))) / 12) * ($B1906 - 3) * Parameters!$B$4,"&amp;" 0) + IF($B1906 &gt;= 9, IFERROR(SUM(FILTER('Fund Investment Data'!$V:$V, 'Fund Investment Data'!$C:$C = $C1906, 'Fund Investment Data'!$A:$A = $A1906, 'Fund Investment Data'!$B:$B &lt;= 3)) * Parameters!$B$4, 0),0)))"),0.0)</f>
        <v>0</v>
      </c>
      <c r="AB1906" s="32">
        <f>IFERROR(__xludf.DUMMYFUNCTION("IFERROR(((IFERROR(SUM(FILTER('Fund Investment Data'!$V:$V, 'Fund Investment Data'!$C:$C = $C1906, 'Fund Investment Data'!$A:$A = $A1906 - 2, 'Fund Investment Data'!$B:$B &gt;= 4)) * Parameters!$B$4,0) + IFERROR(SUM(FILTER('Fund Investment Data'!$V:$V, 'Fund "&amp;"Investment Data'!$C:$C = $C1906, 'Fund Investment Data'!$A:$A = $A1906 - 1, 'Fund Investment Data'!$B:$B &lt;= 3)) * Parameters!$B$4,0))),0)"),0.0)</f>
        <v>0</v>
      </c>
      <c r="AC1906" s="32">
        <f>IFERROR(__xludf.DUMMYFUNCTION("IFERROR(FILTER($AF:$AF,$C:$C = $C1906,$A:$A = $A1906 - 1,$B:$B = 12),0)"),0.0)</f>
        <v>0</v>
      </c>
      <c r="AD1906" s="32">
        <f t="shared" si="23"/>
        <v>0</v>
      </c>
      <c r="AE1906" s="32">
        <f t="shared" si="2"/>
        <v>0</v>
      </c>
      <c r="AF1906" s="32"/>
    </row>
    <row r="1907">
      <c r="A1907" s="86"/>
      <c r="B1907" s="87"/>
      <c r="C1907" s="88"/>
      <c r="D1907" s="104"/>
      <c r="E1907" s="104"/>
      <c r="F1907" s="104"/>
      <c r="G1907" s="104"/>
      <c r="H1907" s="104"/>
      <c r="I1907" s="104"/>
      <c r="J1907" s="104"/>
      <c r="K1907" s="32"/>
      <c r="L1907" s="32"/>
      <c r="M1907" s="32"/>
      <c r="N1907" s="32"/>
      <c r="O1907" s="106"/>
      <c r="P1907" s="91">
        <f>IFERROR(__xludf.DUMMYFUNCTION("IFERROR(sum(FILTER($D:$N,$C:$C = $C1907,$A:$A &lt; $A1907,$B:$B = 12)),0) + sum($D1907:$N1907)"),0.0)</f>
        <v>0</v>
      </c>
      <c r="Q1907" s="92">
        <f t="shared" si="1"/>
        <v>0</v>
      </c>
      <c r="R1907" s="91">
        <f t="array" ref="R1907">IFERROR(INDEX('Fund YTD Target Values'!$1:$1000, MATCH($C1907,'Fund YTD Target Values'!$A:$A,0), MATCH($A1907,'Fund YTD Target Values'!$1:$1,0)),0)</f>
        <v>0</v>
      </c>
      <c r="S1907" s="91">
        <f>IFERROR(__xludf.DUMMYFUNCTION("IFERROR(sum(FILTER('Fund Investment Data'!$V:$V, 'Fund Investment Data'!$C:$C = $C1907, 'Fund Investment Data'!$A:$A &lt; $A1907)),0) + IFERROR(sum(FILTER('Fund Investment Data'!$V:$V, 'Fund Investment Data'!$C:$C = $C1907, 'Fund Investment Data'!$A:$A = $A1"&amp;"907, 'Fund Investment Data'!$B:$B &lt;= $B1907)),0)"),0.0)</f>
        <v>0</v>
      </c>
      <c r="T1907" s="32"/>
      <c r="U1907" s="32"/>
      <c r="V1907" s="32">
        <f>IFERROR(__xludf.DUMMYFUNCTION("$D1907 - IFERROR(FILTER($D:$D,$C:$C = $C1907, $A:$A = $A1907, $B:$B = $B1907 - 1),0)"),0.0)</f>
        <v>0</v>
      </c>
      <c r="W1907" s="93">
        <f>IFERROR(__xludf.DUMMYFUNCTION("$E1907 - IFERROR(FILTER($E:$E,$C:$C = $C1907, $A:$A = $A1907, $B:$B = $B1907 - 1),0)"),0.0)</f>
        <v>0</v>
      </c>
      <c r="X1907" s="91">
        <f>IFERROR(__xludf.DUMMYFUNCTION("iFERROR((FILTER('Fund Investment Data'!$Z:$Z, 'Fund Investment Data'!$C:$C = $C1907, 'Fund Investment Data'!$A:$A = $A1907 - 1, 'Fund Investment Data'!$B:$B = 12) + FILTER('Fund Investment Data'!$AB:$AB, 'Fund Investment Data'!$C:$C = $C1907, 'Fund Invest"&amp;"ment Data'!$A:$A = $A1907 - 1, 'Fund Investment Data'!$B:$B = 12)) * (1 + AVERAGE(FILTER('Inflation Data'!$C:$C,'Inflation Data'!$A:$A = ($A1907 - 2)))) * Parameters!$A$4,0)"),0.0)</f>
        <v>0</v>
      </c>
      <c r="Y1907" s="91">
        <f>IFERROR(__xludf.DUMMYFUNCTION("IFERROR((IFERROR(FILTER('Fund Investment Data'!$P:$P,'Fund Investment Data'!$C:$C = $C1907,'Fund Investment Data'!$A:$A = ($A1907 - 2), 'Fund Investment Data'!$B:$B = 12),0) - SUM(FILTER('Fund Investment Data'!$V:$V, 'Fund Investment Data'!$C:$C = $C1907,"&amp;" 'Fund Investment Data'!$A:$A = ($A1907 - 2), 'Fund Investment Data'!$B:$B &gt; 3)))  * Parameters!$B$4 * (1 - Parameters!$A$4),0)"),0.0)</f>
        <v>0</v>
      </c>
      <c r="Z1907" s="91">
        <f t="shared" si="24"/>
        <v>0</v>
      </c>
      <c r="AA1907" s="91">
        <f>IFERROR(__xludf.DUMMYFUNCTION("((IFERROR((SUM(FILTER('Fund Investment Data'!$V:$V, 'Fund Investment Data'!$C:$C = $C1907, 'Fund Investment Data'!$A:$A = $A1907 - 1, 'Fund Investment Data'!$B:$B &gt;= 4, 'Fund Investment Data'!$B:$B &lt;= ($B1907 + 5))) / 12) * ($B1907 - 3) * Parameters!$B$4,"&amp;" 0) + IF($B1907 &gt;= 9, IFERROR(SUM(FILTER('Fund Investment Data'!$V:$V, 'Fund Investment Data'!$C:$C = $C1907, 'Fund Investment Data'!$A:$A = $A1907, 'Fund Investment Data'!$B:$B &lt;= 3)) * Parameters!$B$4, 0),0)))"),0.0)</f>
        <v>0</v>
      </c>
      <c r="AB1907" s="32">
        <f>IFERROR(__xludf.DUMMYFUNCTION("IFERROR(((IFERROR(SUM(FILTER('Fund Investment Data'!$V:$V, 'Fund Investment Data'!$C:$C = $C1907, 'Fund Investment Data'!$A:$A = $A1907 - 2, 'Fund Investment Data'!$B:$B &gt;= 4)) * Parameters!$B$4,0) + IFERROR(SUM(FILTER('Fund Investment Data'!$V:$V, 'Fund "&amp;"Investment Data'!$C:$C = $C1907, 'Fund Investment Data'!$A:$A = $A1907 - 1, 'Fund Investment Data'!$B:$B &lt;= 3)) * Parameters!$B$4,0))),0)"),0.0)</f>
        <v>0</v>
      </c>
      <c r="AC1907" s="32">
        <f>IFERROR(__xludf.DUMMYFUNCTION("IFERROR(FILTER($AF:$AF,$C:$C = $C1907,$A:$A = $A1907 - 1,$B:$B = 12),0)"),0.0)</f>
        <v>0</v>
      </c>
      <c r="AD1907" s="32">
        <f t="shared" si="23"/>
        <v>0</v>
      </c>
      <c r="AE1907" s="32">
        <f t="shared" si="2"/>
        <v>0</v>
      </c>
      <c r="AF1907" s="32"/>
    </row>
    <row r="1908">
      <c r="A1908" s="86"/>
      <c r="B1908" s="87"/>
      <c r="C1908" s="88"/>
      <c r="D1908" s="104"/>
      <c r="E1908" s="104"/>
      <c r="F1908" s="104"/>
      <c r="G1908" s="104"/>
      <c r="H1908" s="104"/>
      <c r="I1908" s="104"/>
      <c r="J1908" s="104"/>
      <c r="K1908" s="32"/>
      <c r="L1908" s="32"/>
      <c r="M1908" s="32"/>
      <c r="N1908" s="32"/>
      <c r="O1908" s="106"/>
      <c r="P1908" s="91">
        <f>IFERROR(__xludf.DUMMYFUNCTION("IFERROR(sum(FILTER($D:$N,$C:$C = $C1908,$A:$A &lt; $A1908,$B:$B = 12)),0) + sum($D1908:$N1908)"),0.0)</f>
        <v>0</v>
      </c>
      <c r="Q1908" s="92">
        <f t="shared" si="1"/>
        <v>0</v>
      </c>
      <c r="R1908" s="91">
        <f t="array" ref="R1908">IFERROR(INDEX('Fund YTD Target Values'!$1:$1000, MATCH($C1908,'Fund YTD Target Values'!$A:$A,0), MATCH($A1908,'Fund YTD Target Values'!$1:$1,0)),0)</f>
        <v>0</v>
      </c>
      <c r="S1908" s="91">
        <f>IFERROR(__xludf.DUMMYFUNCTION("IFERROR(sum(FILTER('Fund Investment Data'!$V:$V, 'Fund Investment Data'!$C:$C = $C1908, 'Fund Investment Data'!$A:$A &lt; $A1908)),0) + IFERROR(sum(FILTER('Fund Investment Data'!$V:$V, 'Fund Investment Data'!$C:$C = $C1908, 'Fund Investment Data'!$A:$A = $A1"&amp;"908, 'Fund Investment Data'!$B:$B &lt;= $B1908)),0)"),0.0)</f>
        <v>0</v>
      </c>
      <c r="T1908" s="32"/>
      <c r="U1908" s="32"/>
      <c r="V1908" s="32">
        <f>IFERROR(__xludf.DUMMYFUNCTION("$D1908 - IFERROR(FILTER($D:$D,$C:$C = $C1908, $A:$A = $A1908, $B:$B = $B1908 - 1),0)"),0.0)</f>
        <v>0</v>
      </c>
      <c r="W1908" s="93">
        <f>IFERROR(__xludf.DUMMYFUNCTION("$E1908 - IFERROR(FILTER($E:$E,$C:$C = $C1908, $A:$A = $A1908, $B:$B = $B1908 - 1),0)"),0.0)</f>
        <v>0</v>
      </c>
      <c r="X1908" s="91">
        <f>IFERROR(__xludf.DUMMYFUNCTION("iFERROR((FILTER('Fund Investment Data'!$Z:$Z, 'Fund Investment Data'!$C:$C = $C1908, 'Fund Investment Data'!$A:$A = $A1908 - 1, 'Fund Investment Data'!$B:$B = 12) + FILTER('Fund Investment Data'!$AB:$AB, 'Fund Investment Data'!$C:$C = $C1908, 'Fund Invest"&amp;"ment Data'!$A:$A = $A1908 - 1, 'Fund Investment Data'!$B:$B = 12)) * (1 + AVERAGE(FILTER('Inflation Data'!$C:$C,'Inflation Data'!$A:$A = ($A1908 - 2)))) * Parameters!$A$4,0)"),0.0)</f>
        <v>0</v>
      </c>
      <c r="Y1908" s="91">
        <f>IFERROR(__xludf.DUMMYFUNCTION("IFERROR((IFERROR(FILTER('Fund Investment Data'!$P:$P,'Fund Investment Data'!$C:$C = $C1908,'Fund Investment Data'!$A:$A = ($A1908 - 2), 'Fund Investment Data'!$B:$B = 12),0) - SUM(FILTER('Fund Investment Data'!$V:$V, 'Fund Investment Data'!$C:$C = $C1908,"&amp;" 'Fund Investment Data'!$A:$A = ($A1908 - 2), 'Fund Investment Data'!$B:$B &gt; 3)))  * Parameters!$B$4 * (1 - Parameters!$A$4),0)"),0.0)</f>
        <v>0</v>
      </c>
      <c r="Z1908" s="91">
        <f t="shared" si="24"/>
        <v>0</v>
      </c>
      <c r="AA1908" s="91">
        <f>IFERROR(__xludf.DUMMYFUNCTION("((IFERROR((SUM(FILTER('Fund Investment Data'!$V:$V, 'Fund Investment Data'!$C:$C = $C1908, 'Fund Investment Data'!$A:$A = $A1908 - 1, 'Fund Investment Data'!$B:$B &gt;= 4, 'Fund Investment Data'!$B:$B &lt;= ($B1908 + 5))) / 12) * ($B1908 - 3) * Parameters!$B$4,"&amp;" 0) + IF($B1908 &gt;= 9, IFERROR(SUM(FILTER('Fund Investment Data'!$V:$V, 'Fund Investment Data'!$C:$C = $C1908, 'Fund Investment Data'!$A:$A = $A1908, 'Fund Investment Data'!$B:$B &lt;= 3)) * Parameters!$B$4, 0),0)))"),0.0)</f>
        <v>0</v>
      </c>
      <c r="AB1908" s="32">
        <f>IFERROR(__xludf.DUMMYFUNCTION("IFERROR(((IFERROR(SUM(FILTER('Fund Investment Data'!$V:$V, 'Fund Investment Data'!$C:$C = $C1908, 'Fund Investment Data'!$A:$A = $A1908 - 2, 'Fund Investment Data'!$B:$B &gt;= 4)) * Parameters!$B$4,0) + IFERROR(SUM(FILTER('Fund Investment Data'!$V:$V, 'Fund "&amp;"Investment Data'!$C:$C = $C1908, 'Fund Investment Data'!$A:$A = $A1908 - 1, 'Fund Investment Data'!$B:$B &lt;= 3)) * Parameters!$B$4,0))),0)"),0.0)</f>
        <v>0</v>
      </c>
      <c r="AC1908" s="32">
        <f>IFERROR(__xludf.DUMMYFUNCTION("IFERROR(FILTER($AF:$AF,$C:$C = $C1908,$A:$A = $A1908 - 1,$B:$B = 12),0)"),0.0)</f>
        <v>0</v>
      </c>
      <c r="AD1908" s="32">
        <f t="shared" si="23"/>
        <v>0</v>
      </c>
      <c r="AE1908" s="32">
        <f t="shared" si="2"/>
        <v>0</v>
      </c>
      <c r="AF1908" s="32"/>
    </row>
    <row r="1909">
      <c r="A1909" s="86"/>
      <c r="B1909" s="87"/>
      <c r="C1909" s="88"/>
      <c r="D1909" s="104"/>
      <c r="E1909" s="104"/>
      <c r="F1909" s="104"/>
      <c r="G1909" s="104"/>
      <c r="H1909" s="104"/>
      <c r="I1909" s="104"/>
      <c r="J1909" s="104"/>
      <c r="K1909" s="32"/>
      <c r="L1909" s="32"/>
      <c r="M1909" s="32"/>
      <c r="N1909" s="32"/>
      <c r="O1909" s="106"/>
      <c r="P1909" s="91">
        <f>IFERROR(__xludf.DUMMYFUNCTION("IFERROR(sum(FILTER($D:$N,$C:$C = $C1909,$A:$A &lt; $A1909,$B:$B = 12)),0) + sum($D1909:$N1909)"),0.0)</f>
        <v>0</v>
      </c>
      <c r="Q1909" s="92">
        <f t="shared" si="1"/>
        <v>0</v>
      </c>
      <c r="R1909" s="91">
        <f t="array" ref="R1909">IFERROR(INDEX('Fund YTD Target Values'!$1:$1000, MATCH($C1909,'Fund YTD Target Values'!$A:$A,0), MATCH($A1909,'Fund YTD Target Values'!$1:$1,0)),0)</f>
        <v>0</v>
      </c>
      <c r="S1909" s="91">
        <f>IFERROR(__xludf.DUMMYFUNCTION("IFERROR(sum(FILTER('Fund Investment Data'!$V:$V, 'Fund Investment Data'!$C:$C = $C1909, 'Fund Investment Data'!$A:$A &lt; $A1909)),0) + IFERROR(sum(FILTER('Fund Investment Data'!$V:$V, 'Fund Investment Data'!$C:$C = $C1909, 'Fund Investment Data'!$A:$A = $A1"&amp;"909, 'Fund Investment Data'!$B:$B &lt;= $B1909)),0)"),0.0)</f>
        <v>0</v>
      </c>
      <c r="T1909" s="32"/>
      <c r="U1909" s="32"/>
      <c r="V1909" s="32">
        <f>IFERROR(__xludf.DUMMYFUNCTION("$D1909 - IFERROR(FILTER($D:$D,$C:$C = $C1909, $A:$A = $A1909, $B:$B = $B1909 - 1),0)"),0.0)</f>
        <v>0</v>
      </c>
      <c r="W1909" s="93">
        <f>IFERROR(__xludf.DUMMYFUNCTION("$E1909 - IFERROR(FILTER($E:$E,$C:$C = $C1909, $A:$A = $A1909, $B:$B = $B1909 - 1),0)"),0.0)</f>
        <v>0</v>
      </c>
      <c r="X1909" s="91">
        <f>IFERROR(__xludf.DUMMYFUNCTION("iFERROR((FILTER('Fund Investment Data'!$Z:$Z, 'Fund Investment Data'!$C:$C = $C1909, 'Fund Investment Data'!$A:$A = $A1909 - 1, 'Fund Investment Data'!$B:$B = 12) + FILTER('Fund Investment Data'!$AB:$AB, 'Fund Investment Data'!$C:$C = $C1909, 'Fund Invest"&amp;"ment Data'!$A:$A = $A1909 - 1, 'Fund Investment Data'!$B:$B = 12)) * (1 + AVERAGE(FILTER('Inflation Data'!$C:$C,'Inflation Data'!$A:$A = ($A1909 - 2)))) * Parameters!$A$4,0)"),0.0)</f>
        <v>0</v>
      </c>
      <c r="Y1909" s="91">
        <f>IFERROR(__xludf.DUMMYFUNCTION("IFERROR((IFERROR(FILTER('Fund Investment Data'!$P:$P,'Fund Investment Data'!$C:$C = $C1909,'Fund Investment Data'!$A:$A = ($A1909 - 2), 'Fund Investment Data'!$B:$B = 12),0) - SUM(FILTER('Fund Investment Data'!$V:$V, 'Fund Investment Data'!$C:$C = $C1909,"&amp;" 'Fund Investment Data'!$A:$A = ($A1909 - 2), 'Fund Investment Data'!$B:$B &gt; 3)))  * Parameters!$B$4 * (1 - Parameters!$A$4),0)"),0.0)</f>
        <v>0</v>
      </c>
      <c r="Z1909" s="91">
        <f t="shared" si="24"/>
        <v>0</v>
      </c>
      <c r="AA1909" s="91">
        <f>IFERROR(__xludf.DUMMYFUNCTION("((IFERROR((SUM(FILTER('Fund Investment Data'!$V:$V, 'Fund Investment Data'!$C:$C = $C1909, 'Fund Investment Data'!$A:$A = $A1909 - 1, 'Fund Investment Data'!$B:$B &gt;= 4, 'Fund Investment Data'!$B:$B &lt;= ($B1909 + 5))) / 12) * ($B1909 - 3) * Parameters!$B$4,"&amp;" 0) + IF($B1909 &gt;= 9, IFERROR(SUM(FILTER('Fund Investment Data'!$V:$V, 'Fund Investment Data'!$C:$C = $C1909, 'Fund Investment Data'!$A:$A = $A1909, 'Fund Investment Data'!$B:$B &lt;= 3)) * Parameters!$B$4, 0),0)))"),0.0)</f>
        <v>0</v>
      </c>
      <c r="AB1909" s="32">
        <f>IFERROR(__xludf.DUMMYFUNCTION("IFERROR(((IFERROR(SUM(FILTER('Fund Investment Data'!$V:$V, 'Fund Investment Data'!$C:$C = $C1909, 'Fund Investment Data'!$A:$A = $A1909 - 2, 'Fund Investment Data'!$B:$B &gt;= 4)) * Parameters!$B$4,0) + IFERROR(SUM(FILTER('Fund Investment Data'!$V:$V, 'Fund "&amp;"Investment Data'!$C:$C = $C1909, 'Fund Investment Data'!$A:$A = $A1909 - 1, 'Fund Investment Data'!$B:$B &lt;= 3)) * Parameters!$B$4,0))),0)"),0.0)</f>
        <v>0</v>
      </c>
      <c r="AC1909" s="32">
        <f>IFERROR(__xludf.DUMMYFUNCTION("IFERROR(FILTER($AF:$AF,$C:$C = $C1909,$A:$A = $A1909 - 1,$B:$B = 12),0)"),0.0)</f>
        <v>0</v>
      </c>
      <c r="AD1909" s="32">
        <f t="shared" si="23"/>
        <v>0</v>
      </c>
      <c r="AE1909" s="32">
        <f t="shared" si="2"/>
        <v>0</v>
      </c>
      <c r="AF1909" s="32"/>
    </row>
    <row r="1910">
      <c r="A1910" s="86"/>
      <c r="B1910" s="87"/>
      <c r="C1910" s="88"/>
      <c r="D1910" s="104"/>
      <c r="E1910" s="104"/>
      <c r="F1910" s="104"/>
      <c r="G1910" s="104"/>
      <c r="H1910" s="104"/>
      <c r="I1910" s="104"/>
      <c r="J1910" s="104"/>
      <c r="K1910" s="32"/>
      <c r="L1910" s="32"/>
      <c r="M1910" s="32"/>
      <c r="N1910" s="32"/>
      <c r="O1910" s="106"/>
      <c r="P1910" s="91">
        <f>IFERROR(__xludf.DUMMYFUNCTION("IFERROR(sum(FILTER($D:$N,$C:$C = $C1910,$A:$A &lt; $A1910,$B:$B = 12)),0) + sum($D1910:$N1910)"),0.0)</f>
        <v>0</v>
      </c>
      <c r="Q1910" s="92">
        <f t="shared" si="1"/>
        <v>0</v>
      </c>
      <c r="R1910" s="91">
        <f t="array" ref="R1910">IFERROR(INDEX('Fund YTD Target Values'!$1:$1000, MATCH($C1910,'Fund YTD Target Values'!$A:$A,0), MATCH($A1910,'Fund YTD Target Values'!$1:$1,0)),0)</f>
        <v>0</v>
      </c>
      <c r="S1910" s="91">
        <f>IFERROR(__xludf.DUMMYFUNCTION("IFERROR(sum(FILTER('Fund Investment Data'!$V:$V, 'Fund Investment Data'!$C:$C = $C1910, 'Fund Investment Data'!$A:$A &lt; $A1910)),0) + IFERROR(sum(FILTER('Fund Investment Data'!$V:$V, 'Fund Investment Data'!$C:$C = $C1910, 'Fund Investment Data'!$A:$A = $A1"&amp;"910, 'Fund Investment Data'!$B:$B &lt;= $B1910)),0)"),0.0)</f>
        <v>0</v>
      </c>
      <c r="T1910" s="32"/>
      <c r="U1910" s="32"/>
      <c r="V1910" s="32">
        <f>IFERROR(__xludf.DUMMYFUNCTION("$D1910 - IFERROR(FILTER($D:$D,$C:$C = $C1910, $A:$A = $A1910, $B:$B = $B1910 - 1),0)"),0.0)</f>
        <v>0</v>
      </c>
      <c r="W1910" s="93">
        <f>IFERROR(__xludf.DUMMYFUNCTION("$E1910 - IFERROR(FILTER($E:$E,$C:$C = $C1910, $A:$A = $A1910, $B:$B = $B1910 - 1),0)"),0.0)</f>
        <v>0</v>
      </c>
      <c r="X1910" s="91">
        <f>IFERROR(__xludf.DUMMYFUNCTION("iFERROR((FILTER('Fund Investment Data'!$Z:$Z, 'Fund Investment Data'!$C:$C = $C1910, 'Fund Investment Data'!$A:$A = $A1910 - 1, 'Fund Investment Data'!$B:$B = 12) + FILTER('Fund Investment Data'!$AB:$AB, 'Fund Investment Data'!$C:$C = $C1910, 'Fund Invest"&amp;"ment Data'!$A:$A = $A1910 - 1, 'Fund Investment Data'!$B:$B = 12)) * (1 + AVERAGE(FILTER('Inflation Data'!$C:$C,'Inflation Data'!$A:$A = ($A1910 - 2)))) * Parameters!$A$4,0)"),0.0)</f>
        <v>0</v>
      </c>
      <c r="Y1910" s="91">
        <f>IFERROR(__xludf.DUMMYFUNCTION("IFERROR((IFERROR(FILTER('Fund Investment Data'!$P:$P,'Fund Investment Data'!$C:$C = $C1910,'Fund Investment Data'!$A:$A = ($A1910 - 2), 'Fund Investment Data'!$B:$B = 12),0) - SUM(FILTER('Fund Investment Data'!$V:$V, 'Fund Investment Data'!$C:$C = $C1910,"&amp;" 'Fund Investment Data'!$A:$A = ($A1910 - 2), 'Fund Investment Data'!$B:$B &gt; 3)))  * Parameters!$B$4 * (1 - Parameters!$A$4),0)"),0.0)</f>
        <v>0</v>
      </c>
      <c r="Z1910" s="91">
        <f t="shared" si="24"/>
        <v>0</v>
      </c>
      <c r="AA1910" s="91">
        <f>IFERROR(__xludf.DUMMYFUNCTION("((IFERROR((SUM(FILTER('Fund Investment Data'!$V:$V, 'Fund Investment Data'!$C:$C = $C1910, 'Fund Investment Data'!$A:$A = $A1910 - 1, 'Fund Investment Data'!$B:$B &gt;= 4, 'Fund Investment Data'!$B:$B &lt;= ($B1910 + 5))) / 12) * ($B1910 - 3) * Parameters!$B$4,"&amp;" 0) + IF($B1910 &gt;= 9, IFERROR(SUM(FILTER('Fund Investment Data'!$V:$V, 'Fund Investment Data'!$C:$C = $C1910, 'Fund Investment Data'!$A:$A = $A1910, 'Fund Investment Data'!$B:$B &lt;= 3)) * Parameters!$B$4, 0),0)))"),0.0)</f>
        <v>0</v>
      </c>
      <c r="AB1910" s="32">
        <f>IFERROR(__xludf.DUMMYFUNCTION("IFERROR(((IFERROR(SUM(FILTER('Fund Investment Data'!$V:$V, 'Fund Investment Data'!$C:$C = $C1910, 'Fund Investment Data'!$A:$A = $A1910 - 2, 'Fund Investment Data'!$B:$B &gt;= 4)) * Parameters!$B$4,0) + IFERROR(SUM(FILTER('Fund Investment Data'!$V:$V, 'Fund "&amp;"Investment Data'!$C:$C = $C1910, 'Fund Investment Data'!$A:$A = $A1910 - 1, 'Fund Investment Data'!$B:$B &lt;= 3)) * Parameters!$B$4,0))),0)"),0.0)</f>
        <v>0</v>
      </c>
      <c r="AC1910" s="32">
        <f>IFERROR(__xludf.DUMMYFUNCTION("IFERROR(FILTER($AF:$AF,$C:$C = $C1910,$A:$A = $A1910 - 1,$B:$B = 12),0)"),0.0)</f>
        <v>0</v>
      </c>
      <c r="AD1910" s="32">
        <f t="shared" si="23"/>
        <v>0</v>
      </c>
      <c r="AE1910" s="32">
        <f t="shared" si="2"/>
        <v>0</v>
      </c>
      <c r="AF1910" s="32"/>
    </row>
    <row r="1911">
      <c r="A1911" s="86"/>
      <c r="B1911" s="87"/>
      <c r="C1911" s="88"/>
      <c r="D1911" s="104"/>
      <c r="E1911" s="104"/>
      <c r="F1911" s="104"/>
      <c r="G1911" s="104"/>
      <c r="H1911" s="104"/>
      <c r="I1911" s="104"/>
      <c r="J1911" s="104"/>
      <c r="K1911" s="32"/>
      <c r="L1911" s="32"/>
      <c r="M1911" s="32"/>
      <c r="N1911" s="32"/>
      <c r="O1911" s="106"/>
      <c r="P1911" s="91">
        <f>IFERROR(__xludf.DUMMYFUNCTION("IFERROR(sum(FILTER($D:$N,$C:$C = $C1911,$A:$A &lt; $A1911,$B:$B = 12)),0) + sum($D1911:$N1911)"),0.0)</f>
        <v>0</v>
      </c>
      <c r="Q1911" s="92">
        <f t="shared" si="1"/>
        <v>0</v>
      </c>
      <c r="R1911" s="91">
        <f t="array" ref="R1911">IFERROR(INDEX('Fund YTD Target Values'!$1:$1000, MATCH($C1911,'Fund YTD Target Values'!$A:$A,0), MATCH($A1911,'Fund YTD Target Values'!$1:$1,0)),0)</f>
        <v>0</v>
      </c>
      <c r="S1911" s="91">
        <f>IFERROR(__xludf.DUMMYFUNCTION("IFERROR(sum(FILTER('Fund Investment Data'!$V:$V, 'Fund Investment Data'!$C:$C = $C1911, 'Fund Investment Data'!$A:$A &lt; $A1911)),0) + IFERROR(sum(FILTER('Fund Investment Data'!$V:$V, 'Fund Investment Data'!$C:$C = $C1911, 'Fund Investment Data'!$A:$A = $A1"&amp;"911, 'Fund Investment Data'!$B:$B &lt;= $B1911)),0)"),0.0)</f>
        <v>0</v>
      </c>
      <c r="T1911" s="32"/>
      <c r="U1911" s="32"/>
      <c r="V1911" s="32">
        <f>IFERROR(__xludf.DUMMYFUNCTION("$D1911 - IFERROR(FILTER($D:$D,$C:$C = $C1911, $A:$A = $A1911, $B:$B = $B1911 - 1),0)"),0.0)</f>
        <v>0</v>
      </c>
      <c r="W1911" s="93">
        <f>IFERROR(__xludf.DUMMYFUNCTION("$E1911 - IFERROR(FILTER($E:$E,$C:$C = $C1911, $A:$A = $A1911, $B:$B = $B1911 - 1),0)"),0.0)</f>
        <v>0</v>
      </c>
      <c r="X1911" s="91">
        <f>IFERROR(__xludf.DUMMYFUNCTION("iFERROR((FILTER('Fund Investment Data'!$Z:$Z, 'Fund Investment Data'!$C:$C = $C1911, 'Fund Investment Data'!$A:$A = $A1911 - 1, 'Fund Investment Data'!$B:$B = 12) + FILTER('Fund Investment Data'!$AB:$AB, 'Fund Investment Data'!$C:$C = $C1911, 'Fund Invest"&amp;"ment Data'!$A:$A = $A1911 - 1, 'Fund Investment Data'!$B:$B = 12)) * (1 + AVERAGE(FILTER('Inflation Data'!$C:$C,'Inflation Data'!$A:$A = ($A1911 - 2)))) * Parameters!$A$4,0)"),0.0)</f>
        <v>0</v>
      </c>
      <c r="Y1911" s="91">
        <f>IFERROR(__xludf.DUMMYFUNCTION("IFERROR((IFERROR(FILTER('Fund Investment Data'!$P:$P,'Fund Investment Data'!$C:$C = $C1911,'Fund Investment Data'!$A:$A = ($A1911 - 2), 'Fund Investment Data'!$B:$B = 12),0) - SUM(FILTER('Fund Investment Data'!$V:$V, 'Fund Investment Data'!$C:$C = $C1911,"&amp;" 'Fund Investment Data'!$A:$A = ($A1911 - 2), 'Fund Investment Data'!$B:$B &gt; 3)))  * Parameters!$B$4 * (1 - Parameters!$A$4),0)"),0.0)</f>
        <v>0</v>
      </c>
      <c r="Z1911" s="91">
        <f t="shared" si="24"/>
        <v>0</v>
      </c>
      <c r="AA1911" s="91">
        <f>IFERROR(__xludf.DUMMYFUNCTION("((IFERROR((SUM(FILTER('Fund Investment Data'!$V:$V, 'Fund Investment Data'!$C:$C = $C1911, 'Fund Investment Data'!$A:$A = $A1911 - 1, 'Fund Investment Data'!$B:$B &gt;= 4, 'Fund Investment Data'!$B:$B &lt;= ($B1911 + 5))) / 12) * ($B1911 - 3) * Parameters!$B$4,"&amp;" 0) + IF($B1911 &gt;= 9, IFERROR(SUM(FILTER('Fund Investment Data'!$V:$V, 'Fund Investment Data'!$C:$C = $C1911, 'Fund Investment Data'!$A:$A = $A1911, 'Fund Investment Data'!$B:$B &lt;= 3)) * Parameters!$B$4, 0),0)))"),0.0)</f>
        <v>0</v>
      </c>
      <c r="AB1911" s="32">
        <f>IFERROR(__xludf.DUMMYFUNCTION("IFERROR(((IFERROR(SUM(FILTER('Fund Investment Data'!$V:$V, 'Fund Investment Data'!$C:$C = $C1911, 'Fund Investment Data'!$A:$A = $A1911 - 2, 'Fund Investment Data'!$B:$B &gt;= 4)) * Parameters!$B$4,0) + IFERROR(SUM(FILTER('Fund Investment Data'!$V:$V, 'Fund "&amp;"Investment Data'!$C:$C = $C1911, 'Fund Investment Data'!$A:$A = $A1911 - 1, 'Fund Investment Data'!$B:$B &lt;= 3)) * Parameters!$B$4,0))),0)"),0.0)</f>
        <v>0</v>
      </c>
      <c r="AC1911" s="32">
        <f>IFERROR(__xludf.DUMMYFUNCTION("IFERROR(FILTER($AF:$AF,$C:$C = $C1911,$A:$A = $A1911 - 1,$B:$B = 12),0)"),0.0)</f>
        <v>0</v>
      </c>
      <c r="AD1911" s="32">
        <f t="shared" si="23"/>
        <v>0</v>
      </c>
      <c r="AE1911" s="32">
        <f t="shared" si="2"/>
        <v>0</v>
      </c>
      <c r="AF1911" s="32"/>
    </row>
    <row r="1912">
      <c r="A1912" s="86"/>
      <c r="B1912" s="87"/>
      <c r="C1912" s="88"/>
      <c r="D1912" s="104"/>
      <c r="E1912" s="104"/>
      <c r="F1912" s="104"/>
      <c r="G1912" s="104"/>
      <c r="H1912" s="104"/>
      <c r="I1912" s="104"/>
      <c r="J1912" s="104"/>
      <c r="K1912" s="32"/>
      <c r="L1912" s="32"/>
      <c r="M1912" s="32"/>
      <c r="N1912" s="32"/>
      <c r="O1912" s="106"/>
      <c r="P1912" s="91">
        <f>IFERROR(__xludf.DUMMYFUNCTION("IFERROR(sum(FILTER($D:$N,$C:$C = $C1912,$A:$A &lt; $A1912,$B:$B = 12)),0) + sum($D1912:$N1912)"),0.0)</f>
        <v>0</v>
      </c>
      <c r="Q1912" s="92">
        <f t="shared" si="1"/>
        <v>0</v>
      </c>
      <c r="R1912" s="91">
        <f t="array" ref="R1912">IFERROR(INDEX('Fund YTD Target Values'!$1:$1000, MATCH($C1912,'Fund YTD Target Values'!$A:$A,0), MATCH($A1912,'Fund YTD Target Values'!$1:$1,0)),0)</f>
        <v>0</v>
      </c>
      <c r="S1912" s="91">
        <f>IFERROR(__xludf.DUMMYFUNCTION("IFERROR(sum(FILTER('Fund Investment Data'!$V:$V, 'Fund Investment Data'!$C:$C = $C1912, 'Fund Investment Data'!$A:$A &lt; $A1912)),0) + IFERROR(sum(FILTER('Fund Investment Data'!$V:$V, 'Fund Investment Data'!$C:$C = $C1912, 'Fund Investment Data'!$A:$A = $A1"&amp;"912, 'Fund Investment Data'!$B:$B &lt;= $B1912)),0)"),0.0)</f>
        <v>0</v>
      </c>
      <c r="T1912" s="32"/>
      <c r="U1912" s="32"/>
      <c r="V1912" s="32">
        <f>IFERROR(__xludf.DUMMYFUNCTION("$D1912 - IFERROR(FILTER($D:$D,$C:$C = $C1912, $A:$A = $A1912, $B:$B = $B1912 - 1),0)"),0.0)</f>
        <v>0</v>
      </c>
      <c r="W1912" s="93">
        <f>IFERROR(__xludf.DUMMYFUNCTION("$E1912 - IFERROR(FILTER($E:$E,$C:$C = $C1912, $A:$A = $A1912, $B:$B = $B1912 - 1),0)"),0.0)</f>
        <v>0</v>
      </c>
      <c r="X1912" s="91">
        <f>IFERROR(__xludf.DUMMYFUNCTION("iFERROR((FILTER('Fund Investment Data'!$Z:$Z, 'Fund Investment Data'!$C:$C = $C1912, 'Fund Investment Data'!$A:$A = $A1912 - 1, 'Fund Investment Data'!$B:$B = 12) + FILTER('Fund Investment Data'!$AB:$AB, 'Fund Investment Data'!$C:$C = $C1912, 'Fund Invest"&amp;"ment Data'!$A:$A = $A1912 - 1, 'Fund Investment Data'!$B:$B = 12)) * (1 + AVERAGE(FILTER('Inflation Data'!$C:$C,'Inflation Data'!$A:$A = ($A1912 - 2)))) * Parameters!$A$4,0)"),0.0)</f>
        <v>0</v>
      </c>
      <c r="Y1912" s="91">
        <f>IFERROR(__xludf.DUMMYFUNCTION("IFERROR((IFERROR(FILTER('Fund Investment Data'!$P:$P,'Fund Investment Data'!$C:$C = $C1912,'Fund Investment Data'!$A:$A = ($A1912 - 2), 'Fund Investment Data'!$B:$B = 12),0) - SUM(FILTER('Fund Investment Data'!$V:$V, 'Fund Investment Data'!$C:$C = $C1912,"&amp;" 'Fund Investment Data'!$A:$A = ($A1912 - 2), 'Fund Investment Data'!$B:$B &gt; 3)))  * Parameters!$B$4 * (1 - Parameters!$A$4),0)"),0.0)</f>
        <v>0</v>
      </c>
      <c r="Z1912" s="91">
        <f t="shared" si="24"/>
        <v>0</v>
      </c>
      <c r="AA1912" s="91">
        <f>IFERROR(__xludf.DUMMYFUNCTION("((IFERROR((SUM(FILTER('Fund Investment Data'!$V:$V, 'Fund Investment Data'!$C:$C = $C1912, 'Fund Investment Data'!$A:$A = $A1912 - 1, 'Fund Investment Data'!$B:$B &gt;= 4, 'Fund Investment Data'!$B:$B &lt;= ($B1912 + 5))) / 12) * ($B1912 - 3) * Parameters!$B$4,"&amp;" 0) + IF($B1912 &gt;= 9, IFERROR(SUM(FILTER('Fund Investment Data'!$V:$V, 'Fund Investment Data'!$C:$C = $C1912, 'Fund Investment Data'!$A:$A = $A1912, 'Fund Investment Data'!$B:$B &lt;= 3)) * Parameters!$B$4, 0),0)))"),0.0)</f>
        <v>0</v>
      </c>
      <c r="AB1912" s="32">
        <f>IFERROR(__xludf.DUMMYFUNCTION("IFERROR(((IFERROR(SUM(FILTER('Fund Investment Data'!$V:$V, 'Fund Investment Data'!$C:$C = $C1912, 'Fund Investment Data'!$A:$A = $A1912 - 2, 'Fund Investment Data'!$B:$B &gt;= 4)) * Parameters!$B$4,0) + IFERROR(SUM(FILTER('Fund Investment Data'!$V:$V, 'Fund "&amp;"Investment Data'!$C:$C = $C1912, 'Fund Investment Data'!$A:$A = $A1912 - 1, 'Fund Investment Data'!$B:$B &lt;= 3)) * Parameters!$B$4,0))),0)"),0.0)</f>
        <v>0</v>
      </c>
      <c r="AC1912" s="32">
        <f>IFERROR(__xludf.DUMMYFUNCTION("IFERROR(FILTER($AF:$AF,$C:$C = $C1912,$A:$A = $A1912 - 1,$B:$B = 12),0)"),0.0)</f>
        <v>0</v>
      </c>
      <c r="AD1912" s="32">
        <f t="shared" si="23"/>
        <v>0</v>
      </c>
      <c r="AE1912" s="32">
        <f t="shared" si="2"/>
        <v>0</v>
      </c>
      <c r="AF1912" s="32"/>
    </row>
    <row r="1913">
      <c r="A1913" s="86"/>
      <c r="B1913" s="87"/>
      <c r="C1913" s="88"/>
      <c r="D1913" s="104"/>
      <c r="E1913" s="104"/>
      <c r="F1913" s="104"/>
      <c r="G1913" s="104"/>
      <c r="H1913" s="104"/>
      <c r="I1913" s="104"/>
      <c r="J1913" s="104"/>
      <c r="K1913" s="32"/>
      <c r="L1913" s="32"/>
      <c r="M1913" s="32"/>
      <c r="N1913" s="32"/>
      <c r="O1913" s="106"/>
      <c r="P1913" s="91">
        <f>IFERROR(__xludf.DUMMYFUNCTION("IFERROR(sum(FILTER($D:$N,$C:$C = $C1913,$A:$A &lt; $A1913,$B:$B = 12)),0) + sum($D1913:$N1913)"),0.0)</f>
        <v>0</v>
      </c>
      <c r="Q1913" s="92">
        <f t="shared" si="1"/>
        <v>0</v>
      </c>
      <c r="R1913" s="91">
        <f t="array" ref="R1913">IFERROR(INDEX('Fund YTD Target Values'!$1:$1000, MATCH($C1913,'Fund YTD Target Values'!$A:$A,0), MATCH($A1913,'Fund YTD Target Values'!$1:$1,0)),0)</f>
        <v>0</v>
      </c>
      <c r="S1913" s="91">
        <f>IFERROR(__xludf.DUMMYFUNCTION("IFERROR(sum(FILTER('Fund Investment Data'!$V:$V, 'Fund Investment Data'!$C:$C = $C1913, 'Fund Investment Data'!$A:$A &lt; $A1913)),0) + IFERROR(sum(FILTER('Fund Investment Data'!$V:$V, 'Fund Investment Data'!$C:$C = $C1913, 'Fund Investment Data'!$A:$A = $A1"&amp;"913, 'Fund Investment Data'!$B:$B &lt;= $B1913)),0)"),0.0)</f>
        <v>0</v>
      </c>
      <c r="T1913" s="32"/>
      <c r="U1913" s="32"/>
      <c r="V1913" s="32">
        <f>IFERROR(__xludf.DUMMYFUNCTION("$D1913 - IFERROR(FILTER($D:$D,$C:$C = $C1913, $A:$A = $A1913, $B:$B = $B1913 - 1),0)"),0.0)</f>
        <v>0</v>
      </c>
      <c r="W1913" s="93">
        <f>IFERROR(__xludf.DUMMYFUNCTION("$E1913 - IFERROR(FILTER($E:$E,$C:$C = $C1913, $A:$A = $A1913, $B:$B = $B1913 - 1),0)"),0.0)</f>
        <v>0</v>
      </c>
      <c r="X1913" s="91">
        <f>IFERROR(__xludf.DUMMYFUNCTION("iFERROR((FILTER('Fund Investment Data'!$Z:$Z, 'Fund Investment Data'!$C:$C = $C1913, 'Fund Investment Data'!$A:$A = $A1913 - 1, 'Fund Investment Data'!$B:$B = 12) + FILTER('Fund Investment Data'!$AB:$AB, 'Fund Investment Data'!$C:$C = $C1913, 'Fund Invest"&amp;"ment Data'!$A:$A = $A1913 - 1, 'Fund Investment Data'!$B:$B = 12)) * (1 + AVERAGE(FILTER('Inflation Data'!$C:$C,'Inflation Data'!$A:$A = ($A1913 - 2)))) * Parameters!$A$4,0)"),0.0)</f>
        <v>0</v>
      </c>
      <c r="Y1913" s="91">
        <f>IFERROR(__xludf.DUMMYFUNCTION("IFERROR((IFERROR(FILTER('Fund Investment Data'!$P:$P,'Fund Investment Data'!$C:$C = $C1913,'Fund Investment Data'!$A:$A = ($A1913 - 2), 'Fund Investment Data'!$B:$B = 12),0) - SUM(FILTER('Fund Investment Data'!$V:$V, 'Fund Investment Data'!$C:$C = $C1913,"&amp;" 'Fund Investment Data'!$A:$A = ($A1913 - 2), 'Fund Investment Data'!$B:$B &gt; 3)))  * Parameters!$B$4 * (1 - Parameters!$A$4),0)"),0.0)</f>
        <v>0</v>
      </c>
      <c r="Z1913" s="91">
        <f t="shared" si="24"/>
        <v>0</v>
      </c>
      <c r="AA1913" s="91">
        <f>IFERROR(__xludf.DUMMYFUNCTION("((IFERROR((SUM(FILTER('Fund Investment Data'!$V:$V, 'Fund Investment Data'!$C:$C = $C1913, 'Fund Investment Data'!$A:$A = $A1913 - 1, 'Fund Investment Data'!$B:$B &gt;= 4, 'Fund Investment Data'!$B:$B &lt;= ($B1913 + 5))) / 12) * ($B1913 - 3) * Parameters!$B$4,"&amp;" 0) + IF($B1913 &gt;= 9, IFERROR(SUM(FILTER('Fund Investment Data'!$V:$V, 'Fund Investment Data'!$C:$C = $C1913, 'Fund Investment Data'!$A:$A = $A1913, 'Fund Investment Data'!$B:$B &lt;= 3)) * Parameters!$B$4, 0),0)))"),0.0)</f>
        <v>0</v>
      </c>
      <c r="AB1913" s="32">
        <f>IFERROR(__xludf.DUMMYFUNCTION("IFERROR(((IFERROR(SUM(FILTER('Fund Investment Data'!$V:$V, 'Fund Investment Data'!$C:$C = $C1913, 'Fund Investment Data'!$A:$A = $A1913 - 2, 'Fund Investment Data'!$B:$B &gt;= 4)) * Parameters!$B$4,0) + IFERROR(SUM(FILTER('Fund Investment Data'!$V:$V, 'Fund "&amp;"Investment Data'!$C:$C = $C1913, 'Fund Investment Data'!$A:$A = $A1913 - 1, 'Fund Investment Data'!$B:$B &lt;= 3)) * Parameters!$B$4,0))),0)"),0.0)</f>
        <v>0</v>
      </c>
      <c r="AC1913" s="32">
        <f>IFERROR(__xludf.DUMMYFUNCTION("IFERROR(FILTER($AF:$AF,$C:$C = $C1913,$A:$A = $A1913 - 1,$B:$B = 12),0)"),0.0)</f>
        <v>0</v>
      </c>
      <c r="AD1913" s="32">
        <f t="shared" si="23"/>
        <v>0</v>
      </c>
      <c r="AE1913" s="32">
        <f t="shared" si="2"/>
        <v>0</v>
      </c>
      <c r="AF1913" s="32"/>
    </row>
    <row r="1914">
      <c r="A1914" s="86"/>
      <c r="B1914" s="87"/>
      <c r="C1914" s="88"/>
      <c r="D1914" s="104"/>
      <c r="E1914" s="104"/>
      <c r="F1914" s="104"/>
      <c r="G1914" s="104"/>
      <c r="H1914" s="104"/>
      <c r="I1914" s="104"/>
      <c r="J1914" s="104"/>
      <c r="K1914" s="32"/>
      <c r="L1914" s="32"/>
      <c r="M1914" s="32"/>
      <c r="N1914" s="32"/>
      <c r="O1914" s="106"/>
      <c r="P1914" s="91">
        <f>IFERROR(__xludf.DUMMYFUNCTION("IFERROR(sum(FILTER($D:$N,$C:$C = $C1914,$A:$A &lt; $A1914,$B:$B = 12)),0) + sum($D1914:$N1914)"),0.0)</f>
        <v>0</v>
      </c>
      <c r="Q1914" s="92">
        <f t="shared" si="1"/>
        <v>0</v>
      </c>
      <c r="R1914" s="91">
        <f t="array" ref="R1914">IFERROR(INDEX('Fund YTD Target Values'!$1:$1000, MATCH($C1914,'Fund YTD Target Values'!$A:$A,0), MATCH($A1914,'Fund YTD Target Values'!$1:$1,0)),0)</f>
        <v>0</v>
      </c>
      <c r="S1914" s="91">
        <f>IFERROR(__xludf.DUMMYFUNCTION("IFERROR(sum(FILTER('Fund Investment Data'!$V:$V, 'Fund Investment Data'!$C:$C = $C1914, 'Fund Investment Data'!$A:$A &lt; $A1914)),0) + IFERROR(sum(FILTER('Fund Investment Data'!$V:$V, 'Fund Investment Data'!$C:$C = $C1914, 'Fund Investment Data'!$A:$A = $A1"&amp;"914, 'Fund Investment Data'!$B:$B &lt;= $B1914)),0)"),0.0)</f>
        <v>0</v>
      </c>
      <c r="T1914" s="32"/>
      <c r="U1914" s="32"/>
      <c r="V1914" s="32">
        <f>IFERROR(__xludf.DUMMYFUNCTION("$D1914 - IFERROR(FILTER($D:$D,$C:$C = $C1914, $A:$A = $A1914, $B:$B = $B1914 - 1),0)"),0.0)</f>
        <v>0</v>
      </c>
      <c r="W1914" s="93">
        <f>IFERROR(__xludf.DUMMYFUNCTION("$E1914 - IFERROR(FILTER($E:$E,$C:$C = $C1914, $A:$A = $A1914, $B:$B = $B1914 - 1),0)"),0.0)</f>
        <v>0</v>
      </c>
      <c r="X1914" s="91">
        <f>IFERROR(__xludf.DUMMYFUNCTION("iFERROR((FILTER('Fund Investment Data'!$Z:$Z, 'Fund Investment Data'!$C:$C = $C1914, 'Fund Investment Data'!$A:$A = $A1914 - 1, 'Fund Investment Data'!$B:$B = 12) + FILTER('Fund Investment Data'!$AB:$AB, 'Fund Investment Data'!$C:$C = $C1914, 'Fund Invest"&amp;"ment Data'!$A:$A = $A1914 - 1, 'Fund Investment Data'!$B:$B = 12)) * (1 + AVERAGE(FILTER('Inflation Data'!$C:$C,'Inflation Data'!$A:$A = ($A1914 - 2)))) * Parameters!$A$4,0)"),0.0)</f>
        <v>0</v>
      </c>
      <c r="Y1914" s="91">
        <f>IFERROR(__xludf.DUMMYFUNCTION("IFERROR((IFERROR(FILTER('Fund Investment Data'!$P:$P,'Fund Investment Data'!$C:$C = $C1914,'Fund Investment Data'!$A:$A = ($A1914 - 2), 'Fund Investment Data'!$B:$B = 12),0) - SUM(FILTER('Fund Investment Data'!$V:$V, 'Fund Investment Data'!$C:$C = $C1914,"&amp;" 'Fund Investment Data'!$A:$A = ($A1914 - 2), 'Fund Investment Data'!$B:$B &gt; 3)))  * Parameters!$B$4 * (1 - Parameters!$A$4),0)"),0.0)</f>
        <v>0</v>
      </c>
      <c r="Z1914" s="91">
        <f t="shared" si="24"/>
        <v>0</v>
      </c>
      <c r="AA1914" s="91">
        <f>IFERROR(__xludf.DUMMYFUNCTION("((IFERROR((SUM(FILTER('Fund Investment Data'!$V:$V, 'Fund Investment Data'!$C:$C = $C1914, 'Fund Investment Data'!$A:$A = $A1914 - 1, 'Fund Investment Data'!$B:$B &gt;= 4, 'Fund Investment Data'!$B:$B &lt;= ($B1914 + 5))) / 12) * ($B1914 - 3) * Parameters!$B$4,"&amp;" 0) + IF($B1914 &gt;= 9, IFERROR(SUM(FILTER('Fund Investment Data'!$V:$V, 'Fund Investment Data'!$C:$C = $C1914, 'Fund Investment Data'!$A:$A = $A1914, 'Fund Investment Data'!$B:$B &lt;= 3)) * Parameters!$B$4, 0),0)))"),0.0)</f>
        <v>0</v>
      </c>
      <c r="AB1914" s="32">
        <f>IFERROR(__xludf.DUMMYFUNCTION("IFERROR(((IFERROR(SUM(FILTER('Fund Investment Data'!$V:$V, 'Fund Investment Data'!$C:$C = $C1914, 'Fund Investment Data'!$A:$A = $A1914 - 2, 'Fund Investment Data'!$B:$B &gt;= 4)) * Parameters!$B$4,0) + IFERROR(SUM(FILTER('Fund Investment Data'!$V:$V, 'Fund "&amp;"Investment Data'!$C:$C = $C1914, 'Fund Investment Data'!$A:$A = $A1914 - 1, 'Fund Investment Data'!$B:$B &lt;= 3)) * Parameters!$B$4,0))),0)"),0.0)</f>
        <v>0</v>
      </c>
      <c r="AC1914" s="32">
        <f>IFERROR(__xludf.DUMMYFUNCTION("IFERROR(FILTER($AF:$AF,$C:$C = $C1914,$A:$A = $A1914 - 1,$B:$B = 12),0)"),0.0)</f>
        <v>0</v>
      </c>
      <c r="AD1914" s="32">
        <f t="shared" si="23"/>
        <v>0</v>
      </c>
      <c r="AE1914" s="32">
        <f t="shared" si="2"/>
        <v>0</v>
      </c>
      <c r="AF1914" s="32"/>
    </row>
    <row r="1915">
      <c r="A1915" s="86"/>
      <c r="B1915" s="87"/>
      <c r="C1915" s="88"/>
      <c r="D1915" s="104"/>
      <c r="E1915" s="104"/>
      <c r="F1915" s="104"/>
      <c r="G1915" s="104"/>
      <c r="H1915" s="104"/>
      <c r="I1915" s="104"/>
      <c r="J1915" s="104"/>
      <c r="K1915" s="32"/>
      <c r="L1915" s="32"/>
      <c r="M1915" s="32"/>
      <c r="N1915" s="32"/>
      <c r="O1915" s="106"/>
      <c r="P1915" s="91">
        <f>IFERROR(__xludf.DUMMYFUNCTION("IFERROR(sum(FILTER($D:$N,$C:$C = $C1915,$A:$A &lt; $A1915,$B:$B = 12)),0) + sum($D1915:$N1915)"),0.0)</f>
        <v>0</v>
      </c>
      <c r="Q1915" s="92">
        <f t="shared" si="1"/>
        <v>0</v>
      </c>
      <c r="R1915" s="91">
        <f t="array" ref="R1915">IFERROR(INDEX('Fund YTD Target Values'!$1:$1000, MATCH($C1915,'Fund YTD Target Values'!$A:$A,0), MATCH($A1915,'Fund YTD Target Values'!$1:$1,0)),0)</f>
        <v>0</v>
      </c>
      <c r="S1915" s="91">
        <f>IFERROR(__xludf.DUMMYFUNCTION("IFERROR(sum(FILTER('Fund Investment Data'!$V:$V, 'Fund Investment Data'!$C:$C = $C1915, 'Fund Investment Data'!$A:$A &lt; $A1915)),0) + IFERROR(sum(FILTER('Fund Investment Data'!$V:$V, 'Fund Investment Data'!$C:$C = $C1915, 'Fund Investment Data'!$A:$A = $A1"&amp;"915, 'Fund Investment Data'!$B:$B &lt;= $B1915)),0)"),0.0)</f>
        <v>0</v>
      </c>
      <c r="T1915" s="32"/>
      <c r="U1915" s="32"/>
      <c r="V1915" s="32">
        <f>IFERROR(__xludf.DUMMYFUNCTION("$D1915 - IFERROR(FILTER($D:$D,$C:$C = $C1915, $A:$A = $A1915, $B:$B = $B1915 - 1),0)"),0.0)</f>
        <v>0</v>
      </c>
      <c r="W1915" s="93">
        <f>IFERROR(__xludf.DUMMYFUNCTION("$E1915 - IFERROR(FILTER($E:$E,$C:$C = $C1915, $A:$A = $A1915, $B:$B = $B1915 - 1),0)"),0.0)</f>
        <v>0</v>
      </c>
      <c r="X1915" s="91">
        <f>IFERROR(__xludf.DUMMYFUNCTION("iFERROR((FILTER('Fund Investment Data'!$Z:$Z, 'Fund Investment Data'!$C:$C = $C1915, 'Fund Investment Data'!$A:$A = $A1915 - 1, 'Fund Investment Data'!$B:$B = 12) + FILTER('Fund Investment Data'!$AB:$AB, 'Fund Investment Data'!$C:$C = $C1915, 'Fund Invest"&amp;"ment Data'!$A:$A = $A1915 - 1, 'Fund Investment Data'!$B:$B = 12)) * (1 + AVERAGE(FILTER('Inflation Data'!$C:$C,'Inflation Data'!$A:$A = ($A1915 - 2)))) * Parameters!$A$4,0)"),0.0)</f>
        <v>0</v>
      </c>
      <c r="Y1915" s="91">
        <f>IFERROR(__xludf.DUMMYFUNCTION("IFERROR((IFERROR(FILTER('Fund Investment Data'!$P:$P,'Fund Investment Data'!$C:$C = $C1915,'Fund Investment Data'!$A:$A = ($A1915 - 2), 'Fund Investment Data'!$B:$B = 12),0) - SUM(FILTER('Fund Investment Data'!$V:$V, 'Fund Investment Data'!$C:$C = $C1915,"&amp;" 'Fund Investment Data'!$A:$A = ($A1915 - 2), 'Fund Investment Data'!$B:$B &gt; 3)))  * Parameters!$B$4 * (1 - Parameters!$A$4),0)"),0.0)</f>
        <v>0</v>
      </c>
      <c r="Z1915" s="91">
        <f t="shared" si="24"/>
        <v>0</v>
      </c>
      <c r="AA1915" s="91">
        <f>IFERROR(__xludf.DUMMYFUNCTION("((IFERROR((SUM(FILTER('Fund Investment Data'!$V:$V, 'Fund Investment Data'!$C:$C = $C1915, 'Fund Investment Data'!$A:$A = $A1915 - 1, 'Fund Investment Data'!$B:$B &gt;= 4, 'Fund Investment Data'!$B:$B &lt;= ($B1915 + 5))) / 12) * ($B1915 - 3) * Parameters!$B$4,"&amp;" 0) + IF($B1915 &gt;= 9, IFERROR(SUM(FILTER('Fund Investment Data'!$V:$V, 'Fund Investment Data'!$C:$C = $C1915, 'Fund Investment Data'!$A:$A = $A1915, 'Fund Investment Data'!$B:$B &lt;= 3)) * Parameters!$B$4, 0),0)))"),0.0)</f>
        <v>0</v>
      </c>
      <c r="AB1915" s="32">
        <f>IFERROR(__xludf.DUMMYFUNCTION("IFERROR(((IFERROR(SUM(FILTER('Fund Investment Data'!$V:$V, 'Fund Investment Data'!$C:$C = $C1915, 'Fund Investment Data'!$A:$A = $A1915 - 2, 'Fund Investment Data'!$B:$B &gt;= 4)) * Parameters!$B$4,0) + IFERROR(SUM(FILTER('Fund Investment Data'!$V:$V, 'Fund "&amp;"Investment Data'!$C:$C = $C1915, 'Fund Investment Data'!$A:$A = $A1915 - 1, 'Fund Investment Data'!$B:$B &lt;= 3)) * Parameters!$B$4,0))),0)"),0.0)</f>
        <v>0</v>
      </c>
      <c r="AC1915" s="32">
        <f>IFERROR(__xludf.DUMMYFUNCTION("IFERROR(FILTER($AF:$AF,$C:$C = $C1915,$A:$A = $A1915 - 1,$B:$B = 12),0)"),0.0)</f>
        <v>0</v>
      </c>
      <c r="AD1915" s="32">
        <f t="shared" si="23"/>
        <v>0</v>
      </c>
      <c r="AE1915" s="32">
        <f t="shared" si="2"/>
        <v>0</v>
      </c>
      <c r="AF1915" s="32"/>
    </row>
    <row r="1916">
      <c r="A1916" s="86"/>
      <c r="B1916" s="87"/>
      <c r="C1916" s="88"/>
      <c r="D1916" s="104"/>
      <c r="E1916" s="104"/>
      <c r="F1916" s="104"/>
      <c r="G1916" s="104"/>
      <c r="H1916" s="104"/>
      <c r="I1916" s="104"/>
      <c r="J1916" s="104"/>
      <c r="K1916" s="32"/>
      <c r="L1916" s="32"/>
      <c r="M1916" s="32"/>
      <c r="N1916" s="32"/>
      <c r="O1916" s="106"/>
      <c r="P1916" s="91">
        <f>IFERROR(__xludf.DUMMYFUNCTION("IFERROR(sum(FILTER($D:$N,$C:$C = $C1916,$A:$A &lt; $A1916,$B:$B = 12)),0) + sum($D1916:$N1916)"),0.0)</f>
        <v>0</v>
      </c>
      <c r="Q1916" s="92">
        <f t="shared" si="1"/>
        <v>0</v>
      </c>
      <c r="R1916" s="91">
        <f t="array" ref="R1916">IFERROR(INDEX('Fund YTD Target Values'!$1:$1000, MATCH($C1916,'Fund YTD Target Values'!$A:$A,0), MATCH($A1916,'Fund YTD Target Values'!$1:$1,0)),0)</f>
        <v>0</v>
      </c>
      <c r="S1916" s="91">
        <f>IFERROR(__xludf.DUMMYFUNCTION("IFERROR(sum(FILTER('Fund Investment Data'!$V:$V, 'Fund Investment Data'!$C:$C = $C1916, 'Fund Investment Data'!$A:$A &lt; $A1916)),0) + IFERROR(sum(FILTER('Fund Investment Data'!$V:$V, 'Fund Investment Data'!$C:$C = $C1916, 'Fund Investment Data'!$A:$A = $A1"&amp;"916, 'Fund Investment Data'!$B:$B &lt;= $B1916)),0)"),0.0)</f>
        <v>0</v>
      </c>
      <c r="T1916" s="32"/>
      <c r="U1916" s="32"/>
      <c r="V1916" s="32">
        <f>IFERROR(__xludf.DUMMYFUNCTION("$D1916 - IFERROR(FILTER($D:$D,$C:$C = $C1916, $A:$A = $A1916, $B:$B = $B1916 - 1),0)"),0.0)</f>
        <v>0</v>
      </c>
      <c r="W1916" s="93">
        <f>IFERROR(__xludf.DUMMYFUNCTION("$E1916 - IFERROR(FILTER($E:$E,$C:$C = $C1916, $A:$A = $A1916, $B:$B = $B1916 - 1),0)"),0.0)</f>
        <v>0</v>
      </c>
      <c r="X1916" s="91">
        <f>IFERROR(__xludf.DUMMYFUNCTION("iFERROR((FILTER('Fund Investment Data'!$Z:$Z, 'Fund Investment Data'!$C:$C = $C1916, 'Fund Investment Data'!$A:$A = $A1916 - 1, 'Fund Investment Data'!$B:$B = 12) + FILTER('Fund Investment Data'!$AB:$AB, 'Fund Investment Data'!$C:$C = $C1916, 'Fund Invest"&amp;"ment Data'!$A:$A = $A1916 - 1, 'Fund Investment Data'!$B:$B = 12)) * (1 + AVERAGE(FILTER('Inflation Data'!$C:$C,'Inflation Data'!$A:$A = ($A1916 - 2)))) * Parameters!$A$4,0)"),0.0)</f>
        <v>0</v>
      </c>
      <c r="Y1916" s="91">
        <f>IFERROR(__xludf.DUMMYFUNCTION("IFERROR((IFERROR(FILTER('Fund Investment Data'!$P:$P,'Fund Investment Data'!$C:$C = $C1916,'Fund Investment Data'!$A:$A = ($A1916 - 2), 'Fund Investment Data'!$B:$B = 12),0) - SUM(FILTER('Fund Investment Data'!$V:$V, 'Fund Investment Data'!$C:$C = $C1916,"&amp;" 'Fund Investment Data'!$A:$A = ($A1916 - 2), 'Fund Investment Data'!$B:$B &gt; 3)))  * Parameters!$B$4 * (1 - Parameters!$A$4),0)"),0.0)</f>
        <v>0</v>
      </c>
      <c r="Z1916" s="91">
        <f t="shared" si="24"/>
        <v>0</v>
      </c>
      <c r="AA1916" s="91">
        <f>IFERROR(__xludf.DUMMYFUNCTION("((IFERROR((SUM(FILTER('Fund Investment Data'!$V:$V, 'Fund Investment Data'!$C:$C = $C1916, 'Fund Investment Data'!$A:$A = $A1916 - 1, 'Fund Investment Data'!$B:$B &gt;= 4, 'Fund Investment Data'!$B:$B &lt;= ($B1916 + 5))) / 12) * ($B1916 - 3) * Parameters!$B$4,"&amp;" 0) + IF($B1916 &gt;= 9, IFERROR(SUM(FILTER('Fund Investment Data'!$V:$V, 'Fund Investment Data'!$C:$C = $C1916, 'Fund Investment Data'!$A:$A = $A1916, 'Fund Investment Data'!$B:$B &lt;= 3)) * Parameters!$B$4, 0),0)))"),0.0)</f>
        <v>0</v>
      </c>
      <c r="AB1916" s="32">
        <f>IFERROR(__xludf.DUMMYFUNCTION("IFERROR(((IFERROR(SUM(FILTER('Fund Investment Data'!$V:$V, 'Fund Investment Data'!$C:$C = $C1916, 'Fund Investment Data'!$A:$A = $A1916 - 2, 'Fund Investment Data'!$B:$B &gt;= 4)) * Parameters!$B$4,0) + IFERROR(SUM(FILTER('Fund Investment Data'!$V:$V, 'Fund "&amp;"Investment Data'!$C:$C = $C1916, 'Fund Investment Data'!$A:$A = $A1916 - 1, 'Fund Investment Data'!$B:$B &lt;= 3)) * Parameters!$B$4,0))),0)"),0.0)</f>
        <v>0</v>
      </c>
      <c r="AC1916" s="32">
        <f>IFERROR(__xludf.DUMMYFUNCTION("IFERROR(FILTER($AF:$AF,$C:$C = $C1916,$A:$A = $A1916 - 1,$B:$B = 12),0)"),0.0)</f>
        <v>0</v>
      </c>
      <c r="AD1916" s="32">
        <f t="shared" si="23"/>
        <v>0</v>
      </c>
      <c r="AE1916" s="32">
        <f t="shared" si="2"/>
        <v>0</v>
      </c>
      <c r="AF1916" s="32"/>
    </row>
    <row r="1917">
      <c r="A1917" s="86"/>
      <c r="B1917" s="87"/>
      <c r="C1917" s="88"/>
      <c r="D1917" s="104"/>
      <c r="E1917" s="104"/>
      <c r="F1917" s="104"/>
      <c r="G1917" s="104"/>
      <c r="H1917" s="104"/>
      <c r="I1917" s="104"/>
      <c r="J1917" s="104"/>
      <c r="K1917" s="32"/>
      <c r="L1917" s="32"/>
      <c r="M1917" s="32"/>
      <c r="N1917" s="32"/>
      <c r="O1917" s="106"/>
      <c r="P1917" s="91">
        <f>IFERROR(__xludf.DUMMYFUNCTION("IFERROR(sum(FILTER($D:$N,$C:$C = $C1917,$A:$A &lt; $A1917,$B:$B = 12)),0) + sum($D1917:$N1917)"),0.0)</f>
        <v>0</v>
      </c>
      <c r="Q1917" s="92">
        <f t="shared" si="1"/>
        <v>0</v>
      </c>
      <c r="R1917" s="91">
        <f t="array" ref="R1917">IFERROR(INDEX('Fund YTD Target Values'!$1:$1000, MATCH($C1917,'Fund YTD Target Values'!$A:$A,0), MATCH($A1917,'Fund YTD Target Values'!$1:$1,0)),0)</f>
        <v>0</v>
      </c>
      <c r="S1917" s="91">
        <f>IFERROR(__xludf.DUMMYFUNCTION("IFERROR(sum(FILTER('Fund Investment Data'!$V:$V, 'Fund Investment Data'!$C:$C = $C1917, 'Fund Investment Data'!$A:$A &lt; $A1917)),0) + IFERROR(sum(FILTER('Fund Investment Data'!$V:$V, 'Fund Investment Data'!$C:$C = $C1917, 'Fund Investment Data'!$A:$A = $A1"&amp;"917, 'Fund Investment Data'!$B:$B &lt;= $B1917)),0)"),0.0)</f>
        <v>0</v>
      </c>
      <c r="T1917" s="32"/>
      <c r="U1917" s="32"/>
      <c r="V1917" s="32">
        <f>IFERROR(__xludf.DUMMYFUNCTION("$D1917 - IFERROR(FILTER($D:$D,$C:$C = $C1917, $A:$A = $A1917, $B:$B = $B1917 - 1),0)"),0.0)</f>
        <v>0</v>
      </c>
      <c r="W1917" s="93">
        <f>IFERROR(__xludf.DUMMYFUNCTION("$E1917 - IFERROR(FILTER($E:$E,$C:$C = $C1917, $A:$A = $A1917, $B:$B = $B1917 - 1),0)"),0.0)</f>
        <v>0</v>
      </c>
      <c r="X1917" s="91">
        <f>IFERROR(__xludf.DUMMYFUNCTION("iFERROR((FILTER('Fund Investment Data'!$Z:$Z, 'Fund Investment Data'!$C:$C = $C1917, 'Fund Investment Data'!$A:$A = $A1917 - 1, 'Fund Investment Data'!$B:$B = 12) + FILTER('Fund Investment Data'!$AB:$AB, 'Fund Investment Data'!$C:$C = $C1917, 'Fund Invest"&amp;"ment Data'!$A:$A = $A1917 - 1, 'Fund Investment Data'!$B:$B = 12)) * (1 + AVERAGE(FILTER('Inflation Data'!$C:$C,'Inflation Data'!$A:$A = ($A1917 - 2)))) * Parameters!$A$4,0)"),0.0)</f>
        <v>0</v>
      </c>
      <c r="Y1917" s="91">
        <f>IFERROR(__xludf.DUMMYFUNCTION("IFERROR((IFERROR(FILTER('Fund Investment Data'!$P:$P,'Fund Investment Data'!$C:$C = $C1917,'Fund Investment Data'!$A:$A = ($A1917 - 2), 'Fund Investment Data'!$B:$B = 12),0) - SUM(FILTER('Fund Investment Data'!$V:$V, 'Fund Investment Data'!$C:$C = $C1917,"&amp;" 'Fund Investment Data'!$A:$A = ($A1917 - 2), 'Fund Investment Data'!$B:$B &gt; 3)))  * Parameters!$B$4 * (1 - Parameters!$A$4),0)"),0.0)</f>
        <v>0</v>
      </c>
      <c r="Z1917" s="91">
        <f t="shared" si="24"/>
        <v>0</v>
      </c>
      <c r="AA1917" s="91">
        <f>IFERROR(__xludf.DUMMYFUNCTION("((IFERROR((SUM(FILTER('Fund Investment Data'!$V:$V, 'Fund Investment Data'!$C:$C = $C1917, 'Fund Investment Data'!$A:$A = $A1917 - 1, 'Fund Investment Data'!$B:$B &gt;= 4, 'Fund Investment Data'!$B:$B &lt;= ($B1917 + 5))) / 12) * ($B1917 - 3) * Parameters!$B$4,"&amp;" 0) + IF($B1917 &gt;= 9, IFERROR(SUM(FILTER('Fund Investment Data'!$V:$V, 'Fund Investment Data'!$C:$C = $C1917, 'Fund Investment Data'!$A:$A = $A1917, 'Fund Investment Data'!$B:$B &lt;= 3)) * Parameters!$B$4, 0),0)))"),0.0)</f>
        <v>0</v>
      </c>
      <c r="AB1917" s="32">
        <f>IFERROR(__xludf.DUMMYFUNCTION("IFERROR(((IFERROR(SUM(FILTER('Fund Investment Data'!$V:$V, 'Fund Investment Data'!$C:$C = $C1917, 'Fund Investment Data'!$A:$A = $A1917 - 2, 'Fund Investment Data'!$B:$B &gt;= 4)) * Parameters!$B$4,0) + IFERROR(SUM(FILTER('Fund Investment Data'!$V:$V, 'Fund "&amp;"Investment Data'!$C:$C = $C1917, 'Fund Investment Data'!$A:$A = $A1917 - 1, 'Fund Investment Data'!$B:$B &lt;= 3)) * Parameters!$B$4,0))),0)"),0.0)</f>
        <v>0</v>
      </c>
      <c r="AC1917" s="32">
        <f>IFERROR(__xludf.DUMMYFUNCTION("IFERROR(FILTER($AF:$AF,$C:$C = $C1917,$A:$A = $A1917 - 1,$B:$B = 12),0)"),0.0)</f>
        <v>0</v>
      </c>
      <c r="AD1917" s="32">
        <f t="shared" si="23"/>
        <v>0</v>
      </c>
      <c r="AE1917" s="32">
        <f t="shared" si="2"/>
        <v>0</v>
      </c>
      <c r="AF1917" s="32"/>
    </row>
    <row r="1918">
      <c r="A1918" s="86"/>
      <c r="B1918" s="87"/>
      <c r="C1918" s="88"/>
      <c r="D1918" s="104"/>
      <c r="E1918" s="104"/>
      <c r="F1918" s="104"/>
      <c r="G1918" s="104"/>
      <c r="H1918" s="104"/>
      <c r="I1918" s="104"/>
      <c r="J1918" s="104"/>
      <c r="K1918" s="32"/>
      <c r="L1918" s="32"/>
      <c r="M1918" s="32"/>
      <c r="N1918" s="32"/>
      <c r="O1918" s="106"/>
      <c r="P1918" s="91">
        <f>IFERROR(__xludf.DUMMYFUNCTION("IFERROR(sum(FILTER($D:$N,$C:$C = $C1918,$A:$A &lt; $A1918,$B:$B = 12)),0) + sum($D1918:$N1918)"),0.0)</f>
        <v>0</v>
      </c>
      <c r="Q1918" s="92">
        <f t="shared" si="1"/>
        <v>0</v>
      </c>
      <c r="R1918" s="91">
        <f t="array" ref="R1918">IFERROR(INDEX('Fund YTD Target Values'!$1:$1000, MATCH($C1918,'Fund YTD Target Values'!$A:$A,0), MATCH($A1918,'Fund YTD Target Values'!$1:$1,0)),0)</f>
        <v>0</v>
      </c>
      <c r="S1918" s="91">
        <f>IFERROR(__xludf.DUMMYFUNCTION("IFERROR(sum(FILTER('Fund Investment Data'!$V:$V, 'Fund Investment Data'!$C:$C = $C1918, 'Fund Investment Data'!$A:$A &lt; $A1918)),0) + IFERROR(sum(FILTER('Fund Investment Data'!$V:$V, 'Fund Investment Data'!$C:$C = $C1918, 'Fund Investment Data'!$A:$A = $A1"&amp;"918, 'Fund Investment Data'!$B:$B &lt;= $B1918)),0)"),0.0)</f>
        <v>0</v>
      </c>
      <c r="T1918" s="32"/>
      <c r="U1918" s="32"/>
      <c r="V1918" s="32">
        <f>IFERROR(__xludf.DUMMYFUNCTION("$D1918 - IFERROR(FILTER($D:$D,$C:$C = $C1918, $A:$A = $A1918, $B:$B = $B1918 - 1),0)"),0.0)</f>
        <v>0</v>
      </c>
      <c r="W1918" s="93">
        <f>IFERROR(__xludf.DUMMYFUNCTION("$E1918 - IFERROR(FILTER($E:$E,$C:$C = $C1918, $A:$A = $A1918, $B:$B = $B1918 - 1),0)"),0.0)</f>
        <v>0</v>
      </c>
      <c r="X1918" s="91">
        <f>IFERROR(__xludf.DUMMYFUNCTION("iFERROR((FILTER('Fund Investment Data'!$Z:$Z, 'Fund Investment Data'!$C:$C = $C1918, 'Fund Investment Data'!$A:$A = $A1918 - 1, 'Fund Investment Data'!$B:$B = 12) + FILTER('Fund Investment Data'!$AB:$AB, 'Fund Investment Data'!$C:$C = $C1918, 'Fund Invest"&amp;"ment Data'!$A:$A = $A1918 - 1, 'Fund Investment Data'!$B:$B = 12)) * (1 + AVERAGE(FILTER('Inflation Data'!$C:$C,'Inflation Data'!$A:$A = ($A1918 - 2)))) * Parameters!$A$4,0)"),0.0)</f>
        <v>0</v>
      </c>
      <c r="Y1918" s="91">
        <f>IFERROR(__xludf.DUMMYFUNCTION("IFERROR((IFERROR(FILTER('Fund Investment Data'!$P:$P,'Fund Investment Data'!$C:$C = $C1918,'Fund Investment Data'!$A:$A = ($A1918 - 2), 'Fund Investment Data'!$B:$B = 12),0) - SUM(FILTER('Fund Investment Data'!$V:$V, 'Fund Investment Data'!$C:$C = $C1918,"&amp;" 'Fund Investment Data'!$A:$A = ($A1918 - 2), 'Fund Investment Data'!$B:$B &gt; 3)))  * Parameters!$B$4 * (1 - Parameters!$A$4),0)"),0.0)</f>
        <v>0</v>
      </c>
      <c r="Z1918" s="91">
        <f t="shared" si="24"/>
        <v>0</v>
      </c>
      <c r="AA1918" s="91">
        <f>IFERROR(__xludf.DUMMYFUNCTION("((IFERROR((SUM(FILTER('Fund Investment Data'!$V:$V, 'Fund Investment Data'!$C:$C = $C1918, 'Fund Investment Data'!$A:$A = $A1918 - 1, 'Fund Investment Data'!$B:$B &gt;= 4, 'Fund Investment Data'!$B:$B &lt;= ($B1918 + 5))) / 12) * ($B1918 - 3) * Parameters!$B$4,"&amp;" 0) + IF($B1918 &gt;= 9, IFERROR(SUM(FILTER('Fund Investment Data'!$V:$V, 'Fund Investment Data'!$C:$C = $C1918, 'Fund Investment Data'!$A:$A = $A1918, 'Fund Investment Data'!$B:$B &lt;= 3)) * Parameters!$B$4, 0),0)))"),0.0)</f>
        <v>0</v>
      </c>
      <c r="AB1918" s="32">
        <f>IFERROR(__xludf.DUMMYFUNCTION("IFERROR(((IFERROR(SUM(FILTER('Fund Investment Data'!$V:$V, 'Fund Investment Data'!$C:$C = $C1918, 'Fund Investment Data'!$A:$A = $A1918 - 2, 'Fund Investment Data'!$B:$B &gt;= 4)) * Parameters!$B$4,0) + IFERROR(SUM(FILTER('Fund Investment Data'!$V:$V, 'Fund "&amp;"Investment Data'!$C:$C = $C1918, 'Fund Investment Data'!$A:$A = $A1918 - 1, 'Fund Investment Data'!$B:$B &lt;= 3)) * Parameters!$B$4,0))),0)"),0.0)</f>
        <v>0</v>
      </c>
      <c r="AC1918" s="32">
        <f>IFERROR(__xludf.DUMMYFUNCTION("IFERROR(FILTER($AF:$AF,$C:$C = $C1918,$A:$A = $A1918 - 1,$B:$B = 12),0)"),0.0)</f>
        <v>0</v>
      </c>
      <c r="AD1918" s="32">
        <f t="shared" si="23"/>
        <v>0</v>
      </c>
      <c r="AE1918" s="32">
        <f t="shared" si="2"/>
        <v>0</v>
      </c>
      <c r="AF1918" s="32"/>
    </row>
    <row r="1919">
      <c r="A1919" s="86"/>
      <c r="B1919" s="87"/>
      <c r="C1919" s="88"/>
      <c r="D1919" s="104"/>
      <c r="E1919" s="104"/>
      <c r="F1919" s="104"/>
      <c r="G1919" s="104"/>
      <c r="H1919" s="104"/>
      <c r="I1919" s="104"/>
      <c r="J1919" s="104"/>
      <c r="K1919" s="32"/>
      <c r="L1919" s="32"/>
      <c r="M1919" s="32"/>
      <c r="N1919" s="32"/>
      <c r="O1919" s="106"/>
      <c r="P1919" s="91">
        <f>IFERROR(__xludf.DUMMYFUNCTION("IFERROR(sum(FILTER($D:$N,$C:$C = $C1919,$A:$A &lt; $A1919,$B:$B = 12)),0) + sum($D1919:$N1919)"),0.0)</f>
        <v>0</v>
      </c>
      <c r="Q1919" s="92">
        <f t="shared" si="1"/>
        <v>0</v>
      </c>
      <c r="R1919" s="91">
        <f t="array" ref="R1919">IFERROR(INDEX('Fund YTD Target Values'!$1:$1000, MATCH($C1919,'Fund YTD Target Values'!$A:$A,0), MATCH($A1919,'Fund YTD Target Values'!$1:$1,0)),0)</f>
        <v>0</v>
      </c>
      <c r="S1919" s="91">
        <f>IFERROR(__xludf.DUMMYFUNCTION("IFERROR(sum(FILTER('Fund Investment Data'!$V:$V, 'Fund Investment Data'!$C:$C = $C1919, 'Fund Investment Data'!$A:$A &lt; $A1919)),0) + IFERROR(sum(FILTER('Fund Investment Data'!$V:$V, 'Fund Investment Data'!$C:$C = $C1919, 'Fund Investment Data'!$A:$A = $A1"&amp;"919, 'Fund Investment Data'!$B:$B &lt;= $B1919)),0)"),0.0)</f>
        <v>0</v>
      </c>
      <c r="T1919" s="32"/>
      <c r="U1919" s="32"/>
      <c r="V1919" s="32">
        <f>IFERROR(__xludf.DUMMYFUNCTION("$D1919 - IFERROR(FILTER($D:$D,$C:$C = $C1919, $A:$A = $A1919, $B:$B = $B1919 - 1),0)"),0.0)</f>
        <v>0</v>
      </c>
      <c r="W1919" s="93">
        <f>IFERROR(__xludf.DUMMYFUNCTION("$E1919 - IFERROR(FILTER($E:$E,$C:$C = $C1919, $A:$A = $A1919, $B:$B = $B1919 - 1),0)"),0.0)</f>
        <v>0</v>
      </c>
      <c r="X1919" s="91">
        <f>IFERROR(__xludf.DUMMYFUNCTION("iFERROR((FILTER('Fund Investment Data'!$Z:$Z, 'Fund Investment Data'!$C:$C = $C1919, 'Fund Investment Data'!$A:$A = $A1919 - 1, 'Fund Investment Data'!$B:$B = 12) + FILTER('Fund Investment Data'!$AB:$AB, 'Fund Investment Data'!$C:$C = $C1919, 'Fund Invest"&amp;"ment Data'!$A:$A = $A1919 - 1, 'Fund Investment Data'!$B:$B = 12)) * (1 + AVERAGE(FILTER('Inflation Data'!$C:$C,'Inflation Data'!$A:$A = ($A1919 - 2)))) * Parameters!$A$4,0)"),0.0)</f>
        <v>0</v>
      </c>
      <c r="Y1919" s="91">
        <f>IFERROR(__xludf.DUMMYFUNCTION("IFERROR((IFERROR(FILTER('Fund Investment Data'!$P:$P,'Fund Investment Data'!$C:$C = $C1919,'Fund Investment Data'!$A:$A = ($A1919 - 2), 'Fund Investment Data'!$B:$B = 12),0) - SUM(FILTER('Fund Investment Data'!$V:$V, 'Fund Investment Data'!$C:$C = $C1919,"&amp;" 'Fund Investment Data'!$A:$A = ($A1919 - 2), 'Fund Investment Data'!$B:$B &gt; 3)))  * Parameters!$B$4 * (1 - Parameters!$A$4),0)"),0.0)</f>
        <v>0</v>
      </c>
      <c r="Z1919" s="91">
        <f t="shared" si="24"/>
        <v>0</v>
      </c>
      <c r="AA1919" s="91">
        <f>IFERROR(__xludf.DUMMYFUNCTION("((IFERROR((SUM(FILTER('Fund Investment Data'!$V:$V, 'Fund Investment Data'!$C:$C = $C1919, 'Fund Investment Data'!$A:$A = $A1919 - 1, 'Fund Investment Data'!$B:$B &gt;= 4, 'Fund Investment Data'!$B:$B &lt;= ($B1919 + 5))) / 12) * ($B1919 - 3) * Parameters!$B$4,"&amp;" 0) + IF($B1919 &gt;= 9, IFERROR(SUM(FILTER('Fund Investment Data'!$V:$V, 'Fund Investment Data'!$C:$C = $C1919, 'Fund Investment Data'!$A:$A = $A1919, 'Fund Investment Data'!$B:$B &lt;= 3)) * Parameters!$B$4, 0),0)))"),0.0)</f>
        <v>0</v>
      </c>
      <c r="AB1919" s="32">
        <f>IFERROR(__xludf.DUMMYFUNCTION("IFERROR(((IFERROR(SUM(FILTER('Fund Investment Data'!$V:$V, 'Fund Investment Data'!$C:$C = $C1919, 'Fund Investment Data'!$A:$A = $A1919 - 2, 'Fund Investment Data'!$B:$B &gt;= 4)) * Parameters!$B$4,0) + IFERROR(SUM(FILTER('Fund Investment Data'!$V:$V, 'Fund "&amp;"Investment Data'!$C:$C = $C1919, 'Fund Investment Data'!$A:$A = $A1919 - 1, 'Fund Investment Data'!$B:$B &lt;= 3)) * Parameters!$B$4,0))),0)"),0.0)</f>
        <v>0</v>
      </c>
      <c r="AC1919" s="32">
        <f>IFERROR(__xludf.DUMMYFUNCTION("IFERROR(FILTER($AF:$AF,$C:$C = $C1919,$A:$A = $A1919 - 1,$B:$B = 12),0)"),0.0)</f>
        <v>0</v>
      </c>
      <c r="AD1919" s="32">
        <f t="shared" si="23"/>
        <v>0</v>
      </c>
      <c r="AE1919" s="32">
        <f t="shared" si="2"/>
        <v>0</v>
      </c>
      <c r="AF1919" s="32"/>
    </row>
    <row r="1920">
      <c r="A1920" s="86"/>
      <c r="B1920" s="87"/>
      <c r="C1920" s="88"/>
      <c r="D1920" s="104"/>
      <c r="E1920" s="104"/>
      <c r="F1920" s="104"/>
      <c r="G1920" s="104"/>
      <c r="H1920" s="104"/>
      <c r="I1920" s="104"/>
      <c r="J1920" s="104"/>
      <c r="K1920" s="32"/>
      <c r="L1920" s="32"/>
      <c r="M1920" s="32"/>
      <c r="N1920" s="32"/>
      <c r="O1920" s="106"/>
      <c r="P1920" s="91">
        <f>IFERROR(__xludf.DUMMYFUNCTION("IFERROR(sum(FILTER($D:$N,$C:$C = $C1920,$A:$A &lt; $A1920,$B:$B = 12)),0) + sum($D1920:$N1920)"),0.0)</f>
        <v>0</v>
      </c>
      <c r="Q1920" s="92">
        <f t="shared" si="1"/>
        <v>0</v>
      </c>
      <c r="R1920" s="91">
        <f t="array" ref="R1920">IFERROR(INDEX('Fund YTD Target Values'!$1:$1000, MATCH($C1920,'Fund YTD Target Values'!$A:$A,0), MATCH($A1920,'Fund YTD Target Values'!$1:$1,0)),0)</f>
        <v>0</v>
      </c>
      <c r="S1920" s="91">
        <f>IFERROR(__xludf.DUMMYFUNCTION("IFERROR(sum(FILTER('Fund Investment Data'!$V:$V, 'Fund Investment Data'!$C:$C = $C1920, 'Fund Investment Data'!$A:$A &lt; $A1920)),0) + IFERROR(sum(FILTER('Fund Investment Data'!$V:$V, 'Fund Investment Data'!$C:$C = $C1920, 'Fund Investment Data'!$A:$A = $A1"&amp;"920, 'Fund Investment Data'!$B:$B &lt;= $B1920)),0)"),0.0)</f>
        <v>0</v>
      </c>
      <c r="T1920" s="32"/>
      <c r="U1920" s="32"/>
      <c r="V1920" s="32">
        <f>IFERROR(__xludf.DUMMYFUNCTION("$D1920 - IFERROR(FILTER($D:$D,$C:$C = $C1920, $A:$A = $A1920, $B:$B = $B1920 - 1),0)"),0.0)</f>
        <v>0</v>
      </c>
      <c r="W1920" s="93">
        <f>IFERROR(__xludf.DUMMYFUNCTION("$E1920 - IFERROR(FILTER($E:$E,$C:$C = $C1920, $A:$A = $A1920, $B:$B = $B1920 - 1),0)"),0.0)</f>
        <v>0</v>
      </c>
      <c r="X1920" s="91">
        <f>IFERROR(__xludf.DUMMYFUNCTION("iFERROR((FILTER('Fund Investment Data'!$Z:$Z, 'Fund Investment Data'!$C:$C = $C1920, 'Fund Investment Data'!$A:$A = $A1920 - 1, 'Fund Investment Data'!$B:$B = 12) + FILTER('Fund Investment Data'!$AB:$AB, 'Fund Investment Data'!$C:$C = $C1920, 'Fund Invest"&amp;"ment Data'!$A:$A = $A1920 - 1, 'Fund Investment Data'!$B:$B = 12)) * (1 + AVERAGE(FILTER('Inflation Data'!$C:$C,'Inflation Data'!$A:$A = ($A1920 - 2)))) * Parameters!$A$4,0)"),0.0)</f>
        <v>0</v>
      </c>
      <c r="Y1920" s="91">
        <f>IFERROR(__xludf.DUMMYFUNCTION("IFERROR((IFERROR(FILTER('Fund Investment Data'!$P:$P,'Fund Investment Data'!$C:$C = $C1920,'Fund Investment Data'!$A:$A = ($A1920 - 2), 'Fund Investment Data'!$B:$B = 12),0) - SUM(FILTER('Fund Investment Data'!$V:$V, 'Fund Investment Data'!$C:$C = $C1920,"&amp;" 'Fund Investment Data'!$A:$A = ($A1920 - 2), 'Fund Investment Data'!$B:$B &gt; 3)))  * Parameters!$B$4 * (1 - Parameters!$A$4),0)"),0.0)</f>
        <v>0</v>
      </c>
      <c r="Z1920" s="91">
        <f t="shared" si="24"/>
        <v>0</v>
      </c>
      <c r="AA1920" s="91">
        <f>IFERROR(__xludf.DUMMYFUNCTION("((IFERROR((SUM(FILTER('Fund Investment Data'!$V:$V, 'Fund Investment Data'!$C:$C = $C1920, 'Fund Investment Data'!$A:$A = $A1920 - 1, 'Fund Investment Data'!$B:$B &gt;= 4, 'Fund Investment Data'!$B:$B &lt;= ($B1920 + 5))) / 12) * ($B1920 - 3) * Parameters!$B$4,"&amp;" 0) + IF($B1920 &gt;= 9, IFERROR(SUM(FILTER('Fund Investment Data'!$V:$V, 'Fund Investment Data'!$C:$C = $C1920, 'Fund Investment Data'!$A:$A = $A1920, 'Fund Investment Data'!$B:$B &lt;= 3)) * Parameters!$B$4, 0),0)))"),0.0)</f>
        <v>0</v>
      </c>
      <c r="AB1920" s="32">
        <f>IFERROR(__xludf.DUMMYFUNCTION("IFERROR(((IFERROR(SUM(FILTER('Fund Investment Data'!$V:$V, 'Fund Investment Data'!$C:$C = $C1920, 'Fund Investment Data'!$A:$A = $A1920 - 2, 'Fund Investment Data'!$B:$B &gt;= 4)) * Parameters!$B$4,0) + IFERROR(SUM(FILTER('Fund Investment Data'!$V:$V, 'Fund "&amp;"Investment Data'!$C:$C = $C1920, 'Fund Investment Data'!$A:$A = $A1920 - 1, 'Fund Investment Data'!$B:$B &lt;= 3)) * Parameters!$B$4,0))),0)"),0.0)</f>
        <v>0</v>
      </c>
      <c r="AC1920" s="32">
        <f>IFERROR(__xludf.DUMMYFUNCTION("IFERROR(FILTER($AF:$AF,$C:$C = $C1920,$A:$A = $A1920 - 1,$B:$B = 12),0)"),0.0)</f>
        <v>0</v>
      </c>
      <c r="AD1920" s="32">
        <f t="shared" si="23"/>
        <v>0</v>
      </c>
      <c r="AE1920" s="32">
        <f t="shared" si="2"/>
        <v>0</v>
      </c>
      <c r="AF1920" s="32"/>
    </row>
    <row r="1921">
      <c r="A1921" s="86"/>
      <c r="B1921" s="87"/>
      <c r="C1921" s="88"/>
      <c r="D1921" s="104"/>
      <c r="E1921" s="104"/>
      <c r="F1921" s="104"/>
      <c r="G1921" s="104"/>
      <c r="H1921" s="104"/>
      <c r="I1921" s="104"/>
      <c r="J1921" s="104"/>
      <c r="K1921" s="32"/>
      <c r="L1921" s="32"/>
      <c r="M1921" s="32"/>
      <c r="N1921" s="32"/>
      <c r="O1921" s="106"/>
      <c r="P1921" s="91">
        <f>IFERROR(__xludf.DUMMYFUNCTION("IFERROR(sum(FILTER($D:$N,$C:$C = $C1921,$A:$A &lt; $A1921,$B:$B = 12)),0) + sum($D1921:$N1921)"),0.0)</f>
        <v>0</v>
      </c>
      <c r="Q1921" s="92">
        <f t="shared" si="1"/>
        <v>0</v>
      </c>
      <c r="R1921" s="91">
        <f t="array" ref="R1921">IFERROR(INDEX('Fund YTD Target Values'!$1:$1000, MATCH($C1921,'Fund YTD Target Values'!$A:$A,0), MATCH($A1921,'Fund YTD Target Values'!$1:$1,0)),0)</f>
        <v>0</v>
      </c>
      <c r="S1921" s="91">
        <f>IFERROR(__xludf.DUMMYFUNCTION("IFERROR(sum(FILTER('Fund Investment Data'!$V:$V, 'Fund Investment Data'!$C:$C = $C1921, 'Fund Investment Data'!$A:$A &lt; $A1921)),0) + IFERROR(sum(FILTER('Fund Investment Data'!$V:$V, 'Fund Investment Data'!$C:$C = $C1921, 'Fund Investment Data'!$A:$A = $A1"&amp;"921, 'Fund Investment Data'!$B:$B &lt;= $B1921)),0)"),0.0)</f>
        <v>0</v>
      </c>
      <c r="T1921" s="32"/>
      <c r="U1921" s="32"/>
      <c r="V1921" s="32">
        <f>IFERROR(__xludf.DUMMYFUNCTION("$D1921 - IFERROR(FILTER($D:$D,$C:$C = $C1921, $A:$A = $A1921, $B:$B = $B1921 - 1),0)"),0.0)</f>
        <v>0</v>
      </c>
      <c r="W1921" s="93">
        <f>IFERROR(__xludf.DUMMYFUNCTION("$E1921 - IFERROR(FILTER($E:$E,$C:$C = $C1921, $A:$A = $A1921, $B:$B = $B1921 - 1),0)"),0.0)</f>
        <v>0</v>
      </c>
      <c r="X1921" s="91">
        <f>IFERROR(__xludf.DUMMYFUNCTION("iFERROR((FILTER('Fund Investment Data'!$Z:$Z, 'Fund Investment Data'!$C:$C = $C1921, 'Fund Investment Data'!$A:$A = $A1921 - 1, 'Fund Investment Data'!$B:$B = 12) + FILTER('Fund Investment Data'!$AB:$AB, 'Fund Investment Data'!$C:$C = $C1921, 'Fund Invest"&amp;"ment Data'!$A:$A = $A1921 - 1, 'Fund Investment Data'!$B:$B = 12)) * (1 + AVERAGE(FILTER('Inflation Data'!$C:$C,'Inflation Data'!$A:$A = ($A1921 - 2)))) * Parameters!$A$4,0)"),0.0)</f>
        <v>0</v>
      </c>
      <c r="Y1921" s="91">
        <f>IFERROR(__xludf.DUMMYFUNCTION("IFERROR((IFERROR(FILTER('Fund Investment Data'!$P:$P,'Fund Investment Data'!$C:$C = $C1921,'Fund Investment Data'!$A:$A = ($A1921 - 2), 'Fund Investment Data'!$B:$B = 12),0) - SUM(FILTER('Fund Investment Data'!$V:$V, 'Fund Investment Data'!$C:$C = $C1921,"&amp;" 'Fund Investment Data'!$A:$A = ($A1921 - 2), 'Fund Investment Data'!$B:$B &gt; 3)))  * Parameters!$B$4 * (1 - Parameters!$A$4),0)"),0.0)</f>
        <v>0</v>
      </c>
      <c r="Z1921" s="91">
        <f t="shared" si="24"/>
        <v>0</v>
      </c>
      <c r="AA1921" s="91">
        <f>IFERROR(__xludf.DUMMYFUNCTION("((IFERROR((SUM(FILTER('Fund Investment Data'!$V:$V, 'Fund Investment Data'!$C:$C = $C1921, 'Fund Investment Data'!$A:$A = $A1921 - 1, 'Fund Investment Data'!$B:$B &gt;= 4, 'Fund Investment Data'!$B:$B &lt;= ($B1921 + 5))) / 12) * ($B1921 - 3) * Parameters!$B$4,"&amp;" 0) + IF($B1921 &gt;= 9, IFERROR(SUM(FILTER('Fund Investment Data'!$V:$V, 'Fund Investment Data'!$C:$C = $C1921, 'Fund Investment Data'!$A:$A = $A1921, 'Fund Investment Data'!$B:$B &lt;= 3)) * Parameters!$B$4, 0),0)))"),0.0)</f>
        <v>0</v>
      </c>
      <c r="AB1921" s="32">
        <f>IFERROR(__xludf.DUMMYFUNCTION("IFERROR(((IFERROR(SUM(FILTER('Fund Investment Data'!$V:$V, 'Fund Investment Data'!$C:$C = $C1921, 'Fund Investment Data'!$A:$A = $A1921 - 2, 'Fund Investment Data'!$B:$B &gt;= 4)) * Parameters!$B$4,0) + IFERROR(SUM(FILTER('Fund Investment Data'!$V:$V, 'Fund "&amp;"Investment Data'!$C:$C = $C1921, 'Fund Investment Data'!$A:$A = $A1921 - 1, 'Fund Investment Data'!$B:$B &lt;= 3)) * Parameters!$B$4,0))),0)"),0.0)</f>
        <v>0</v>
      </c>
      <c r="AC1921" s="32">
        <f>IFERROR(__xludf.DUMMYFUNCTION("IFERROR(FILTER($AF:$AF,$C:$C = $C1921,$A:$A = $A1921 - 1,$B:$B = 12),0)"),0.0)</f>
        <v>0</v>
      </c>
      <c r="AD1921" s="32">
        <f t="shared" si="23"/>
        <v>0</v>
      </c>
      <c r="AE1921" s="32">
        <f t="shared" si="2"/>
        <v>0</v>
      </c>
      <c r="AF1921" s="32"/>
    </row>
    <row r="1922">
      <c r="A1922" s="86"/>
      <c r="B1922" s="87"/>
      <c r="C1922" s="88"/>
      <c r="D1922" s="104"/>
      <c r="E1922" s="104"/>
      <c r="F1922" s="104"/>
      <c r="G1922" s="104"/>
      <c r="H1922" s="104"/>
      <c r="I1922" s="104"/>
      <c r="J1922" s="104"/>
      <c r="K1922" s="32"/>
      <c r="L1922" s="32"/>
      <c r="M1922" s="32"/>
      <c r="N1922" s="32"/>
      <c r="O1922" s="106"/>
      <c r="P1922" s="91">
        <f>IFERROR(__xludf.DUMMYFUNCTION("IFERROR(sum(FILTER($D:$N,$C:$C = $C1922,$A:$A &lt; $A1922,$B:$B = 12)),0) + sum($D1922:$N1922)"),0.0)</f>
        <v>0</v>
      </c>
      <c r="Q1922" s="92">
        <f t="shared" si="1"/>
        <v>0</v>
      </c>
      <c r="R1922" s="91">
        <f t="array" ref="R1922">IFERROR(INDEX('Fund YTD Target Values'!$1:$1000, MATCH($C1922,'Fund YTD Target Values'!$A:$A,0), MATCH($A1922,'Fund YTD Target Values'!$1:$1,0)),0)</f>
        <v>0</v>
      </c>
      <c r="S1922" s="91">
        <f>IFERROR(__xludf.DUMMYFUNCTION("IFERROR(sum(FILTER('Fund Investment Data'!$V:$V, 'Fund Investment Data'!$C:$C = $C1922, 'Fund Investment Data'!$A:$A &lt; $A1922)),0) + IFERROR(sum(FILTER('Fund Investment Data'!$V:$V, 'Fund Investment Data'!$C:$C = $C1922, 'Fund Investment Data'!$A:$A = $A1"&amp;"922, 'Fund Investment Data'!$B:$B &lt;= $B1922)),0)"),0.0)</f>
        <v>0</v>
      </c>
      <c r="T1922" s="32"/>
      <c r="U1922" s="32"/>
      <c r="V1922" s="32">
        <f>IFERROR(__xludf.DUMMYFUNCTION("$D1922 - IFERROR(FILTER($D:$D,$C:$C = $C1922, $A:$A = $A1922, $B:$B = $B1922 - 1),0)"),0.0)</f>
        <v>0</v>
      </c>
      <c r="W1922" s="93">
        <f>IFERROR(__xludf.DUMMYFUNCTION("$E1922 - IFERROR(FILTER($E:$E,$C:$C = $C1922, $A:$A = $A1922, $B:$B = $B1922 - 1),0)"),0.0)</f>
        <v>0</v>
      </c>
      <c r="X1922" s="91">
        <f>IFERROR(__xludf.DUMMYFUNCTION("iFERROR((FILTER('Fund Investment Data'!$Z:$Z, 'Fund Investment Data'!$C:$C = $C1922, 'Fund Investment Data'!$A:$A = $A1922 - 1, 'Fund Investment Data'!$B:$B = 12) + FILTER('Fund Investment Data'!$AB:$AB, 'Fund Investment Data'!$C:$C = $C1922, 'Fund Invest"&amp;"ment Data'!$A:$A = $A1922 - 1, 'Fund Investment Data'!$B:$B = 12)) * (1 + AVERAGE(FILTER('Inflation Data'!$C:$C,'Inflation Data'!$A:$A = ($A1922 - 2)))) * Parameters!$A$4,0)"),0.0)</f>
        <v>0</v>
      </c>
      <c r="Y1922" s="91">
        <f>IFERROR(__xludf.DUMMYFUNCTION("IFERROR((IFERROR(FILTER('Fund Investment Data'!$P:$P,'Fund Investment Data'!$C:$C = $C1922,'Fund Investment Data'!$A:$A = ($A1922 - 2), 'Fund Investment Data'!$B:$B = 12),0) - SUM(FILTER('Fund Investment Data'!$V:$V, 'Fund Investment Data'!$C:$C = $C1922,"&amp;" 'Fund Investment Data'!$A:$A = ($A1922 - 2), 'Fund Investment Data'!$B:$B &gt; 3)))  * Parameters!$B$4 * (1 - Parameters!$A$4),0)"),0.0)</f>
        <v>0</v>
      </c>
      <c r="Z1922" s="91">
        <f t="shared" si="24"/>
        <v>0</v>
      </c>
      <c r="AA1922" s="91">
        <f>IFERROR(__xludf.DUMMYFUNCTION("((IFERROR((SUM(FILTER('Fund Investment Data'!$V:$V, 'Fund Investment Data'!$C:$C = $C1922, 'Fund Investment Data'!$A:$A = $A1922 - 1, 'Fund Investment Data'!$B:$B &gt;= 4, 'Fund Investment Data'!$B:$B &lt;= ($B1922 + 5))) / 12) * ($B1922 - 3) * Parameters!$B$4,"&amp;" 0) + IF($B1922 &gt;= 9, IFERROR(SUM(FILTER('Fund Investment Data'!$V:$V, 'Fund Investment Data'!$C:$C = $C1922, 'Fund Investment Data'!$A:$A = $A1922, 'Fund Investment Data'!$B:$B &lt;= 3)) * Parameters!$B$4, 0),0)))"),0.0)</f>
        <v>0</v>
      </c>
      <c r="AB1922" s="32">
        <f>IFERROR(__xludf.DUMMYFUNCTION("IFERROR(((IFERROR(SUM(FILTER('Fund Investment Data'!$V:$V, 'Fund Investment Data'!$C:$C = $C1922, 'Fund Investment Data'!$A:$A = $A1922 - 2, 'Fund Investment Data'!$B:$B &gt;= 4)) * Parameters!$B$4,0) + IFERROR(SUM(FILTER('Fund Investment Data'!$V:$V, 'Fund "&amp;"Investment Data'!$C:$C = $C1922, 'Fund Investment Data'!$A:$A = $A1922 - 1, 'Fund Investment Data'!$B:$B &lt;= 3)) * Parameters!$B$4,0))),0)"),0.0)</f>
        <v>0</v>
      </c>
      <c r="AC1922" s="32">
        <f>IFERROR(__xludf.DUMMYFUNCTION("IFERROR(FILTER($AF:$AF,$C:$C = $C1922,$A:$A = $A1922 - 1,$B:$B = 12),0)"),0.0)</f>
        <v>0</v>
      </c>
      <c r="AD1922" s="32">
        <f t="shared" si="23"/>
        <v>0</v>
      </c>
      <c r="AE1922" s="32">
        <f t="shared" si="2"/>
        <v>0</v>
      </c>
      <c r="AF1922" s="32"/>
    </row>
    <row r="1923">
      <c r="A1923" s="86"/>
      <c r="B1923" s="87"/>
      <c r="C1923" s="88"/>
      <c r="D1923" s="104"/>
      <c r="E1923" s="104"/>
      <c r="F1923" s="104"/>
      <c r="G1923" s="104"/>
      <c r="H1923" s="104"/>
      <c r="I1923" s="104"/>
      <c r="J1923" s="104"/>
      <c r="K1923" s="32"/>
      <c r="L1923" s="32"/>
      <c r="M1923" s="32"/>
      <c r="N1923" s="32"/>
      <c r="O1923" s="106"/>
      <c r="P1923" s="91">
        <f>IFERROR(__xludf.DUMMYFUNCTION("IFERROR(sum(FILTER($D:$N,$C:$C = $C1923,$A:$A &lt; $A1923,$B:$B = 12)),0) + sum($D1923:$N1923)"),0.0)</f>
        <v>0</v>
      </c>
      <c r="Q1923" s="92">
        <f t="shared" si="1"/>
        <v>0</v>
      </c>
      <c r="R1923" s="91">
        <f t="array" ref="R1923">IFERROR(INDEX('Fund YTD Target Values'!$1:$1000, MATCH($C1923,'Fund YTD Target Values'!$A:$A,0), MATCH($A1923,'Fund YTD Target Values'!$1:$1,0)),0)</f>
        <v>0</v>
      </c>
      <c r="S1923" s="91">
        <f>IFERROR(__xludf.DUMMYFUNCTION("IFERROR(sum(FILTER('Fund Investment Data'!$V:$V, 'Fund Investment Data'!$C:$C = $C1923, 'Fund Investment Data'!$A:$A &lt; $A1923)),0) + IFERROR(sum(FILTER('Fund Investment Data'!$V:$V, 'Fund Investment Data'!$C:$C = $C1923, 'Fund Investment Data'!$A:$A = $A1"&amp;"923, 'Fund Investment Data'!$B:$B &lt;= $B1923)),0)"),0.0)</f>
        <v>0</v>
      </c>
      <c r="T1923" s="32"/>
      <c r="U1923" s="32"/>
      <c r="V1923" s="32">
        <f>IFERROR(__xludf.DUMMYFUNCTION("$D1923 - IFERROR(FILTER($D:$D,$C:$C = $C1923, $A:$A = $A1923, $B:$B = $B1923 - 1),0)"),0.0)</f>
        <v>0</v>
      </c>
      <c r="W1923" s="93">
        <f>IFERROR(__xludf.DUMMYFUNCTION("$E1923 - IFERROR(FILTER($E:$E,$C:$C = $C1923, $A:$A = $A1923, $B:$B = $B1923 - 1),0)"),0.0)</f>
        <v>0</v>
      </c>
      <c r="X1923" s="91">
        <f>IFERROR(__xludf.DUMMYFUNCTION("iFERROR((FILTER('Fund Investment Data'!$Z:$Z, 'Fund Investment Data'!$C:$C = $C1923, 'Fund Investment Data'!$A:$A = $A1923 - 1, 'Fund Investment Data'!$B:$B = 12) + FILTER('Fund Investment Data'!$AB:$AB, 'Fund Investment Data'!$C:$C = $C1923, 'Fund Invest"&amp;"ment Data'!$A:$A = $A1923 - 1, 'Fund Investment Data'!$B:$B = 12)) * (1 + AVERAGE(FILTER('Inflation Data'!$C:$C,'Inflation Data'!$A:$A = ($A1923 - 2)))) * Parameters!$A$4,0)"),0.0)</f>
        <v>0</v>
      </c>
      <c r="Y1923" s="91">
        <f>IFERROR(__xludf.DUMMYFUNCTION("IFERROR((IFERROR(FILTER('Fund Investment Data'!$P:$P,'Fund Investment Data'!$C:$C = $C1923,'Fund Investment Data'!$A:$A = ($A1923 - 2), 'Fund Investment Data'!$B:$B = 12),0) - SUM(FILTER('Fund Investment Data'!$V:$V, 'Fund Investment Data'!$C:$C = $C1923,"&amp;" 'Fund Investment Data'!$A:$A = ($A1923 - 2), 'Fund Investment Data'!$B:$B &gt; 3)))  * Parameters!$B$4 * (1 - Parameters!$A$4),0)"),0.0)</f>
        <v>0</v>
      </c>
      <c r="Z1923" s="91">
        <f t="shared" si="24"/>
        <v>0</v>
      </c>
      <c r="AA1923" s="91">
        <f>IFERROR(__xludf.DUMMYFUNCTION("((IFERROR((SUM(FILTER('Fund Investment Data'!$V:$V, 'Fund Investment Data'!$C:$C = $C1923, 'Fund Investment Data'!$A:$A = $A1923 - 1, 'Fund Investment Data'!$B:$B &gt;= 4, 'Fund Investment Data'!$B:$B &lt;= ($B1923 + 5))) / 12) * ($B1923 - 3) * Parameters!$B$4,"&amp;" 0) + IF($B1923 &gt;= 9, IFERROR(SUM(FILTER('Fund Investment Data'!$V:$V, 'Fund Investment Data'!$C:$C = $C1923, 'Fund Investment Data'!$A:$A = $A1923, 'Fund Investment Data'!$B:$B &lt;= 3)) * Parameters!$B$4, 0),0)))"),0.0)</f>
        <v>0</v>
      </c>
      <c r="AB1923" s="32">
        <f>IFERROR(__xludf.DUMMYFUNCTION("IFERROR(((IFERROR(SUM(FILTER('Fund Investment Data'!$V:$V, 'Fund Investment Data'!$C:$C = $C1923, 'Fund Investment Data'!$A:$A = $A1923 - 2, 'Fund Investment Data'!$B:$B &gt;= 4)) * Parameters!$B$4,0) + IFERROR(SUM(FILTER('Fund Investment Data'!$V:$V, 'Fund "&amp;"Investment Data'!$C:$C = $C1923, 'Fund Investment Data'!$A:$A = $A1923 - 1, 'Fund Investment Data'!$B:$B &lt;= 3)) * Parameters!$B$4,0))),0)"),0.0)</f>
        <v>0</v>
      </c>
      <c r="AC1923" s="32">
        <f>IFERROR(__xludf.DUMMYFUNCTION("IFERROR(FILTER($AF:$AF,$C:$C = $C1923,$A:$A = $A1923 - 1,$B:$B = 12),0)"),0.0)</f>
        <v>0</v>
      </c>
      <c r="AD1923" s="32">
        <f t="shared" si="23"/>
        <v>0</v>
      </c>
      <c r="AE1923" s="32">
        <f t="shared" si="2"/>
        <v>0</v>
      </c>
      <c r="AF1923" s="32"/>
    </row>
    <row r="1924">
      <c r="A1924" s="86"/>
      <c r="B1924" s="87"/>
      <c r="C1924" s="88"/>
      <c r="D1924" s="104"/>
      <c r="E1924" s="104"/>
      <c r="F1924" s="104"/>
      <c r="G1924" s="104"/>
      <c r="H1924" s="104"/>
      <c r="I1924" s="104"/>
      <c r="J1924" s="104"/>
      <c r="K1924" s="32"/>
      <c r="L1924" s="32"/>
      <c r="M1924" s="32"/>
      <c r="N1924" s="32"/>
      <c r="O1924" s="106"/>
      <c r="P1924" s="91">
        <f>IFERROR(__xludf.DUMMYFUNCTION("IFERROR(sum(FILTER($D:$N,$C:$C = $C1924,$A:$A &lt; $A1924,$B:$B = 12)),0) + sum($D1924:$N1924)"),0.0)</f>
        <v>0</v>
      </c>
      <c r="Q1924" s="92">
        <f t="shared" si="1"/>
        <v>0</v>
      </c>
      <c r="R1924" s="91">
        <f t="array" ref="R1924">IFERROR(INDEX('Fund YTD Target Values'!$1:$1000, MATCH($C1924,'Fund YTD Target Values'!$A:$A,0), MATCH($A1924,'Fund YTD Target Values'!$1:$1,0)),0)</f>
        <v>0</v>
      </c>
      <c r="S1924" s="91">
        <f>IFERROR(__xludf.DUMMYFUNCTION("IFERROR(sum(FILTER('Fund Investment Data'!$V:$V, 'Fund Investment Data'!$C:$C = $C1924, 'Fund Investment Data'!$A:$A &lt; $A1924)),0) + IFERROR(sum(FILTER('Fund Investment Data'!$V:$V, 'Fund Investment Data'!$C:$C = $C1924, 'Fund Investment Data'!$A:$A = $A1"&amp;"924, 'Fund Investment Data'!$B:$B &lt;= $B1924)),0)"),0.0)</f>
        <v>0</v>
      </c>
      <c r="T1924" s="32"/>
      <c r="U1924" s="32"/>
      <c r="V1924" s="32">
        <f>IFERROR(__xludf.DUMMYFUNCTION("$D1924 - IFERROR(FILTER($D:$D,$C:$C = $C1924, $A:$A = $A1924, $B:$B = $B1924 - 1),0)"),0.0)</f>
        <v>0</v>
      </c>
      <c r="W1924" s="93">
        <f>IFERROR(__xludf.DUMMYFUNCTION("$E1924 - IFERROR(FILTER($E:$E,$C:$C = $C1924, $A:$A = $A1924, $B:$B = $B1924 - 1),0)"),0.0)</f>
        <v>0</v>
      </c>
      <c r="X1924" s="91">
        <f>IFERROR(__xludf.DUMMYFUNCTION("iFERROR((FILTER('Fund Investment Data'!$Z:$Z, 'Fund Investment Data'!$C:$C = $C1924, 'Fund Investment Data'!$A:$A = $A1924 - 1, 'Fund Investment Data'!$B:$B = 12) + FILTER('Fund Investment Data'!$AB:$AB, 'Fund Investment Data'!$C:$C = $C1924, 'Fund Invest"&amp;"ment Data'!$A:$A = $A1924 - 1, 'Fund Investment Data'!$B:$B = 12)) * (1 + AVERAGE(FILTER('Inflation Data'!$C:$C,'Inflation Data'!$A:$A = ($A1924 - 2)))) * Parameters!$A$4,0)"),0.0)</f>
        <v>0</v>
      </c>
      <c r="Y1924" s="91">
        <f>IFERROR(__xludf.DUMMYFUNCTION("IFERROR((IFERROR(FILTER('Fund Investment Data'!$P:$P,'Fund Investment Data'!$C:$C = $C1924,'Fund Investment Data'!$A:$A = ($A1924 - 2), 'Fund Investment Data'!$B:$B = 12),0) - SUM(FILTER('Fund Investment Data'!$V:$V, 'Fund Investment Data'!$C:$C = $C1924,"&amp;" 'Fund Investment Data'!$A:$A = ($A1924 - 2), 'Fund Investment Data'!$B:$B &gt; 3)))  * Parameters!$B$4 * (1 - Parameters!$A$4),0)"),0.0)</f>
        <v>0</v>
      </c>
      <c r="Z1924" s="91">
        <f t="shared" si="24"/>
        <v>0</v>
      </c>
      <c r="AA1924" s="91">
        <f>IFERROR(__xludf.DUMMYFUNCTION("((IFERROR((SUM(FILTER('Fund Investment Data'!$V:$V, 'Fund Investment Data'!$C:$C = $C1924, 'Fund Investment Data'!$A:$A = $A1924 - 1, 'Fund Investment Data'!$B:$B &gt;= 4, 'Fund Investment Data'!$B:$B &lt;= ($B1924 + 5))) / 12) * ($B1924 - 3) * Parameters!$B$4,"&amp;" 0) + IF($B1924 &gt;= 9, IFERROR(SUM(FILTER('Fund Investment Data'!$V:$V, 'Fund Investment Data'!$C:$C = $C1924, 'Fund Investment Data'!$A:$A = $A1924, 'Fund Investment Data'!$B:$B &lt;= 3)) * Parameters!$B$4, 0),0)))"),0.0)</f>
        <v>0</v>
      </c>
      <c r="AB1924" s="32">
        <f>IFERROR(__xludf.DUMMYFUNCTION("IFERROR(((IFERROR(SUM(FILTER('Fund Investment Data'!$V:$V, 'Fund Investment Data'!$C:$C = $C1924, 'Fund Investment Data'!$A:$A = $A1924 - 2, 'Fund Investment Data'!$B:$B &gt;= 4)) * Parameters!$B$4,0) + IFERROR(SUM(FILTER('Fund Investment Data'!$V:$V, 'Fund "&amp;"Investment Data'!$C:$C = $C1924, 'Fund Investment Data'!$A:$A = $A1924 - 1, 'Fund Investment Data'!$B:$B &lt;= 3)) * Parameters!$B$4,0))),0)"),0.0)</f>
        <v>0</v>
      </c>
      <c r="AC1924" s="32">
        <f>IFERROR(__xludf.DUMMYFUNCTION("IFERROR(FILTER($AF:$AF,$C:$C = $C1924,$A:$A = $A1924 - 1,$B:$B = 12),0)"),0.0)</f>
        <v>0</v>
      </c>
      <c r="AD1924" s="32">
        <f t="shared" si="23"/>
        <v>0</v>
      </c>
      <c r="AE1924" s="32">
        <f t="shared" si="2"/>
        <v>0</v>
      </c>
      <c r="AF1924" s="32"/>
    </row>
    <row r="1925">
      <c r="A1925" s="86"/>
      <c r="B1925" s="87"/>
      <c r="C1925" s="88"/>
      <c r="D1925" s="104"/>
      <c r="E1925" s="104"/>
      <c r="F1925" s="104"/>
      <c r="G1925" s="104"/>
      <c r="H1925" s="104"/>
      <c r="I1925" s="104"/>
      <c r="J1925" s="104"/>
      <c r="K1925" s="32"/>
      <c r="L1925" s="32"/>
      <c r="M1925" s="32"/>
      <c r="N1925" s="32"/>
      <c r="O1925" s="106"/>
      <c r="P1925" s="91">
        <f>IFERROR(__xludf.DUMMYFUNCTION("IFERROR(sum(FILTER($D:$N,$C:$C = $C1925,$A:$A &lt; $A1925,$B:$B = 12)),0) + sum($D1925:$N1925)"),0.0)</f>
        <v>0</v>
      </c>
      <c r="Q1925" s="92">
        <f t="shared" si="1"/>
        <v>0</v>
      </c>
      <c r="R1925" s="91">
        <f t="array" ref="R1925">IFERROR(INDEX('Fund YTD Target Values'!$1:$1000, MATCH($C1925,'Fund YTD Target Values'!$A:$A,0), MATCH($A1925,'Fund YTD Target Values'!$1:$1,0)),0)</f>
        <v>0</v>
      </c>
      <c r="S1925" s="91">
        <f>IFERROR(__xludf.DUMMYFUNCTION("IFERROR(sum(FILTER('Fund Investment Data'!$V:$V, 'Fund Investment Data'!$C:$C = $C1925, 'Fund Investment Data'!$A:$A &lt; $A1925)),0) + IFERROR(sum(FILTER('Fund Investment Data'!$V:$V, 'Fund Investment Data'!$C:$C = $C1925, 'Fund Investment Data'!$A:$A = $A1"&amp;"925, 'Fund Investment Data'!$B:$B &lt;= $B1925)),0)"),0.0)</f>
        <v>0</v>
      </c>
      <c r="T1925" s="32"/>
      <c r="U1925" s="32"/>
      <c r="V1925" s="32">
        <f>IFERROR(__xludf.DUMMYFUNCTION("$D1925 - IFERROR(FILTER($D:$D,$C:$C = $C1925, $A:$A = $A1925, $B:$B = $B1925 - 1),0)"),0.0)</f>
        <v>0</v>
      </c>
      <c r="W1925" s="93">
        <f>IFERROR(__xludf.DUMMYFUNCTION("$E1925 - IFERROR(FILTER($E:$E,$C:$C = $C1925, $A:$A = $A1925, $B:$B = $B1925 - 1),0)"),0.0)</f>
        <v>0</v>
      </c>
      <c r="X1925" s="91">
        <f>IFERROR(__xludf.DUMMYFUNCTION("iFERROR((FILTER('Fund Investment Data'!$Z:$Z, 'Fund Investment Data'!$C:$C = $C1925, 'Fund Investment Data'!$A:$A = $A1925 - 1, 'Fund Investment Data'!$B:$B = 12) + FILTER('Fund Investment Data'!$AB:$AB, 'Fund Investment Data'!$C:$C = $C1925, 'Fund Invest"&amp;"ment Data'!$A:$A = $A1925 - 1, 'Fund Investment Data'!$B:$B = 12)) * (1 + AVERAGE(FILTER('Inflation Data'!$C:$C,'Inflation Data'!$A:$A = ($A1925 - 2)))) * Parameters!$A$4,0)"),0.0)</f>
        <v>0</v>
      </c>
      <c r="Y1925" s="91">
        <f>IFERROR(__xludf.DUMMYFUNCTION("IFERROR((IFERROR(FILTER('Fund Investment Data'!$P:$P,'Fund Investment Data'!$C:$C = $C1925,'Fund Investment Data'!$A:$A = ($A1925 - 2), 'Fund Investment Data'!$B:$B = 12),0) - SUM(FILTER('Fund Investment Data'!$V:$V, 'Fund Investment Data'!$C:$C = $C1925,"&amp;" 'Fund Investment Data'!$A:$A = ($A1925 - 2), 'Fund Investment Data'!$B:$B &gt; 3)))  * Parameters!$B$4 * (1 - Parameters!$A$4),0)"),0.0)</f>
        <v>0</v>
      </c>
      <c r="Z1925" s="91">
        <f t="shared" si="24"/>
        <v>0</v>
      </c>
      <c r="AA1925" s="91">
        <f>IFERROR(__xludf.DUMMYFUNCTION("((IFERROR((SUM(FILTER('Fund Investment Data'!$V:$V, 'Fund Investment Data'!$C:$C = $C1925, 'Fund Investment Data'!$A:$A = $A1925 - 1, 'Fund Investment Data'!$B:$B &gt;= 4, 'Fund Investment Data'!$B:$B &lt;= ($B1925 + 5))) / 12) * ($B1925 - 3) * Parameters!$B$4,"&amp;" 0) + IF($B1925 &gt;= 9, IFERROR(SUM(FILTER('Fund Investment Data'!$V:$V, 'Fund Investment Data'!$C:$C = $C1925, 'Fund Investment Data'!$A:$A = $A1925, 'Fund Investment Data'!$B:$B &lt;= 3)) * Parameters!$B$4, 0),0)))"),0.0)</f>
        <v>0</v>
      </c>
      <c r="AB1925" s="32">
        <f>IFERROR(__xludf.DUMMYFUNCTION("IFERROR(((IFERROR(SUM(FILTER('Fund Investment Data'!$V:$V, 'Fund Investment Data'!$C:$C = $C1925, 'Fund Investment Data'!$A:$A = $A1925 - 2, 'Fund Investment Data'!$B:$B &gt;= 4)) * Parameters!$B$4,0) + IFERROR(SUM(FILTER('Fund Investment Data'!$V:$V, 'Fund "&amp;"Investment Data'!$C:$C = $C1925, 'Fund Investment Data'!$A:$A = $A1925 - 1, 'Fund Investment Data'!$B:$B &lt;= 3)) * Parameters!$B$4,0))),0)"),0.0)</f>
        <v>0</v>
      </c>
      <c r="AC1925" s="32">
        <f>IFERROR(__xludf.DUMMYFUNCTION("IFERROR(FILTER($AF:$AF,$C:$C = $C1925,$A:$A = $A1925 - 1,$B:$B = 12),0)"),0.0)</f>
        <v>0</v>
      </c>
      <c r="AD1925" s="32">
        <f t="shared" si="23"/>
        <v>0</v>
      </c>
      <c r="AE1925" s="32">
        <f t="shared" si="2"/>
        <v>0</v>
      </c>
      <c r="AF1925" s="32"/>
    </row>
    <row r="1926">
      <c r="A1926" s="86"/>
      <c r="B1926" s="87"/>
      <c r="C1926" s="88"/>
      <c r="D1926" s="104"/>
      <c r="E1926" s="104"/>
      <c r="F1926" s="104"/>
      <c r="G1926" s="104"/>
      <c r="H1926" s="104"/>
      <c r="I1926" s="104"/>
      <c r="J1926" s="104"/>
      <c r="K1926" s="32"/>
      <c r="L1926" s="32"/>
      <c r="M1926" s="32"/>
      <c r="N1926" s="32"/>
      <c r="O1926" s="106"/>
      <c r="P1926" s="91">
        <f>IFERROR(__xludf.DUMMYFUNCTION("IFERROR(sum(FILTER($D:$N,$C:$C = $C1926,$A:$A &lt; $A1926,$B:$B = 12)),0) + sum($D1926:$N1926)"),0.0)</f>
        <v>0</v>
      </c>
      <c r="Q1926" s="92">
        <f t="shared" si="1"/>
        <v>0</v>
      </c>
      <c r="R1926" s="91">
        <f t="array" ref="R1926">IFERROR(INDEX('Fund YTD Target Values'!$1:$1000, MATCH($C1926,'Fund YTD Target Values'!$A:$A,0), MATCH($A1926,'Fund YTD Target Values'!$1:$1,0)),0)</f>
        <v>0</v>
      </c>
      <c r="S1926" s="91">
        <f>IFERROR(__xludf.DUMMYFUNCTION("IFERROR(sum(FILTER('Fund Investment Data'!$V:$V, 'Fund Investment Data'!$C:$C = $C1926, 'Fund Investment Data'!$A:$A &lt; $A1926)),0) + IFERROR(sum(FILTER('Fund Investment Data'!$V:$V, 'Fund Investment Data'!$C:$C = $C1926, 'Fund Investment Data'!$A:$A = $A1"&amp;"926, 'Fund Investment Data'!$B:$B &lt;= $B1926)),0)"),0.0)</f>
        <v>0</v>
      </c>
      <c r="T1926" s="32"/>
      <c r="U1926" s="32"/>
      <c r="V1926" s="32">
        <f>IFERROR(__xludf.DUMMYFUNCTION("$D1926 - IFERROR(FILTER($D:$D,$C:$C = $C1926, $A:$A = $A1926, $B:$B = $B1926 - 1),0)"),0.0)</f>
        <v>0</v>
      </c>
      <c r="W1926" s="93">
        <f>IFERROR(__xludf.DUMMYFUNCTION("$E1926 - IFERROR(FILTER($E:$E,$C:$C = $C1926, $A:$A = $A1926, $B:$B = $B1926 - 1),0)"),0.0)</f>
        <v>0</v>
      </c>
      <c r="X1926" s="91">
        <f>IFERROR(__xludf.DUMMYFUNCTION("iFERROR((FILTER('Fund Investment Data'!$Z:$Z, 'Fund Investment Data'!$C:$C = $C1926, 'Fund Investment Data'!$A:$A = $A1926 - 1, 'Fund Investment Data'!$B:$B = 12) + FILTER('Fund Investment Data'!$AB:$AB, 'Fund Investment Data'!$C:$C = $C1926, 'Fund Invest"&amp;"ment Data'!$A:$A = $A1926 - 1, 'Fund Investment Data'!$B:$B = 12)) * (1 + AVERAGE(FILTER('Inflation Data'!$C:$C,'Inflation Data'!$A:$A = ($A1926 - 2)))) * Parameters!$A$4,0)"),0.0)</f>
        <v>0</v>
      </c>
      <c r="Y1926" s="91">
        <f>IFERROR(__xludf.DUMMYFUNCTION("IFERROR((IFERROR(FILTER('Fund Investment Data'!$P:$P,'Fund Investment Data'!$C:$C = $C1926,'Fund Investment Data'!$A:$A = ($A1926 - 2), 'Fund Investment Data'!$B:$B = 12),0) - SUM(FILTER('Fund Investment Data'!$V:$V, 'Fund Investment Data'!$C:$C = $C1926,"&amp;" 'Fund Investment Data'!$A:$A = ($A1926 - 2), 'Fund Investment Data'!$B:$B &gt; 3)))  * Parameters!$B$4 * (1 - Parameters!$A$4),0)"),0.0)</f>
        <v>0</v>
      </c>
      <c r="Z1926" s="91">
        <f t="shared" si="24"/>
        <v>0</v>
      </c>
      <c r="AA1926" s="91">
        <f>IFERROR(__xludf.DUMMYFUNCTION("((IFERROR((SUM(FILTER('Fund Investment Data'!$V:$V, 'Fund Investment Data'!$C:$C = $C1926, 'Fund Investment Data'!$A:$A = $A1926 - 1, 'Fund Investment Data'!$B:$B &gt;= 4, 'Fund Investment Data'!$B:$B &lt;= ($B1926 + 5))) / 12) * ($B1926 - 3) * Parameters!$B$4,"&amp;" 0) + IF($B1926 &gt;= 9, IFERROR(SUM(FILTER('Fund Investment Data'!$V:$V, 'Fund Investment Data'!$C:$C = $C1926, 'Fund Investment Data'!$A:$A = $A1926, 'Fund Investment Data'!$B:$B &lt;= 3)) * Parameters!$B$4, 0),0)))"),0.0)</f>
        <v>0</v>
      </c>
      <c r="AB1926" s="32">
        <f>IFERROR(__xludf.DUMMYFUNCTION("IFERROR(((IFERROR(SUM(FILTER('Fund Investment Data'!$V:$V, 'Fund Investment Data'!$C:$C = $C1926, 'Fund Investment Data'!$A:$A = $A1926 - 2, 'Fund Investment Data'!$B:$B &gt;= 4)) * Parameters!$B$4,0) + IFERROR(SUM(FILTER('Fund Investment Data'!$V:$V, 'Fund "&amp;"Investment Data'!$C:$C = $C1926, 'Fund Investment Data'!$A:$A = $A1926 - 1, 'Fund Investment Data'!$B:$B &lt;= 3)) * Parameters!$B$4,0))),0)"),0.0)</f>
        <v>0</v>
      </c>
      <c r="AC1926" s="32">
        <f>IFERROR(__xludf.DUMMYFUNCTION("IFERROR(FILTER($AF:$AF,$C:$C = $C1926,$A:$A = $A1926 - 1,$B:$B = 12),0)"),0.0)</f>
        <v>0</v>
      </c>
      <c r="AD1926" s="32">
        <f t="shared" si="23"/>
        <v>0</v>
      </c>
      <c r="AE1926" s="32">
        <f t="shared" si="2"/>
        <v>0</v>
      </c>
      <c r="AF1926" s="32"/>
    </row>
    <row r="1927">
      <c r="A1927" s="86"/>
      <c r="B1927" s="87"/>
      <c r="C1927" s="88"/>
      <c r="D1927" s="104"/>
      <c r="E1927" s="104"/>
      <c r="F1927" s="104"/>
      <c r="G1927" s="104"/>
      <c r="H1927" s="104"/>
      <c r="I1927" s="104"/>
      <c r="J1927" s="104"/>
      <c r="K1927" s="32"/>
      <c r="L1927" s="32"/>
      <c r="M1927" s="32"/>
      <c r="N1927" s="32"/>
      <c r="O1927" s="106"/>
      <c r="P1927" s="91">
        <f>IFERROR(__xludf.DUMMYFUNCTION("IFERROR(sum(FILTER($D:$N,$C:$C = $C1927,$A:$A &lt; $A1927,$B:$B = 12)),0) + sum($D1927:$N1927)"),0.0)</f>
        <v>0</v>
      </c>
      <c r="Q1927" s="92">
        <f t="shared" si="1"/>
        <v>0</v>
      </c>
      <c r="R1927" s="91">
        <f t="array" ref="R1927">IFERROR(INDEX('Fund YTD Target Values'!$1:$1000, MATCH($C1927,'Fund YTD Target Values'!$A:$A,0), MATCH($A1927,'Fund YTD Target Values'!$1:$1,0)),0)</f>
        <v>0</v>
      </c>
      <c r="S1927" s="91">
        <f>IFERROR(__xludf.DUMMYFUNCTION("IFERROR(sum(FILTER('Fund Investment Data'!$V:$V, 'Fund Investment Data'!$C:$C = $C1927, 'Fund Investment Data'!$A:$A &lt; $A1927)),0) + IFERROR(sum(FILTER('Fund Investment Data'!$V:$V, 'Fund Investment Data'!$C:$C = $C1927, 'Fund Investment Data'!$A:$A = $A1"&amp;"927, 'Fund Investment Data'!$B:$B &lt;= $B1927)),0)"),0.0)</f>
        <v>0</v>
      </c>
      <c r="T1927" s="32"/>
      <c r="U1927" s="32"/>
      <c r="V1927" s="32">
        <f>IFERROR(__xludf.DUMMYFUNCTION("$D1927 - IFERROR(FILTER($D:$D,$C:$C = $C1927, $A:$A = $A1927, $B:$B = $B1927 - 1),0)"),0.0)</f>
        <v>0</v>
      </c>
      <c r="W1927" s="93">
        <f>IFERROR(__xludf.DUMMYFUNCTION("$E1927 - IFERROR(FILTER($E:$E,$C:$C = $C1927, $A:$A = $A1927, $B:$B = $B1927 - 1),0)"),0.0)</f>
        <v>0</v>
      </c>
      <c r="X1927" s="91">
        <f>IFERROR(__xludf.DUMMYFUNCTION("iFERROR((FILTER('Fund Investment Data'!$Z:$Z, 'Fund Investment Data'!$C:$C = $C1927, 'Fund Investment Data'!$A:$A = $A1927 - 1, 'Fund Investment Data'!$B:$B = 12) + FILTER('Fund Investment Data'!$AB:$AB, 'Fund Investment Data'!$C:$C = $C1927, 'Fund Invest"&amp;"ment Data'!$A:$A = $A1927 - 1, 'Fund Investment Data'!$B:$B = 12)) * (1 + AVERAGE(FILTER('Inflation Data'!$C:$C,'Inflation Data'!$A:$A = ($A1927 - 2)))) * Parameters!$A$4,0)"),0.0)</f>
        <v>0</v>
      </c>
      <c r="Y1927" s="91">
        <f>IFERROR(__xludf.DUMMYFUNCTION("IFERROR((IFERROR(FILTER('Fund Investment Data'!$P:$P,'Fund Investment Data'!$C:$C = $C1927,'Fund Investment Data'!$A:$A = ($A1927 - 2), 'Fund Investment Data'!$B:$B = 12),0) - SUM(FILTER('Fund Investment Data'!$V:$V, 'Fund Investment Data'!$C:$C = $C1927,"&amp;" 'Fund Investment Data'!$A:$A = ($A1927 - 2), 'Fund Investment Data'!$B:$B &gt; 3)))  * Parameters!$B$4 * (1 - Parameters!$A$4),0)"),0.0)</f>
        <v>0</v>
      </c>
      <c r="Z1927" s="91">
        <f t="shared" si="24"/>
        <v>0</v>
      </c>
      <c r="AA1927" s="91">
        <f>IFERROR(__xludf.DUMMYFUNCTION("((IFERROR((SUM(FILTER('Fund Investment Data'!$V:$V, 'Fund Investment Data'!$C:$C = $C1927, 'Fund Investment Data'!$A:$A = $A1927 - 1, 'Fund Investment Data'!$B:$B &gt;= 4, 'Fund Investment Data'!$B:$B &lt;= ($B1927 + 5))) / 12) * ($B1927 - 3) * Parameters!$B$4,"&amp;" 0) + IF($B1927 &gt;= 9, IFERROR(SUM(FILTER('Fund Investment Data'!$V:$V, 'Fund Investment Data'!$C:$C = $C1927, 'Fund Investment Data'!$A:$A = $A1927, 'Fund Investment Data'!$B:$B &lt;= 3)) * Parameters!$B$4, 0),0)))"),0.0)</f>
        <v>0</v>
      </c>
      <c r="AB1927" s="32">
        <f>IFERROR(__xludf.DUMMYFUNCTION("IFERROR(((IFERROR(SUM(FILTER('Fund Investment Data'!$V:$V, 'Fund Investment Data'!$C:$C = $C1927, 'Fund Investment Data'!$A:$A = $A1927 - 2, 'Fund Investment Data'!$B:$B &gt;= 4)) * Parameters!$B$4,0) + IFERROR(SUM(FILTER('Fund Investment Data'!$V:$V, 'Fund "&amp;"Investment Data'!$C:$C = $C1927, 'Fund Investment Data'!$A:$A = $A1927 - 1, 'Fund Investment Data'!$B:$B &lt;= 3)) * Parameters!$B$4,0))),0)"),0.0)</f>
        <v>0</v>
      </c>
      <c r="AC1927" s="32">
        <f>IFERROR(__xludf.DUMMYFUNCTION("IFERROR(FILTER($AF:$AF,$C:$C = $C1927,$A:$A = $A1927 - 1,$B:$B = 12),0)"),0.0)</f>
        <v>0</v>
      </c>
      <c r="AD1927" s="32">
        <f t="shared" si="23"/>
        <v>0</v>
      </c>
      <c r="AE1927" s="32">
        <f t="shared" si="2"/>
        <v>0</v>
      </c>
      <c r="AF1927" s="32"/>
    </row>
    <row r="1928">
      <c r="A1928" s="86"/>
      <c r="B1928" s="87"/>
      <c r="C1928" s="88"/>
      <c r="D1928" s="104"/>
      <c r="E1928" s="104"/>
      <c r="F1928" s="104"/>
      <c r="G1928" s="104"/>
      <c r="H1928" s="104"/>
      <c r="I1928" s="104"/>
      <c r="J1928" s="104"/>
      <c r="K1928" s="32"/>
      <c r="L1928" s="32"/>
      <c r="M1928" s="32"/>
      <c r="N1928" s="32"/>
      <c r="O1928" s="106"/>
      <c r="P1928" s="91">
        <f>IFERROR(__xludf.DUMMYFUNCTION("IFERROR(sum(FILTER($D:$N,$C:$C = $C1928,$A:$A &lt; $A1928,$B:$B = 12)),0) + sum($D1928:$N1928)"),0.0)</f>
        <v>0</v>
      </c>
      <c r="Q1928" s="92">
        <f t="shared" si="1"/>
        <v>0</v>
      </c>
      <c r="R1928" s="91">
        <f t="array" ref="R1928">IFERROR(INDEX('Fund YTD Target Values'!$1:$1000, MATCH($C1928,'Fund YTD Target Values'!$A:$A,0), MATCH($A1928,'Fund YTD Target Values'!$1:$1,0)),0)</f>
        <v>0</v>
      </c>
      <c r="S1928" s="91">
        <f>IFERROR(__xludf.DUMMYFUNCTION("IFERROR(sum(FILTER('Fund Investment Data'!$V:$V, 'Fund Investment Data'!$C:$C = $C1928, 'Fund Investment Data'!$A:$A &lt; $A1928)),0) + IFERROR(sum(FILTER('Fund Investment Data'!$V:$V, 'Fund Investment Data'!$C:$C = $C1928, 'Fund Investment Data'!$A:$A = $A1"&amp;"928, 'Fund Investment Data'!$B:$B &lt;= $B1928)),0)"),0.0)</f>
        <v>0</v>
      </c>
      <c r="T1928" s="32"/>
      <c r="U1928" s="32"/>
      <c r="V1928" s="32">
        <f>IFERROR(__xludf.DUMMYFUNCTION("$D1928 - IFERROR(FILTER($D:$D,$C:$C = $C1928, $A:$A = $A1928, $B:$B = $B1928 - 1),0)"),0.0)</f>
        <v>0</v>
      </c>
      <c r="W1928" s="93">
        <f>IFERROR(__xludf.DUMMYFUNCTION("$E1928 - IFERROR(FILTER($E:$E,$C:$C = $C1928, $A:$A = $A1928, $B:$B = $B1928 - 1),0)"),0.0)</f>
        <v>0</v>
      </c>
      <c r="X1928" s="91">
        <f>IFERROR(__xludf.DUMMYFUNCTION("iFERROR((FILTER('Fund Investment Data'!$Z:$Z, 'Fund Investment Data'!$C:$C = $C1928, 'Fund Investment Data'!$A:$A = $A1928 - 1, 'Fund Investment Data'!$B:$B = 12) + FILTER('Fund Investment Data'!$AB:$AB, 'Fund Investment Data'!$C:$C = $C1928, 'Fund Invest"&amp;"ment Data'!$A:$A = $A1928 - 1, 'Fund Investment Data'!$B:$B = 12)) * (1 + AVERAGE(FILTER('Inflation Data'!$C:$C,'Inflation Data'!$A:$A = ($A1928 - 2)))) * Parameters!$A$4,0)"),0.0)</f>
        <v>0</v>
      </c>
      <c r="Y1928" s="91">
        <f>IFERROR(__xludf.DUMMYFUNCTION("IFERROR((IFERROR(FILTER('Fund Investment Data'!$P:$P,'Fund Investment Data'!$C:$C = $C1928,'Fund Investment Data'!$A:$A = ($A1928 - 2), 'Fund Investment Data'!$B:$B = 12),0) - SUM(FILTER('Fund Investment Data'!$V:$V, 'Fund Investment Data'!$C:$C = $C1928,"&amp;" 'Fund Investment Data'!$A:$A = ($A1928 - 2), 'Fund Investment Data'!$B:$B &gt; 3)))  * Parameters!$B$4 * (1 - Parameters!$A$4),0)"),0.0)</f>
        <v>0</v>
      </c>
      <c r="Z1928" s="91">
        <f t="shared" si="24"/>
        <v>0</v>
      </c>
      <c r="AA1928" s="91">
        <f>IFERROR(__xludf.DUMMYFUNCTION("((IFERROR((SUM(FILTER('Fund Investment Data'!$V:$V, 'Fund Investment Data'!$C:$C = $C1928, 'Fund Investment Data'!$A:$A = $A1928 - 1, 'Fund Investment Data'!$B:$B &gt;= 4, 'Fund Investment Data'!$B:$B &lt;= ($B1928 + 5))) / 12) * ($B1928 - 3) * Parameters!$B$4,"&amp;" 0) + IF($B1928 &gt;= 9, IFERROR(SUM(FILTER('Fund Investment Data'!$V:$V, 'Fund Investment Data'!$C:$C = $C1928, 'Fund Investment Data'!$A:$A = $A1928, 'Fund Investment Data'!$B:$B &lt;= 3)) * Parameters!$B$4, 0),0)))"),0.0)</f>
        <v>0</v>
      </c>
      <c r="AB1928" s="32">
        <f>IFERROR(__xludf.DUMMYFUNCTION("IFERROR(((IFERROR(SUM(FILTER('Fund Investment Data'!$V:$V, 'Fund Investment Data'!$C:$C = $C1928, 'Fund Investment Data'!$A:$A = $A1928 - 2, 'Fund Investment Data'!$B:$B &gt;= 4)) * Parameters!$B$4,0) + IFERROR(SUM(FILTER('Fund Investment Data'!$V:$V, 'Fund "&amp;"Investment Data'!$C:$C = $C1928, 'Fund Investment Data'!$A:$A = $A1928 - 1, 'Fund Investment Data'!$B:$B &lt;= 3)) * Parameters!$B$4,0))),0)"),0.0)</f>
        <v>0</v>
      </c>
      <c r="AC1928" s="32">
        <f>IFERROR(__xludf.DUMMYFUNCTION("IFERROR(FILTER($AF:$AF,$C:$C = $C1928,$A:$A = $A1928 - 1,$B:$B = 12),0)"),0.0)</f>
        <v>0</v>
      </c>
      <c r="AD1928" s="32">
        <f t="shared" si="23"/>
        <v>0</v>
      </c>
      <c r="AE1928" s="32">
        <f t="shared" si="2"/>
        <v>0</v>
      </c>
      <c r="AF1928" s="32"/>
    </row>
    <row r="1929">
      <c r="A1929" s="86"/>
      <c r="B1929" s="87"/>
      <c r="C1929" s="88"/>
      <c r="D1929" s="104"/>
      <c r="E1929" s="104"/>
      <c r="F1929" s="104"/>
      <c r="G1929" s="104"/>
      <c r="H1929" s="104"/>
      <c r="I1929" s="104"/>
      <c r="J1929" s="104"/>
      <c r="K1929" s="32"/>
      <c r="L1929" s="32"/>
      <c r="M1929" s="32"/>
      <c r="N1929" s="32"/>
      <c r="O1929" s="106"/>
      <c r="P1929" s="91">
        <f>IFERROR(__xludf.DUMMYFUNCTION("IFERROR(sum(FILTER($D:$N,$C:$C = $C1929,$A:$A &lt; $A1929,$B:$B = 12)),0) + sum($D1929:$N1929)"),0.0)</f>
        <v>0</v>
      </c>
      <c r="Q1929" s="92">
        <f t="shared" si="1"/>
        <v>0</v>
      </c>
      <c r="R1929" s="91">
        <f t="array" ref="R1929">IFERROR(INDEX('Fund YTD Target Values'!$1:$1000, MATCH($C1929,'Fund YTD Target Values'!$A:$A,0), MATCH($A1929,'Fund YTD Target Values'!$1:$1,0)),0)</f>
        <v>0</v>
      </c>
      <c r="S1929" s="91">
        <f>IFERROR(__xludf.DUMMYFUNCTION("IFERROR(sum(FILTER('Fund Investment Data'!$V:$V, 'Fund Investment Data'!$C:$C = $C1929, 'Fund Investment Data'!$A:$A &lt; $A1929)),0) + IFERROR(sum(FILTER('Fund Investment Data'!$V:$V, 'Fund Investment Data'!$C:$C = $C1929, 'Fund Investment Data'!$A:$A = $A1"&amp;"929, 'Fund Investment Data'!$B:$B &lt;= $B1929)),0)"),0.0)</f>
        <v>0</v>
      </c>
      <c r="T1929" s="32"/>
      <c r="U1929" s="32"/>
      <c r="V1929" s="32">
        <f>IFERROR(__xludf.DUMMYFUNCTION("$D1929 - IFERROR(FILTER($D:$D,$C:$C = $C1929, $A:$A = $A1929, $B:$B = $B1929 - 1),0)"),0.0)</f>
        <v>0</v>
      </c>
      <c r="W1929" s="93">
        <f>IFERROR(__xludf.DUMMYFUNCTION("$E1929 - IFERROR(FILTER($E:$E,$C:$C = $C1929, $A:$A = $A1929, $B:$B = $B1929 - 1),0)"),0.0)</f>
        <v>0</v>
      </c>
      <c r="X1929" s="91">
        <f>IFERROR(__xludf.DUMMYFUNCTION("iFERROR((FILTER('Fund Investment Data'!$Z:$Z, 'Fund Investment Data'!$C:$C = $C1929, 'Fund Investment Data'!$A:$A = $A1929 - 1, 'Fund Investment Data'!$B:$B = 12) + FILTER('Fund Investment Data'!$AB:$AB, 'Fund Investment Data'!$C:$C = $C1929, 'Fund Invest"&amp;"ment Data'!$A:$A = $A1929 - 1, 'Fund Investment Data'!$B:$B = 12)) * (1 + AVERAGE(FILTER('Inflation Data'!$C:$C,'Inflation Data'!$A:$A = ($A1929 - 2)))) * Parameters!$A$4,0)"),0.0)</f>
        <v>0</v>
      </c>
      <c r="Y1929" s="91">
        <f>IFERROR(__xludf.DUMMYFUNCTION("IFERROR((IFERROR(FILTER('Fund Investment Data'!$P:$P,'Fund Investment Data'!$C:$C = $C1929,'Fund Investment Data'!$A:$A = ($A1929 - 2), 'Fund Investment Data'!$B:$B = 12),0) - SUM(FILTER('Fund Investment Data'!$V:$V, 'Fund Investment Data'!$C:$C = $C1929,"&amp;" 'Fund Investment Data'!$A:$A = ($A1929 - 2), 'Fund Investment Data'!$B:$B &gt; 3)))  * Parameters!$B$4 * (1 - Parameters!$A$4),0)"),0.0)</f>
        <v>0</v>
      </c>
      <c r="Z1929" s="91">
        <f t="shared" si="24"/>
        <v>0</v>
      </c>
      <c r="AA1929" s="91">
        <f>IFERROR(__xludf.DUMMYFUNCTION("((IFERROR((SUM(FILTER('Fund Investment Data'!$V:$V, 'Fund Investment Data'!$C:$C = $C1929, 'Fund Investment Data'!$A:$A = $A1929 - 1, 'Fund Investment Data'!$B:$B &gt;= 4, 'Fund Investment Data'!$B:$B &lt;= ($B1929 + 5))) / 12) * ($B1929 - 3) * Parameters!$B$4,"&amp;" 0) + IF($B1929 &gt;= 9, IFERROR(SUM(FILTER('Fund Investment Data'!$V:$V, 'Fund Investment Data'!$C:$C = $C1929, 'Fund Investment Data'!$A:$A = $A1929, 'Fund Investment Data'!$B:$B &lt;= 3)) * Parameters!$B$4, 0),0)))"),0.0)</f>
        <v>0</v>
      </c>
      <c r="AB1929" s="32">
        <f>IFERROR(__xludf.DUMMYFUNCTION("IFERROR(((IFERROR(SUM(FILTER('Fund Investment Data'!$V:$V, 'Fund Investment Data'!$C:$C = $C1929, 'Fund Investment Data'!$A:$A = $A1929 - 2, 'Fund Investment Data'!$B:$B &gt;= 4)) * Parameters!$B$4,0) + IFERROR(SUM(FILTER('Fund Investment Data'!$V:$V, 'Fund "&amp;"Investment Data'!$C:$C = $C1929, 'Fund Investment Data'!$A:$A = $A1929 - 1, 'Fund Investment Data'!$B:$B &lt;= 3)) * Parameters!$B$4,0))),0)"),0.0)</f>
        <v>0</v>
      </c>
      <c r="AC1929" s="32">
        <f>IFERROR(__xludf.DUMMYFUNCTION("IFERROR(FILTER($AF:$AF,$C:$C = $C1929,$A:$A = $A1929 - 1,$B:$B = 12),0)"),0.0)</f>
        <v>0</v>
      </c>
      <c r="AD1929" s="32">
        <f t="shared" si="23"/>
        <v>0</v>
      </c>
      <c r="AE1929" s="32">
        <f t="shared" si="2"/>
        <v>0</v>
      </c>
      <c r="AF1929" s="32"/>
    </row>
    <row r="1930">
      <c r="A1930" s="86"/>
      <c r="B1930" s="87"/>
      <c r="C1930" s="88"/>
      <c r="D1930" s="104"/>
      <c r="E1930" s="104"/>
      <c r="F1930" s="104"/>
      <c r="G1930" s="104"/>
      <c r="H1930" s="104"/>
      <c r="I1930" s="104"/>
      <c r="J1930" s="104"/>
      <c r="K1930" s="32"/>
      <c r="L1930" s="32"/>
      <c r="M1930" s="32"/>
      <c r="N1930" s="32"/>
      <c r="O1930" s="106"/>
      <c r="P1930" s="91">
        <f>IFERROR(__xludf.DUMMYFUNCTION("IFERROR(sum(FILTER($D:$N,$C:$C = $C1930,$A:$A &lt; $A1930,$B:$B = 12)),0) + sum($D1930:$N1930)"),0.0)</f>
        <v>0</v>
      </c>
      <c r="Q1930" s="92">
        <f t="shared" si="1"/>
        <v>0</v>
      </c>
      <c r="R1930" s="91">
        <f t="array" ref="R1930">IFERROR(INDEX('Fund YTD Target Values'!$1:$1000, MATCH($C1930,'Fund YTD Target Values'!$A:$A,0), MATCH($A1930,'Fund YTD Target Values'!$1:$1,0)),0)</f>
        <v>0</v>
      </c>
      <c r="S1930" s="91">
        <f>IFERROR(__xludf.DUMMYFUNCTION("IFERROR(sum(FILTER('Fund Investment Data'!$V:$V, 'Fund Investment Data'!$C:$C = $C1930, 'Fund Investment Data'!$A:$A &lt; $A1930)),0) + IFERROR(sum(FILTER('Fund Investment Data'!$V:$V, 'Fund Investment Data'!$C:$C = $C1930, 'Fund Investment Data'!$A:$A = $A1"&amp;"930, 'Fund Investment Data'!$B:$B &lt;= $B1930)),0)"),0.0)</f>
        <v>0</v>
      </c>
      <c r="T1930" s="32"/>
      <c r="U1930" s="32"/>
      <c r="V1930" s="32">
        <f>IFERROR(__xludf.DUMMYFUNCTION("$D1930 - IFERROR(FILTER($D:$D,$C:$C = $C1930, $A:$A = $A1930, $B:$B = $B1930 - 1),0)"),0.0)</f>
        <v>0</v>
      </c>
      <c r="W1930" s="93">
        <f>IFERROR(__xludf.DUMMYFUNCTION("$E1930 - IFERROR(FILTER($E:$E,$C:$C = $C1930, $A:$A = $A1930, $B:$B = $B1930 - 1),0)"),0.0)</f>
        <v>0</v>
      </c>
      <c r="X1930" s="91">
        <f>IFERROR(__xludf.DUMMYFUNCTION("iFERROR((FILTER('Fund Investment Data'!$Z:$Z, 'Fund Investment Data'!$C:$C = $C1930, 'Fund Investment Data'!$A:$A = $A1930 - 1, 'Fund Investment Data'!$B:$B = 12) + FILTER('Fund Investment Data'!$AB:$AB, 'Fund Investment Data'!$C:$C = $C1930, 'Fund Invest"&amp;"ment Data'!$A:$A = $A1930 - 1, 'Fund Investment Data'!$B:$B = 12)) * (1 + AVERAGE(FILTER('Inflation Data'!$C:$C,'Inflation Data'!$A:$A = ($A1930 - 2)))) * Parameters!$A$4,0)"),0.0)</f>
        <v>0</v>
      </c>
      <c r="Y1930" s="91">
        <f>IFERROR(__xludf.DUMMYFUNCTION("IFERROR((IFERROR(FILTER('Fund Investment Data'!$P:$P,'Fund Investment Data'!$C:$C = $C1930,'Fund Investment Data'!$A:$A = ($A1930 - 2), 'Fund Investment Data'!$B:$B = 12),0) - SUM(FILTER('Fund Investment Data'!$V:$V, 'Fund Investment Data'!$C:$C = $C1930,"&amp;" 'Fund Investment Data'!$A:$A = ($A1930 - 2), 'Fund Investment Data'!$B:$B &gt; 3)))  * Parameters!$B$4 * (1 - Parameters!$A$4),0)"),0.0)</f>
        <v>0</v>
      </c>
      <c r="Z1930" s="91">
        <f t="shared" si="24"/>
        <v>0</v>
      </c>
      <c r="AA1930" s="91">
        <f>IFERROR(__xludf.DUMMYFUNCTION("((IFERROR((SUM(FILTER('Fund Investment Data'!$V:$V, 'Fund Investment Data'!$C:$C = $C1930, 'Fund Investment Data'!$A:$A = $A1930 - 1, 'Fund Investment Data'!$B:$B &gt;= 4, 'Fund Investment Data'!$B:$B &lt;= ($B1930 + 5))) / 12) * ($B1930 - 3) * Parameters!$B$4,"&amp;" 0) + IF($B1930 &gt;= 9, IFERROR(SUM(FILTER('Fund Investment Data'!$V:$V, 'Fund Investment Data'!$C:$C = $C1930, 'Fund Investment Data'!$A:$A = $A1930, 'Fund Investment Data'!$B:$B &lt;= 3)) * Parameters!$B$4, 0),0)))"),0.0)</f>
        <v>0</v>
      </c>
      <c r="AB1930" s="32">
        <f>IFERROR(__xludf.DUMMYFUNCTION("IFERROR(((IFERROR(SUM(FILTER('Fund Investment Data'!$V:$V, 'Fund Investment Data'!$C:$C = $C1930, 'Fund Investment Data'!$A:$A = $A1930 - 2, 'Fund Investment Data'!$B:$B &gt;= 4)) * Parameters!$B$4,0) + IFERROR(SUM(FILTER('Fund Investment Data'!$V:$V, 'Fund "&amp;"Investment Data'!$C:$C = $C1930, 'Fund Investment Data'!$A:$A = $A1930 - 1, 'Fund Investment Data'!$B:$B &lt;= 3)) * Parameters!$B$4,0))),0)"),0.0)</f>
        <v>0</v>
      </c>
      <c r="AC1930" s="32">
        <f>IFERROR(__xludf.DUMMYFUNCTION("IFERROR(FILTER($AF:$AF,$C:$C = $C1930,$A:$A = $A1930 - 1,$B:$B = 12),0)"),0.0)</f>
        <v>0</v>
      </c>
      <c r="AD1930" s="32">
        <f t="shared" si="23"/>
        <v>0</v>
      </c>
      <c r="AE1930" s="32">
        <f t="shared" si="2"/>
        <v>0</v>
      </c>
      <c r="AF1930" s="32"/>
    </row>
    <row r="1931">
      <c r="A1931" s="86"/>
      <c r="B1931" s="87"/>
      <c r="C1931" s="88"/>
      <c r="D1931" s="104"/>
      <c r="E1931" s="104"/>
      <c r="F1931" s="104"/>
      <c r="G1931" s="104"/>
      <c r="H1931" s="104"/>
      <c r="I1931" s="104"/>
      <c r="J1931" s="104"/>
      <c r="K1931" s="32"/>
      <c r="L1931" s="32"/>
      <c r="M1931" s="32"/>
      <c r="N1931" s="32"/>
      <c r="O1931" s="106"/>
      <c r="P1931" s="91">
        <f>IFERROR(__xludf.DUMMYFUNCTION("IFERROR(sum(FILTER($D:$N,$C:$C = $C1931,$A:$A &lt; $A1931,$B:$B = 12)),0) + sum($D1931:$N1931)"),0.0)</f>
        <v>0</v>
      </c>
      <c r="Q1931" s="92">
        <f t="shared" si="1"/>
        <v>0</v>
      </c>
      <c r="R1931" s="91">
        <f t="array" ref="R1931">IFERROR(INDEX('Fund YTD Target Values'!$1:$1000, MATCH($C1931,'Fund YTD Target Values'!$A:$A,0), MATCH($A1931,'Fund YTD Target Values'!$1:$1,0)),0)</f>
        <v>0</v>
      </c>
      <c r="S1931" s="91">
        <f>IFERROR(__xludf.DUMMYFUNCTION("IFERROR(sum(FILTER('Fund Investment Data'!$V:$V, 'Fund Investment Data'!$C:$C = $C1931, 'Fund Investment Data'!$A:$A &lt; $A1931)),0) + IFERROR(sum(FILTER('Fund Investment Data'!$V:$V, 'Fund Investment Data'!$C:$C = $C1931, 'Fund Investment Data'!$A:$A = $A1"&amp;"931, 'Fund Investment Data'!$B:$B &lt;= $B1931)),0)"),0.0)</f>
        <v>0</v>
      </c>
      <c r="T1931" s="32"/>
      <c r="U1931" s="32"/>
      <c r="V1931" s="32">
        <f>IFERROR(__xludf.DUMMYFUNCTION("$D1931 - IFERROR(FILTER($D:$D,$C:$C = $C1931, $A:$A = $A1931, $B:$B = $B1931 - 1),0)"),0.0)</f>
        <v>0</v>
      </c>
      <c r="W1931" s="93">
        <f>IFERROR(__xludf.DUMMYFUNCTION("$E1931 - IFERROR(FILTER($E:$E,$C:$C = $C1931, $A:$A = $A1931, $B:$B = $B1931 - 1),0)"),0.0)</f>
        <v>0</v>
      </c>
      <c r="X1931" s="91">
        <f>IFERROR(__xludf.DUMMYFUNCTION("iFERROR((FILTER('Fund Investment Data'!$Z:$Z, 'Fund Investment Data'!$C:$C = $C1931, 'Fund Investment Data'!$A:$A = $A1931 - 1, 'Fund Investment Data'!$B:$B = 12) + FILTER('Fund Investment Data'!$AB:$AB, 'Fund Investment Data'!$C:$C = $C1931, 'Fund Invest"&amp;"ment Data'!$A:$A = $A1931 - 1, 'Fund Investment Data'!$B:$B = 12)) * (1 + AVERAGE(FILTER('Inflation Data'!$C:$C,'Inflation Data'!$A:$A = ($A1931 - 2)))) * Parameters!$A$4,0)"),0.0)</f>
        <v>0</v>
      </c>
      <c r="Y1931" s="91">
        <f>IFERROR(__xludf.DUMMYFUNCTION("IFERROR((IFERROR(FILTER('Fund Investment Data'!$P:$P,'Fund Investment Data'!$C:$C = $C1931,'Fund Investment Data'!$A:$A = ($A1931 - 2), 'Fund Investment Data'!$B:$B = 12),0) - SUM(FILTER('Fund Investment Data'!$V:$V, 'Fund Investment Data'!$C:$C = $C1931,"&amp;" 'Fund Investment Data'!$A:$A = ($A1931 - 2), 'Fund Investment Data'!$B:$B &gt; 3)))  * Parameters!$B$4 * (1 - Parameters!$A$4),0)"),0.0)</f>
        <v>0</v>
      </c>
      <c r="Z1931" s="91">
        <f t="shared" si="24"/>
        <v>0</v>
      </c>
      <c r="AA1931" s="91">
        <f>IFERROR(__xludf.DUMMYFUNCTION("((IFERROR((SUM(FILTER('Fund Investment Data'!$V:$V, 'Fund Investment Data'!$C:$C = $C1931, 'Fund Investment Data'!$A:$A = $A1931 - 1, 'Fund Investment Data'!$B:$B &gt;= 4, 'Fund Investment Data'!$B:$B &lt;= ($B1931 + 5))) / 12) * ($B1931 - 3) * Parameters!$B$4,"&amp;" 0) + IF($B1931 &gt;= 9, IFERROR(SUM(FILTER('Fund Investment Data'!$V:$V, 'Fund Investment Data'!$C:$C = $C1931, 'Fund Investment Data'!$A:$A = $A1931, 'Fund Investment Data'!$B:$B &lt;= 3)) * Parameters!$B$4, 0),0)))"),0.0)</f>
        <v>0</v>
      </c>
      <c r="AB1931" s="32">
        <f>IFERROR(__xludf.DUMMYFUNCTION("IFERROR(((IFERROR(SUM(FILTER('Fund Investment Data'!$V:$V, 'Fund Investment Data'!$C:$C = $C1931, 'Fund Investment Data'!$A:$A = $A1931 - 2, 'Fund Investment Data'!$B:$B &gt;= 4)) * Parameters!$B$4,0) + IFERROR(SUM(FILTER('Fund Investment Data'!$V:$V, 'Fund "&amp;"Investment Data'!$C:$C = $C1931, 'Fund Investment Data'!$A:$A = $A1931 - 1, 'Fund Investment Data'!$B:$B &lt;= 3)) * Parameters!$B$4,0))),0)"),0.0)</f>
        <v>0</v>
      </c>
      <c r="AC1931" s="32">
        <f>IFERROR(__xludf.DUMMYFUNCTION("IFERROR(FILTER($AF:$AF,$C:$C = $C1931,$A:$A = $A1931 - 1,$B:$B = 12),0)"),0.0)</f>
        <v>0</v>
      </c>
      <c r="AD1931" s="32">
        <f t="shared" si="23"/>
        <v>0</v>
      </c>
      <c r="AE1931" s="32">
        <f t="shared" si="2"/>
        <v>0</v>
      </c>
      <c r="AF1931" s="32"/>
    </row>
    <row r="1932">
      <c r="A1932" s="86"/>
      <c r="B1932" s="87"/>
      <c r="C1932" s="88"/>
      <c r="D1932" s="104"/>
      <c r="E1932" s="104"/>
      <c r="F1932" s="104"/>
      <c r="G1932" s="104"/>
      <c r="H1932" s="104"/>
      <c r="I1932" s="104"/>
      <c r="J1932" s="104"/>
      <c r="K1932" s="32"/>
      <c r="L1932" s="32"/>
      <c r="M1932" s="32"/>
      <c r="N1932" s="32"/>
      <c r="O1932" s="106"/>
      <c r="P1932" s="91">
        <f>IFERROR(__xludf.DUMMYFUNCTION("IFERROR(sum(FILTER($D:$N,$C:$C = $C1932,$A:$A &lt; $A1932,$B:$B = 12)),0) + sum($D1932:$N1932)"),0.0)</f>
        <v>0</v>
      </c>
      <c r="Q1932" s="92">
        <f t="shared" si="1"/>
        <v>0</v>
      </c>
      <c r="R1932" s="91">
        <f t="array" ref="R1932">IFERROR(INDEX('Fund YTD Target Values'!$1:$1000, MATCH($C1932,'Fund YTD Target Values'!$A:$A,0), MATCH($A1932,'Fund YTD Target Values'!$1:$1,0)),0)</f>
        <v>0</v>
      </c>
      <c r="S1932" s="91">
        <f>IFERROR(__xludf.DUMMYFUNCTION("IFERROR(sum(FILTER('Fund Investment Data'!$V:$V, 'Fund Investment Data'!$C:$C = $C1932, 'Fund Investment Data'!$A:$A &lt; $A1932)),0) + IFERROR(sum(FILTER('Fund Investment Data'!$V:$V, 'Fund Investment Data'!$C:$C = $C1932, 'Fund Investment Data'!$A:$A = $A1"&amp;"932, 'Fund Investment Data'!$B:$B &lt;= $B1932)),0)"),0.0)</f>
        <v>0</v>
      </c>
      <c r="T1932" s="32"/>
      <c r="U1932" s="32"/>
      <c r="V1932" s="32">
        <f>IFERROR(__xludf.DUMMYFUNCTION("$D1932 - IFERROR(FILTER($D:$D,$C:$C = $C1932, $A:$A = $A1932, $B:$B = $B1932 - 1),0)"),0.0)</f>
        <v>0</v>
      </c>
      <c r="W1932" s="93">
        <f>IFERROR(__xludf.DUMMYFUNCTION("$E1932 - IFERROR(FILTER($E:$E,$C:$C = $C1932, $A:$A = $A1932, $B:$B = $B1932 - 1),0)"),0.0)</f>
        <v>0</v>
      </c>
      <c r="X1932" s="91">
        <f>IFERROR(__xludf.DUMMYFUNCTION("iFERROR((FILTER('Fund Investment Data'!$Z:$Z, 'Fund Investment Data'!$C:$C = $C1932, 'Fund Investment Data'!$A:$A = $A1932 - 1, 'Fund Investment Data'!$B:$B = 12) + FILTER('Fund Investment Data'!$AB:$AB, 'Fund Investment Data'!$C:$C = $C1932, 'Fund Invest"&amp;"ment Data'!$A:$A = $A1932 - 1, 'Fund Investment Data'!$B:$B = 12)) * (1 + AVERAGE(FILTER('Inflation Data'!$C:$C,'Inflation Data'!$A:$A = ($A1932 - 2)))) * Parameters!$A$4,0)"),0.0)</f>
        <v>0</v>
      </c>
      <c r="Y1932" s="91">
        <f>IFERROR(__xludf.DUMMYFUNCTION("IFERROR((IFERROR(FILTER('Fund Investment Data'!$P:$P,'Fund Investment Data'!$C:$C = $C1932,'Fund Investment Data'!$A:$A = ($A1932 - 2), 'Fund Investment Data'!$B:$B = 12),0) - SUM(FILTER('Fund Investment Data'!$V:$V, 'Fund Investment Data'!$C:$C = $C1932,"&amp;" 'Fund Investment Data'!$A:$A = ($A1932 - 2), 'Fund Investment Data'!$B:$B &gt; 3)))  * Parameters!$B$4 * (1 - Parameters!$A$4),0)"),0.0)</f>
        <v>0</v>
      </c>
      <c r="Z1932" s="91">
        <f t="shared" si="24"/>
        <v>0</v>
      </c>
      <c r="AA1932" s="91">
        <f>IFERROR(__xludf.DUMMYFUNCTION("((IFERROR((SUM(FILTER('Fund Investment Data'!$V:$V, 'Fund Investment Data'!$C:$C = $C1932, 'Fund Investment Data'!$A:$A = $A1932 - 1, 'Fund Investment Data'!$B:$B &gt;= 4, 'Fund Investment Data'!$B:$B &lt;= ($B1932 + 5))) / 12) * ($B1932 - 3) * Parameters!$B$4,"&amp;" 0) + IF($B1932 &gt;= 9, IFERROR(SUM(FILTER('Fund Investment Data'!$V:$V, 'Fund Investment Data'!$C:$C = $C1932, 'Fund Investment Data'!$A:$A = $A1932, 'Fund Investment Data'!$B:$B &lt;= 3)) * Parameters!$B$4, 0),0)))"),0.0)</f>
        <v>0</v>
      </c>
      <c r="AB1932" s="32">
        <f>IFERROR(__xludf.DUMMYFUNCTION("IFERROR(((IFERROR(SUM(FILTER('Fund Investment Data'!$V:$V, 'Fund Investment Data'!$C:$C = $C1932, 'Fund Investment Data'!$A:$A = $A1932 - 2, 'Fund Investment Data'!$B:$B &gt;= 4)) * Parameters!$B$4,0) + IFERROR(SUM(FILTER('Fund Investment Data'!$V:$V, 'Fund "&amp;"Investment Data'!$C:$C = $C1932, 'Fund Investment Data'!$A:$A = $A1932 - 1, 'Fund Investment Data'!$B:$B &lt;= 3)) * Parameters!$B$4,0))),0)"),0.0)</f>
        <v>0</v>
      </c>
      <c r="AC1932" s="32">
        <f>IFERROR(__xludf.DUMMYFUNCTION("IFERROR(FILTER($AF:$AF,$C:$C = $C1932,$A:$A = $A1932 - 1,$B:$B = 12),0)"),0.0)</f>
        <v>0</v>
      </c>
      <c r="AD1932" s="32">
        <f t="shared" si="23"/>
        <v>0</v>
      </c>
      <c r="AE1932" s="32">
        <f t="shared" si="2"/>
        <v>0</v>
      </c>
      <c r="AF1932" s="32"/>
    </row>
    <row r="1933">
      <c r="A1933" s="86"/>
      <c r="B1933" s="87"/>
      <c r="C1933" s="88"/>
      <c r="D1933" s="104"/>
      <c r="E1933" s="104"/>
      <c r="F1933" s="104"/>
      <c r="G1933" s="104"/>
      <c r="H1933" s="104"/>
      <c r="I1933" s="104"/>
      <c r="J1933" s="104"/>
      <c r="K1933" s="32"/>
      <c r="L1933" s="32"/>
      <c r="M1933" s="32"/>
      <c r="N1933" s="32"/>
      <c r="O1933" s="106"/>
      <c r="P1933" s="91">
        <f>IFERROR(__xludf.DUMMYFUNCTION("IFERROR(sum(FILTER($D:$N,$C:$C = $C1933,$A:$A &lt; $A1933,$B:$B = 12)),0) + sum($D1933:$N1933)"),0.0)</f>
        <v>0</v>
      </c>
      <c r="Q1933" s="92">
        <f t="shared" si="1"/>
        <v>0</v>
      </c>
      <c r="R1933" s="91">
        <f t="array" ref="R1933">IFERROR(INDEX('Fund YTD Target Values'!$1:$1000, MATCH($C1933,'Fund YTD Target Values'!$A:$A,0), MATCH($A1933,'Fund YTD Target Values'!$1:$1,0)),0)</f>
        <v>0</v>
      </c>
      <c r="S1933" s="91">
        <f>IFERROR(__xludf.DUMMYFUNCTION("IFERROR(sum(FILTER('Fund Investment Data'!$V:$V, 'Fund Investment Data'!$C:$C = $C1933, 'Fund Investment Data'!$A:$A &lt; $A1933)),0) + IFERROR(sum(FILTER('Fund Investment Data'!$V:$V, 'Fund Investment Data'!$C:$C = $C1933, 'Fund Investment Data'!$A:$A = $A1"&amp;"933, 'Fund Investment Data'!$B:$B &lt;= $B1933)),0)"),0.0)</f>
        <v>0</v>
      </c>
      <c r="T1933" s="32"/>
      <c r="U1933" s="32"/>
      <c r="V1933" s="32">
        <f>IFERROR(__xludf.DUMMYFUNCTION("$D1933 - IFERROR(FILTER($D:$D,$C:$C = $C1933, $A:$A = $A1933, $B:$B = $B1933 - 1),0)"),0.0)</f>
        <v>0</v>
      </c>
      <c r="W1933" s="93">
        <f>IFERROR(__xludf.DUMMYFUNCTION("$E1933 - IFERROR(FILTER($E:$E,$C:$C = $C1933, $A:$A = $A1933, $B:$B = $B1933 - 1),0)"),0.0)</f>
        <v>0</v>
      </c>
      <c r="X1933" s="91">
        <f>IFERROR(__xludf.DUMMYFUNCTION("iFERROR((FILTER('Fund Investment Data'!$Z:$Z, 'Fund Investment Data'!$C:$C = $C1933, 'Fund Investment Data'!$A:$A = $A1933 - 1, 'Fund Investment Data'!$B:$B = 12) + FILTER('Fund Investment Data'!$AB:$AB, 'Fund Investment Data'!$C:$C = $C1933, 'Fund Invest"&amp;"ment Data'!$A:$A = $A1933 - 1, 'Fund Investment Data'!$B:$B = 12)) * (1 + AVERAGE(FILTER('Inflation Data'!$C:$C,'Inflation Data'!$A:$A = ($A1933 - 2)))) * Parameters!$A$4,0)"),0.0)</f>
        <v>0</v>
      </c>
      <c r="Y1933" s="91">
        <f>IFERROR(__xludf.DUMMYFUNCTION("IFERROR((IFERROR(FILTER('Fund Investment Data'!$P:$P,'Fund Investment Data'!$C:$C = $C1933,'Fund Investment Data'!$A:$A = ($A1933 - 2), 'Fund Investment Data'!$B:$B = 12),0) - SUM(FILTER('Fund Investment Data'!$V:$V, 'Fund Investment Data'!$C:$C = $C1933,"&amp;" 'Fund Investment Data'!$A:$A = ($A1933 - 2), 'Fund Investment Data'!$B:$B &gt; 3)))  * Parameters!$B$4 * (1 - Parameters!$A$4),0)"),0.0)</f>
        <v>0</v>
      </c>
      <c r="Z1933" s="91">
        <f t="shared" si="24"/>
        <v>0</v>
      </c>
      <c r="AA1933" s="91">
        <f>IFERROR(__xludf.DUMMYFUNCTION("((IFERROR((SUM(FILTER('Fund Investment Data'!$V:$V, 'Fund Investment Data'!$C:$C = $C1933, 'Fund Investment Data'!$A:$A = $A1933 - 1, 'Fund Investment Data'!$B:$B &gt;= 4, 'Fund Investment Data'!$B:$B &lt;= ($B1933 + 5))) / 12) * ($B1933 - 3) * Parameters!$B$4,"&amp;" 0) + IF($B1933 &gt;= 9, IFERROR(SUM(FILTER('Fund Investment Data'!$V:$V, 'Fund Investment Data'!$C:$C = $C1933, 'Fund Investment Data'!$A:$A = $A1933, 'Fund Investment Data'!$B:$B &lt;= 3)) * Parameters!$B$4, 0),0)))"),0.0)</f>
        <v>0</v>
      </c>
      <c r="AB1933" s="32">
        <f>IFERROR(__xludf.DUMMYFUNCTION("IFERROR(((IFERROR(SUM(FILTER('Fund Investment Data'!$V:$V, 'Fund Investment Data'!$C:$C = $C1933, 'Fund Investment Data'!$A:$A = $A1933 - 2, 'Fund Investment Data'!$B:$B &gt;= 4)) * Parameters!$B$4,0) + IFERROR(SUM(FILTER('Fund Investment Data'!$V:$V, 'Fund "&amp;"Investment Data'!$C:$C = $C1933, 'Fund Investment Data'!$A:$A = $A1933 - 1, 'Fund Investment Data'!$B:$B &lt;= 3)) * Parameters!$B$4,0))),0)"),0.0)</f>
        <v>0</v>
      </c>
      <c r="AC1933" s="32">
        <f>IFERROR(__xludf.DUMMYFUNCTION("IFERROR(FILTER($AF:$AF,$C:$C = $C1933,$A:$A = $A1933 - 1,$B:$B = 12),0)"),0.0)</f>
        <v>0</v>
      </c>
      <c r="AD1933" s="32">
        <f t="shared" si="23"/>
        <v>0</v>
      </c>
      <c r="AE1933" s="32">
        <f t="shared" si="2"/>
        <v>0</v>
      </c>
      <c r="AF1933" s="32"/>
    </row>
    <row r="1934">
      <c r="A1934" s="86"/>
      <c r="B1934" s="87"/>
      <c r="C1934" s="88"/>
      <c r="D1934" s="104"/>
      <c r="E1934" s="104"/>
      <c r="F1934" s="104"/>
      <c r="G1934" s="104"/>
      <c r="H1934" s="104"/>
      <c r="I1934" s="104"/>
      <c r="J1934" s="104"/>
      <c r="K1934" s="32"/>
      <c r="L1934" s="32"/>
      <c r="M1934" s="32"/>
      <c r="N1934" s="32"/>
      <c r="O1934" s="106"/>
      <c r="P1934" s="91">
        <f>IFERROR(__xludf.DUMMYFUNCTION("IFERROR(sum(FILTER($D:$N,$C:$C = $C1934,$A:$A &lt; $A1934,$B:$B = 12)),0) + sum($D1934:$N1934)"),0.0)</f>
        <v>0</v>
      </c>
      <c r="Q1934" s="92">
        <f t="shared" si="1"/>
        <v>0</v>
      </c>
      <c r="R1934" s="91">
        <f t="array" ref="R1934">IFERROR(INDEX('Fund YTD Target Values'!$1:$1000, MATCH($C1934,'Fund YTD Target Values'!$A:$A,0), MATCH($A1934,'Fund YTD Target Values'!$1:$1,0)),0)</f>
        <v>0</v>
      </c>
      <c r="S1934" s="91">
        <f>IFERROR(__xludf.DUMMYFUNCTION("IFERROR(sum(FILTER('Fund Investment Data'!$V:$V, 'Fund Investment Data'!$C:$C = $C1934, 'Fund Investment Data'!$A:$A &lt; $A1934)),0) + IFERROR(sum(FILTER('Fund Investment Data'!$V:$V, 'Fund Investment Data'!$C:$C = $C1934, 'Fund Investment Data'!$A:$A = $A1"&amp;"934, 'Fund Investment Data'!$B:$B &lt;= $B1934)),0)"),0.0)</f>
        <v>0</v>
      </c>
      <c r="T1934" s="32"/>
      <c r="U1934" s="32"/>
      <c r="V1934" s="32">
        <f>IFERROR(__xludf.DUMMYFUNCTION("$D1934 - IFERROR(FILTER($D:$D,$C:$C = $C1934, $A:$A = $A1934, $B:$B = $B1934 - 1),0)"),0.0)</f>
        <v>0</v>
      </c>
      <c r="W1934" s="93">
        <f>IFERROR(__xludf.DUMMYFUNCTION("$E1934 - IFERROR(FILTER($E:$E,$C:$C = $C1934, $A:$A = $A1934, $B:$B = $B1934 - 1),0)"),0.0)</f>
        <v>0</v>
      </c>
      <c r="X1934" s="91">
        <f>IFERROR(__xludf.DUMMYFUNCTION("iFERROR((FILTER('Fund Investment Data'!$Z:$Z, 'Fund Investment Data'!$C:$C = $C1934, 'Fund Investment Data'!$A:$A = $A1934 - 1, 'Fund Investment Data'!$B:$B = 12) + FILTER('Fund Investment Data'!$AB:$AB, 'Fund Investment Data'!$C:$C = $C1934, 'Fund Invest"&amp;"ment Data'!$A:$A = $A1934 - 1, 'Fund Investment Data'!$B:$B = 12)) * (1 + AVERAGE(FILTER('Inflation Data'!$C:$C,'Inflation Data'!$A:$A = ($A1934 - 2)))) * Parameters!$A$4,0)"),0.0)</f>
        <v>0</v>
      </c>
      <c r="Y1934" s="91">
        <f>IFERROR(__xludf.DUMMYFUNCTION("IFERROR((IFERROR(FILTER('Fund Investment Data'!$P:$P,'Fund Investment Data'!$C:$C = $C1934,'Fund Investment Data'!$A:$A = ($A1934 - 2), 'Fund Investment Data'!$B:$B = 12),0) - SUM(FILTER('Fund Investment Data'!$V:$V, 'Fund Investment Data'!$C:$C = $C1934,"&amp;" 'Fund Investment Data'!$A:$A = ($A1934 - 2), 'Fund Investment Data'!$B:$B &gt; 3)))  * Parameters!$B$4 * (1 - Parameters!$A$4),0)"),0.0)</f>
        <v>0</v>
      </c>
      <c r="Z1934" s="91">
        <f t="shared" si="24"/>
        <v>0</v>
      </c>
      <c r="AA1934" s="91">
        <f>IFERROR(__xludf.DUMMYFUNCTION("((IFERROR((SUM(FILTER('Fund Investment Data'!$V:$V, 'Fund Investment Data'!$C:$C = $C1934, 'Fund Investment Data'!$A:$A = $A1934 - 1, 'Fund Investment Data'!$B:$B &gt;= 4, 'Fund Investment Data'!$B:$B &lt;= ($B1934 + 5))) / 12) * ($B1934 - 3) * Parameters!$B$4,"&amp;" 0) + IF($B1934 &gt;= 9, IFERROR(SUM(FILTER('Fund Investment Data'!$V:$V, 'Fund Investment Data'!$C:$C = $C1934, 'Fund Investment Data'!$A:$A = $A1934, 'Fund Investment Data'!$B:$B &lt;= 3)) * Parameters!$B$4, 0),0)))"),0.0)</f>
        <v>0</v>
      </c>
      <c r="AB1934" s="32">
        <f>IFERROR(__xludf.DUMMYFUNCTION("IFERROR(((IFERROR(SUM(FILTER('Fund Investment Data'!$V:$V, 'Fund Investment Data'!$C:$C = $C1934, 'Fund Investment Data'!$A:$A = $A1934 - 2, 'Fund Investment Data'!$B:$B &gt;= 4)) * Parameters!$B$4,0) + IFERROR(SUM(FILTER('Fund Investment Data'!$V:$V, 'Fund "&amp;"Investment Data'!$C:$C = $C1934, 'Fund Investment Data'!$A:$A = $A1934 - 1, 'Fund Investment Data'!$B:$B &lt;= 3)) * Parameters!$B$4,0))),0)"),0.0)</f>
        <v>0</v>
      </c>
      <c r="AC1934" s="32">
        <f>IFERROR(__xludf.DUMMYFUNCTION("IFERROR(FILTER($AF:$AF,$C:$C = $C1934,$A:$A = $A1934 - 1,$B:$B = 12),0)"),0.0)</f>
        <v>0</v>
      </c>
      <c r="AD1934" s="32">
        <f t="shared" si="23"/>
        <v>0</v>
      </c>
      <c r="AE1934" s="32">
        <f t="shared" si="2"/>
        <v>0</v>
      </c>
      <c r="AF1934" s="32"/>
    </row>
    <row r="1935">
      <c r="A1935" s="86"/>
      <c r="B1935" s="87"/>
      <c r="C1935" s="88"/>
      <c r="D1935" s="104"/>
      <c r="E1935" s="104"/>
      <c r="F1935" s="104"/>
      <c r="G1935" s="104"/>
      <c r="H1935" s="104"/>
      <c r="I1935" s="104"/>
      <c r="J1935" s="104"/>
      <c r="K1935" s="32"/>
      <c r="L1935" s="32"/>
      <c r="M1935" s="32"/>
      <c r="N1935" s="32"/>
      <c r="O1935" s="106"/>
      <c r="P1935" s="91">
        <f>IFERROR(__xludf.DUMMYFUNCTION("IFERROR(sum(FILTER($D:$N,$C:$C = $C1935,$A:$A &lt; $A1935,$B:$B = 12)),0) + sum($D1935:$N1935)"),0.0)</f>
        <v>0</v>
      </c>
      <c r="Q1935" s="92">
        <f t="shared" si="1"/>
        <v>0</v>
      </c>
      <c r="R1935" s="91">
        <f t="array" ref="R1935">IFERROR(INDEX('Fund YTD Target Values'!$1:$1000, MATCH($C1935,'Fund YTD Target Values'!$A:$A,0), MATCH($A1935,'Fund YTD Target Values'!$1:$1,0)),0)</f>
        <v>0</v>
      </c>
      <c r="S1935" s="91">
        <f>IFERROR(__xludf.DUMMYFUNCTION("IFERROR(sum(FILTER('Fund Investment Data'!$V:$V, 'Fund Investment Data'!$C:$C = $C1935, 'Fund Investment Data'!$A:$A &lt; $A1935)),0) + IFERROR(sum(FILTER('Fund Investment Data'!$V:$V, 'Fund Investment Data'!$C:$C = $C1935, 'Fund Investment Data'!$A:$A = $A1"&amp;"935, 'Fund Investment Data'!$B:$B &lt;= $B1935)),0)"),0.0)</f>
        <v>0</v>
      </c>
      <c r="T1935" s="32"/>
      <c r="U1935" s="32"/>
      <c r="V1935" s="32">
        <f>IFERROR(__xludf.DUMMYFUNCTION("$D1935 - IFERROR(FILTER($D:$D,$C:$C = $C1935, $A:$A = $A1935, $B:$B = $B1935 - 1),0)"),0.0)</f>
        <v>0</v>
      </c>
      <c r="W1935" s="93">
        <f>IFERROR(__xludf.DUMMYFUNCTION("$E1935 - IFERROR(FILTER($E:$E,$C:$C = $C1935, $A:$A = $A1935, $B:$B = $B1935 - 1),0)"),0.0)</f>
        <v>0</v>
      </c>
      <c r="X1935" s="91">
        <f>IFERROR(__xludf.DUMMYFUNCTION("iFERROR((FILTER('Fund Investment Data'!$Z:$Z, 'Fund Investment Data'!$C:$C = $C1935, 'Fund Investment Data'!$A:$A = $A1935 - 1, 'Fund Investment Data'!$B:$B = 12) + FILTER('Fund Investment Data'!$AB:$AB, 'Fund Investment Data'!$C:$C = $C1935, 'Fund Invest"&amp;"ment Data'!$A:$A = $A1935 - 1, 'Fund Investment Data'!$B:$B = 12)) * (1 + AVERAGE(FILTER('Inflation Data'!$C:$C,'Inflation Data'!$A:$A = ($A1935 - 2)))) * Parameters!$A$4,0)"),0.0)</f>
        <v>0</v>
      </c>
      <c r="Y1935" s="91">
        <f>IFERROR(__xludf.DUMMYFUNCTION("IFERROR((IFERROR(FILTER('Fund Investment Data'!$P:$P,'Fund Investment Data'!$C:$C = $C1935,'Fund Investment Data'!$A:$A = ($A1935 - 2), 'Fund Investment Data'!$B:$B = 12),0) - SUM(FILTER('Fund Investment Data'!$V:$V, 'Fund Investment Data'!$C:$C = $C1935,"&amp;" 'Fund Investment Data'!$A:$A = ($A1935 - 2), 'Fund Investment Data'!$B:$B &gt; 3)))  * Parameters!$B$4 * (1 - Parameters!$A$4),0)"),0.0)</f>
        <v>0</v>
      </c>
      <c r="Z1935" s="91">
        <f t="shared" si="24"/>
        <v>0</v>
      </c>
      <c r="AA1935" s="91">
        <f>IFERROR(__xludf.DUMMYFUNCTION("((IFERROR((SUM(FILTER('Fund Investment Data'!$V:$V, 'Fund Investment Data'!$C:$C = $C1935, 'Fund Investment Data'!$A:$A = $A1935 - 1, 'Fund Investment Data'!$B:$B &gt;= 4, 'Fund Investment Data'!$B:$B &lt;= ($B1935 + 5))) / 12) * ($B1935 - 3) * Parameters!$B$4,"&amp;" 0) + IF($B1935 &gt;= 9, IFERROR(SUM(FILTER('Fund Investment Data'!$V:$V, 'Fund Investment Data'!$C:$C = $C1935, 'Fund Investment Data'!$A:$A = $A1935, 'Fund Investment Data'!$B:$B &lt;= 3)) * Parameters!$B$4, 0),0)))"),0.0)</f>
        <v>0</v>
      </c>
      <c r="AB1935" s="32">
        <f>IFERROR(__xludf.DUMMYFUNCTION("IFERROR(((IFERROR(SUM(FILTER('Fund Investment Data'!$V:$V, 'Fund Investment Data'!$C:$C = $C1935, 'Fund Investment Data'!$A:$A = $A1935 - 2, 'Fund Investment Data'!$B:$B &gt;= 4)) * Parameters!$B$4,0) + IFERROR(SUM(FILTER('Fund Investment Data'!$V:$V, 'Fund "&amp;"Investment Data'!$C:$C = $C1935, 'Fund Investment Data'!$A:$A = $A1935 - 1, 'Fund Investment Data'!$B:$B &lt;= 3)) * Parameters!$B$4,0))),0)"),0.0)</f>
        <v>0</v>
      </c>
      <c r="AC1935" s="32">
        <f>IFERROR(__xludf.DUMMYFUNCTION("IFERROR(FILTER($AF:$AF,$C:$C = $C1935,$A:$A = $A1935 - 1,$B:$B = 12),0)"),0.0)</f>
        <v>0</v>
      </c>
      <c r="AD1935" s="32">
        <f t="shared" si="23"/>
        <v>0</v>
      </c>
      <c r="AE1935" s="32">
        <f t="shared" si="2"/>
        <v>0</v>
      </c>
      <c r="AF1935" s="32"/>
    </row>
    <row r="1936">
      <c r="A1936" s="86"/>
      <c r="B1936" s="87"/>
      <c r="C1936" s="88"/>
      <c r="D1936" s="104"/>
      <c r="E1936" s="104"/>
      <c r="F1936" s="104"/>
      <c r="G1936" s="104"/>
      <c r="H1936" s="104"/>
      <c r="I1936" s="104"/>
      <c r="J1936" s="104"/>
      <c r="K1936" s="32"/>
      <c r="L1936" s="32"/>
      <c r="M1936" s="32"/>
      <c r="N1936" s="32"/>
      <c r="O1936" s="106"/>
      <c r="P1936" s="91">
        <f>IFERROR(__xludf.DUMMYFUNCTION("IFERROR(sum(FILTER($D:$N,$C:$C = $C1936,$A:$A &lt; $A1936,$B:$B = 12)),0) + sum($D1936:$N1936)"),0.0)</f>
        <v>0</v>
      </c>
      <c r="Q1936" s="92">
        <f t="shared" si="1"/>
        <v>0</v>
      </c>
      <c r="R1936" s="91">
        <f t="array" ref="R1936">IFERROR(INDEX('Fund YTD Target Values'!$1:$1000, MATCH($C1936,'Fund YTD Target Values'!$A:$A,0), MATCH($A1936,'Fund YTD Target Values'!$1:$1,0)),0)</f>
        <v>0</v>
      </c>
      <c r="S1936" s="91">
        <f>IFERROR(__xludf.DUMMYFUNCTION("IFERROR(sum(FILTER('Fund Investment Data'!$V:$V, 'Fund Investment Data'!$C:$C = $C1936, 'Fund Investment Data'!$A:$A &lt; $A1936)),0) + IFERROR(sum(FILTER('Fund Investment Data'!$V:$V, 'Fund Investment Data'!$C:$C = $C1936, 'Fund Investment Data'!$A:$A = $A1"&amp;"936, 'Fund Investment Data'!$B:$B &lt;= $B1936)),0)"),0.0)</f>
        <v>0</v>
      </c>
      <c r="T1936" s="32"/>
      <c r="U1936" s="32"/>
      <c r="V1936" s="32">
        <f>IFERROR(__xludf.DUMMYFUNCTION("$D1936 - IFERROR(FILTER($D:$D,$C:$C = $C1936, $A:$A = $A1936, $B:$B = $B1936 - 1),0)"),0.0)</f>
        <v>0</v>
      </c>
      <c r="W1936" s="93">
        <f>IFERROR(__xludf.DUMMYFUNCTION("$E1936 - IFERROR(FILTER($E:$E,$C:$C = $C1936, $A:$A = $A1936, $B:$B = $B1936 - 1),0)"),0.0)</f>
        <v>0</v>
      </c>
      <c r="X1936" s="91">
        <f>IFERROR(__xludf.DUMMYFUNCTION("iFERROR((FILTER('Fund Investment Data'!$Z:$Z, 'Fund Investment Data'!$C:$C = $C1936, 'Fund Investment Data'!$A:$A = $A1936 - 1, 'Fund Investment Data'!$B:$B = 12) + FILTER('Fund Investment Data'!$AB:$AB, 'Fund Investment Data'!$C:$C = $C1936, 'Fund Invest"&amp;"ment Data'!$A:$A = $A1936 - 1, 'Fund Investment Data'!$B:$B = 12)) * (1 + AVERAGE(FILTER('Inflation Data'!$C:$C,'Inflation Data'!$A:$A = ($A1936 - 2)))) * Parameters!$A$4,0)"),0.0)</f>
        <v>0</v>
      </c>
      <c r="Y1936" s="91">
        <f>IFERROR(__xludf.DUMMYFUNCTION("IFERROR((IFERROR(FILTER('Fund Investment Data'!$P:$P,'Fund Investment Data'!$C:$C = $C1936,'Fund Investment Data'!$A:$A = ($A1936 - 2), 'Fund Investment Data'!$B:$B = 12),0) - SUM(FILTER('Fund Investment Data'!$V:$V, 'Fund Investment Data'!$C:$C = $C1936,"&amp;" 'Fund Investment Data'!$A:$A = ($A1936 - 2), 'Fund Investment Data'!$B:$B &gt; 3)))  * Parameters!$B$4 * (1 - Parameters!$A$4),0)"),0.0)</f>
        <v>0</v>
      </c>
      <c r="Z1936" s="91">
        <f t="shared" si="24"/>
        <v>0</v>
      </c>
      <c r="AA1936" s="91">
        <f>IFERROR(__xludf.DUMMYFUNCTION("((IFERROR((SUM(FILTER('Fund Investment Data'!$V:$V, 'Fund Investment Data'!$C:$C = $C1936, 'Fund Investment Data'!$A:$A = $A1936 - 1, 'Fund Investment Data'!$B:$B &gt;= 4, 'Fund Investment Data'!$B:$B &lt;= ($B1936 + 5))) / 12) * ($B1936 - 3) * Parameters!$B$4,"&amp;" 0) + IF($B1936 &gt;= 9, IFERROR(SUM(FILTER('Fund Investment Data'!$V:$V, 'Fund Investment Data'!$C:$C = $C1936, 'Fund Investment Data'!$A:$A = $A1936, 'Fund Investment Data'!$B:$B &lt;= 3)) * Parameters!$B$4, 0),0)))"),0.0)</f>
        <v>0</v>
      </c>
      <c r="AB1936" s="32">
        <f>IFERROR(__xludf.DUMMYFUNCTION("IFERROR(((IFERROR(SUM(FILTER('Fund Investment Data'!$V:$V, 'Fund Investment Data'!$C:$C = $C1936, 'Fund Investment Data'!$A:$A = $A1936 - 2, 'Fund Investment Data'!$B:$B &gt;= 4)) * Parameters!$B$4,0) + IFERROR(SUM(FILTER('Fund Investment Data'!$V:$V, 'Fund "&amp;"Investment Data'!$C:$C = $C1936, 'Fund Investment Data'!$A:$A = $A1936 - 1, 'Fund Investment Data'!$B:$B &lt;= 3)) * Parameters!$B$4,0))),0)"),0.0)</f>
        <v>0</v>
      </c>
      <c r="AC1936" s="32">
        <f>IFERROR(__xludf.DUMMYFUNCTION("IFERROR(FILTER($AF:$AF,$C:$C = $C1936,$A:$A = $A1936 - 1,$B:$B = 12),0)"),0.0)</f>
        <v>0</v>
      </c>
      <c r="AD1936" s="32">
        <f t="shared" si="23"/>
        <v>0</v>
      </c>
      <c r="AE1936" s="32">
        <f t="shared" si="2"/>
        <v>0</v>
      </c>
      <c r="AF1936" s="32"/>
    </row>
    <row r="1937">
      <c r="A1937" s="86"/>
      <c r="B1937" s="87"/>
      <c r="C1937" s="88"/>
      <c r="D1937" s="104"/>
      <c r="E1937" s="104"/>
      <c r="F1937" s="104"/>
      <c r="G1937" s="104"/>
      <c r="H1937" s="104"/>
      <c r="I1937" s="104"/>
      <c r="J1937" s="104"/>
      <c r="K1937" s="32"/>
      <c r="L1937" s="32"/>
      <c r="M1937" s="32"/>
      <c r="N1937" s="32"/>
      <c r="O1937" s="106"/>
      <c r="P1937" s="91">
        <f>IFERROR(__xludf.DUMMYFUNCTION("IFERROR(sum(FILTER($D:$N,$C:$C = $C1937,$A:$A &lt; $A1937,$B:$B = 12)),0) + sum($D1937:$N1937)"),0.0)</f>
        <v>0</v>
      </c>
      <c r="Q1937" s="92">
        <f t="shared" si="1"/>
        <v>0</v>
      </c>
      <c r="R1937" s="91">
        <f t="array" ref="R1937">IFERROR(INDEX('Fund YTD Target Values'!$1:$1000, MATCH($C1937,'Fund YTD Target Values'!$A:$A,0), MATCH($A1937,'Fund YTD Target Values'!$1:$1,0)),0)</f>
        <v>0</v>
      </c>
      <c r="S1937" s="91">
        <f>IFERROR(__xludf.DUMMYFUNCTION("IFERROR(sum(FILTER('Fund Investment Data'!$V:$V, 'Fund Investment Data'!$C:$C = $C1937, 'Fund Investment Data'!$A:$A &lt; $A1937)),0) + IFERROR(sum(FILTER('Fund Investment Data'!$V:$V, 'Fund Investment Data'!$C:$C = $C1937, 'Fund Investment Data'!$A:$A = $A1"&amp;"937, 'Fund Investment Data'!$B:$B &lt;= $B1937)),0)"),0.0)</f>
        <v>0</v>
      </c>
      <c r="T1937" s="32"/>
      <c r="U1937" s="32"/>
      <c r="V1937" s="32">
        <f>IFERROR(__xludf.DUMMYFUNCTION("$D1937 - IFERROR(FILTER($D:$D,$C:$C = $C1937, $A:$A = $A1937, $B:$B = $B1937 - 1),0)"),0.0)</f>
        <v>0</v>
      </c>
      <c r="W1937" s="93">
        <f>IFERROR(__xludf.DUMMYFUNCTION("$E1937 - IFERROR(FILTER($E:$E,$C:$C = $C1937, $A:$A = $A1937, $B:$B = $B1937 - 1),0)"),0.0)</f>
        <v>0</v>
      </c>
      <c r="X1937" s="91">
        <f>IFERROR(__xludf.DUMMYFUNCTION("iFERROR((FILTER('Fund Investment Data'!$Z:$Z, 'Fund Investment Data'!$C:$C = $C1937, 'Fund Investment Data'!$A:$A = $A1937 - 1, 'Fund Investment Data'!$B:$B = 12) + FILTER('Fund Investment Data'!$AB:$AB, 'Fund Investment Data'!$C:$C = $C1937, 'Fund Invest"&amp;"ment Data'!$A:$A = $A1937 - 1, 'Fund Investment Data'!$B:$B = 12)) * (1 + AVERAGE(FILTER('Inflation Data'!$C:$C,'Inflation Data'!$A:$A = ($A1937 - 2)))) * Parameters!$A$4,0)"),0.0)</f>
        <v>0</v>
      </c>
      <c r="Y1937" s="91">
        <f>IFERROR(__xludf.DUMMYFUNCTION("IFERROR((IFERROR(FILTER('Fund Investment Data'!$P:$P,'Fund Investment Data'!$C:$C = $C1937,'Fund Investment Data'!$A:$A = ($A1937 - 2), 'Fund Investment Data'!$B:$B = 12),0) - SUM(FILTER('Fund Investment Data'!$V:$V, 'Fund Investment Data'!$C:$C = $C1937,"&amp;" 'Fund Investment Data'!$A:$A = ($A1937 - 2), 'Fund Investment Data'!$B:$B &gt; 3)))  * Parameters!$B$4 * (1 - Parameters!$A$4),0)"),0.0)</f>
        <v>0</v>
      </c>
      <c r="Z1937" s="91">
        <f t="shared" si="24"/>
        <v>0</v>
      </c>
      <c r="AA1937" s="91">
        <f>IFERROR(__xludf.DUMMYFUNCTION("((IFERROR((SUM(FILTER('Fund Investment Data'!$V:$V, 'Fund Investment Data'!$C:$C = $C1937, 'Fund Investment Data'!$A:$A = $A1937 - 1, 'Fund Investment Data'!$B:$B &gt;= 4, 'Fund Investment Data'!$B:$B &lt;= ($B1937 + 5))) / 12) * ($B1937 - 3) * Parameters!$B$4,"&amp;" 0) + IF($B1937 &gt;= 9, IFERROR(SUM(FILTER('Fund Investment Data'!$V:$V, 'Fund Investment Data'!$C:$C = $C1937, 'Fund Investment Data'!$A:$A = $A1937, 'Fund Investment Data'!$B:$B &lt;= 3)) * Parameters!$B$4, 0),0)))"),0.0)</f>
        <v>0</v>
      </c>
      <c r="AB1937" s="32">
        <f>IFERROR(__xludf.DUMMYFUNCTION("IFERROR(((IFERROR(SUM(FILTER('Fund Investment Data'!$V:$V, 'Fund Investment Data'!$C:$C = $C1937, 'Fund Investment Data'!$A:$A = $A1937 - 2, 'Fund Investment Data'!$B:$B &gt;= 4)) * Parameters!$B$4,0) + IFERROR(SUM(FILTER('Fund Investment Data'!$V:$V, 'Fund "&amp;"Investment Data'!$C:$C = $C1937, 'Fund Investment Data'!$A:$A = $A1937 - 1, 'Fund Investment Data'!$B:$B &lt;= 3)) * Parameters!$B$4,0))),0)"),0.0)</f>
        <v>0</v>
      </c>
      <c r="AC1937" s="32">
        <f>IFERROR(__xludf.DUMMYFUNCTION("IFERROR(FILTER($AF:$AF,$C:$C = $C1937,$A:$A = $A1937 - 1,$B:$B = 12),0)"),0.0)</f>
        <v>0</v>
      </c>
      <c r="AD1937" s="32">
        <f t="shared" si="23"/>
        <v>0</v>
      </c>
      <c r="AE1937" s="32">
        <f t="shared" si="2"/>
        <v>0</v>
      </c>
      <c r="AF1937" s="32"/>
    </row>
    <row r="1938">
      <c r="A1938" s="86"/>
      <c r="B1938" s="87"/>
      <c r="C1938" s="88"/>
      <c r="D1938" s="104"/>
      <c r="E1938" s="104"/>
      <c r="F1938" s="104"/>
      <c r="G1938" s="104"/>
      <c r="H1938" s="104"/>
      <c r="I1938" s="104"/>
      <c r="J1938" s="104"/>
      <c r="K1938" s="32"/>
      <c r="L1938" s="32"/>
      <c r="M1938" s="32"/>
      <c r="N1938" s="32"/>
      <c r="O1938" s="106"/>
      <c r="P1938" s="91">
        <f>IFERROR(__xludf.DUMMYFUNCTION("IFERROR(sum(FILTER($D:$N,$C:$C = $C1938,$A:$A &lt; $A1938,$B:$B = 12)),0) + sum($D1938:$N1938)"),0.0)</f>
        <v>0</v>
      </c>
      <c r="Q1938" s="92">
        <f t="shared" si="1"/>
        <v>0</v>
      </c>
      <c r="R1938" s="91">
        <f t="array" ref="R1938">IFERROR(INDEX('Fund YTD Target Values'!$1:$1000, MATCH($C1938,'Fund YTD Target Values'!$A:$A,0), MATCH($A1938,'Fund YTD Target Values'!$1:$1,0)),0)</f>
        <v>0</v>
      </c>
      <c r="S1938" s="91">
        <f>IFERROR(__xludf.DUMMYFUNCTION("IFERROR(sum(FILTER('Fund Investment Data'!$V:$V, 'Fund Investment Data'!$C:$C = $C1938, 'Fund Investment Data'!$A:$A &lt; $A1938)),0) + IFERROR(sum(FILTER('Fund Investment Data'!$V:$V, 'Fund Investment Data'!$C:$C = $C1938, 'Fund Investment Data'!$A:$A = $A1"&amp;"938, 'Fund Investment Data'!$B:$B &lt;= $B1938)),0)"),0.0)</f>
        <v>0</v>
      </c>
      <c r="T1938" s="32"/>
      <c r="U1938" s="32"/>
      <c r="V1938" s="32">
        <f>IFERROR(__xludf.DUMMYFUNCTION("$D1938 - IFERROR(FILTER($D:$D,$C:$C = $C1938, $A:$A = $A1938, $B:$B = $B1938 - 1),0)"),0.0)</f>
        <v>0</v>
      </c>
      <c r="W1938" s="93">
        <f>IFERROR(__xludf.DUMMYFUNCTION("$E1938 - IFERROR(FILTER($E:$E,$C:$C = $C1938, $A:$A = $A1938, $B:$B = $B1938 - 1),0)"),0.0)</f>
        <v>0</v>
      </c>
      <c r="X1938" s="91">
        <f>IFERROR(__xludf.DUMMYFUNCTION("iFERROR((FILTER('Fund Investment Data'!$Z:$Z, 'Fund Investment Data'!$C:$C = $C1938, 'Fund Investment Data'!$A:$A = $A1938 - 1, 'Fund Investment Data'!$B:$B = 12) + FILTER('Fund Investment Data'!$AB:$AB, 'Fund Investment Data'!$C:$C = $C1938, 'Fund Invest"&amp;"ment Data'!$A:$A = $A1938 - 1, 'Fund Investment Data'!$B:$B = 12)) * (1 + AVERAGE(FILTER('Inflation Data'!$C:$C,'Inflation Data'!$A:$A = ($A1938 - 2)))) * Parameters!$A$4,0)"),0.0)</f>
        <v>0</v>
      </c>
      <c r="Y1938" s="91">
        <f>IFERROR(__xludf.DUMMYFUNCTION("IFERROR((IFERROR(FILTER('Fund Investment Data'!$P:$P,'Fund Investment Data'!$C:$C = $C1938,'Fund Investment Data'!$A:$A = ($A1938 - 2), 'Fund Investment Data'!$B:$B = 12),0) - SUM(FILTER('Fund Investment Data'!$V:$V, 'Fund Investment Data'!$C:$C = $C1938,"&amp;" 'Fund Investment Data'!$A:$A = ($A1938 - 2), 'Fund Investment Data'!$B:$B &gt; 3)))  * Parameters!$B$4 * (1 - Parameters!$A$4),0)"),0.0)</f>
        <v>0</v>
      </c>
      <c r="Z1938" s="91">
        <f t="shared" si="24"/>
        <v>0</v>
      </c>
      <c r="AA1938" s="91">
        <f>IFERROR(__xludf.DUMMYFUNCTION("((IFERROR((SUM(FILTER('Fund Investment Data'!$V:$V, 'Fund Investment Data'!$C:$C = $C1938, 'Fund Investment Data'!$A:$A = $A1938 - 1, 'Fund Investment Data'!$B:$B &gt;= 4, 'Fund Investment Data'!$B:$B &lt;= ($B1938 + 5))) / 12) * ($B1938 - 3) * Parameters!$B$4,"&amp;" 0) + IF($B1938 &gt;= 9, IFERROR(SUM(FILTER('Fund Investment Data'!$V:$V, 'Fund Investment Data'!$C:$C = $C1938, 'Fund Investment Data'!$A:$A = $A1938, 'Fund Investment Data'!$B:$B &lt;= 3)) * Parameters!$B$4, 0),0)))"),0.0)</f>
        <v>0</v>
      </c>
      <c r="AB1938" s="32">
        <f>IFERROR(__xludf.DUMMYFUNCTION("IFERROR(((IFERROR(SUM(FILTER('Fund Investment Data'!$V:$V, 'Fund Investment Data'!$C:$C = $C1938, 'Fund Investment Data'!$A:$A = $A1938 - 2, 'Fund Investment Data'!$B:$B &gt;= 4)) * Parameters!$B$4,0) + IFERROR(SUM(FILTER('Fund Investment Data'!$V:$V, 'Fund "&amp;"Investment Data'!$C:$C = $C1938, 'Fund Investment Data'!$A:$A = $A1938 - 1, 'Fund Investment Data'!$B:$B &lt;= 3)) * Parameters!$B$4,0))),0)"),0.0)</f>
        <v>0</v>
      </c>
      <c r="AC1938" s="32">
        <f>IFERROR(__xludf.DUMMYFUNCTION("IFERROR(FILTER($AF:$AF,$C:$C = $C1938,$A:$A = $A1938 - 1,$B:$B = 12),0)"),0.0)</f>
        <v>0</v>
      </c>
      <c r="AD1938" s="32">
        <f t="shared" si="23"/>
        <v>0</v>
      </c>
      <c r="AE1938" s="32">
        <f t="shared" si="2"/>
        <v>0</v>
      </c>
      <c r="AF1938" s="32"/>
    </row>
    <row r="1939">
      <c r="A1939" s="86"/>
      <c r="B1939" s="87"/>
      <c r="C1939" s="88"/>
      <c r="D1939" s="104"/>
      <c r="E1939" s="104"/>
      <c r="F1939" s="104"/>
      <c r="G1939" s="104"/>
      <c r="H1939" s="104"/>
      <c r="I1939" s="104"/>
      <c r="J1939" s="104"/>
      <c r="K1939" s="32"/>
      <c r="L1939" s="32"/>
      <c r="M1939" s="32"/>
      <c r="N1939" s="32"/>
      <c r="O1939" s="106"/>
      <c r="P1939" s="91">
        <f>IFERROR(__xludf.DUMMYFUNCTION("IFERROR(sum(FILTER($D:$N,$C:$C = $C1939,$A:$A &lt; $A1939,$B:$B = 12)),0) + sum($D1939:$N1939)"),0.0)</f>
        <v>0</v>
      </c>
      <c r="Q1939" s="92">
        <f t="shared" si="1"/>
        <v>0</v>
      </c>
      <c r="R1939" s="91">
        <f t="array" ref="R1939">IFERROR(INDEX('Fund YTD Target Values'!$1:$1000, MATCH($C1939,'Fund YTD Target Values'!$A:$A,0), MATCH($A1939,'Fund YTD Target Values'!$1:$1,0)),0)</f>
        <v>0</v>
      </c>
      <c r="S1939" s="91">
        <f>IFERROR(__xludf.DUMMYFUNCTION("IFERROR(sum(FILTER('Fund Investment Data'!$V:$V, 'Fund Investment Data'!$C:$C = $C1939, 'Fund Investment Data'!$A:$A &lt; $A1939)),0) + IFERROR(sum(FILTER('Fund Investment Data'!$V:$V, 'Fund Investment Data'!$C:$C = $C1939, 'Fund Investment Data'!$A:$A = $A1"&amp;"939, 'Fund Investment Data'!$B:$B &lt;= $B1939)),0)"),0.0)</f>
        <v>0</v>
      </c>
      <c r="T1939" s="32"/>
      <c r="U1939" s="32"/>
      <c r="V1939" s="32">
        <f>IFERROR(__xludf.DUMMYFUNCTION("$D1939 - IFERROR(FILTER($D:$D,$C:$C = $C1939, $A:$A = $A1939, $B:$B = $B1939 - 1),0)"),0.0)</f>
        <v>0</v>
      </c>
      <c r="W1939" s="93">
        <f>IFERROR(__xludf.DUMMYFUNCTION("$E1939 - IFERROR(FILTER($E:$E,$C:$C = $C1939, $A:$A = $A1939, $B:$B = $B1939 - 1),0)"),0.0)</f>
        <v>0</v>
      </c>
      <c r="X1939" s="91">
        <f>IFERROR(__xludf.DUMMYFUNCTION("iFERROR((FILTER('Fund Investment Data'!$Z:$Z, 'Fund Investment Data'!$C:$C = $C1939, 'Fund Investment Data'!$A:$A = $A1939 - 1, 'Fund Investment Data'!$B:$B = 12) + FILTER('Fund Investment Data'!$AB:$AB, 'Fund Investment Data'!$C:$C = $C1939, 'Fund Invest"&amp;"ment Data'!$A:$A = $A1939 - 1, 'Fund Investment Data'!$B:$B = 12)) * (1 + AVERAGE(FILTER('Inflation Data'!$C:$C,'Inflation Data'!$A:$A = ($A1939 - 2)))) * Parameters!$A$4,0)"),0.0)</f>
        <v>0</v>
      </c>
      <c r="Y1939" s="91">
        <f>IFERROR(__xludf.DUMMYFUNCTION("IFERROR((IFERROR(FILTER('Fund Investment Data'!$P:$P,'Fund Investment Data'!$C:$C = $C1939,'Fund Investment Data'!$A:$A = ($A1939 - 2), 'Fund Investment Data'!$B:$B = 12),0) - SUM(FILTER('Fund Investment Data'!$V:$V, 'Fund Investment Data'!$C:$C = $C1939,"&amp;" 'Fund Investment Data'!$A:$A = ($A1939 - 2), 'Fund Investment Data'!$B:$B &gt; 3)))  * Parameters!$B$4 * (1 - Parameters!$A$4),0)"),0.0)</f>
        <v>0</v>
      </c>
      <c r="Z1939" s="91">
        <f t="shared" si="24"/>
        <v>0</v>
      </c>
      <c r="AA1939" s="91">
        <f>IFERROR(__xludf.DUMMYFUNCTION("((IFERROR((SUM(FILTER('Fund Investment Data'!$V:$V, 'Fund Investment Data'!$C:$C = $C1939, 'Fund Investment Data'!$A:$A = $A1939 - 1, 'Fund Investment Data'!$B:$B &gt;= 4, 'Fund Investment Data'!$B:$B &lt;= ($B1939 + 5))) / 12) * ($B1939 - 3) * Parameters!$B$4,"&amp;" 0) + IF($B1939 &gt;= 9, IFERROR(SUM(FILTER('Fund Investment Data'!$V:$V, 'Fund Investment Data'!$C:$C = $C1939, 'Fund Investment Data'!$A:$A = $A1939, 'Fund Investment Data'!$B:$B &lt;= 3)) * Parameters!$B$4, 0),0)))"),0.0)</f>
        <v>0</v>
      </c>
      <c r="AB1939" s="32">
        <f>IFERROR(__xludf.DUMMYFUNCTION("IFERROR(((IFERROR(SUM(FILTER('Fund Investment Data'!$V:$V, 'Fund Investment Data'!$C:$C = $C1939, 'Fund Investment Data'!$A:$A = $A1939 - 2, 'Fund Investment Data'!$B:$B &gt;= 4)) * Parameters!$B$4,0) + IFERROR(SUM(FILTER('Fund Investment Data'!$V:$V, 'Fund "&amp;"Investment Data'!$C:$C = $C1939, 'Fund Investment Data'!$A:$A = $A1939 - 1, 'Fund Investment Data'!$B:$B &lt;= 3)) * Parameters!$B$4,0))),0)"),0.0)</f>
        <v>0</v>
      </c>
      <c r="AC1939" s="32">
        <f>IFERROR(__xludf.DUMMYFUNCTION("IFERROR(FILTER($AF:$AF,$C:$C = $C1939,$A:$A = $A1939 - 1,$B:$B = 12),0)"),0.0)</f>
        <v>0</v>
      </c>
      <c r="AD1939" s="32">
        <f t="shared" si="23"/>
        <v>0</v>
      </c>
      <c r="AE1939" s="32">
        <f t="shared" si="2"/>
        <v>0</v>
      </c>
      <c r="AF1939" s="32"/>
    </row>
    <row r="1940">
      <c r="A1940" s="86"/>
      <c r="B1940" s="87"/>
      <c r="C1940" s="88"/>
      <c r="D1940" s="104"/>
      <c r="E1940" s="104"/>
      <c r="F1940" s="104"/>
      <c r="G1940" s="104"/>
      <c r="H1940" s="104"/>
      <c r="I1940" s="104"/>
      <c r="J1940" s="104"/>
      <c r="K1940" s="32"/>
      <c r="L1940" s="32"/>
      <c r="M1940" s="32"/>
      <c r="N1940" s="32"/>
      <c r="O1940" s="106"/>
      <c r="P1940" s="91">
        <f>IFERROR(__xludf.DUMMYFUNCTION("IFERROR(sum(FILTER($D:$N,$C:$C = $C1940,$A:$A &lt; $A1940,$B:$B = 12)),0) + sum($D1940:$N1940)"),0.0)</f>
        <v>0</v>
      </c>
      <c r="Q1940" s="92">
        <f t="shared" si="1"/>
        <v>0</v>
      </c>
      <c r="R1940" s="91">
        <f t="array" ref="R1940">IFERROR(INDEX('Fund YTD Target Values'!$1:$1000, MATCH($C1940,'Fund YTD Target Values'!$A:$A,0), MATCH($A1940,'Fund YTD Target Values'!$1:$1,0)),0)</f>
        <v>0</v>
      </c>
      <c r="S1940" s="91">
        <f>IFERROR(__xludf.DUMMYFUNCTION("IFERROR(sum(FILTER('Fund Investment Data'!$V:$V, 'Fund Investment Data'!$C:$C = $C1940, 'Fund Investment Data'!$A:$A &lt; $A1940)),0) + IFERROR(sum(FILTER('Fund Investment Data'!$V:$V, 'Fund Investment Data'!$C:$C = $C1940, 'Fund Investment Data'!$A:$A = $A1"&amp;"940, 'Fund Investment Data'!$B:$B &lt;= $B1940)),0)"),0.0)</f>
        <v>0</v>
      </c>
      <c r="T1940" s="32"/>
      <c r="U1940" s="32"/>
      <c r="V1940" s="32">
        <f>IFERROR(__xludf.DUMMYFUNCTION("$D1940 - IFERROR(FILTER($D:$D,$C:$C = $C1940, $A:$A = $A1940, $B:$B = $B1940 - 1),0)"),0.0)</f>
        <v>0</v>
      </c>
      <c r="W1940" s="93">
        <f>IFERROR(__xludf.DUMMYFUNCTION("$E1940 - IFERROR(FILTER($E:$E,$C:$C = $C1940, $A:$A = $A1940, $B:$B = $B1940 - 1),0)"),0.0)</f>
        <v>0</v>
      </c>
      <c r="X1940" s="91">
        <f>IFERROR(__xludf.DUMMYFUNCTION("iFERROR((FILTER('Fund Investment Data'!$Z:$Z, 'Fund Investment Data'!$C:$C = $C1940, 'Fund Investment Data'!$A:$A = $A1940 - 1, 'Fund Investment Data'!$B:$B = 12) + FILTER('Fund Investment Data'!$AB:$AB, 'Fund Investment Data'!$C:$C = $C1940, 'Fund Invest"&amp;"ment Data'!$A:$A = $A1940 - 1, 'Fund Investment Data'!$B:$B = 12)) * (1 + AVERAGE(FILTER('Inflation Data'!$C:$C,'Inflation Data'!$A:$A = ($A1940 - 2)))) * Parameters!$A$4,0)"),0.0)</f>
        <v>0</v>
      </c>
      <c r="Y1940" s="91">
        <f>IFERROR(__xludf.DUMMYFUNCTION("IFERROR((IFERROR(FILTER('Fund Investment Data'!$P:$P,'Fund Investment Data'!$C:$C = $C1940,'Fund Investment Data'!$A:$A = ($A1940 - 2), 'Fund Investment Data'!$B:$B = 12),0) - SUM(FILTER('Fund Investment Data'!$V:$V, 'Fund Investment Data'!$C:$C = $C1940,"&amp;" 'Fund Investment Data'!$A:$A = ($A1940 - 2), 'Fund Investment Data'!$B:$B &gt; 3)))  * Parameters!$B$4 * (1 - Parameters!$A$4),0)"),0.0)</f>
        <v>0</v>
      </c>
      <c r="Z1940" s="91">
        <f t="shared" si="24"/>
        <v>0</v>
      </c>
      <c r="AA1940" s="91">
        <f>IFERROR(__xludf.DUMMYFUNCTION("((IFERROR((SUM(FILTER('Fund Investment Data'!$V:$V, 'Fund Investment Data'!$C:$C = $C1940, 'Fund Investment Data'!$A:$A = $A1940 - 1, 'Fund Investment Data'!$B:$B &gt;= 4, 'Fund Investment Data'!$B:$B &lt;= ($B1940 + 5))) / 12) * ($B1940 - 3) * Parameters!$B$4,"&amp;" 0) + IF($B1940 &gt;= 9, IFERROR(SUM(FILTER('Fund Investment Data'!$V:$V, 'Fund Investment Data'!$C:$C = $C1940, 'Fund Investment Data'!$A:$A = $A1940, 'Fund Investment Data'!$B:$B &lt;= 3)) * Parameters!$B$4, 0),0)))"),0.0)</f>
        <v>0</v>
      </c>
      <c r="AB1940" s="32">
        <f>IFERROR(__xludf.DUMMYFUNCTION("IFERROR(((IFERROR(SUM(FILTER('Fund Investment Data'!$V:$V, 'Fund Investment Data'!$C:$C = $C1940, 'Fund Investment Data'!$A:$A = $A1940 - 2, 'Fund Investment Data'!$B:$B &gt;= 4)) * Parameters!$B$4,0) + IFERROR(SUM(FILTER('Fund Investment Data'!$V:$V, 'Fund "&amp;"Investment Data'!$C:$C = $C1940, 'Fund Investment Data'!$A:$A = $A1940 - 1, 'Fund Investment Data'!$B:$B &lt;= 3)) * Parameters!$B$4,0))),0)"),0.0)</f>
        <v>0</v>
      </c>
      <c r="AC1940" s="32">
        <f>IFERROR(__xludf.DUMMYFUNCTION("IFERROR(FILTER($AF:$AF,$C:$C = $C1940,$A:$A = $A1940 - 1,$B:$B = 12),0)"),0.0)</f>
        <v>0</v>
      </c>
      <c r="AD1940" s="32">
        <f t="shared" si="23"/>
        <v>0</v>
      </c>
      <c r="AE1940" s="32">
        <f t="shared" si="2"/>
        <v>0</v>
      </c>
      <c r="AF1940" s="32"/>
    </row>
    <row r="1941">
      <c r="A1941" s="86"/>
      <c r="B1941" s="87"/>
      <c r="C1941" s="88"/>
      <c r="D1941" s="104"/>
      <c r="E1941" s="104"/>
      <c r="F1941" s="104"/>
      <c r="G1941" s="104"/>
      <c r="H1941" s="104"/>
      <c r="I1941" s="104"/>
      <c r="J1941" s="104"/>
      <c r="K1941" s="32"/>
      <c r="L1941" s="32"/>
      <c r="M1941" s="32"/>
      <c r="N1941" s="32"/>
      <c r="O1941" s="106"/>
      <c r="P1941" s="91">
        <f>IFERROR(__xludf.DUMMYFUNCTION("IFERROR(sum(FILTER($D:$N,$C:$C = $C1941,$A:$A &lt; $A1941,$B:$B = 12)),0) + sum($D1941:$N1941)"),0.0)</f>
        <v>0</v>
      </c>
      <c r="Q1941" s="92">
        <f t="shared" si="1"/>
        <v>0</v>
      </c>
      <c r="R1941" s="91">
        <f t="array" ref="R1941">IFERROR(INDEX('Fund YTD Target Values'!$1:$1000, MATCH($C1941,'Fund YTD Target Values'!$A:$A,0), MATCH($A1941,'Fund YTD Target Values'!$1:$1,0)),0)</f>
        <v>0</v>
      </c>
      <c r="S1941" s="91">
        <f>IFERROR(__xludf.DUMMYFUNCTION("IFERROR(sum(FILTER('Fund Investment Data'!$V:$V, 'Fund Investment Data'!$C:$C = $C1941, 'Fund Investment Data'!$A:$A &lt; $A1941)),0) + IFERROR(sum(FILTER('Fund Investment Data'!$V:$V, 'Fund Investment Data'!$C:$C = $C1941, 'Fund Investment Data'!$A:$A = $A1"&amp;"941, 'Fund Investment Data'!$B:$B &lt;= $B1941)),0)"),0.0)</f>
        <v>0</v>
      </c>
      <c r="T1941" s="32"/>
      <c r="U1941" s="32"/>
      <c r="V1941" s="32">
        <f>IFERROR(__xludf.DUMMYFUNCTION("$D1941 - IFERROR(FILTER($D:$D,$C:$C = $C1941, $A:$A = $A1941, $B:$B = $B1941 - 1),0)"),0.0)</f>
        <v>0</v>
      </c>
      <c r="W1941" s="93">
        <f>IFERROR(__xludf.DUMMYFUNCTION("$E1941 - IFERROR(FILTER($E:$E,$C:$C = $C1941, $A:$A = $A1941, $B:$B = $B1941 - 1),0)"),0.0)</f>
        <v>0</v>
      </c>
      <c r="X1941" s="91">
        <f>IFERROR(__xludf.DUMMYFUNCTION("iFERROR((FILTER('Fund Investment Data'!$Z:$Z, 'Fund Investment Data'!$C:$C = $C1941, 'Fund Investment Data'!$A:$A = $A1941 - 1, 'Fund Investment Data'!$B:$B = 12) + FILTER('Fund Investment Data'!$AB:$AB, 'Fund Investment Data'!$C:$C = $C1941, 'Fund Invest"&amp;"ment Data'!$A:$A = $A1941 - 1, 'Fund Investment Data'!$B:$B = 12)) * (1 + AVERAGE(FILTER('Inflation Data'!$C:$C,'Inflation Data'!$A:$A = ($A1941 - 2)))) * Parameters!$A$4,0)"),0.0)</f>
        <v>0</v>
      </c>
      <c r="Y1941" s="91">
        <f>IFERROR(__xludf.DUMMYFUNCTION("IFERROR((IFERROR(FILTER('Fund Investment Data'!$P:$P,'Fund Investment Data'!$C:$C = $C1941,'Fund Investment Data'!$A:$A = ($A1941 - 2), 'Fund Investment Data'!$B:$B = 12),0) - SUM(FILTER('Fund Investment Data'!$V:$V, 'Fund Investment Data'!$C:$C = $C1941,"&amp;" 'Fund Investment Data'!$A:$A = ($A1941 - 2), 'Fund Investment Data'!$B:$B &gt; 3)))  * Parameters!$B$4 * (1 - Parameters!$A$4),0)"),0.0)</f>
        <v>0</v>
      </c>
      <c r="Z1941" s="91">
        <f t="shared" si="24"/>
        <v>0</v>
      </c>
      <c r="AA1941" s="91">
        <f>IFERROR(__xludf.DUMMYFUNCTION("((IFERROR((SUM(FILTER('Fund Investment Data'!$V:$V, 'Fund Investment Data'!$C:$C = $C1941, 'Fund Investment Data'!$A:$A = $A1941 - 1, 'Fund Investment Data'!$B:$B &gt;= 4, 'Fund Investment Data'!$B:$B &lt;= ($B1941 + 5))) / 12) * ($B1941 - 3) * Parameters!$B$4,"&amp;" 0) + IF($B1941 &gt;= 9, IFERROR(SUM(FILTER('Fund Investment Data'!$V:$V, 'Fund Investment Data'!$C:$C = $C1941, 'Fund Investment Data'!$A:$A = $A1941, 'Fund Investment Data'!$B:$B &lt;= 3)) * Parameters!$B$4, 0),0)))"),0.0)</f>
        <v>0</v>
      </c>
      <c r="AB1941" s="32">
        <f>IFERROR(__xludf.DUMMYFUNCTION("IFERROR(((IFERROR(SUM(FILTER('Fund Investment Data'!$V:$V, 'Fund Investment Data'!$C:$C = $C1941, 'Fund Investment Data'!$A:$A = $A1941 - 2, 'Fund Investment Data'!$B:$B &gt;= 4)) * Parameters!$B$4,0) + IFERROR(SUM(FILTER('Fund Investment Data'!$V:$V, 'Fund "&amp;"Investment Data'!$C:$C = $C1941, 'Fund Investment Data'!$A:$A = $A1941 - 1, 'Fund Investment Data'!$B:$B &lt;= 3)) * Parameters!$B$4,0))),0)"),0.0)</f>
        <v>0</v>
      </c>
      <c r="AC1941" s="32">
        <f>IFERROR(__xludf.DUMMYFUNCTION("IFERROR(FILTER($AF:$AF,$C:$C = $C1941,$A:$A = $A1941 - 1,$B:$B = 12),0)"),0.0)</f>
        <v>0</v>
      </c>
      <c r="AD1941" s="32">
        <f t="shared" si="23"/>
        <v>0</v>
      </c>
      <c r="AE1941" s="32">
        <f t="shared" si="2"/>
        <v>0</v>
      </c>
      <c r="AF1941" s="32"/>
    </row>
    <row r="1942">
      <c r="A1942" s="86"/>
      <c r="B1942" s="87"/>
      <c r="C1942" s="88"/>
      <c r="D1942" s="104"/>
      <c r="E1942" s="104"/>
      <c r="F1942" s="104"/>
      <c r="G1942" s="104"/>
      <c r="H1942" s="104"/>
      <c r="I1942" s="104"/>
      <c r="J1942" s="104"/>
      <c r="K1942" s="32"/>
      <c r="L1942" s="32"/>
      <c r="M1942" s="32"/>
      <c r="N1942" s="32"/>
      <c r="O1942" s="106"/>
      <c r="P1942" s="91">
        <f>IFERROR(__xludf.DUMMYFUNCTION("IFERROR(sum(FILTER($D:$N,$C:$C = $C1942,$A:$A &lt; $A1942,$B:$B = 12)),0) + sum($D1942:$N1942)"),0.0)</f>
        <v>0</v>
      </c>
      <c r="Q1942" s="92">
        <f t="shared" si="1"/>
        <v>0</v>
      </c>
      <c r="R1942" s="91">
        <f t="array" ref="R1942">IFERROR(INDEX('Fund YTD Target Values'!$1:$1000, MATCH($C1942,'Fund YTD Target Values'!$A:$A,0), MATCH($A1942,'Fund YTD Target Values'!$1:$1,0)),0)</f>
        <v>0</v>
      </c>
      <c r="S1942" s="91">
        <f>IFERROR(__xludf.DUMMYFUNCTION("IFERROR(sum(FILTER('Fund Investment Data'!$V:$V, 'Fund Investment Data'!$C:$C = $C1942, 'Fund Investment Data'!$A:$A &lt; $A1942)),0) + IFERROR(sum(FILTER('Fund Investment Data'!$V:$V, 'Fund Investment Data'!$C:$C = $C1942, 'Fund Investment Data'!$A:$A = $A1"&amp;"942, 'Fund Investment Data'!$B:$B &lt;= $B1942)),0)"),0.0)</f>
        <v>0</v>
      </c>
      <c r="T1942" s="32"/>
      <c r="U1942" s="32"/>
      <c r="V1942" s="32">
        <f>IFERROR(__xludf.DUMMYFUNCTION("$D1942 - IFERROR(FILTER($D:$D,$C:$C = $C1942, $A:$A = $A1942, $B:$B = $B1942 - 1),0)"),0.0)</f>
        <v>0</v>
      </c>
      <c r="W1942" s="93">
        <f>IFERROR(__xludf.DUMMYFUNCTION("$E1942 - IFERROR(FILTER($E:$E,$C:$C = $C1942, $A:$A = $A1942, $B:$B = $B1942 - 1),0)"),0.0)</f>
        <v>0</v>
      </c>
      <c r="X1942" s="91">
        <f>IFERROR(__xludf.DUMMYFUNCTION("iFERROR((FILTER('Fund Investment Data'!$Z:$Z, 'Fund Investment Data'!$C:$C = $C1942, 'Fund Investment Data'!$A:$A = $A1942 - 1, 'Fund Investment Data'!$B:$B = 12) + FILTER('Fund Investment Data'!$AB:$AB, 'Fund Investment Data'!$C:$C = $C1942, 'Fund Invest"&amp;"ment Data'!$A:$A = $A1942 - 1, 'Fund Investment Data'!$B:$B = 12)) * (1 + AVERAGE(FILTER('Inflation Data'!$C:$C,'Inflation Data'!$A:$A = ($A1942 - 2)))) * Parameters!$A$4,0)"),0.0)</f>
        <v>0</v>
      </c>
      <c r="Y1942" s="91">
        <f>IFERROR(__xludf.DUMMYFUNCTION("IFERROR((IFERROR(FILTER('Fund Investment Data'!$P:$P,'Fund Investment Data'!$C:$C = $C1942,'Fund Investment Data'!$A:$A = ($A1942 - 2), 'Fund Investment Data'!$B:$B = 12),0) - SUM(FILTER('Fund Investment Data'!$V:$V, 'Fund Investment Data'!$C:$C = $C1942,"&amp;" 'Fund Investment Data'!$A:$A = ($A1942 - 2), 'Fund Investment Data'!$B:$B &gt; 3)))  * Parameters!$B$4 * (1 - Parameters!$A$4),0)"),0.0)</f>
        <v>0</v>
      </c>
      <c r="Z1942" s="91">
        <f t="shared" si="24"/>
        <v>0</v>
      </c>
      <c r="AA1942" s="91">
        <f>IFERROR(__xludf.DUMMYFUNCTION("((IFERROR((SUM(FILTER('Fund Investment Data'!$V:$V, 'Fund Investment Data'!$C:$C = $C1942, 'Fund Investment Data'!$A:$A = $A1942 - 1, 'Fund Investment Data'!$B:$B &gt;= 4, 'Fund Investment Data'!$B:$B &lt;= ($B1942 + 5))) / 12) * ($B1942 - 3) * Parameters!$B$4,"&amp;" 0) + IF($B1942 &gt;= 9, IFERROR(SUM(FILTER('Fund Investment Data'!$V:$V, 'Fund Investment Data'!$C:$C = $C1942, 'Fund Investment Data'!$A:$A = $A1942, 'Fund Investment Data'!$B:$B &lt;= 3)) * Parameters!$B$4, 0),0)))"),0.0)</f>
        <v>0</v>
      </c>
      <c r="AB1942" s="32">
        <f>IFERROR(__xludf.DUMMYFUNCTION("IFERROR(((IFERROR(SUM(FILTER('Fund Investment Data'!$V:$V, 'Fund Investment Data'!$C:$C = $C1942, 'Fund Investment Data'!$A:$A = $A1942 - 2, 'Fund Investment Data'!$B:$B &gt;= 4)) * Parameters!$B$4,0) + IFERROR(SUM(FILTER('Fund Investment Data'!$V:$V, 'Fund "&amp;"Investment Data'!$C:$C = $C1942, 'Fund Investment Data'!$A:$A = $A1942 - 1, 'Fund Investment Data'!$B:$B &lt;= 3)) * Parameters!$B$4,0))),0)"),0.0)</f>
        <v>0</v>
      </c>
      <c r="AC1942" s="32">
        <f>IFERROR(__xludf.DUMMYFUNCTION("IFERROR(FILTER($AF:$AF,$C:$C = $C1942,$A:$A = $A1942 - 1,$B:$B = 12),0)"),0.0)</f>
        <v>0</v>
      </c>
      <c r="AD1942" s="32">
        <f t="shared" si="23"/>
        <v>0</v>
      </c>
      <c r="AE1942" s="32">
        <f t="shared" si="2"/>
        <v>0</v>
      </c>
      <c r="AF1942" s="32"/>
    </row>
    <row r="1943">
      <c r="A1943" s="86"/>
      <c r="B1943" s="87"/>
      <c r="C1943" s="88"/>
      <c r="D1943" s="104"/>
      <c r="E1943" s="104"/>
      <c r="F1943" s="104"/>
      <c r="G1943" s="104"/>
      <c r="H1943" s="104"/>
      <c r="I1943" s="104"/>
      <c r="J1943" s="104"/>
      <c r="K1943" s="32"/>
      <c r="L1943" s="32"/>
      <c r="M1943" s="32"/>
      <c r="N1943" s="32"/>
      <c r="O1943" s="106"/>
      <c r="P1943" s="91">
        <f>IFERROR(__xludf.DUMMYFUNCTION("IFERROR(sum(FILTER($D:$N,$C:$C = $C1943,$A:$A &lt; $A1943,$B:$B = 12)),0) + sum($D1943:$N1943)"),0.0)</f>
        <v>0</v>
      </c>
      <c r="Q1943" s="92">
        <f t="shared" si="1"/>
        <v>0</v>
      </c>
      <c r="R1943" s="91">
        <f t="array" ref="R1943">IFERROR(INDEX('Fund YTD Target Values'!$1:$1000, MATCH($C1943,'Fund YTD Target Values'!$A:$A,0), MATCH($A1943,'Fund YTD Target Values'!$1:$1,0)),0)</f>
        <v>0</v>
      </c>
      <c r="S1943" s="91">
        <f>IFERROR(__xludf.DUMMYFUNCTION("IFERROR(sum(FILTER('Fund Investment Data'!$V:$V, 'Fund Investment Data'!$C:$C = $C1943, 'Fund Investment Data'!$A:$A &lt; $A1943)),0) + IFERROR(sum(FILTER('Fund Investment Data'!$V:$V, 'Fund Investment Data'!$C:$C = $C1943, 'Fund Investment Data'!$A:$A = $A1"&amp;"943, 'Fund Investment Data'!$B:$B &lt;= $B1943)),0)"),0.0)</f>
        <v>0</v>
      </c>
      <c r="T1943" s="32"/>
      <c r="U1943" s="32"/>
      <c r="V1943" s="32">
        <f>IFERROR(__xludf.DUMMYFUNCTION("$D1943 - IFERROR(FILTER($D:$D,$C:$C = $C1943, $A:$A = $A1943, $B:$B = $B1943 - 1),0)"),0.0)</f>
        <v>0</v>
      </c>
      <c r="W1943" s="93">
        <f>IFERROR(__xludf.DUMMYFUNCTION("$E1943 - IFERROR(FILTER($E:$E,$C:$C = $C1943, $A:$A = $A1943, $B:$B = $B1943 - 1),0)"),0.0)</f>
        <v>0</v>
      </c>
      <c r="X1943" s="91">
        <f>IFERROR(__xludf.DUMMYFUNCTION("iFERROR((FILTER('Fund Investment Data'!$Z:$Z, 'Fund Investment Data'!$C:$C = $C1943, 'Fund Investment Data'!$A:$A = $A1943 - 1, 'Fund Investment Data'!$B:$B = 12) + FILTER('Fund Investment Data'!$AB:$AB, 'Fund Investment Data'!$C:$C = $C1943, 'Fund Invest"&amp;"ment Data'!$A:$A = $A1943 - 1, 'Fund Investment Data'!$B:$B = 12)) * (1 + AVERAGE(FILTER('Inflation Data'!$C:$C,'Inflation Data'!$A:$A = ($A1943 - 2)))) * Parameters!$A$4,0)"),0.0)</f>
        <v>0</v>
      </c>
      <c r="Y1943" s="91">
        <f>IFERROR(__xludf.DUMMYFUNCTION("IFERROR((IFERROR(FILTER('Fund Investment Data'!$P:$P,'Fund Investment Data'!$C:$C = $C1943,'Fund Investment Data'!$A:$A = ($A1943 - 2), 'Fund Investment Data'!$B:$B = 12),0) - SUM(FILTER('Fund Investment Data'!$V:$V, 'Fund Investment Data'!$C:$C = $C1943,"&amp;" 'Fund Investment Data'!$A:$A = ($A1943 - 2), 'Fund Investment Data'!$B:$B &gt; 3)))  * Parameters!$B$4 * (1 - Parameters!$A$4),0)"),0.0)</f>
        <v>0</v>
      </c>
      <c r="Z1943" s="91">
        <f t="shared" si="24"/>
        <v>0</v>
      </c>
      <c r="AA1943" s="91">
        <f>IFERROR(__xludf.DUMMYFUNCTION("((IFERROR((SUM(FILTER('Fund Investment Data'!$V:$V, 'Fund Investment Data'!$C:$C = $C1943, 'Fund Investment Data'!$A:$A = $A1943 - 1, 'Fund Investment Data'!$B:$B &gt;= 4, 'Fund Investment Data'!$B:$B &lt;= ($B1943 + 5))) / 12) * ($B1943 - 3) * Parameters!$B$4,"&amp;" 0) + IF($B1943 &gt;= 9, IFERROR(SUM(FILTER('Fund Investment Data'!$V:$V, 'Fund Investment Data'!$C:$C = $C1943, 'Fund Investment Data'!$A:$A = $A1943, 'Fund Investment Data'!$B:$B &lt;= 3)) * Parameters!$B$4, 0),0)))"),0.0)</f>
        <v>0</v>
      </c>
      <c r="AB1943" s="32">
        <f>IFERROR(__xludf.DUMMYFUNCTION("IFERROR(((IFERROR(SUM(FILTER('Fund Investment Data'!$V:$V, 'Fund Investment Data'!$C:$C = $C1943, 'Fund Investment Data'!$A:$A = $A1943 - 2, 'Fund Investment Data'!$B:$B &gt;= 4)) * Parameters!$B$4,0) + IFERROR(SUM(FILTER('Fund Investment Data'!$V:$V, 'Fund "&amp;"Investment Data'!$C:$C = $C1943, 'Fund Investment Data'!$A:$A = $A1943 - 1, 'Fund Investment Data'!$B:$B &lt;= 3)) * Parameters!$B$4,0))),0)"),0.0)</f>
        <v>0</v>
      </c>
      <c r="AC1943" s="32">
        <f>IFERROR(__xludf.DUMMYFUNCTION("IFERROR(FILTER($AF:$AF,$C:$C = $C1943,$A:$A = $A1943 - 1,$B:$B = 12),0)"),0.0)</f>
        <v>0</v>
      </c>
      <c r="AD1943" s="32">
        <f t="shared" si="23"/>
        <v>0</v>
      </c>
      <c r="AE1943" s="32">
        <f t="shared" si="2"/>
        <v>0</v>
      </c>
      <c r="AF1943" s="32"/>
    </row>
    <row r="1944">
      <c r="A1944" s="86"/>
      <c r="B1944" s="87"/>
      <c r="C1944" s="88"/>
      <c r="D1944" s="104"/>
      <c r="E1944" s="104"/>
      <c r="F1944" s="104"/>
      <c r="G1944" s="104"/>
      <c r="H1944" s="104"/>
      <c r="I1944" s="104"/>
      <c r="J1944" s="104"/>
      <c r="K1944" s="32"/>
      <c r="L1944" s="32"/>
      <c r="M1944" s="32"/>
      <c r="N1944" s="32"/>
      <c r="O1944" s="106"/>
      <c r="P1944" s="91">
        <f>IFERROR(__xludf.DUMMYFUNCTION("IFERROR(sum(FILTER($D:$N,$C:$C = $C1944,$A:$A &lt; $A1944,$B:$B = 12)),0) + sum($D1944:$N1944)"),0.0)</f>
        <v>0</v>
      </c>
      <c r="Q1944" s="92">
        <f t="shared" si="1"/>
        <v>0</v>
      </c>
      <c r="R1944" s="91">
        <f t="array" ref="R1944">IFERROR(INDEX('Fund YTD Target Values'!$1:$1000, MATCH($C1944,'Fund YTD Target Values'!$A:$A,0), MATCH($A1944,'Fund YTD Target Values'!$1:$1,0)),0)</f>
        <v>0</v>
      </c>
      <c r="S1944" s="91">
        <f>IFERROR(__xludf.DUMMYFUNCTION("IFERROR(sum(FILTER('Fund Investment Data'!$V:$V, 'Fund Investment Data'!$C:$C = $C1944, 'Fund Investment Data'!$A:$A &lt; $A1944)),0) + IFERROR(sum(FILTER('Fund Investment Data'!$V:$V, 'Fund Investment Data'!$C:$C = $C1944, 'Fund Investment Data'!$A:$A = $A1"&amp;"944, 'Fund Investment Data'!$B:$B &lt;= $B1944)),0)"),0.0)</f>
        <v>0</v>
      </c>
      <c r="T1944" s="32"/>
      <c r="U1944" s="32"/>
      <c r="V1944" s="32">
        <f>IFERROR(__xludf.DUMMYFUNCTION("$D1944 - IFERROR(FILTER($D:$D,$C:$C = $C1944, $A:$A = $A1944, $B:$B = $B1944 - 1),0)"),0.0)</f>
        <v>0</v>
      </c>
      <c r="W1944" s="93">
        <f>IFERROR(__xludf.DUMMYFUNCTION("$E1944 - IFERROR(FILTER($E:$E,$C:$C = $C1944, $A:$A = $A1944, $B:$B = $B1944 - 1),0)"),0.0)</f>
        <v>0</v>
      </c>
      <c r="X1944" s="91">
        <f>IFERROR(__xludf.DUMMYFUNCTION("iFERROR((FILTER('Fund Investment Data'!$Z:$Z, 'Fund Investment Data'!$C:$C = $C1944, 'Fund Investment Data'!$A:$A = $A1944 - 1, 'Fund Investment Data'!$B:$B = 12) + FILTER('Fund Investment Data'!$AB:$AB, 'Fund Investment Data'!$C:$C = $C1944, 'Fund Invest"&amp;"ment Data'!$A:$A = $A1944 - 1, 'Fund Investment Data'!$B:$B = 12)) * (1 + AVERAGE(FILTER('Inflation Data'!$C:$C,'Inflation Data'!$A:$A = ($A1944 - 2)))) * Parameters!$A$4,0)"),0.0)</f>
        <v>0</v>
      </c>
      <c r="Y1944" s="91">
        <f>IFERROR(__xludf.DUMMYFUNCTION("IFERROR((IFERROR(FILTER('Fund Investment Data'!$P:$P,'Fund Investment Data'!$C:$C = $C1944,'Fund Investment Data'!$A:$A = ($A1944 - 2), 'Fund Investment Data'!$B:$B = 12),0) - SUM(FILTER('Fund Investment Data'!$V:$V, 'Fund Investment Data'!$C:$C = $C1944,"&amp;" 'Fund Investment Data'!$A:$A = ($A1944 - 2), 'Fund Investment Data'!$B:$B &gt; 3)))  * Parameters!$B$4 * (1 - Parameters!$A$4),0)"),0.0)</f>
        <v>0</v>
      </c>
      <c r="Z1944" s="91">
        <f t="shared" si="24"/>
        <v>0</v>
      </c>
      <c r="AA1944" s="91">
        <f>IFERROR(__xludf.DUMMYFUNCTION("((IFERROR((SUM(FILTER('Fund Investment Data'!$V:$V, 'Fund Investment Data'!$C:$C = $C1944, 'Fund Investment Data'!$A:$A = $A1944 - 1, 'Fund Investment Data'!$B:$B &gt;= 4, 'Fund Investment Data'!$B:$B &lt;= ($B1944 + 5))) / 12) * ($B1944 - 3) * Parameters!$B$4,"&amp;" 0) + IF($B1944 &gt;= 9, IFERROR(SUM(FILTER('Fund Investment Data'!$V:$V, 'Fund Investment Data'!$C:$C = $C1944, 'Fund Investment Data'!$A:$A = $A1944, 'Fund Investment Data'!$B:$B &lt;= 3)) * Parameters!$B$4, 0),0)))"),0.0)</f>
        <v>0</v>
      </c>
      <c r="AB1944" s="32">
        <f>IFERROR(__xludf.DUMMYFUNCTION("IFERROR(((IFERROR(SUM(FILTER('Fund Investment Data'!$V:$V, 'Fund Investment Data'!$C:$C = $C1944, 'Fund Investment Data'!$A:$A = $A1944 - 2, 'Fund Investment Data'!$B:$B &gt;= 4)) * Parameters!$B$4,0) + IFERROR(SUM(FILTER('Fund Investment Data'!$V:$V, 'Fund "&amp;"Investment Data'!$C:$C = $C1944, 'Fund Investment Data'!$A:$A = $A1944 - 1, 'Fund Investment Data'!$B:$B &lt;= 3)) * Parameters!$B$4,0))),0)"),0.0)</f>
        <v>0</v>
      </c>
      <c r="AC1944" s="32">
        <f>IFERROR(__xludf.DUMMYFUNCTION("IFERROR(FILTER($AF:$AF,$C:$C = $C1944,$A:$A = $A1944 - 1,$B:$B = 12),0)"),0.0)</f>
        <v>0</v>
      </c>
      <c r="AD1944" s="32">
        <f t="shared" si="23"/>
        <v>0</v>
      </c>
      <c r="AE1944" s="32">
        <f t="shared" si="2"/>
        <v>0</v>
      </c>
      <c r="AF1944" s="32"/>
    </row>
    <row r="1945">
      <c r="A1945" s="86"/>
      <c r="B1945" s="87"/>
      <c r="C1945" s="88"/>
      <c r="D1945" s="104"/>
      <c r="E1945" s="104"/>
      <c r="F1945" s="104"/>
      <c r="G1945" s="104"/>
      <c r="H1945" s="104"/>
      <c r="I1945" s="104"/>
      <c r="J1945" s="104"/>
      <c r="K1945" s="32"/>
      <c r="L1945" s="32"/>
      <c r="M1945" s="32"/>
      <c r="N1945" s="32"/>
      <c r="O1945" s="106"/>
      <c r="P1945" s="91">
        <f>IFERROR(__xludf.DUMMYFUNCTION("IFERROR(sum(FILTER($D:$N,$C:$C = $C1945,$A:$A &lt; $A1945,$B:$B = 12)),0) + sum($D1945:$N1945)"),0.0)</f>
        <v>0</v>
      </c>
      <c r="Q1945" s="92">
        <f t="shared" si="1"/>
        <v>0</v>
      </c>
      <c r="R1945" s="91">
        <f t="array" ref="R1945">IFERROR(INDEX('Fund YTD Target Values'!$1:$1000, MATCH($C1945,'Fund YTD Target Values'!$A:$A,0), MATCH($A1945,'Fund YTD Target Values'!$1:$1,0)),0)</f>
        <v>0</v>
      </c>
      <c r="S1945" s="91">
        <f>IFERROR(__xludf.DUMMYFUNCTION("IFERROR(sum(FILTER('Fund Investment Data'!$V:$V, 'Fund Investment Data'!$C:$C = $C1945, 'Fund Investment Data'!$A:$A &lt; $A1945)),0) + IFERROR(sum(FILTER('Fund Investment Data'!$V:$V, 'Fund Investment Data'!$C:$C = $C1945, 'Fund Investment Data'!$A:$A = $A1"&amp;"945, 'Fund Investment Data'!$B:$B &lt;= $B1945)),0)"),0.0)</f>
        <v>0</v>
      </c>
      <c r="T1945" s="32"/>
      <c r="U1945" s="32"/>
      <c r="V1945" s="32">
        <f>IFERROR(__xludf.DUMMYFUNCTION("$D1945 - IFERROR(FILTER($D:$D,$C:$C = $C1945, $A:$A = $A1945, $B:$B = $B1945 - 1),0)"),0.0)</f>
        <v>0</v>
      </c>
      <c r="W1945" s="93">
        <f>IFERROR(__xludf.DUMMYFUNCTION("$E1945 - IFERROR(FILTER($E:$E,$C:$C = $C1945, $A:$A = $A1945, $B:$B = $B1945 - 1),0)"),0.0)</f>
        <v>0</v>
      </c>
      <c r="X1945" s="91">
        <f>IFERROR(__xludf.DUMMYFUNCTION("iFERROR((FILTER('Fund Investment Data'!$Z:$Z, 'Fund Investment Data'!$C:$C = $C1945, 'Fund Investment Data'!$A:$A = $A1945 - 1, 'Fund Investment Data'!$B:$B = 12) + FILTER('Fund Investment Data'!$AB:$AB, 'Fund Investment Data'!$C:$C = $C1945, 'Fund Invest"&amp;"ment Data'!$A:$A = $A1945 - 1, 'Fund Investment Data'!$B:$B = 12)) * (1 + AVERAGE(FILTER('Inflation Data'!$C:$C,'Inflation Data'!$A:$A = ($A1945 - 2)))) * Parameters!$A$4,0)"),0.0)</f>
        <v>0</v>
      </c>
      <c r="Y1945" s="91">
        <f>IFERROR(__xludf.DUMMYFUNCTION("IFERROR((IFERROR(FILTER('Fund Investment Data'!$P:$P,'Fund Investment Data'!$C:$C = $C1945,'Fund Investment Data'!$A:$A = ($A1945 - 2), 'Fund Investment Data'!$B:$B = 12),0) - SUM(FILTER('Fund Investment Data'!$V:$V, 'Fund Investment Data'!$C:$C = $C1945,"&amp;" 'Fund Investment Data'!$A:$A = ($A1945 - 2), 'Fund Investment Data'!$B:$B &gt; 3)))  * Parameters!$B$4 * (1 - Parameters!$A$4),0)"),0.0)</f>
        <v>0</v>
      </c>
      <c r="Z1945" s="91">
        <f t="shared" si="24"/>
        <v>0</v>
      </c>
      <c r="AA1945" s="91">
        <f>IFERROR(__xludf.DUMMYFUNCTION("((IFERROR((SUM(FILTER('Fund Investment Data'!$V:$V, 'Fund Investment Data'!$C:$C = $C1945, 'Fund Investment Data'!$A:$A = $A1945 - 1, 'Fund Investment Data'!$B:$B &gt;= 4, 'Fund Investment Data'!$B:$B &lt;= ($B1945 + 5))) / 12) * ($B1945 - 3) * Parameters!$B$4,"&amp;" 0) + IF($B1945 &gt;= 9, IFERROR(SUM(FILTER('Fund Investment Data'!$V:$V, 'Fund Investment Data'!$C:$C = $C1945, 'Fund Investment Data'!$A:$A = $A1945, 'Fund Investment Data'!$B:$B &lt;= 3)) * Parameters!$B$4, 0),0)))"),0.0)</f>
        <v>0</v>
      </c>
      <c r="AB1945" s="32">
        <f>IFERROR(__xludf.DUMMYFUNCTION("IFERROR(((IFERROR(SUM(FILTER('Fund Investment Data'!$V:$V, 'Fund Investment Data'!$C:$C = $C1945, 'Fund Investment Data'!$A:$A = $A1945 - 2, 'Fund Investment Data'!$B:$B &gt;= 4)) * Parameters!$B$4,0) + IFERROR(SUM(FILTER('Fund Investment Data'!$V:$V, 'Fund "&amp;"Investment Data'!$C:$C = $C1945, 'Fund Investment Data'!$A:$A = $A1945 - 1, 'Fund Investment Data'!$B:$B &lt;= 3)) * Parameters!$B$4,0))),0)"),0.0)</f>
        <v>0</v>
      </c>
      <c r="AC1945" s="32">
        <f>IFERROR(__xludf.DUMMYFUNCTION("IFERROR(FILTER($AF:$AF,$C:$C = $C1945,$A:$A = $A1945 - 1,$B:$B = 12),0)"),0.0)</f>
        <v>0</v>
      </c>
      <c r="AD1945" s="32">
        <f t="shared" si="23"/>
        <v>0</v>
      </c>
      <c r="AE1945" s="32">
        <f t="shared" si="2"/>
        <v>0</v>
      </c>
      <c r="AF1945" s="32"/>
    </row>
    <row r="1946">
      <c r="A1946" s="86"/>
      <c r="B1946" s="87"/>
      <c r="C1946" s="88"/>
      <c r="D1946" s="104"/>
      <c r="E1946" s="104"/>
      <c r="F1946" s="104"/>
      <c r="G1946" s="104"/>
      <c r="H1946" s="104"/>
      <c r="I1946" s="104"/>
      <c r="J1946" s="104"/>
      <c r="K1946" s="32"/>
      <c r="L1946" s="32"/>
      <c r="M1946" s="32"/>
      <c r="N1946" s="32"/>
      <c r="O1946" s="106"/>
      <c r="P1946" s="91">
        <f>IFERROR(__xludf.DUMMYFUNCTION("IFERROR(sum(FILTER($D:$N,$C:$C = $C1946,$A:$A &lt; $A1946,$B:$B = 12)),0) + sum($D1946:$N1946)"),0.0)</f>
        <v>0</v>
      </c>
      <c r="Q1946" s="92">
        <f t="shared" si="1"/>
        <v>0</v>
      </c>
      <c r="R1946" s="91">
        <f t="array" ref="R1946">IFERROR(INDEX('Fund YTD Target Values'!$1:$1000, MATCH($C1946,'Fund YTD Target Values'!$A:$A,0), MATCH($A1946,'Fund YTD Target Values'!$1:$1,0)),0)</f>
        <v>0</v>
      </c>
      <c r="S1946" s="91">
        <f>IFERROR(__xludf.DUMMYFUNCTION("IFERROR(sum(FILTER('Fund Investment Data'!$V:$V, 'Fund Investment Data'!$C:$C = $C1946, 'Fund Investment Data'!$A:$A &lt; $A1946)),0) + IFERROR(sum(FILTER('Fund Investment Data'!$V:$V, 'Fund Investment Data'!$C:$C = $C1946, 'Fund Investment Data'!$A:$A = $A1"&amp;"946, 'Fund Investment Data'!$B:$B &lt;= $B1946)),0)"),0.0)</f>
        <v>0</v>
      </c>
      <c r="T1946" s="32"/>
      <c r="U1946" s="32"/>
      <c r="V1946" s="32">
        <f>IFERROR(__xludf.DUMMYFUNCTION("$D1946 - IFERROR(FILTER($D:$D,$C:$C = $C1946, $A:$A = $A1946, $B:$B = $B1946 - 1),0)"),0.0)</f>
        <v>0</v>
      </c>
      <c r="W1946" s="93">
        <f>IFERROR(__xludf.DUMMYFUNCTION("$E1946 - IFERROR(FILTER($E:$E,$C:$C = $C1946, $A:$A = $A1946, $B:$B = $B1946 - 1),0)"),0.0)</f>
        <v>0</v>
      </c>
      <c r="X1946" s="91">
        <f>IFERROR(__xludf.DUMMYFUNCTION("iFERROR((FILTER('Fund Investment Data'!$Z:$Z, 'Fund Investment Data'!$C:$C = $C1946, 'Fund Investment Data'!$A:$A = $A1946 - 1, 'Fund Investment Data'!$B:$B = 12) + FILTER('Fund Investment Data'!$AB:$AB, 'Fund Investment Data'!$C:$C = $C1946, 'Fund Invest"&amp;"ment Data'!$A:$A = $A1946 - 1, 'Fund Investment Data'!$B:$B = 12)) * (1 + AVERAGE(FILTER('Inflation Data'!$C:$C,'Inflation Data'!$A:$A = ($A1946 - 2)))) * Parameters!$A$4,0)"),0.0)</f>
        <v>0</v>
      </c>
      <c r="Y1946" s="91">
        <f>IFERROR(__xludf.DUMMYFUNCTION("IFERROR((IFERROR(FILTER('Fund Investment Data'!$P:$P,'Fund Investment Data'!$C:$C = $C1946,'Fund Investment Data'!$A:$A = ($A1946 - 2), 'Fund Investment Data'!$B:$B = 12),0) - SUM(FILTER('Fund Investment Data'!$V:$V, 'Fund Investment Data'!$C:$C = $C1946,"&amp;" 'Fund Investment Data'!$A:$A = ($A1946 - 2), 'Fund Investment Data'!$B:$B &gt; 3)))  * Parameters!$B$4 * (1 - Parameters!$A$4),0)"),0.0)</f>
        <v>0</v>
      </c>
      <c r="Z1946" s="91">
        <f t="shared" si="24"/>
        <v>0</v>
      </c>
      <c r="AA1946" s="91">
        <f>IFERROR(__xludf.DUMMYFUNCTION("((IFERROR((SUM(FILTER('Fund Investment Data'!$V:$V, 'Fund Investment Data'!$C:$C = $C1946, 'Fund Investment Data'!$A:$A = $A1946 - 1, 'Fund Investment Data'!$B:$B &gt;= 4, 'Fund Investment Data'!$B:$B &lt;= ($B1946 + 5))) / 12) * ($B1946 - 3) * Parameters!$B$4,"&amp;" 0) + IF($B1946 &gt;= 9, IFERROR(SUM(FILTER('Fund Investment Data'!$V:$V, 'Fund Investment Data'!$C:$C = $C1946, 'Fund Investment Data'!$A:$A = $A1946, 'Fund Investment Data'!$B:$B &lt;= 3)) * Parameters!$B$4, 0),0)))"),0.0)</f>
        <v>0</v>
      </c>
      <c r="AB1946" s="32">
        <f>IFERROR(__xludf.DUMMYFUNCTION("IFERROR(((IFERROR(SUM(FILTER('Fund Investment Data'!$V:$V, 'Fund Investment Data'!$C:$C = $C1946, 'Fund Investment Data'!$A:$A = $A1946 - 2, 'Fund Investment Data'!$B:$B &gt;= 4)) * Parameters!$B$4,0) + IFERROR(SUM(FILTER('Fund Investment Data'!$V:$V, 'Fund "&amp;"Investment Data'!$C:$C = $C1946, 'Fund Investment Data'!$A:$A = $A1946 - 1, 'Fund Investment Data'!$B:$B &lt;= 3)) * Parameters!$B$4,0))),0)"),0.0)</f>
        <v>0</v>
      </c>
      <c r="AC1946" s="32">
        <f>IFERROR(__xludf.DUMMYFUNCTION("IFERROR(FILTER($AF:$AF,$C:$C = $C1946,$A:$A = $A1946 - 1,$B:$B = 12),0)"),0.0)</f>
        <v>0</v>
      </c>
      <c r="AD1946" s="32">
        <f t="shared" si="23"/>
        <v>0</v>
      </c>
      <c r="AE1946" s="32">
        <f t="shared" si="2"/>
        <v>0</v>
      </c>
      <c r="AF1946" s="32"/>
    </row>
    <row r="1947">
      <c r="A1947" s="86"/>
      <c r="B1947" s="87"/>
      <c r="C1947" s="88"/>
      <c r="D1947" s="104"/>
      <c r="E1947" s="104"/>
      <c r="F1947" s="104"/>
      <c r="G1947" s="104"/>
      <c r="H1947" s="104"/>
      <c r="I1947" s="104"/>
      <c r="J1947" s="104"/>
      <c r="K1947" s="32"/>
      <c r="L1947" s="32"/>
      <c r="M1947" s="32"/>
      <c r="N1947" s="32"/>
      <c r="O1947" s="106"/>
      <c r="P1947" s="91">
        <f>IFERROR(__xludf.DUMMYFUNCTION("IFERROR(sum(FILTER($D:$N,$C:$C = $C1947,$A:$A &lt; $A1947,$B:$B = 12)),0) + sum($D1947:$N1947)"),0.0)</f>
        <v>0</v>
      </c>
      <c r="Q1947" s="92">
        <f t="shared" si="1"/>
        <v>0</v>
      </c>
      <c r="R1947" s="91">
        <f t="array" ref="R1947">IFERROR(INDEX('Fund YTD Target Values'!$1:$1000, MATCH($C1947,'Fund YTD Target Values'!$A:$A,0), MATCH($A1947,'Fund YTD Target Values'!$1:$1,0)),0)</f>
        <v>0</v>
      </c>
      <c r="S1947" s="91">
        <f>IFERROR(__xludf.DUMMYFUNCTION("IFERROR(sum(FILTER('Fund Investment Data'!$V:$V, 'Fund Investment Data'!$C:$C = $C1947, 'Fund Investment Data'!$A:$A &lt; $A1947)),0) + IFERROR(sum(FILTER('Fund Investment Data'!$V:$V, 'Fund Investment Data'!$C:$C = $C1947, 'Fund Investment Data'!$A:$A = $A1"&amp;"947, 'Fund Investment Data'!$B:$B &lt;= $B1947)),0)"),0.0)</f>
        <v>0</v>
      </c>
      <c r="T1947" s="32"/>
      <c r="U1947" s="32"/>
      <c r="V1947" s="32">
        <f>IFERROR(__xludf.DUMMYFUNCTION("$D1947 - IFERROR(FILTER($D:$D,$C:$C = $C1947, $A:$A = $A1947, $B:$B = $B1947 - 1),0)"),0.0)</f>
        <v>0</v>
      </c>
      <c r="W1947" s="93">
        <f>IFERROR(__xludf.DUMMYFUNCTION("$E1947 - IFERROR(FILTER($E:$E,$C:$C = $C1947, $A:$A = $A1947, $B:$B = $B1947 - 1),0)"),0.0)</f>
        <v>0</v>
      </c>
      <c r="X1947" s="91">
        <f>IFERROR(__xludf.DUMMYFUNCTION("iFERROR((FILTER('Fund Investment Data'!$Z:$Z, 'Fund Investment Data'!$C:$C = $C1947, 'Fund Investment Data'!$A:$A = $A1947 - 1, 'Fund Investment Data'!$B:$B = 12) + FILTER('Fund Investment Data'!$AB:$AB, 'Fund Investment Data'!$C:$C = $C1947, 'Fund Invest"&amp;"ment Data'!$A:$A = $A1947 - 1, 'Fund Investment Data'!$B:$B = 12)) * (1 + AVERAGE(FILTER('Inflation Data'!$C:$C,'Inflation Data'!$A:$A = ($A1947 - 2)))) * Parameters!$A$4,0)"),0.0)</f>
        <v>0</v>
      </c>
      <c r="Y1947" s="91">
        <f>IFERROR(__xludf.DUMMYFUNCTION("IFERROR((IFERROR(FILTER('Fund Investment Data'!$P:$P,'Fund Investment Data'!$C:$C = $C1947,'Fund Investment Data'!$A:$A = ($A1947 - 2), 'Fund Investment Data'!$B:$B = 12),0) - SUM(FILTER('Fund Investment Data'!$V:$V, 'Fund Investment Data'!$C:$C = $C1947,"&amp;" 'Fund Investment Data'!$A:$A = ($A1947 - 2), 'Fund Investment Data'!$B:$B &gt; 3)))  * Parameters!$B$4 * (1 - Parameters!$A$4),0)"),0.0)</f>
        <v>0</v>
      </c>
      <c r="Z1947" s="91">
        <f t="shared" si="24"/>
        <v>0</v>
      </c>
      <c r="AA1947" s="91">
        <f>IFERROR(__xludf.DUMMYFUNCTION("((IFERROR((SUM(FILTER('Fund Investment Data'!$V:$V, 'Fund Investment Data'!$C:$C = $C1947, 'Fund Investment Data'!$A:$A = $A1947 - 1, 'Fund Investment Data'!$B:$B &gt;= 4, 'Fund Investment Data'!$B:$B &lt;= ($B1947 + 5))) / 12) * ($B1947 - 3) * Parameters!$B$4,"&amp;" 0) + IF($B1947 &gt;= 9, IFERROR(SUM(FILTER('Fund Investment Data'!$V:$V, 'Fund Investment Data'!$C:$C = $C1947, 'Fund Investment Data'!$A:$A = $A1947, 'Fund Investment Data'!$B:$B &lt;= 3)) * Parameters!$B$4, 0),0)))"),0.0)</f>
        <v>0</v>
      </c>
      <c r="AB1947" s="32">
        <f>IFERROR(__xludf.DUMMYFUNCTION("IFERROR(((IFERROR(SUM(FILTER('Fund Investment Data'!$V:$V, 'Fund Investment Data'!$C:$C = $C1947, 'Fund Investment Data'!$A:$A = $A1947 - 2, 'Fund Investment Data'!$B:$B &gt;= 4)) * Parameters!$B$4,0) + IFERROR(SUM(FILTER('Fund Investment Data'!$V:$V, 'Fund "&amp;"Investment Data'!$C:$C = $C1947, 'Fund Investment Data'!$A:$A = $A1947 - 1, 'Fund Investment Data'!$B:$B &lt;= 3)) * Parameters!$B$4,0))),0)"),0.0)</f>
        <v>0</v>
      </c>
      <c r="AC1947" s="32">
        <f>IFERROR(__xludf.DUMMYFUNCTION("IFERROR(FILTER($AF:$AF,$C:$C = $C1947,$A:$A = $A1947 - 1,$B:$B = 12),0)"),0.0)</f>
        <v>0</v>
      </c>
      <c r="AD1947" s="32">
        <f t="shared" si="23"/>
        <v>0</v>
      </c>
      <c r="AE1947" s="32">
        <f t="shared" si="2"/>
        <v>0</v>
      </c>
      <c r="AF1947" s="32"/>
    </row>
    <row r="1948">
      <c r="A1948" s="86"/>
      <c r="B1948" s="87"/>
      <c r="C1948" s="88"/>
      <c r="D1948" s="104"/>
      <c r="E1948" s="104"/>
      <c r="F1948" s="104"/>
      <c r="G1948" s="104"/>
      <c r="H1948" s="104"/>
      <c r="I1948" s="104"/>
      <c r="J1948" s="104"/>
      <c r="K1948" s="32"/>
      <c r="L1948" s="32"/>
      <c r="M1948" s="32"/>
      <c r="N1948" s="32"/>
      <c r="O1948" s="106"/>
      <c r="P1948" s="91">
        <f>IFERROR(__xludf.DUMMYFUNCTION("IFERROR(sum(FILTER($D:$N,$C:$C = $C1948,$A:$A &lt; $A1948,$B:$B = 12)),0) + sum($D1948:$N1948)"),0.0)</f>
        <v>0</v>
      </c>
      <c r="Q1948" s="92">
        <f t="shared" si="1"/>
        <v>0</v>
      </c>
      <c r="R1948" s="91">
        <f t="array" ref="R1948">IFERROR(INDEX('Fund YTD Target Values'!$1:$1000, MATCH($C1948,'Fund YTD Target Values'!$A:$A,0), MATCH($A1948,'Fund YTD Target Values'!$1:$1,0)),0)</f>
        <v>0</v>
      </c>
      <c r="S1948" s="91">
        <f>IFERROR(__xludf.DUMMYFUNCTION("IFERROR(sum(FILTER('Fund Investment Data'!$V:$V, 'Fund Investment Data'!$C:$C = $C1948, 'Fund Investment Data'!$A:$A &lt; $A1948)),0) + IFERROR(sum(FILTER('Fund Investment Data'!$V:$V, 'Fund Investment Data'!$C:$C = $C1948, 'Fund Investment Data'!$A:$A = $A1"&amp;"948, 'Fund Investment Data'!$B:$B &lt;= $B1948)),0)"),0.0)</f>
        <v>0</v>
      </c>
      <c r="T1948" s="32"/>
      <c r="U1948" s="32"/>
      <c r="V1948" s="32">
        <f>IFERROR(__xludf.DUMMYFUNCTION("$D1948 - IFERROR(FILTER($D:$D,$C:$C = $C1948, $A:$A = $A1948, $B:$B = $B1948 - 1),0)"),0.0)</f>
        <v>0</v>
      </c>
      <c r="W1948" s="93">
        <f>IFERROR(__xludf.DUMMYFUNCTION("$E1948 - IFERROR(FILTER($E:$E,$C:$C = $C1948, $A:$A = $A1948, $B:$B = $B1948 - 1),0)"),0.0)</f>
        <v>0</v>
      </c>
      <c r="X1948" s="91">
        <f>IFERROR(__xludf.DUMMYFUNCTION("iFERROR((FILTER('Fund Investment Data'!$Z:$Z, 'Fund Investment Data'!$C:$C = $C1948, 'Fund Investment Data'!$A:$A = $A1948 - 1, 'Fund Investment Data'!$B:$B = 12) + FILTER('Fund Investment Data'!$AB:$AB, 'Fund Investment Data'!$C:$C = $C1948, 'Fund Invest"&amp;"ment Data'!$A:$A = $A1948 - 1, 'Fund Investment Data'!$B:$B = 12)) * (1 + AVERAGE(FILTER('Inflation Data'!$C:$C,'Inflation Data'!$A:$A = ($A1948 - 2)))) * Parameters!$A$4,0)"),0.0)</f>
        <v>0</v>
      </c>
      <c r="Y1948" s="91">
        <f>IFERROR(__xludf.DUMMYFUNCTION("IFERROR((IFERROR(FILTER('Fund Investment Data'!$P:$P,'Fund Investment Data'!$C:$C = $C1948,'Fund Investment Data'!$A:$A = ($A1948 - 2), 'Fund Investment Data'!$B:$B = 12),0) - SUM(FILTER('Fund Investment Data'!$V:$V, 'Fund Investment Data'!$C:$C = $C1948,"&amp;" 'Fund Investment Data'!$A:$A = ($A1948 - 2), 'Fund Investment Data'!$B:$B &gt; 3)))  * Parameters!$B$4 * (1 - Parameters!$A$4),0)"),0.0)</f>
        <v>0</v>
      </c>
      <c r="Z1948" s="91">
        <f t="shared" si="24"/>
        <v>0</v>
      </c>
      <c r="AA1948" s="91">
        <f>IFERROR(__xludf.DUMMYFUNCTION("((IFERROR((SUM(FILTER('Fund Investment Data'!$V:$V, 'Fund Investment Data'!$C:$C = $C1948, 'Fund Investment Data'!$A:$A = $A1948 - 1, 'Fund Investment Data'!$B:$B &gt;= 4, 'Fund Investment Data'!$B:$B &lt;= ($B1948 + 5))) / 12) * ($B1948 - 3) * Parameters!$B$4,"&amp;" 0) + IF($B1948 &gt;= 9, IFERROR(SUM(FILTER('Fund Investment Data'!$V:$V, 'Fund Investment Data'!$C:$C = $C1948, 'Fund Investment Data'!$A:$A = $A1948, 'Fund Investment Data'!$B:$B &lt;= 3)) * Parameters!$B$4, 0),0)))"),0.0)</f>
        <v>0</v>
      </c>
      <c r="AB1948" s="32">
        <f>IFERROR(__xludf.DUMMYFUNCTION("IFERROR(((IFERROR(SUM(FILTER('Fund Investment Data'!$V:$V, 'Fund Investment Data'!$C:$C = $C1948, 'Fund Investment Data'!$A:$A = $A1948 - 2, 'Fund Investment Data'!$B:$B &gt;= 4)) * Parameters!$B$4,0) + IFERROR(SUM(FILTER('Fund Investment Data'!$V:$V, 'Fund "&amp;"Investment Data'!$C:$C = $C1948, 'Fund Investment Data'!$A:$A = $A1948 - 1, 'Fund Investment Data'!$B:$B &lt;= 3)) * Parameters!$B$4,0))),0)"),0.0)</f>
        <v>0</v>
      </c>
      <c r="AC1948" s="32">
        <f>IFERROR(__xludf.DUMMYFUNCTION("IFERROR(FILTER($AF:$AF,$C:$C = $C1948,$A:$A = $A1948 - 1,$B:$B = 12),0)"),0.0)</f>
        <v>0</v>
      </c>
      <c r="AD1948" s="32">
        <f t="shared" si="23"/>
        <v>0</v>
      </c>
      <c r="AE1948" s="32">
        <f t="shared" si="2"/>
        <v>0</v>
      </c>
      <c r="AF1948" s="32"/>
    </row>
    <row r="1949">
      <c r="A1949" s="86"/>
      <c r="B1949" s="87"/>
      <c r="C1949" s="88"/>
      <c r="D1949" s="104"/>
      <c r="E1949" s="104"/>
      <c r="F1949" s="104"/>
      <c r="G1949" s="104"/>
      <c r="H1949" s="104"/>
      <c r="I1949" s="104"/>
      <c r="J1949" s="104"/>
      <c r="K1949" s="32"/>
      <c r="L1949" s="32"/>
      <c r="M1949" s="32"/>
      <c r="N1949" s="32"/>
      <c r="O1949" s="106"/>
      <c r="P1949" s="91">
        <f>IFERROR(__xludf.DUMMYFUNCTION("IFERROR(sum(FILTER($D:$N,$C:$C = $C1949,$A:$A &lt; $A1949,$B:$B = 12)),0) + sum($D1949:$N1949)"),0.0)</f>
        <v>0</v>
      </c>
      <c r="Q1949" s="92">
        <f t="shared" si="1"/>
        <v>0</v>
      </c>
      <c r="R1949" s="91">
        <f t="array" ref="R1949">IFERROR(INDEX('Fund YTD Target Values'!$1:$1000, MATCH($C1949,'Fund YTD Target Values'!$A:$A,0), MATCH($A1949,'Fund YTD Target Values'!$1:$1,0)),0)</f>
        <v>0</v>
      </c>
      <c r="S1949" s="91">
        <f>IFERROR(__xludf.DUMMYFUNCTION("IFERROR(sum(FILTER('Fund Investment Data'!$V:$V, 'Fund Investment Data'!$C:$C = $C1949, 'Fund Investment Data'!$A:$A &lt; $A1949)),0) + IFERROR(sum(FILTER('Fund Investment Data'!$V:$V, 'Fund Investment Data'!$C:$C = $C1949, 'Fund Investment Data'!$A:$A = $A1"&amp;"949, 'Fund Investment Data'!$B:$B &lt;= $B1949)),0)"),0.0)</f>
        <v>0</v>
      </c>
      <c r="T1949" s="32"/>
      <c r="U1949" s="32"/>
      <c r="V1949" s="32">
        <f>IFERROR(__xludf.DUMMYFUNCTION("$D1949 - IFERROR(FILTER($D:$D,$C:$C = $C1949, $A:$A = $A1949, $B:$B = $B1949 - 1),0)"),0.0)</f>
        <v>0</v>
      </c>
      <c r="W1949" s="93">
        <f>IFERROR(__xludf.DUMMYFUNCTION("$E1949 - IFERROR(FILTER($E:$E,$C:$C = $C1949, $A:$A = $A1949, $B:$B = $B1949 - 1),0)"),0.0)</f>
        <v>0</v>
      </c>
      <c r="X1949" s="91">
        <f>IFERROR(__xludf.DUMMYFUNCTION("iFERROR((FILTER('Fund Investment Data'!$Z:$Z, 'Fund Investment Data'!$C:$C = $C1949, 'Fund Investment Data'!$A:$A = $A1949 - 1, 'Fund Investment Data'!$B:$B = 12) + FILTER('Fund Investment Data'!$AB:$AB, 'Fund Investment Data'!$C:$C = $C1949, 'Fund Invest"&amp;"ment Data'!$A:$A = $A1949 - 1, 'Fund Investment Data'!$B:$B = 12)) * (1 + AVERAGE(FILTER('Inflation Data'!$C:$C,'Inflation Data'!$A:$A = ($A1949 - 2)))) * Parameters!$A$4,0)"),0.0)</f>
        <v>0</v>
      </c>
      <c r="Y1949" s="91">
        <f>IFERROR(__xludf.DUMMYFUNCTION("IFERROR((IFERROR(FILTER('Fund Investment Data'!$P:$P,'Fund Investment Data'!$C:$C = $C1949,'Fund Investment Data'!$A:$A = ($A1949 - 2), 'Fund Investment Data'!$B:$B = 12),0) - SUM(FILTER('Fund Investment Data'!$V:$V, 'Fund Investment Data'!$C:$C = $C1949,"&amp;" 'Fund Investment Data'!$A:$A = ($A1949 - 2), 'Fund Investment Data'!$B:$B &gt; 3)))  * Parameters!$B$4 * (1 - Parameters!$A$4),0)"),0.0)</f>
        <v>0</v>
      </c>
      <c r="Z1949" s="91">
        <f t="shared" si="24"/>
        <v>0</v>
      </c>
      <c r="AA1949" s="91">
        <f>IFERROR(__xludf.DUMMYFUNCTION("((IFERROR((SUM(FILTER('Fund Investment Data'!$V:$V, 'Fund Investment Data'!$C:$C = $C1949, 'Fund Investment Data'!$A:$A = $A1949 - 1, 'Fund Investment Data'!$B:$B &gt;= 4, 'Fund Investment Data'!$B:$B &lt;= ($B1949 + 5))) / 12) * ($B1949 - 3) * Parameters!$B$4,"&amp;" 0) + IF($B1949 &gt;= 9, IFERROR(SUM(FILTER('Fund Investment Data'!$V:$V, 'Fund Investment Data'!$C:$C = $C1949, 'Fund Investment Data'!$A:$A = $A1949, 'Fund Investment Data'!$B:$B &lt;= 3)) * Parameters!$B$4, 0),0)))"),0.0)</f>
        <v>0</v>
      </c>
      <c r="AB1949" s="32">
        <f>IFERROR(__xludf.DUMMYFUNCTION("IFERROR(((IFERROR(SUM(FILTER('Fund Investment Data'!$V:$V, 'Fund Investment Data'!$C:$C = $C1949, 'Fund Investment Data'!$A:$A = $A1949 - 2, 'Fund Investment Data'!$B:$B &gt;= 4)) * Parameters!$B$4,0) + IFERROR(SUM(FILTER('Fund Investment Data'!$V:$V, 'Fund "&amp;"Investment Data'!$C:$C = $C1949, 'Fund Investment Data'!$A:$A = $A1949 - 1, 'Fund Investment Data'!$B:$B &lt;= 3)) * Parameters!$B$4,0))),0)"),0.0)</f>
        <v>0</v>
      </c>
      <c r="AC1949" s="32">
        <f>IFERROR(__xludf.DUMMYFUNCTION("IFERROR(FILTER($AF:$AF,$C:$C = $C1949,$A:$A = $A1949 - 1,$B:$B = 12),0)"),0.0)</f>
        <v>0</v>
      </c>
      <c r="AD1949" s="32">
        <f t="shared" si="23"/>
        <v>0</v>
      </c>
      <c r="AE1949" s="32">
        <f t="shared" si="2"/>
        <v>0</v>
      </c>
      <c r="AF1949" s="32"/>
    </row>
    <row r="1950">
      <c r="A1950" s="86"/>
      <c r="B1950" s="87"/>
      <c r="C1950" s="88"/>
      <c r="D1950" s="104"/>
      <c r="E1950" s="104"/>
      <c r="F1950" s="104"/>
      <c r="G1950" s="104"/>
      <c r="H1950" s="104"/>
      <c r="I1950" s="104"/>
      <c r="J1950" s="104"/>
      <c r="K1950" s="32"/>
      <c r="L1950" s="32"/>
      <c r="M1950" s="32"/>
      <c r="N1950" s="32"/>
      <c r="O1950" s="106"/>
      <c r="P1950" s="91">
        <f>IFERROR(__xludf.DUMMYFUNCTION("IFERROR(sum(FILTER($D:$N,$C:$C = $C1950,$A:$A &lt; $A1950,$B:$B = 12)),0) + sum($D1950:$N1950)"),0.0)</f>
        <v>0</v>
      </c>
      <c r="Q1950" s="92">
        <f t="shared" si="1"/>
        <v>0</v>
      </c>
      <c r="R1950" s="91">
        <f t="array" ref="R1950">IFERROR(INDEX('Fund YTD Target Values'!$1:$1000, MATCH($C1950,'Fund YTD Target Values'!$A:$A,0), MATCH($A1950,'Fund YTD Target Values'!$1:$1,0)),0)</f>
        <v>0</v>
      </c>
      <c r="S1950" s="91">
        <f>IFERROR(__xludf.DUMMYFUNCTION("IFERROR(sum(FILTER('Fund Investment Data'!$V:$V, 'Fund Investment Data'!$C:$C = $C1950, 'Fund Investment Data'!$A:$A &lt; $A1950)),0) + IFERROR(sum(FILTER('Fund Investment Data'!$V:$V, 'Fund Investment Data'!$C:$C = $C1950, 'Fund Investment Data'!$A:$A = $A1"&amp;"950, 'Fund Investment Data'!$B:$B &lt;= $B1950)),0)"),0.0)</f>
        <v>0</v>
      </c>
      <c r="T1950" s="32"/>
      <c r="U1950" s="32"/>
      <c r="V1950" s="32">
        <f>IFERROR(__xludf.DUMMYFUNCTION("$D1950 - IFERROR(FILTER($D:$D,$C:$C = $C1950, $A:$A = $A1950, $B:$B = $B1950 - 1),0)"),0.0)</f>
        <v>0</v>
      </c>
      <c r="W1950" s="93">
        <f>IFERROR(__xludf.DUMMYFUNCTION("$E1950 - IFERROR(FILTER($E:$E,$C:$C = $C1950, $A:$A = $A1950, $B:$B = $B1950 - 1),0)"),0.0)</f>
        <v>0</v>
      </c>
      <c r="X1950" s="91">
        <f>IFERROR(__xludf.DUMMYFUNCTION("iFERROR((FILTER('Fund Investment Data'!$Z:$Z, 'Fund Investment Data'!$C:$C = $C1950, 'Fund Investment Data'!$A:$A = $A1950 - 1, 'Fund Investment Data'!$B:$B = 12) + FILTER('Fund Investment Data'!$AB:$AB, 'Fund Investment Data'!$C:$C = $C1950, 'Fund Invest"&amp;"ment Data'!$A:$A = $A1950 - 1, 'Fund Investment Data'!$B:$B = 12)) * (1 + AVERAGE(FILTER('Inflation Data'!$C:$C,'Inflation Data'!$A:$A = ($A1950 - 2)))) * Parameters!$A$4,0)"),0.0)</f>
        <v>0</v>
      </c>
      <c r="Y1950" s="91">
        <f>IFERROR(__xludf.DUMMYFUNCTION("IFERROR((IFERROR(FILTER('Fund Investment Data'!$P:$P,'Fund Investment Data'!$C:$C = $C1950,'Fund Investment Data'!$A:$A = ($A1950 - 2), 'Fund Investment Data'!$B:$B = 12),0) - SUM(FILTER('Fund Investment Data'!$V:$V, 'Fund Investment Data'!$C:$C = $C1950,"&amp;" 'Fund Investment Data'!$A:$A = ($A1950 - 2), 'Fund Investment Data'!$B:$B &gt; 3)))  * Parameters!$B$4 * (1 - Parameters!$A$4),0)"),0.0)</f>
        <v>0</v>
      </c>
      <c r="Z1950" s="91">
        <f t="shared" si="24"/>
        <v>0</v>
      </c>
      <c r="AA1950" s="91">
        <f>IFERROR(__xludf.DUMMYFUNCTION("((IFERROR((SUM(FILTER('Fund Investment Data'!$V:$V, 'Fund Investment Data'!$C:$C = $C1950, 'Fund Investment Data'!$A:$A = $A1950 - 1, 'Fund Investment Data'!$B:$B &gt;= 4, 'Fund Investment Data'!$B:$B &lt;= ($B1950 + 5))) / 12) * ($B1950 - 3) * Parameters!$B$4,"&amp;" 0) + IF($B1950 &gt;= 9, IFERROR(SUM(FILTER('Fund Investment Data'!$V:$V, 'Fund Investment Data'!$C:$C = $C1950, 'Fund Investment Data'!$A:$A = $A1950, 'Fund Investment Data'!$B:$B &lt;= 3)) * Parameters!$B$4, 0),0)))"),0.0)</f>
        <v>0</v>
      </c>
      <c r="AB1950" s="32">
        <f>IFERROR(__xludf.DUMMYFUNCTION("IFERROR(((IFERROR(SUM(FILTER('Fund Investment Data'!$V:$V, 'Fund Investment Data'!$C:$C = $C1950, 'Fund Investment Data'!$A:$A = $A1950 - 2, 'Fund Investment Data'!$B:$B &gt;= 4)) * Parameters!$B$4,0) + IFERROR(SUM(FILTER('Fund Investment Data'!$V:$V, 'Fund "&amp;"Investment Data'!$C:$C = $C1950, 'Fund Investment Data'!$A:$A = $A1950 - 1, 'Fund Investment Data'!$B:$B &lt;= 3)) * Parameters!$B$4,0))),0)"),0.0)</f>
        <v>0</v>
      </c>
      <c r="AC1950" s="32">
        <f>IFERROR(__xludf.DUMMYFUNCTION("IFERROR(FILTER($AF:$AF,$C:$C = $C1950,$A:$A = $A1950 - 1,$B:$B = 12),0)"),0.0)</f>
        <v>0</v>
      </c>
      <c r="AD1950" s="32">
        <f t="shared" si="23"/>
        <v>0</v>
      </c>
      <c r="AE1950" s="32">
        <f t="shared" si="2"/>
        <v>0</v>
      </c>
      <c r="AF1950" s="32"/>
    </row>
    <row r="1951">
      <c r="A1951" s="86"/>
      <c r="B1951" s="87"/>
      <c r="C1951" s="88"/>
      <c r="D1951" s="104"/>
      <c r="E1951" s="104"/>
      <c r="F1951" s="104"/>
      <c r="G1951" s="104"/>
      <c r="H1951" s="104"/>
      <c r="I1951" s="104"/>
      <c r="J1951" s="104"/>
      <c r="K1951" s="32"/>
      <c r="L1951" s="32"/>
      <c r="M1951" s="32"/>
      <c r="N1951" s="32"/>
      <c r="O1951" s="106"/>
      <c r="P1951" s="91">
        <f>IFERROR(__xludf.DUMMYFUNCTION("IFERROR(sum(FILTER($D:$N,$C:$C = $C1951,$A:$A &lt; $A1951,$B:$B = 12)),0) + sum($D1951:$N1951)"),0.0)</f>
        <v>0</v>
      </c>
      <c r="Q1951" s="92">
        <f t="shared" si="1"/>
        <v>0</v>
      </c>
      <c r="R1951" s="91">
        <f t="array" ref="R1951">IFERROR(INDEX('Fund YTD Target Values'!$1:$1000, MATCH($C1951,'Fund YTD Target Values'!$A:$A,0), MATCH($A1951,'Fund YTD Target Values'!$1:$1,0)),0)</f>
        <v>0</v>
      </c>
      <c r="S1951" s="91">
        <f>IFERROR(__xludf.DUMMYFUNCTION("IFERROR(sum(FILTER('Fund Investment Data'!$V:$V, 'Fund Investment Data'!$C:$C = $C1951, 'Fund Investment Data'!$A:$A &lt; $A1951)),0) + IFERROR(sum(FILTER('Fund Investment Data'!$V:$V, 'Fund Investment Data'!$C:$C = $C1951, 'Fund Investment Data'!$A:$A = $A1"&amp;"951, 'Fund Investment Data'!$B:$B &lt;= $B1951)),0)"),0.0)</f>
        <v>0</v>
      </c>
      <c r="T1951" s="32"/>
      <c r="U1951" s="32"/>
      <c r="V1951" s="32">
        <f>IFERROR(__xludf.DUMMYFUNCTION("$D1951 - IFERROR(FILTER($D:$D,$C:$C = $C1951, $A:$A = $A1951, $B:$B = $B1951 - 1),0)"),0.0)</f>
        <v>0</v>
      </c>
      <c r="W1951" s="93">
        <f>IFERROR(__xludf.DUMMYFUNCTION("$E1951 - IFERROR(FILTER($E:$E,$C:$C = $C1951, $A:$A = $A1951, $B:$B = $B1951 - 1),0)"),0.0)</f>
        <v>0</v>
      </c>
      <c r="X1951" s="91">
        <f>IFERROR(__xludf.DUMMYFUNCTION("iFERROR((FILTER('Fund Investment Data'!$Z:$Z, 'Fund Investment Data'!$C:$C = $C1951, 'Fund Investment Data'!$A:$A = $A1951 - 1, 'Fund Investment Data'!$B:$B = 12) + FILTER('Fund Investment Data'!$AB:$AB, 'Fund Investment Data'!$C:$C = $C1951, 'Fund Invest"&amp;"ment Data'!$A:$A = $A1951 - 1, 'Fund Investment Data'!$B:$B = 12)) * (1 + AVERAGE(FILTER('Inflation Data'!$C:$C,'Inflation Data'!$A:$A = ($A1951 - 2)))) * Parameters!$A$4,0)"),0.0)</f>
        <v>0</v>
      </c>
      <c r="Y1951" s="91">
        <f>IFERROR(__xludf.DUMMYFUNCTION("IFERROR((IFERROR(FILTER('Fund Investment Data'!$P:$P,'Fund Investment Data'!$C:$C = $C1951,'Fund Investment Data'!$A:$A = ($A1951 - 2), 'Fund Investment Data'!$B:$B = 12),0) - SUM(FILTER('Fund Investment Data'!$V:$V, 'Fund Investment Data'!$C:$C = $C1951,"&amp;" 'Fund Investment Data'!$A:$A = ($A1951 - 2), 'Fund Investment Data'!$B:$B &gt; 3)))  * Parameters!$B$4 * (1 - Parameters!$A$4),0)"),0.0)</f>
        <v>0</v>
      </c>
      <c r="Z1951" s="91">
        <f t="shared" si="24"/>
        <v>0</v>
      </c>
      <c r="AA1951" s="91">
        <f>IFERROR(__xludf.DUMMYFUNCTION("((IFERROR((SUM(FILTER('Fund Investment Data'!$V:$V, 'Fund Investment Data'!$C:$C = $C1951, 'Fund Investment Data'!$A:$A = $A1951 - 1, 'Fund Investment Data'!$B:$B &gt;= 4, 'Fund Investment Data'!$B:$B &lt;= ($B1951 + 5))) / 12) * ($B1951 - 3) * Parameters!$B$4,"&amp;" 0) + IF($B1951 &gt;= 9, IFERROR(SUM(FILTER('Fund Investment Data'!$V:$V, 'Fund Investment Data'!$C:$C = $C1951, 'Fund Investment Data'!$A:$A = $A1951, 'Fund Investment Data'!$B:$B &lt;= 3)) * Parameters!$B$4, 0),0)))"),0.0)</f>
        <v>0</v>
      </c>
      <c r="AB1951" s="32">
        <f>IFERROR(__xludf.DUMMYFUNCTION("IFERROR(((IFERROR(SUM(FILTER('Fund Investment Data'!$V:$V, 'Fund Investment Data'!$C:$C = $C1951, 'Fund Investment Data'!$A:$A = $A1951 - 2, 'Fund Investment Data'!$B:$B &gt;= 4)) * Parameters!$B$4,0) + IFERROR(SUM(FILTER('Fund Investment Data'!$V:$V, 'Fund "&amp;"Investment Data'!$C:$C = $C1951, 'Fund Investment Data'!$A:$A = $A1951 - 1, 'Fund Investment Data'!$B:$B &lt;= 3)) * Parameters!$B$4,0))),0)"),0.0)</f>
        <v>0</v>
      </c>
      <c r="AC1951" s="32">
        <f>IFERROR(__xludf.DUMMYFUNCTION("IFERROR(FILTER($AF:$AF,$C:$C = $C1951,$A:$A = $A1951 - 1,$B:$B = 12),0)"),0.0)</f>
        <v>0</v>
      </c>
      <c r="AD1951" s="32">
        <f t="shared" si="23"/>
        <v>0</v>
      </c>
      <c r="AE1951" s="32">
        <f t="shared" si="2"/>
        <v>0</v>
      </c>
      <c r="AF1951" s="32"/>
    </row>
    <row r="1952">
      <c r="A1952" s="86"/>
      <c r="B1952" s="87"/>
      <c r="C1952" s="88"/>
      <c r="D1952" s="104"/>
      <c r="E1952" s="104"/>
      <c r="F1952" s="104"/>
      <c r="G1952" s="104"/>
      <c r="H1952" s="104"/>
      <c r="I1952" s="104"/>
      <c r="J1952" s="104"/>
      <c r="K1952" s="32"/>
      <c r="L1952" s="32"/>
      <c r="M1952" s="32"/>
      <c r="N1952" s="32"/>
      <c r="O1952" s="106"/>
      <c r="P1952" s="91">
        <f>IFERROR(__xludf.DUMMYFUNCTION("IFERROR(sum(FILTER($D:$N,$C:$C = $C1952,$A:$A &lt; $A1952,$B:$B = 12)),0) + sum($D1952:$N1952)"),0.0)</f>
        <v>0</v>
      </c>
      <c r="Q1952" s="92">
        <f t="shared" si="1"/>
        <v>0</v>
      </c>
      <c r="R1952" s="91">
        <f t="array" ref="R1952">IFERROR(INDEX('Fund YTD Target Values'!$1:$1000, MATCH($C1952,'Fund YTD Target Values'!$A:$A,0), MATCH($A1952,'Fund YTD Target Values'!$1:$1,0)),0)</f>
        <v>0</v>
      </c>
      <c r="S1952" s="91">
        <f>IFERROR(__xludf.DUMMYFUNCTION("IFERROR(sum(FILTER('Fund Investment Data'!$V:$V, 'Fund Investment Data'!$C:$C = $C1952, 'Fund Investment Data'!$A:$A &lt; $A1952)),0) + IFERROR(sum(FILTER('Fund Investment Data'!$V:$V, 'Fund Investment Data'!$C:$C = $C1952, 'Fund Investment Data'!$A:$A = $A1"&amp;"952, 'Fund Investment Data'!$B:$B &lt;= $B1952)),0)"),0.0)</f>
        <v>0</v>
      </c>
      <c r="T1952" s="32"/>
      <c r="U1952" s="32"/>
      <c r="V1952" s="32">
        <f>IFERROR(__xludf.DUMMYFUNCTION("$D1952 - IFERROR(FILTER($D:$D,$C:$C = $C1952, $A:$A = $A1952, $B:$B = $B1952 - 1),0)"),0.0)</f>
        <v>0</v>
      </c>
      <c r="W1952" s="93">
        <f>IFERROR(__xludf.DUMMYFUNCTION("$E1952 - IFERROR(FILTER($E:$E,$C:$C = $C1952, $A:$A = $A1952, $B:$B = $B1952 - 1),0)"),0.0)</f>
        <v>0</v>
      </c>
      <c r="X1952" s="91">
        <f>IFERROR(__xludf.DUMMYFUNCTION("iFERROR((FILTER('Fund Investment Data'!$Z:$Z, 'Fund Investment Data'!$C:$C = $C1952, 'Fund Investment Data'!$A:$A = $A1952 - 1, 'Fund Investment Data'!$B:$B = 12) + FILTER('Fund Investment Data'!$AB:$AB, 'Fund Investment Data'!$C:$C = $C1952, 'Fund Invest"&amp;"ment Data'!$A:$A = $A1952 - 1, 'Fund Investment Data'!$B:$B = 12)) * (1 + AVERAGE(FILTER('Inflation Data'!$C:$C,'Inflation Data'!$A:$A = ($A1952 - 2)))) * Parameters!$A$4,0)"),0.0)</f>
        <v>0</v>
      </c>
      <c r="Y1952" s="91">
        <f>IFERROR(__xludf.DUMMYFUNCTION("IFERROR((IFERROR(FILTER('Fund Investment Data'!$P:$P,'Fund Investment Data'!$C:$C = $C1952,'Fund Investment Data'!$A:$A = ($A1952 - 2), 'Fund Investment Data'!$B:$B = 12),0) - SUM(FILTER('Fund Investment Data'!$V:$V, 'Fund Investment Data'!$C:$C = $C1952,"&amp;" 'Fund Investment Data'!$A:$A = ($A1952 - 2), 'Fund Investment Data'!$B:$B &gt; 3)))  * Parameters!$B$4 * (1 - Parameters!$A$4),0)"),0.0)</f>
        <v>0</v>
      </c>
      <c r="Z1952" s="91">
        <f t="shared" si="24"/>
        <v>0</v>
      </c>
      <c r="AA1952" s="91">
        <f>IFERROR(__xludf.DUMMYFUNCTION("((IFERROR((SUM(FILTER('Fund Investment Data'!$V:$V, 'Fund Investment Data'!$C:$C = $C1952, 'Fund Investment Data'!$A:$A = $A1952 - 1, 'Fund Investment Data'!$B:$B &gt;= 4, 'Fund Investment Data'!$B:$B &lt;= ($B1952 + 5))) / 12) * ($B1952 - 3) * Parameters!$B$4,"&amp;" 0) + IF($B1952 &gt;= 9, IFERROR(SUM(FILTER('Fund Investment Data'!$V:$V, 'Fund Investment Data'!$C:$C = $C1952, 'Fund Investment Data'!$A:$A = $A1952, 'Fund Investment Data'!$B:$B &lt;= 3)) * Parameters!$B$4, 0),0)))"),0.0)</f>
        <v>0</v>
      </c>
      <c r="AB1952" s="32">
        <f>IFERROR(__xludf.DUMMYFUNCTION("IFERROR(((IFERROR(SUM(FILTER('Fund Investment Data'!$V:$V, 'Fund Investment Data'!$C:$C = $C1952, 'Fund Investment Data'!$A:$A = $A1952 - 2, 'Fund Investment Data'!$B:$B &gt;= 4)) * Parameters!$B$4,0) + IFERROR(SUM(FILTER('Fund Investment Data'!$V:$V, 'Fund "&amp;"Investment Data'!$C:$C = $C1952, 'Fund Investment Data'!$A:$A = $A1952 - 1, 'Fund Investment Data'!$B:$B &lt;= 3)) * Parameters!$B$4,0))),0)"),0.0)</f>
        <v>0</v>
      </c>
      <c r="AC1952" s="32">
        <f>IFERROR(__xludf.DUMMYFUNCTION("IFERROR(FILTER($AF:$AF,$C:$C = $C1952,$A:$A = $A1952 - 1,$B:$B = 12),0)"),0.0)</f>
        <v>0</v>
      </c>
      <c r="AD1952" s="32">
        <f t="shared" si="23"/>
        <v>0</v>
      </c>
      <c r="AE1952" s="32">
        <f t="shared" si="2"/>
        <v>0</v>
      </c>
      <c r="AF1952" s="32"/>
    </row>
    <row r="1953">
      <c r="A1953" s="86"/>
      <c r="B1953" s="87"/>
      <c r="C1953" s="88"/>
      <c r="D1953" s="104"/>
      <c r="E1953" s="104"/>
      <c r="F1953" s="104"/>
      <c r="G1953" s="104"/>
      <c r="H1953" s="104"/>
      <c r="I1953" s="104"/>
      <c r="J1953" s="104"/>
      <c r="K1953" s="32"/>
      <c r="L1953" s="32"/>
      <c r="M1953" s="32"/>
      <c r="N1953" s="32"/>
      <c r="O1953" s="106"/>
      <c r="P1953" s="91">
        <f>IFERROR(__xludf.DUMMYFUNCTION("IFERROR(sum(FILTER($D:$N,$C:$C = $C1953,$A:$A &lt; $A1953,$B:$B = 12)),0) + sum($D1953:$N1953)"),0.0)</f>
        <v>0</v>
      </c>
      <c r="Q1953" s="92">
        <f t="shared" si="1"/>
        <v>0</v>
      </c>
      <c r="R1953" s="91">
        <f t="array" ref="R1953">IFERROR(INDEX('Fund YTD Target Values'!$1:$1000, MATCH($C1953,'Fund YTD Target Values'!$A:$A,0), MATCH($A1953,'Fund YTD Target Values'!$1:$1,0)),0)</f>
        <v>0</v>
      </c>
      <c r="S1953" s="91">
        <f>IFERROR(__xludf.DUMMYFUNCTION("IFERROR(sum(FILTER('Fund Investment Data'!$V:$V, 'Fund Investment Data'!$C:$C = $C1953, 'Fund Investment Data'!$A:$A &lt; $A1953)),0) + IFERROR(sum(FILTER('Fund Investment Data'!$V:$V, 'Fund Investment Data'!$C:$C = $C1953, 'Fund Investment Data'!$A:$A = $A1"&amp;"953, 'Fund Investment Data'!$B:$B &lt;= $B1953)),0)"),0.0)</f>
        <v>0</v>
      </c>
      <c r="T1953" s="32"/>
      <c r="U1953" s="32"/>
      <c r="V1953" s="32">
        <f>IFERROR(__xludf.DUMMYFUNCTION("$D1953 - IFERROR(FILTER($D:$D,$C:$C = $C1953, $A:$A = $A1953, $B:$B = $B1953 - 1),0)"),0.0)</f>
        <v>0</v>
      </c>
      <c r="W1953" s="93">
        <f>IFERROR(__xludf.DUMMYFUNCTION("$E1953 - IFERROR(FILTER($E:$E,$C:$C = $C1953, $A:$A = $A1953, $B:$B = $B1953 - 1),0)"),0.0)</f>
        <v>0</v>
      </c>
      <c r="X1953" s="91">
        <f>IFERROR(__xludf.DUMMYFUNCTION("iFERROR((FILTER('Fund Investment Data'!$Z:$Z, 'Fund Investment Data'!$C:$C = $C1953, 'Fund Investment Data'!$A:$A = $A1953 - 1, 'Fund Investment Data'!$B:$B = 12) + FILTER('Fund Investment Data'!$AB:$AB, 'Fund Investment Data'!$C:$C = $C1953, 'Fund Invest"&amp;"ment Data'!$A:$A = $A1953 - 1, 'Fund Investment Data'!$B:$B = 12)) * (1 + AVERAGE(FILTER('Inflation Data'!$C:$C,'Inflation Data'!$A:$A = ($A1953 - 2)))) * Parameters!$A$4,0)"),0.0)</f>
        <v>0</v>
      </c>
      <c r="Y1953" s="91">
        <f>IFERROR(__xludf.DUMMYFUNCTION("IFERROR((IFERROR(FILTER('Fund Investment Data'!$P:$P,'Fund Investment Data'!$C:$C = $C1953,'Fund Investment Data'!$A:$A = ($A1953 - 2), 'Fund Investment Data'!$B:$B = 12),0) - SUM(FILTER('Fund Investment Data'!$V:$V, 'Fund Investment Data'!$C:$C = $C1953,"&amp;" 'Fund Investment Data'!$A:$A = ($A1953 - 2), 'Fund Investment Data'!$B:$B &gt; 3)))  * Parameters!$B$4 * (1 - Parameters!$A$4),0)"),0.0)</f>
        <v>0</v>
      </c>
      <c r="Z1953" s="91">
        <f t="shared" si="24"/>
        <v>0</v>
      </c>
      <c r="AA1953" s="91">
        <f>IFERROR(__xludf.DUMMYFUNCTION("((IFERROR((SUM(FILTER('Fund Investment Data'!$V:$V, 'Fund Investment Data'!$C:$C = $C1953, 'Fund Investment Data'!$A:$A = $A1953 - 1, 'Fund Investment Data'!$B:$B &gt;= 4, 'Fund Investment Data'!$B:$B &lt;= ($B1953 + 5))) / 12) * ($B1953 - 3) * Parameters!$B$4,"&amp;" 0) + IF($B1953 &gt;= 9, IFERROR(SUM(FILTER('Fund Investment Data'!$V:$V, 'Fund Investment Data'!$C:$C = $C1953, 'Fund Investment Data'!$A:$A = $A1953, 'Fund Investment Data'!$B:$B &lt;= 3)) * Parameters!$B$4, 0),0)))"),0.0)</f>
        <v>0</v>
      </c>
      <c r="AB1953" s="32">
        <f>IFERROR(__xludf.DUMMYFUNCTION("IFERROR(((IFERROR(SUM(FILTER('Fund Investment Data'!$V:$V, 'Fund Investment Data'!$C:$C = $C1953, 'Fund Investment Data'!$A:$A = $A1953 - 2, 'Fund Investment Data'!$B:$B &gt;= 4)) * Parameters!$B$4,0) + IFERROR(SUM(FILTER('Fund Investment Data'!$V:$V, 'Fund "&amp;"Investment Data'!$C:$C = $C1953, 'Fund Investment Data'!$A:$A = $A1953 - 1, 'Fund Investment Data'!$B:$B &lt;= 3)) * Parameters!$B$4,0))),0)"),0.0)</f>
        <v>0</v>
      </c>
      <c r="AC1953" s="32">
        <f>IFERROR(__xludf.DUMMYFUNCTION("IFERROR(FILTER($AF:$AF,$C:$C = $C1953,$A:$A = $A1953 - 1,$B:$B = 12),0)"),0.0)</f>
        <v>0</v>
      </c>
      <c r="AD1953" s="32">
        <f t="shared" si="23"/>
        <v>0</v>
      </c>
      <c r="AE1953" s="32">
        <f t="shared" si="2"/>
        <v>0</v>
      </c>
      <c r="AF1953" s="32"/>
    </row>
    <row r="1954">
      <c r="A1954" s="86"/>
      <c r="B1954" s="87"/>
      <c r="C1954" s="88"/>
      <c r="D1954" s="104"/>
      <c r="E1954" s="104"/>
      <c r="F1954" s="104"/>
      <c r="G1954" s="104"/>
      <c r="H1954" s="104"/>
      <c r="I1954" s="104"/>
      <c r="J1954" s="104"/>
      <c r="K1954" s="32"/>
      <c r="L1954" s="32"/>
      <c r="M1954" s="32"/>
      <c r="N1954" s="32"/>
      <c r="O1954" s="106"/>
      <c r="P1954" s="91">
        <f>IFERROR(__xludf.DUMMYFUNCTION("IFERROR(sum(FILTER($D:$N,$C:$C = $C1954,$A:$A &lt; $A1954,$B:$B = 12)),0) + sum($D1954:$N1954)"),0.0)</f>
        <v>0</v>
      </c>
      <c r="Q1954" s="92">
        <f t="shared" si="1"/>
        <v>0</v>
      </c>
      <c r="R1954" s="91">
        <f t="array" ref="R1954">IFERROR(INDEX('Fund YTD Target Values'!$1:$1000, MATCH($C1954,'Fund YTD Target Values'!$A:$A,0), MATCH($A1954,'Fund YTD Target Values'!$1:$1,0)),0)</f>
        <v>0</v>
      </c>
      <c r="S1954" s="91">
        <f>IFERROR(__xludf.DUMMYFUNCTION("IFERROR(sum(FILTER('Fund Investment Data'!$V:$V, 'Fund Investment Data'!$C:$C = $C1954, 'Fund Investment Data'!$A:$A &lt; $A1954)),0) + IFERROR(sum(FILTER('Fund Investment Data'!$V:$V, 'Fund Investment Data'!$C:$C = $C1954, 'Fund Investment Data'!$A:$A = $A1"&amp;"954, 'Fund Investment Data'!$B:$B &lt;= $B1954)),0)"),0.0)</f>
        <v>0</v>
      </c>
      <c r="T1954" s="32"/>
      <c r="U1954" s="32"/>
      <c r="V1954" s="32">
        <f>IFERROR(__xludf.DUMMYFUNCTION("$D1954 - IFERROR(FILTER($D:$D,$C:$C = $C1954, $A:$A = $A1954, $B:$B = $B1954 - 1),0)"),0.0)</f>
        <v>0</v>
      </c>
      <c r="W1954" s="93">
        <f>IFERROR(__xludf.DUMMYFUNCTION("$E1954 - IFERROR(FILTER($E:$E,$C:$C = $C1954, $A:$A = $A1954, $B:$B = $B1954 - 1),0)"),0.0)</f>
        <v>0</v>
      </c>
      <c r="X1954" s="91">
        <f>IFERROR(__xludf.DUMMYFUNCTION("iFERROR((FILTER('Fund Investment Data'!$Z:$Z, 'Fund Investment Data'!$C:$C = $C1954, 'Fund Investment Data'!$A:$A = $A1954 - 1, 'Fund Investment Data'!$B:$B = 12) + FILTER('Fund Investment Data'!$AB:$AB, 'Fund Investment Data'!$C:$C = $C1954, 'Fund Invest"&amp;"ment Data'!$A:$A = $A1954 - 1, 'Fund Investment Data'!$B:$B = 12)) * (1 + AVERAGE(FILTER('Inflation Data'!$C:$C,'Inflation Data'!$A:$A = ($A1954 - 2)))) * Parameters!$A$4,0)"),0.0)</f>
        <v>0</v>
      </c>
      <c r="Y1954" s="91">
        <f>IFERROR(__xludf.DUMMYFUNCTION("IFERROR((IFERROR(FILTER('Fund Investment Data'!$P:$P,'Fund Investment Data'!$C:$C = $C1954,'Fund Investment Data'!$A:$A = ($A1954 - 2), 'Fund Investment Data'!$B:$B = 12),0) - SUM(FILTER('Fund Investment Data'!$V:$V, 'Fund Investment Data'!$C:$C = $C1954,"&amp;" 'Fund Investment Data'!$A:$A = ($A1954 - 2), 'Fund Investment Data'!$B:$B &gt; 3)))  * Parameters!$B$4 * (1 - Parameters!$A$4),0)"),0.0)</f>
        <v>0</v>
      </c>
      <c r="Z1954" s="91">
        <f t="shared" si="24"/>
        <v>0</v>
      </c>
      <c r="AA1954" s="91">
        <f>IFERROR(__xludf.DUMMYFUNCTION("((IFERROR((SUM(FILTER('Fund Investment Data'!$V:$V, 'Fund Investment Data'!$C:$C = $C1954, 'Fund Investment Data'!$A:$A = $A1954 - 1, 'Fund Investment Data'!$B:$B &gt;= 4, 'Fund Investment Data'!$B:$B &lt;= ($B1954 + 5))) / 12) * ($B1954 - 3) * Parameters!$B$4,"&amp;" 0) + IF($B1954 &gt;= 9, IFERROR(SUM(FILTER('Fund Investment Data'!$V:$V, 'Fund Investment Data'!$C:$C = $C1954, 'Fund Investment Data'!$A:$A = $A1954, 'Fund Investment Data'!$B:$B &lt;= 3)) * Parameters!$B$4, 0),0)))"),0.0)</f>
        <v>0</v>
      </c>
      <c r="AB1954" s="32">
        <f>IFERROR(__xludf.DUMMYFUNCTION("IFERROR(((IFERROR(SUM(FILTER('Fund Investment Data'!$V:$V, 'Fund Investment Data'!$C:$C = $C1954, 'Fund Investment Data'!$A:$A = $A1954 - 2, 'Fund Investment Data'!$B:$B &gt;= 4)) * Parameters!$B$4,0) + IFERROR(SUM(FILTER('Fund Investment Data'!$V:$V, 'Fund "&amp;"Investment Data'!$C:$C = $C1954, 'Fund Investment Data'!$A:$A = $A1954 - 1, 'Fund Investment Data'!$B:$B &lt;= 3)) * Parameters!$B$4,0))),0)"),0.0)</f>
        <v>0</v>
      </c>
      <c r="AC1954" s="32">
        <f>IFERROR(__xludf.DUMMYFUNCTION("IFERROR(FILTER($AF:$AF,$C:$C = $C1954,$A:$A = $A1954 - 1,$B:$B = 12),0)"),0.0)</f>
        <v>0</v>
      </c>
      <c r="AD1954" s="32">
        <f t="shared" si="23"/>
        <v>0</v>
      </c>
      <c r="AE1954" s="32">
        <f t="shared" si="2"/>
        <v>0</v>
      </c>
      <c r="AF1954" s="32"/>
    </row>
    <row r="1955">
      <c r="A1955" s="86"/>
      <c r="B1955" s="87"/>
      <c r="C1955" s="88"/>
      <c r="D1955" s="104"/>
      <c r="E1955" s="104"/>
      <c r="F1955" s="104"/>
      <c r="G1955" s="104"/>
      <c r="H1955" s="104"/>
      <c r="I1955" s="104"/>
      <c r="J1955" s="104"/>
      <c r="K1955" s="32"/>
      <c r="L1955" s="32"/>
      <c r="M1955" s="32"/>
      <c r="N1955" s="32"/>
      <c r="O1955" s="106"/>
      <c r="P1955" s="91">
        <f>IFERROR(__xludf.DUMMYFUNCTION("IFERROR(sum(FILTER($D:$N,$C:$C = $C1955,$A:$A &lt; $A1955,$B:$B = 12)),0) + sum($D1955:$N1955)"),0.0)</f>
        <v>0</v>
      </c>
      <c r="Q1955" s="92">
        <f t="shared" si="1"/>
        <v>0</v>
      </c>
      <c r="R1955" s="91">
        <f t="array" ref="R1955">IFERROR(INDEX('Fund YTD Target Values'!$1:$1000, MATCH($C1955,'Fund YTD Target Values'!$A:$A,0), MATCH($A1955,'Fund YTD Target Values'!$1:$1,0)),0)</f>
        <v>0</v>
      </c>
      <c r="S1955" s="91">
        <f>IFERROR(__xludf.DUMMYFUNCTION("IFERROR(sum(FILTER('Fund Investment Data'!$V:$V, 'Fund Investment Data'!$C:$C = $C1955, 'Fund Investment Data'!$A:$A &lt; $A1955)),0) + IFERROR(sum(FILTER('Fund Investment Data'!$V:$V, 'Fund Investment Data'!$C:$C = $C1955, 'Fund Investment Data'!$A:$A = $A1"&amp;"955, 'Fund Investment Data'!$B:$B &lt;= $B1955)),0)"),0.0)</f>
        <v>0</v>
      </c>
      <c r="T1955" s="32"/>
      <c r="U1955" s="32"/>
      <c r="V1955" s="32">
        <f>IFERROR(__xludf.DUMMYFUNCTION("$D1955 - IFERROR(FILTER($D:$D,$C:$C = $C1955, $A:$A = $A1955, $B:$B = $B1955 - 1),0)"),0.0)</f>
        <v>0</v>
      </c>
      <c r="W1955" s="93">
        <f>IFERROR(__xludf.DUMMYFUNCTION("$E1955 - IFERROR(FILTER($E:$E,$C:$C = $C1955, $A:$A = $A1955, $B:$B = $B1955 - 1),0)"),0.0)</f>
        <v>0</v>
      </c>
      <c r="X1955" s="91">
        <f>IFERROR(__xludf.DUMMYFUNCTION("iFERROR((FILTER('Fund Investment Data'!$Z:$Z, 'Fund Investment Data'!$C:$C = $C1955, 'Fund Investment Data'!$A:$A = $A1955 - 1, 'Fund Investment Data'!$B:$B = 12) + FILTER('Fund Investment Data'!$AB:$AB, 'Fund Investment Data'!$C:$C = $C1955, 'Fund Invest"&amp;"ment Data'!$A:$A = $A1955 - 1, 'Fund Investment Data'!$B:$B = 12)) * (1 + AVERAGE(FILTER('Inflation Data'!$C:$C,'Inflation Data'!$A:$A = ($A1955 - 2)))) * Parameters!$A$4,0)"),0.0)</f>
        <v>0</v>
      </c>
      <c r="Y1955" s="91">
        <f>IFERROR(__xludf.DUMMYFUNCTION("IFERROR((IFERROR(FILTER('Fund Investment Data'!$P:$P,'Fund Investment Data'!$C:$C = $C1955,'Fund Investment Data'!$A:$A = ($A1955 - 2), 'Fund Investment Data'!$B:$B = 12),0) - SUM(FILTER('Fund Investment Data'!$V:$V, 'Fund Investment Data'!$C:$C = $C1955,"&amp;" 'Fund Investment Data'!$A:$A = ($A1955 - 2), 'Fund Investment Data'!$B:$B &gt; 3)))  * Parameters!$B$4 * (1 - Parameters!$A$4),0)"),0.0)</f>
        <v>0</v>
      </c>
      <c r="Z1955" s="91">
        <f t="shared" si="24"/>
        <v>0</v>
      </c>
      <c r="AA1955" s="91">
        <f>IFERROR(__xludf.DUMMYFUNCTION("((IFERROR((SUM(FILTER('Fund Investment Data'!$V:$V, 'Fund Investment Data'!$C:$C = $C1955, 'Fund Investment Data'!$A:$A = $A1955 - 1, 'Fund Investment Data'!$B:$B &gt;= 4, 'Fund Investment Data'!$B:$B &lt;= ($B1955 + 5))) / 12) * ($B1955 - 3) * Parameters!$B$4,"&amp;" 0) + IF($B1955 &gt;= 9, IFERROR(SUM(FILTER('Fund Investment Data'!$V:$V, 'Fund Investment Data'!$C:$C = $C1955, 'Fund Investment Data'!$A:$A = $A1955, 'Fund Investment Data'!$B:$B &lt;= 3)) * Parameters!$B$4, 0),0)))"),0.0)</f>
        <v>0</v>
      </c>
      <c r="AB1955" s="32">
        <f>IFERROR(__xludf.DUMMYFUNCTION("IFERROR(((IFERROR(SUM(FILTER('Fund Investment Data'!$V:$V, 'Fund Investment Data'!$C:$C = $C1955, 'Fund Investment Data'!$A:$A = $A1955 - 2, 'Fund Investment Data'!$B:$B &gt;= 4)) * Parameters!$B$4,0) + IFERROR(SUM(FILTER('Fund Investment Data'!$V:$V, 'Fund "&amp;"Investment Data'!$C:$C = $C1955, 'Fund Investment Data'!$A:$A = $A1955 - 1, 'Fund Investment Data'!$B:$B &lt;= 3)) * Parameters!$B$4,0))),0)"),0.0)</f>
        <v>0</v>
      </c>
      <c r="AC1955" s="32">
        <f>IFERROR(__xludf.DUMMYFUNCTION("IFERROR(FILTER($AF:$AF,$C:$C = $C1955,$A:$A = $A1955 - 1,$B:$B = 12),0)"),0.0)</f>
        <v>0</v>
      </c>
      <c r="AD1955" s="32">
        <f t="shared" si="23"/>
        <v>0</v>
      </c>
      <c r="AE1955" s="32">
        <f t="shared" si="2"/>
        <v>0</v>
      </c>
      <c r="AF1955" s="32"/>
    </row>
    <row r="1956">
      <c r="A1956" s="86"/>
      <c r="B1956" s="87"/>
      <c r="C1956" s="88"/>
      <c r="D1956" s="104"/>
      <c r="E1956" s="104"/>
      <c r="F1956" s="104"/>
      <c r="G1956" s="104"/>
      <c r="H1956" s="104"/>
      <c r="I1956" s="104"/>
      <c r="J1956" s="104"/>
      <c r="K1956" s="32"/>
      <c r="L1956" s="32"/>
      <c r="M1956" s="32"/>
      <c r="N1956" s="32"/>
      <c r="O1956" s="106"/>
      <c r="P1956" s="91">
        <f>IFERROR(__xludf.DUMMYFUNCTION("IFERROR(sum(FILTER($D:$N,$C:$C = $C1956,$A:$A &lt; $A1956,$B:$B = 12)),0) + sum($D1956:$N1956)"),0.0)</f>
        <v>0</v>
      </c>
      <c r="Q1956" s="92">
        <f t="shared" si="1"/>
        <v>0</v>
      </c>
      <c r="R1956" s="91">
        <f t="array" ref="R1956">IFERROR(INDEX('Fund YTD Target Values'!$1:$1000, MATCH($C1956,'Fund YTD Target Values'!$A:$A,0), MATCH($A1956,'Fund YTD Target Values'!$1:$1,0)),0)</f>
        <v>0</v>
      </c>
      <c r="S1956" s="91">
        <f>IFERROR(__xludf.DUMMYFUNCTION("IFERROR(sum(FILTER('Fund Investment Data'!$V:$V, 'Fund Investment Data'!$C:$C = $C1956, 'Fund Investment Data'!$A:$A &lt; $A1956)),0) + IFERROR(sum(FILTER('Fund Investment Data'!$V:$V, 'Fund Investment Data'!$C:$C = $C1956, 'Fund Investment Data'!$A:$A = $A1"&amp;"956, 'Fund Investment Data'!$B:$B &lt;= $B1956)),0)"),0.0)</f>
        <v>0</v>
      </c>
      <c r="T1956" s="32"/>
      <c r="U1956" s="32"/>
      <c r="V1956" s="32">
        <f>IFERROR(__xludf.DUMMYFUNCTION("$D1956 - IFERROR(FILTER($D:$D,$C:$C = $C1956, $A:$A = $A1956, $B:$B = $B1956 - 1),0)"),0.0)</f>
        <v>0</v>
      </c>
      <c r="W1956" s="93">
        <f>IFERROR(__xludf.DUMMYFUNCTION("$E1956 - IFERROR(FILTER($E:$E,$C:$C = $C1956, $A:$A = $A1956, $B:$B = $B1956 - 1),0)"),0.0)</f>
        <v>0</v>
      </c>
      <c r="X1956" s="91">
        <f>IFERROR(__xludf.DUMMYFUNCTION("iFERROR((FILTER('Fund Investment Data'!$Z:$Z, 'Fund Investment Data'!$C:$C = $C1956, 'Fund Investment Data'!$A:$A = $A1956 - 1, 'Fund Investment Data'!$B:$B = 12) + FILTER('Fund Investment Data'!$AB:$AB, 'Fund Investment Data'!$C:$C = $C1956, 'Fund Invest"&amp;"ment Data'!$A:$A = $A1956 - 1, 'Fund Investment Data'!$B:$B = 12)) * (1 + AVERAGE(FILTER('Inflation Data'!$C:$C,'Inflation Data'!$A:$A = ($A1956 - 2)))) * Parameters!$A$4,0)"),0.0)</f>
        <v>0</v>
      </c>
      <c r="Y1956" s="91">
        <f>IFERROR(__xludf.DUMMYFUNCTION("IFERROR((IFERROR(FILTER('Fund Investment Data'!$P:$P,'Fund Investment Data'!$C:$C = $C1956,'Fund Investment Data'!$A:$A = ($A1956 - 2), 'Fund Investment Data'!$B:$B = 12),0) - SUM(FILTER('Fund Investment Data'!$V:$V, 'Fund Investment Data'!$C:$C = $C1956,"&amp;" 'Fund Investment Data'!$A:$A = ($A1956 - 2), 'Fund Investment Data'!$B:$B &gt; 3)))  * Parameters!$B$4 * (1 - Parameters!$A$4),0)"),0.0)</f>
        <v>0</v>
      </c>
      <c r="Z1956" s="91">
        <f t="shared" si="24"/>
        <v>0</v>
      </c>
      <c r="AA1956" s="91">
        <f>IFERROR(__xludf.DUMMYFUNCTION("((IFERROR((SUM(FILTER('Fund Investment Data'!$V:$V, 'Fund Investment Data'!$C:$C = $C1956, 'Fund Investment Data'!$A:$A = $A1956 - 1, 'Fund Investment Data'!$B:$B &gt;= 4, 'Fund Investment Data'!$B:$B &lt;= ($B1956 + 5))) / 12) * ($B1956 - 3) * Parameters!$B$4,"&amp;" 0) + IF($B1956 &gt;= 9, IFERROR(SUM(FILTER('Fund Investment Data'!$V:$V, 'Fund Investment Data'!$C:$C = $C1956, 'Fund Investment Data'!$A:$A = $A1956, 'Fund Investment Data'!$B:$B &lt;= 3)) * Parameters!$B$4, 0),0)))"),0.0)</f>
        <v>0</v>
      </c>
      <c r="AB1956" s="32">
        <f>IFERROR(__xludf.DUMMYFUNCTION("IFERROR(((IFERROR(SUM(FILTER('Fund Investment Data'!$V:$V, 'Fund Investment Data'!$C:$C = $C1956, 'Fund Investment Data'!$A:$A = $A1956 - 2, 'Fund Investment Data'!$B:$B &gt;= 4)) * Parameters!$B$4,0) + IFERROR(SUM(FILTER('Fund Investment Data'!$V:$V, 'Fund "&amp;"Investment Data'!$C:$C = $C1956, 'Fund Investment Data'!$A:$A = $A1956 - 1, 'Fund Investment Data'!$B:$B &lt;= 3)) * Parameters!$B$4,0))),0)"),0.0)</f>
        <v>0</v>
      </c>
      <c r="AC1956" s="32">
        <f>IFERROR(__xludf.DUMMYFUNCTION("IFERROR(FILTER($AF:$AF,$C:$C = $C1956,$A:$A = $A1956 - 1,$B:$B = 12),0)"),0.0)</f>
        <v>0</v>
      </c>
      <c r="AD1956" s="32">
        <f t="shared" si="23"/>
        <v>0</v>
      </c>
      <c r="AE1956" s="32">
        <f t="shared" si="2"/>
        <v>0</v>
      </c>
      <c r="AF1956" s="32"/>
    </row>
    <row r="1957">
      <c r="A1957" s="86"/>
      <c r="B1957" s="87"/>
      <c r="C1957" s="88"/>
      <c r="D1957" s="104"/>
      <c r="E1957" s="104"/>
      <c r="F1957" s="104"/>
      <c r="G1957" s="104"/>
      <c r="H1957" s="104"/>
      <c r="I1957" s="104"/>
      <c r="J1957" s="104"/>
      <c r="K1957" s="32"/>
      <c r="L1957" s="32"/>
      <c r="M1957" s="32"/>
      <c r="N1957" s="32"/>
      <c r="O1957" s="106"/>
      <c r="P1957" s="91">
        <f>IFERROR(__xludf.DUMMYFUNCTION("IFERROR(sum(FILTER($D:$N,$C:$C = $C1957,$A:$A &lt; $A1957,$B:$B = 12)),0) + sum($D1957:$N1957)"),0.0)</f>
        <v>0</v>
      </c>
      <c r="Q1957" s="92">
        <f t="shared" si="1"/>
        <v>0</v>
      </c>
      <c r="R1957" s="91">
        <f t="array" ref="R1957">IFERROR(INDEX('Fund YTD Target Values'!$1:$1000, MATCH($C1957,'Fund YTD Target Values'!$A:$A,0), MATCH($A1957,'Fund YTD Target Values'!$1:$1,0)),0)</f>
        <v>0</v>
      </c>
      <c r="S1957" s="91">
        <f>IFERROR(__xludf.DUMMYFUNCTION("IFERROR(sum(FILTER('Fund Investment Data'!$V:$V, 'Fund Investment Data'!$C:$C = $C1957, 'Fund Investment Data'!$A:$A &lt; $A1957)),0) + IFERROR(sum(FILTER('Fund Investment Data'!$V:$V, 'Fund Investment Data'!$C:$C = $C1957, 'Fund Investment Data'!$A:$A = $A1"&amp;"957, 'Fund Investment Data'!$B:$B &lt;= $B1957)),0)"),0.0)</f>
        <v>0</v>
      </c>
      <c r="T1957" s="32"/>
      <c r="U1957" s="32"/>
      <c r="V1957" s="32">
        <f>IFERROR(__xludf.DUMMYFUNCTION("$D1957 - IFERROR(FILTER($D:$D,$C:$C = $C1957, $A:$A = $A1957, $B:$B = $B1957 - 1),0)"),0.0)</f>
        <v>0</v>
      </c>
      <c r="W1957" s="93">
        <f>IFERROR(__xludf.DUMMYFUNCTION("$E1957 - IFERROR(FILTER($E:$E,$C:$C = $C1957, $A:$A = $A1957, $B:$B = $B1957 - 1),0)"),0.0)</f>
        <v>0</v>
      </c>
      <c r="X1957" s="91">
        <f>IFERROR(__xludf.DUMMYFUNCTION("iFERROR((FILTER('Fund Investment Data'!$Z:$Z, 'Fund Investment Data'!$C:$C = $C1957, 'Fund Investment Data'!$A:$A = $A1957 - 1, 'Fund Investment Data'!$B:$B = 12) + FILTER('Fund Investment Data'!$AB:$AB, 'Fund Investment Data'!$C:$C = $C1957, 'Fund Invest"&amp;"ment Data'!$A:$A = $A1957 - 1, 'Fund Investment Data'!$B:$B = 12)) * (1 + AVERAGE(FILTER('Inflation Data'!$C:$C,'Inflation Data'!$A:$A = ($A1957 - 2)))) * Parameters!$A$4,0)"),0.0)</f>
        <v>0</v>
      </c>
      <c r="Y1957" s="91">
        <f>IFERROR(__xludf.DUMMYFUNCTION("IFERROR((IFERROR(FILTER('Fund Investment Data'!$P:$P,'Fund Investment Data'!$C:$C = $C1957,'Fund Investment Data'!$A:$A = ($A1957 - 2), 'Fund Investment Data'!$B:$B = 12),0) - SUM(FILTER('Fund Investment Data'!$V:$V, 'Fund Investment Data'!$C:$C = $C1957,"&amp;" 'Fund Investment Data'!$A:$A = ($A1957 - 2), 'Fund Investment Data'!$B:$B &gt; 3)))  * Parameters!$B$4 * (1 - Parameters!$A$4),0)"),0.0)</f>
        <v>0</v>
      </c>
      <c r="Z1957" s="91">
        <f t="shared" si="24"/>
        <v>0</v>
      </c>
      <c r="AA1957" s="91">
        <f>IFERROR(__xludf.DUMMYFUNCTION("((IFERROR((SUM(FILTER('Fund Investment Data'!$V:$V, 'Fund Investment Data'!$C:$C = $C1957, 'Fund Investment Data'!$A:$A = $A1957 - 1, 'Fund Investment Data'!$B:$B &gt;= 4, 'Fund Investment Data'!$B:$B &lt;= ($B1957 + 5))) / 12) * ($B1957 - 3) * Parameters!$B$4,"&amp;" 0) + IF($B1957 &gt;= 9, IFERROR(SUM(FILTER('Fund Investment Data'!$V:$V, 'Fund Investment Data'!$C:$C = $C1957, 'Fund Investment Data'!$A:$A = $A1957, 'Fund Investment Data'!$B:$B &lt;= 3)) * Parameters!$B$4, 0),0)))"),0.0)</f>
        <v>0</v>
      </c>
      <c r="AB1957" s="32">
        <f>IFERROR(__xludf.DUMMYFUNCTION("IFERROR(((IFERROR(SUM(FILTER('Fund Investment Data'!$V:$V, 'Fund Investment Data'!$C:$C = $C1957, 'Fund Investment Data'!$A:$A = $A1957 - 2, 'Fund Investment Data'!$B:$B &gt;= 4)) * Parameters!$B$4,0) + IFERROR(SUM(FILTER('Fund Investment Data'!$V:$V, 'Fund "&amp;"Investment Data'!$C:$C = $C1957, 'Fund Investment Data'!$A:$A = $A1957 - 1, 'Fund Investment Data'!$B:$B &lt;= 3)) * Parameters!$B$4,0))),0)"),0.0)</f>
        <v>0</v>
      </c>
      <c r="AC1957" s="32">
        <f>IFERROR(__xludf.DUMMYFUNCTION("IFERROR(FILTER($AF:$AF,$C:$C = $C1957,$A:$A = $A1957 - 1,$B:$B = 12),0)"),0.0)</f>
        <v>0</v>
      </c>
      <c r="AD1957" s="32">
        <f t="shared" si="23"/>
        <v>0</v>
      </c>
      <c r="AE1957" s="32">
        <f t="shared" si="2"/>
        <v>0</v>
      </c>
      <c r="AF1957" s="32"/>
    </row>
    <row r="1958">
      <c r="A1958" s="86"/>
      <c r="B1958" s="87"/>
      <c r="C1958" s="88"/>
      <c r="D1958" s="104"/>
      <c r="E1958" s="104"/>
      <c r="F1958" s="104"/>
      <c r="G1958" s="104"/>
      <c r="H1958" s="104"/>
      <c r="I1958" s="104"/>
      <c r="J1958" s="104"/>
      <c r="K1958" s="32"/>
      <c r="L1958" s="32"/>
      <c r="M1958" s="32"/>
      <c r="N1958" s="32"/>
      <c r="O1958" s="106"/>
      <c r="P1958" s="91">
        <f>IFERROR(__xludf.DUMMYFUNCTION("IFERROR(sum(FILTER($D:$N,$C:$C = $C1958,$A:$A &lt; $A1958,$B:$B = 12)),0) + sum($D1958:$N1958)"),0.0)</f>
        <v>0</v>
      </c>
      <c r="Q1958" s="92">
        <f t="shared" si="1"/>
        <v>0</v>
      </c>
      <c r="R1958" s="91">
        <f t="array" ref="R1958">IFERROR(INDEX('Fund YTD Target Values'!$1:$1000, MATCH($C1958,'Fund YTD Target Values'!$A:$A,0), MATCH($A1958,'Fund YTD Target Values'!$1:$1,0)),0)</f>
        <v>0</v>
      </c>
      <c r="S1958" s="91">
        <f>IFERROR(__xludf.DUMMYFUNCTION("IFERROR(sum(FILTER('Fund Investment Data'!$V:$V, 'Fund Investment Data'!$C:$C = $C1958, 'Fund Investment Data'!$A:$A &lt; $A1958)),0) + IFERROR(sum(FILTER('Fund Investment Data'!$V:$V, 'Fund Investment Data'!$C:$C = $C1958, 'Fund Investment Data'!$A:$A = $A1"&amp;"958, 'Fund Investment Data'!$B:$B &lt;= $B1958)),0)"),0.0)</f>
        <v>0</v>
      </c>
      <c r="T1958" s="32"/>
      <c r="U1958" s="32"/>
      <c r="V1958" s="32">
        <f>IFERROR(__xludf.DUMMYFUNCTION("$D1958 - IFERROR(FILTER($D:$D,$C:$C = $C1958, $A:$A = $A1958, $B:$B = $B1958 - 1),0)"),0.0)</f>
        <v>0</v>
      </c>
      <c r="W1958" s="93">
        <f>IFERROR(__xludf.DUMMYFUNCTION("$E1958 - IFERROR(FILTER($E:$E,$C:$C = $C1958, $A:$A = $A1958, $B:$B = $B1958 - 1),0)"),0.0)</f>
        <v>0</v>
      </c>
      <c r="X1958" s="91">
        <f>IFERROR(__xludf.DUMMYFUNCTION("iFERROR((FILTER('Fund Investment Data'!$Z:$Z, 'Fund Investment Data'!$C:$C = $C1958, 'Fund Investment Data'!$A:$A = $A1958 - 1, 'Fund Investment Data'!$B:$B = 12) + FILTER('Fund Investment Data'!$AB:$AB, 'Fund Investment Data'!$C:$C = $C1958, 'Fund Invest"&amp;"ment Data'!$A:$A = $A1958 - 1, 'Fund Investment Data'!$B:$B = 12)) * (1 + AVERAGE(FILTER('Inflation Data'!$C:$C,'Inflation Data'!$A:$A = ($A1958 - 2)))) * Parameters!$A$4,0)"),0.0)</f>
        <v>0</v>
      </c>
      <c r="Y1958" s="91">
        <f>IFERROR(__xludf.DUMMYFUNCTION("IFERROR((IFERROR(FILTER('Fund Investment Data'!$P:$P,'Fund Investment Data'!$C:$C = $C1958,'Fund Investment Data'!$A:$A = ($A1958 - 2), 'Fund Investment Data'!$B:$B = 12),0) - SUM(FILTER('Fund Investment Data'!$V:$V, 'Fund Investment Data'!$C:$C = $C1958,"&amp;" 'Fund Investment Data'!$A:$A = ($A1958 - 2), 'Fund Investment Data'!$B:$B &gt; 3)))  * Parameters!$B$4 * (1 - Parameters!$A$4),0)"),0.0)</f>
        <v>0</v>
      </c>
      <c r="Z1958" s="91">
        <f t="shared" si="24"/>
        <v>0</v>
      </c>
      <c r="AA1958" s="91">
        <f>IFERROR(__xludf.DUMMYFUNCTION("((IFERROR((SUM(FILTER('Fund Investment Data'!$V:$V, 'Fund Investment Data'!$C:$C = $C1958, 'Fund Investment Data'!$A:$A = $A1958 - 1, 'Fund Investment Data'!$B:$B &gt;= 4, 'Fund Investment Data'!$B:$B &lt;= ($B1958 + 5))) / 12) * ($B1958 - 3) * Parameters!$B$4,"&amp;" 0) + IF($B1958 &gt;= 9, IFERROR(SUM(FILTER('Fund Investment Data'!$V:$V, 'Fund Investment Data'!$C:$C = $C1958, 'Fund Investment Data'!$A:$A = $A1958, 'Fund Investment Data'!$B:$B &lt;= 3)) * Parameters!$B$4, 0),0)))"),0.0)</f>
        <v>0</v>
      </c>
      <c r="AB1958" s="32">
        <f>IFERROR(__xludf.DUMMYFUNCTION("IFERROR(((IFERROR(SUM(FILTER('Fund Investment Data'!$V:$V, 'Fund Investment Data'!$C:$C = $C1958, 'Fund Investment Data'!$A:$A = $A1958 - 2, 'Fund Investment Data'!$B:$B &gt;= 4)) * Parameters!$B$4,0) + IFERROR(SUM(FILTER('Fund Investment Data'!$V:$V, 'Fund "&amp;"Investment Data'!$C:$C = $C1958, 'Fund Investment Data'!$A:$A = $A1958 - 1, 'Fund Investment Data'!$B:$B &lt;= 3)) * Parameters!$B$4,0))),0)"),0.0)</f>
        <v>0</v>
      </c>
      <c r="AC1958" s="32">
        <f>IFERROR(__xludf.DUMMYFUNCTION("IFERROR(FILTER($AF:$AF,$C:$C = $C1958,$A:$A = $A1958 - 1,$B:$B = 12),0)"),0.0)</f>
        <v>0</v>
      </c>
      <c r="AD1958" s="32">
        <f t="shared" si="23"/>
        <v>0</v>
      </c>
      <c r="AE1958" s="32">
        <f t="shared" si="2"/>
        <v>0</v>
      </c>
      <c r="AF1958" s="32"/>
    </row>
    <row r="1959">
      <c r="A1959" s="86"/>
      <c r="B1959" s="87"/>
      <c r="C1959" s="88"/>
      <c r="D1959" s="104"/>
      <c r="E1959" s="104"/>
      <c r="F1959" s="104"/>
      <c r="G1959" s="104"/>
      <c r="H1959" s="104"/>
      <c r="I1959" s="104"/>
      <c r="J1959" s="104"/>
      <c r="K1959" s="32"/>
      <c r="L1959" s="32"/>
      <c r="M1959" s="32"/>
      <c r="N1959" s="32"/>
      <c r="O1959" s="106"/>
      <c r="P1959" s="91">
        <f>IFERROR(__xludf.DUMMYFUNCTION("IFERROR(sum(FILTER($D:$N,$C:$C = $C1959,$A:$A &lt; $A1959,$B:$B = 12)),0) + sum($D1959:$N1959)"),0.0)</f>
        <v>0</v>
      </c>
      <c r="Q1959" s="92">
        <f t="shared" si="1"/>
        <v>0</v>
      </c>
      <c r="R1959" s="91">
        <f t="array" ref="R1959">IFERROR(INDEX('Fund YTD Target Values'!$1:$1000, MATCH($C1959,'Fund YTD Target Values'!$A:$A,0), MATCH($A1959,'Fund YTD Target Values'!$1:$1,0)),0)</f>
        <v>0</v>
      </c>
      <c r="S1959" s="91">
        <f>IFERROR(__xludf.DUMMYFUNCTION("IFERROR(sum(FILTER('Fund Investment Data'!$V:$V, 'Fund Investment Data'!$C:$C = $C1959, 'Fund Investment Data'!$A:$A &lt; $A1959)),0) + IFERROR(sum(FILTER('Fund Investment Data'!$V:$V, 'Fund Investment Data'!$C:$C = $C1959, 'Fund Investment Data'!$A:$A = $A1"&amp;"959, 'Fund Investment Data'!$B:$B &lt;= $B1959)),0)"),0.0)</f>
        <v>0</v>
      </c>
      <c r="T1959" s="32"/>
      <c r="U1959" s="32"/>
      <c r="V1959" s="32">
        <f>IFERROR(__xludf.DUMMYFUNCTION("$D1959 - IFERROR(FILTER($D:$D,$C:$C = $C1959, $A:$A = $A1959, $B:$B = $B1959 - 1),0)"),0.0)</f>
        <v>0</v>
      </c>
      <c r="W1959" s="93">
        <f>IFERROR(__xludf.DUMMYFUNCTION("$E1959 - IFERROR(FILTER($E:$E,$C:$C = $C1959, $A:$A = $A1959, $B:$B = $B1959 - 1),0)"),0.0)</f>
        <v>0</v>
      </c>
      <c r="X1959" s="91">
        <f>IFERROR(__xludf.DUMMYFUNCTION("iFERROR((FILTER('Fund Investment Data'!$Z:$Z, 'Fund Investment Data'!$C:$C = $C1959, 'Fund Investment Data'!$A:$A = $A1959 - 1, 'Fund Investment Data'!$B:$B = 12) + FILTER('Fund Investment Data'!$AB:$AB, 'Fund Investment Data'!$C:$C = $C1959, 'Fund Invest"&amp;"ment Data'!$A:$A = $A1959 - 1, 'Fund Investment Data'!$B:$B = 12)) * (1 + AVERAGE(FILTER('Inflation Data'!$C:$C,'Inflation Data'!$A:$A = ($A1959 - 2)))) * Parameters!$A$4,0)"),0.0)</f>
        <v>0</v>
      </c>
      <c r="Y1959" s="91">
        <f>IFERROR(__xludf.DUMMYFUNCTION("IFERROR((IFERROR(FILTER('Fund Investment Data'!$P:$P,'Fund Investment Data'!$C:$C = $C1959,'Fund Investment Data'!$A:$A = ($A1959 - 2), 'Fund Investment Data'!$B:$B = 12),0) - SUM(FILTER('Fund Investment Data'!$V:$V, 'Fund Investment Data'!$C:$C = $C1959,"&amp;" 'Fund Investment Data'!$A:$A = ($A1959 - 2), 'Fund Investment Data'!$B:$B &gt; 3)))  * Parameters!$B$4 * (1 - Parameters!$A$4),0)"),0.0)</f>
        <v>0</v>
      </c>
      <c r="Z1959" s="91">
        <f t="shared" si="24"/>
        <v>0</v>
      </c>
      <c r="AA1959" s="91">
        <f>IFERROR(__xludf.DUMMYFUNCTION("((IFERROR((SUM(FILTER('Fund Investment Data'!$V:$V, 'Fund Investment Data'!$C:$C = $C1959, 'Fund Investment Data'!$A:$A = $A1959 - 1, 'Fund Investment Data'!$B:$B &gt;= 4, 'Fund Investment Data'!$B:$B &lt;= ($B1959 + 5))) / 12) * ($B1959 - 3) * Parameters!$B$4,"&amp;" 0) + IF($B1959 &gt;= 9, IFERROR(SUM(FILTER('Fund Investment Data'!$V:$V, 'Fund Investment Data'!$C:$C = $C1959, 'Fund Investment Data'!$A:$A = $A1959, 'Fund Investment Data'!$B:$B &lt;= 3)) * Parameters!$B$4, 0),0)))"),0.0)</f>
        <v>0</v>
      </c>
      <c r="AB1959" s="32">
        <f>IFERROR(__xludf.DUMMYFUNCTION("IFERROR(((IFERROR(SUM(FILTER('Fund Investment Data'!$V:$V, 'Fund Investment Data'!$C:$C = $C1959, 'Fund Investment Data'!$A:$A = $A1959 - 2, 'Fund Investment Data'!$B:$B &gt;= 4)) * Parameters!$B$4,0) + IFERROR(SUM(FILTER('Fund Investment Data'!$V:$V, 'Fund "&amp;"Investment Data'!$C:$C = $C1959, 'Fund Investment Data'!$A:$A = $A1959 - 1, 'Fund Investment Data'!$B:$B &lt;= 3)) * Parameters!$B$4,0))),0)"),0.0)</f>
        <v>0</v>
      </c>
      <c r="AC1959" s="32">
        <f>IFERROR(__xludf.DUMMYFUNCTION("IFERROR(FILTER($AF:$AF,$C:$C = $C1959,$A:$A = $A1959 - 1,$B:$B = 12),0)"),0.0)</f>
        <v>0</v>
      </c>
      <c r="AD1959" s="32">
        <f t="shared" si="23"/>
        <v>0</v>
      </c>
      <c r="AE1959" s="32">
        <f t="shared" si="2"/>
        <v>0</v>
      </c>
      <c r="AF1959" s="32"/>
    </row>
    <row r="1960">
      <c r="A1960" s="86"/>
      <c r="B1960" s="87"/>
      <c r="C1960" s="88"/>
      <c r="D1960" s="104"/>
      <c r="E1960" s="104"/>
      <c r="F1960" s="104"/>
      <c r="G1960" s="104"/>
      <c r="H1960" s="104"/>
      <c r="I1960" s="104"/>
      <c r="J1960" s="104"/>
      <c r="K1960" s="32"/>
      <c r="L1960" s="32"/>
      <c r="M1960" s="32"/>
      <c r="N1960" s="32"/>
      <c r="O1960" s="106"/>
      <c r="P1960" s="91">
        <f>IFERROR(__xludf.DUMMYFUNCTION("IFERROR(sum(FILTER($D:$N,$C:$C = $C1960,$A:$A &lt; $A1960,$B:$B = 12)),0) + sum($D1960:$N1960)"),0.0)</f>
        <v>0</v>
      </c>
      <c r="Q1960" s="92">
        <f t="shared" si="1"/>
        <v>0</v>
      </c>
      <c r="R1960" s="91">
        <f t="array" ref="R1960">IFERROR(INDEX('Fund YTD Target Values'!$1:$1000, MATCH($C1960,'Fund YTD Target Values'!$A:$A,0), MATCH($A1960,'Fund YTD Target Values'!$1:$1,0)),0)</f>
        <v>0</v>
      </c>
      <c r="S1960" s="91">
        <f>IFERROR(__xludf.DUMMYFUNCTION("IFERROR(sum(FILTER('Fund Investment Data'!$V:$V, 'Fund Investment Data'!$C:$C = $C1960, 'Fund Investment Data'!$A:$A &lt; $A1960)),0) + IFERROR(sum(FILTER('Fund Investment Data'!$V:$V, 'Fund Investment Data'!$C:$C = $C1960, 'Fund Investment Data'!$A:$A = $A1"&amp;"960, 'Fund Investment Data'!$B:$B &lt;= $B1960)),0)"),0.0)</f>
        <v>0</v>
      </c>
      <c r="T1960" s="32"/>
      <c r="U1960" s="32"/>
      <c r="V1960" s="32">
        <f>IFERROR(__xludf.DUMMYFUNCTION("$D1960 - IFERROR(FILTER($D:$D,$C:$C = $C1960, $A:$A = $A1960, $B:$B = $B1960 - 1),0)"),0.0)</f>
        <v>0</v>
      </c>
      <c r="W1960" s="93">
        <f>IFERROR(__xludf.DUMMYFUNCTION("$E1960 - IFERROR(FILTER($E:$E,$C:$C = $C1960, $A:$A = $A1960, $B:$B = $B1960 - 1),0)"),0.0)</f>
        <v>0</v>
      </c>
      <c r="X1960" s="91">
        <f>IFERROR(__xludf.DUMMYFUNCTION("iFERROR((FILTER('Fund Investment Data'!$Z:$Z, 'Fund Investment Data'!$C:$C = $C1960, 'Fund Investment Data'!$A:$A = $A1960 - 1, 'Fund Investment Data'!$B:$B = 12) + FILTER('Fund Investment Data'!$AB:$AB, 'Fund Investment Data'!$C:$C = $C1960, 'Fund Invest"&amp;"ment Data'!$A:$A = $A1960 - 1, 'Fund Investment Data'!$B:$B = 12)) * (1 + AVERAGE(FILTER('Inflation Data'!$C:$C,'Inflation Data'!$A:$A = ($A1960 - 2)))) * Parameters!$A$4,0)"),0.0)</f>
        <v>0</v>
      </c>
      <c r="Y1960" s="91">
        <f>IFERROR(__xludf.DUMMYFUNCTION("IFERROR((IFERROR(FILTER('Fund Investment Data'!$P:$P,'Fund Investment Data'!$C:$C = $C1960,'Fund Investment Data'!$A:$A = ($A1960 - 2), 'Fund Investment Data'!$B:$B = 12),0) - SUM(FILTER('Fund Investment Data'!$V:$V, 'Fund Investment Data'!$C:$C = $C1960,"&amp;" 'Fund Investment Data'!$A:$A = ($A1960 - 2), 'Fund Investment Data'!$B:$B &gt; 3)))  * Parameters!$B$4 * (1 - Parameters!$A$4),0)"),0.0)</f>
        <v>0</v>
      </c>
      <c r="Z1960" s="91">
        <f t="shared" si="24"/>
        <v>0</v>
      </c>
      <c r="AA1960" s="91">
        <f>IFERROR(__xludf.DUMMYFUNCTION("((IFERROR((SUM(FILTER('Fund Investment Data'!$V:$V, 'Fund Investment Data'!$C:$C = $C1960, 'Fund Investment Data'!$A:$A = $A1960 - 1, 'Fund Investment Data'!$B:$B &gt;= 4, 'Fund Investment Data'!$B:$B &lt;= ($B1960 + 5))) / 12) * ($B1960 - 3) * Parameters!$B$4,"&amp;" 0) + IF($B1960 &gt;= 9, IFERROR(SUM(FILTER('Fund Investment Data'!$V:$V, 'Fund Investment Data'!$C:$C = $C1960, 'Fund Investment Data'!$A:$A = $A1960, 'Fund Investment Data'!$B:$B &lt;= 3)) * Parameters!$B$4, 0),0)))"),0.0)</f>
        <v>0</v>
      </c>
      <c r="AB1960" s="32">
        <f>IFERROR(__xludf.DUMMYFUNCTION("IFERROR(((IFERROR(SUM(FILTER('Fund Investment Data'!$V:$V, 'Fund Investment Data'!$C:$C = $C1960, 'Fund Investment Data'!$A:$A = $A1960 - 2, 'Fund Investment Data'!$B:$B &gt;= 4)) * Parameters!$B$4,0) + IFERROR(SUM(FILTER('Fund Investment Data'!$V:$V, 'Fund "&amp;"Investment Data'!$C:$C = $C1960, 'Fund Investment Data'!$A:$A = $A1960 - 1, 'Fund Investment Data'!$B:$B &lt;= 3)) * Parameters!$B$4,0))),0)"),0.0)</f>
        <v>0</v>
      </c>
      <c r="AC1960" s="32">
        <f>IFERROR(__xludf.DUMMYFUNCTION("IFERROR(FILTER($AF:$AF,$C:$C = $C1960,$A:$A = $A1960 - 1,$B:$B = 12),0)"),0.0)</f>
        <v>0</v>
      </c>
      <c r="AD1960" s="32">
        <f t="shared" si="23"/>
        <v>0</v>
      </c>
      <c r="AE1960" s="32">
        <f t="shared" si="2"/>
        <v>0</v>
      </c>
      <c r="AF1960" s="32"/>
    </row>
    <row r="1961">
      <c r="A1961" s="86"/>
      <c r="B1961" s="87"/>
      <c r="C1961" s="88"/>
      <c r="D1961" s="104"/>
      <c r="E1961" s="104"/>
      <c r="F1961" s="104"/>
      <c r="G1961" s="104"/>
      <c r="H1961" s="104"/>
      <c r="I1961" s="104"/>
      <c r="J1961" s="104"/>
      <c r="K1961" s="32"/>
      <c r="L1961" s="32"/>
      <c r="M1961" s="32"/>
      <c r="N1961" s="32"/>
      <c r="O1961" s="106"/>
      <c r="P1961" s="91">
        <f>IFERROR(__xludf.DUMMYFUNCTION("IFERROR(sum(FILTER($D:$N,$C:$C = $C1961,$A:$A &lt; $A1961,$B:$B = 12)),0) + sum($D1961:$N1961)"),0.0)</f>
        <v>0</v>
      </c>
      <c r="Q1961" s="92">
        <f t="shared" si="1"/>
        <v>0</v>
      </c>
      <c r="R1961" s="91">
        <f t="array" ref="R1961">IFERROR(INDEX('Fund YTD Target Values'!$1:$1000, MATCH($C1961,'Fund YTD Target Values'!$A:$A,0), MATCH($A1961,'Fund YTD Target Values'!$1:$1,0)),0)</f>
        <v>0</v>
      </c>
      <c r="S1961" s="91">
        <f>IFERROR(__xludf.DUMMYFUNCTION("IFERROR(sum(FILTER('Fund Investment Data'!$V:$V, 'Fund Investment Data'!$C:$C = $C1961, 'Fund Investment Data'!$A:$A &lt; $A1961)),0) + IFERROR(sum(FILTER('Fund Investment Data'!$V:$V, 'Fund Investment Data'!$C:$C = $C1961, 'Fund Investment Data'!$A:$A = $A1"&amp;"961, 'Fund Investment Data'!$B:$B &lt;= $B1961)),0)"),0.0)</f>
        <v>0</v>
      </c>
      <c r="T1961" s="32"/>
      <c r="U1961" s="32"/>
      <c r="V1961" s="32">
        <f>IFERROR(__xludf.DUMMYFUNCTION("$D1961 - IFERROR(FILTER($D:$D,$C:$C = $C1961, $A:$A = $A1961, $B:$B = $B1961 - 1),0)"),0.0)</f>
        <v>0</v>
      </c>
      <c r="W1961" s="93">
        <f>IFERROR(__xludf.DUMMYFUNCTION("$E1961 - IFERROR(FILTER($E:$E,$C:$C = $C1961, $A:$A = $A1961, $B:$B = $B1961 - 1),0)"),0.0)</f>
        <v>0</v>
      </c>
      <c r="X1961" s="91">
        <f>IFERROR(__xludf.DUMMYFUNCTION("iFERROR((FILTER('Fund Investment Data'!$Z:$Z, 'Fund Investment Data'!$C:$C = $C1961, 'Fund Investment Data'!$A:$A = $A1961 - 1, 'Fund Investment Data'!$B:$B = 12) + FILTER('Fund Investment Data'!$AB:$AB, 'Fund Investment Data'!$C:$C = $C1961, 'Fund Invest"&amp;"ment Data'!$A:$A = $A1961 - 1, 'Fund Investment Data'!$B:$B = 12)) * (1 + AVERAGE(FILTER('Inflation Data'!$C:$C,'Inflation Data'!$A:$A = ($A1961 - 2)))) * Parameters!$A$4,0)"),0.0)</f>
        <v>0</v>
      </c>
      <c r="Y1961" s="91">
        <f>IFERROR(__xludf.DUMMYFUNCTION("IFERROR((IFERROR(FILTER('Fund Investment Data'!$P:$P,'Fund Investment Data'!$C:$C = $C1961,'Fund Investment Data'!$A:$A = ($A1961 - 2), 'Fund Investment Data'!$B:$B = 12),0) - SUM(FILTER('Fund Investment Data'!$V:$V, 'Fund Investment Data'!$C:$C = $C1961,"&amp;" 'Fund Investment Data'!$A:$A = ($A1961 - 2), 'Fund Investment Data'!$B:$B &gt; 3)))  * Parameters!$B$4 * (1 - Parameters!$A$4),0)"),0.0)</f>
        <v>0</v>
      </c>
      <c r="Z1961" s="91">
        <f t="shared" si="24"/>
        <v>0</v>
      </c>
      <c r="AA1961" s="91">
        <f>IFERROR(__xludf.DUMMYFUNCTION("((IFERROR((SUM(FILTER('Fund Investment Data'!$V:$V, 'Fund Investment Data'!$C:$C = $C1961, 'Fund Investment Data'!$A:$A = $A1961 - 1, 'Fund Investment Data'!$B:$B &gt;= 4, 'Fund Investment Data'!$B:$B &lt;= ($B1961 + 5))) / 12) * ($B1961 - 3) * Parameters!$B$4,"&amp;" 0) + IF($B1961 &gt;= 9, IFERROR(SUM(FILTER('Fund Investment Data'!$V:$V, 'Fund Investment Data'!$C:$C = $C1961, 'Fund Investment Data'!$A:$A = $A1961, 'Fund Investment Data'!$B:$B &lt;= 3)) * Parameters!$B$4, 0),0)))"),0.0)</f>
        <v>0</v>
      </c>
      <c r="AB1961" s="32">
        <f>IFERROR(__xludf.DUMMYFUNCTION("IFERROR(((IFERROR(SUM(FILTER('Fund Investment Data'!$V:$V, 'Fund Investment Data'!$C:$C = $C1961, 'Fund Investment Data'!$A:$A = $A1961 - 2, 'Fund Investment Data'!$B:$B &gt;= 4)) * Parameters!$B$4,0) + IFERROR(SUM(FILTER('Fund Investment Data'!$V:$V, 'Fund "&amp;"Investment Data'!$C:$C = $C1961, 'Fund Investment Data'!$A:$A = $A1961 - 1, 'Fund Investment Data'!$B:$B &lt;= 3)) * Parameters!$B$4,0))),0)"),0.0)</f>
        <v>0</v>
      </c>
      <c r="AC1961" s="32">
        <f>IFERROR(__xludf.DUMMYFUNCTION("IFERROR(FILTER($AF:$AF,$C:$C = $C1961,$A:$A = $A1961 - 1,$B:$B = 12),0)"),0.0)</f>
        <v>0</v>
      </c>
      <c r="AD1961" s="32">
        <f t="shared" si="23"/>
        <v>0</v>
      </c>
      <c r="AE1961" s="32">
        <f t="shared" si="2"/>
        <v>0</v>
      </c>
      <c r="AF1961" s="32"/>
    </row>
    <row r="1962">
      <c r="A1962" s="86"/>
      <c r="B1962" s="87"/>
      <c r="C1962" s="88"/>
      <c r="D1962" s="104"/>
      <c r="E1962" s="104"/>
      <c r="F1962" s="104"/>
      <c r="G1962" s="104"/>
      <c r="H1962" s="104"/>
      <c r="I1962" s="104"/>
      <c r="J1962" s="104"/>
      <c r="K1962" s="32"/>
      <c r="L1962" s="32"/>
      <c r="M1962" s="32"/>
      <c r="N1962" s="32"/>
      <c r="O1962" s="106"/>
      <c r="P1962" s="91">
        <f>IFERROR(__xludf.DUMMYFUNCTION("IFERROR(sum(FILTER($D:$N,$C:$C = $C1962,$A:$A &lt; $A1962,$B:$B = 12)),0) + sum($D1962:$N1962)"),0.0)</f>
        <v>0</v>
      </c>
      <c r="Q1962" s="92">
        <f t="shared" si="1"/>
        <v>0</v>
      </c>
      <c r="R1962" s="91">
        <f t="array" ref="R1962">IFERROR(INDEX('Fund YTD Target Values'!$1:$1000, MATCH($C1962,'Fund YTD Target Values'!$A:$A,0), MATCH($A1962,'Fund YTD Target Values'!$1:$1,0)),0)</f>
        <v>0</v>
      </c>
      <c r="S1962" s="91">
        <f>IFERROR(__xludf.DUMMYFUNCTION("IFERROR(sum(FILTER('Fund Investment Data'!$V:$V, 'Fund Investment Data'!$C:$C = $C1962, 'Fund Investment Data'!$A:$A &lt; $A1962)),0) + IFERROR(sum(FILTER('Fund Investment Data'!$V:$V, 'Fund Investment Data'!$C:$C = $C1962, 'Fund Investment Data'!$A:$A = $A1"&amp;"962, 'Fund Investment Data'!$B:$B &lt;= $B1962)),0)"),0.0)</f>
        <v>0</v>
      </c>
      <c r="T1962" s="32"/>
      <c r="U1962" s="32"/>
      <c r="V1962" s="32">
        <f>IFERROR(__xludf.DUMMYFUNCTION("$D1962 - IFERROR(FILTER($D:$D,$C:$C = $C1962, $A:$A = $A1962, $B:$B = $B1962 - 1),0)"),0.0)</f>
        <v>0</v>
      </c>
      <c r="W1962" s="93">
        <f>IFERROR(__xludf.DUMMYFUNCTION("$E1962 - IFERROR(FILTER($E:$E,$C:$C = $C1962, $A:$A = $A1962, $B:$B = $B1962 - 1),0)"),0.0)</f>
        <v>0</v>
      </c>
      <c r="X1962" s="91">
        <f>IFERROR(__xludf.DUMMYFUNCTION("iFERROR((FILTER('Fund Investment Data'!$Z:$Z, 'Fund Investment Data'!$C:$C = $C1962, 'Fund Investment Data'!$A:$A = $A1962 - 1, 'Fund Investment Data'!$B:$B = 12) + FILTER('Fund Investment Data'!$AB:$AB, 'Fund Investment Data'!$C:$C = $C1962, 'Fund Invest"&amp;"ment Data'!$A:$A = $A1962 - 1, 'Fund Investment Data'!$B:$B = 12)) * (1 + AVERAGE(FILTER('Inflation Data'!$C:$C,'Inflation Data'!$A:$A = ($A1962 - 2)))) * Parameters!$A$4,0)"),0.0)</f>
        <v>0</v>
      </c>
      <c r="Y1962" s="91">
        <f>IFERROR(__xludf.DUMMYFUNCTION("IFERROR((IFERROR(FILTER('Fund Investment Data'!$P:$P,'Fund Investment Data'!$C:$C = $C1962,'Fund Investment Data'!$A:$A = ($A1962 - 2), 'Fund Investment Data'!$B:$B = 12),0) - SUM(FILTER('Fund Investment Data'!$V:$V, 'Fund Investment Data'!$C:$C = $C1962,"&amp;" 'Fund Investment Data'!$A:$A = ($A1962 - 2), 'Fund Investment Data'!$B:$B &gt; 3)))  * Parameters!$B$4 * (1 - Parameters!$A$4),0)"),0.0)</f>
        <v>0</v>
      </c>
      <c r="Z1962" s="91">
        <f t="shared" si="24"/>
        <v>0</v>
      </c>
      <c r="AA1962" s="91">
        <f>IFERROR(__xludf.DUMMYFUNCTION("((IFERROR((SUM(FILTER('Fund Investment Data'!$V:$V, 'Fund Investment Data'!$C:$C = $C1962, 'Fund Investment Data'!$A:$A = $A1962 - 1, 'Fund Investment Data'!$B:$B &gt;= 4, 'Fund Investment Data'!$B:$B &lt;= ($B1962 + 5))) / 12) * ($B1962 - 3) * Parameters!$B$4,"&amp;" 0) + IF($B1962 &gt;= 9, IFERROR(SUM(FILTER('Fund Investment Data'!$V:$V, 'Fund Investment Data'!$C:$C = $C1962, 'Fund Investment Data'!$A:$A = $A1962, 'Fund Investment Data'!$B:$B &lt;= 3)) * Parameters!$B$4, 0),0)))"),0.0)</f>
        <v>0</v>
      </c>
      <c r="AB1962" s="32">
        <f>IFERROR(__xludf.DUMMYFUNCTION("IFERROR(((IFERROR(SUM(FILTER('Fund Investment Data'!$V:$V, 'Fund Investment Data'!$C:$C = $C1962, 'Fund Investment Data'!$A:$A = $A1962 - 2, 'Fund Investment Data'!$B:$B &gt;= 4)) * Parameters!$B$4,0) + IFERROR(SUM(FILTER('Fund Investment Data'!$V:$V, 'Fund "&amp;"Investment Data'!$C:$C = $C1962, 'Fund Investment Data'!$A:$A = $A1962 - 1, 'Fund Investment Data'!$B:$B &lt;= 3)) * Parameters!$B$4,0))),0)"),0.0)</f>
        <v>0</v>
      </c>
      <c r="AC1962" s="32">
        <f>IFERROR(__xludf.DUMMYFUNCTION("IFERROR(FILTER($AF:$AF,$C:$C = $C1962,$A:$A = $A1962 - 1,$B:$B = 12),0)"),0.0)</f>
        <v>0</v>
      </c>
      <c r="AD1962" s="32">
        <f t="shared" si="23"/>
        <v>0</v>
      </c>
      <c r="AE1962" s="32">
        <f t="shared" si="2"/>
        <v>0</v>
      </c>
      <c r="AF1962" s="32"/>
    </row>
    <row r="1963">
      <c r="A1963" s="86"/>
      <c r="B1963" s="87"/>
      <c r="C1963" s="88"/>
      <c r="D1963" s="104"/>
      <c r="E1963" s="104"/>
      <c r="F1963" s="104"/>
      <c r="G1963" s="104"/>
      <c r="H1963" s="104"/>
      <c r="I1963" s="104"/>
      <c r="J1963" s="104"/>
      <c r="K1963" s="32"/>
      <c r="L1963" s="32"/>
      <c r="M1963" s="32"/>
      <c r="N1963" s="32"/>
      <c r="O1963" s="106"/>
      <c r="P1963" s="91">
        <f>IFERROR(__xludf.DUMMYFUNCTION("IFERROR(sum(FILTER($D:$N,$C:$C = $C1963,$A:$A &lt; $A1963,$B:$B = 12)),0) + sum($D1963:$N1963)"),0.0)</f>
        <v>0</v>
      </c>
      <c r="Q1963" s="92">
        <f t="shared" si="1"/>
        <v>0</v>
      </c>
      <c r="R1963" s="91">
        <f t="array" ref="R1963">IFERROR(INDEX('Fund YTD Target Values'!$1:$1000, MATCH($C1963,'Fund YTD Target Values'!$A:$A,0), MATCH($A1963,'Fund YTD Target Values'!$1:$1,0)),0)</f>
        <v>0</v>
      </c>
      <c r="S1963" s="91">
        <f>IFERROR(__xludf.DUMMYFUNCTION("IFERROR(sum(FILTER('Fund Investment Data'!$V:$V, 'Fund Investment Data'!$C:$C = $C1963, 'Fund Investment Data'!$A:$A &lt; $A1963)),0) + IFERROR(sum(FILTER('Fund Investment Data'!$V:$V, 'Fund Investment Data'!$C:$C = $C1963, 'Fund Investment Data'!$A:$A = $A1"&amp;"963, 'Fund Investment Data'!$B:$B &lt;= $B1963)),0)"),0.0)</f>
        <v>0</v>
      </c>
      <c r="T1963" s="32"/>
      <c r="U1963" s="32"/>
      <c r="V1963" s="32">
        <f>IFERROR(__xludf.DUMMYFUNCTION("$D1963 - IFERROR(FILTER($D:$D,$C:$C = $C1963, $A:$A = $A1963, $B:$B = $B1963 - 1),0)"),0.0)</f>
        <v>0</v>
      </c>
      <c r="W1963" s="93">
        <f>IFERROR(__xludf.DUMMYFUNCTION("$E1963 - IFERROR(FILTER($E:$E,$C:$C = $C1963, $A:$A = $A1963, $B:$B = $B1963 - 1),0)"),0.0)</f>
        <v>0</v>
      </c>
      <c r="X1963" s="91">
        <f>IFERROR(__xludf.DUMMYFUNCTION("iFERROR((FILTER('Fund Investment Data'!$Z:$Z, 'Fund Investment Data'!$C:$C = $C1963, 'Fund Investment Data'!$A:$A = $A1963 - 1, 'Fund Investment Data'!$B:$B = 12) + FILTER('Fund Investment Data'!$AB:$AB, 'Fund Investment Data'!$C:$C = $C1963, 'Fund Invest"&amp;"ment Data'!$A:$A = $A1963 - 1, 'Fund Investment Data'!$B:$B = 12)) * (1 + AVERAGE(FILTER('Inflation Data'!$C:$C,'Inflation Data'!$A:$A = ($A1963 - 2)))) * Parameters!$A$4,0)"),0.0)</f>
        <v>0</v>
      </c>
      <c r="Y1963" s="91">
        <f>IFERROR(__xludf.DUMMYFUNCTION("IFERROR((IFERROR(FILTER('Fund Investment Data'!$P:$P,'Fund Investment Data'!$C:$C = $C1963,'Fund Investment Data'!$A:$A = ($A1963 - 2), 'Fund Investment Data'!$B:$B = 12),0) - SUM(FILTER('Fund Investment Data'!$V:$V, 'Fund Investment Data'!$C:$C = $C1963,"&amp;" 'Fund Investment Data'!$A:$A = ($A1963 - 2), 'Fund Investment Data'!$B:$B &gt; 3)))  * Parameters!$B$4 * (1 - Parameters!$A$4),0)"),0.0)</f>
        <v>0</v>
      </c>
      <c r="Z1963" s="91">
        <f t="shared" si="24"/>
        <v>0</v>
      </c>
      <c r="AA1963" s="91">
        <f>IFERROR(__xludf.DUMMYFUNCTION("((IFERROR((SUM(FILTER('Fund Investment Data'!$V:$V, 'Fund Investment Data'!$C:$C = $C1963, 'Fund Investment Data'!$A:$A = $A1963 - 1, 'Fund Investment Data'!$B:$B &gt;= 4, 'Fund Investment Data'!$B:$B &lt;= ($B1963 + 5))) / 12) * ($B1963 - 3) * Parameters!$B$4,"&amp;" 0) + IF($B1963 &gt;= 9, IFERROR(SUM(FILTER('Fund Investment Data'!$V:$V, 'Fund Investment Data'!$C:$C = $C1963, 'Fund Investment Data'!$A:$A = $A1963, 'Fund Investment Data'!$B:$B &lt;= 3)) * Parameters!$B$4, 0),0)))"),0.0)</f>
        <v>0</v>
      </c>
      <c r="AB1963" s="32">
        <f>IFERROR(__xludf.DUMMYFUNCTION("IFERROR(((IFERROR(SUM(FILTER('Fund Investment Data'!$V:$V, 'Fund Investment Data'!$C:$C = $C1963, 'Fund Investment Data'!$A:$A = $A1963 - 2, 'Fund Investment Data'!$B:$B &gt;= 4)) * Parameters!$B$4,0) + IFERROR(SUM(FILTER('Fund Investment Data'!$V:$V, 'Fund "&amp;"Investment Data'!$C:$C = $C1963, 'Fund Investment Data'!$A:$A = $A1963 - 1, 'Fund Investment Data'!$B:$B &lt;= 3)) * Parameters!$B$4,0))),0)"),0.0)</f>
        <v>0</v>
      </c>
      <c r="AC1963" s="32">
        <f>IFERROR(__xludf.DUMMYFUNCTION("IFERROR(FILTER($AF:$AF,$C:$C = $C1963,$A:$A = $A1963 - 1,$B:$B = 12),0)"),0.0)</f>
        <v>0</v>
      </c>
      <c r="AD1963" s="32">
        <f t="shared" si="23"/>
        <v>0</v>
      </c>
      <c r="AE1963" s="32">
        <f t="shared" si="2"/>
        <v>0</v>
      </c>
      <c r="AF1963" s="32"/>
    </row>
    <row r="1964">
      <c r="A1964" s="86"/>
      <c r="B1964" s="87"/>
      <c r="C1964" s="88"/>
      <c r="D1964" s="104"/>
      <c r="E1964" s="104"/>
      <c r="F1964" s="104"/>
      <c r="G1964" s="104"/>
      <c r="H1964" s="104"/>
      <c r="I1964" s="104"/>
      <c r="J1964" s="104"/>
      <c r="K1964" s="32"/>
      <c r="L1964" s="32"/>
      <c r="M1964" s="32"/>
      <c r="N1964" s="32"/>
      <c r="O1964" s="106"/>
      <c r="P1964" s="91">
        <f>IFERROR(__xludf.DUMMYFUNCTION("IFERROR(sum(FILTER($D:$N,$C:$C = $C1964,$A:$A &lt; $A1964,$B:$B = 12)),0) + sum($D1964:$N1964)"),0.0)</f>
        <v>0</v>
      </c>
      <c r="Q1964" s="92">
        <f t="shared" si="1"/>
        <v>0</v>
      </c>
      <c r="R1964" s="91">
        <f t="array" ref="R1964">IFERROR(INDEX('Fund YTD Target Values'!$1:$1000, MATCH($C1964,'Fund YTD Target Values'!$A:$A,0), MATCH($A1964,'Fund YTD Target Values'!$1:$1,0)),0)</f>
        <v>0</v>
      </c>
      <c r="S1964" s="91">
        <f>IFERROR(__xludf.DUMMYFUNCTION("IFERROR(sum(FILTER('Fund Investment Data'!$V:$V, 'Fund Investment Data'!$C:$C = $C1964, 'Fund Investment Data'!$A:$A &lt; $A1964)),0) + IFERROR(sum(FILTER('Fund Investment Data'!$V:$V, 'Fund Investment Data'!$C:$C = $C1964, 'Fund Investment Data'!$A:$A = $A1"&amp;"964, 'Fund Investment Data'!$B:$B &lt;= $B1964)),0)"),0.0)</f>
        <v>0</v>
      </c>
      <c r="T1964" s="32"/>
      <c r="U1964" s="32"/>
      <c r="V1964" s="32">
        <f>IFERROR(__xludf.DUMMYFUNCTION("$D1964 - IFERROR(FILTER($D:$D,$C:$C = $C1964, $A:$A = $A1964, $B:$B = $B1964 - 1),0)"),0.0)</f>
        <v>0</v>
      </c>
      <c r="W1964" s="93">
        <f>IFERROR(__xludf.DUMMYFUNCTION("$E1964 - IFERROR(FILTER($E:$E,$C:$C = $C1964, $A:$A = $A1964, $B:$B = $B1964 - 1),0)"),0.0)</f>
        <v>0</v>
      </c>
      <c r="X1964" s="91">
        <f>IFERROR(__xludf.DUMMYFUNCTION("iFERROR((FILTER('Fund Investment Data'!$Z:$Z, 'Fund Investment Data'!$C:$C = $C1964, 'Fund Investment Data'!$A:$A = $A1964 - 1, 'Fund Investment Data'!$B:$B = 12) + FILTER('Fund Investment Data'!$AB:$AB, 'Fund Investment Data'!$C:$C = $C1964, 'Fund Invest"&amp;"ment Data'!$A:$A = $A1964 - 1, 'Fund Investment Data'!$B:$B = 12)) * (1 + AVERAGE(FILTER('Inflation Data'!$C:$C,'Inflation Data'!$A:$A = ($A1964 - 2)))) * Parameters!$A$4,0)"),0.0)</f>
        <v>0</v>
      </c>
      <c r="Y1964" s="91">
        <f>IFERROR(__xludf.DUMMYFUNCTION("IFERROR((IFERROR(FILTER('Fund Investment Data'!$P:$P,'Fund Investment Data'!$C:$C = $C1964,'Fund Investment Data'!$A:$A = ($A1964 - 2), 'Fund Investment Data'!$B:$B = 12),0) - SUM(FILTER('Fund Investment Data'!$V:$V, 'Fund Investment Data'!$C:$C = $C1964,"&amp;" 'Fund Investment Data'!$A:$A = ($A1964 - 2), 'Fund Investment Data'!$B:$B &gt; 3)))  * Parameters!$B$4 * (1 - Parameters!$A$4),0)"),0.0)</f>
        <v>0</v>
      </c>
      <c r="Z1964" s="91">
        <f t="shared" si="24"/>
        <v>0</v>
      </c>
      <c r="AA1964" s="91">
        <f>IFERROR(__xludf.DUMMYFUNCTION("((IFERROR((SUM(FILTER('Fund Investment Data'!$V:$V, 'Fund Investment Data'!$C:$C = $C1964, 'Fund Investment Data'!$A:$A = $A1964 - 1, 'Fund Investment Data'!$B:$B &gt;= 4, 'Fund Investment Data'!$B:$B &lt;= ($B1964 + 5))) / 12) * ($B1964 - 3) * Parameters!$B$4,"&amp;" 0) + IF($B1964 &gt;= 9, IFERROR(SUM(FILTER('Fund Investment Data'!$V:$V, 'Fund Investment Data'!$C:$C = $C1964, 'Fund Investment Data'!$A:$A = $A1964, 'Fund Investment Data'!$B:$B &lt;= 3)) * Parameters!$B$4, 0),0)))"),0.0)</f>
        <v>0</v>
      </c>
      <c r="AB1964" s="32">
        <f>IFERROR(__xludf.DUMMYFUNCTION("IFERROR(((IFERROR(SUM(FILTER('Fund Investment Data'!$V:$V, 'Fund Investment Data'!$C:$C = $C1964, 'Fund Investment Data'!$A:$A = $A1964 - 2, 'Fund Investment Data'!$B:$B &gt;= 4)) * Parameters!$B$4,0) + IFERROR(SUM(FILTER('Fund Investment Data'!$V:$V, 'Fund "&amp;"Investment Data'!$C:$C = $C1964, 'Fund Investment Data'!$A:$A = $A1964 - 1, 'Fund Investment Data'!$B:$B &lt;= 3)) * Parameters!$B$4,0))),0)"),0.0)</f>
        <v>0</v>
      </c>
      <c r="AC1964" s="32">
        <f>IFERROR(__xludf.DUMMYFUNCTION("IFERROR(FILTER($AF:$AF,$C:$C = $C1964,$A:$A = $A1964 - 1,$B:$B = 12),0)"),0.0)</f>
        <v>0</v>
      </c>
      <c r="AD1964" s="32">
        <f t="shared" si="23"/>
        <v>0</v>
      </c>
      <c r="AE1964" s="32">
        <f t="shared" si="2"/>
        <v>0</v>
      </c>
      <c r="AF1964" s="32"/>
    </row>
    <row r="1965">
      <c r="A1965" s="86"/>
      <c r="B1965" s="87"/>
      <c r="C1965" s="88"/>
      <c r="D1965" s="104"/>
      <c r="E1965" s="104"/>
      <c r="F1965" s="104"/>
      <c r="G1965" s="104"/>
      <c r="H1965" s="104"/>
      <c r="I1965" s="104"/>
      <c r="J1965" s="104"/>
      <c r="K1965" s="32"/>
      <c r="L1965" s="32"/>
      <c r="M1965" s="32"/>
      <c r="N1965" s="32"/>
      <c r="O1965" s="106"/>
      <c r="P1965" s="91">
        <f>IFERROR(__xludf.DUMMYFUNCTION("IFERROR(sum(FILTER($D:$N,$C:$C = $C1965,$A:$A &lt; $A1965,$B:$B = 12)),0) + sum($D1965:$N1965)"),0.0)</f>
        <v>0</v>
      </c>
      <c r="Q1965" s="92">
        <f t="shared" si="1"/>
        <v>0</v>
      </c>
      <c r="R1965" s="91">
        <f t="array" ref="R1965">IFERROR(INDEX('Fund YTD Target Values'!$1:$1000, MATCH($C1965,'Fund YTD Target Values'!$A:$A,0), MATCH($A1965,'Fund YTD Target Values'!$1:$1,0)),0)</f>
        <v>0</v>
      </c>
      <c r="S1965" s="91">
        <f>IFERROR(__xludf.DUMMYFUNCTION("IFERROR(sum(FILTER('Fund Investment Data'!$V:$V, 'Fund Investment Data'!$C:$C = $C1965, 'Fund Investment Data'!$A:$A &lt; $A1965)),0) + IFERROR(sum(FILTER('Fund Investment Data'!$V:$V, 'Fund Investment Data'!$C:$C = $C1965, 'Fund Investment Data'!$A:$A = $A1"&amp;"965, 'Fund Investment Data'!$B:$B &lt;= $B1965)),0)"),0.0)</f>
        <v>0</v>
      </c>
      <c r="T1965" s="32"/>
      <c r="U1965" s="32"/>
      <c r="V1965" s="32">
        <f>IFERROR(__xludf.DUMMYFUNCTION("$D1965 - IFERROR(FILTER($D:$D,$C:$C = $C1965, $A:$A = $A1965, $B:$B = $B1965 - 1),0)"),0.0)</f>
        <v>0</v>
      </c>
      <c r="W1965" s="93">
        <f>IFERROR(__xludf.DUMMYFUNCTION("$E1965 - IFERROR(FILTER($E:$E,$C:$C = $C1965, $A:$A = $A1965, $B:$B = $B1965 - 1),0)"),0.0)</f>
        <v>0</v>
      </c>
      <c r="X1965" s="91">
        <f>IFERROR(__xludf.DUMMYFUNCTION("iFERROR((FILTER('Fund Investment Data'!$Z:$Z, 'Fund Investment Data'!$C:$C = $C1965, 'Fund Investment Data'!$A:$A = $A1965 - 1, 'Fund Investment Data'!$B:$B = 12) + FILTER('Fund Investment Data'!$AB:$AB, 'Fund Investment Data'!$C:$C = $C1965, 'Fund Invest"&amp;"ment Data'!$A:$A = $A1965 - 1, 'Fund Investment Data'!$B:$B = 12)) * (1 + AVERAGE(FILTER('Inflation Data'!$C:$C,'Inflation Data'!$A:$A = ($A1965 - 2)))) * Parameters!$A$4,0)"),0.0)</f>
        <v>0</v>
      </c>
      <c r="Y1965" s="91">
        <f>IFERROR(__xludf.DUMMYFUNCTION("IFERROR((IFERROR(FILTER('Fund Investment Data'!$P:$P,'Fund Investment Data'!$C:$C = $C1965,'Fund Investment Data'!$A:$A = ($A1965 - 2), 'Fund Investment Data'!$B:$B = 12),0) - SUM(FILTER('Fund Investment Data'!$V:$V, 'Fund Investment Data'!$C:$C = $C1965,"&amp;" 'Fund Investment Data'!$A:$A = ($A1965 - 2), 'Fund Investment Data'!$B:$B &gt; 3)))  * Parameters!$B$4 * (1 - Parameters!$A$4),0)"),0.0)</f>
        <v>0</v>
      </c>
      <c r="Z1965" s="91">
        <f t="shared" si="24"/>
        <v>0</v>
      </c>
      <c r="AA1965" s="91">
        <f>IFERROR(__xludf.DUMMYFUNCTION("((IFERROR((SUM(FILTER('Fund Investment Data'!$V:$V, 'Fund Investment Data'!$C:$C = $C1965, 'Fund Investment Data'!$A:$A = $A1965 - 1, 'Fund Investment Data'!$B:$B &gt;= 4, 'Fund Investment Data'!$B:$B &lt;= ($B1965 + 5))) / 12) * ($B1965 - 3) * Parameters!$B$4,"&amp;" 0) + IF($B1965 &gt;= 9, IFERROR(SUM(FILTER('Fund Investment Data'!$V:$V, 'Fund Investment Data'!$C:$C = $C1965, 'Fund Investment Data'!$A:$A = $A1965, 'Fund Investment Data'!$B:$B &lt;= 3)) * Parameters!$B$4, 0),0)))"),0.0)</f>
        <v>0</v>
      </c>
      <c r="AB1965" s="32">
        <f>IFERROR(__xludf.DUMMYFUNCTION("IFERROR(((IFERROR(SUM(FILTER('Fund Investment Data'!$V:$V, 'Fund Investment Data'!$C:$C = $C1965, 'Fund Investment Data'!$A:$A = $A1965 - 2, 'Fund Investment Data'!$B:$B &gt;= 4)) * Parameters!$B$4,0) + IFERROR(SUM(FILTER('Fund Investment Data'!$V:$V, 'Fund "&amp;"Investment Data'!$C:$C = $C1965, 'Fund Investment Data'!$A:$A = $A1965 - 1, 'Fund Investment Data'!$B:$B &lt;= 3)) * Parameters!$B$4,0))),0)"),0.0)</f>
        <v>0</v>
      </c>
      <c r="AC1965" s="32">
        <f>IFERROR(__xludf.DUMMYFUNCTION("IFERROR(FILTER($AF:$AF,$C:$C = $C1965,$A:$A = $A1965 - 1,$B:$B = 12),0)"),0.0)</f>
        <v>0</v>
      </c>
      <c r="AD1965" s="32">
        <f t="shared" si="23"/>
        <v>0</v>
      </c>
      <c r="AE1965" s="32">
        <f t="shared" si="2"/>
        <v>0</v>
      </c>
      <c r="AF1965" s="32"/>
    </row>
    <row r="1966">
      <c r="A1966" s="86"/>
      <c r="B1966" s="87"/>
      <c r="C1966" s="88"/>
      <c r="D1966" s="104"/>
      <c r="E1966" s="104"/>
      <c r="F1966" s="104"/>
      <c r="G1966" s="104"/>
      <c r="H1966" s="104"/>
      <c r="I1966" s="104"/>
      <c r="J1966" s="104"/>
      <c r="K1966" s="32"/>
      <c r="L1966" s="32"/>
      <c r="M1966" s="32"/>
      <c r="N1966" s="32"/>
      <c r="O1966" s="106"/>
      <c r="P1966" s="91">
        <f>IFERROR(__xludf.DUMMYFUNCTION("IFERROR(sum(FILTER($D:$N,$C:$C = $C1966,$A:$A &lt; $A1966,$B:$B = 12)),0) + sum($D1966:$N1966)"),0.0)</f>
        <v>0</v>
      </c>
      <c r="Q1966" s="92">
        <f t="shared" si="1"/>
        <v>0</v>
      </c>
      <c r="R1966" s="91">
        <f t="array" ref="R1966">IFERROR(INDEX('Fund YTD Target Values'!$1:$1000, MATCH($C1966,'Fund YTD Target Values'!$A:$A,0), MATCH($A1966,'Fund YTD Target Values'!$1:$1,0)),0)</f>
        <v>0</v>
      </c>
      <c r="S1966" s="91">
        <f>IFERROR(__xludf.DUMMYFUNCTION("IFERROR(sum(FILTER('Fund Investment Data'!$V:$V, 'Fund Investment Data'!$C:$C = $C1966, 'Fund Investment Data'!$A:$A &lt; $A1966)),0) + IFERROR(sum(FILTER('Fund Investment Data'!$V:$V, 'Fund Investment Data'!$C:$C = $C1966, 'Fund Investment Data'!$A:$A = $A1"&amp;"966, 'Fund Investment Data'!$B:$B &lt;= $B1966)),0)"),0.0)</f>
        <v>0</v>
      </c>
      <c r="T1966" s="32"/>
      <c r="U1966" s="32"/>
      <c r="V1966" s="32">
        <f>IFERROR(__xludf.DUMMYFUNCTION("$D1966 - IFERROR(FILTER($D:$D,$C:$C = $C1966, $A:$A = $A1966, $B:$B = $B1966 - 1),0)"),0.0)</f>
        <v>0</v>
      </c>
      <c r="W1966" s="93">
        <f>IFERROR(__xludf.DUMMYFUNCTION("$E1966 - IFERROR(FILTER($E:$E,$C:$C = $C1966, $A:$A = $A1966, $B:$B = $B1966 - 1),0)"),0.0)</f>
        <v>0</v>
      </c>
      <c r="X1966" s="91">
        <f>IFERROR(__xludf.DUMMYFUNCTION("iFERROR((FILTER('Fund Investment Data'!$Z:$Z, 'Fund Investment Data'!$C:$C = $C1966, 'Fund Investment Data'!$A:$A = $A1966 - 1, 'Fund Investment Data'!$B:$B = 12) + FILTER('Fund Investment Data'!$AB:$AB, 'Fund Investment Data'!$C:$C = $C1966, 'Fund Invest"&amp;"ment Data'!$A:$A = $A1966 - 1, 'Fund Investment Data'!$B:$B = 12)) * (1 + AVERAGE(FILTER('Inflation Data'!$C:$C,'Inflation Data'!$A:$A = ($A1966 - 2)))) * Parameters!$A$4,0)"),0.0)</f>
        <v>0</v>
      </c>
      <c r="Y1966" s="91">
        <f>IFERROR(__xludf.DUMMYFUNCTION("IFERROR((IFERROR(FILTER('Fund Investment Data'!$P:$P,'Fund Investment Data'!$C:$C = $C1966,'Fund Investment Data'!$A:$A = ($A1966 - 2), 'Fund Investment Data'!$B:$B = 12),0) - SUM(FILTER('Fund Investment Data'!$V:$V, 'Fund Investment Data'!$C:$C = $C1966,"&amp;" 'Fund Investment Data'!$A:$A = ($A1966 - 2), 'Fund Investment Data'!$B:$B &gt; 3)))  * Parameters!$B$4 * (1 - Parameters!$A$4),0)"),0.0)</f>
        <v>0</v>
      </c>
      <c r="Z1966" s="91">
        <f t="shared" si="24"/>
        <v>0</v>
      </c>
      <c r="AA1966" s="91">
        <f>IFERROR(__xludf.DUMMYFUNCTION("((IFERROR((SUM(FILTER('Fund Investment Data'!$V:$V, 'Fund Investment Data'!$C:$C = $C1966, 'Fund Investment Data'!$A:$A = $A1966 - 1, 'Fund Investment Data'!$B:$B &gt;= 4, 'Fund Investment Data'!$B:$B &lt;= ($B1966 + 5))) / 12) * ($B1966 - 3) * Parameters!$B$4,"&amp;" 0) + IF($B1966 &gt;= 9, IFERROR(SUM(FILTER('Fund Investment Data'!$V:$V, 'Fund Investment Data'!$C:$C = $C1966, 'Fund Investment Data'!$A:$A = $A1966, 'Fund Investment Data'!$B:$B &lt;= 3)) * Parameters!$B$4, 0),0)))"),0.0)</f>
        <v>0</v>
      </c>
      <c r="AB1966" s="32">
        <f>IFERROR(__xludf.DUMMYFUNCTION("IFERROR(((IFERROR(SUM(FILTER('Fund Investment Data'!$V:$V, 'Fund Investment Data'!$C:$C = $C1966, 'Fund Investment Data'!$A:$A = $A1966 - 2, 'Fund Investment Data'!$B:$B &gt;= 4)) * Parameters!$B$4,0) + IFERROR(SUM(FILTER('Fund Investment Data'!$V:$V, 'Fund "&amp;"Investment Data'!$C:$C = $C1966, 'Fund Investment Data'!$A:$A = $A1966 - 1, 'Fund Investment Data'!$B:$B &lt;= 3)) * Parameters!$B$4,0))),0)"),0.0)</f>
        <v>0</v>
      </c>
      <c r="AC1966" s="32">
        <f>IFERROR(__xludf.DUMMYFUNCTION("IFERROR(FILTER($AF:$AF,$C:$C = $C1966,$A:$A = $A1966 - 1,$B:$B = 12),0)"),0.0)</f>
        <v>0</v>
      </c>
      <c r="AD1966" s="32">
        <f t="shared" si="23"/>
        <v>0</v>
      </c>
      <c r="AE1966" s="32">
        <f t="shared" si="2"/>
        <v>0</v>
      </c>
      <c r="AF1966" s="32"/>
    </row>
    <row r="1967">
      <c r="A1967" s="86"/>
      <c r="B1967" s="87"/>
      <c r="C1967" s="88"/>
      <c r="D1967" s="104"/>
      <c r="E1967" s="104"/>
      <c r="F1967" s="104"/>
      <c r="G1967" s="104"/>
      <c r="H1967" s="104"/>
      <c r="I1967" s="104"/>
      <c r="J1967" s="104"/>
      <c r="K1967" s="32"/>
      <c r="L1967" s="32"/>
      <c r="M1967" s="32"/>
      <c r="N1967" s="32"/>
      <c r="O1967" s="106"/>
      <c r="P1967" s="91">
        <f>IFERROR(__xludf.DUMMYFUNCTION("IFERROR(sum(FILTER($D:$N,$C:$C = $C1967,$A:$A &lt; $A1967,$B:$B = 12)),0) + sum($D1967:$N1967)"),0.0)</f>
        <v>0</v>
      </c>
      <c r="Q1967" s="92">
        <f t="shared" si="1"/>
        <v>0</v>
      </c>
      <c r="R1967" s="91">
        <f t="array" ref="R1967">IFERROR(INDEX('Fund YTD Target Values'!$1:$1000, MATCH($C1967,'Fund YTD Target Values'!$A:$A,0), MATCH($A1967,'Fund YTD Target Values'!$1:$1,0)),0)</f>
        <v>0</v>
      </c>
      <c r="S1967" s="91">
        <f>IFERROR(__xludf.DUMMYFUNCTION("IFERROR(sum(FILTER('Fund Investment Data'!$V:$V, 'Fund Investment Data'!$C:$C = $C1967, 'Fund Investment Data'!$A:$A &lt; $A1967)),0) + IFERROR(sum(FILTER('Fund Investment Data'!$V:$V, 'Fund Investment Data'!$C:$C = $C1967, 'Fund Investment Data'!$A:$A = $A1"&amp;"967, 'Fund Investment Data'!$B:$B &lt;= $B1967)),0)"),0.0)</f>
        <v>0</v>
      </c>
      <c r="T1967" s="32"/>
      <c r="U1967" s="32"/>
      <c r="V1967" s="32">
        <f>IFERROR(__xludf.DUMMYFUNCTION("$D1967 - IFERROR(FILTER($D:$D,$C:$C = $C1967, $A:$A = $A1967, $B:$B = $B1967 - 1),0)"),0.0)</f>
        <v>0</v>
      </c>
      <c r="W1967" s="93">
        <f>IFERROR(__xludf.DUMMYFUNCTION("$E1967 - IFERROR(FILTER($E:$E,$C:$C = $C1967, $A:$A = $A1967, $B:$B = $B1967 - 1),0)"),0.0)</f>
        <v>0</v>
      </c>
      <c r="X1967" s="91">
        <f>IFERROR(__xludf.DUMMYFUNCTION("iFERROR((FILTER('Fund Investment Data'!$Z:$Z, 'Fund Investment Data'!$C:$C = $C1967, 'Fund Investment Data'!$A:$A = $A1967 - 1, 'Fund Investment Data'!$B:$B = 12) + FILTER('Fund Investment Data'!$AB:$AB, 'Fund Investment Data'!$C:$C = $C1967, 'Fund Invest"&amp;"ment Data'!$A:$A = $A1967 - 1, 'Fund Investment Data'!$B:$B = 12)) * (1 + AVERAGE(FILTER('Inflation Data'!$C:$C,'Inflation Data'!$A:$A = ($A1967 - 2)))) * Parameters!$A$4,0)"),0.0)</f>
        <v>0</v>
      </c>
      <c r="Y1967" s="91">
        <f>IFERROR(__xludf.DUMMYFUNCTION("IFERROR((IFERROR(FILTER('Fund Investment Data'!$P:$P,'Fund Investment Data'!$C:$C = $C1967,'Fund Investment Data'!$A:$A = ($A1967 - 2), 'Fund Investment Data'!$B:$B = 12),0) - SUM(FILTER('Fund Investment Data'!$V:$V, 'Fund Investment Data'!$C:$C = $C1967,"&amp;" 'Fund Investment Data'!$A:$A = ($A1967 - 2), 'Fund Investment Data'!$B:$B &gt; 3)))  * Parameters!$B$4 * (1 - Parameters!$A$4),0)"),0.0)</f>
        <v>0</v>
      </c>
      <c r="Z1967" s="91">
        <f t="shared" si="24"/>
        <v>0</v>
      </c>
      <c r="AA1967" s="91">
        <f>IFERROR(__xludf.DUMMYFUNCTION("((IFERROR((SUM(FILTER('Fund Investment Data'!$V:$V, 'Fund Investment Data'!$C:$C = $C1967, 'Fund Investment Data'!$A:$A = $A1967 - 1, 'Fund Investment Data'!$B:$B &gt;= 4, 'Fund Investment Data'!$B:$B &lt;= ($B1967 + 5))) / 12) * ($B1967 - 3) * Parameters!$B$4,"&amp;" 0) + IF($B1967 &gt;= 9, IFERROR(SUM(FILTER('Fund Investment Data'!$V:$V, 'Fund Investment Data'!$C:$C = $C1967, 'Fund Investment Data'!$A:$A = $A1967, 'Fund Investment Data'!$B:$B &lt;= 3)) * Parameters!$B$4, 0),0)))"),0.0)</f>
        <v>0</v>
      </c>
      <c r="AB1967" s="32">
        <f>IFERROR(__xludf.DUMMYFUNCTION("IFERROR(((IFERROR(SUM(FILTER('Fund Investment Data'!$V:$V, 'Fund Investment Data'!$C:$C = $C1967, 'Fund Investment Data'!$A:$A = $A1967 - 2, 'Fund Investment Data'!$B:$B &gt;= 4)) * Parameters!$B$4,0) + IFERROR(SUM(FILTER('Fund Investment Data'!$V:$V, 'Fund "&amp;"Investment Data'!$C:$C = $C1967, 'Fund Investment Data'!$A:$A = $A1967 - 1, 'Fund Investment Data'!$B:$B &lt;= 3)) * Parameters!$B$4,0))),0)"),0.0)</f>
        <v>0</v>
      </c>
      <c r="AC1967" s="32">
        <f>IFERROR(__xludf.DUMMYFUNCTION("IFERROR(FILTER($AF:$AF,$C:$C = $C1967,$A:$A = $A1967 - 1,$B:$B = 12),0)"),0.0)</f>
        <v>0</v>
      </c>
      <c r="AD1967" s="32">
        <f t="shared" si="23"/>
        <v>0</v>
      </c>
      <c r="AE1967" s="32">
        <f t="shared" si="2"/>
        <v>0</v>
      </c>
      <c r="AF1967" s="32"/>
    </row>
    <row r="1968">
      <c r="A1968" s="86"/>
      <c r="B1968" s="87"/>
      <c r="C1968" s="88"/>
      <c r="D1968" s="104"/>
      <c r="E1968" s="104"/>
      <c r="F1968" s="104"/>
      <c r="G1968" s="104"/>
      <c r="H1968" s="104"/>
      <c r="I1968" s="104"/>
      <c r="J1968" s="104"/>
      <c r="K1968" s="32"/>
      <c r="L1968" s="32"/>
      <c r="M1968" s="32"/>
      <c r="N1968" s="32"/>
      <c r="O1968" s="106"/>
      <c r="P1968" s="91">
        <f>IFERROR(__xludf.DUMMYFUNCTION("IFERROR(sum(FILTER($D:$N,$C:$C = $C1968,$A:$A &lt; $A1968,$B:$B = 12)),0) + sum($D1968:$N1968)"),0.0)</f>
        <v>0</v>
      </c>
      <c r="Q1968" s="92">
        <f t="shared" si="1"/>
        <v>0</v>
      </c>
      <c r="R1968" s="91">
        <f t="array" ref="R1968">IFERROR(INDEX('Fund YTD Target Values'!$1:$1000, MATCH($C1968,'Fund YTD Target Values'!$A:$A,0), MATCH($A1968,'Fund YTD Target Values'!$1:$1,0)),0)</f>
        <v>0</v>
      </c>
      <c r="S1968" s="91">
        <f>IFERROR(__xludf.DUMMYFUNCTION("IFERROR(sum(FILTER('Fund Investment Data'!$V:$V, 'Fund Investment Data'!$C:$C = $C1968, 'Fund Investment Data'!$A:$A &lt; $A1968)),0) + IFERROR(sum(FILTER('Fund Investment Data'!$V:$V, 'Fund Investment Data'!$C:$C = $C1968, 'Fund Investment Data'!$A:$A = $A1"&amp;"968, 'Fund Investment Data'!$B:$B &lt;= $B1968)),0)"),0.0)</f>
        <v>0</v>
      </c>
      <c r="T1968" s="32"/>
      <c r="U1968" s="32"/>
      <c r="V1968" s="32">
        <f>IFERROR(__xludf.DUMMYFUNCTION("$D1968 - IFERROR(FILTER($D:$D,$C:$C = $C1968, $A:$A = $A1968, $B:$B = $B1968 - 1),0)"),0.0)</f>
        <v>0</v>
      </c>
      <c r="W1968" s="93">
        <f>IFERROR(__xludf.DUMMYFUNCTION("$E1968 - IFERROR(FILTER($E:$E,$C:$C = $C1968, $A:$A = $A1968, $B:$B = $B1968 - 1),0)"),0.0)</f>
        <v>0</v>
      </c>
      <c r="X1968" s="91">
        <f>IFERROR(__xludf.DUMMYFUNCTION("iFERROR((FILTER('Fund Investment Data'!$Z:$Z, 'Fund Investment Data'!$C:$C = $C1968, 'Fund Investment Data'!$A:$A = $A1968 - 1, 'Fund Investment Data'!$B:$B = 12) + FILTER('Fund Investment Data'!$AB:$AB, 'Fund Investment Data'!$C:$C = $C1968, 'Fund Invest"&amp;"ment Data'!$A:$A = $A1968 - 1, 'Fund Investment Data'!$B:$B = 12)) * (1 + AVERAGE(FILTER('Inflation Data'!$C:$C,'Inflation Data'!$A:$A = ($A1968 - 2)))) * Parameters!$A$4,0)"),0.0)</f>
        <v>0</v>
      </c>
      <c r="Y1968" s="91">
        <f>IFERROR(__xludf.DUMMYFUNCTION("IFERROR((IFERROR(FILTER('Fund Investment Data'!$P:$P,'Fund Investment Data'!$C:$C = $C1968,'Fund Investment Data'!$A:$A = ($A1968 - 2), 'Fund Investment Data'!$B:$B = 12),0) - SUM(FILTER('Fund Investment Data'!$V:$V, 'Fund Investment Data'!$C:$C = $C1968,"&amp;" 'Fund Investment Data'!$A:$A = ($A1968 - 2), 'Fund Investment Data'!$B:$B &gt; 3)))  * Parameters!$B$4 * (1 - Parameters!$A$4),0)"),0.0)</f>
        <v>0</v>
      </c>
      <c r="Z1968" s="91">
        <f t="shared" si="24"/>
        <v>0</v>
      </c>
      <c r="AA1968" s="91">
        <f>IFERROR(__xludf.DUMMYFUNCTION("((IFERROR((SUM(FILTER('Fund Investment Data'!$V:$V, 'Fund Investment Data'!$C:$C = $C1968, 'Fund Investment Data'!$A:$A = $A1968 - 1, 'Fund Investment Data'!$B:$B &gt;= 4, 'Fund Investment Data'!$B:$B &lt;= ($B1968 + 5))) / 12) * ($B1968 - 3) * Parameters!$B$4,"&amp;" 0) + IF($B1968 &gt;= 9, IFERROR(SUM(FILTER('Fund Investment Data'!$V:$V, 'Fund Investment Data'!$C:$C = $C1968, 'Fund Investment Data'!$A:$A = $A1968, 'Fund Investment Data'!$B:$B &lt;= 3)) * Parameters!$B$4, 0),0)))"),0.0)</f>
        <v>0</v>
      </c>
      <c r="AB1968" s="32">
        <f>IFERROR(__xludf.DUMMYFUNCTION("IFERROR(((IFERROR(SUM(FILTER('Fund Investment Data'!$V:$V, 'Fund Investment Data'!$C:$C = $C1968, 'Fund Investment Data'!$A:$A = $A1968 - 2, 'Fund Investment Data'!$B:$B &gt;= 4)) * Parameters!$B$4,0) + IFERROR(SUM(FILTER('Fund Investment Data'!$V:$V, 'Fund "&amp;"Investment Data'!$C:$C = $C1968, 'Fund Investment Data'!$A:$A = $A1968 - 1, 'Fund Investment Data'!$B:$B &lt;= 3)) * Parameters!$B$4,0))),0)"),0.0)</f>
        <v>0</v>
      </c>
      <c r="AC1968" s="32">
        <f>IFERROR(__xludf.DUMMYFUNCTION("IFERROR(FILTER($AF:$AF,$C:$C = $C1968,$A:$A = $A1968 - 1,$B:$B = 12),0)"),0.0)</f>
        <v>0</v>
      </c>
      <c r="AD1968" s="32">
        <f t="shared" si="23"/>
        <v>0</v>
      </c>
      <c r="AE1968" s="32">
        <f t="shared" si="2"/>
        <v>0</v>
      </c>
      <c r="AF1968" s="32"/>
    </row>
    <row r="1969">
      <c r="A1969" s="86"/>
      <c r="B1969" s="87"/>
      <c r="C1969" s="88"/>
      <c r="D1969" s="104"/>
      <c r="E1969" s="104"/>
      <c r="F1969" s="104"/>
      <c r="G1969" s="104"/>
      <c r="H1969" s="104"/>
      <c r="I1969" s="104"/>
      <c r="J1969" s="104"/>
      <c r="K1969" s="32"/>
      <c r="L1969" s="32"/>
      <c r="M1969" s="32"/>
      <c r="N1969" s="32"/>
      <c r="O1969" s="106"/>
      <c r="P1969" s="91">
        <f>IFERROR(__xludf.DUMMYFUNCTION("IFERROR(sum(FILTER($D:$N,$C:$C = $C1969,$A:$A &lt; $A1969,$B:$B = 12)),0) + sum($D1969:$N1969)"),0.0)</f>
        <v>0</v>
      </c>
      <c r="Q1969" s="92">
        <f t="shared" si="1"/>
        <v>0</v>
      </c>
      <c r="R1969" s="91">
        <f t="array" ref="R1969">IFERROR(INDEX('Fund YTD Target Values'!$1:$1000, MATCH($C1969,'Fund YTD Target Values'!$A:$A,0), MATCH($A1969,'Fund YTD Target Values'!$1:$1,0)),0)</f>
        <v>0</v>
      </c>
      <c r="S1969" s="91">
        <f>IFERROR(__xludf.DUMMYFUNCTION("IFERROR(sum(FILTER('Fund Investment Data'!$V:$V, 'Fund Investment Data'!$C:$C = $C1969, 'Fund Investment Data'!$A:$A &lt; $A1969)),0) + IFERROR(sum(FILTER('Fund Investment Data'!$V:$V, 'Fund Investment Data'!$C:$C = $C1969, 'Fund Investment Data'!$A:$A = $A1"&amp;"969, 'Fund Investment Data'!$B:$B &lt;= $B1969)),0)"),0.0)</f>
        <v>0</v>
      </c>
      <c r="T1969" s="32"/>
      <c r="U1969" s="32"/>
      <c r="V1969" s="32">
        <f>IFERROR(__xludf.DUMMYFUNCTION("$D1969 - IFERROR(FILTER($D:$D,$C:$C = $C1969, $A:$A = $A1969, $B:$B = $B1969 - 1),0)"),0.0)</f>
        <v>0</v>
      </c>
      <c r="W1969" s="93">
        <f>IFERROR(__xludf.DUMMYFUNCTION("$E1969 - IFERROR(FILTER($E:$E,$C:$C = $C1969, $A:$A = $A1969, $B:$B = $B1969 - 1),0)"),0.0)</f>
        <v>0</v>
      </c>
      <c r="X1969" s="91">
        <f>IFERROR(__xludf.DUMMYFUNCTION("iFERROR((FILTER('Fund Investment Data'!$Z:$Z, 'Fund Investment Data'!$C:$C = $C1969, 'Fund Investment Data'!$A:$A = $A1969 - 1, 'Fund Investment Data'!$B:$B = 12) + FILTER('Fund Investment Data'!$AB:$AB, 'Fund Investment Data'!$C:$C = $C1969, 'Fund Invest"&amp;"ment Data'!$A:$A = $A1969 - 1, 'Fund Investment Data'!$B:$B = 12)) * (1 + AVERAGE(FILTER('Inflation Data'!$C:$C,'Inflation Data'!$A:$A = ($A1969 - 2)))) * Parameters!$A$4,0)"),0.0)</f>
        <v>0</v>
      </c>
      <c r="Y1969" s="91">
        <f>IFERROR(__xludf.DUMMYFUNCTION("IFERROR((IFERROR(FILTER('Fund Investment Data'!$P:$P,'Fund Investment Data'!$C:$C = $C1969,'Fund Investment Data'!$A:$A = ($A1969 - 2), 'Fund Investment Data'!$B:$B = 12),0) - SUM(FILTER('Fund Investment Data'!$V:$V, 'Fund Investment Data'!$C:$C = $C1969,"&amp;" 'Fund Investment Data'!$A:$A = ($A1969 - 2), 'Fund Investment Data'!$B:$B &gt; 3)))  * Parameters!$B$4 * (1 - Parameters!$A$4),0)"),0.0)</f>
        <v>0</v>
      </c>
      <c r="Z1969" s="91">
        <f t="shared" si="24"/>
        <v>0</v>
      </c>
      <c r="AA1969" s="91">
        <f>IFERROR(__xludf.DUMMYFUNCTION("((IFERROR((SUM(FILTER('Fund Investment Data'!$V:$V, 'Fund Investment Data'!$C:$C = $C1969, 'Fund Investment Data'!$A:$A = $A1969 - 1, 'Fund Investment Data'!$B:$B &gt;= 4, 'Fund Investment Data'!$B:$B &lt;= ($B1969 + 5))) / 12) * ($B1969 - 3) * Parameters!$B$4,"&amp;" 0) + IF($B1969 &gt;= 9, IFERROR(SUM(FILTER('Fund Investment Data'!$V:$V, 'Fund Investment Data'!$C:$C = $C1969, 'Fund Investment Data'!$A:$A = $A1969, 'Fund Investment Data'!$B:$B &lt;= 3)) * Parameters!$B$4, 0),0)))"),0.0)</f>
        <v>0</v>
      </c>
      <c r="AB1969" s="32">
        <f>IFERROR(__xludf.DUMMYFUNCTION("IFERROR(((IFERROR(SUM(FILTER('Fund Investment Data'!$V:$V, 'Fund Investment Data'!$C:$C = $C1969, 'Fund Investment Data'!$A:$A = $A1969 - 2, 'Fund Investment Data'!$B:$B &gt;= 4)) * Parameters!$B$4,0) + IFERROR(SUM(FILTER('Fund Investment Data'!$V:$V, 'Fund "&amp;"Investment Data'!$C:$C = $C1969, 'Fund Investment Data'!$A:$A = $A1969 - 1, 'Fund Investment Data'!$B:$B &lt;= 3)) * Parameters!$B$4,0))),0)"),0.0)</f>
        <v>0</v>
      </c>
      <c r="AC1969" s="32">
        <f>IFERROR(__xludf.DUMMYFUNCTION("IFERROR(FILTER($AF:$AF,$C:$C = $C1969,$A:$A = $A1969 - 1,$B:$B = 12),0)"),0.0)</f>
        <v>0</v>
      </c>
      <c r="AD1969" s="32">
        <f t="shared" si="23"/>
        <v>0</v>
      </c>
      <c r="AE1969" s="32">
        <f t="shared" si="2"/>
        <v>0</v>
      </c>
      <c r="AF1969" s="32"/>
    </row>
    <row r="1970">
      <c r="A1970" s="86"/>
      <c r="B1970" s="87"/>
      <c r="C1970" s="88"/>
      <c r="D1970" s="104"/>
      <c r="E1970" s="104"/>
      <c r="F1970" s="104"/>
      <c r="G1970" s="104"/>
      <c r="H1970" s="104"/>
      <c r="I1970" s="104"/>
      <c r="J1970" s="104"/>
      <c r="K1970" s="32"/>
      <c r="L1970" s="32"/>
      <c r="M1970" s="32"/>
      <c r="N1970" s="32"/>
      <c r="O1970" s="106"/>
      <c r="P1970" s="91">
        <f>IFERROR(__xludf.DUMMYFUNCTION("IFERROR(sum(FILTER($D:$N,$C:$C = $C1970,$A:$A &lt; $A1970,$B:$B = 12)),0) + sum($D1970:$N1970)"),0.0)</f>
        <v>0</v>
      </c>
      <c r="Q1970" s="92">
        <f t="shared" si="1"/>
        <v>0</v>
      </c>
      <c r="R1970" s="91">
        <f t="array" ref="R1970">IFERROR(INDEX('Fund YTD Target Values'!$1:$1000, MATCH($C1970,'Fund YTD Target Values'!$A:$A,0), MATCH($A1970,'Fund YTD Target Values'!$1:$1,0)),0)</f>
        <v>0</v>
      </c>
      <c r="S1970" s="91">
        <f>IFERROR(__xludf.DUMMYFUNCTION("IFERROR(sum(FILTER('Fund Investment Data'!$V:$V, 'Fund Investment Data'!$C:$C = $C1970, 'Fund Investment Data'!$A:$A &lt; $A1970)),0) + IFERROR(sum(FILTER('Fund Investment Data'!$V:$V, 'Fund Investment Data'!$C:$C = $C1970, 'Fund Investment Data'!$A:$A = $A1"&amp;"970, 'Fund Investment Data'!$B:$B &lt;= $B1970)),0)"),0.0)</f>
        <v>0</v>
      </c>
      <c r="T1970" s="32"/>
      <c r="U1970" s="32"/>
      <c r="V1970" s="32">
        <f>IFERROR(__xludf.DUMMYFUNCTION("$D1970 - IFERROR(FILTER($D:$D,$C:$C = $C1970, $A:$A = $A1970, $B:$B = $B1970 - 1),0)"),0.0)</f>
        <v>0</v>
      </c>
      <c r="W1970" s="93">
        <f>IFERROR(__xludf.DUMMYFUNCTION("$E1970 - IFERROR(FILTER($E:$E,$C:$C = $C1970, $A:$A = $A1970, $B:$B = $B1970 - 1),0)"),0.0)</f>
        <v>0</v>
      </c>
      <c r="X1970" s="91">
        <f>IFERROR(__xludf.DUMMYFUNCTION("iFERROR((FILTER('Fund Investment Data'!$Z:$Z, 'Fund Investment Data'!$C:$C = $C1970, 'Fund Investment Data'!$A:$A = $A1970 - 1, 'Fund Investment Data'!$B:$B = 12) + FILTER('Fund Investment Data'!$AB:$AB, 'Fund Investment Data'!$C:$C = $C1970, 'Fund Invest"&amp;"ment Data'!$A:$A = $A1970 - 1, 'Fund Investment Data'!$B:$B = 12)) * (1 + AVERAGE(FILTER('Inflation Data'!$C:$C,'Inflation Data'!$A:$A = ($A1970 - 2)))) * Parameters!$A$4,0)"),0.0)</f>
        <v>0</v>
      </c>
      <c r="Y1970" s="91">
        <f>IFERROR(__xludf.DUMMYFUNCTION("IFERROR((IFERROR(FILTER('Fund Investment Data'!$P:$P,'Fund Investment Data'!$C:$C = $C1970,'Fund Investment Data'!$A:$A = ($A1970 - 2), 'Fund Investment Data'!$B:$B = 12),0) - SUM(FILTER('Fund Investment Data'!$V:$V, 'Fund Investment Data'!$C:$C = $C1970,"&amp;" 'Fund Investment Data'!$A:$A = ($A1970 - 2), 'Fund Investment Data'!$B:$B &gt; 3)))  * Parameters!$B$4 * (1 - Parameters!$A$4),0)"),0.0)</f>
        <v>0</v>
      </c>
      <c r="Z1970" s="91">
        <f t="shared" si="24"/>
        <v>0</v>
      </c>
      <c r="AA1970" s="91">
        <f>IFERROR(__xludf.DUMMYFUNCTION("((IFERROR((SUM(FILTER('Fund Investment Data'!$V:$V, 'Fund Investment Data'!$C:$C = $C1970, 'Fund Investment Data'!$A:$A = $A1970 - 1, 'Fund Investment Data'!$B:$B &gt;= 4, 'Fund Investment Data'!$B:$B &lt;= ($B1970 + 5))) / 12) * ($B1970 - 3) * Parameters!$B$4,"&amp;" 0) + IF($B1970 &gt;= 9, IFERROR(SUM(FILTER('Fund Investment Data'!$V:$V, 'Fund Investment Data'!$C:$C = $C1970, 'Fund Investment Data'!$A:$A = $A1970, 'Fund Investment Data'!$B:$B &lt;= 3)) * Parameters!$B$4, 0),0)))"),0.0)</f>
        <v>0</v>
      </c>
      <c r="AB1970" s="32">
        <f>IFERROR(__xludf.DUMMYFUNCTION("IFERROR(((IFERROR(SUM(FILTER('Fund Investment Data'!$V:$V, 'Fund Investment Data'!$C:$C = $C1970, 'Fund Investment Data'!$A:$A = $A1970 - 2, 'Fund Investment Data'!$B:$B &gt;= 4)) * Parameters!$B$4,0) + IFERROR(SUM(FILTER('Fund Investment Data'!$V:$V, 'Fund "&amp;"Investment Data'!$C:$C = $C1970, 'Fund Investment Data'!$A:$A = $A1970 - 1, 'Fund Investment Data'!$B:$B &lt;= 3)) * Parameters!$B$4,0))),0)"),0.0)</f>
        <v>0</v>
      </c>
      <c r="AC1970" s="32">
        <f>IFERROR(__xludf.DUMMYFUNCTION("IFERROR(FILTER($AF:$AF,$C:$C = $C1970,$A:$A = $A1970 - 1,$B:$B = 12),0)"),0.0)</f>
        <v>0</v>
      </c>
      <c r="AD1970" s="32">
        <f t="shared" si="23"/>
        <v>0</v>
      </c>
      <c r="AE1970" s="32">
        <f t="shared" si="2"/>
        <v>0</v>
      </c>
      <c r="AF1970" s="32"/>
    </row>
    <row r="1971">
      <c r="A1971" s="86"/>
      <c r="B1971" s="87"/>
      <c r="C1971" s="88"/>
      <c r="D1971" s="104"/>
      <c r="E1971" s="104"/>
      <c r="F1971" s="104"/>
      <c r="G1971" s="104"/>
      <c r="H1971" s="104"/>
      <c r="I1971" s="104"/>
      <c r="J1971" s="104"/>
      <c r="K1971" s="32"/>
      <c r="L1971" s="32"/>
      <c r="M1971" s="32"/>
      <c r="N1971" s="32"/>
      <c r="O1971" s="106"/>
      <c r="P1971" s="91">
        <f>IFERROR(__xludf.DUMMYFUNCTION("IFERROR(sum(FILTER($D:$N,$C:$C = $C1971,$A:$A &lt; $A1971,$B:$B = 12)),0) + sum($D1971:$N1971)"),0.0)</f>
        <v>0</v>
      </c>
      <c r="Q1971" s="92">
        <f t="shared" si="1"/>
        <v>0</v>
      </c>
      <c r="R1971" s="91">
        <f t="array" ref="R1971">IFERROR(INDEX('Fund YTD Target Values'!$1:$1000, MATCH($C1971,'Fund YTD Target Values'!$A:$A,0), MATCH($A1971,'Fund YTD Target Values'!$1:$1,0)),0)</f>
        <v>0</v>
      </c>
      <c r="S1971" s="91">
        <f>IFERROR(__xludf.DUMMYFUNCTION("IFERROR(sum(FILTER('Fund Investment Data'!$V:$V, 'Fund Investment Data'!$C:$C = $C1971, 'Fund Investment Data'!$A:$A &lt; $A1971)),0) + IFERROR(sum(FILTER('Fund Investment Data'!$V:$V, 'Fund Investment Data'!$C:$C = $C1971, 'Fund Investment Data'!$A:$A = $A1"&amp;"971, 'Fund Investment Data'!$B:$B &lt;= $B1971)),0)"),0.0)</f>
        <v>0</v>
      </c>
      <c r="T1971" s="32"/>
      <c r="U1971" s="32"/>
      <c r="V1971" s="32">
        <f>IFERROR(__xludf.DUMMYFUNCTION("$D1971 - IFERROR(FILTER($D:$D,$C:$C = $C1971, $A:$A = $A1971, $B:$B = $B1971 - 1),0)"),0.0)</f>
        <v>0</v>
      </c>
      <c r="W1971" s="93">
        <f>IFERROR(__xludf.DUMMYFUNCTION("$E1971 - IFERROR(FILTER($E:$E,$C:$C = $C1971, $A:$A = $A1971, $B:$B = $B1971 - 1),0)"),0.0)</f>
        <v>0</v>
      </c>
      <c r="X1971" s="91">
        <f>IFERROR(__xludf.DUMMYFUNCTION("iFERROR((FILTER('Fund Investment Data'!$Z:$Z, 'Fund Investment Data'!$C:$C = $C1971, 'Fund Investment Data'!$A:$A = $A1971 - 1, 'Fund Investment Data'!$B:$B = 12) + FILTER('Fund Investment Data'!$AB:$AB, 'Fund Investment Data'!$C:$C = $C1971, 'Fund Invest"&amp;"ment Data'!$A:$A = $A1971 - 1, 'Fund Investment Data'!$B:$B = 12)) * (1 + AVERAGE(FILTER('Inflation Data'!$C:$C,'Inflation Data'!$A:$A = ($A1971 - 2)))) * Parameters!$A$4,0)"),0.0)</f>
        <v>0</v>
      </c>
      <c r="Y1971" s="91">
        <f>IFERROR(__xludf.DUMMYFUNCTION("IFERROR((IFERROR(FILTER('Fund Investment Data'!$P:$P,'Fund Investment Data'!$C:$C = $C1971,'Fund Investment Data'!$A:$A = ($A1971 - 2), 'Fund Investment Data'!$B:$B = 12),0) - SUM(FILTER('Fund Investment Data'!$V:$V, 'Fund Investment Data'!$C:$C = $C1971,"&amp;" 'Fund Investment Data'!$A:$A = ($A1971 - 2), 'Fund Investment Data'!$B:$B &gt; 3)))  * Parameters!$B$4 * (1 - Parameters!$A$4),0)"),0.0)</f>
        <v>0</v>
      </c>
      <c r="Z1971" s="91">
        <f t="shared" si="24"/>
        <v>0</v>
      </c>
      <c r="AA1971" s="91">
        <f>IFERROR(__xludf.DUMMYFUNCTION("((IFERROR((SUM(FILTER('Fund Investment Data'!$V:$V, 'Fund Investment Data'!$C:$C = $C1971, 'Fund Investment Data'!$A:$A = $A1971 - 1, 'Fund Investment Data'!$B:$B &gt;= 4, 'Fund Investment Data'!$B:$B &lt;= ($B1971 + 5))) / 12) * ($B1971 - 3) * Parameters!$B$4,"&amp;" 0) + IF($B1971 &gt;= 9, IFERROR(SUM(FILTER('Fund Investment Data'!$V:$V, 'Fund Investment Data'!$C:$C = $C1971, 'Fund Investment Data'!$A:$A = $A1971, 'Fund Investment Data'!$B:$B &lt;= 3)) * Parameters!$B$4, 0),0)))"),0.0)</f>
        <v>0</v>
      </c>
      <c r="AB1971" s="32">
        <f>IFERROR(__xludf.DUMMYFUNCTION("IFERROR(((IFERROR(SUM(FILTER('Fund Investment Data'!$V:$V, 'Fund Investment Data'!$C:$C = $C1971, 'Fund Investment Data'!$A:$A = $A1971 - 2, 'Fund Investment Data'!$B:$B &gt;= 4)) * Parameters!$B$4,0) + IFERROR(SUM(FILTER('Fund Investment Data'!$V:$V, 'Fund "&amp;"Investment Data'!$C:$C = $C1971, 'Fund Investment Data'!$A:$A = $A1971 - 1, 'Fund Investment Data'!$B:$B &lt;= 3)) * Parameters!$B$4,0))),0)"),0.0)</f>
        <v>0</v>
      </c>
      <c r="AC1971" s="32">
        <f>IFERROR(__xludf.DUMMYFUNCTION("IFERROR(FILTER($AF:$AF,$C:$C = $C1971,$A:$A = $A1971 - 1,$B:$B = 12),0)"),0.0)</f>
        <v>0</v>
      </c>
      <c r="AD1971" s="32">
        <f t="shared" si="23"/>
        <v>0</v>
      </c>
      <c r="AE1971" s="32">
        <f t="shared" si="2"/>
        <v>0</v>
      </c>
      <c r="AF1971" s="32"/>
    </row>
    <row r="1972">
      <c r="A1972" s="86"/>
      <c r="B1972" s="87"/>
      <c r="C1972" s="88"/>
      <c r="D1972" s="104"/>
      <c r="E1972" s="104"/>
      <c r="F1972" s="104"/>
      <c r="G1972" s="104"/>
      <c r="H1972" s="104"/>
      <c r="I1972" s="104"/>
      <c r="J1972" s="104"/>
      <c r="K1972" s="32"/>
      <c r="L1972" s="32"/>
      <c r="M1972" s="32"/>
      <c r="N1972" s="32"/>
      <c r="O1972" s="106"/>
      <c r="P1972" s="91">
        <f>IFERROR(__xludf.DUMMYFUNCTION("IFERROR(sum(FILTER($D:$N,$C:$C = $C1972,$A:$A &lt; $A1972,$B:$B = 12)),0) + sum($D1972:$N1972)"),0.0)</f>
        <v>0</v>
      </c>
      <c r="Q1972" s="92">
        <f t="shared" si="1"/>
        <v>0</v>
      </c>
      <c r="R1972" s="91">
        <f t="array" ref="R1972">IFERROR(INDEX('Fund YTD Target Values'!$1:$1000, MATCH($C1972,'Fund YTD Target Values'!$A:$A,0), MATCH($A1972,'Fund YTD Target Values'!$1:$1,0)),0)</f>
        <v>0</v>
      </c>
      <c r="S1972" s="91">
        <f>IFERROR(__xludf.DUMMYFUNCTION("IFERROR(sum(FILTER('Fund Investment Data'!$V:$V, 'Fund Investment Data'!$C:$C = $C1972, 'Fund Investment Data'!$A:$A &lt; $A1972)),0) + IFERROR(sum(FILTER('Fund Investment Data'!$V:$V, 'Fund Investment Data'!$C:$C = $C1972, 'Fund Investment Data'!$A:$A = $A1"&amp;"972, 'Fund Investment Data'!$B:$B &lt;= $B1972)),0)"),0.0)</f>
        <v>0</v>
      </c>
      <c r="T1972" s="32"/>
      <c r="U1972" s="32"/>
      <c r="V1972" s="32">
        <f>IFERROR(__xludf.DUMMYFUNCTION("$D1972 - IFERROR(FILTER($D:$D,$C:$C = $C1972, $A:$A = $A1972, $B:$B = $B1972 - 1),0)"),0.0)</f>
        <v>0</v>
      </c>
      <c r="W1972" s="93">
        <f>IFERROR(__xludf.DUMMYFUNCTION("$E1972 - IFERROR(FILTER($E:$E,$C:$C = $C1972, $A:$A = $A1972, $B:$B = $B1972 - 1),0)"),0.0)</f>
        <v>0</v>
      </c>
      <c r="X1972" s="91">
        <f>IFERROR(__xludf.DUMMYFUNCTION("iFERROR((FILTER('Fund Investment Data'!$Z:$Z, 'Fund Investment Data'!$C:$C = $C1972, 'Fund Investment Data'!$A:$A = $A1972 - 1, 'Fund Investment Data'!$B:$B = 12) + FILTER('Fund Investment Data'!$AB:$AB, 'Fund Investment Data'!$C:$C = $C1972, 'Fund Invest"&amp;"ment Data'!$A:$A = $A1972 - 1, 'Fund Investment Data'!$B:$B = 12)) * (1 + AVERAGE(FILTER('Inflation Data'!$C:$C,'Inflation Data'!$A:$A = ($A1972 - 2)))) * Parameters!$A$4,0)"),0.0)</f>
        <v>0</v>
      </c>
      <c r="Y1972" s="91">
        <f>IFERROR(__xludf.DUMMYFUNCTION("IFERROR((IFERROR(FILTER('Fund Investment Data'!$P:$P,'Fund Investment Data'!$C:$C = $C1972,'Fund Investment Data'!$A:$A = ($A1972 - 2), 'Fund Investment Data'!$B:$B = 12),0) - SUM(FILTER('Fund Investment Data'!$V:$V, 'Fund Investment Data'!$C:$C = $C1972,"&amp;" 'Fund Investment Data'!$A:$A = ($A1972 - 2), 'Fund Investment Data'!$B:$B &gt; 3)))  * Parameters!$B$4 * (1 - Parameters!$A$4),0)"),0.0)</f>
        <v>0</v>
      </c>
      <c r="Z1972" s="91">
        <f t="shared" si="24"/>
        <v>0</v>
      </c>
      <c r="AA1972" s="91">
        <f>IFERROR(__xludf.DUMMYFUNCTION("((IFERROR((SUM(FILTER('Fund Investment Data'!$V:$V, 'Fund Investment Data'!$C:$C = $C1972, 'Fund Investment Data'!$A:$A = $A1972 - 1, 'Fund Investment Data'!$B:$B &gt;= 4, 'Fund Investment Data'!$B:$B &lt;= ($B1972 + 5))) / 12) * ($B1972 - 3) * Parameters!$B$4,"&amp;" 0) + IF($B1972 &gt;= 9, IFERROR(SUM(FILTER('Fund Investment Data'!$V:$V, 'Fund Investment Data'!$C:$C = $C1972, 'Fund Investment Data'!$A:$A = $A1972, 'Fund Investment Data'!$B:$B &lt;= 3)) * Parameters!$B$4, 0),0)))"),0.0)</f>
        <v>0</v>
      </c>
      <c r="AB1972" s="32">
        <f>IFERROR(__xludf.DUMMYFUNCTION("IFERROR(((IFERROR(SUM(FILTER('Fund Investment Data'!$V:$V, 'Fund Investment Data'!$C:$C = $C1972, 'Fund Investment Data'!$A:$A = $A1972 - 2, 'Fund Investment Data'!$B:$B &gt;= 4)) * Parameters!$B$4,0) + IFERROR(SUM(FILTER('Fund Investment Data'!$V:$V, 'Fund "&amp;"Investment Data'!$C:$C = $C1972, 'Fund Investment Data'!$A:$A = $A1972 - 1, 'Fund Investment Data'!$B:$B &lt;= 3)) * Parameters!$B$4,0))),0)"),0.0)</f>
        <v>0</v>
      </c>
      <c r="AC1972" s="32">
        <f>IFERROR(__xludf.DUMMYFUNCTION("IFERROR(FILTER($AF:$AF,$C:$C = $C1972,$A:$A = $A1972 - 1,$B:$B = 12),0)"),0.0)</f>
        <v>0</v>
      </c>
      <c r="AD1972" s="32">
        <f t="shared" si="23"/>
        <v>0</v>
      </c>
      <c r="AE1972" s="32">
        <f t="shared" si="2"/>
        <v>0</v>
      </c>
      <c r="AF1972" s="32"/>
    </row>
    <row r="1973">
      <c r="A1973" s="86"/>
      <c r="B1973" s="87"/>
      <c r="C1973" s="88"/>
      <c r="D1973" s="104"/>
      <c r="E1973" s="104"/>
      <c r="F1973" s="104"/>
      <c r="G1973" s="104"/>
      <c r="H1973" s="104"/>
      <c r="I1973" s="104"/>
      <c r="J1973" s="104"/>
      <c r="K1973" s="32"/>
      <c r="L1973" s="32"/>
      <c r="M1973" s="32"/>
      <c r="N1973" s="32"/>
      <c r="O1973" s="106"/>
      <c r="P1973" s="91">
        <f>IFERROR(__xludf.DUMMYFUNCTION("IFERROR(sum(FILTER($D:$N,$C:$C = $C1973,$A:$A &lt; $A1973,$B:$B = 12)),0) + sum($D1973:$N1973)"),0.0)</f>
        <v>0</v>
      </c>
      <c r="Q1973" s="92">
        <f t="shared" si="1"/>
        <v>0</v>
      </c>
      <c r="R1973" s="91">
        <f t="array" ref="R1973">IFERROR(INDEX('Fund YTD Target Values'!$1:$1000, MATCH($C1973,'Fund YTD Target Values'!$A:$A,0), MATCH($A1973,'Fund YTD Target Values'!$1:$1,0)),0)</f>
        <v>0</v>
      </c>
      <c r="S1973" s="91">
        <f>IFERROR(__xludf.DUMMYFUNCTION("IFERROR(sum(FILTER('Fund Investment Data'!$V:$V, 'Fund Investment Data'!$C:$C = $C1973, 'Fund Investment Data'!$A:$A &lt; $A1973)),0) + IFERROR(sum(FILTER('Fund Investment Data'!$V:$V, 'Fund Investment Data'!$C:$C = $C1973, 'Fund Investment Data'!$A:$A = $A1"&amp;"973, 'Fund Investment Data'!$B:$B &lt;= $B1973)),0)"),0.0)</f>
        <v>0</v>
      </c>
      <c r="T1973" s="32"/>
      <c r="U1973" s="32"/>
      <c r="V1973" s="32">
        <f>IFERROR(__xludf.DUMMYFUNCTION("$D1973 - IFERROR(FILTER($D:$D,$C:$C = $C1973, $A:$A = $A1973, $B:$B = $B1973 - 1),0)"),0.0)</f>
        <v>0</v>
      </c>
      <c r="W1973" s="93">
        <f>IFERROR(__xludf.DUMMYFUNCTION("$E1973 - IFERROR(FILTER($E:$E,$C:$C = $C1973, $A:$A = $A1973, $B:$B = $B1973 - 1),0)"),0.0)</f>
        <v>0</v>
      </c>
      <c r="X1973" s="91">
        <f>IFERROR(__xludf.DUMMYFUNCTION("iFERROR((FILTER('Fund Investment Data'!$Z:$Z, 'Fund Investment Data'!$C:$C = $C1973, 'Fund Investment Data'!$A:$A = $A1973 - 1, 'Fund Investment Data'!$B:$B = 12) + FILTER('Fund Investment Data'!$AB:$AB, 'Fund Investment Data'!$C:$C = $C1973, 'Fund Invest"&amp;"ment Data'!$A:$A = $A1973 - 1, 'Fund Investment Data'!$B:$B = 12)) * (1 + AVERAGE(FILTER('Inflation Data'!$C:$C,'Inflation Data'!$A:$A = ($A1973 - 2)))) * Parameters!$A$4,0)"),0.0)</f>
        <v>0</v>
      </c>
      <c r="Y1973" s="91">
        <f>IFERROR(__xludf.DUMMYFUNCTION("IFERROR((IFERROR(FILTER('Fund Investment Data'!$P:$P,'Fund Investment Data'!$C:$C = $C1973,'Fund Investment Data'!$A:$A = ($A1973 - 2), 'Fund Investment Data'!$B:$B = 12),0) - SUM(FILTER('Fund Investment Data'!$V:$V, 'Fund Investment Data'!$C:$C = $C1973,"&amp;" 'Fund Investment Data'!$A:$A = ($A1973 - 2), 'Fund Investment Data'!$B:$B &gt; 3)))  * Parameters!$B$4 * (1 - Parameters!$A$4),0)"),0.0)</f>
        <v>0</v>
      </c>
      <c r="Z1973" s="91">
        <f t="shared" si="24"/>
        <v>0</v>
      </c>
      <c r="AA1973" s="91">
        <f>IFERROR(__xludf.DUMMYFUNCTION("((IFERROR((SUM(FILTER('Fund Investment Data'!$V:$V, 'Fund Investment Data'!$C:$C = $C1973, 'Fund Investment Data'!$A:$A = $A1973 - 1, 'Fund Investment Data'!$B:$B &gt;= 4, 'Fund Investment Data'!$B:$B &lt;= ($B1973 + 5))) / 12) * ($B1973 - 3) * Parameters!$B$4,"&amp;" 0) + IF($B1973 &gt;= 9, IFERROR(SUM(FILTER('Fund Investment Data'!$V:$V, 'Fund Investment Data'!$C:$C = $C1973, 'Fund Investment Data'!$A:$A = $A1973, 'Fund Investment Data'!$B:$B &lt;= 3)) * Parameters!$B$4, 0),0)))"),0.0)</f>
        <v>0</v>
      </c>
      <c r="AB1973" s="32">
        <f>IFERROR(__xludf.DUMMYFUNCTION("IFERROR(((IFERROR(SUM(FILTER('Fund Investment Data'!$V:$V, 'Fund Investment Data'!$C:$C = $C1973, 'Fund Investment Data'!$A:$A = $A1973 - 2, 'Fund Investment Data'!$B:$B &gt;= 4)) * Parameters!$B$4,0) + IFERROR(SUM(FILTER('Fund Investment Data'!$V:$V, 'Fund "&amp;"Investment Data'!$C:$C = $C1973, 'Fund Investment Data'!$A:$A = $A1973 - 1, 'Fund Investment Data'!$B:$B &lt;= 3)) * Parameters!$B$4,0))),0)"),0.0)</f>
        <v>0</v>
      </c>
      <c r="AC1973" s="32">
        <f>IFERROR(__xludf.DUMMYFUNCTION("IFERROR(FILTER($AF:$AF,$C:$C = $C1973,$A:$A = $A1973 - 1,$B:$B = 12),0)"),0.0)</f>
        <v>0</v>
      </c>
      <c r="AD1973" s="32">
        <f t="shared" si="23"/>
        <v>0</v>
      </c>
      <c r="AE1973" s="32">
        <f t="shared" si="2"/>
        <v>0</v>
      </c>
      <c r="AF1973" s="32"/>
    </row>
    <row r="1974">
      <c r="A1974" s="86"/>
      <c r="B1974" s="87"/>
      <c r="C1974" s="88"/>
      <c r="D1974" s="104"/>
      <c r="E1974" s="104"/>
      <c r="F1974" s="104"/>
      <c r="G1974" s="104"/>
      <c r="H1974" s="104"/>
      <c r="I1974" s="104"/>
      <c r="J1974" s="104"/>
      <c r="K1974" s="32"/>
      <c r="L1974" s="32"/>
      <c r="M1974" s="32"/>
      <c r="N1974" s="32"/>
      <c r="O1974" s="106"/>
      <c r="P1974" s="91">
        <f>IFERROR(__xludf.DUMMYFUNCTION("IFERROR(sum(FILTER($D:$N,$C:$C = $C1974,$A:$A &lt; $A1974,$B:$B = 12)),0) + sum($D1974:$N1974)"),0.0)</f>
        <v>0</v>
      </c>
      <c r="Q1974" s="92">
        <f t="shared" si="1"/>
        <v>0</v>
      </c>
      <c r="R1974" s="91">
        <f t="array" ref="R1974">IFERROR(INDEX('Fund YTD Target Values'!$1:$1000, MATCH($C1974,'Fund YTD Target Values'!$A:$A,0), MATCH($A1974,'Fund YTD Target Values'!$1:$1,0)),0)</f>
        <v>0</v>
      </c>
      <c r="S1974" s="91">
        <f>IFERROR(__xludf.DUMMYFUNCTION("IFERROR(sum(FILTER('Fund Investment Data'!$V:$V, 'Fund Investment Data'!$C:$C = $C1974, 'Fund Investment Data'!$A:$A &lt; $A1974)),0) + IFERROR(sum(FILTER('Fund Investment Data'!$V:$V, 'Fund Investment Data'!$C:$C = $C1974, 'Fund Investment Data'!$A:$A = $A1"&amp;"974, 'Fund Investment Data'!$B:$B &lt;= $B1974)),0)"),0.0)</f>
        <v>0</v>
      </c>
      <c r="T1974" s="32"/>
      <c r="U1974" s="32"/>
      <c r="V1974" s="32">
        <f>IFERROR(__xludf.DUMMYFUNCTION("$D1974 - IFERROR(FILTER($D:$D,$C:$C = $C1974, $A:$A = $A1974, $B:$B = $B1974 - 1),0)"),0.0)</f>
        <v>0</v>
      </c>
      <c r="W1974" s="93">
        <f>IFERROR(__xludf.DUMMYFUNCTION("$E1974 - IFERROR(FILTER($E:$E,$C:$C = $C1974, $A:$A = $A1974, $B:$B = $B1974 - 1),0)"),0.0)</f>
        <v>0</v>
      </c>
      <c r="X1974" s="91">
        <f>IFERROR(__xludf.DUMMYFUNCTION("iFERROR((FILTER('Fund Investment Data'!$Z:$Z, 'Fund Investment Data'!$C:$C = $C1974, 'Fund Investment Data'!$A:$A = $A1974 - 1, 'Fund Investment Data'!$B:$B = 12) + FILTER('Fund Investment Data'!$AB:$AB, 'Fund Investment Data'!$C:$C = $C1974, 'Fund Invest"&amp;"ment Data'!$A:$A = $A1974 - 1, 'Fund Investment Data'!$B:$B = 12)) * (1 + AVERAGE(FILTER('Inflation Data'!$C:$C,'Inflation Data'!$A:$A = ($A1974 - 2)))) * Parameters!$A$4,0)"),0.0)</f>
        <v>0</v>
      </c>
      <c r="Y1974" s="91">
        <f>IFERROR(__xludf.DUMMYFUNCTION("IFERROR((IFERROR(FILTER('Fund Investment Data'!$P:$P,'Fund Investment Data'!$C:$C = $C1974,'Fund Investment Data'!$A:$A = ($A1974 - 2), 'Fund Investment Data'!$B:$B = 12),0) - SUM(FILTER('Fund Investment Data'!$V:$V, 'Fund Investment Data'!$C:$C = $C1974,"&amp;" 'Fund Investment Data'!$A:$A = ($A1974 - 2), 'Fund Investment Data'!$B:$B &gt; 3)))  * Parameters!$B$4 * (1 - Parameters!$A$4),0)"),0.0)</f>
        <v>0</v>
      </c>
      <c r="Z1974" s="91">
        <f t="shared" si="24"/>
        <v>0</v>
      </c>
      <c r="AA1974" s="91">
        <f>IFERROR(__xludf.DUMMYFUNCTION("((IFERROR((SUM(FILTER('Fund Investment Data'!$V:$V, 'Fund Investment Data'!$C:$C = $C1974, 'Fund Investment Data'!$A:$A = $A1974 - 1, 'Fund Investment Data'!$B:$B &gt;= 4, 'Fund Investment Data'!$B:$B &lt;= ($B1974 + 5))) / 12) * ($B1974 - 3) * Parameters!$B$4,"&amp;" 0) + IF($B1974 &gt;= 9, IFERROR(SUM(FILTER('Fund Investment Data'!$V:$V, 'Fund Investment Data'!$C:$C = $C1974, 'Fund Investment Data'!$A:$A = $A1974, 'Fund Investment Data'!$B:$B &lt;= 3)) * Parameters!$B$4, 0),0)))"),0.0)</f>
        <v>0</v>
      </c>
      <c r="AB1974" s="32">
        <f>IFERROR(__xludf.DUMMYFUNCTION("IFERROR(((IFERROR(SUM(FILTER('Fund Investment Data'!$V:$V, 'Fund Investment Data'!$C:$C = $C1974, 'Fund Investment Data'!$A:$A = $A1974 - 2, 'Fund Investment Data'!$B:$B &gt;= 4)) * Parameters!$B$4,0) + IFERROR(SUM(FILTER('Fund Investment Data'!$V:$V, 'Fund "&amp;"Investment Data'!$C:$C = $C1974, 'Fund Investment Data'!$A:$A = $A1974 - 1, 'Fund Investment Data'!$B:$B &lt;= 3)) * Parameters!$B$4,0))),0)"),0.0)</f>
        <v>0</v>
      </c>
      <c r="AC1974" s="32">
        <f>IFERROR(__xludf.DUMMYFUNCTION("IFERROR(FILTER($AF:$AF,$C:$C = $C1974,$A:$A = $A1974 - 1,$B:$B = 12),0)"),0.0)</f>
        <v>0</v>
      </c>
      <c r="AD1974" s="32">
        <f t="shared" si="23"/>
        <v>0</v>
      </c>
      <c r="AE1974" s="32">
        <f t="shared" si="2"/>
        <v>0</v>
      </c>
      <c r="AF1974" s="32"/>
    </row>
    <row r="1975">
      <c r="A1975" s="86"/>
      <c r="B1975" s="87"/>
      <c r="C1975" s="88"/>
      <c r="D1975" s="104"/>
      <c r="E1975" s="104"/>
      <c r="F1975" s="104"/>
      <c r="G1975" s="104"/>
      <c r="H1975" s="104"/>
      <c r="I1975" s="104"/>
      <c r="J1975" s="104"/>
      <c r="K1975" s="32"/>
      <c r="L1975" s="32"/>
      <c r="M1975" s="32"/>
      <c r="N1975" s="32"/>
      <c r="O1975" s="106"/>
      <c r="P1975" s="91">
        <f>IFERROR(__xludf.DUMMYFUNCTION("IFERROR(sum(FILTER($D:$N,$C:$C = $C1975,$A:$A &lt; $A1975,$B:$B = 12)),0) + sum($D1975:$N1975)"),0.0)</f>
        <v>0</v>
      </c>
      <c r="Q1975" s="92">
        <f t="shared" si="1"/>
        <v>0</v>
      </c>
      <c r="R1975" s="91">
        <f t="array" ref="R1975">IFERROR(INDEX('Fund YTD Target Values'!$1:$1000, MATCH($C1975,'Fund YTD Target Values'!$A:$A,0), MATCH($A1975,'Fund YTD Target Values'!$1:$1,0)),0)</f>
        <v>0</v>
      </c>
      <c r="S1975" s="91">
        <f>IFERROR(__xludf.DUMMYFUNCTION("IFERROR(sum(FILTER('Fund Investment Data'!$V:$V, 'Fund Investment Data'!$C:$C = $C1975, 'Fund Investment Data'!$A:$A &lt; $A1975)),0) + IFERROR(sum(FILTER('Fund Investment Data'!$V:$V, 'Fund Investment Data'!$C:$C = $C1975, 'Fund Investment Data'!$A:$A = $A1"&amp;"975, 'Fund Investment Data'!$B:$B &lt;= $B1975)),0)"),0.0)</f>
        <v>0</v>
      </c>
      <c r="T1975" s="32"/>
      <c r="U1975" s="32"/>
      <c r="V1975" s="32">
        <f>IFERROR(__xludf.DUMMYFUNCTION("$D1975 - IFERROR(FILTER($D:$D,$C:$C = $C1975, $A:$A = $A1975, $B:$B = $B1975 - 1),0)"),0.0)</f>
        <v>0</v>
      </c>
      <c r="W1975" s="93">
        <f>IFERROR(__xludf.DUMMYFUNCTION("$E1975 - IFERROR(FILTER($E:$E,$C:$C = $C1975, $A:$A = $A1975, $B:$B = $B1975 - 1),0)"),0.0)</f>
        <v>0</v>
      </c>
      <c r="X1975" s="91">
        <f>IFERROR(__xludf.DUMMYFUNCTION("iFERROR((FILTER('Fund Investment Data'!$Z:$Z, 'Fund Investment Data'!$C:$C = $C1975, 'Fund Investment Data'!$A:$A = $A1975 - 1, 'Fund Investment Data'!$B:$B = 12) + FILTER('Fund Investment Data'!$AB:$AB, 'Fund Investment Data'!$C:$C = $C1975, 'Fund Invest"&amp;"ment Data'!$A:$A = $A1975 - 1, 'Fund Investment Data'!$B:$B = 12)) * (1 + AVERAGE(FILTER('Inflation Data'!$C:$C,'Inflation Data'!$A:$A = ($A1975 - 2)))) * Parameters!$A$4,0)"),0.0)</f>
        <v>0</v>
      </c>
      <c r="Y1975" s="91">
        <f>IFERROR(__xludf.DUMMYFUNCTION("IFERROR((IFERROR(FILTER('Fund Investment Data'!$P:$P,'Fund Investment Data'!$C:$C = $C1975,'Fund Investment Data'!$A:$A = ($A1975 - 2), 'Fund Investment Data'!$B:$B = 12),0) - SUM(FILTER('Fund Investment Data'!$V:$V, 'Fund Investment Data'!$C:$C = $C1975,"&amp;" 'Fund Investment Data'!$A:$A = ($A1975 - 2), 'Fund Investment Data'!$B:$B &gt; 3)))  * Parameters!$B$4 * (1 - Parameters!$A$4),0)"),0.0)</f>
        <v>0</v>
      </c>
      <c r="Z1975" s="91">
        <f t="shared" si="24"/>
        <v>0</v>
      </c>
      <c r="AA1975" s="91">
        <f>IFERROR(__xludf.DUMMYFUNCTION("((IFERROR((SUM(FILTER('Fund Investment Data'!$V:$V, 'Fund Investment Data'!$C:$C = $C1975, 'Fund Investment Data'!$A:$A = $A1975 - 1, 'Fund Investment Data'!$B:$B &gt;= 4, 'Fund Investment Data'!$B:$B &lt;= ($B1975 + 5))) / 12) * ($B1975 - 3) * Parameters!$B$4,"&amp;" 0) + IF($B1975 &gt;= 9, IFERROR(SUM(FILTER('Fund Investment Data'!$V:$V, 'Fund Investment Data'!$C:$C = $C1975, 'Fund Investment Data'!$A:$A = $A1975, 'Fund Investment Data'!$B:$B &lt;= 3)) * Parameters!$B$4, 0),0)))"),0.0)</f>
        <v>0</v>
      </c>
      <c r="AB1975" s="32">
        <f>IFERROR(__xludf.DUMMYFUNCTION("IFERROR(((IFERROR(SUM(FILTER('Fund Investment Data'!$V:$V, 'Fund Investment Data'!$C:$C = $C1975, 'Fund Investment Data'!$A:$A = $A1975 - 2, 'Fund Investment Data'!$B:$B &gt;= 4)) * Parameters!$B$4,0) + IFERROR(SUM(FILTER('Fund Investment Data'!$V:$V, 'Fund "&amp;"Investment Data'!$C:$C = $C1975, 'Fund Investment Data'!$A:$A = $A1975 - 1, 'Fund Investment Data'!$B:$B &lt;= 3)) * Parameters!$B$4,0))),0)"),0.0)</f>
        <v>0</v>
      </c>
      <c r="AC1975" s="32">
        <f>IFERROR(__xludf.DUMMYFUNCTION("IFERROR(FILTER($AF:$AF,$C:$C = $C1975,$A:$A = $A1975 - 1,$B:$B = 12),0)"),0.0)</f>
        <v>0</v>
      </c>
      <c r="AD1975" s="32">
        <f t="shared" si="23"/>
        <v>0</v>
      </c>
      <c r="AE1975" s="32">
        <f t="shared" si="2"/>
        <v>0</v>
      </c>
      <c r="AF1975" s="32"/>
    </row>
    <row r="1976">
      <c r="A1976" s="86"/>
      <c r="B1976" s="87"/>
      <c r="C1976" s="88"/>
      <c r="D1976" s="104"/>
      <c r="E1976" s="104"/>
      <c r="F1976" s="104"/>
      <c r="G1976" s="104"/>
      <c r="H1976" s="104"/>
      <c r="I1976" s="104"/>
      <c r="J1976" s="104"/>
      <c r="K1976" s="32"/>
      <c r="L1976" s="32"/>
      <c r="M1976" s="32"/>
      <c r="N1976" s="32"/>
      <c r="O1976" s="106"/>
      <c r="P1976" s="91">
        <f>IFERROR(__xludf.DUMMYFUNCTION("IFERROR(sum(FILTER($D:$N,$C:$C = $C1976,$A:$A &lt; $A1976,$B:$B = 12)),0) + sum($D1976:$N1976)"),0.0)</f>
        <v>0</v>
      </c>
      <c r="Q1976" s="92">
        <f t="shared" si="1"/>
        <v>0</v>
      </c>
      <c r="R1976" s="91">
        <f t="array" ref="R1976">IFERROR(INDEX('Fund YTD Target Values'!$1:$1000, MATCH($C1976,'Fund YTD Target Values'!$A:$A,0), MATCH($A1976,'Fund YTD Target Values'!$1:$1,0)),0)</f>
        <v>0</v>
      </c>
      <c r="S1976" s="91">
        <f>IFERROR(__xludf.DUMMYFUNCTION("IFERROR(sum(FILTER('Fund Investment Data'!$V:$V, 'Fund Investment Data'!$C:$C = $C1976, 'Fund Investment Data'!$A:$A &lt; $A1976)),0) + IFERROR(sum(FILTER('Fund Investment Data'!$V:$V, 'Fund Investment Data'!$C:$C = $C1976, 'Fund Investment Data'!$A:$A = $A1"&amp;"976, 'Fund Investment Data'!$B:$B &lt;= $B1976)),0)"),0.0)</f>
        <v>0</v>
      </c>
      <c r="T1976" s="32"/>
      <c r="U1976" s="32"/>
      <c r="V1976" s="32">
        <f>IFERROR(__xludf.DUMMYFUNCTION("$D1976 - IFERROR(FILTER($D:$D,$C:$C = $C1976, $A:$A = $A1976, $B:$B = $B1976 - 1),0)"),0.0)</f>
        <v>0</v>
      </c>
      <c r="W1976" s="93">
        <f>IFERROR(__xludf.DUMMYFUNCTION("$E1976 - IFERROR(FILTER($E:$E,$C:$C = $C1976, $A:$A = $A1976, $B:$B = $B1976 - 1),0)"),0.0)</f>
        <v>0</v>
      </c>
      <c r="X1976" s="91">
        <f>IFERROR(__xludf.DUMMYFUNCTION("iFERROR((FILTER('Fund Investment Data'!$Z:$Z, 'Fund Investment Data'!$C:$C = $C1976, 'Fund Investment Data'!$A:$A = $A1976 - 1, 'Fund Investment Data'!$B:$B = 12) + FILTER('Fund Investment Data'!$AB:$AB, 'Fund Investment Data'!$C:$C = $C1976, 'Fund Invest"&amp;"ment Data'!$A:$A = $A1976 - 1, 'Fund Investment Data'!$B:$B = 12)) * (1 + AVERAGE(FILTER('Inflation Data'!$C:$C,'Inflation Data'!$A:$A = ($A1976 - 2)))) * Parameters!$A$4,0)"),0.0)</f>
        <v>0</v>
      </c>
      <c r="Y1976" s="91">
        <f>IFERROR(__xludf.DUMMYFUNCTION("IFERROR((IFERROR(FILTER('Fund Investment Data'!$P:$P,'Fund Investment Data'!$C:$C = $C1976,'Fund Investment Data'!$A:$A = ($A1976 - 2), 'Fund Investment Data'!$B:$B = 12),0) - SUM(FILTER('Fund Investment Data'!$V:$V, 'Fund Investment Data'!$C:$C = $C1976,"&amp;" 'Fund Investment Data'!$A:$A = ($A1976 - 2), 'Fund Investment Data'!$B:$B &gt; 3)))  * Parameters!$B$4 * (1 - Parameters!$A$4),0)"),0.0)</f>
        <v>0</v>
      </c>
      <c r="Z1976" s="91">
        <f t="shared" si="24"/>
        <v>0</v>
      </c>
      <c r="AA1976" s="91">
        <f>IFERROR(__xludf.DUMMYFUNCTION("((IFERROR((SUM(FILTER('Fund Investment Data'!$V:$V, 'Fund Investment Data'!$C:$C = $C1976, 'Fund Investment Data'!$A:$A = $A1976 - 1, 'Fund Investment Data'!$B:$B &gt;= 4, 'Fund Investment Data'!$B:$B &lt;= ($B1976 + 5))) / 12) * ($B1976 - 3) * Parameters!$B$4,"&amp;" 0) + IF($B1976 &gt;= 9, IFERROR(SUM(FILTER('Fund Investment Data'!$V:$V, 'Fund Investment Data'!$C:$C = $C1976, 'Fund Investment Data'!$A:$A = $A1976, 'Fund Investment Data'!$B:$B &lt;= 3)) * Parameters!$B$4, 0),0)))"),0.0)</f>
        <v>0</v>
      </c>
      <c r="AB1976" s="32">
        <f>IFERROR(__xludf.DUMMYFUNCTION("IFERROR(((IFERROR(SUM(FILTER('Fund Investment Data'!$V:$V, 'Fund Investment Data'!$C:$C = $C1976, 'Fund Investment Data'!$A:$A = $A1976 - 2, 'Fund Investment Data'!$B:$B &gt;= 4)) * Parameters!$B$4,0) + IFERROR(SUM(FILTER('Fund Investment Data'!$V:$V, 'Fund "&amp;"Investment Data'!$C:$C = $C1976, 'Fund Investment Data'!$A:$A = $A1976 - 1, 'Fund Investment Data'!$B:$B &lt;= 3)) * Parameters!$B$4,0))),0)"),0.0)</f>
        <v>0</v>
      </c>
      <c r="AC1976" s="32">
        <f>IFERROR(__xludf.DUMMYFUNCTION("IFERROR(FILTER($AF:$AF,$C:$C = $C1976,$A:$A = $A1976 - 1,$B:$B = 12),0)"),0.0)</f>
        <v>0</v>
      </c>
      <c r="AD1976" s="32">
        <f t="shared" si="23"/>
        <v>0</v>
      </c>
      <c r="AE1976" s="32">
        <f t="shared" si="2"/>
        <v>0</v>
      </c>
      <c r="AF1976" s="32"/>
    </row>
    <row r="1977">
      <c r="A1977" s="86"/>
      <c r="B1977" s="87"/>
      <c r="C1977" s="88"/>
      <c r="D1977" s="104"/>
      <c r="E1977" s="104"/>
      <c r="F1977" s="104"/>
      <c r="G1977" s="104"/>
      <c r="H1977" s="104"/>
      <c r="I1977" s="104"/>
      <c r="J1977" s="104"/>
      <c r="K1977" s="32"/>
      <c r="L1977" s="32"/>
      <c r="M1977" s="32"/>
      <c r="N1977" s="32"/>
      <c r="O1977" s="106"/>
      <c r="P1977" s="91">
        <f>IFERROR(__xludf.DUMMYFUNCTION("IFERROR(sum(FILTER($D:$N,$C:$C = $C1977,$A:$A &lt; $A1977,$B:$B = 12)),0) + sum($D1977:$N1977)"),0.0)</f>
        <v>0</v>
      </c>
      <c r="Q1977" s="92">
        <f t="shared" si="1"/>
        <v>0</v>
      </c>
      <c r="R1977" s="91">
        <f t="array" ref="R1977">IFERROR(INDEX('Fund YTD Target Values'!$1:$1000, MATCH($C1977,'Fund YTD Target Values'!$A:$A,0), MATCH($A1977,'Fund YTD Target Values'!$1:$1,0)),0)</f>
        <v>0</v>
      </c>
      <c r="S1977" s="91">
        <f>IFERROR(__xludf.DUMMYFUNCTION("IFERROR(sum(FILTER('Fund Investment Data'!$V:$V, 'Fund Investment Data'!$C:$C = $C1977, 'Fund Investment Data'!$A:$A &lt; $A1977)),0) + IFERROR(sum(FILTER('Fund Investment Data'!$V:$V, 'Fund Investment Data'!$C:$C = $C1977, 'Fund Investment Data'!$A:$A = $A1"&amp;"977, 'Fund Investment Data'!$B:$B &lt;= $B1977)),0)"),0.0)</f>
        <v>0</v>
      </c>
      <c r="T1977" s="32"/>
      <c r="U1977" s="32"/>
      <c r="V1977" s="32">
        <f>IFERROR(__xludf.DUMMYFUNCTION("$D1977 - IFERROR(FILTER($D:$D,$C:$C = $C1977, $A:$A = $A1977, $B:$B = $B1977 - 1),0)"),0.0)</f>
        <v>0</v>
      </c>
      <c r="W1977" s="93">
        <f>IFERROR(__xludf.DUMMYFUNCTION("$E1977 - IFERROR(FILTER($E:$E,$C:$C = $C1977, $A:$A = $A1977, $B:$B = $B1977 - 1),0)"),0.0)</f>
        <v>0</v>
      </c>
      <c r="X1977" s="91">
        <f>IFERROR(__xludf.DUMMYFUNCTION("iFERROR((FILTER('Fund Investment Data'!$Z:$Z, 'Fund Investment Data'!$C:$C = $C1977, 'Fund Investment Data'!$A:$A = $A1977 - 1, 'Fund Investment Data'!$B:$B = 12) + FILTER('Fund Investment Data'!$AB:$AB, 'Fund Investment Data'!$C:$C = $C1977, 'Fund Invest"&amp;"ment Data'!$A:$A = $A1977 - 1, 'Fund Investment Data'!$B:$B = 12)) * (1 + AVERAGE(FILTER('Inflation Data'!$C:$C,'Inflation Data'!$A:$A = ($A1977 - 2)))) * Parameters!$A$4,0)"),0.0)</f>
        <v>0</v>
      </c>
      <c r="Y1977" s="91">
        <f>IFERROR(__xludf.DUMMYFUNCTION("IFERROR((IFERROR(FILTER('Fund Investment Data'!$P:$P,'Fund Investment Data'!$C:$C = $C1977,'Fund Investment Data'!$A:$A = ($A1977 - 2), 'Fund Investment Data'!$B:$B = 12),0) - SUM(FILTER('Fund Investment Data'!$V:$V, 'Fund Investment Data'!$C:$C = $C1977,"&amp;" 'Fund Investment Data'!$A:$A = ($A1977 - 2), 'Fund Investment Data'!$B:$B &gt; 3)))  * Parameters!$B$4 * (1 - Parameters!$A$4),0)"),0.0)</f>
        <v>0</v>
      </c>
      <c r="Z1977" s="91">
        <f t="shared" si="24"/>
        <v>0</v>
      </c>
      <c r="AA1977" s="91">
        <f>IFERROR(__xludf.DUMMYFUNCTION("((IFERROR((SUM(FILTER('Fund Investment Data'!$V:$V, 'Fund Investment Data'!$C:$C = $C1977, 'Fund Investment Data'!$A:$A = $A1977 - 1, 'Fund Investment Data'!$B:$B &gt;= 4, 'Fund Investment Data'!$B:$B &lt;= ($B1977 + 5))) / 12) * ($B1977 - 3) * Parameters!$B$4,"&amp;" 0) + IF($B1977 &gt;= 9, IFERROR(SUM(FILTER('Fund Investment Data'!$V:$V, 'Fund Investment Data'!$C:$C = $C1977, 'Fund Investment Data'!$A:$A = $A1977, 'Fund Investment Data'!$B:$B &lt;= 3)) * Parameters!$B$4, 0),0)))"),0.0)</f>
        <v>0</v>
      </c>
      <c r="AB1977" s="32">
        <f>IFERROR(__xludf.DUMMYFUNCTION("IFERROR(((IFERROR(SUM(FILTER('Fund Investment Data'!$V:$V, 'Fund Investment Data'!$C:$C = $C1977, 'Fund Investment Data'!$A:$A = $A1977 - 2, 'Fund Investment Data'!$B:$B &gt;= 4)) * Parameters!$B$4,0) + IFERROR(SUM(FILTER('Fund Investment Data'!$V:$V, 'Fund "&amp;"Investment Data'!$C:$C = $C1977, 'Fund Investment Data'!$A:$A = $A1977 - 1, 'Fund Investment Data'!$B:$B &lt;= 3)) * Parameters!$B$4,0))),0)"),0.0)</f>
        <v>0</v>
      </c>
      <c r="AC1977" s="32">
        <f>IFERROR(__xludf.DUMMYFUNCTION("IFERROR(FILTER($AF:$AF,$C:$C = $C1977,$A:$A = $A1977 - 1,$B:$B = 12),0)"),0.0)</f>
        <v>0</v>
      </c>
      <c r="AD1977" s="32">
        <f t="shared" si="23"/>
        <v>0</v>
      </c>
      <c r="AE1977" s="32">
        <f t="shared" si="2"/>
        <v>0</v>
      </c>
      <c r="AF1977" s="32"/>
    </row>
    <row r="1978">
      <c r="A1978" s="86"/>
      <c r="B1978" s="87"/>
      <c r="C1978" s="88"/>
      <c r="D1978" s="104"/>
      <c r="E1978" s="104"/>
      <c r="F1978" s="104"/>
      <c r="G1978" s="104"/>
      <c r="H1978" s="104"/>
      <c r="I1978" s="104"/>
      <c r="J1978" s="104"/>
      <c r="K1978" s="32"/>
      <c r="L1978" s="32"/>
      <c r="M1978" s="32"/>
      <c r="N1978" s="32"/>
      <c r="O1978" s="106"/>
      <c r="P1978" s="91">
        <f>IFERROR(__xludf.DUMMYFUNCTION("IFERROR(sum(FILTER($D:$N,$C:$C = $C1978,$A:$A &lt; $A1978,$B:$B = 12)),0) + sum($D1978:$N1978)"),0.0)</f>
        <v>0</v>
      </c>
      <c r="Q1978" s="92">
        <f t="shared" si="1"/>
        <v>0</v>
      </c>
      <c r="R1978" s="91">
        <f t="array" ref="R1978">IFERROR(INDEX('Fund YTD Target Values'!$1:$1000, MATCH($C1978,'Fund YTD Target Values'!$A:$A,0), MATCH($A1978,'Fund YTD Target Values'!$1:$1,0)),0)</f>
        <v>0</v>
      </c>
      <c r="S1978" s="91">
        <f>IFERROR(__xludf.DUMMYFUNCTION("IFERROR(sum(FILTER('Fund Investment Data'!$V:$V, 'Fund Investment Data'!$C:$C = $C1978, 'Fund Investment Data'!$A:$A &lt; $A1978)),0) + IFERROR(sum(FILTER('Fund Investment Data'!$V:$V, 'Fund Investment Data'!$C:$C = $C1978, 'Fund Investment Data'!$A:$A = $A1"&amp;"978, 'Fund Investment Data'!$B:$B &lt;= $B1978)),0)"),0.0)</f>
        <v>0</v>
      </c>
      <c r="T1978" s="32"/>
      <c r="U1978" s="32"/>
      <c r="V1978" s="32">
        <f>IFERROR(__xludf.DUMMYFUNCTION("$D1978 - IFERROR(FILTER($D:$D,$C:$C = $C1978, $A:$A = $A1978, $B:$B = $B1978 - 1),0)"),0.0)</f>
        <v>0</v>
      </c>
      <c r="W1978" s="93">
        <f>IFERROR(__xludf.DUMMYFUNCTION("$E1978 - IFERROR(FILTER($E:$E,$C:$C = $C1978, $A:$A = $A1978, $B:$B = $B1978 - 1),0)"),0.0)</f>
        <v>0</v>
      </c>
      <c r="X1978" s="91">
        <f>IFERROR(__xludf.DUMMYFUNCTION("iFERROR((FILTER('Fund Investment Data'!$Z:$Z, 'Fund Investment Data'!$C:$C = $C1978, 'Fund Investment Data'!$A:$A = $A1978 - 1, 'Fund Investment Data'!$B:$B = 12) + FILTER('Fund Investment Data'!$AB:$AB, 'Fund Investment Data'!$C:$C = $C1978, 'Fund Invest"&amp;"ment Data'!$A:$A = $A1978 - 1, 'Fund Investment Data'!$B:$B = 12)) * (1 + AVERAGE(FILTER('Inflation Data'!$C:$C,'Inflation Data'!$A:$A = ($A1978 - 2)))) * Parameters!$A$4,0)"),0.0)</f>
        <v>0</v>
      </c>
      <c r="Y1978" s="91">
        <f>IFERROR(__xludf.DUMMYFUNCTION("IFERROR((IFERROR(FILTER('Fund Investment Data'!$P:$P,'Fund Investment Data'!$C:$C = $C1978,'Fund Investment Data'!$A:$A = ($A1978 - 2), 'Fund Investment Data'!$B:$B = 12),0) - SUM(FILTER('Fund Investment Data'!$V:$V, 'Fund Investment Data'!$C:$C = $C1978,"&amp;" 'Fund Investment Data'!$A:$A = ($A1978 - 2), 'Fund Investment Data'!$B:$B &gt; 3)))  * Parameters!$B$4 * (1 - Parameters!$A$4),0)"),0.0)</f>
        <v>0</v>
      </c>
      <c r="Z1978" s="91">
        <f t="shared" si="24"/>
        <v>0</v>
      </c>
      <c r="AA1978" s="91">
        <f>IFERROR(__xludf.DUMMYFUNCTION("((IFERROR((SUM(FILTER('Fund Investment Data'!$V:$V, 'Fund Investment Data'!$C:$C = $C1978, 'Fund Investment Data'!$A:$A = $A1978 - 1, 'Fund Investment Data'!$B:$B &gt;= 4, 'Fund Investment Data'!$B:$B &lt;= ($B1978 + 5))) / 12) * ($B1978 - 3) * Parameters!$B$4,"&amp;" 0) + IF($B1978 &gt;= 9, IFERROR(SUM(FILTER('Fund Investment Data'!$V:$V, 'Fund Investment Data'!$C:$C = $C1978, 'Fund Investment Data'!$A:$A = $A1978, 'Fund Investment Data'!$B:$B &lt;= 3)) * Parameters!$B$4, 0),0)))"),0.0)</f>
        <v>0</v>
      </c>
      <c r="AB1978" s="32">
        <f>IFERROR(__xludf.DUMMYFUNCTION("IFERROR(((IFERROR(SUM(FILTER('Fund Investment Data'!$V:$V, 'Fund Investment Data'!$C:$C = $C1978, 'Fund Investment Data'!$A:$A = $A1978 - 2, 'Fund Investment Data'!$B:$B &gt;= 4)) * Parameters!$B$4,0) + IFERROR(SUM(FILTER('Fund Investment Data'!$V:$V, 'Fund "&amp;"Investment Data'!$C:$C = $C1978, 'Fund Investment Data'!$A:$A = $A1978 - 1, 'Fund Investment Data'!$B:$B &lt;= 3)) * Parameters!$B$4,0))),0)"),0.0)</f>
        <v>0</v>
      </c>
      <c r="AC1978" s="32">
        <f>IFERROR(__xludf.DUMMYFUNCTION("IFERROR(FILTER($AF:$AF,$C:$C = $C1978,$A:$A = $A1978 - 1,$B:$B = 12),0)"),0.0)</f>
        <v>0</v>
      </c>
      <c r="AD1978" s="32">
        <f t="shared" si="23"/>
        <v>0</v>
      </c>
      <c r="AE1978" s="32">
        <f t="shared" si="2"/>
        <v>0</v>
      </c>
      <c r="AF1978" s="32"/>
    </row>
    <row r="1979">
      <c r="A1979" s="86"/>
      <c r="B1979" s="87"/>
      <c r="C1979" s="88"/>
      <c r="D1979" s="104"/>
      <c r="E1979" s="104"/>
      <c r="F1979" s="104"/>
      <c r="G1979" s="104"/>
      <c r="H1979" s="104"/>
      <c r="I1979" s="104"/>
      <c r="J1979" s="104"/>
      <c r="K1979" s="32"/>
      <c r="L1979" s="32"/>
      <c r="M1979" s="32"/>
      <c r="N1979" s="32"/>
      <c r="O1979" s="106"/>
      <c r="P1979" s="91">
        <f>IFERROR(__xludf.DUMMYFUNCTION("IFERROR(sum(FILTER($D:$N,$C:$C = $C1979,$A:$A &lt; $A1979,$B:$B = 12)),0) + sum($D1979:$N1979)"),0.0)</f>
        <v>0</v>
      </c>
      <c r="Q1979" s="92">
        <f t="shared" si="1"/>
        <v>0</v>
      </c>
      <c r="R1979" s="91">
        <f t="array" ref="R1979">IFERROR(INDEX('Fund YTD Target Values'!$1:$1000, MATCH($C1979,'Fund YTD Target Values'!$A:$A,0), MATCH($A1979,'Fund YTD Target Values'!$1:$1,0)),0)</f>
        <v>0</v>
      </c>
      <c r="S1979" s="91">
        <f>IFERROR(__xludf.DUMMYFUNCTION("IFERROR(sum(FILTER('Fund Investment Data'!$V:$V, 'Fund Investment Data'!$C:$C = $C1979, 'Fund Investment Data'!$A:$A &lt; $A1979)),0) + IFERROR(sum(FILTER('Fund Investment Data'!$V:$V, 'Fund Investment Data'!$C:$C = $C1979, 'Fund Investment Data'!$A:$A = $A1"&amp;"979, 'Fund Investment Data'!$B:$B &lt;= $B1979)),0)"),0.0)</f>
        <v>0</v>
      </c>
      <c r="T1979" s="32"/>
      <c r="U1979" s="32"/>
      <c r="V1979" s="32">
        <f>IFERROR(__xludf.DUMMYFUNCTION("$D1979 - IFERROR(FILTER($D:$D,$C:$C = $C1979, $A:$A = $A1979, $B:$B = $B1979 - 1),0)"),0.0)</f>
        <v>0</v>
      </c>
      <c r="W1979" s="93">
        <f>IFERROR(__xludf.DUMMYFUNCTION("$E1979 - IFERROR(FILTER($E:$E,$C:$C = $C1979, $A:$A = $A1979, $B:$B = $B1979 - 1),0)"),0.0)</f>
        <v>0</v>
      </c>
      <c r="X1979" s="91">
        <f>IFERROR(__xludf.DUMMYFUNCTION("iFERROR((FILTER('Fund Investment Data'!$Z:$Z, 'Fund Investment Data'!$C:$C = $C1979, 'Fund Investment Data'!$A:$A = $A1979 - 1, 'Fund Investment Data'!$B:$B = 12) + FILTER('Fund Investment Data'!$AB:$AB, 'Fund Investment Data'!$C:$C = $C1979, 'Fund Invest"&amp;"ment Data'!$A:$A = $A1979 - 1, 'Fund Investment Data'!$B:$B = 12)) * (1 + AVERAGE(FILTER('Inflation Data'!$C:$C,'Inflation Data'!$A:$A = ($A1979 - 2)))) * Parameters!$A$4,0)"),0.0)</f>
        <v>0</v>
      </c>
      <c r="Y1979" s="91">
        <f>IFERROR(__xludf.DUMMYFUNCTION("IFERROR((IFERROR(FILTER('Fund Investment Data'!$P:$P,'Fund Investment Data'!$C:$C = $C1979,'Fund Investment Data'!$A:$A = ($A1979 - 2), 'Fund Investment Data'!$B:$B = 12),0) - SUM(FILTER('Fund Investment Data'!$V:$V, 'Fund Investment Data'!$C:$C = $C1979,"&amp;" 'Fund Investment Data'!$A:$A = ($A1979 - 2), 'Fund Investment Data'!$B:$B &gt; 3)))  * Parameters!$B$4 * (1 - Parameters!$A$4),0)"),0.0)</f>
        <v>0</v>
      </c>
      <c r="Z1979" s="91">
        <f t="shared" si="24"/>
        <v>0</v>
      </c>
      <c r="AA1979" s="91">
        <f>IFERROR(__xludf.DUMMYFUNCTION("((IFERROR((SUM(FILTER('Fund Investment Data'!$V:$V, 'Fund Investment Data'!$C:$C = $C1979, 'Fund Investment Data'!$A:$A = $A1979 - 1, 'Fund Investment Data'!$B:$B &gt;= 4, 'Fund Investment Data'!$B:$B &lt;= ($B1979 + 5))) / 12) * ($B1979 - 3) * Parameters!$B$4,"&amp;" 0) + IF($B1979 &gt;= 9, IFERROR(SUM(FILTER('Fund Investment Data'!$V:$V, 'Fund Investment Data'!$C:$C = $C1979, 'Fund Investment Data'!$A:$A = $A1979, 'Fund Investment Data'!$B:$B &lt;= 3)) * Parameters!$B$4, 0),0)))"),0.0)</f>
        <v>0</v>
      </c>
      <c r="AB1979" s="32">
        <f>IFERROR(__xludf.DUMMYFUNCTION("IFERROR(((IFERROR(SUM(FILTER('Fund Investment Data'!$V:$V, 'Fund Investment Data'!$C:$C = $C1979, 'Fund Investment Data'!$A:$A = $A1979 - 2, 'Fund Investment Data'!$B:$B &gt;= 4)) * Parameters!$B$4,0) + IFERROR(SUM(FILTER('Fund Investment Data'!$V:$V, 'Fund "&amp;"Investment Data'!$C:$C = $C1979, 'Fund Investment Data'!$A:$A = $A1979 - 1, 'Fund Investment Data'!$B:$B &lt;= 3)) * Parameters!$B$4,0))),0)"),0.0)</f>
        <v>0</v>
      </c>
      <c r="AC1979" s="32">
        <f>IFERROR(__xludf.DUMMYFUNCTION("IFERROR(FILTER($AF:$AF,$C:$C = $C1979,$A:$A = $A1979 - 1,$B:$B = 12),0)"),0.0)</f>
        <v>0</v>
      </c>
      <c r="AD1979" s="32">
        <f t="shared" si="23"/>
        <v>0</v>
      </c>
      <c r="AE1979" s="32">
        <f t="shared" si="2"/>
        <v>0</v>
      </c>
      <c r="AF1979" s="32"/>
    </row>
    <row r="1980">
      <c r="A1980" s="86"/>
      <c r="B1980" s="87"/>
      <c r="C1980" s="88"/>
      <c r="D1980" s="104"/>
      <c r="E1980" s="104"/>
      <c r="F1980" s="104"/>
      <c r="G1980" s="104"/>
      <c r="H1980" s="104"/>
      <c r="I1980" s="104"/>
      <c r="J1980" s="104"/>
      <c r="K1980" s="32"/>
      <c r="L1980" s="32"/>
      <c r="M1980" s="32"/>
      <c r="N1980" s="32"/>
      <c r="O1980" s="106"/>
      <c r="P1980" s="91">
        <f>IFERROR(__xludf.DUMMYFUNCTION("IFERROR(sum(FILTER($D:$N,$C:$C = $C1980,$A:$A &lt; $A1980,$B:$B = 12)),0) + sum($D1980:$N1980)"),0.0)</f>
        <v>0</v>
      </c>
      <c r="Q1980" s="92">
        <f t="shared" si="1"/>
        <v>0</v>
      </c>
      <c r="R1980" s="91">
        <f t="array" ref="R1980">IFERROR(INDEX('Fund YTD Target Values'!$1:$1000, MATCH($C1980,'Fund YTD Target Values'!$A:$A,0), MATCH($A1980,'Fund YTD Target Values'!$1:$1,0)),0)</f>
        <v>0</v>
      </c>
      <c r="S1980" s="91">
        <f>IFERROR(__xludf.DUMMYFUNCTION("IFERROR(sum(FILTER('Fund Investment Data'!$V:$V, 'Fund Investment Data'!$C:$C = $C1980, 'Fund Investment Data'!$A:$A &lt; $A1980)),0) + IFERROR(sum(FILTER('Fund Investment Data'!$V:$V, 'Fund Investment Data'!$C:$C = $C1980, 'Fund Investment Data'!$A:$A = $A1"&amp;"980, 'Fund Investment Data'!$B:$B &lt;= $B1980)),0)"),0.0)</f>
        <v>0</v>
      </c>
      <c r="T1980" s="32"/>
      <c r="U1980" s="32"/>
      <c r="V1980" s="32">
        <f>IFERROR(__xludf.DUMMYFUNCTION("$D1980 - IFERROR(FILTER($D:$D,$C:$C = $C1980, $A:$A = $A1980, $B:$B = $B1980 - 1),0)"),0.0)</f>
        <v>0</v>
      </c>
      <c r="W1980" s="93">
        <f>IFERROR(__xludf.DUMMYFUNCTION("$E1980 - IFERROR(FILTER($E:$E,$C:$C = $C1980, $A:$A = $A1980, $B:$B = $B1980 - 1),0)"),0.0)</f>
        <v>0</v>
      </c>
      <c r="X1980" s="91">
        <f>IFERROR(__xludf.DUMMYFUNCTION("iFERROR((FILTER('Fund Investment Data'!$Z:$Z, 'Fund Investment Data'!$C:$C = $C1980, 'Fund Investment Data'!$A:$A = $A1980 - 1, 'Fund Investment Data'!$B:$B = 12) + FILTER('Fund Investment Data'!$AB:$AB, 'Fund Investment Data'!$C:$C = $C1980, 'Fund Invest"&amp;"ment Data'!$A:$A = $A1980 - 1, 'Fund Investment Data'!$B:$B = 12)) * (1 + AVERAGE(FILTER('Inflation Data'!$C:$C,'Inflation Data'!$A:$A = ($A1980 - 2)))) * Parameters!$A$4,0)"),0.0)</f>
        <v>0</v>
      </c>
      <c r="Y1980" s="91">
        <f>IFERROR(__xludf.DUMMYFUNCTION("IFERROR((IFERROR(FILTER('Fund Investment Data'!$P:$P,'Fund Investment Data'!$C:$C = $C1980,'Fund Investment Data'!$A:$A = ($A1980 - 2), 'Fund Investment Data'!$B:$B = 12),0) - SUM(FILTER('Fund Investment Data'!$V:$V, 'Fund Investment Data'!$C:$C = $C1980,"&amp;" 'Fund Investment Data'!$A:$A = ($A1980 - 2), 'Fund Investment Data'!$B:$B &gt; 3)))  * Parameters!$B$4 * (1 - Parameters!$A$4),0)"),0.0)</f>
        <v>0</v>
      </c>
      <c r="Z1980" s="91">
        <f t="shared" si="24"/>
        <v>0</v>
      </c>
      <c r="AA1980" s="91">
        <f>IFERROR(__xludf.DUMMYFUNCTION("((IFERROR((SUM(FILTER('Fund Investment Data'!$V:$V, 'Fund Investment Data'!$C:$C = $C1980, 'Fund Investment Data'!$A:$A = $A1980 - 1, 'Fund Investment Data'!$B:$B &gt;= 4, 'Fund Investment Data'!$B:$B &lt;= ($B1980 + 5))) / 12) * ($B1980 - 3) * Parameters!$B$4,"&amp;" 0) + IF($B1980 &gt;= 9, IFERROR(SUM(FILTER('Fund Investment Data'!$V:$V, 'Fund Investment Data'!$C:$C = $C1980, 'Fund Investment Data'!$A:$A = $A1980, 'Fund Investment Data'!$B:$B &lt;= 3)) * Parameters!$B$4, 0),0)))"),0.0)</f>
        <v>0</v>
      </c>
      <c r="AB1980" s="32">
        <f>IFERROR(__xludf.DUMMYFUNCTION("IFERROR(((IFERROR(SUM(FILTER('Fund Investment Data'!$V:$V, 'Fund Investment Data'!$C:$C = $C1980, 'Fund Investment Data'!$A:$A = $A1980 - 2, 'Fund Investment Data'!$B:$B &gt;= 4)) * Parameters!$B$4,0) + IFERROR(SUM(FILTER('Fund Investment Data'!$V:$V, 'Fund "&amp;"Investment Data'!$C:$C = $C1980, 'Fund Investment Data'!$A:$A = $A1980 - 1, 'Fund Investment Data'!$B:$B &lt;= 3)) * Parameters!$B$4,0))),0)"),0.0)</f>
        <v>0</v>
      </c>
      <c r="AC1980" s="32">
        <f>IFERROR(__xludf.DUMMYFUNCTION("IFERROR(FILTER($AF:$AF,$C:$C = $C1980,$A:$A = $A1980 - 1,$B:$B = 12),0)"),0.0)</f>
        <v>0</v>
      </c>
      <c r="AD1980" s="32">
        <f t="shared" si="23"/>
        <v>0</v>
      </c>
      <c r="AE1980" s="32">
        <f t="shared" si="2"/>
        <v>0</v>
      </c>
      <c r="AF1980" s="32"/>
    </row>
    <row r="1981">
      <c r="A1981" s="86"/>
      <c r="B1981" s="87"/>
      <c r="C1981" s="88"/>
      <c r="D1981" s="104"/>
      <c r="E1981" s="104"/>
      <c r="F1981" s="104"/>
      <c r="G1981" s="104"/>
      <c r="H1981" s="104"/>
      <c r="I1981" s="104"/>
      <c r="J1981" s="104"/>
      <c r="K1981" s="32"/>
      <c r="L1981" s="32"/>
      <c r="M1981" s="32"/>
      <c r="N1981" s="32"/>
      <c r="O1981" s="106"/>
      <c r="P1981" s="91">
        <f>IFERROR(__xludf.DUMMYFUNCTION("IFERROR(sum(FILTER($D:$N,$C:$C = $C1981,$A:$A &lt; $A1981,$B:$B = 12)),0) + sum($D1981:$N1981)"),0.0)</f>
        <v>0</v>
      </c>
      <c r="Q1981" s="92">
        <f t="shared" si="1"/>
        <v>0</v>
      </c>
      <c r="R1981" s="91">
        <f t="array" ref="R1981">IFERROR(INDEX('Fund YTD Target Values'!$1:$1000, MATCH($C1981,'Fund YTD Target Values'!$A:$A,0), MATCH($A1981,'Fund YTD Target Values'!$1:$1,0)),0)</f>
        <v>0</v>
      </c>
      <c r="S1981" s="91">
        <f>IFERROR(__xludf.DUMMYFUNCTION("IFERROR(sum(FILTER('Fund Investment Data'!$V:$V, 'Fund Investment Data'!$C:$C = $C1981, 'Fund Investment Data'!$A:$A &lt; $A1981)),0) + IFERROR(sum(FILTER('Fund Investment Data'!$V:$V, 'Fund Investment Data'!$C:$C = $C1981, 'Fund Investment Data'!$A:$A = $A1"&amp;"981, 'Fund Investment Data'!$B:$B &lt;= $B1981)),0)"),0.0)</f>
        <v>0</v>
      </c>
      <c r="T1981" s="32"/>
      <c r="U1981" s="32"/>
      <c r="V1981" s="32">
        <f>IFERROR(__xludf.DUMMYFUNCTION("$D1981 - IFERROR(FILTER($D:$D,$C:$C = $C1981, $A:$A = $A1981, $B:$B = $B1981 - 1),0)"),0.0)</f>
        <v>0</v>
      </c>
      <c r="W1981" s="93">
        <f>IFERROR(__xludf.DUMMYFUNCTION("$E1981 - IFERROR(FILTER($E:$E,$C:$C = $C1981, $A:$A = $A1981, $B:$B = $B1981 - 1),0)"),0.0)</f>
        <v>0</v>
      </c>
      <c r="X1981" s="91">
        <f>IFERROR(__xludf.DUMMYFUNCTION("iFERROR((FILTER('Fund Investment Data'!$Z:$Z, 'Fund Investment Data'!$C:$C = $C1981, 'Fund Investment Data'!$A:$A = $A1981 - 1, 'Fund Investment Data'!$B:$B = 12) + FILTER('Fund Investment Data'!$AB:$AB, 'Fund Investment Data'!$C:$C = $C1981, 'Fund Invest"&amp;"ment Data'!$A:$A = $A1981 - 1, 'Fund Investment Data'!$B:$B = 12)) * (1 + AVERAGE(FILTER('Inflation Data'!$C:$C,'Inflation Data'!$A:$A = ($A1981 - 2)))) * Parameters!$A$4,0)"),0.0)</f>
        <v>0</v>
      </c>
      <c r="Y1981" s="91">
        <f>IFERROR(__xludf.DUMMYFUNCTION("IFERROR((IFERROR(FILTER('Fund Investment Data'!$P:$P,'Fund Investment Data'!$C:$C = $C1981,'Fund Investment Data'!$A:$A = ($A1981 - 2), 'Fund Investment Data'!$B:$B = 12),0) - SUM(FILTER('Fund Investment Data'!$V:$V, 'Fund Investment Data'!$C:$C = $C1981,"&amp;" 'Fund Investment Data'!$A:$A = ($A1981 - 2), 'Fund Investment Data'!$B:$B &gt; 3)))  * Parameters!$B$4 * (1 - Parameters!$A$4),0)"),0.0)</f>
        <v>0</v>
      </c>
      <c r="Z1981" s="91">
        <f t="shared" si="24"/>
        <v>0</v>
      </c>
      <c r="AA1981" s="91">
        <f>IFERROR(__xludf.DUMMYFUNCTION("((IFERROR((SUM(FILTER('Fund Investment Data'!$V:$V, 'Fund Investment Data'!$C:$C = $C1981, 'Fund Investment Data'!$A:$A = $A1981 - 1, 'Fund Investment Data'!$B:$B &gt;= 4, 'Fund Investment Data'!$B:$B &lt;= ($B1981 + 5))) / 12) * ($B1981 - 3) * Parameters!$B$4,"&amp;" 0) + IF($B1981 &gt;= 9, IFERROR(SUM(FILTER('Fund Investment Data'!$V:$V, 'Fund Investment Data'!$C:$C = $C1981, 'Fund Investment Data'!$A:$A = $A1981, 'Fund Investment Data'!$B:$B &lt;= 3)) * Parameters!$B$4, 0),0)))"),0.0)</f>
        <v>0</v>
      </c>
      <c r="AB1981" s="32">
        <f>IFERROR(__xludf.DUMMYFUNCTION("IFERROR(((IFERROR(SUM(FILTER('Fund Investment Data'!$V:$V, 'Fund Investment Data'!$C:$C = $C1981, 'Fund Investment Data'!$A:$A = $A1981 - 2, 'Fund Investment Data'!$B:$B &gt;= 4)) * Parameters!$B$4,0) + IFERROR(SUM(FILTER('Fund Investment Data'!$V:$V, 'Fund "&amp;"Investment Data'!$C:$C = $C1981, 'Fund Investment Data'!$A:$A = $A1981 - 1, 'Fund Investment Data'!$B:$B &lt;= 3)) * Parameters!$B$4,0))),0)"),0.0)</f>
        <v>0</v>
      </c>
      <c r="AC1981" s="32">
        <f>IFERROR(__xludf.DUMMYFUNCTION("IFERROR(FILTER($AF:$AF,$C:$C = $C1981,$A:$A = $A1981 - 1,$B:$B = 12),0)"),0.0)</f>
        <v>0</v>
      </c>
      <c r="AD1981" s="32">
        <f t="shared" si="23"/>
        <v>0</v>
      </c>
      <c r="AE1981" s="32">
        <f t="shared" si="2"/>
        <v>0</v>
      </c>
      <c r="AF1981" s="32"/>
    </row>
    <row r="1982">
      <c r="A1982" s="86"/>
      <c r="B1982" s="87"/>
      <c r="C1982" s="88"/>
      <c r="D1982" s="104"/>
      <c r="E1982" s="104"/>
      <c r="F1982" s="104"/>
      <c r="G1982" s="104"/>
      <c r="H1982" s="104"/>
      <c r="I1982" s="104"/>
      <c r="J1982" s="104"/>
      <c r="K1982" s="32"/>
      <c r="L1982" s="32"/>
      <c r="M1982" s="32"/>
      <c r="N1982" s="32"/>
      <c r="O1982" s="106"/>
      <c r="P1982" s="91">
        <f>IFERROR(__xludf.DUMMYFUNCTION("IFERROR(sum(FILTER($D:$N,$C:$C = $C1982,$A:$A &lt; $A1982,$B:$B = 12)),0) + sum($D1982:$N1982)"),0.0)</f>
        <v>0</v>
      </c>
      <c r="Q1982" s="92">
        <f t="shared" si="1"/>
        <v>0</v>
      </c>
      <c r="R1982" s="91">
        <f t="array" ref="R1982">IFERROR(INDEX('Fund YTD Target Values'!$1:$1000, MATCH($C1982,'Fund YTD Target Values'!$A:$A,0), MATCH($A1982,'Fund YTD Target Values'!$1:$1,0)),0)</f>
        <v>0</v>
      </c>
      <c r="S1982" s="91">
        <f>IFERROR(__xludf.DUMMYFUNCTION("IFERROR(sum(FILTER('Fund Investment Data'!$V:$V, 'Fund Investment Data'!$C:$C = $C1982, 'Fund Investment Data'!$A:$A &lt; $A1982)),0) + IFERROR(sum(FILTER('Fund Investment Data'!$V:$V, 'Fund Investment Data'!$C:$C = $C1982, 'Fund Investment Data'!$A:$A = $A1"&amp;"982, 'Fund Investment Data'!$B:$B &lt;= $B1982)),0)"),0.0)</f>
        <v>0</v>
      </c>
      <c r="T1982" s="32"/>
      <c r="U1982" s="32"/>
      <c r="V1982" s="32">
        <f>IFERROR(__xludf.DUMMYFUNCTION("$D1982 - IFERROR(FILTER($D:$D,$C:$C = $C1982, $A:$A = $A1982, $B:$B = $B1982 - 1),0)"),0.0)</f>
        <v>0</v>
      </c>
      <c r="W1982" s="93">
        <f>IFERROR(__xludf.DUMMYFUNCTION("$E1982 - IFERROR(FILTER($E:$E,$C:$C = $C1982, $A:$A = $A1982, $B:$B = $B1982 - 1),0)"),0.0)</f>
        <v>0</v>
      </c>
      <c r="X1982" s="91">
        <f>IFERROR(__xludf.DUMMYFUNCTION("iFERROR((FILTER('Fund Investment Data'!$Z:$Z, 'Fund Investment Data'!$C:$C = $C1982, 'Fund Investment Data'!$A:$A = $A1982 - 1, 'Fund Investment Data'!$B:$B = 12) + FILTER('Fund Investment Data'!$AB:$AB, 'Fund Investment Data'!$C:$C = $C1982, 'Fund Invest"&amp;"ment Data'!$A:$A = $A1982 - 1, 'Fund Investment Data'!$B:$B = 12)) * (1 + AVERAGE(FILTER('Inflation Data'!$C:$C,'Inflation Data'!$A:$A = ($A1982 - 2)))) * Parameters!$A$4,0)"),0.0)</f>
        <v>0</v>
      </c>
      <c r="Y1982" s="91">
        <f>IFERROR(__xludf.DUMMYFUNCTION("IFERROR((IFERROR(FILTER('Fund Investment Data'!$P:$P,'Fund Investment Data'!$C:$C = $C1982,'Fund Investment Data'!$A:$A = ($A1982 - 2), 'Fund Investment Data'!$B:$B = 12),0) - SUM(FILTER('Fund Investment Data'!$V:$V, 'Fund Investment Data'!$C:$C = $C1982,"&amp;" 'Fund Investment Data'!$A:$A = ($A1982 - 2), 'Fund Investment Data'!$B:$B &gt; 3)))  * Parameters!$B$4 * (1 - Parameters!$A$4),0)"),0.0)</f>
        <v>0</v>
      </c>
      <c r="Z1982" s="91">
        <f t="shared" si="24"/>
        <v>0</v>
      </c>
      <c r="AA1982" s="91">
        <f>IFERROR(__xludf.DUMMYFUNCTION("((IFERROR((SUM(FILTER('Fund Investment Data'!$V:$V, 'Fund Investment Data'!$C:$C = $C1982, 'Fund Investment Data'!$A:$A = $A1982 - 1, 'Fund Investment Data'!$B:$B &gt;= 4, 'Fund Investment Data'!$B:$B &lt;= ($B1982 + 5))) / 12) * ($B1982 - 3) * Parameters!$B$4,"&amp;" 0) + IF($B1982 &gt;= 9, IFERROR(SUM(FILTER('Fund Investment Data'!$V:$V, 'Fund Investment Data'!$C:$C = $C1982, 'Fund Investment Data'!$A:$A = $A1982, 'Fund Investment Data'!$B:$B &lt;= 3)) * Parameters!$B$4, 0),0)))"),0.0)</f>
        <v>0</v>
      </c>
      <c r="AB1982" s="32">
        <f>IFERROR(__xludf.DUMMYFUNCTION("IFERROR(((IFERROR(SUM(FILTER('Fund Investment Data'!$V:$V, 'Fund Investment Data'!$C:$C = $C1982, 'Fund Investment Data'!$A:$A = $A1982 - 2, 'Fund Investment Data'!$B:$B &gt;= 4)) * Parameters!$B$4,0) + IFERROR(SUM(FILTER('Fund Investment Data'!$V:$V, 'Fund "&amp;"Investment Data'!$C:$C = $C1982, 'Fund Investment Data'!$A:$A = $A1982 - 1, 'Fund Investment Data'!$B:$B &lt;= 3)) * Parameters!$B$4,0))),0)"),0.0)</f>
        <v>0</v>
      </c>
      <c r="AC1982" s="32">
        <f>IFERROR(__xludf.DUMMYFUNCTION("IFERROR(FILTER($AF:$AF,$C:$C = $C1982,$A:$A = $A1982 - 1,$B:$B = 12),0)"),0.0)</f>
        <v>0</v>
      </c>
      <c r="AD1982" s="32">
        <f t="shared" si="23"/>
        <v>0</v>
      </c>
      <c r="AE1982" s="32">
        <f t="shared" si="2"/>
        <v>0</v>
      </c>
      <c r="AF1982" s="32"/>
    </row>
    <row r="1983">
      <c r="A1983" s="86"/>
      <c r="B1983" s="87"/>
      <c r="C1983" s="88"/>
      <c r="D1983" s="104"/>
      <c r="E1983" s="104"/>
      <c r="F1983" s="104"/>
      <c r="G1983" s="104"/>
      <c r="H1983" s="104"/>
      <c r="I1983" s="104"/>
      <c r="J1983" s="104"/>
      <c r="K1983" s="32"/>
      <c r="L1983" s="32"/>
      <c r="M1983" s="32"/>
      <c r="N1983" s="32"/>
      <c r="O1983" s="106"/>
      <c r="P1983" s="91">
        <f>IFERROR(__xludf.DUMMYFUNCTION("IFERROR(sum(FILTER($D:$N,$C:$C = $C1983,$A:$A &lt; $A1983,$B:$B = 12)),0) + sum($D1983:$N1983)"),0.0)</f>
        <v>0</v>
      </c>
      <c r="Q1983" s="92">
        <f t="shared" si="1"/>
        <v>0</v>
      </c>
      <c r="R1983" s="91">
        <f t="array" ref="R1983">IFERROR(INDEX('Fund YTD Target Values'!$1:$1000, MATCH($C1983,'Fund YTD Target Values'!$A:$A,0), MATCH($A1983,'Fund YTD Target Values'!$1:$1,0)),0)</f>
        <v>0</v>
      </c>
      <c r="S1983" s="91">
        <f>IFERROR(__xludf.DUMMYFUNCTION("IFERROR(sum(FILTER('Fund Investment Data'!$V:$V, 'Fund Investment Data'!$C:$C = $C1983, 'Fund Investment Data'!$A:$A &lt; $A1983)),0) + IFERROR(sum(FILTER('Fund Investment Data'!$V:$V, 'Fund Investment Data'!$C:$C = $C1983, 'Fund Investment Data'!$A:$A = $A1"&amp;"983, 'Fund Investment Data'!$B:$B &lt;= $B1983)),0)"),0.0)</f>
        <v>0</v>
      </c>
      <c r="T1983" s="32"/>
      <c r="U1983" s="32"/>
      <c r="V1983" s="32">
        <f>IFERROR(__xludf.DUMMYFUNCTION("$D1983 - IFERROR(FILTER($D:$D,$C:$C = $C1983, $A:$A = $A1983, $B:$B = $B1983 - 1),0)"),0.0)</f>
        <v>0</v>
      </c>
      <c r="W1983" s="93">
        <f>IFERROR(__xludf.DUMMYFUNCTION("$E1983 - IFERROR(FILTER($E:$E,$C:$C = $C1983, $A:$A = $A1983, $B:$B = $B1983 - 1),0)"),0.0)</f>
        <v>0</v>
      </c>
      <c r="X1983" s="91">
        <f>IFERROR(__xludf.DUMMYFUNCTION("iFERROR((FILTER('Fund Investment Data'!$Z:$Z, 'Fund Investment Data'!$C:$C = $C1983, 'Fund Investment Data'!$A:$A = $A1983 - 1, 'Fund Investment Data'!$B:$B = 12) + FILTER('Fund Investment Data'!$AB:$AB, 'Fund Investment Data'!$C:$C = $C1983, 'Fund Invest"&amp;"ment Data'!$A:$A = $A1983 - 1, 'Fund Investment Data'!$B:$B = 12)) * (1 + AVERAGE(FILTER('Inflation Data'!$C:$C,'Inflation Data'!$A:$A = ($A1983 - 2)))) * Parameters!$A$4,0)"),0.0)</f>
        <v>0</v>
      </c>
      <c r="Y1983" s="91">
        <f>IFERROR(__xludf.DUMMYFUNCTION("IFERROR((IFERROR(FILTER('Fund Investment Data'!$P:$P,'Fund Investment Data'!$C:$C = $C1983,'Fund Investment Data'!$A:$A = ($A1983 - 2), 'Fund Investment Data'!$B:$B = 12),0) - SUM(FILTER('Fund Investment Data'!$V:$V, 'Fund Investment Data'!$C:$C = $C1983,"&amp;" 'Fund Investment Data'!$A:$A = ($A1983 - 2), 'Fund Investment Data'!$B:$B &gt; 3)))  * Parameters!$B$4 * (1 - Parameters!$A$4),0)"),0.0)</f>
        <v>0</v>
      </c>
      <c r="Z1983" s="91">
        <f t="shared" si="24"/>
        <v>0</v>
      </c>
      <c r="AA1983" s="91">
        <f>IFERROR(__xludf.DUMMYFUNCTION("((IFERROR((SUM(FILTER('Fund Investment Data'!$V:$V, 'Fund Investment Data'!$C:$C = $C1983, 'Fund Investment Data'!$A:$A = $A1983 - 1, 'Fund Investment Data'!$B:$B &gt;= 4, 'Fund Investment Data'!$B:$B &lt;= ($B1983 + 5))) / 12) * ($B1983 - 3) * Parameters!$B$4,"&amp;" 0) + IF($B1983 &gt;= 9, IFERROR(SUM(FILTER('Fund Investment Data'!$V:$V, 'Fund Investment Data'!$C:$C = $C1983, 'Fund Investment Data'!$A:$A = $A1983, 'Fund Investment Data'!$B:$B &lt;= 3)) * Parameters!$B$4, 0),0)))"),0.0)</f>
        <v>0</v>
      </c>
      <c r="AB1983" s="32">
        <f>IFERROR(__xludf.DUMMYFUNCTION("IFERROR(((IFERROR(SUM(FILTER('Fund Investment Data'!$V:$V, 'Fund Investment Data'!$C:$C = $C1983, 'Fund Investment Data'!$A:$A = $A1983 - 2, 'Fund Investment Data'!$B:$B &gt;= 4)) * Parameters!$B$4,0) + IFERROR(SUM(FILTER('Fund Investment Data'!$V:$V, 'Fund "&amp;"Investment Data'!$C:$C = $C1983, 'Fund Investment Data'!$A:$A = $A1983 - 1, 'Fund Investment Data'!$B:$B &lt;= 3)) * Parameters!$B$4,0))),0)"),0.0)</f>
        <v>0</v>
      </c>
      <c r="AC1983" s="32">
        <f>IFERROR(__xludf.DUMMYFUNCTION("IFERROR(FILTER($AF:$AF,$C:$C = $C1983,$A:$A = $A1983 - 1,$B:$B = 12),0)"),0.0)</f>
        <v>0</v>
      </c>
      <c r="AD1983" s="32">
        <f t="shared" si="23"/>
        <v>0</v>
      </c>
      <c r="AE1983" s="32">
        <f t="shared" si="2"/>
        <v>0</v>
      </c>
      <c r="AF1983" s="32"/>
    </row>
    <row r="1984">
      <c r="A1984" s="86"/>
      <c r="B1984" s="87"/>
      <c r="C1984" s="88"/>
      <c r="D1984" s="104"/>
      <c r="E1984" s="104"/>
      <c r="F1984" s="104"/>
      <c r="G1984" s="104"/>
      <c r="H1984" s="104"/>
      <c r="I1984" s="104"/>
      <c r="J1984" s="104"/>
      <c r="K1984" s="32"/>
      <c r="L1984" s="32"/>
      <c r="M1984" s="32"/>
      <c r="N1984" s="32"/>
      <c r="O1984" s="106"/>
      <c r="P1984" s="91">
        <f>IFERROR(__xludf.DUMMYFUNCTION("IFERROR(sum(FILTER($D:$N,$C:$C = $C1984,$A:$A &lt; $A1984,$B:$B = 12)),0) + sum($D1984:$N1984)"),0.0)</f>
        <v>0</v>
      </c>
      <c r="Q1984" s="92">
        <f t="shared" si="1"/>
        <v>0</v>
      </c>
      <c r="R1984" s="91">
        <f t="array" ref="R1984">IFERROR(INDEX('Fund YTD Target Values'!$1:$1000, MATCH($C1984,'Fund YTD Target Values'!$A:$A,0), MATCH($A1984,'Fund YTD Target Values'!$1:$1,0)),0)</f>
        <v>0</v>
      </c>
      <c r="S1984" s="91">
        <f>IFERROR(__xludf.DUMMYFUNCTION("IFERROR(sum(FILTER('Fund Investment Data'!$V:$V, 'Fund Investment Data'!$C:$C = $C1984, 'Fund Investment Data'!$A:$A &lt; $A1984)),0) + IFERROR(sum(FILTER('Fund Investment Data'!$V:$V, 'Fund Investment Data'!$C:$C = $C1984, 'Fund Investment Data'!$A:$A = $A1"&amp;"984, 'Fund Investment Data'!$B:$B &lt;= $B1984)),0)"),0.0)</f>
        <v>0</v>
      </c>
      <c r="T1984" s="32"/>
      <c r="U1984" s="32"/>
      <c r="V1984" s="32">
        <f>IFERROR(__xludf.DUMMYFUNCTION("$D1984 - IFERROR(FILTER($D:$D,$C:$C = $C1984, $A:$A = $A1984, $B:$B = $B1984 - 1),0)"),0.0)</f>
        <v>0</v>
      </c>
      <c r="W1984" s="93">
        <f>IFERROR(__xludf.DUMMYFUNCTION("$E1984 - IFERROR(FILTER($E:$E,$C:$C = $C1984, $A:$A = $A1984, $B:$B = $B1984 - 1),0)"),0.0)</f>
        <v>0</v>
      </c>
      <c r="X1984" s="91">
        <f>IFERROR(__xludf.DUMMYFUNCTION("iFERROR((FILTER('Fund Investment Data'!$Z:$Z, 'Fund Investment Data'!$C:$C = $C1984, 'Fund Investment Data'!$A:$A = $A1984 - 1, 'Fund Investment Data'!$B:$B = 12) + FILTER('Fund Investment Data'!$AB:$AB, 'Fund Investment Data'!$C:$C = $C1984, 'Fund Invest"&amp;"ment Data'!$A:$A = $A1984 - 1, 'Fund Investment Data'!$B:$B = 12)) * (1 + AVERAGE(FILTER('Inflation Data'!$C:$C,'Inflation Data'!$A:$A = ($A1984 - 2)))) * Parameters!$A$4,0)"),0.0)</f>
        <v>0</v>
      </c>
      <c r="Y1984" s="91">
        <f>IFERROR(__xludf.DUMMYFUNCTION("IFERROR((IFERROR(FILTER('Fund Investment Data'!$P:$P,'Fund Investment Data'!$C:$C = $C1984,'Fund Investment Data'!$A:$A = ($A1984 - 2), 'Fund Investment Data'!$B:$B = 12),0) - SUM(FILTER('Fund Investment Data'!$V:$V, 'Fund Investment Data'!$C:$C = $C1984,"&amp;" 'Fund Investment Data'!$A:$A = ($A1984 - 2), 'Fund Investment Data'!$B:$B &gt; 3)))  * Parameters!$B$4 * (1 - Parameters!$A$4),0)"),0.0)</f>
        <v>0</v>
      </c>
      <c r="Z1984" s="91">
        <f t="shared" si="24"/>
        <v>0</v>
      </c>
      <c r="AA1984" s="91">
        <f>IFERROR(__xludf.DUMMYFUNCTION("((IFERROR((SUM(FILTER('Fund Investment Data'!$V:$V, 'Fund Investment Data'!$C:$C = $C1984, 'Fund Investment Data'!$A:$A = $A1984 - 1, 'Fund Investment Data'!$B:$B &gt;= 4, 'Fund Investment Data'!$B:$B &lt;= ($B1984 + 5))) / 12) * ($B1984 - 3) * Parameters!$B$4,"&amp;" 0) + IF($B1984 &gt;= 9, IFERROR(SUM(FILTER('Fund Investment Data'!$V:$V, 'Fund Investment Data'!$C:$C = $C1984, 'Fund Investment Data'!$A:$A = $A1984, 'Fund Investment Data'!$B:$B &lt;= 3)) * Parameters!$B$4, 0),0)))"),0.0)</f>
        <v>0</v>
      </c>
      <c r="AB1984" s="32">
        <f>IFERROR(__xludf.DUMMYFUNCTION("IFERROR(((IFERROR(SUM(FILTER('Fund Investment Data'!$V:$V, 'Fund Investment Data'!$C:$C = $C1984, 'Fund Investment Data'!$A:$A = $A1984 - 2, 'Fund Investment Data'!$B:$B &gt;= 4)) * Parameters!$B$4,0) + IFERROR(SUM(FILTER('Fund Investment Data'!$V:$V, 'Fund "&amp;"Investment Data'!$C:$C = $C1984, 'Fund Investment Data'!$A:$A = $A1984 - 1, 'Fund Investment Data'!$B:$B &lt;= 3)) * Parameters!$B$4,0))),0)"),0.0)</f>
        <v>0</v>
      </c>
      <c r="AC1984" s="32">
        <f>IFERROR(__xludf.DUMMYFUNCTION("IFERROR(FILTER($AF:$AF,$C:$C = $C1984,$A:$A = $A1984 - 1,$B:$B = 12),0)"),0.0)</f>
        <v>0</v>
      </c>
      <c r="AD1984" s="32">
        <f t="shared" si="23"/>
        <v>0</v>
      </c>
      <c r="AE1984" s="32">
        <f t="shared" si="2"/>
        <v>0</v>
      </c>
      <c r="AF1984" s="32"/>
    </row>
    <row r="1985">
      <c r="A1985" s="86"/>
      <c r="B1985" s="87"/>
      <c r="C1985" s="88"/>
      <c r="D1985" s="104"/>
      <c r="E1985" s="104"/>
      <c r="F1985" s="104"/>
      <c r="G1985" s="104"/>
      <c r="H1985" s="104"/>
      <c r="I1985" s="104"/>
      <c r="J1985" s="104"/>
      <c r="K1985" s="32"/>
      <c r="L1985" s="32"/>
      <c r="M1985" s="32"/>
      <c r="N1985" s="32"/>
      <c r="O1985" s="106"/>
      <c r="P1985" s="91">
        <f>IFERROR(__xludf.DUMMYFUNCTION("IFERROR(sum(FILTER($D:$N,$C:$C = $C1985,$A:$A &lt; $A1985,$B:$B = 12)),0) + sum($D1985:$N1985)"),0.0)</f>
        <v>0</v>
      </c>
      <c r="Q1985" s="92">
        <f t="shared" si="1"/>
        <v>0</v>
      </c>
      <c r="R1985" s="91">
        <f t="array" ref="R1985">IFERROR(INDEX('Fund YTD Target Values'!$1:$1000, MATCH($C1985,'Fund YTD Target Values'!$A:$A,0), MATCH($A1985,'Fund YTD Target Values'!$1:$1,0)),0)</f>
        <v>0</v>
      </c>
      <c r="S1985" s="91">
        <f>IFERROR(__xludf.DUMMYFUNCTION("IFERROR(sum(FILTER('Fund Investment Data'!$V:$V, 'Fund Investment Data'!$C:$C = $C1985, 'Fund Investment Data'!$A:$A &lt; $A1985)),0) + IFERROR(sum(FILTER('Fund Investment Data'!$V:$V, 'Fund Investment Data'!$C:$C = $C1985, 'Fund Investment Data'!$A:$A = $A1"&amp;"985, 'Fund Investment Data'!$B:$B &lt;= $B1985)),0)"),0.0)</f>
        <v>0</v>
      </c>
      <c r="T1985" s="32"/>
      <c r="U1985" s="32"/>
      <c r="V1985" s="32">
        <f>IFERROR(__xludf.DUMMYFUNCTION("$D1985 - IFERROR(FILTER($D:$D,$C:$C = $C1985, $A:$A = $A1985, $B:$B = $B1985 - 1),0)"),0.0)</f>
        <v>0</v>
      </c>
      <c r="W1985" s="93">
        <f>IFERROR(__xludf.DUMMYFUNCTION("$E1985 - IFERROR(FILTER($E:$E,$C:$C = $C1985, $A:$A = $A1985, $B:$B = $B1985 - 1),0)"),0.0)</f>
        <v>0</v>
      </c>
      <c r="X1985" s="91">
        <f>IFERROR(__xludf.DUMMYFUNCTION("iFERROR((FILTER('Fund Investment Data'!$Z:$Z, 'Fund Investment Data'!$C:$C = $C1985, 'Fund Investment Data'!$A:$A = $A1985 - 1, 'Fund Investment Data'!$B:$B = 12) + FILTER('Fund Investment Data'!$AB:$AB, 'Fund Investment Data'!$C:$C = $C1985, 'Fund Invest"&amp;"ment Data'!$A:$A = $A1985 - 1, 'Fund Investment Data'!$B:$B = 12)) * (1 + AVERAGE(FILTER('Inflation Data'!$C:$C,'Inflation Data'!$A:$A = ($A1985 - 2)))) * Parameters!$A$4,0)"),0.0)</f>
        <v>0</v>
      </c>
      <c r="Y1985" s="91">
        <f>IFERROR(__xludf.DUMMYFUNCTION("IFERROR((IFERROR(FILTER('Fund Investment Data'!$P:$P,'Fund Investment Data'!$C:$C = $C1985,'Fund Investment Data'!$A:$A = ($A1985 - 2), 'Fund Investment Data'!$B:$B = 12),0) - SUM(FILTER('Fund Investment Data'!$V:$V, 'Fund Investment Data'!$C:$C = $C1985,"&amp;" 'Fund Investment Data'!$A:$A = ($A1985 - 2), 'Fund Investment Data'!$B:$B &gt; 3)))  * Parameters!$B$4 * (1 - Parameters!$A$4),0)"),0.0)</f>
        <v>0</v>
      </c>
      <c r="Z1985" s="91">
        <f t="shared" si="24"/>
        <v>0</v>
      </c>
      <c r="AA1985" s="91">
        <f>IFERROR(__xludf.DUMMYFUNCTION("((IFERROR((SUM(FILTER('Fund Investment Data'!$V:$V, 'Fund Investment Data'!$C:$C = $C1985, 'Fund Investment Data'!$A:$A = $A1985 - 1, 'Fund Investment Data'!$B:$B &gt;= 4, 'Fund Investment Data'!$B:$B &lt;= ($B1985 + 5))) / 12) * ($B1985 - 3) * Parameters!$B$4,"&amp;" 0) + IF($B1985 &gt;= 9, IFERROR(SUM(FILTER('Fund Investment Data'!$V:$V, 'Fund Investment Data'!$C:$C = $C1985, 'Fund Investment Data'!$A:$A = $A1985, 'Fund Investment Data'!$B:$B &lt;= 3)) * Parameters!$B$4, 0),0)))"),0.0)</f>
        <v>0</v>
      </c>
      <c r="AB1985" s="32">
        <f>IFERROR(__xludf.DUMMYFUNCTION("IFERROR(((IFERROR(SUM(FILTER('Fund Investment Data'!$V:$V, 'Fund Investment Data'!$C:$C = $C1985, 'Fund Investment Data'!$A:$A = $A1985 - 2, 'Fund Investment Data'!$B:$B &gt;= 4)) * Parameters!$B$4,0) + IFERROR(SUM(FILTER('Fund Investment Data'!$V:$V, 'Fund "&amp;"Investment Data'!$C:$C = $C1985, 'Fund Investment Data'!$A:$A = $A1985 - 1, 'Fund Investment Data'!$B:$B &lt;= 3)) * Parameters!$B$4,0))),0)"),0.0)</f>
        <v>0</v>
      </c>
      <c r="AC1985" s="32">
        <f>IFERROR(__xludf.DUMMYFUNCTION("IFERROR(FILTER($AF:$AF,$C:$C = $C1985,$A:$A = $A1985 - 1,$B:$B = 12),0)"),0.0)</f>
        <v>0</v>
      </c>
      <c r="AD1985" s="32">
        <f t="shared" si="23"/>
        <v>0</v>
      </c>
      <c r="AE1985" s="32">
        <f t="shared" si="2"/>
        <v>0</v>
      </c>
      <c r="AF1985" s="32"/>
    </row>
    <row r="1986">
      <c r="A1986" s="86"/>
      <c r="B1986" s="87"/>
      <c r="C1986" s="88"/>
      <c r="D1986" s="104"/>
      <c r="E1986" s="104"/>
      <c r="F1986" s="104"/>
      <c r="G1986" s="104"/>
      <c r="H1986" s="104"/>
      <c r="I1986" s="104"/>
      <c r="J1986" s="104"/>
      <c r="K1986" s="32"/>
      <c r="L1986" s="32"/>
      <c r="M1986" s="32"/>
      <c r="N1986" s="32"/>
      <c r="O1986" s="106"/>
      <c r="P1986" s="91">
        <f>IFERROR(__xludf.DUMMYFUNCTION("IFERROR(sum(FILTER($D:$N,$C:$C = $C1986,$A:$A &lt; $A1986,$B:$B = 12)),0) + sum($D1986:$N1986)"),0.0)</f>
        <v>0</v>
      </c>
      <c r="Q1986" s="92">
        <f t="shared" si="1"/>
        <v>0</v>
      </c>
      <c r="R1986" s="91">
        <f t="array" ref="R1986">IFERROR(INDEX('Fund YTD Target Values'!$1:$1000, MATCH($C1986,'Fund YTD Target Values'!$A:$A,0), MATCH($A1986,'Fund YTD Target Values'!$1:$1,0)),0)</f>
        <v>0</v>
      </c>
      <c r="S1986" s="91">
        <f>IFERROR(__xludf.DUMMYFUNCTION("IFERROR(sum(FILTER('Fund Investment Data'!$V:$V, 'Fund Investment Data'!$C:$C = $C1986, 'Fund Investment Data'!$A:$A &lt; $A1986)),0) + IFERROR(sum(FILTER('Fund Investment Data'!$V:$V, 'Fund Investment Data'!$C:$C = $C1986, 'Fund Investment Data'!$A:$A = $A1"&amp;"986, 'Fund Investment Data'!$B:$B &lt;= $B1986)),0)"),0.0)</f>
        <v>0</v>
      </c>
      <c r="T1986" s="32"/>
      <c r="U1986" s="32"/>
      <c r="V1986" s="32">
        <f>IFERROR(__xludf.DUMMYFUNCTION("$D1986 - IFERROR(FILTER($D:$D,$C:$C = $C1986, $A:$A = $A1986, $B:$B = $B1986 - 1),0)"),0.0)</f>
        <v>0</v>
      </c>
      <c r="W1986" s="93">
        <f>IFERROR(__xludf.DUMMYFUNCTION("$E1986 - IFERROR(FILTER($E:$E,$C:$C = $C1986, $A:$A = $A1986, $B:$B = $B1986 - 1),0)"),0.0)</f>
        <v>0</v>
      </c>
      <c r="X1986" s="91">
        <f>IFERROR(__xludf.DUMMYFUNCTION("iFERROR((FILTER('Fund Investment Data'!$Z:$Z, 'Fund Investment Data'!$C:$C = $C1986, 'Fund Investment Data'!$A:$A = $A1986 - 1, 'Fund Investment Data'!$B:$B = 12) + FILTER('Fund Investment Data'!$AB:$AB, 'Fund Investment Data'!$C:$C = $C1986, 'Fund Invest"&amp;"ment Data'!$A:$A = $A1986 - 1, 'Fund Investment Data'!$B:$B = 12)) * (1 + AVERAGE(FILTER('Inflation Data'!$C:$C,'Inflation Data'!$A:$A = ($A1986 - 2)))) * Parameters!$A$4,0)"),0.0)</f>
        <v>0</v>
      </c>
      <c r="Y1986" s="91">
        <f>IFERROR(__xludf.DUMMYFUNCTION("IFERROR((IFERROR(FILTER('Fund Investment Data'!$P:$P,'Fund Investment Data'!$C:$C = $C1986,'Fund Investment Data'!$A:$A = ($A1986 - 2), 'Fund Investment Data'!$B:$B = 12),0) - SUM(FILTER('Fund Investment Data'!$V:$V, 'Fund Investment Data'!$C:$C = $C1986,"&amp;" 'Fund Investment Data'!$A:$A = ($A1986 - 2), 'Fund Investment Data'!$B:$B &gt; 3)))  * Parameters!$B$4 * (1 - Parameters!$A$4),0)"),0.0)</f>
        <v>0</v>
      </c>
      <c r="Z1986" s="91">
        <f t="shared" si="24"/>
        <v>0</v>
      </c>
      <c r="AA1986" s="91">
        <f>IFERROR(__xludf.DUMMYFUNCTION("((IFERROR((SUM(FILTER('Fund Investment Data'!$V:$V, 'Fund Investment Data'!$C:$C = $C1986, 'Fund Investment Data'!$A:$A = $A1986 - 1, 'Fund Investment Data'!$B:$B &gt;= 4, 'Fund Investment Data'!$B:$B &lt;= ($B1986 + 5))) / 12) * ($B1986 - 3) * Parameters!$B$4,"&amp;" 0) + IF($B1986 &gt;= 9, IFERROR(SUM(FILTER('Fund Investment Data'!$V:$V, 'Fund Investment Data'!$C:$C = $C1986, 'Fund Investment Data'!$A:$A = $A1986, 'Fund Investment Data'!$B:$B &lt;= 3)) * Parameters!$B$4, 0),0)))"),0.0)</f>
        <v>0</v>
      </c>
      <c r="AB1986" s="32">
        <f>IFERROR(__xludf.DUMMYFUNCTION("IFERROR(((IFERROR(SUM(FILTER('Fund Investment Data'!$V:$V, 'Fund Investment Data'!$C:$C = $C1986, 'Fund Investment Data'!$A:$A = $A1986 - 2, 'Fund Investment Data'!$B:$B &gt;= 4)) * Parameters!$B$4,0) + IFERROR(SUM(FILTER('Fund Investment Data'!$V:$V, 'Fund "&amp;"Investment Data'!$C:$C = $C1986, 'Fund Investment Data'!$A:$A = $A1986 - 1, 'Fund Investment Data'!$B:$B &lt;= 3)) * Parameters!$B$4,0))),0)"),0.0)</f>
        <v>0</v>
      </c>
      <c r="AC1986" s="32">
        <f>IFERROR(__xludf.DUMMYFUNCTION("IFERROR(FILTER($AF:$AF,$C:$C = $C1986,$A:$A = $A1986 - 1,$B:$B = 12),0)"),0.0)</f>
        <v>0</v>
      </c>
      <c r="AD1986" s="32">
        <f t="shared" si="23"/>
        <v>0</v>
      </c>
      <c r="AE1986" s="32">
        <f t="shared" si="2"/>
        <v>0</v>
      </c>
      <c r="AF1986" s="32"/>
    </row>
    <row r="1987">
      <c r="A1987" s="86"/>
      <c r="B1987" s="87"/>
      <c r="C1987" s="88"/>
      <c r="D1987" s="104"/>
      <c r="E1987" s="104"/>
      <c r="F1987" s="104"/>
      <c r="G1987" s="104"/>
      <c r="H1987" s="104"/>
      <c r="I1987" s="104"/>
      <c r="J1987" s="104"/>
      <c r="K1987" s="32"/>
      <c r="L1987" s="32"/>
      <c r="M1987" s="32"/>
      <c r="N1987" s="32"/>
      <c r="O1987" s="106"/>
      <c r="P1987" s="91">
        <f>IFERROR(__xludf.DUMMYFUNCTION("IFERROR(sum(FILTER($D:$N,$C:$C = $C1987,$A:$A &lt; $A1987,$B:$B = 12)),0) + sum($D1987:$N1987)"),0.0)</f>
        <v>0</v>
      </c>
      <c r="Q1987" s="92">
        <f t="shared" si="1"/>
        <v>0</v>
      </c>
      <c r="R1987" s="91">
        <f t="array" ref="R1987">IFERROR(INDEX('Fund YTD Target Values'!$1:$1000, MATCH($C1987,'Fund YTD Target Values'!$A:$A,0), MATCH($A1987,'Fund YTD Target Values'!$1:$1,0)),0)</f>
        <v>0</v>
      </c>
      <c r="S1987" s="91">
        <f>IFERROR(__xludf.DUMMYFUNCTION("IFERROR(sum(FILTER('Fund Investment Data'!$V:$V, 'Fund Investment Data'!$C:$C = $C1987, 'Fund Investment Data'!$A:$A &lt; $A1987)),0) + IFERROR(sum(FILTER('Fund Investment Data'!$V:$V, 'Fund Investment Data'!$C:$C = $C1987, 'Fund Investment Data'!$A:$A = $A1"&amp;"987, 'Fund Investment Data'!$B:$B &lt;= $B1987)),0)"),0.0)</f>
        <v>0</v>
      </c>
      <c r="T1987" s="32"/>
      <c r="U1987" s="32"/>
      <c r="V1987" s="32">
        <f>IFERROR(__xludf.DUMMYFUNCTION("$D1987 - IFERROR(FILTER($D:$D,$C:$C = $C1987, $A:$A = $A1987, $B:$B = $B1987 - 1),0)"),0.0)</f>
        <v>0</v>
      </c>
      <c r="W1987" s="93">
        <f>IFERROR(__xludf.DUMMYFUNCTION("$E1987 - IFERROR(FILTER($E:$E,$C:$C = $C1987, $A:$A = $A1987, $B:$B = $B1987 - 1),0)"),0.0)</f>
        <v>0</v>
      </c>
      <c r="X1987" s="91">
        <f>IFERROR(__xludf.DUMMYFUNCTION("iFERROR((FILTER('Fund Investment Data'!$Z:$Z, 'Fund Investment Data'!$C:$C = $C1987, 'Fund Investment Data'!$A:$A = $A1987 - 1, 'Fund Investment Data'!$B:$B = 12) + FILTER('Fund Investment Data'!$AB:$AB, 'Fund Investment Data'!$C:$C = $C1987, 'Fund Invest"&amp;"ment Data'!$A:$A = $A1987 - 1, 'Fund Investment Data'!$B:$B = 12)) * (1 + AVERAGE(FILTER('Inflation Data'!$C:$C,'Inflation Data'!$A:$A = ($A1987 - 2)))) * Parameters!$A$4,0)"),0.0)</f>
        <v>0</v>
      </c>
      <c r="Y1987" s="91">
        <f>IFERROR(__xludf.DUMMYFUNCTION("IFERROR((IFERROR(FILTER('Fund Investment Data'!$P:$P,'Fund Investment Data'!$C:$C = $C1987,'Fund Investment Data'!$A:$A = ($A1987 - 2), 'Fund Investment Data'!$B:$B = 12),0) - SUM(FILTER('Fund Investment Data'!$V:$V, 'Fund Investment Data'!$C:$C = $C1987,"&amp;" 'Fund Investment Data'!$A:$A = ($A1987 - 2), 'Fund Investment Data'!$B:$B &gt; 3)))  * Parameters!$B$4 * (1 - Parameters!$A$4),0)"),0.0)</f>
        <v>0</v>
      </c>
      <c r="Z1987" s="91">
        <f t="shared" si="24"/>
        <v>0</v>
      </c>
      <c r="AA1987" s="91">
        <f>IFERROR(__xludf.DUMMYFUNCTION("((IFERROR((SUM(FILTER('Fund Investment Data'!$V:$V, 'Fund Investment Data'!$C:$C = $C1987, 'Fund Investment Data'!$A:$A = $A1987 - 1, 'Fund Investment Data'!$B:$B &gt;= 4, 'Fund Investment Data'!$B:$B &lt;= ($B1987 + 5))) / 12) * ($B1987 - 3) * Parameters!$B$4,"&amp;" 0) + IF($B1987 &gt;= 9, IFERROR(SUM(FILTER('Fund Investment Data'!$V:$V, 'Fund Investment Data'!$C:$C = $C1987, 'Fund Investment Data'!$A:$A = $A1987, 'Fund Investment Data'!$B:$B &lt;= 3)) * Parameters!$B$4, 0),0)))"),0.0)</f>
        <v>0</v>
      </c>
      <c r="AB1987" s="32">
        <f>IFERROR(__xludf.DUMMYFUNCTION("IFERROR(((IFERROR(SUM(FILTER('Fund Investment Data'!$V:$V, 'Fund Investment Data'!$C:$C = $C1987, 'Fund Investment Data'!$A:$A = $A1987 - 2, 'Fund Investment Data'!$B:$B &gt;= 4)) * Parameters!$B$4,0) + IFERROR(SUM(FILTER('Fund Investment Data'!$V:$V, 'Fund "&amp;"Investment Data'!$C:$C = $C1987, 'Fund Investment Data'!$A:$A = $A1987 - 1, 'Fund Investment Data'!$B:$B &lt;= 3)) * Parameters!$B$4,0))),0)"),0.0)</f>
        <v>0</v>
      </c>
      <c r="AC1987" s="32">
        <f>IFERROR(__xludf.DUMMYFUNCTION("IFERROR(FILTER($AF:$AF,$C:$C = $C1987,$A:$A = $A1987 - 1,$B:$B = 12),0)"),0.0)</f>
        <v>0</v>
      </c>
      <c r="AD1987" s="32">
        <f t="shared" si="23"/>
        <v>0</v>
      </c>
      <c r="AE1987" s="32">
        <f t="shared" si="2"/>
        <v>0</v>
      </c>
      <c r="AF1987" s="32"/>
    </row>
    <row r="1988">
      <c r="A1988" s="86"/>
      <c r="B1988" s="87"/>
      <c r="C1988" s="88"/>
      <c r="D1988" s="104"/>
      <c r="E1988" s="104"/>
      <c r="F1988" s="104"/>
      <c r="G1988" s="104"/>
      <c r="H1988" s="104"/>
      <c r="I1988" s="104"/>
      <c r="J1988" s="104"/>
      <c r="K1988" s="32"/>
      <c r="L1988" s="32"/>
      <c r="M1988" s="32"/>
      <c r="N1988" s="32"/>
      <c r="O1988" s="106"/>
      <c r="P1988" s="91">
        <f>IFERROR(__xludf.DUMMYFUNCTION("IFERROR(sum(FILTER($D:$N,$C:$C = $C1988,$A:$A &lt; $A1988,$B:$B = 12)),0) + sum($D1988:$N1988)"),0.0)</f>
        <v>0</v>
      </c>
      <c r="Q1988" s="92">
        <f t="shared" si="1"/>
        <v>0</v>
      </c>
      <c r="R1988" s="91">
        <f t="array" ref="R1988">IFERROR(INDEX('Fund YTD Target Values'!$1:$1000, MATCH($C1988,'Fund YTD Target Values'!$A:$A,0), MATCH($A1988,'Fund YTD Target Values'!$1:$1,0)),0)</f>
        <v>0</v>
      </c>
      <c r="S1988" s="91">
        <f>IFERROR(__xludf.DUMMYFUNCTION("IFERROR(sum(FILTER('Fund Investment Data'!$V:$V, 'Fund Investment Data'!$C:$C = $C1988, 'Fund Investment Data'!$A:$A &lt; $A1988)),0) + IFERROR(sum(FILTER('Fund Investment Data'!$V:$V, 'Fund Investment Data'!$C:$C = $C1988, 'Fund Investment Data'!$A:$A = $A1"&amp;"988, 'Fund Investment Data'!$B:$B &lt;= $B1988)),0)"),0.0)</f>
        <v>0</v>
      </c>
      <c r="T1988" s="32"/>
      <c r="U1988" s="32"/>
      <c r="V1988" s="32">
        <f>IFERROR(__xludf.DUMMYFUNCTION("$D1988 - IFERROR(FILTER($D:$D,$C:$C = $C1988, $A:$A = $A1988, $B:$B = $B1988 - 1),0)"),0.0)</f>
        <v>0</v>
      </c>
      <c r="W1988" s="93">
        <f>IFERROR(__xludf.DUMMYFUNCTION("$E1988 - IFERROR(FILTER($E:$E,$C:$C = $C1988, $A:$A = $A1988, $B:$B = $B1988 - 1),0)"),0.0)</f>
        <v>0</v>
      </c>
      <c r="X1988" s="91">
        <f>IFERROR(__xludf.DUMMYFUNCTION("iFERROR((FILTER('Fund Investment Data'!$Z:$Z, 'Fund Investment Data'!$C:$C = $C1988, 'Fund Investment Data'!$A:$A = $A1988 - 1, 'Fund Investment Data'!$B:$B = 12) + FILTER('Fund Investment Data'!$AB:$AB, 'Fund Investment Data'!$C:$C = $C1988, 'Fund Invest"&amp;"ment Data'!$A:$A = $A1988 - 1, 'Fund Investment Data'!$B:$B = 12)) * (1 + AVERAGE(FILTER('Inflation Data'!$C:$C,'Inflation Data'!$A:$A = ($A1988 - 2)))) * Parameters!$A$4,0)"),0.0)</f>
        <v>0</v>
      </c>
      <c r="Y1988" s="91">
        <f>IFERROR(__xludf.DUMMYFUNCTION("IFERROR((IFERROR(FILTER('Fund Investment Data'!$P:$P,'Fund Investment Data'!$C:$C = $C1988,'Fund Investment Data'!$A:$A = ($A1988 - 2), 'Fund Investment Data'!$B:$B = 12),0) - SUM(FILTER('Fund Investment Data'!$V:$V, 'Fund Investment Data'!$C:$C = $C1988,"&amp;" 'Fund Investment Data'!$A:$A = ($A1988 - 2), 'Fund Investment Data'!$B:$B &gt; 3)))  * Parameters!$B$4 * (1 - Parameters!$A$4),0)"),0.0)</f>
        <v>0</v>
      </c>
      <c r="Z1988" s="91">
        <f t="shared" si="24"/>
        <v>0</v>
      </c>
      <c r="AA1988" s="91">
        <f>IFERROR(__xludf.DUMMYFUNCTION("((IFERROR((SUM(FILTER('Fund Investment Data'!$V:$V, 'Fund Investment Data'!$C:$C = $C1988, 'Fund Investment Data'!$A:$A = $A1988 - 1, 'Fund Investment Data'!$B:$B &gt;= 4, 'Fund Investment Data'!$B:$B &lt;= ($B1988 + 5))) / 12) * ($B1988 - 3) * Parameters!$B$4,"&amp;" 0) + IF($B1988 &gt;= 9, IFERROR(SUM(FILTER('Fund Investment Data'!$V:$V, 'Fund Investment Data'!$C:$C = $C1988, 'Fund Investment Data'!$A:$A = $A1988, 'Fund Investment Data'!$B:$B &lt;= 3)) * Parameters!$B$4, 0),0)))"),0.0)</f>
        <v>0</v>
      </c>
      <c r="AB1988" s="32">
        <f>IFERROR(__xludf.DUMMYFUNCTION("IFERROR(((IFERROR(SUM(FILTER('Fund Investment Data'!$V:$V, 'Fund Investment Data'!$C:$C = $C1988, 'Fund Investment Data'!$A:$A = $A1988 - 2, 'Fund Investment Data'!$B:$B &gt;= 4)) * Parameters!$B$4,0) + IFERROR(SUM(FILTER('Fund Investment Data'!$V:$V, 'Fund "&amp;"Investment Data'!$C:$C = $C1988, 'Fund Investment Data'!$A:$A = $A1988 - 1, 'Fund Investment Data'!$B:$B &lt;= 3)) * Parameters!$B$4,0))),0)"),0.0)</f>
        <v>0</v>
      </c>
      <c r="AC1988" s="32">
        <f>IFERROR(__xludf.DUMMYFUNCTION("IFERROR(FILTER($AF:$AF,$C:$C = $C1988,$A:$A = $A1988 - 1,$B:$B = 12),0)"),0.0)</f>
        <v>0</v>
      </c>
      <c r="AD1988" s="32">
        <f t="shared" si="23"/>
        <v>0</v>
      </c>
      <c r="AE1988" s="32">
        <f t="shared" si="2"/>
        <v>0</v>
      </c>
      <c r="AF1988" s="32"/>
    </row>
    <row r="1989">
      <c r="A1989" s="86"/>
      <c r="B1989" s="87"/>
      <c r="C1989" s="88"/>
      <c r="D1989" s="104"/>
      <c r="E1989" s="104"/>
      <c r="F1989" s="104"/>
      <c r="G1989" s="104"/>
      <c r="H1989" s="104"/>
      <c r="I1989" s="104"/>
      <c r="J1989" s="104"/>
      <c r="K1989" s="32"/>
      <c r="L1989" s="32"/>
      <c r="M1989" s="32"/>
      <c r="N1989" s="32"/>
      <c r="O1989" s="106"/>
      <c r="P1989" s="91">
        <f>IFERROR(__xludf.DUMMYFUNCTION("IFERROR(sum(FILTER($D:$N,$C:$C = $C1989,$A:$A &lt; $A1989,$B:$B = 12)),0) + sum($D1989:$N1989)"),0.0)</f>
        <v>0</v>
      </c>
      <c r="Q1989" s="92">
        <f t="shared" si="1"/>
        <v>0</v>
      </c>
      <c r="R1989" s="91">
        <f t="array" ref="R1989">IFERROR(INDEX('Fund YTD Target Values'!$1:$1000, MATCH($C1989,'Fund YTD Target Values'!$A:$A,0), MATCH($A1989,'Fund YTD Target Values'!$1:$1,0)),0)</f>
        <v>0</v>
      </c>
      <c r="S1989" s="91">
        <f>IFERROR(__xludf.DUMMYFUNCTION("IFERROR(sum(FILTER('Fund Investment Data'!$V:$V, 'Fund Investment Data'!$C:$C = $C1989, 'Fund Investment Data'!$A:$A &lt; $A1989)),0) + IFERROR(sum(FILTER('Fund Investment Data'!$V:$V, 'Fund Investment Data'!$C:$C = $C1989, 'Fund Investment Data'!$A:$A = $A1"&amp;"989, 'Fund Investment Data'!$B:$B &lt;= $B1989)),0)"),0.0)</f>
        <v>0</v>
      </c>
      <c r="T1989" s="32"/>
      <c r="U1989" s="32"/>
      <c r="V1989" s="32">
        <f>IFERROR(__xludf.DUMMYFUNCTION("$D1989 - IFERROR(FILTER($D:$D,$C:$C = $C1989, $A:$A = $A1989, $B:$B = $B1989 - 1),0)"),0.0)</f>
        <v>0</v>
      </c>
      <c r="W1989" s="93">
        <f>IFERROR(__xludf.DUMMYFUNCTION("$E1989 - IFERROR(FILTER($E:$E,$C:$C = $C1989, $A:$A = $A1989, $B:$B = $B1989 - 1),0)"),0.0)</f>
        <v>0</v>
      </c>
      <c r="X1989" s="91">
        <f>IFERROR(__xludf.DUMMYFUNCTION("iFERROR((FILTER('Fund Investment Data'!$Z:$Z, 'Fund Investment Data'!$C:$C = $C1989, 'Fund Investment Data'!$A:$A = $A1989 - 1, 'Fund Investment Data'!$B:$B = 12) + FILTER('Fund Investment Data'!$AB:$AB, 'Fund Investment Data'!$C:$C = $C1989, 'Fund Invest"&amp;"ment Data'!$A:$A = $A1989 - 1, 'Fund Investment Data'!$B:$B = 12)) * (1 + AVERAGE(FILTER('Inflation Data'!$C:$C,'Inflation Data'!$A:$A = ($A1989 - 2)))) * Parameters!$A$4,0)"),0.0)</f>
        <v>0</v>
      </c>
      <c r="Y1989" s="91">
        <f>IFERROR(__xludf.DUMMYFUNCTION("IFERROR((IFERROR(FILTER('Fund Investment Data'!$P:$P,'Fund Investment Data'!$C:$C = $C1989,'Fund Investment Data'!$A:$A = ($A1989 - 2), 'Fund Investment Data'!$B:$B = 12),0) - SUM(FILTER('Fund Investment Data'!$V:$V, 'Fund Investment Data'!$C:$C = $C1989,"&amp;" 'Fund Investment Data'!$A:$A = ($A1989 - 2), 'Fund Investment Data'!$B:$B &gt; 3)))  * Parameters!$B$4 * (1 - Parameters!$A$4),0)"),0.0)</f>
        <v>0</v>
      </c>
      <c r="Z1989" s="91">
        <f t="shared" si="24"/>
        <v>0</v>
      </c>
      <c r="AA1989" s="91">
        <f>IFERROR(__xludf.DUMMYFUNCTION("((IFERROR((SUM(FILTER('Fund Investment Data'!$V:$V, 'Fund Investment Data'!$C:$C = $C1989, 'Fund Investment Data'!$A:$A = $A1989 - 1, 'Fund Investment Data'!$B:$B &gt;= 4, 'Fund Investment Data'!$B:$B &lt;= ($B1989 + 5))) / 12) * ($B1989 - 3) * Parameters!$B$4,"&amp;" 0) + IF($B1989 &gt;= 9, IFERROR(SUM(FILTER('Fund Investment Data'!$V:$V, 'Fund Investment Data'!$C:$C = $C1989, 'Fund Investment Data'!$A:$A = $A1989, 'Fund Investment Data'!$B:$B &lt;= 3)) * Parameters!$B$4, 0),0)))"),0.0)</f>
        <v>0</v>
      </c>
      <c r="AB1989" s="32">
        <f>IFERROR(__xludf.DUMMYFUNCTION("IFERROR(((IFERROR(SUM(FILTER('Fund Investment Data'!$V:$V, 'Fund Investment Data'!$C:$C = $C1989, 'Fund Investment Data'!$A:$A = $A1989 - 2, 'Fund Investment Data'!$B:$B &gt;= 4)) * Parameters!$B$4,0) + IFERROR(SUM(FILTER('Fund Investment Data'!$V:$V, 'Fund "&amp;"Investment Data'!$C:$C = $C1989, 'Fund Investment Data'!$A:$A = $A1989 - 1, 'Fund Investment Data'!$B:$B &lt;= 3)) * Parameters!$B$4,0))),0)"),0.0)</f>
        <v>0</v>
      </c>
      <c r="AC1989" s="32">
        <f>IFERROR(__xludf.DUMMYFUNCTION("IFERROR(FILTER($AF:$AF,$C:$C = $C1989,$A:$A = $A1989 - 1,$B:$B = 12),0)"),0.0)</f>
        <v>0</v>
      </c>
      <c r="AD1989" s="32">
        <f t="shared" si="23"/>
        <v>0</v>
      </c>
      <c r="AE1989" s="32">
        <f t="shared" si="2"/>
        <v>0</v>
      </c>
      <c r="AF1989" s="32"/>
    </row>
    <row r="1990">
      <c r="A1990" s="86"/>
      <c r="B1990" s="87"/>
      <c r="C1990" s="88"/>
      <c r="D1990" s="104"/>
      <c r="E1990" s="104"/>
      <c r="F1990" s="104"/>
      <c r="G1990" s="104"/>
      <c r="H1990" s="104"/>
      <c r="I1990" s="104"/>
      <c r="J1990" s="104"/>
      <c r="K1990" s="32"/>
      <c r="L1990" s="32"/>
      <c r="M1990" s="32"/>
      <c r="N1990" s="32"/>
      <c r="O1990" s="106"/>
      <c r="P1990" s="91">
        <f>IFERROR(__xludf.DUMMYFUNCTION("IFERROR(sum(FILTER($D:$N,$C:$C = $C1990,$A:$A &lt; $A1990,$B:$B = 12)),0) + sum($D1990:$N1990)"),0.0)</f>
        <v>0</v>
      </c>
      <c r="Q1990" s="92">
        <f t="shared" si="1"/>
        <v>0</v>
      </c>
      <c r="R1990" s="91">
        <f t="array" ref="R1990">IFERROR(INDEX('Fund YTD Target Values'!$1:$1000, MATCH($C1990,'Fund YTD Target Values'!$A:$A,0), MATCH($A1990,'Fund YTD Target Values'!$1:$1,0)),0)</f>
        <v>0</v>
      </c>
      <c r="S1990" s="91">
        <f>IFERROR(__xludf.DUMMYFUNCTION("IFERROR(sum(FILTER('Fund Investment Data'!$V:$V, 'Fund Investment Data'!$C:$C = $C1990, 'Fund Investment Data'!$A:$A &lt; $A1990)),0) + IFERROR(sum(FILTER('Fund Investment Data'!$V:$V, 'Fund Investment Data'!$C:$C = $C1990, 'Fund Investment Data'!$A:$A = $A1"&amp;"990, 'Fund Investment Data'!$B:$B &lt;= $B1990)),0)"),0.0)</f>
        <v>0</v>
      </c>
      <c r="T1990" s="32"/>
      <c r="U1990" s="32"/>
      <c r="V1990" s="32">
        <f>IFERROR(__xludf.DUMMYFUNCTION("$D1990 - IFERROR(FILTER($D:$D,$C:$C = $C1990, $A:$A = $A1990, $B:$B = $B1990 - 1),0)"),0.0)</f>
        <v>0</v>
      </c>
      <c r="W1990" s="93">
        <f>IFERROR(__xludf.DUMMYFUNCTION("$E1990 - IFERROR(FILTER($E:$E,$C:$C = $C1990, $A:$A = $A1990, $B:$B = $B1990 - 1),0)"),0.0)</f>
        <v>0</v>
      </c>
      <c r="X1990" s="91">
        <f>IFERROR(__xludf.DUMMYFUNCTION("iFERROR((FILTER('Fund Investment Data'!$Z:$Z, 'Fund Investment Data'!$C:$C = $C1990, 'Fund Investment Data'!$A:$A = $A1990 - 1, 'Fund Investment Data'!$B:$B = 12) + FILTER('Fund Investment Data'!$AB:$AB, 'Fund Investment Data'!$C:$C = $C1990, 'Fund Invest"&amp;"ment Data'!$A:$A = $A1990 - 1, 'Fund Investment Data'!$B:$B = 12)) * (1 + AVERAGE(FILTER('Inflation Data'!$C:$C,'Inflation Data'!$A:$A = ($A1990 - 2)))) * Parameters!$A$4,0)"),0.0)</f>
        <v>0</v>
      </c>
      <c r="Y1990" s="91">
        <f>IFERROR(__xludf.DUMMYFUNCTION("IFERROR((IFERROR(FILTER('Fund Investment Data'!$P:$P,'Fund Investment Data'!$C:$C = $C1990,'Fund Investment Data'!$A:$A = ($A1990 - 2), 'Fund Investment Data'!$B:$B = 12),0) - SUM(FILTER('Fund Investment Data'!$V:$V, 'Fund Investment Data'!$C:$C = $C1990,"&amp;" 'Fund Investment Data'!$A:$A = ($A1990 - 2), 'Fund Investment Data'!$B:$B &gt; 3)))  * Parameters!$B$4 * (1 - Parameters!$A$4),0)"),0.0)</f>
        <v>0</v>
      </c>
      <c r="Z1990" s="91">
        <f t="shared" si="24"/>
        <v>0</v>
      </c>
      <c r="AA1990" s="91">
        <f>IFERROR(__xludf.DUMMYFUNCTION("((IFERROR((SUM(FILTER('Fund Investment Data'!$V:$V, 'Fund Investment Data'!$C:$C = $C1990, 'Fund Investment Data'!$A:$A = $A1990 - 1, 'Fund Investment Data'!$B:$B &gt;= 4, 'Fund Investment Data'!$B:$B &lt;= ($B1990 + 5))) / 12) * ($B1990 - 3) * Parameters!$B$4,"&amp;" 0) + IF($B1990 &gt;= 9, IFERROR(SUM(FILTER('Fund Investment Data'!$V:$V, 'Fund Investment Data'!$C:$C = $C1990, 'Fund Investment Data'!$A:$A = $A1990, 'Fund Investment Data'!$B:$B &lt;= 3)) * Parameters!$B$4, 0),0)))"),0.0)</f>
        <v>0</v>
      </c>
      <c r="AB1990" s="32">
        <f>IFERROR(__xludf.DUMMYFUNCTION("IFERROR(((IFERROR(SUM(FILTER('Fund Investment Data'!$V:$V, 'Fund Investment Data'!$C:$C = $C1990, 'Fund Investment Data'!$A:$A = $A1990 - 2, 'Fund Investment Data'!$B:$B &gt;= 4)) * Parameters!$B$4,0) + IFERROR(SUM(FILTER('Fund Investment Data'!$V:$V, 'Fund "&amp;"Investment Data'!$C:$C = $C1990, 'Fund Investment Data'!$A:$A = $A1990 - 1, 'Fund Investment Data'!$B:$B &lt;= 3)) * Parameters!$B$4,0))),0)"),0.0)</f>
        <v>0</v>
      </c>
      <c r="AC1990" s="32">
        <f>IFERROR(__xludf.DUMMYFUNCTION("IFERROR(FILTER($AF:$AF,$C:$C = $C1990,$A:$A = $A1990 - 1,$B:$B = 12),0)"),0.0)</f>
        <v>0</v>
      </c>
      <c r="AD1990" s="32">
        <f t="shared" si="23"/>
        <v>0</v>
      </c>
      <c r="AE1990" s="32">
        <f t="shared" si="2"/>
        <v>0</v>
      </c>
      <c r="AF1990" s="32"/>
    </row>
    <row r="1991">
      <c r="A1991" s="86"/>
      <c r="B1991" s="87"/>
      <c r="C1991" s="88"/>
      <c r="D1991" s="104"/>
      <c r="E1991" s="104"/>
      <c r="F1991" s="104"/>
      <c r="G1991" s="104"/>
      <c r="H1991" s="104"/>
      <c r="I1991" s="104"/>
      <c r="J1991" s="104"/>
      <c r="K1991" s="32"/>
      <c r="L1991" s="32"/>
      <c r="M1991" s="32"/>
      <c r="N1991" s="32"/>
      <c r="O1991" s="106"/>
      <c r="P1991" s="91">
        <f>IFERROR(__xludf.DUMMYFUNCTION("IFERROR(sum(FILTER($D:$N,$C:$C = $C1991,$A:$A &lt; $A1991,$B:$B = 12)),0) + sum($D1991:$N1991)"),0.0)</f>
        <v>0</v>
      </c>
      <c r="Q1991" s="92">
        <f t="shared" si="1"/>
        <v>0</v>
      </c>
      <c r="R1991" s="91">
        <f t="array" ref="R1991">IFERROR(INDEX('Fund YTD Target Values'!$1:$1000, MATCH($C1991,'Fund YTD Target Values'!$A:$A,0), MATCH($A1991,'Fund YTD Target Values'!$1:$1,0)),0)</f>
        <v>0</v>
      </c>
      <c r="S1991" s="91">
        <f>IFERROR(__xludf.DUMMYFUNCTION("IFERROR(sum(FILTER('Fund Investment Data'!$V:$V, 'Fund Investment Data'!$C:$C = $C1991, 'Fund Investment Data'!$A:$A &lt; $A1991)),0) + IFERROR(sum(FILTER('Fund Investment Data'!$V:$V, 'Fund Investment Data'!$C:$C = $C1991, 'Fund Investment Data'!$A:$A = $A1"&amp;"991, 'Fund Investment Data'!$B:$B &lt;= $B1991)),0)"),0.0)</f>
        <v>0</v>
      </c>
      <c r="T1991" s="32"/>
      <c r="U1991" s="32"/>
      <c r="V1991" s="32">
        <f>IFERROR(__xludf.DUMMYFUNCTION("$D1991 - IFERROR(FILTER($D:$D,$C:$C = $C1991, $A:$A = $A1991, $B:$B = $B1991 - 1),0)"),0.0)</f>
        <v>0</v>
      </c>
      <c r="W1991" s="93">
        <f>IFERROR(__xludf.DUMMYFUNCTION("$E1991 - IFERROR(FILTER($E:$E,$C:$C = $C1991, $A:$A = $A1991, $B:$B = $B1991 - 1),0)"),0.0)</f>
        <v>0</v>
      </c>
      <c r="X1991" s="91">
        <f>IFERROR(__xludf.DUMMYFUNCTION("iFERROR((FILTER('Fund Investment Data'!$Z:$Z, 'Fund Investment Data'!$C:$C = $C1991, 'Fund Investment Data'!$A:$A = $A1991 - 1, 'Fund Investment Data'!$B:$B = 12) + FILTER('Fund Investment Data'!$AB:$AB, 'Fund Investment Data'!$C:$C = $C1991, 'Fund Invest"&amp;"ment Data'!$A:$A = $A1991 - 1, 'Fund Investment Data'!$B:$B = 12)) * (1 + AVERAGE(FILTER('Inflation Data'!$C:$C,'Inflation Data'!$A:$A = ($A1991 - 2)))) * Parameters!$A$4,0)"),0.0)</f>
        <v>0</v>
      </c>
      <c r="Y1991" s="91">
        <f>IFERROR(__xludf.DUMMYFUNCTION("IFERROR((IFERROR(FILTER('Fund Investment Data'!$P:$P,'Fund Investment Data'!$C:$C = $C1991,'Fund Investment Data'!$A:$A = ($A1991 - 2), 'Fund Investment Data'!$B:$B = 12),0) - SUM(FILTER('Fund Investment Data'!$V:$V, 'Fund Investment Data'!$C:$C = $C1991,"&amp;" 'Fund Investment Data'!$A:$A = ($A1991 - 2), 'Fund Investment Data'!$B:$B &gt; 3)))  * Parameters!$B$4 * (1 - Parameters!$A$4),0)"),0.0)</f>
        <v>0</v>
      </c>
      <c r="Z1991" s="91">
        <f t="shared" si="24"/>
        <v>0</v>
      </c>
      <c r="AA1991" s="91">
        <f>IFERROR(__xludf.DUMMYFUNCTION("((IFERROR((SUM(FILTER('Fund Investment Data'!$V:$V, 'Fund Investment Data'!$C:$C = $C1991, 'Fund Investment Data'!$A:$A = $A1991 - 1, 'Fund Investment Data'!$B:$B &gt;= 4, 'Fund Investment Data'!$B:$B &lt;= ($B1991 + 5))) / 12) * ($B1991 - 3) * Parameters!$B$4,"&amp;" 0) + IF($B1991 &gt;= 9, IFERROR(SUM(FILTER('Fund Investment Data'!$V:$V, 'Fund Investment Data'!$C:$C = $C1991, 'Fund Investment Data'!$A:$A = $A1991, 'Fund Investment Data'!$B:$B &lt;= 3)) * Parameters!$B$4, 0),0)))"),0.0)</f>
        <v>0</v>
      </c>
      <c r="AB1991" s="32">
        <f>IFERROR(__xludf.DUMMYFUNCTION("IFERROR(((IFERROR(SUM(FILTER('Fund Investment Data'!$V:$V, 'Fund Investment Data'!$C:$C = $C1991, 'Fund Investment Data'!$A:$A = $A1991 - 2, 'Fund Investment Data'!$B:$B &gt;= 4)) * Parameters!$B$4,0) + IFERROR(SUM(FILTER('Fund Investment Data'!$V:$V, 'Fund "&amp;"Investment Data'!$C:$C = $C1991, 'Fund Investment Data'!$A:$A = $A1991 - 1, 'Fund Investment Data'!$B:$B &lt;= 3)) * Parameters!$B$4,0))),0)"),0.0)</f>
        <v>0</v>
      </c>
      <c r="AC1991" s="32">
        <f>IFERROR(__xludf.DUMMYFUNCTION("IFERROR(FILTER($AF:$AF,$C:$C = $C1991,$A:$A = $A1991 - 1,$B:$B = 12),0)"),0.0)</f>
        <v>0</v>
      </c>
      <c r="AD1991" s="32">
        <f t="shared" si="23"/>
        <v>0</v>
      </c>
      <c r="AE1991" s="32">
        <f t="shared" si="2"/>
        <v>0</v>
      </c>
      <c r="AF1991" s="32"/>
    </row>
    <row r="1992">
      <c r="A1992" s="86"/>
      <c r="B1992" s="87"/>
      <c r="C1992" s="88"/>
      <c r="D1992" s="104"/>
      <c r="E1992" s="104"/>
      <c r="F1992" s="104"/>
      <c r="G1992" s="104"/>
      <c r="H1992" s="104"/>
      <c r="I1992" s="104"/>
      <c r="J1992" s="104"/>
      <c r="K1992" s="32"/>
      <c r="L1992" s="32"/>
      <c r="M1992" s="32"/>
      <c r="N1992" s="32"/>
      <c r="O1992" s="106"/>
      <c r="P1992" s="91">
        <f>IFERROR(__xludf.DUMMYFUNCTION("IFERROR(sum(FILTER($D:$N,$C:$C = $C1992,$A:$A &lt; $A1992,$B:$B = 12)),0) + sum($D1992:$N1992)"),0.0)</f>
        <v>0</v>
      </c>
      <c r="Q1992" s="92">
        <f t="shared" si="1"/>
        <v>0</v>
      </c>
      <c r="R1992" s="91">
        <f t="array" ref="R1992">IFERROR(INDEX('Fund YTD Target Values'!$1:$1000, MATCH($C1992,'Fund YTD Target Values'!$A:$A,0), MATCH($A1992,'Fund YTD Target Values'!$1:$1,0)),0)</f>
        <v>0</v>
      </c>
      <c r="S1992" s="91">
        <f>IFERROR(__xludf.DUMMYFUNCTION("IFERROR(sum(FILTER('Fund Investment Data'!$V:$V, 'Fund Investment Data'!$C:$C = $C1992, 'Fund Investment Data'!$A:$A &lt; $A1992)),0) + IFERROR(sum(FILTER('Fund Investment Data'!$V:$V, 'Fund Investment Data'!$C:$C = $C1992, 'Fund Investment Data'!$A:$A = $A1"&amp;"992, 'Fund Investment Data'!$B:$B &lt;= $B1992)),0)"),0.0)</f>
        <v>0</v>
      </c>
      <c r="T1992" s="32"/>
      <c r="U1992" s="32"/>
      <c r="V1992" s="32">
        <f>IFERROR(__xludf.DUMMYFUNCTION("$D1992 - IFERROR(FILTER($D:$D,$C:$C = $C1992, $A:$A = $A1992, $B:$B = $B1992 - 1),0)"),0.0)</f>
        <v>0</v>
      </c>
      <c r="W1992" s="93">
        <f>IFERROR(__xludf.DUMMYFUNCTION("$E1992 - IFERROR(FILTER($E:$E,$C:$C = $C1992, $A:$A = $A1992, $B:$B = $B1992 - 1),0)"),0.0)</f>
        <v>0</v>
      </c>
      <c r="X1992" s="91">
        <f>IFERROR(__xludf.DUMMYFUNCTION("iFERROR((FILTER('Fund Investment Data'!$Z:$Z, 'Fund Investment Data'!$C:$C = $C1992, 'Fund Investment Data'!$A:$A = $A1992 - 1, 'Fund Investment Data'!$B:$B = 12) + FILTER('Fund Investment Data'!$AB:$AB, 'Fund Investment Data'!$C:$C = $C1992, 'Fund Invest"&amp;"ment Data'!$A:$A = $A1992 - 1, 'Fund Investment Data'!$B:$B = 12)) * (1 + AVERAGE(FILTER('Inflation Data'!$C:$C,'Inflation Data'!$A:$A = ($A1992 - 2)))) * Parameters!$A$4,0)"),0.0)</f>
        <v>0</v>
      </c>
      <c r="Y1992" s="91">
        <f>IFERROR(__xludf.DUMMYFUNCTION("IFERROR((IFERROR(FILTER('Fund Investment Data'!$P:$P,'Fund Investment Data'!$C:$C = $C1992,'Fund Investment Data'!$A:$A = ($A1992 - 2), 'Fund Investment Data'!$B:$B = 12),0) - SUM(FILTER('Fund Investment Data'!$V:$V, 'Fund Investment Data'!$C:$C = $C1992,"&amp;" 'Fund Investment Data'!$A:$A = ($A1992 - 2), 'Fund Investment Data'!$B:$B &gt; 3)))  * Parameters!$B$4 * (1 - Parameters!$A$4),0)"),0.0)</f>
        <v>0</v>
      </c>
      <c r="Z1992" s="91">
        <f t="shared" si="24"/>
        <v>0</v>
      </c>
      <c r="AA1992" s="91">
        <f>IFERROR(__xludf.DUMMYFUNCTION("((IFERROR((SUM(FILTER('Fund Investment Data'!$V:$V, 'Fund Investment Data'!$C:$C = $C1992, 'Fund Investment Data'!$A:$A = $A1992 - 1, 'Fund Investment Data'!$B:$B &gt;= 4, 'Fund Investment Data'!$B:$B &lt;= ($B1992 + 5))) / 12) * ($B1992 - 3) * Parameters!$B$4,"&amp;" 0) + IF($B1992 &gt;= 9, IFERROR(SUM(FILTER('Fund Investment Data'!$V:$V, 'Fund Investment Data'!$C:$C = $C1992, 'Fund Investment Data'!$A:$A = $A1992, 'Fund Investment Data'!$B:$B &lt;= 3)) * Parameters!$B$4, 0),0)))"),0.0)</f>
        <v>0</v>
      </c>
      <c r="AB1992" s="32">
        <f>IFERROR(__xludf.DUMMYFUNCTION("IFERROR(((IFERROR(SUM(FILTER('Fund Investment Data'!$V:$V, 'Fund Investment Data'!$C:$C = $C1992, 'Fund Investment Data'!$A:$A = $A1992 - 2, 'Fund Investment Data'!$B:$B &gt;= 4)) * Parameters!$B$4,0) + IFERROR(SUM(FILTER('Fund Investment Data'!$V:$V, 'Fund "&amp;"Investment Data'!$C:$C = $C1992, 'Fund Investment Data'!$A:$A = $A1992 - 1, 'Fund Investment Data'!$B:$B &lt;= 3)) * Parameters!$B$4,0))),0)"),0.0)</f>
        <v>0</v>
      </c>
      <c r="AC1992" s="32">
        <f>IFERROR(__xludf.DUMMYFUNCTION("IFERROR(FILTER($AF:$AF,$C:$C = $C1992,$A:$A = $A1992 - 1,$B:$B = 12),0)"),0.0)</f>
        <v>0</v>
      </c>
      <c r="AD1992" s="32">
        <f t="shared" si="23"/>
        <v>0</v>
      </c>
      <c r="AE1992" s="32">
        <f t="shared" si="2"/>
        <v>0</v>
      </c>
      <c r="AF1992" s="32"/>
    </row>
    <row r="1993">
      <c r="A1993" s="86"/>
      <c r="B1993" s="87"/>
      <c r="C1993" s="88"/>
      <c r="D1993" s="104"/>
      <c r="E1993" s="104"/>
      <c r="F1993" s="104"/>
      <c r="G1993" s="104"/>
      <c r="H1993" s="104"/>
      <c r="I1993" s="104"/>
      <c r="J1993" s="104"/>
      <c r="K1993" s="32"/>
      <c r="L1993" s="32"/>
      <c r="M1993" s="32"/>
      <c r="N1993" s="32"/>
      <c r="O1993" s="106"/>
      <c r="P1993" s="91">
        <f>IFERROR(__xludf.DUMMYFUNCTION("IFERROR(sum(FILTER($D:$N,$C:$C = $C1993,$A:$A &lt; $A1993,$B:$B = 12)),0) + sum($D1993:$N1993)"),0.0)</f>
        <v>0</v>
      </c>
      <c r="Q1993" s="92">
        <f t="shared" si="1"/>
        <v>0</v>
      </c>
      <c r="R1993" s="91">
        <f t="array" ref="R1993">IFERROR(INDEX('Fund YTD Target Values'!$1:$1000, MATCH($C1993,'Fund YTD Target Values'!$A:$A,0), MATCH($A1993,'Fund YTD Target Values'!$1:$1,0)),0)</f>
        <v>0</v>
      </c>
      <c r="S1993" s="91">
        <f>IFERROR(__xludf.DUMMYFUNCTION("IFERROR(sum(FILTER('Fund Investment Data'!$V:$V, 'Fund Investment Data'!$C:$C = $C1993, 'Fund Investment Data'!$A:$A &lt; $A1993)),0) + IFERROR(sum(FILTER('Fund Investment Data'!$V:$V, 'Fund Investment Data'!$C:$C = $C1993, 'Fund Investment Data'!$A:$A = $A1"&amp;"993, 'Fund Investment Data'!$B:$B &lt;= $B1993)),0)"),0.0)</f>
        <v>0</v>
      </c>
      <c r="T1993" s="32"/>
      <c r="U1993" s="32"/>
      <c r="V1993" s="32">
        <f>IFERROR(__xludf.DUMMYFUNCTION("$D1993 - IFERROR(FILTER($D:$D,$C:$C = $C1993, $A:$A = $A1993, $B:$B = $B1993 - 1),0)"),0.0)</f>
        <v>0</v>
      </c>
      <c r="W1993" s="93">
        <f>IFERROR(__xludf.DUMMYFUNCTION("$E1993 - IFERROR(FILTER($E:$E,$C:$C = $C1993, $A:$A = $A1993, $B:$B = $B1993 - 1),0)"),0.0)</f>
        <v>0</v>
      </c>
      <c r="X1993" s="91">
        <f>IFERROR(__xludf.DUMMYFUNCTION("iFERROR((FILTER('Fund Investment Data'!$Z:$Z, 'Fund Investment Data'!$C:$C = $C1993, 'Fund Investment Data'!$A:$A = $A1993 - 1, 'Fund Investment Data'!$B:$B = 12) + FILTER('Fund Investment Data'!$AB:$AB, 'Fund Investment Data'!$C:$C = $C1993, 'Fund Invest"&amp;"ment Data'!$A:$A = $A1993 - 1, 'Fund Investment Data'!$B:$B = 12)) * (1 + AVERAGE(FILTER('Inflation Data'!$C:$C,'Inflation Data'!$A:$A = ($A1993 - 2)))) * Parameters!$A$4,0)"),0.0)</f>
        <v>0</v>
      </c>
      <c r="Y1993" s="91">
        <f>IFERROR(__xludf.DUMMYFUNCTION("IFERROR((IFERROR(FILTER('Fund Investment Data'!$P:$P,'Fund Investment Data'!$C:$C = $C1993,'Fund Investment Data'!$A:$A = ($A1993 - 2), 'Fund Investment Data'!$B:$B = 12),0) - SUM(FILTER('Fund Investment Data'!$V:$V, 'Fund Investment Data'!$C:$C = $C1993,"&amp;" 'Fund Investment Data'!$A:$A = ($A1993 - 2), 'Fund Investment Data'!$B:$B &gt; 3)))  * Parameters!$B$4 * (1 - Parameters!$A$4),0)"),0.0)</f>
        <v>0</v>
      </c>
      <c r="Z1993" s="91">
        <f t="shared" si="24"/>
        <v>0</v>
      </c>
      <c r="AA1993" s="91">
        <f>IFERROR(__xludf.DUMMYFUNCTION("((IFERROR((SUM(FILTER('Fund Investment Data'!$V:$V, 'Fund Investment Data'!$C:$C = $C1993, 'Fund Investment Data'!$A:$A = $A1993 - 1, 'Fund Investment Data'!$B:$B &gt;= 4, 'Fund Investment Data'!$B:$B &lt;= ($B1993 + 5))) / 12) * ($B1993 - 3) * Parameters!$B$4,"&amp;" 0) + IF($B1993 &gt;= 9, IFERROR(SUM(FILTER('Fund Investment Data'!$V:$V, 'Fund Investment Data'!$C:$C = $C1993, 'Fund Investment Data'!$A:$A = $A1993, 'Fund Investment Data'!$B:$B &lt;= 3)) * Parameters!$B$4, 0),0)))"),0.0)</f>
        <v>0</v>
      </c>
      <c r="AB1993" s="32">
        <f>IFERROR(__xludf.DUMMYFUNCTION("IFERROR(((IFERROR(SUM(FILTER('Fund Investment Data'!$V:$V, 'Fund Investment Data'!$C:$C = $C1993, 'Fund Investment Data'!$A:$A = $A1993 - 2, 'Fund Investment Data'!$B:$B &gt;= 4)) * Parameters!$B$4,0) + IFERROR(SUM(FILTER('Fund Investment Data'!$V:$V, 'Fund "&amp;"Investment Data'!$C:$C = $C1993, 'Fund Investment Data'!$A:$A = $A1993 - 1, 'Fund Investment Data'!$B:$B &lt;= 3)) * Parameters!$B$4,0))),0)"),0.0)</f>
        <v>0</v>
      </c>
      <c r="AC1993" s="32">
        <f>IFERROR(__xludf.DUMMYFUNCTION("IFERROR(FILTER($AF:$AF,$C:$C = $C1993,$A:$A = $A1993 - 1,$B:$B = 12),0)"),0.0)</f>
        <v>0</v>
      </c>
      <c r="AD1993" s="32">
        <f t="shared" si="23"/>
        <v>0</v>
      </c>
      <c r="AE1993" s="32">
        <f t="shared" si="2"/>
        <v>0</v>
      </c>
      <c r="AF1993" s="32"/>
    </row>
    <row r="1994">
      <c r="A1994" s="86"/>
      <c r="B1994" s="87"/>
      <c r="C1994" s="88"/>
      <c r="D1994" s="104"/>
      <c r="E1994" s="104"/>
      <c r="F1994" s="104"/>
      <c r="G1994" s="104"/>
      <c r="H1994" s="104"/>
      <c r="I1994" s="104"/>
      <c r="J1994" s="104"/>
      <c r="K1994" s="32"/>
      <c r="L1994" s="32"/>
      <c r="M1994" s="32"/>
      <c r="N1994" s="32"/>
      <c r="O1994" s="106"/>
      <c r="P1994" s="91">
        <f>IFERROR(__xludf.DUMMYFUNCTION("IFERROR(sum(FILTER($D:$N,$C:$C = $C1994,$A:$A &lt; $A1994,$B:$B = 12)),0) + sum($D1994:$N1994)"),0.0)</f>
        <v>0</v>
      </c>
      <c r="Q1994" s="92">
        <f t="shared" si="1"/>
        <v>0</v>
      </c>
      <c r="R1994" s="91">
        <f t="array" ref="R1994">IFERROR(INDEX('Fund YTD Target Values'!$1:$1000, MATCH($C1994,'Fund YTD Target Values'!$A:$A,0), MATCH($A1994,'Fund YTD Target Values'!$1:$1,0)),0)</f>
        <v>0</v>
      </c>
      <c r="S1994" s="91">
        <f>IFERROR(__xludf.DUMMYFUNCTION("IFERROR(sum(FILTER('Fund Investment Data'!$V:$V, 'Fund Investment Data'!$C:$C = $C1994, 'Fund Investment Data'!$A:$A &lt; $A1994)),0) + IFERROR(sum(FILTER('Fund Investment Data'!$V:$V, 'Fund Investment Data'!$C:$C = $C1994, 'Fund Investment Data'!$A:$A = $A1"&amp;"994, 'Fund Investment Data'!$B:$B &lt;= $B1994)),0)"),0.0)</f>
        <v>0</v>
      </c>
      <c r="T1994" s="32"/>
      <c r="U1994" s="32"/>
      <c r="V1994" s="32">
        <f>IFERROR(__xludf.DUMMYFUNCTION("$D1994 - IFERROR(FILTER($D:$D,$C:$C = $C1994, $A:$A = $A1994, $B:$B = $B1994 - 1),0)"),0.0)</f>
        <v>0</v>
      </c>
      <c r="W1994" s="93">
        <f>IFERROR(__xludf.DUMMYFUNCTION("$E1994 - IFERROR(FILTER($E:$E,$C:$C = $C1994, $A:$A = $A1994, $B:$B = $B1994 - 1),0)"),0.0)</f>
        <v>0</v>
      </c>
      <c r="X1994" s="91">
        <f>IFERROR(__xludf.DUMMYFUNCTION("iFERROR((FILTER('Fund Investment Data'!$Z:$Z, 'Fund Investment Data'!$C:$C = $C1994, 'Fund Investment Data'!$A:$A = $A1994 - 1, 'Fund Investment Data'!$B:$B = 12) + FILTER('Fund Investment Data'!$AB:$AB, 'Fund Investment Data'!$C:$C = $C1994, 'Fund Invest"&amp;"ment Data'!$A:$A = $A1994 - 1, 'Fund Investment Data'!$B:$B = 12)) * (1 + AVERAGE(FILTER('Inflation Data'!$C:$C,'Inflation Data'!$A:$A = ($A1994 - 2)))) * Parameters!$A$4,0)"),0.0)</f>
        <v>0</v>
      </c>
      <c r="Y1994" s="91">
        <f>IFERROR(__xludf.DUMMYFUNCTION("IFERROR((IFERROR(FILTER('Fund Investment Data'!$P:$P,'Fund Investment Data'!$C:$C = $C1994,'Fund Investment Data'!$A:$A = ($A1994 - 2), 'Fund Investment Data'!$B:$B = 12),0) - SUM(FILTER('Fund Investment Data'!$V:$V, 'Fund Investment Data'!$C:$C = $C1994,"&amp;" 'Fund Investment Data'!$A:$A = ($A1994 - 2), 'Fund Investment Data'!$B:$B &gt; 3)))  * Parameters!$B$4 * (1 - Parameters!$A$4),0)"),0.0)</f>
        <v>0</v>
      </c>
      <c r="Z1994" s="91">
        <f t="shared" si="24"/>
        <v>0</v>
      </c>
      <c r="AA1994" s="91">
        <f>IFERROR(__xludf.DUMMYFUNCTION("((IFERROR((SUM(FILTER('Fund Investment Data'!$V:$V, 'Fund Investment Data'!$C:$C = $C1994, 'Fund Investment Data'!$A:$A = $A1994 - 1, 'Fund Investment Data'!$B:$B &gt;= 4, 'Fund Investment Data'!$B:$B &lt;= ($B1994 + 5))) / 12) * ($B1994 - 3) * Parameters!$B$4,"&amp;" 0) + IF($B1994 &gt;= 9, IFERROR(SUM(FILTER('Fund Investment Data'!$V:$V, 'Fund Investment Data'!$C:$C = $C1994, 'Fund Investment Data'!$A:$A = $A1994, 'Fund Investment Data'!$B:$B &lt;= 3)) * Parameters!$B$4, 0),0)))"),0.0)</f>
        <v>0</v>
      </c>
      <c r="AB1994" s="32">
        <f>IFERROR(__xludf.DUMMYFUNCTION("IFERROR(((IFERROR(SUM(FILTER('Fund Investment Data'!$V:$V, 'Fund Investment Data'!$C:$C = $C1994, 'Fund Investment Data'!$A:$A = $A1994 - 2, 'Fund Investment Data'!$B:$B &gt;= 4)) * Parameters!$B$4,0) + IFERROR(SUM(FILTER('Fund Investment Data'!$V:$V, 'Fund "&amp;"Investment Data'!$C:$C = $C1994, 'Fund Investment Data'!$A:$A = $A1994 - 1, 'Fund Investment Data'!$B:$B &lt;= 3)) * Parameters!$B$4,0))),0)"),0.0)</f>
        <v>0</v>
      </c>
      <c r="AC1994" s="32">
        <f>IFERROR(__xludf.DUMMYFUNCTION("IFERROR(FILTER($AF:$AF,$C:$C = $C1994,$A:$A = $A1994 - 1,$B:$B = 12),0)"),0.0)</f>
        <v>0</v>
      </c>
      <c r="AD1994" s="32">
        <f t="shared" si="23"/>
        <v>0</v>
      </c>
      <c r="AE1994" s="32">
        <f t="shared" si="2"/>
        <v>0</v>
      </c>
      <c r="AF1994" s="32"/>
    </row>
    <row r="1995">
      <c r="A1995" s="86"/>
      <c r="B1995" s="87"/>
      <c r="C1995" s="88"/>
      <c r="D1995" s="104"/>
      <c r="E1995" s="104"/>
      <c r="F1995" s="104"/>
      <c r="G1995" s="104"/>
      <c r="H1995" s="104"/>
      <c r="I1995" s="104"/>
      <c r="J1995" s="104"/>
      <c r="K1995" s="32"/>
      <c r="L1995" s="32"/>
      <c r="M1995" s="32"/>
      <c r="N1995" s="32"/>
      <c r="O1995" s="106"/>
      <c r="P1995" s="91">
        <f>IFERROR(__xludf.DUMMYFUNCTION("IFERROR(sum(FILTER($D:$N,$C:$C = $C1995,$A:$A &lt; $A1995,$B:$B = 12)),0) + sum($D1995:$N1995)"),0.0)</f>
        <v>0</v>
      </c>
      <c r="Q1995" s="92">
        <f t="shared" si="1"/>
        <v>0</v>
      </c>
      <c r="R1995" s="91">
        <f t="array" ref="R1995">IFERROR(INDEX('Fund YTD Target Values'!$1:$1000, MATCH($C1995,'Fund YTD Target Values'!$A:$A,0), MATCH($A1995,'Fund YTD Target Values'!$1:$1,0)),0)</f>
        <v>0</v>
      </c>
      <c r="S1995" s="91">
        <f>IFERROR(__xludf.DUMMYFUNCTION("IFERROR(sum(FILTER('Fund Investment Data'!$V:$V, 'Fund Investment Data'!$C:$C = $C1995, 'Fund Investment Data'!$A:$A &lt; $A1995)),0) + IFERROR(sum(FILTER('Fund Investment Data'!$V:$V, 'Fund Investment Data'!$C:$C = $C1995, 'Fund Investment Data'!$A:$A = $A1"&amp;"995, 'Fund Investment Data'!$B:$B &lt;= $B1995)),0)"),0.0)</f>
        <v>0</v>
      </c>
      <c r="T1995" s="32"/>
      <c r="U1995" s="32"/>
      <c r="V1995" s="32">
        <f>IFERROR(__xludf.DUMMYFUNCTION("$D1995 - IFERROR(FILTER($D:$D,$C:$C = $C1995, $A:$A = $A1995, $B:$B = $B1995 - 1),0)"),0.0)</f>
        <v>0</v>
      </c>
      <c r="W1995" s="93">
        <f>IFERROR(__xludf.DUMMYFUNCTION("$E1995 - IFERROR(FILTER($E:$E,$C:$C = $C1995, $A:$A = $A1995, $B:$B = $B1995 - 1),0)"),0.0)</f>
        <v>0</v>
      </c>
      <c r="X1995" s="91">
        <f>IFERROR(__xludf.DUMMYFUNCTION("iFERROR((FILTER('Fund Investment Data'!$Z:$Z, 'Fund Investment Data'!$C:$C = $C1995, 'Fund Investment Data'!$A:$A = $A1995 - 1, 'Fund Investment Data'!$B:$B = 12) + FILTER('Fund Investment Data'!$AB:$AB, 'Fund Investment Data'!$C:$C = $C1995, 'Fund Invest"&amp;"ment Data'!$A:$A = $A1995 - 1, 'Fund Investment Data'!$B:$B = 12)) * (1 + AVERAGE(FILTER('Inflation Data'!$C:$C,'Inflation Data'!$A:$A = ($A1995 - 2)))) * Parameters!$A$4,0)"),0.0)</f>
        <v>0</v>
      </c>
      <c r="Y1995" s="91">
        <f>IFERROR(__xludf.DUMMYFUNCTION("IFERROR((IFERROR(FILTER('Fund Investment Data'!$P:$P,'Fund Investment Data'!$C:$C = $C1995,'Fund Investment Data'!$A:$A = ($A1995 - 2), 'Fund Investment Data'!$B:$B = 12),0) - SUM(FILTER('Fund Investment Data'!$V:$V, 'Fund Investment Data'!$C:$C = $C1995,"&amp;" 'Fund Investment Data'!$A:$A = ($A1995 - 2), 'Fund Investment Data'!$B:$B &gt; 3)))  * Parameters!$B$4 * (1 - Parameters!$A$4),0)"),0.0)</f>
        <v>0</v>
      </c>
      <c r="Z1995" s="91">
        <f t="shared" si="24"/>
        <v>0</v>
      </c>
      <c r="AA1995" s="91">
        <f>IFERROR(__xludf.DUMMYFUNCTION("((IFERROR((SUM(FILTER('Fund Investment Data'!$V:$V, 'Fund Investment Data'!$C:$C = $C1995, 'Fund Investment Data'!$A:$A = $A1995 - 1, 'Fund Investment Data'!$B:$B &gt;= 4, 'Fund Investment Data'!$B:$B &lt;= ($B1995 + 5))) / 12) * ($B1995 - 3) * Parameters!$B$4,"&amp;" 0) + IF($B1995 &gt;= 9, IFERROR(SUM(FILTER('Fund Investment Data'!$V:$V, 'Fund Investment Data'!$C:$C = $C1995, 'Fund Investment Data'!$A:$A = $A1995, 'Fund Investment Data'!$B:$B &lt;= 3)) * Parameters!$B$4, 0),0)))"),0.0)</f>
        <v>0</v>
      </c>
      <c r="AB1995" s="32">
        <f>IFERROR(__xludf.DUMMYFUNCTION("IFERROR(((IFERROR(SUM(FILTER('Fund Investment Data'!$V:$V, 'Fund Investment Data'!$C:$C = $C1995, 'Fund Investment Data'!$A:$A = $A1995 - 2, 'Fund Investment Data'!$B:$B &gt;= 4)) * Parameters!$B$4,0) + IFERROR(SUM(FILTER('Fund Investment Data'!$V:$V, 'Fund "&amp;"Investment Data'!$C:$C = $C1995, 'Fund Investment Data'!$A:$A = $A1995 - 1, 'Fund Investment Data'!$B:$B &lt;= 3)) * Parameters!$B$4,0))),0)"),0.0)</f>
        <v>0</v>
      </c>
      <c r="AC1995" s="32">
        <f>IFERROR(__xludf.DUMMYFUNCTION("IFERROR(FILTER($AF:$AF,$C:$C = $C1995,$A:$A = $A1995 - 1,$B:$B = 12),0)"),0.0)</f>
        <v>0</v>
      </c>
      <c r="AD1995" s="32">
        <f t="shared" si="23"/>
        <v>0</v>
      </c>
      <c r="AE1995" s="32">
        <f t="shared" si="2"/>
        <v>0</v>
      </c>
      <c r="AF1995" s="32"/>
    </row>
    <row r="1996">
      <c r="A1996" s="86"/>
      <c r="B1996" s="87"/>
      <c r="C1996" s="88"/>
      <c r="D1996" s="104"/>
      <c r="E1996" s="104"/>
      <c r="F1996" s="104"/>
      <c r="G1996" s="104"/>
      <c r="H1996" s="104"/>
      <c r="I1996" s="104"/>
      <c r="J1996" s="104"/>
      <c r="K1996" s="32"/>
      <c r="L1996" s="32"/>
      <c r="M1996" s="32"/>
      <c r="N1996" s="32"/>
      <c r="O1996" s="106"/>
      <c r="P1996" s="91">
        <f>IFERROR(__xludf.DUMMYFUNCTION("IFERROR(sum(FILTER($D:$N,$C:$C = $C1996,$A:$A &lt; $A1996,$B:$B = 12)),0) + sum($D1996:$N1996)"),0.0)</f>
        <v>0</v>
      </c>
      <c r="Q1996" s="92">
        <f t="shared" si="1"/>
        <v>0</v>
      </c>
      <c r="R1996" s="91">
        <f t="array" ref="R1996">IFERROR(INDEX('Fund YTD Target Values'!$1:$1000, MATCH($C1996,'Fund YTD Target Values'!$A:$A,0), MATCH($A1996,'Fund YTD Target Values'!$1:$1,0)),0)</f>
        <v>0</v>
      </c>
      <c r="S1996" s="91">
        <f>IFERROR(__xludf.DUMMYFUNCTION("IFERROR(sum(FILTER('Fund Investment Data'!$V:$V, 'Fund Investment Data'!$C:$C = $C1996, 'Fund Investment Data'!$A:$A &lt; $A1996)),0) + IFERROR(sum(FILTER('Fund Investment Data'!$V:$V, 'Fund Investment Data'!$C:$C = $C1996, 'Fund Investment Data'!$A:$A = $A1"&amp;"996, 'Fund Investment Data'!$B:$B &lt;= $B1996)),0)"),0.0)</f>
        <v>0</v>
      </c>
      <c r="T1996" s="32"/>
      <c r="U1996" s="32"/>
      <c r="V1996" s="32">
        <f>IFERROR(__xludf.DUMMYFUNCTION("$D1996 - IFERROR(FILTER($D:$D,$C:$C = $C1996, $A:$A = $A1996, $B:$B = $B1996 - 1),0)"),0.0)</f>
        <v>0</v>
      </c>
      <c r="W1996" s="93">
        <f>IFERROR(__xludf.DUMMYFUNCTION("$E1996 - IFERROR(FILTER($E:$E,$C:$C = $C1996, $A:$A = $A1996, $B:$B = $B1996 - 1),0)"),0.0)</f>
        <v>0</v>
      </c>
      <c r="X1996" s="91">
        <f>IFERROR(__xludf.DUMMYFUNCTION("iFERROR((FILTER('Fund Investment Data'!$Z:$Z, 'Fund Investment Data'!$C:$C = $C1996, 'Fund Investment Data'!$A:$A = $A1996 - 1, 'Fund Investment Data'!$B:$B = 12) + FILTER('Fund Investment Data'!$AB:$AB, 'Fund Investment Data'!$C:$C = $C1996, 'Fund Invest"&amp;"ment Data'!$A:$A = $A1996 - 1, 'Fund Investment Data'!$B:$B = 12)) * (1 + AVERAGE(FILTER('Inflation Data'!$C:$C,'Inflation Data'!$A:$A = ($A1996 - 2)))) * Parameters!$A$4,0)"),0.0)</f>
        <v>0</v>
      </c>
      <c r="Y1996" s="91">
        <f>IFERROR(__xludf.DUMMYFUNCTION("IFERROR((IFERROR(FILTER('Fund Investment Data'!$P:$P,'Fund Investment Data'!$C:$C = $C1996,'Fund Investment Data'!$A:$A = ($A1996 - 2), 'Fund Investment Data'!$B:$B = 12),0) - SUM(FILTER('Fund Investment Data'!$V:$V, 'Fund Investment Data'!$C:$C = $C1996,"&amp;" 'Fund Investment Data'!$A:$A = ($A1996 - 2), 'Fund Investment Data'!$B:$B &gt; 3)))  * Parameters!$B$4 * (1 - Parameters!$A$4),0)"),0.0)</f>
        <v>0</v>
      </c>
      <c r="Z1996" s="91">
        <f t="shared" si="24"/>
        <v>0</v>
      </c>
      <c r="AA1996" s="91">
        <f>IFERROR(__xludf.DUMMYFUNCTION("((IFERROR((SUM(FILTER('Fund Investment Data'!$V:$V, 'Fund Investment Data'!$C:$C = $C1996, 'Fund Investment Data'!$A:$A = $A1996 - 1, 'Fund Investment Data'!$B:$B &gt;= 4, 'Fund Investment Data'!$B:$B &lt;= ($B1996 + 5))) / 12) * ($B1996 - 3) * Parameters!$B$4,"&amp;" 0) + IF($B1996 &gt;= 9, IFERROR(SUM(FILTER('Fund Investment Data'!$V:$V, 'Fund Investment Data'!$C:$C = $C1996, 'Fund Investment Data'!$A:$A = $A1996, 'Fund Investment Data'!$B:$B &lt;= 3)) * Parameters!$B$4, 0),0)))"),0.0)</f>
        <v>0</v>
      </c>
      <c r="AB1996" s="32">
        <f>IFERROR(__xludf.DUMMYFUNCTION("IFERROR(((IFERROR(SUM(FILTER('Fund Investment Data'!$V:$V, 'Fund Investment Data'!$C:$C = $C1996, 'Fund Investment Data'!$A:$A = $A1996 - 2, 'Fund Investment Data'!$B:$B &gt;= 4)) * Parameters!$B$4,0) + IFERROR(SUM(FILTER('Fund Investment Data'!$V:$V, 'Fund "&amp;"Investment Data'!$C:$C = $C1996, 'Fund Investment Data'!$A:$A = $A1996 - 1, 'Fund Investment Data'!$B:$B &lt;= 3)) * Parameters!$B$4,0))),0)"),0.0)</f>
        <v>0</v>
      </c>
      <c r="AC1996" s="32">
        <f>IFERROR(__xludf.DUMMYFUNCTION("IFERROR(FILTER($AF:$AF,$C:$C = $C1996,$A:$A = $A1996 - 1,$B:$B = 12),0)"),0.0)</f>
        <v>0</v>
      </c>
      <c r="AD1996" s="32">
        <f t="shared" si="23"/>
        <v>0</v>
      </c>
      <c r="AE1996" s="32">
        <f t="shared" si="2"/>
        <v>0</v>
      </c>
      <c r="AF1996" s="32"/>
    </row>
    <row r="1997">
      <c r="A1997" s="86"/>
      <c r="B1997" s="87"/>
      <c r="C1997" s="88"/>
      <c r="D1997" s="104"/>
      <c r="E1997" s="104"/>
      <c r="F1997" s="104"/>
      <c r="G1997" s="104"/>
      <c r="H1997" s="104"/>
      <c r="I1997" s="104"/>
      <c r="J1997" s="104"/>
      <c r="K1997" s="32"/>
      <c r="L1997" s="32"/>
      <c r="M1997" s="32"/>
      <c r="N1997" s="32"/>
      <c r="O1997" s="106"/>
      <c r="P1997" s="91">
        <f>IFERROR(__xludf.DUMMYFUNCTION("IFERROR(sum(FILTER($D:$N,$C:$C = $C1997,$A:$A &lt; $A1997,$B:$B = 12)),0) + sum($D1997:$N1997)"),0.0)</f>
        <v>0</v>
      </c>
      <c r="Q1997" s="92">
        <f t="shared" si="1"/>
        <v>0</v>
      </c>
      <c r="R1997" s="91">
        <f t="array" ref="R1997">IFERROR(INDEX('Fund YTD Target Values'!$1:$1000, MATCH($C1997,'Fund YTD Target Values'!$A:$A,0), MATCH($A1997,'Fund YTD Target Values'!$1:$1,0)),0)</f>
        <v>0</v>
      </c>
      <c r="S1997" s="91">
        <f>IFERROR(__xludf.DUMMYFUNCTION("IFERROR(sum(FILTER('Fund Investment Data'!$V:$V, 'Fund Investment Data'!$C:$C = $C1997, 'Fund Investment Data'!$A:$A &lt; $A1997)),0) + IFERROR(sum(FILTER('Fund Investment Data'!$V:$V, 'Fund Investment Data'!$C:$C = $C1997, 'Fund Investment Data'!$A:$A = $A1"&amp;"997, 'Fund Investment Data'!$B:$B &lt;= $B1997)),0)"),0.0)</f>
        <v>0</v>
      </c>
      <c r="T1997" s="32"/>
      <c r="U1997" s="32"/>
      <c r="V1997" s="32">
        <f>IFERROR(__xludf.DUMMYFUNCTION("$D1997 - IFERROR(FILTER($D:$D,$C:$C = $C1997, $A:$A = $A1997, $B:$B = $B1997 - 1),0)"),0.0)</f>
        <v>0</v>
      </c>
      <c r="W1997" s="93">
        <f>IFERROR(__xludf.DUMMYFUNCTION("$E1997 - IFERROR(FILTER($E:$E,$C:$C = $C1997, $A:$A = $A1997, $B:$B = $B1997 - 1),0)"),0.0)</f>
        <v>0</v>
      </c>
      <c r="X1997" s="91">
        <f>IFERROR(__xludf.DUMMYFUNCTION("iFERROR((FILTER('Fund Investment Data'!$Z:$Z, 'Fund Investment Data'!$C:$C = $C1997, 'Fund Investment Data'!$A:$A = $A1997 - 1, 'Fund Investment Data'!$B:$B = 12) + FILTER('Fund Investment Data'!$AB:$AB, 'Fund Investment Data'!$C:$C = $C1997, 'Fund Invest"&amp;"ment Data'!$A:$A = $A1997 - 1, 'Fund Investment Data'!$B:$B = 12)) * (1 + AVERAGE(FILTER('Inflation Data'!$C:$C,'Inflation Data'!$A:$A = ($A1997 - 2)))) * Parameters!$A$4,0)"),0.0)</f>
        <v>0</v>
      </c>
      <c r="Y1997" s="91">
        <f>IFERROR(__xludf.DUMMYFUNCTION("IFERROR((IFERROR(FILTER('Fund Investment Data'!$P:$P,'Fund Investment Data'!$C:$C = $C1997,'Fund Investment Data'!$A:$A = ($A1997 - 2), 'Fund Investment Data'!$B:$B = 12),0) - SUM(FILTER('Fund Investment Data'!$V:$V, 'Fund Investment Data'!$C:$C = $C1997,"&amp;" 'Fund Investment Data'!$A:$A = ($A1997 - 2), 'Fund Investment Data'!$B:$B &gt; 3)))  * Parameters!$B$4 * (1 - Parameters!$A$4),0)"),0.0)</f>
        <v>0</v>
      </c>
      <c r="Z1997" s="91">
        <f t="shared" si="24"/>
        <v>0</v>
      </c>
      <c r="AA1997" s="91">
        <f>IFERROR(__xludf.DUMMYFUNCTION("((IFERROR((SUM(FILTER('Fund Investment Data'!$V:$V, 'Fund Investment Data'!$C:$C = $C1997, 'Fund Investment Data'!$A:$A = $A1997 - 1, 'Fund Investment Data'!$B:$B &gt;= 4, 'Fund Investment Data'!$B:$B &lt;= ($B1997 + 5))) / 12) * ($B1997 - 3) * Parameters!$B$4,"&amp;" 0) + IF($B1997 &gt;= 9, IFERROR(SUM(FILTER('Fund Investment Data'!$V:$V, 'Fund Investment Data'!$C:$C = $C1997, 'Fund Investment Data'!$A:$A = $A1997, 'Fund Investment Data'!$B:$B &lt;= 3)) * Parameters!$B$4, 0),0)))"),0.0)</f>
        <v>0</v>
      </c>
      <c r="AB1997" s="32">
        <f>IFERROR(__xludf.DUMMYFUNCTION("IFERROR(((IFERROR(SUM(FILTER('Fund Investment Data'!$V:$V, 'Fund Investment Data'!$C:$C = $C1997, 'Fund Investment Data'!$A:$A = $A1997 - 2, 'Fund Investment Data'!$B:$B &gt;= 4)) * Parameters!$B$4,0) + IFERROR(SUM(FILTER('Fund Investment Data'!$V:$V, 'Fund "&amp;"Investment Data'!$C:$C = $C1997, 'Fund Investment Data'!$A:$A = $A1997 - 1, 'Fund Investment Data'!$B:$B &lt;= 3)) * Parameters!$B$4,0))),0)"),0.0)</f>
        <v>0</v>
      </c>
      <c r="AC1997" s="32">
        <f>IFERROR(__xludf.DUMMYFUNCTION("IFERROR(FILTER($AF:$AF,$C:$C = $C1997,$A:$A = $A1997 - 1,$B:$B = 12),0)"),0.0)</f>
        <v>0</v>
      </c>
      <c r="AD1997" s="32">
        <f t="shared" si="23"/>
        <v>0</v>
      </c>
      <c r="AE1997" s="32">
        <f t="shared" si="2"/>
        <v>0</v>
      </c>
      <c r="AF1997" s="32"/>
    </row>
    <row r="1998">
      <c r="A1998" s="86"/>
      <c r="B1998" s="87"/>
      <c r="C1998" s="88"/>
      <c r="D1998" s="104"/>
      <c r="E1998" s="104"/>
      <c r="F1998" s="104"/>
      <c r="G1998" s="104"/>
      <c r="H1998" s="104"/>
      <c r="I1998" s="104"/>
      <c r="J1998" s="104"/>
      <c r="K1998" s="32"/>
      <c r="L1998" s="32"/>
      <c r="M1998" s="32"/>
      <c r="N1998" s="32"/>
      <c r="O1998" s="106"/>
      <c r="P1998" s="91">
        <f>IFERROR(__xludf.DUMMYFUNCTION("IFERROR(sum(FILTER($D:$N,$C:$C = $C1998,$A:$A &lt; $A1998,$B:$B = 12)),0) + sum($D1998:$N1998)"),0.0)</f>
        <v>0</v>
      </c>
      <c r="Q1998" s="92">
        <f t="shared" si="1"/>
        <v>0</v>
      </c>
      <c r="R1998" s="91">
        <f t="array" ref="R1998">IFERROR(INDEX('Fund YTD Target Values'!$1:$1000, MATCH($C1998,'Fund YTD Target Values'!$A:$A,0), MATCH($A1998,'Fund YTD Target Values'!$1:$1,0)),0)</f>
        <v>0</v>
      </c>
      <c r="S1998" s="91">
        <f>IFERROR(__xludf.DUMMYFUNCTION("IFERROR(sum(FILTER('Fund Investment Data'!$V:$V, 'Fund Investment Data'!$C:$C = $C1998, 'Fund Investment Data'!$A:$A &lt; $A1998)),0) + IFERROR(sum(FILTER('Fund Investment Data'!$V:$V, 'Fund Investment Data'!$C:$C = $C1998, 'Fund Investment Data'!$A:$A = $A1"&amp;"998, 'Fund Investment Data'!$B:$B &lt;= $B1998)),0)"),0.0)</f>
        <v>0</v>
      </c>
      <c r="T1998" s="32"/>
      <c r="U1998" s="32"/>
      <c r="V1998" s="32">
        <f>IFERROR(__xludf.DUMMYFUNCTION("$D1998 - IFERROR(FILTER($D:$D,$C:$C = $C1998, $A:$A = $A1998, $B:$B = $B1998 - 1),0)"),0.0)</f>
        <v>0</v>
      </c>
      <c r="W1998" s="93">
        <f>IFERROR(__xludf.DUMMYFUNCTION("$E1998 - IFERROR(FILTER($E:$E,$C:$C = $C1998, $A:$A = $A1998, $B:$B = $B1998 - 1),0)"),0.0)</f>
        <v>0</v>
      </c>
      <c r="X1998" s="91">
        <f>IFERROR(__xludf.DUMMYFUNCTION("iFERROR((FILTER('Fund Investment Data'!$Z:$Z, 'Fund Investment Data'!$C:$C = $C1998, 'Fund Investment Data'!$A:$A = $A1998 - 1, 'Fund Investment Data'!$B:$B = 12) + FILTER('Fund Investment Data'!$AB:$AB, 'Fund Investment Data'!$C:$C = $C1998, 'Fund Invest"&amp;"ment Data'!$A:$A = $A1998 - 1, 'Fund Investment Data'!$B:$B = 12)) * (1 + AVERAGE(FILTER('Inflation Data'!$C:$C,'Inflation Data'!$A:$A = ($A1998 - 2)))) * Parameters!$A$4,0)"),0.0)</f>
        <v>0</v>
      </c>
      <c r="Y1998" s="91">
        <f>IFERROR(__xludf.DUMMYFUNCTION("IFERROR((IFERROR(FILTER('Fund Investment Data'!$P:$P,'Fund Investment Data'!$C:$C = $C1998,'Fund Investment Data'!$A:$A = ($A1998 - 2), 'Fund Investment Data'!$B:$B = 12),0) - SUM(FILTER('Fund Investment Data'!$V:$V, 'Fund Investment Data'!$C:$C = $C1998,"&amp;" 'Fund Investment Data'!$A:$A = ($A1998 - 2), 'Fund Investment Data'!$B:$B &gt; 3)))  * Parameters!$B$4 * (1 - Parameters!$A$4),0)"),0.0)</f>
        <v>0</v>
      </c>
      <c r="Z1998" s="91">
        <f t="shared" si="24"/>
        <v>0</v>
      </c>
      <c r="AA1998" s="91">
        <f>IFERROR(__xludf.DUMMYFUNCTION("((IFERROR((SUM(FILTER('Fund Investment Data'!$V:$V, 'Fund Investment Data'!$C:$C = $C1998, 'Fund Investment Data'!$A:$A = $A1998 - 1, 'Fund Investment Data'!$B:$B &gt;= 4, 'Fund Investment Data'!$B:$B &lt;= ($B1998 + 5))) / 12) * ($B1998 - 3) * Parameters!$B$4,"&amp;" 0) + IF($B1998 &gt;= 9, IFERROR(SUM(FILTER('Fund Investment Data'!$V:$V, 'Fund Investment Data'!$C:$C = $C1998, 'Fund Investment Data'!$A:$A = $A1998, 'Fund Investment Data'!$B:$B &lt;= 3)) * Parameters!$B$4, 0),0)))"),0.0)</f>
        <v>0</v>
      </c>
      <c r="AB1998" s="32">
        <f>IFERROR(__xludf.DUMMYFUNCTION("IFERROR(((IFERROR(SUM(FILTER('Fund Investment Data'!$V:$V, 'Fund Investment Data'!$C:$C = $C1998, 'Fund Investment Data'!$A:$A = $A1998 - 2, 'Fund Investment Data'!$B:$B &gt;= 4)) * Parameters!$B$4,0) + IFERROR(SUM(FILTER('Fund Investment Data'!$V:$V, 'Fund "&amp;"Investment Data'!$C:$C = $C1998, 'Fund Investment Data'!$A:$A = $A1998 - 1, 'Fund Investment Data'!$B:$B &lt;= 3)) * Parameters!$B$4,0))),0)"),0.0)</f>
        <v>0</v>
      </c>
      <c r="AC1998" s="32">
        <f>IFERROR(__xludf.DUMMYFUNCTION("IFERROR(FILTER($AF:$AF,$C:$C = $C1998,$A:$A = $A1998 - 1,$B:$B = 12),0)"),0.0)</f>
        <v>0</v>
      </c>
      <c r="AD1998" s="32">
        <f t="shared" si="23"/>
        <v>0</v>
      </c>
      <c r="AE1998" s="32">
        <f t="shared" si="2"/>
        <v>0</v>
      </c>
      <c r="AF1998" s="32"/>
    </row>
    <row r="1999">
      <c r="A1999" s="86"/>
      <c r="B1999" s="87"/>
      <c r="C1999" s="88"/>
      <c r="D1999" s="104"/>
      <c r="E1999" s="104"/>
      <c r="F1999" s="104"/>
      <c r="G1999" s="104"/>
      <c r="H1999" s="104"/>
      <c r="I1999" s="104"/>
      <c r="J1999" s="104"/>
      <c r="K1999" s="32"/>
      <c r="L1999" s="32"/>
      <c r="M1999" s="32"/>
      <c r="N1999" s="32"/>
      <c r="O1999" s="106"/>
      <c r="P1999" s="91">
        <f>IFERROR(__xludf.DUMMYFUNCTION("IFERROR(sum(FILTER($D:$N,$C:$C = $C1999,$A:$A &lt; $A1999,$B:$B = 12)),0) + sum($D1999:$N1999)"),0.0)</f>
        <v>0</v>
      </c>
      <c r="Q1999" s="92">
        <f t="shared" si="1"/>
        <v>0</v>
      </c>
      <c r="R1999" s="91">
        <f t="array" ref="R1999">IFERROR(INDEX('Fund YTD Target Values'!$1:$1000, MATCH($C1999,'Fund YTD Target Values'!$A:$A,0), MATCH($A1999,'Fund YTD Target Values'!$1:$1,0)),0)</f>
        <v>0</v>
      </c>
      <c r="S1999" s="91">
        <f>IFERROR(__xludf.DUMMYFUNCTION("IFERROR(sum(FILTER('Fund Investment Data'!$V:$V, 'Fund Investment Data'!$C:$C = $C1999, 'Fund Investment Data'!$A:$A &lt; $A1999)),0) + IFERROR(sum(FILTER('Fund Investment Data'!$V:$V, 'Fund Investment Data'!$C:$C = $C1999, 'Fund Investment Data'!$A:$A = $A1"&amp;"999, 'Fund Investment Data'!$B:$B &lt;= $B1999)),0)"),0.0)</f>
        <v>0</v>
      </c>
      <c r="T1999" s="32"/>
      <c r="U1999" s="32"/>
      <c r="V1999" s="32">
        <f>IFERROR(__xludf.DUMMYFUNCTION("$D1999 - IFERROR(FILTER($D:$D,$C:$C = $C1999, $A:$A = $A1999, $B:$B = $B1999 - 1),0)"),0.0)</f>
        <v>0</v>
      </c>
      <c r="W1999" s="93">
        <f>IFERROR(__xludf.DUMMYFUNCTION("$E1999 - IFERROR(FILTER($E:$E,$C:$C = $C1999, $A:$A = $A1999, $B:$B = $B1999 - 1),0)"),0.0)</f>
        <v>0</v>
      </c>
      <c r="X1999" s="91">
        <f>IFERROR(__xludf.DUMMYFUNCTION("iFERROR((FILTER('Fund Investment Data'!$Z:$Z, 'Fund Investment Data'!$C:$C = $C1999, 'Fund Investment Data'!$A:$A = $A1999 - 1, 'Fund Investment Data'!$B:$B = 12) + FILTER('Fund Investment Data'!$AB:$AB, 'Fund Investment Data'!$C:$C = $C1999, 'Fund Invest"&amp;"ment Data'!$A:$A = $A1999 - 1, 'Fund Investment Data'!$B:$B = 12)) * (1 + AVERAGE(FILTER('Inflation Data'!$C:$C,'Inflation Data'!$A:$A = ($A1999 - 2)))) * Parameters!$A$4,0)"),0.0)</f>
        <v>0</v>
      </c>
      <c r="Y1999" s="91">
        <f>IFERROR(__xludf.DUMMYFUNCTION("IFERROR((IFERROR(FILTER('Fund Investment Data'!$P:$P,'Fund Investment Data'!$C:$C = $C1999,'Fund Investment Data'!$A:$A = ($A1999 - 2), 'Fund Investment Data'!$B:$B = 12),0) - SUM(FILTER('Fund Investment Data'!$V:$V, 'Fund Investment Data'!$C:$C = $C1999,"&amp;" 'Fund Investment Data'!$A:$A = ($A1999 - 2), 'Fund Investment Data'!$B:$B &gt; 3)))  * Parameters!$B$4 * (1 - Parameters!$A$4),0)"),0.0)</f>
        <v>0</v>
      </c>
      <c r="Z1999" s="91">
        <f t="shared" si="24"/>
        <v>0</v>
      </c>
      <c r="AA1999" s="91">
        <f>IFERROR(__xludf.DUMMYFUNCTION("((IFERROR((SUM(FILTER('Fund Investment Data'!$V:$V, 'Fund Investment Data'!$C:$C = $C1999, 'Fund Investment Data'!$A:$A = $A1999 - 1, 'Fund Investment Data'!$B:$B &gt;= 4, 'Fund Investment Data'!$B:$B &lt;= ($B1999 + 5))) / 12) * ($B1999 - 3) * Parameters!$B$4,"&amp;" 0) + IF($B1999 &gt;= 9, IFERROR(SUM(FILTER('Fund Investment Data'!$V:$V, 'Fund Investment Data'!$C:$C = $C1999, 'Fund Investment Data'!$A:$A = $A1999, 'Fund Investment Data'!$B:$B &lt;= 3)) * Parameters!$B$4, 0),0)))"),0.0)</f>
        <v>0</v>
      </c>
      <c r="AB1999" s="32">
        <f>IFERROR(__xludf.DUMMYFUNCTION("IFERROR(((IFERROR(SUM(FILTER('Fund Investment Data'!$V:$V, 'Fund Investment Data'!$C:$C = $C1999, 'Fund Investment Data'!$A:$A = $A1999 - 2, 'Fund Investment Data'!$B:$B &gt;= 4)) * Parameters!$B$4,0) + IFERROR(SUM(FILTER('Fund Investment Data'!$V:$V, 'Fund "&amp;"Investment Data'!$C:$C = $C1999, 'Fund Investment Data'!$A:$A = $A1999 - 1, 'Fund Investment Data'!$B:$B &lt;= 3)) * Parameters!$B$4,0))),0)"),0.0)</f>
        <v>0</v>
      </c>
      <c r="AC1999" s="32">
        <f>IFERROR(__xludf.DUMMYFUNCTION("IFERROR(FILTER($AF:$AF,$C:$C = $C1999,$A:$A = $A1999 - 1,$B:$B = 12),0)"),0.0)</f>
        <v>0</v>
      </c>
      <c r="AD1999" s="32">
        <f t="shared" si="23"/>
        <v>0</v>
      </c>
      <c r="AE1999" s="32">
        <f t="shared" si="2"/>
        <v>0</v>
      </c>
      <c r="AF1999" s="32"/>
    </row>
    <row r="2000">
      <c r="A2000" s="86"/>
      <c r="B2000" s="87"/>
      <c r="C2000" s="88"/>
      <c r="D2000" s="104"/>
      <c r="E2000" s="104"/>
      <c r="F2000" s="104"/>
      <c r="G2000" s="104"/>
      <c r="H2000" s="104"/>
      <c r="I2000" s="104"/>
      <c r="J2000" s="104"/>
      <c r="K2000" s="32"/>
      <c r="L2000" s="32"/>
      <c r="M2000" s="32"/>
      <c r="N2000" s="32"/>
      <c r="O2000" s="106"/>
      <c r="P2000" s="91">
        <f>IFERROR(__xludf.DUMMYFUNCTION("IFERROR(sum(FILTER($D:$N,$C:$C = $C2000,$A:$A &lt; $A2000,$B:$B = 12)),0) + sum($D2000:$N2000)"),0.0)</f>
        <v>0</v>
      </c>
      <c r="Q2000" s="92">
        <f t="shared" si="1"/>
        <v>0</v>
      </c>
      <c r="R2000" s="91">
        <f t="array" ref="R2000">IFERROR(INDEX('Fund YTD Target Values'!$1:$1000, MATCH($C2000,'Fund YTD Target Values'!$A:$A,0), MATCH($A2000,'Fund YTD Target Values'!$1:$1,0)),0)</f>
        <v>0</v>
      </c>
      <c r="S2000" s="91">
        <f>IFERROR(__xludf.DUMMYFUNCTION("IFERROR(sum(FILTER('Fund Investment Data'!$V:$V, 'Fund Investment Data'!$C:$C = $C2000, 'Fund Investment Data'!$A:$A &lt; $A2000)),0) + IFERROR(sum(FILTER('Fund Investment Data'!$V:$V, 'Fund Investment Data'!$C:$C = $C2000, 'Fund Investment Data'!$A:$A = $A2"&amp;"000, 'Fund Investment Data'!$B:$B &lt;= $B2000)),0)"),0.0)</f>
        <v>0</v>
      </c>
      <c r="T2000" s="32"/>
      <c r="U2000" s="32"/>
      <c r="V2000" s="32">
        <f>IFERROR(__xludf.DUMMYFUNCTION("$D2000 - IFERROR(FILTER($D:$D,$C:$C = $C2000, $A:$A = $A2000, $B:$B = $B2000 - 1),0)"),0.0)</f>
        <v>0</v>
      </c>
      <c r="W2000" s="93">
        <f>IFERROR(__xludf.DUMMYFUNCTION("$E2000 - IFERROR(FILTER($E:$E,$C:$C = $C2000, $A:$A = $A2000, $B:$B = $B2000 - 1),0)"),0.0)</f>
        <v>0</v>
      </c>
      <c r="X2000" s="91">
        <f>IFERROR(__xludf.DUMMYFUNCTION("iFERROR((FILTER('Fund Investment Data'!$Z:$Z, 'Fund Investment Data'!$C:$C = $C2000, 'Fund Investment Data'!$A:$A = $A2000 - 1, 'Fund Investment Data'!$B:$B = 12) + FILTER('Fund Investment Data'!$AB:$AB, 'Fund Investment Data'!$C:$C = $C2000, 'Fund Invest"&amp;"ment Data'!$A:$A = $A2000 - 1, 'Fund Investment Data'!$B:$B = 12)) * (1 + AVERAGE(FILTER('Inflation Data'!$C:$C,'Inflation Data'!$A:$A = ($A2000 - 2)))) * Parameters!$A$4,0)"),0.0)</f>
        <v>0</v>
      </c>
      <c r="Y2000" s="91">
        <f>IFERROR(__xludf.DUMMYFUNCTION("IFERROR((IFERROR(FILTER('Fund Investment Data'!$P:$P,'Fund Investment Data'!$C:$C = $C2000,'Fund Investment Data'!$A:$A = ($A2000 - 2), 'Fund Investment Data'!$B:$B = 12),0) - SUM(FILTER('Fund Investment Data'!$V:$V, 'Fund Investment Data'!$C:$C = $C2000,"&amp;" 'Fund Investment Data'!$A:$A = ($A2000 - 2), 'Fund Investment Data'!$B:$B &gt; 3)))  * Parameters!$B$4 * (1 - Parameters!$A$4),0)"),0.0)</f>
        <v>0</v>
      </c>
      <c r="Z2000" s="91">
        <f t="shared" si="24"/>
        <v>0</v>
      </c>
      <c r="AA2000" s="91">
        <f>IFERROR(__xludf.DUMMYFUNCTION("((IFERROR((SUM(FILTER('Fund Investment Data'!$V:$V, 'Fund Investment Data'!$C:$C = $C2000, 'Fund Investment Data'!$A:$A = $A2000 - 1, 'Fund Investment Data'!$B:$B &gt;= 4, 'Fund Investment Data'!$B:$B &lt;= ($B2000 + 5))) / 12) * ($B2000 - 3) * Parameters!$B$4,"&amp;" 0) + IF($B2000 &gt;= 9, IFERROR(SUM(FILTER('Fund Investment Data'!$V:$V, 'Fund Investment Data'!$C:$C = $C2000, 'Fund Investment Data'!$A:$A = $A2000, 'Fund Investment Data'!$B:$B &lt;= 3)) * Parameters!$B$4, 0),0)))"),0.0)</f>
        <v>0</v>
      </c>
      <c r="AB2000" s="32">
        <f>IFERROR(__xludf.DUMMYFUNCTION("IFERROR(((IFERROR(SUM(FILTER('Fund Investment Data'!$V:$V, 'Fund Investment Data'!$C:$C = $C2000, 'Fund Investment Data'!$A:$A = $A2000 - 2, 'Fund Investment Data'!$B:$B &gt;= 4)) * Parameters!$B$4,0) + IFERROR(SUM(FILTER('Fund Investment Data'!$V:$V, 'Fund "&amp;"Investment Data'!$C:$C = $C2000, 'Fund Investment Data'!$A:$A = $A2000 - 1, 'Fund Investment Data'!$B:$B &lt;= 3)) * Parameters!$B$4,0))),0)"),0.0)</f>
        <v>0</v>
      </c>
      <c r="AC2000" s="32">
        <f>IFERROR(__xludf.DUMMYFUNCTION("IFERROR(FILTER($AF:$AF,$C:$C = $C2000,$A:$A = $A2000 - 1,$B:$B = 12),0)"),0.0)</f>
        <v>0</v>
      </c>
      <c r="AD2000" s="32">
        <f t="shared" si="23"/>
        <v>0</v>
      </c>
      <c r="AE2000" s="32">
        <f t="shared" si="2"/>
        <v>0</v>
      </c>
      <c r="AF2000" s="32"/>
    </row>
    <row r="2001">
      <c r="A2001" s="86"/>
      <c r="B2001" s="87"/>
      <c r="C2001" s="88"/>
      <c r="D2001" s="104"/>
      <c r="E2001" s="104"/>
      <c r="F2001" s="104"/>
      <c r="G2001" s="104"/>
      <c r="H2001" s="104"/>
      <c r="I2001" s="104"/>
      <c r="J2001" s="104"/>
      <c r="K2001" s="32"/>
      <c r="L2001" s="32"/>
      <c r="M2001" s="32"/>
      <c r="N2001" s="32"/>
      <c r="O2001" s="106"/>
      <c r="P2001" s="91">
        <f>IFERROR(__xludf.DUMMYFUNCTION("IFERROR(sum(FILTER($D:$N,$C:$C = $C2001,$A:$A &lt; $A2001,$B:$B = 12)),0) + sum($D2001:$N2001)"),0.0)</f>
        <v>0</v>
      </c>
      <c r="Q2001" s="92">
        <f t="shared" si="1"/>
        <v>0</v>
      </c>
      <c r="R2001" s="91">
        <f t="array" ref="R2001">IFERROR(INDEX('Fund YTD Target Values'!$1:$1000, MATCH($C2001,'Fund YTD Target Values'!$A:$A,0), MATCH($A2001,'Fund YTD Target Values'!$1:$1,0)),0)</f>
        <v>0</v>
      </c>
      <c r="S2001" s="91">
        <f>IFERROR(__xludf.DUMMYFUNCTION("IFERROR(sum(FILTER('Fund Investment Data'!$V:$V, 'Fund Investment Data'!$C:$C = $C2001, 'Fund Investment Data'!$A:$A &lt; $A2001)),0) + IFERROR(sum(FILTER('Fund Investment Data'!$V:$V, 'Fund Investment Data'!$C:$C = $C2001, 'Fund Investment Data'!$A:$A = $A2"&amp;"001, 'Fund Investment Data'!$B:$B &lt;= $B2001)),0)"),0.0)</f>
        <v>0</v>
      </c>
      <c r="T2001" s="32"/>
      <c r="U2001" s="32"/>
      <c r="V2001" s="32">
        <f>IFERROR(__xludf.DUMMYFUNCTION("$D2001 - IFERROR(FILTER($D:$D,$C:$C = $C2001, $A:$A = $A2001, $B:$B = $B2001 - 1),0)"),0.0)</f>
        <v>0</v>
      </c>
      <c r="W2001" s="93">
        <f>IFERROR(__xludf.DUMMYFUNCTION("$E2001 - IFERROR(FILTER($E:$E,$C:$C = $C2001, $A:$A = $A2001, $B:$B = $B2001 - 1),0)"),0.0)</f>
        <v>0</v>
      </c>
      <c r="X2001" s="91">
        <f>IFERROR(__xludf.DUMMYFUNCTION("iFERROR((FILTER('Fund Investment Data'!$Z:$Z, 'Fund Investment Data'!$C:$C = $C2001, 'Fund Investment Data'!$A:$A = $A2001 - 1, 'Fund Investment Data'!$B:$B = 12) + FILTER('Fund Investment Data'!$AB:$AB, 'Fund Investment Data'!$C:$C = $C2001, 'Fund Invest"&amp;"ment Data'!$A:$A = $A2001 - 1, 'Fund Investment Data'!$B:$B = 12)) * (1 + AVERAGE(FILTER('Inflation Data'!$C:$C,'Inflation Data'!$A:$A = ($A2001 - 2)))) * Parameters!$A$4,0)"),0.0)</f>
        <v>0</v>
      </c>
      <c r="Y2001" s="91">
        <f>IFERROR(__xludf.DUMMYFUNCTION("IFERROR((IFERROR(FILTER('Fund Investment Data'!$P:$P,'Fund Investment Data'!$C:$C = $C2001,'Fund Investment Data'!$A:$A = ($A2001 - 2), 'Fund Investment Data'!$B:$B = 12),0) - SUM(FILTER('Fund Investment Data'!$V:$V, 'Fund Investment Data'!$C:$C = $C2001,"&amp;" 'Fund Investment Data'!$A:$A = ($A2001 - 2), 'Fund Investment Data'!$B:$B &gt; 3)))  * Parameters!$B$4 * (1 - Parameters!$A$4),0)"),0.0)</f>
        <v>0</v>
      </c>
      <c r="Z2001" s="91">
        <f t="shared" si="24"/>
        <v>0</v>
      </c>
      <c r="AA2001" s="91">
        <f>IFERROR(__xludf.DUMMYFUNCTION("((IFERROR((SUM(FILTER('Fund Investment Data'!$V:$V, 'Fund Investment Data'!$C:$C = $C2001, 'Fund Investment Data'!$A:$A = $A2001 - 1, 'Fund Investment Data'!$B:$B &gt;= 4, 'Fund Investment Data'!$B:$B &lt;= ($B2001 + 5))) / 12) * ($B2001 - 3) * Parameters!$B$4,"&amp;" 0) + IF($B2001 &gt;= 9, IFERROR(SUM(FILTER('Fund Investment Data'!$V:$V, 'Fund Investment Data'!$C:$C = $C2001, 'Fund Investment Data'!$A:$A = $A2001, 'Fund Investment Data'!$B:$B &lt;= 3)) * Parameters!$B$4, 0),0)))"),0.0)</f>
        <v>0</v>
      </c>
      <c r="AB2001" s="32">
        <f>IFERROR(__xludf.DUMMYFUNCTION("IFERROR(((IFERROR(SUM(FILTER('Fund Investment Data'!$V:$V, 'Fund Investment Data'!$C:$C = $C2001, 'Fund Investment Data'!$A:$A = $A2001 - 2, 'Fund Investment Data'!$B:$B &gt;= 4)) * Parameters!$B$4,0) + IFERROR(SUM(FILTER('Fund Investment Data'!$V:$V, 'Fund "&amp;"Investment Data'!$C:$C = $C2001, 'Fund Investment Data'!$A:$A = $A2001 - 1, 'Fund Investment Data'!$B:$B &lt;= 3)) * Parameters!$B$4,0))),0)"),0.0)</f>
        <v>0</v>
      </c>
      <c r="AC2001" s="32">
        <f>IFERROR(__xludf.DUMMYFUNCTION("IFERROR(FILTER($AF:$AF,$C:$C = $C2001,$A:$A = $A2001 - 1,$B:$B = 12),0)"),0.0)</f>
        <v>0</v>
      </c>
      <c r="AD2001" s="32">
        <f t="shared" si="23"/>
        <v>0</v>
      </c>
      <c r="AE2001" s="32">
        <f t="shared" si="2"/>
        <v>0</v>
      </c>
      <c r="AF2001" s="32"/>
    </row>
    <row r="2002">
      <c r="A2002" s="86"/>
      <c r="B2002" s="87"/>
      <c r="C2002" s="88"/>
      <c r="D2002" s="104"/>
      <c r="E2002" s="104"/>
      <c r="F2002" s="104"/>
      <c r="G2002" s="104"/>
      <c r="H2002" s="104"/>
      <c r="I2002" s="104"/>
      <c r="J2002" s="104"/>
      <c r="K2002" s="32"/>
      <c r="L2002" s="32"/>
      <c r="M2002" s="32"/>
      <c r="N2002" s="32"/>
      <c r="O2002" s="106"/>
      <c r="P2002" s="91">
        <f>IFERROR(__xludf.DUMMYFUNCTION("IFERROR(sum(FILTER($D:$N,$C:$C = $C2002,$A:$A &lt; $A2002,$B:$B = 12)),0) + sum($D2002:$N2002)"),0.0)</f>
        <v>0</v>
      </c>
      <c r="Q2002" s="92">
        <f t="shared" si="1"/>
        <v>0</v>
      </c>
      <c r="R2002" s="91">
        <f t="array" ref="R2002">IFERROR(INDEX('Fund YTD Target Values'!$1:$1000, MATCH($C2002,'Fund YTD Target Values'!$A:$A,0), MATCH($A2002,'Fund YTD Target Values'!$1:$1,0)),0)</f>
        <v>0</v>
      </c>
      <c r="S2002" s="91">
        <f>IFERROR(__xludf.DUMMYFUNCTION("IFERROR(sum(FILTER('Fund Investment Data'!$V:$V, 'Fund Investment Data'!$C:$C = $C2002, 'Fund Investment Data'!$A:$A &lt; $A2002)),0) + IFERROR(sum(FILTER('Fund Investment Data'!$V:$V, 'Fund Investment Data'!$C:$C = $C2002, 'Fund Investment Data'!$A:$A = $A2"&amp;"002, 'Fund Investment Data'!$B:$B &lt;= $B2002)),0)"),0.0)</f>
        <v>0</v>
      </c>
      <c r="T2002" s="32"/>
      <c r="U2002" s="32"/>
      <c r="V2002" s="32">
        <f>IFERROR(__xludf.DUMMYFUNCTION("$D2002 - IFERROR(FILTER($D:$D,$C:$C = $C2002, $A:$A = $A2002, $B:$B = $B2002 - 1),0)"),0.0)</f>
        <v>0</v>
      </c>
      <c r="W2002" s="93">
        <f>IFERROR(__xludf.DUMMYFUNCTION("$E2002 - IFERROR(FILTER($E:$E,$C:$C = $C2002, $A:$A = $A2002, $B:$B = $B2002 - 1),0)"),0.0)</f>
        <v>0</v>
      </c>
      <c r="X2002" s="91">
        <f>IFERROR(__xludf.DUMMYFUNCTION("iFERROR((FILTER('Fund Investment Data'!$Z:$Z, 'Fund Investment Data'!$C:$C = $C2002, 'Fund Investment Data'!$A:$A = $A2002 - 1, 'Fund Investment Data'!$B:$B = 12) + FILTER('Fund Investment Data'!$AB:$AB, 'Fund Investment Data'!$C:$C = $C2002, 'Fund Invest"&amp;"ment Data'!$A:$A = $A2002 - 1, 'Fund Investment Data'!$B:$B = 12)) * (1 + AVERAGE(FILTER('Inflation Data'!$C:$C,'Inflation Data'!$A:$A = ($A2002 - 2)))) * Parameters!$A$4,0)"),0.0)</f>
        <v>0</v>
      </c>
      <c r="Y2002" s="91">
        <f>IFERROR(__xludf.DUMMYFUNCTION("IFERROR((IFERROR(FILTER('Fund Investment Data'!$P:$P,'Fund Investment Data'!$C:$C = $C2002,'Fund Investment Data'!$A:$A = ($A2002 - 2), 'Fund Investment Data'!$B:$B = 12),0) - SUM(FILTER('Fund Investment Data'!$V:$V, 'Fund Investment Data'!$C:$C = $C2002,"&amp;" 'Fund Investment Data'!$A:$A = ($A2002 - 2), 'Fund Investment Data'!$B:$B &gt; 3)))  * Parameters!$B$4 * (1 - Parameters!$A$4),0)"),0.0)</f>
        <v>0</v>
      </c>
      <c r="Z2002" s="91">
        <f t="shared" si="24"/>
        <v>0</v>
      </c>
      <c r="AA2002" s="91">
        <f>IFERROR(__xludf.DUMMYFUNCTION("((IFERROR((SUM(FILTER('Fund Investment Data'!$V:$V, 'Fund Investment Data'!$C:$C = $C2002, 'Fund Investment Data'!$A:$A = $A2002 - 1, 'Fund Investment Data'!$B:$B &gt;= 4, 'Fund Investment Data'!$B:$B &lt;= ($B2002 + 5))) / 12) * ($B2002 - 3) * Parameters!$B$4,"&amp;" 0) + IF($B2002 &gt;= 9, IFERROR(SUM(FILTER('Fund Investment Data'!$V:$V, 'Fund Investment Data'!$C:$C = $C2002, 'Fund Investment Data'!$A:$A = $A2002, 'Fund Investment Data'!$B:$B &lt;= 3)) * Parameters!$B$4, 0),0)))"),0.0)</f>
        <v>0</v>
      </c>
      <c r="AB2002" s="32">
        <f>IFERROR(__xludf.DUMMYFUNCTION("IFERROR(((IFERROR(SUM(FILTER('Fund Investment Data'!$V:$V, 'Fund Investment Data'!$C:$C = $C2002, 'Fund Investment Data'!$A:$A = $A2002 - 2, 'Fund Investment Data'!$B:$B &gt;= 4)) * Parameters!$B$4,0) + IFERROR(SUM(FILTER('Fund Investment Data'!$V:$V, 'Fund "&amp;"Investment Data'!$C:$C = $C2002, 'Fund Investment Data'!$A:$A = $A2002 - 1, 'Fund Investment Data'!$B:$B &lt;= 3)) * Parameters!$B$4,0))),0)"),0.0)</f>
        <v>0</v>
      </c>
      <c r="AC2002" s="32">
        <f>IFERROR(__xludf.DUMMYFUNCTION("IFERROR(FILTER($AF:$AF,$C:$C = $C2002,$A:$A = $A2002 - 1,$B:$B = 12),0)"),0.0)</f>
        <v>0</v>
      </c>
      <c r="AD2002" s="32">
        <f t="shared" si="23"/>
        <v>0</v>
      </c>
      <c r="AE2002" s="32">
        <f t="shared" si="2"/>
        <v>0</v>
      </c>
      <c r="AF2002" s="32"/>
    </row>
    <row r="2003">
      <c r="A2003" s="86"/>
      <c r="B2003" s="87"/>
      <c r="C2003" s="88"/>
      <c r="D2003" s="104"/>
      <c r="E2003" s="104"/>
      <c r="F2003" s="104"/>
      <c r="G2003" s="104"/>
      <c r="H2003" s="104"/>
      <c r="I2003" s="104"/>
      <c r="J2003" s="104"/>
      <c r="K2003" s="32"/>
      <c r="L2003" s="32"/>
      <c r="M2003" s="32"/>
      <c r="N2003" s="32"/>
      <c r="O2003" s="106"/>
      <c r="P2003" s="91">
        <f>IFERROR(__xludf.DUMMYFUNCTION("IFERROR(sum(FILTER($D:$N,$C:$C = $C2003,$A:$A &lt; $A2003,$B:$B = 12)),0) + sum($D2003:$N2003)"),0.0)</f>
        <v>0</v>
      </c>
      <c r="Q2003" s="92">
        <f t="shared" si="1"/>
        <v>0</v>
      </c>
      <c r="R2003" s="91">
        <f t="array" ref="R2003">IFERROR(INDEX('Fund YTD Target Values'!$1:$1000, MATCH($C2003,'Fund YTD Target Values'!$A:$A,0), MATCH($A2003,'Fund YTD Target Values'!$1:$1,0)),0)</f>
        <v>0</v>
      </c>
      <c r="S2003" s="91">
        <f>IFERROR(__xludf.DUMMYFUNCTION("IFERROR(sum(FILTER('Fund Investment Data'!$V:$V, 'Fund Investment Data'!$C:$C = $C2003, 'Fund Investment Data'!$A:$A &lt; $A2003)),0) + IFERROR(sum(FILTER('Fund Investment Data'!$V:$V, 'Fund Investment Data'!$C:$C = $C2003, 'Fund Investment Data'!$A:$A = $A2"&amp;"003, 'Fund Investment Data'!$B:$B &lt;= $B2003)),0)"),0.0)</f>
        <v>0</v>
      </c>
      <c r="T2003" s="32"/>
      <c r="U2003" s="32"/>
      <c r="V2003" s="32">
        <f>IFERROR(__xludf.DUMMYFUNCTION("$D2003 - IFERROR(FILTER($D:$D,$C:$C = $C2003, $A:$A = $A2003, $B:$B = $B2003 - 1),0)"),0.0)</f>
        <v>0</v>
      </c>
      <c r="W2003" s="93">
        <f>IFERROR(__xludf.DUMMYFUNCTION("$E2003 - IFERROR(FILTER($E:$E,$C:$C = $C2003, $A:$A = $A2003, $B:$B = $B2003 - 1),0)"),0.0)</f>
        <v>0</v>
      </c>
      <c r="X2003" s="91">
        <f>IFERROR(__xludf.DUMMYFUNCTION("iFERROR((FILTER('Fund Investment Data'!$Z:$Z, 'Fund Investment Data'!$C:$C = $C2003, 'Fund Investment Data'!$A:$A = $A2003 - 1, 'Fund Investment Data'!$B:$B = 12) + FILTER('Fund Investment Data'!$AB:$AB, 'Fund Investment Data'!$C:$C = $C2003, 'Fund Invest"&amp;"ment Data'!$A:$A = $A2003 - 1, 'Fund Investment Data'!$B:$B = 12)) * (1 + AVERAGE(FILTER('Inflation Data'!$C:$C,'Inflation Data'!$A:$A = ($A2003 - 2)))) * Parameters!$A$4,0)"),0.0)</f>
        <v>0</v>
      </c>
      <c r="Y2003" s="91">
        <f>IFERROR(__xludf.DUMMYFUNCTION("IFERROR((IFERROR(FILTER('Fund Investment Data'!$P:$P,'Fund Investment Data'!$C:$C = $C2003,'Fund Investment Data'!$A:$A = ($A2003 - 2), 'Fund Investment Data'!$B:$B = 12),0) - SUM(FILTER('Fund Investment Data'!$V:$V, 'Fund Investment Data'!$C:$C = $C2003,"&amp;" 'Fund Investment Data'!$A:$A = ($A2003 - 2), 'Fund Investment Data'!$B:$B &gt; 3)))  * Parameters!$B$4 * (1 - Parameters!$A$4),0)"),0.0)</f>
        <v>0</v>
      </c>
      <c r="Z2003" s="91">
        <f t="shared" si="24"/>
        <v>0</v>
      </c>
      <c r="AA2003" s="91">
        <f>IFERROR(__xludf.DUMMYFUNCTION("((IFERROR((SUM(FILTER('Fund Investment Data'!$V:$V, 'Fund Investment Data'!$C:$C = $C2003, 'Fund Investment Data'!$A:$A = $A2003 - 1, 'Fund Investment Data'!$B:$B &gt;= 4, 'Fund Investment Data'!$B:$B &lt;= ($B2003 + 5))) / 12) * ($B2003 - 3) * Parameters!$B$4,"&amp;" 0) + IF($B2003 &gt;= 9, IFERROR(SUM(FILTER('Fund Investment Data'!$V:$V, 'Fund Investment Data'!$C:$C = $C2003, 'Fund Investment Data'!$A:$A = $A2003, 'Fund Investment Data'!$B:$B &lt;= 3)) * Parameters!$B$4, 0),0)))"),0.0)</f>
        <v>0</v>
      </c>
      <c r="AB2003" s="32">
        <f>IFERROR(__xludf.DUMMYFUNCTION("IFERROR(((IFERROR(SUM(FILTER('Fund Investment Data'!$V:$V, 'Fund Investment Data'!$C:$C = $C2003, 'Fund Investment Data'!$A:$A = $A2003 - 2, 'Fund Investment Data'!$B:$B &gt;= 4)) * Parameters!$B$4,0) + IFERROR(SUM(FILTER('Fund Investment Data'!$V:$V, 'Fund "&amp;"Investment Data'!$C:$C = $C2003, 'Fund Investment Data'!$A:$A = $A2003 - 1, 'Fund Investment Data'!$B:$B &lt;= 3)) * Parameters!$B$4,0))),0)"),0.0)</f>
        <v>0</v>
      </c>
      <c r="AC2003" s="32">
        <f>IFERROR(__xludf.DUMMYFUNCTION("IFERROR(FILTER($AF:$AF,$C:$C = $C2003,$A:$A = $A2003 - 1,$B:$B = 12),0)"),0.0)</f>
        <v>0</v>
      </c>
      <c r="AD2003" s="32">
        <f t="shared" si="23"/>
        <v>0</v>
      </c>
      <c r="AE2003" s="32">
        <f t="shared" si="2"/>
        <v>0</v>
      </c>
      <c r="AF2003" s="32"/>
    </row>
    <row r="2004">
      <c r="A2004" s="86"/>
      <c r="B2004" s="87"/>
      <c r="C2004" s="88"/>
      <c r="D2004" s="104"/>
      <c r="E2004" s="104"/>
      <c r="F2004" s="104"/>
      <c r="G2004" s="104"/>
      <c r="H2004" s="104"/>
      <c r="I2004" s="104"/>
      <c r="J2004" s="104"/>
      <c r="K2004" s="32"/>
      <c r="L2004" s="32"/>
      <c r="M2004" s="32"/>
      <c r="N2004" s="32"/>
      <c r="O2004" s="106"/>
      <c r="P2004" s="91">
        <f>IFERROR(__xludf.DUMMYFUNCTION("IFERROR(sum(FILTER($D:$N,$C:$C = $C2004,$A:$A &lt; $A2004,$B:$B = 12)),0) + sum($D2004:$N2004)"),0.0)</f>
        <v>0</v>
      </c>
      <c r="Q2004" s="92">
        <f t="shared" si="1"/>
        <v>0</v>
      </c>
      <c r="R2004" s="91">
        <f t="array" ref="R2004">IFERROR(INDEX('Fund YTD Target Values'!$1:$1000, MATCH($C2004,'Fund YTD Target Values'!$A:$A,0), MATCH($A2004,'Fund YTD Target Values'!$1:$1,0)),0)</f>
        <v>0</v>
      </c>
      <c r="S2004" s="91">
        <f>IFERROR(__xludf.DUMMYFUNCTION("IFERROR(sum(FILTER('Fund Investment Data'!$V:$V, 'Fund Investment Data'!$C:$C = $C2004, 'Fund Investment Data'!$A:$A &lt; $A2004)),0) + IFERROR(sum(FILTER('Fund Investment Data'!$V:$V, 'Fund Investment Data'!$C:$C = $C2004, 'Fund Investment Data'!$A:$A = $A2"&amp;"004, 'Fund Investment Data'!$B:$B &lt;= $B2004)),0)"),0.0)</f>
        <v>0</v>
      </c>
      <c r="T2004" s="32"/>
      <c r="U2004" s="32"/>
      <c r="V2004" s="32">
        <f>IFERROR(__xludf.DUMMYFUNCTION("$D2004 - IFERROR(FILTER($D:$D,$C:$C = $C2004, $A:$A = $A2004, $B:$B = $B2004 - 1),0)"),0.0)</f>
        <v>0</v>
      </c>
      <c r="W2004" s="93">
        <f>IFERROR(__xludf.DUMMYFUNCTION("$E2004 - IFERROR(FILTER($E:$E,$C:$C = $C2004, $A:$A = $A2004, $B:$B = $B2004 - 1),0)"),0.0)</f>
        <v>0</v>
      </c>
      <c r="X2004" s="91">
        <f>IFERROR(__xludf.DUMMYFUNCTION("iFERROR((FILTER('Fund Investment Data'!$Z:$Z, 'Fund Investment Data'!$C:$C = $C2004, 'Fund Investment Data'!$A:$A = $A2004 - 1, 'Fund Investment Data'!$B:$B = 12) + FILTER('Fund Investment Data'!$AB:$AB, 'Fund Investment Data'!$C:$C = $C2004, 'Fund Invest"&amp;"ment Data'!$A:$A = $A2004 - 1, 'Fund Investment Data'!$B:$B = 12)) * (1 + AVERAGE(FILTER('Inflation Data'!$C:$C,'Inflation Data'!$A:$A = ($A2004 - 2)))) * Parameters!$A$4,0)"),0.0)</f>
        <v>0</v>
      </c>
      <c r="Y2004" s="91">
        <f>IFERROR(__xludf.DUMMYFUNCTION("IFERROR((IFERROR(FILTER('Fund Investment Data'!$P:$P,'Fund Investment Data'!$C:$C = $C2004,'Fund Investment Data'!$A:$A = ($A2004 - 2), 'Fund Investment Data'!$B:$B = 12),0) - SUM(FILTER('Fund Investment Data'!$V:$V, 'Fund Investment Data'!$C:$C = $C2004,"&amp;" 'Fund Investment Data'!$A:$A = ($A2004 - 2), 'Fund Investment Data'!$B:$B &gt; 3)))  * Parameters!$B$4 * (1 - Parameters!$A$4),0)"),0.0)</f>
        <v>0</v>
      </c>
      <c r="Z2004" s="91">
        <f t="shared" si="24"/>
        <v>0</v>
      </c>
      <c r="AA2004" s="91">
        <f>IFERROR(__xludf.DUMMYFUNCTION("((IFERROR((SUM(FILTER('Fund Investment Data'!$V:$V, 'Fund Investment Data'!$C:$C = $C2004, 'Fund Investment Data'!$A:$A = $A2004 - 1, 'Fund Investment Data'!$B:$B &gt;= 4, 'Fund Investment Data'!$B:$B &lt;= ($B2004 + 5))) / 12) * ($B2004 - 3) * Parameters!$B$4,"&amp;" 0) + IF($B2004 &gt;= 9, IFERROR(SUM(FILTER('Fund Investment Data'!$V:$V, 'Fund Investment Data'!$C:$C = $C2004, 'Fund Investment Data'!$A:$A = $A2004, 'Fund Investment Data'!$B:$B &lt;= 3)) * Parameters!$B$4, 0),0)))"),0.0)</f>
        <v>0</v>
      </c>
      <c r="AB2004" s="32">
        <f>IFERROR(__xludf.DUMMYFUNCTION("IFERROR(((IFERROR(SUM(FILTER('Fund Investment Data'!$V:$V, 'Fund Investment Data'!$C:$C = $C2004, 'Fund Investment Data'!$A:$A = $A2004 - 2, 'Fund Investment Data'!$B:$B &gt;= 4)) * Parameters!$B$4,0) + IFERROR(SUM(FILTER('Fund Investment Data'!$V:$V, 'Fund "&amp;"Investment Data'!$C:$C = $C2004, 'Fund Investment Data'!$A:$A = $A2004 - 1, 'Fund Investment Data'!$B:$B &lt;= 3)) * Parameters!$B$4,0))),0)"),0.0)</f>
        <v>0</v>
      </c>
      <c r="AC2004" s="32">
        <f>IFERROR(__xludf.DUMMYFUNCTION("IFERROR(FILTER($AF:$AF,$C:$C = $C2004,$A:$A = $A2004 - 1,$B:$B = 12),0)"),0.0)</f>
        <v>0</v>
      </c>
      <c r="AD2004" s="32">
        <f t="shared" si="23"/>
        <v>0</v>
      </c>
      <c r="AE2004" s="32">
        <f t="shared" si="2"/>
        <v>0</v>
      </c>
      <c r="AF2004" s="32"/>
    </row>
    <row r="2005">
      <c r="A2005" s="86"/>
      <c r="B2005" s="87"/>
      <c r="C2005" s="88"/>
      <c r="D2005" s="104"/>
      <c r="E2005" s="104"/>
      <c r="F2005" s="104"/>
      <c r="G2005" s="104"/>
      <c r="H2005" s="104"/>
      <c r="I2005" s="104"/>
      <c r="J2005" s="104"/>
      <c r="K2005" s="32"/>
      <c r="L2005" s="32"/>
      <c r="M2005" s="32"/>
      <c r="N2005" s="32"/>
      <c r="O2005" s="106"/>
      <c r="P2005" s="91">
        <f>IFERROR(__xludf.DUMMYFUNCTION("IFERROR(sum(FILTER($D:$N,$C:$C = $C2005,$A:$A &lt; $A2005,$B:$B = 12)),0) + sum($D2005:$N2005)"),0.0)</f>
        <v>0</v>
      </c>
      <c r="Q2005" s="92">
        <f t="shared" si="1"/>
        <v>0</v>
      </c>
      <c r="R2005" s="91">
        <f t="array" ref="R2005">IFERROR(INDEX('Fund YTD Target Values'!$1:$1000, MATCH($C2005,'Fund YTD Target Values'!$A:$A,0), MATCH($A2005,'Fund YTD Target Values'!$1:$1,0)),0)</f>
        <v>0</v>
      </c>
      <c r="S2005" s="91">
        <f>IFERROR(__xludf.DUMMYFUNCTION("IFERROR(sum(FILTER('Fund Investment Data'!$V:$V, 'Fund Investment Data'!$C:$C = $C2005, 'Fund Investment Data'!$A:$A &lt; $A2005)),0) + IFERROR(sum(FILTER('Fund Investment Data'!$V:$V, 'Fund Investment Data'!$C:$C = $C2005, 'Fund Investment Data'!$A:$A = $A2"&amp;"005, 'Fund Investment Data'!$B:$B &lt;= $B2005)),0)"),0.0)</f>
        <v>0</v>
      </c>
      <c r="T2005" s="32"/>
      <c r="U2005" s="32"/>
      <c r="V2005" s="32">
        <f>IFERROR(__xludf.DUMMYFUNCTION("$D2005 - IFERROR(FILTER($D:$D,$C:$C = $C2005, $A:$A = $A2005, $B:$B = $B2005 - 1),0)"),0.0)</f>
        <v>0</v>
      </c>
      <c r="W2005" s="93">
        <f>IFERROR(__xludf.DUMMYFUNCTION("$E2005 - IFERROR(FILTER($E:$E,$C:$C = $C2005, $A:$A = $A2005, $B:$B = $B2005 - 1),0)"),0.0)</f>
        <v>0</v>
      </c>
      <c r="X2005" s="91">
        <f>IFERROR(__xludf.DUMMYFUNCTION("iFERROR((FILTER('Fund Investment Data'!$Z:$Z, 'Fund Investment Data'!$C:$C = $C2005, 'Fund Investment Data'!$A:$A = $A2005 - 1, 'Fund Investment Data'!$B:$B = 12) + FILTER('Fund Investment Data'!$AB:$AB, 'Fund Investment Data'!$C:$C = $C2005, 'Fund Invest"&amp;"ment Data'!$A:$A = $A2005 - 1, 'Fund Investment Data'!$B:$B = 12)) * (1 + AVERAGE(FILTER('Inflation Data'!$C:$C,'Inflation Data'!$A:$A = ($A2005 - 2)))) * Parameters!$A$4,0)"),0.0)</f>
        <v>0</v>
      </c>
      <c r="Y2005" s="91">
        <f>IFERROR(__xludf.DUMMYFUNCTION("IFERROR((IFERROR(FILTER('Fund Investment Data'!$P:$P,'Fund Investment Data'!$C:$C = $C2005,'Fund Investment Data'!$A:$A = ($A2005 - 2), 'Fund Investment Data'!$B:$B = 12),0) - SUM(FILTER('Fund Investment Data'!$V:$V, 'Fund Investment Data'!$C:$C = $C2005,"&amp;" 'Fund Investment Data'!$A:$A = ($A2005 - 2), 'Fund Investment Data'!$B:$B &gt; 3)))  * Parameters!$B$4 * (1 - Parameters!$A$4),0)"),0.0)</f>
        <v>0</v>
      </c>
      <c r="Z2005" s="91">
        <f t="shared" si="24"/>
        <v>0</v>
      </c>
      <c r="AA2005" s="91">
        <f>IFERROR(__xludf.DUMMYFUNCTION("((IFERROR((SUM(FILTER('Fund Investment Data'!$V:$V, 'Fund Investment Data'!$C:$C = $C2005, 'Fund Investment Data'!$A:$A = $A2005 - 1, 'Fund Investment Data'!$B:$B &gt;= 4, 'Fund Investment Data'!$B:$B &lt;= ($B2005 + 5))) / 12) * ($B2005 - 3) * Parameters!$B$4,"&amp;" 0) + IF($B2005 &gt;= 9, IFERROR(SUM(FILTER('Fund Investment Data'!$V:$V, 'Fund Investment Data'!$C:$C = $C2005, 'Fund Investment Data'!$A:$A = $A2005, 'Fund Investment Data'!$B:$B &lt;= 3)) * Parameters!$B$4, 0),0)))"),0.0)</f>
        <v>0</v>
      </c>
      <c r="AB2005" s="32">
        <f>IFERROR(__xludf.DUMMYFUNCTION("IFERROR(((IFERROR(SUM(FILTER('Fund Investment Data'!$V:$V, 'Fund Investment Data'!$C:$C = $C2005, 'Fund Investment Data'!$A:$A = $A2005 - 2, 'Fund Investment Data'!$B:$B &gt;= 4)) * Parameters!$B$4,0) + IFERROR(SUM(FILTER('Fund Investment Data'!$V:$V, 'Fund "&amp;"Investment Data'!$C:$C = $C2005, 'Fund Investment Data'!$A:$A = $A2005 - 1, 'Fund Investment Data'!$B:$B &lt;= 3)) * Parameters!$B$4,0))),0)"),0.0)</f>
        <v>0</v>
      </c>
      <c r="AC2005" s="32">
        <f>IFERROR(__xludf.DUMMYFUNCTION("IFERROR(FILTER($AF:$AF,$C:$C = $C2005,$A:$A = $A2005 - 1,$B:$B = 12),0)"),0.0)</f>
        <v>0</v>
      </c>
      <c r="AD2005" s="32">
        <f t="shared" si="23"/>
        <v>0</v>
      </c>
      <c r="AE2005" s="32">
        <f t="shared" si="2"/>
        <v>0</v>
      </c>
      <c r="AF2005" s="32"/>
    </row>
    <row r="2006">
      <c r="A2006" s="86"/>
      <c r="B2006" s="87"/>
      <c r="C2006" s="88"/>
      <c r="D2006" s="104"/>
      <c r="E2006" s="104"/>
      <c r="F2006" s="104"/>
      <c r="G2006" s="104"/>
      <c r="H2006" s="104"/>
      <c r="I2006" s="104"/>
      <c r="J2006" s="104"/>
      <c r="K2006" s="32"/>
      <c r="L2006" s="32"/>
      <c r="M2006" s="32"/>
      <c r="N2006" s="32"/>
      <c r="O2006" s="106"/>
      <c r="P2006" s="91">
        <f>IFERROR(__xludf.DUMMYFUNCTION("IFERROR(sum(FILTER($D:$N,$C:$C = $C2006,$A:$A &lt; $A2006,$B:$B = 12)),0) + sum($D2006:$N2006)"),0.0)</f>
        <v>0</v>
      </c>
      <c r="Q2006" s="92">
        <f t="shared" si="1"/>
        <v>0</v>
      </c>
      <c r="R2006" s="91">
        <f t="array" ref="R2006">IFERROR(INDEX('Fund YTD Target Values'!$1:$1000, MATCH($C2006,'Fund YTD Target Values'!$A:$A,0), MATCH($A2006,'Fund YTD Target Values'!$1:$1,0)),0)</f>
        <v>0</v>
      </c>
      <c r="S2006" s="91">
        <f>IFERROR(__xludf.DUMMYFUNCTION("IFERROR(sum(FILTER('Fund Investment Data'!$V:$V, 'Fund Investment Data'!$C:$C = $C2006, 'Fund Investment Data'!$A:$A &lt; $A2006)),0) + IFERROR(sum(FILTER('Fund Investment Data'!$V:$V, 'Fund Investment Data'!$C:$C = $C2006, 'Fund Investment Data'!$A:$A = $A2"&amp;"006, 'Fund Investment Data'!$B:$B &lt;= $B2006)),0)"),0.0)</f>
        <v>0</v>
      </c>
      <c r="T2006" s="32"/>
      <c r="U2006" s="32"/>
      <c r="V2006" s="32">
        <f>IFERROR(__xludf.DUMMYFUNCTION("$D2006 - IFERROR(FILTER($D:$D,$C:$C = $C2006, $A:$A = $A2006, $B:$B = $B2006 - 1),0)"),0.0)</f>
        <v>0</v>
      </c>
      <c r="W2006" s="93">
        <f>IFERROR(__xludf.DUMMYFUNCTION("$E2006 - IFERROR(FILTER($E:$E,$C:$C = $C2006, $A:$A = $A2006, $B:$B = $B2006 - 1),0)"),0.0)</f>
        <v>0</v>
      </c>
      <c r="X2006" s="91">
        <f>IFERROR(__xludf.DUMMYFUNCTION("iFERROR((FILTER('Fund Investment Data'!$Z:$Z, 'Fund Investment Data'!$C:$C = $C2006, 'Fund Investment Data'!$A:$A = $A2006 - 1, 'Fund Investment Data'!$B:$B = 12) + FILTER('Fund Investment Data'!$AB:$AB, 'Fund Investment Data'!$C:$C = $C2006, 'Fund Invest"&amp;"ment Data'!$A:$A = $A2006 - 1, 'Fund Investment Data'!$B:$B = 12)) * (1 + AVERAGE(FILTER('Inflation Data'!$C:$C,'Inflation Data'!$A:$A = ($A2006 - 2)))) * Parameters!$A$4,0)"),0.0)</f>
        <v>0</v>
      </c>
      <c r="Y2006" s="91">
        <f>IFERROR(__xludf.DUMMYFUNCTION("IFERROR((IFERROR(FILTER('Fund Investment Data'!$P:$P,'Fund Investment Data'!$C:$C = $C2006,'Fund Investment Data'!$A:$A = ($A2006 - 2), 'Fund Investment Data'!$B:$B = 12),0) - SUM(FILTER('Fund Investment Data'!$V:$V, 'Fund Investment Data'!$C:$C = $C2006,"&amp;" 'Fund Investment Data'!$A:$A = ($A2006 - 2), 'Fund Investment Data'!$B:$B &gt; 3)))  * Parameters!$B$4 * (1 - Parameters!$A$4),0)"),0.0)</f>
        <v>0</v>
      </c>
      <c r="Z2006" s="91">
        <f t="shared" si="24"/>
        <v>0</v>
      </c>
      <c r="AA2006" s="91">
        <f>IFERROR(__xludf.DUMMYFUNCTION("((IFERROR((SUM(FILTER('Fund Investment Data'!$V:$V, 'Fund Investment Data'!$C:$C = $C2006, 'Fund Investment Data'!$A:$A = $A2006 - 1, 'Fund Investment Data'!$B:$B &gt;= 4, 'Fund Investment Data'!$B:$B &lt;= ($B2006 + 5))) / 12) * ($B2006 - 3) * Parameters!$B$4,"&amp;" 0) + IF($B2006 &gt;= 9, IFERROR(SUM(FILTER('Fund Investment Data'!$V:$V, 'Fund Investment Data'!$C:$C = $C2006, 'Fund Investment Data'!$A:$A = $A2006, 'Fund Investment Data'!$B:$B &lt;= 3)) * Parameters!$B$4, 0),0)))"),0.0)</f>
        <v>0</v>
      </c>
      <c r="AB2006" s="32">
        <f>IFERROR(__xludf.DUMMYFUNCTION("IFERROR(((IFERROR(SUM(FILTER('Fund Investment Data'!$V:$V, 'Fund Investment Data'!$C:$C = $C2006, 'Fund Investment Data'!$A:$A = $A2006 - 2, 'Fund Investment Data'!$B:$B &gt;= 4)) * Parameters!$B$4,0) + IFERROR(SUM(FILTER('Fund Investment Data'!$V:$V, 'Fund "&amp;"Investment Data'!$C:$C = $C2006, 'Fund Investment Data'!$A:$A = $A2006 - 1, 'Fund Investment Data'!$B:$B &lt;= 3)) * Parameters!$B$4,0))),0)"),0.0)</f>
        <v>0</v>
      </c>
      <c r="AC2006" s="32">
        <f>IFERROR(__xludf.DUMMYFUNCTION("IFERROR(FILTER($AF:$AF,$C:$C = $C2006,$A:$A = $A2006 - 1,$B:$B = 12),0)"),0.0)</f>
        <v>0</v>
      </c>
      <c r="AD2006" s="32">
        <f t="shared" si="23"/>
        <v>0</v>
      </c>
      <c r="AE2006" s="32">
        <f t="shared" si="2"/>
        <v>0</v>
      </c>
      <c r="AF2006" s="32"/>
    </row>
    <row r="2007">
      <c r="A2007" s="86"/>
      <c r="B2007" s="87"/>
      <c r="C2007" s="88"/>
      <c r="D2007" s="104"/>
      <c r="E2007" s="104"/>
      <c r="F2007" s="104"/>
      <c r="G2007" s="104"/>
      <c r="H2007" s="104"/>
      <c r="I2007" s="104"/>
      <c r="J2007" s="104"/>
      <c r="K2007" s="32"/>
      <c r="L2007" s="32"/>
      <c r="M2007" s="32"/>
      <c r="N2007" s="32"/>
      <c r="O2007" s="106"/>
      <c r="P2007" s="91">
        <f>IFERROR(__xludf.DUMMYFUNCTION("IFERROR(sum(FILTER($D:$N,$C:$C = $C2007,$A:$A &lt; $A2007,$B:$B = 12)),0) + sum($D2007:$N2007)"),0.0)</f>
        <v>0</v>
      </c>
      <c r="Q2007" s="92">
        <f t="shared" si="1"/>
        <v>0</v>
      </c>
      <c r="R2007" s="91">
        <f t="array" ref="R2007">IFERROR(INDEX('Fund YTD Target Values'!$1:$1000, MATCH($C2007,'Fund YTD Target Values'!$A:$A,0), MATCH($A2007,'Fund YTD Target Values'!$1:$1,0)),0)</f>
        <v>0</v>
      </c>
      <c r="S2007" s="91">
        <f>IFERROR(__xludf.DUMMYFUNCTION("IFERROR(sum(FILTER('Fund Investment Data'!$V:$V, 'Fund Investment Data'!$C:$C = $C2007, 'Fund Investment Data'!$A:$A &lt; $A2007)),0) + IFERROR(sum(FILTER('Fund Investment Data'!$V:$V, 'Fund Investment Data'!$C:$C = $C2007, 'Fund Investment Data'!$A:$A = $A2"&amp;"007, 'Fund Investment Data'!$B:$B &lt;= $B2007)),0)"),0.0)</f>
        <v>0</v>
      </c>
      <c r="T2007" s="32"/>
      <c r="U2007" s="32"/>
      <c r="V2007" s="32">
        <f>IFERROR(__xludf.DUMMYFUNCTION("$D2007 - IFERROR(FILTER($D:$D,$C:$C = $C2007, $A:$A = $A2007, $B:$B = $B2007 - 1),0)"),0.0)</f>
        <v>0</v>
      </c>
      <c r="W2007" s="93">
        <f>IFERROR(__xludf.DUMMYFUNCTION("$E2007 - IFERROR(FILTER($E:$E,$C:$C = $C2007, $A:$A = $A2007, $B:$B = $B2007 - 1),0)"),0.0)</f>
        <v>0</v>
      </c>
      <c r="X2007" s="91">
        <f>IFERROR(__xludf.DUMMYFUNCTION("iFERROR((FILTER('Fund Investment Data'!$Z:$Z, 'Fund Investment Data'!$C:$C = $C2007, 'Fund Investment Data'!$A:$A = $A2007 - 1, 'Fund Investment Data'!$B:$B = 12) + FILTER('Fund Investment Data'!$AB:$AB, 'Fund Investment Data'!$C:$C = $C2007, 'Fund Invest"&amp;"ment Data'!$A:$A = $A2007 - 1, 'Fund Investment Data'!$B:$B = 12)) * (1 + AVERAGE(FILTER('Inflation Data'!$C:$C,'Inflation Data'!$A:$A = ($A2007 - 2)))) * Parameters!$A$4,0)"),0.0)</f>
        <v>0</v>
      </c>
      <c r="Y2007" s="91">
        <f>IFERROR(__xludf.DUMMYFUNCTION("IFERROR((IFERROR(FILTER('Fund Investment Data'!$P:$P,'Fund Investment Data'!$C:$C = $C2007,'Fund Investment Data'!$A:$A = ($A2007 - 2), 'Fund Investment Data'!$B:$B = 12),0) - SUM(FILTER('Fund Investment Data'!$V:$V, 'Fund Investment Data'!$C:$C = $C2007,"&amp;" 'Fund Investment Data'!$A:$A = ($A2007 - 2), 'Fund Investment Data'!$B:$B &gt; 3)))  * Parameters!$B$4 * (1 - Parameters!$A$4),0)"),0.0)</f>
        <v>0</v>
      </c>
      <c r="Z2007" s="91">
        <f t="shared" si="24"/>
        <v>0</v>
      </c>
      <c r="AA2007" s="91">
        <f>IFERROR(__xludf.DUMMYFUNCTION("((IFERROR((SUM(FILTER('Fund Investment Data'!$V:$V, 'Fund Investment Data'!$C:$C = $C2007, 'Fund Investment Data'!$A:$A = $A2007 - 1, 'Fund Investment Data'!$B:$B &gt;= 4, 'Fund Investment Data'!$B:$B &lt;= ($B2007 + 5))) / 12) * ($B2007 - 3) * Parameters!$B$4,"&amp;" 0) + IF($B2007 &gt;= 9, IFERROR(SUM(FILTER('Fund Investment Data'!$V:$V, 'Fund Investment Data'!$C:$C = $C2007, 'Fund Investment Data'!$A:$A = $A2007, 'Fund Investment Data'!$B:$B &lt;= 3)) * Parameters!$B$4, 0),0)))"),0.0)</f>
        <v>0</v>
      </c>
      <c r="AB2007" s="32">
        <f>IFERROR(__xludf.DUMMYFUNCTION("IFERROR(((IFERROR(SUM(FILTER('Fund Investment Data'!$V:$V, 'Fund Investment Data'!$C:$C = $C2007, 'Fund Investment Data'!$A:$A = $A2007 - 2, 'Fund Investment Data'!$B:$B &gt;= 4)) * Parameters!$B$4,0) + IFERROR(SUM(FILTER('Fund Investment Data'!$V:$V, 'Fund "&amp;"Investment Data'!$C:$C = $C2007, 'Fund Investment Data'!$A:$A = $A2007 - 1, 'Fund Investment Data'!$B:$B &lt;= 3)) * Parameters!$B$4,0))),0)"),0.0)</f>
        <v>0</v>
      </c>
      <c r="AC2007" s="32">
        <f>IFERROR(__xludf.DUMMYFUNCTION("IFERROR(FILTER($AF:$AF,$C:$C = $C2007,$A:$A = $A2007 - 1,$B:$B = 12),0)"),0.0)</f>
        <v>0</v>
      </c>
      <c r="AD2007" s="32">
        <f t="shared" si="23"/>
        <v>0</v>
      </c>
      <c r="AE2007" s="32">
        <f t="shared" si="2"/>
        <v>0</v>
      </c>
      <c r="AF2007" s="32"/>
    </row>
    <row r="2008">
      <c r="A2008" s="86"/>
      <c r="B2008" s="87"/>
      <c r="C2008" s="88"/>
      <c r="D2008" s="104"/>
      <c r="E2008" s="104"/>
      <c r="F2008" s="104"/>
      <c r="G2008" s="104"/>
      <c r="H2008" s="104"/>
      <c r="I2008" s="104"/>
      <c r="J2008" s="104"/>
      <c r="K2008" s="32"/>
      <c r="L2008" s="32"/>
      <c r="M2008" s="32"/>
      <c r="N2008" s="32"/>
      <c r="O2008" s="106"/>
      <c r="P2008" s="91">
        <f>IFERROR(__xludf.DUMMYFUNCTION("IFERROR(sum(FILTER($D:$N,$C:$C = $C2008,$A:$A &lt; $A2008,$B:$B = 12)),0) + sum($D2008:$N2008)"),0.0)</f>
        <v>0</v>
      </c>
      <c r="Q2008" s="92">
        <f t="shared" si="1"/>
        <v>0</v>
      </c>
      <c r="R2008" s="91">
        <f t="array" ref="R2008">IFERROR(INDEX('Fund YTD Target Values'!$1:$1000, MATCH($C2008,'Fund YTD Target Values'!$A:$A,0), MATCH($A2008,'Fund YTD Target Values'!$1:$1,0)),0)</f>
        <v>0</v>
      </c>
      <c r="S2008" s="91">
        <f>IFERROR(__xludf.DUMMYFUNCTION("IFERROR(sum(FILTER('Fund Investment Data'!$V:$V, 'Fund Investment Data'!$C:$C = $C2008, 'Fund Investment Data'!$A:$A &lt; $A2008)),0) + IFERROR(sum(FILTER('Fund Investment Data'!$V:$V, 'Fund Investment Data'!$C:$C = $C2008, 'Fund Investment Data'!$A:$A = $A2"&amp;"008, 'Fund Investment Data'!$B:$B &lt;= $B2008)),0)"),0.0)</f>
        <v>0</v>
      </c>
      <c r="T2008" s="32"/>
      <c r="U2008" s="32"/>
      <c r="V2008" s="32">
        <f>IFERROR(__xludf.DUMMYFUNCTION("$D2008 - IFERROR(FILTER($D:$D,$C:$C = $C2008, $A:$A = $A2008, $B:$B = $B2008 - 1),0)"),0.0)</f>
        <v>0</v>
      </c>
      <c r="W2008" s="93">
        <f>IFERROR(__xludf.DUMMYFUNCTION("$E2008 - IFERROR(FILTER($E:$E,$C:$C = $C2008, $A:$A = $A2008, $B:$B = $B2008 - 1),0)"),0.0)</f>
        <v>0</v>
      </c>
      <c r="X2008" s="91">
        <f>IFERROR(__xludf.DUMMYFUNCTION("iFERROR((FILTER('Fund Investment Data'!$Z:$Z, 'Fund Investment Data'!$C:$C = $C2008, 'Fund Investment Data'!$A:$A = $A2008 - 1, 'Fund Investment Data'!$B:$B = 12) + FILTER('Fund Investment Data'!$AB:$AB, 'Fund Investment Data'!$C:$C = $C2008, 'Fund Invest"&amp;"ment Data'!$A:$A = $A2008 - 1, 'Fund Investment Data'!$B:$B = 12)) * (1 + AVERAGE(FILTER('Inflation Data'!$C:$C,'Inflation Data'!$A:$A = ($A2008 - 2)))) * Parameters!$A$4,0)"),0.0)</f>
        <v>0</v>
      </c>
      <c r="Y2008" s="91">
        <f>IFERROR(__xludf.DUMMYFUNCTION("IFERROR((IFERROR(FILTER('Fund Investment Data'!$P:$P,'Fund Investment Data'!$C:$C = $C2008,'Fund Investment Data'!$A:$A = ($A2008 - 2), 'Fund Investment Data'!$B:$B = 12),0) - SUM(FILTER('Fund Investment Data'!$V:$V, 'Fund Investment Data'!$C:$C = $C2008,"&amp;" 'Fund Investment Data'!$A:$A = ($A2008 - 2), 'Fund Investment Data'!$B:$B &gt; 3)))  * Parameters!$B$4 * (1 - Parameters!$A$4),0)"),0.0)</f>
        <v>0</v>
      </c>
      <c r="Z2008" s="91">
        <f t="shared" si="24"/>
        <v>0</v>
      </c>
      <c r="AA2008" s="91">
        <f>IFERROR(__xludf.DUMMYFUNCTION("((IFERROR((SUM(FILTER('Fund Investment Data'!$V:$V, 'Fund Investment Data'!$C:$C = $C2008, 'Fund Investment Data'!$A:$A = $A2008 - 1, 'Fund Investment Data'!$B:$B &gt;= 4, 'Fund Investment Data'!$B:$B &lt;= ($B2008 + 5))) / 12) * ($B2008 - 3) * Parameters!$B$4,"&amp;" 0) + IF($B2008 &gt;= 9, IFERROR(SUM(FILTER('Fund Investment Data'!$V:$V, 'Fund Investment Data'!$C:$C = $C2008, 'Fund Investment Data'!$A:$A = $A2008, 'Fund Investment Data'!$B:$B &lt;= 3)) * Parameters!$B$4, 0),0)))"),0.0)</f>
        <v>0</v>
      </c>
      <c r="AB2008" s="32">
        <f>IFERROR(__xludf.DUMMYFUNCTION("IFERROR(((IFERROR(SUM(FILTER('Fund Investment Data'!$V:$V, 'Fund Investment Data'!$C:$C = $C2008, 'Fund Investment Data'!$A:$A = $A2008 - 2, 'Fund Investment Data'!$B:$B &gt;= 4)) * Parameters!$B$4,0) + IFERROR(SUM(FILTER('Fund Investment Data'!$V:$V, 'Fund "&amp;"Investment Data'!$C:$C = $C2008, 'Fund Investment Data'!$A:$A = $A2008 - 1, 'Fund Investment Data'!$B:$B &lt;= 3)) * Parameters!$B$4,0))),0)"),0.0)</f>
        <v>0</v>
      </c>
      <c r="AC2008" s="32">
        <f>IFERROR(__xludf.DUMMYFUNCTION("IFERROR(FILTER($AF:$AF,$C:$C = $C2008,$A:$A = $A2008 - 1,$B:$B = 12),0)"),0.0)</f>
        <v>0</v>
      </c>
      <c r="AD2008" s="32">
        <f t="shared" si="23"/>
        <v>0</v>
      </c>
      <c r="AE2008" s="32">
        <f t="shared" si="2"/>
        <v>0</v>
      </c>
      <c r="AF2008" s="32"/>
    </row>
    <row r="2009">
      <c r="A2009" s="86"/>
      <c r="B2009" s="87"/>
      <c r="C2009" s="88"/>
      <c r="D2009" s="104"/>
      <c r="E2009" s="104"/>
      <c r="F2009" s="104"/>
      <c r="G2009" s="104"/>
      <c r="H2009" s="104"/>
      <c r="I2009" s="104"/>
      <c r="J2009" s="104"/>
      <c r="K2009" s="32"/>
      <c r="L2009" s="32"/>
      <c r="M2009" s="32"/>
      <c r="N2009" s="32"/>
      <c r="O2009" s="106"/>
      <c r="P2009" s="91">
        <f>IFERROR(__xludf.DUMMYFUNCTION("IFERROR(sum(FILTER($D:$N,$C:$C = $C2009,$A:$A &lt; $A2009,$B:$B = 12)),0) + sum($D2009:$N2009)"),0.0)</f>
        <v>0</v>
      </c>
      <c r="Q2009" s="92">
        <f t="shared" si="1"/>
        <v>0</v>
      </c>
      <c r="R2009" s="91">
        <f t="array" ref="R2009">IFERROR(INDEX('Fund YTD Target Values'!$1:$1000, MATCH($C2009,'Fund YTD Target Values'!$A:$A,0), MATCH($A2009,'Fund YTD Target Values'!$1:$1,0)),0)</f>
        <v>0</v>
      </c>
      <c r="S2009" s="91">
        <f>IFERROR(__xludf.DUMMYFUNCTION("IFERROR(sum(FILTER('Fund Investment Data'!$V:$V, 'Fund Investment Data'!$C:$C = $C2009, 'Fund Investment Data'!$A:$A &lt; $A2009)),0) + IFERROR(sum(FILTER('Fund Investment Data'!$V:$V, 'Fund Investment Data'!$C:$C = $C2009, 'Fund Investment Data'!$A:$A = $A2"&amp;"009, 'Fund Investment Data'!$B:$B &lt;= $B2009)),0)"),0.0)</f>
        <v>0</v>
      </c>
      <c r="T2009" s="32"/>
      <c r="U2009" s="32"/>
      <c r="V2009" s="32">
        <f>IFERROR(__xludf.DUMMYFUNCTION("$D2009 - IFERROR(FILTER($D:$D,$C:$C = $C2009, $A:$A = $A2009, $B:$B = $B2009 - 1),0)"),0.0)</f>
        <v>0</v>
      </c>
      <c r="W2009" s="93">
        <f>IFERROR(__xludf.DUMMYFUNCTION("$E2009 - IFERROR(FILTER($E:$E,$C:$C = $C2009, $A:$A = $A2009, $B:$B = $B2009 - 1),0)"),0.0)</f>
        <v>0</v>
      </c>
      <c r="X2009" s="91">
        <f>IFERROR(__xludf.DUMMYFUNCTION("iFERROR((FILTER('Fund Investment Data'!$Z:$Z, 'Fund Investment Data'!$C:$C = $C2009, 'Fund Investment Data'!$A:$A = $A2009 - 1, 'Fund Investment Data'!$B:$B = 12) + FILTER('Fund Investment Data'!$AB:$AB, 'Fund Investment Data'!$C:$C = $C2009, 'Fund Invest"&amp;"ment Data'!$A:$A = $A2009 - 1, 'Fund Investment Data'!$B:$B = 12)) * (1 + AVERAGE(FILTER('Inflation Data'!$C:$C,'Inflation Data'!$A:$A = ($A2009 - 2)))) * Parameters!$A$4,0)"),0.0)</f>
        <v>0</v>
      </c>
      <c r="Y2009" s="91">
        <f>IFERROR(__xludf.DUMMYFUNCTION("IFERROR((IFERROR(FILTER('Fund Investment Data'!$P:$P,'Fund Investment Data'!$C:$C = $C2009,'Fund Investment Data'!$A:$A = ($A2009 - 2), 'Fund Investment Data'!$B:$B = 12),0) - SUM(FILTER('Fund Investment Data'!$V:$V, 'Fund Investment Data'!$C:$C = $C2009,"&amp;" 'Fund Investment Data'!$A:$A = ($A2009 - 2), 'Fund Investment Data'!$B:$B &gt; 3)))  * Parameters!$B$4 * (1 - Parameters!$A$4),0)"),0.0)</f>
        <v>0</v>
      </c>
      <c r="Z2009" s="91">
        <f t="shared" si="24"/>
        <v>0</v>
      </c>
      <c r="AA2009" s="91">
        <f>IFERROR(__xludf.DUMMYFUNCTION("((IFERROR((SUM(FILTER('Fund Investment Data'!$V:$V, 'Fund Investment Data'!$C:$C = $C2009, 'Fund Investment Data'!$A:$A = $A2009 - 1, 'Fund Investment Data'!$B:$B &gt;= 4, 'Fund Investment Data'!$B:$B &lt;= ($B2009 + 5))) / 12) * ($B2009 - 3) * Parameters!$B$4,"&amp;" 0) + IF($B2009 &gt;= 9, IFERROR(SUM(FILTER('Fund Investment Data'!$V:$V, 'Fund Investment Data'!$C:$C = $C2009, 'Fund Investment Data'!$A:$A = $A2009, 'Fund Investment Data'!$B:$B &lt;= 3)) * Parameters!$B$4, 0),0)))"),0.0)</f>
        <v>0</v>
      </c>
      <c r="AB2009" s="32">
        <f>IFERROR(__xludf.DUMMYFUNCTION("IFERROR(((IFERROR(SUM(FILTER('Fund Investment Data'!$V:$V, 'Fund Investment Data'!$C:$C = $C2009, 'Fund Investment Data'!$A:$A = $A2009 - 2, 'Fund Investment Data'!$B:$B &gt;= 4)) * Parameters!$B$4,0) + IFERROR(SUM(FILTER('Fund Investment Data'!$V:$V, 'Fund "&amp;"Investment Data'!$C:$C = $C2009, 'Fund Investment Data'!$A:$A = $A2009 - 1, 'Fund Investment Data'!$B:$B &lt;= 3)) * Parameters!$B$4,0))),0)"),0.0)</f>
        <v>0</v>
      </c>
      <c r="AC2009" s="32">
        <f>IFERROR(__xludf.DUMMYFUNCTION("IFERROR(FILTER($AF:$AF,$C:$C = $C2009,$A:$A = $A2009 - 1,$B:$B = 12),0)"),0.0)</f>
        <v>0</v>
      </c>
      <c r="AD2009" s="32">
        <f t="shared" si="23"/>
        <v>0</v>
      </c>
      <c r="AE2009" s="32">
        <f t="shared" si="2"/>
        <v>0</v>
      </c>
      <c r="AF2009" s="32"/>
    </row>
    <row r="2010">
      <c r="A2010" s="86"/>
      <c r="B2010" s="87"/>
      <c r="C2010" s="88"/>
      <c r="D2010" s="104"/>
      <c r="E2010" s="104"/>
      <c r="F2010" s="104"/>
      <c r="G2010" s="104"/>
      <c r="H2010" s="104"/>
      <c r="I2010" s="104"/>
      <c r="J2010" s="104"/>
      <c r="K2010" s="32"/>
      <c r="L2010" s="32"/>
      <c r="M2010" s="32"/>
      <c r="N2010" s="32"/>
      <c r="O2010" s="106"/>
      <c r="P2010" s="91">
        <f>IFERROR(__xludf.DUMMYFUNCTION("IFERROR(sum(FILTER($D:$N,$C:$C = $C2010,$A:$A &lt; $A2010,$B:$B = 12)),0) + sum($D2010:$N2010)"),0.0)</f>
        <v>0</v>
      </c>
      <c r="Q2010" s="92">
        <f t="shared" si="1"/>
        <v>0</v>
      </c>
      <c r="R2010" s="91">
        <f t="array" ref="R2010">IFERROR(INDEX('Fund YTD Target Values'!$1:$1000, MATCH($C2010,'Fund YTD Target Values'!$A:$A,0), MATCH($A2010,'Fund YTD Target Values'!$1:$1,0)),0)</f>
        <v>0</v>
      </c>
      <c r="S2010" s="91">
        <f>IFERROR(__xludf.DUMMYFUNCTION("IFERROR(sum(FILTER('Fund Investment Data'!$V:$V, 'Fund Investment Data'!$C:$C = $C2010, 'Fund Investment Data'!$A:$A &lt; $A2010)),0) + IFERROR(sum(FILTER('Fund Investment Data'!$V:$V, 'Fund Investment Data'!$C:$C = $C2010, 'Fund Investment Data'!$A:$A = $A2"&amp;"010, 'Fund Investment Data'!$B:$B &lt;= $B2010)),0)"),0.0)</f>
        <v>0</v>
      </c>
      <c r="T2010" s="32"/>
      <c r="U2010" s="32"/>
      <c r="V2010" s="32">
        <f>IFERROR(__xludf.DUMMYFUNCTION("$D2010 - IFERROR(FILTER($D:$D,$C:$C = $C2010, $A:$A = $A2010, $B:$B = $B2010 - 1),0)"),0.0)</f>
        <v>0</v>
      </c>
      <c r="W2010" s="93">
        <f>IFERROR(__xludf.DUMMYFUNCTION("$E2010 - IFERROR(FILTER($E:$E,$C:$C = $C2010, $A:$A = $A2010, $B:$B = $B2010 - 1),0)"),0.0)</f>
        <v>0</v>
      </c>
      <c r="X2010" s="91">
        <f>IFERROR(__xludf.DUMMYFUNCTION("iFERROR((FILTER('Fund Investment Data'!$Z:$Z, 'Fund Investment Data'!$C:$C = $C2010, 'Fund Investment Data'!$A:$A = $A2010 - 1, 'Fund Investment Data'!$B:$B = 12) + FILTER('Fund Investment Data'!$AB:$AB, 'Fund Investment Data'!$C:$C = $C2010, 'Fund Invest"&amp;"ment Data'!$A:$A = $A2010 - 1, 'Fund Investment Data'!$B:$B = 12)) * (1 + AVERAGE(FILTER('Inflation Data'!$C:$C,'Inflation Data'!$A:$A = ($A2010 - 2)))) * Parameters!$A$4,0)"),0.0)</f>
        <v>0</v>
      </c>
      <c r="Y2010" s="91">
        <f>IFERROR(__xludf.DUMMYFUNCTION("IFERROR((IFERROR(FILTER('Fund Investment Data'!$P:$P,'Fund Investment Data'!$C:$C = $C2010,'Fund Investment Data'!$A:$A = ($A2010 - 2), 'Fund Investment Data'!$B:$B = 12),0) - SUM(FILTER('Fund Investment Data'!$V:$V, 'Fund Investment Data'!$C:$C = $C2010,"&amp;" 'Fund Investment Data'!$A:$A = ($A2010 - 2), 'Fund Investment Data'!$B:$B &gt; 3)))  * Parameters!$B$4 * (1 - Parameters!$A$4),0)"),0.0)</f>
        <v>0</v>
      </c>
      <c r="Z2010" s="91">
        <f t="shared" si="24"/>
        <v>0</v>
      </c>
      <c r="AA2010" s="91">
        <f>IFERROR(__xludf.DUMMYFUNCTION("((IFERROR((SUM(FILTER('Fund Investment Data'!$V:$V, 'Fund Investment Data'!$C:$C = $C2010, 'Fund Investment Data'!$A:$A = $A2010 - 1, 'Fund Investment Data'!$B:$B &gt;= 4, 'Fund Investment Data'!$B:$B &lt;= ($B2010 + 5))) / 12) * ($B2010 - 3) * Parameters!$B$4,"&amp;" 0) + IF($B2010 &gt;= 9, IFERROR(SUM(FILTER('Fund Investment Data'!$V:$V, 'Fund Investment Data'!$C:$C = $C2010, 'Fund Investment Data'!$A:$A = $A2010, 'Fund Investment Data'!$B:$B &lt;= 3)) * Parameters!$B$4, 0),0)))"),0.0)</f>
        <v>0</v>
      </c>
      <c r="AB2010" s="32">
        <f>IFERROR(__xludf.DUMMYFUNCTION("IFERROR(((IFERROR(SUM(FILTER('Fund Investment Data'!$V:$V, 'Fund Investment Data'!$C:$C = $C2010, 'Fund Investment Data'!$A:$A = $A2010 - 2, 'Fund Investment Data'!$B:$B &gt;= 4)) * Parameters!$B$4,0) + IFERROR(SUM(FILTER('Fund Investment Data'!$V:$V, 'Fund "&amp;"Investment Data'!$C:$C = $C2010, 'Fund Investment Data'!$A:$A = $A2010 - 1, 'Fund Investment Data'!$B:$B &lt;= 3)) * Parameters!$B$4,0))),0)"),0.0)</f>
        <v>0</v>
      </c>
      <c r="AC2010" s="32">
        <f>IFERROR(__xludf.DUMMYFUNCTION("IFERROR(FILTER($AF:$AF,$C:$C = $C2010,$A:$A = $A2010 - 1,$B:$B = 12),0)"),0.0)</f>
        <v>0</v>
      </c>
      <c r="AD2010" s="32">
        <f t="shared" si="23"/>
        <v>0</v>
      </c>
      <c r="AE2010" s="32">
        <f t="shared" si="2"/>
        <v>0</v>
      </c>
      <c r="AF2010" s="32"/>
    </row>
    <row r="2011">
      <c r="A2011" s="86"/>
      <c r="B2011" s="87"/>
      <c r="C2011" s="88"/>
      <c r="D2011" s="104"/>
      <c r="E2011" s="104"/>
      <c r="F2011" s="104"/>
      <c r="G2011" s="104"/>
      <c r="H2011" s="104"/>
      <c r="I2011" s="104"/>
      <c r="J2011" s="104"/>
      <c r="K2011" s="32"/>
      <c r="L2011" s="32"/>
      <c r="M2011" s="32"/>
      <c r="N2011" s="32"/>
      <c r="O2011" s="106"/>
      <c r="P2011" s="91">
        <f>IFERROR(__xludf.DUMMYFUNCTION("IFERROR(sum(FILTER($D:$N,$C:$C = $C2011,$A:$A &lt; $A2011,$B:$B = 12)),0) + sum($D2011:$N2011)"),0.0)</f>
        <v>0</v>
      </c>
      <c r="Q2011" s="92">
        <f t="shared" si="1"/>
        <v>0</v>
      </c>
      <c r="R2011" s="91">
        <f t="array" ref="R2011">IFERROR(INDEX('Fund YTD Target Values'!$1:$1000, MATCH($C2011,'Fund YTD Target Values'!$A:$A,0), MATCH($A2011,'Fund YTD Target Values'!$1:$1,0)),0)</f>
        <v>0</v>
      </c>
      <c r="S2011" s="91">
        <f>IFERROR(__xludf.DUMMYFUNCTION("IFERROR(sum(FILTER('Fund Investment Data'!$V:$V, 'Fund Investment Data'!$C:$C = $C2011, 'Fund Investment Data'!$A:$A &lt; $A2011)),0) + IFERROR(sum(FILTER('Fund Investment Data'!$V:$V, 'Fund Investment Data'!$C:$C = $C2011, 'Fund Investment Data'!$A:$A = $A2"&amp;"011, 'Fund Investment Data'!$B:$B &lt;= $B2011)),0)"),0.0)</f>
        <v>0</v>
      </c>
      <c r="T2011" s="32"/>
      <c r="U2011" s="32"/>
      <c r="V2011" s="32">
        <f>IFERROR(__xludf.DUMMYFUNCTION("$D2011 - IFERROR(FILTER($D:$D,$C:$C = $C2011, $A:$A = $A2011, $B:$B = $B2011 - 1),0)"),0.0)</f>
        <v>0</v>
      </c>
      <c r="W2011" s="93">
        <f>IFERROR(__xludf.DUMMYFUNCTION("$E2011 - IFERROR(FILTER($E:$E,$C:$C = $C2011, $A:$A = $A2011, $B:$B = $B2011 - 1),0)"),0.0)</f>
        <v>0</v>
      </c>
      <c r="X2011" s="91">
        <f>IFERROR(__xludf.DUMMYFUNCTION("iFERROR((FILTER('Fund Investment Data'!$Z:$Z, 'Fund Investment Data'!$C:$C = $C2011, 'Fund Investment Data'!$A:$A = $A2011 - 1, 'Fund Investment Data'!$B:$B = 12) + FILTER('Fund Investment Data'!$AB:$AB, 'Fund Investment Data'!$C:$C = $C2011, 'Fund Invest"&amp;"ment Data'!$A:$A = $A2011 - 1, 'Fund Investment Data'!$B:$B = 12)) * (1 + AVERAGE(FILTER('Inflation Data'!$C:$C,'Inflation Data'!$A:$A = ($A2011 - 2)))) * Parameters!$A$4,0)"),0.0)</f>
        <v>0</v>
      </c>
      <c r="Y2011" s="91">
        <f>IFERROR(__xludf.DUMMYFUNCTION("IFERROR((IFERROR(FILTER('Fund Investment Data'!$P:$P,'Fund Investment Data'!$C:$C = $C2011,'Fund Investment Data'!$A:$A = ($A2011 - 2), 'Fund Investment Data'!$B:$B = 12),0) - SUM(FILTER('Fund Investment Data'!$V:$V, 'Fund Investment Data'!$C:$C = $C2011,"&amp;" 'Fund Investment Data'!$A:$A = ($A2011 - 2), 'Fund Investment Data'!$B:$B &gt; 3)))  * Parameters!$B$4 * (1 - Parameters!$A$4),0)"),0.0)</f>
        <v>0</v>
      </c>
      <c r="Z2011" s="91">
        <f t="shared" si="24"/>
        <v>0</v>
      </c>
      <c r="AA2011" s="91">
        <f>IFERROR(__xludf.DUMMYFUNCTION("((IFERROR((SUM(FILTER('Fund Investment Data'!$V:$V, 'Fund Investment Data'!$C:$C = $C2011, 'Fund Investment Data'!$A:$A = $A2011 - 1, 'Fund Investment Data'!$B:$B &gt;= 4, 'Fund Investment Data'!$B:$B &lt;= ($B2011 + 5))) / 12) * ($B2011 - 3) * Parameters!$B$4,"&amp;" 0) + IF($B2011 &gt;= 9, IFERROR(SUM(FILTER('Fund Investment Data'!$V:$V, 'Fund Investment Data'!$C:$C = $C2011, 'Fund Investment Data'!$A:$A = $A2011, 'Fund Investment Data'!$B:$B &lt;= 3)) * Parameters!$B$4, 0),0)))"),0.0)</f>
        <v>0</v>
      </c>
      <c r="AB2011" s="32">
        <f>IFERROR(__xludf.DUMMYFUNCTION("IFERROR(((IFERROR(SUM(FILTER('Fund Investment Data'!$V:$V, 'Fund Investment Data'!$C:$C = $C2011, 'Fund Investment Data'!$A:$A = $A2011 - 2, 'Fund Investment Data'!$B:$B &gt;= 4)) * Parameters!$B$4,0) + IFERROR(SUM(FILTER('Fund Investment Data'!$V:$V, 'Fund "&amp;"Investment Data'!$C:$C = $C2011, 'Fund Investment Data'!$A:$A = $A2011 - 1, 'Fund Investment Data'!$B:$B &lt;= 3)) * Parameters!$B$4,0))),0)"),0.0)</f>
        <v>0</v>
      </c>
      <c r="AC2011" s="32">
        <f>IFERROR(__xludf.DUMMYFUNCTION("IFERROR(FILTER($AF:$AF,$C:$C = $C2011,$A:$A = $A2011 - 1,$B:$B = 12),0)"),0.0)</f>
        <v>0</v>
      </c>
      <c r="AD2011" s="32">
        <f t="shared" si="23"/>
        <v>0</v>
      </c>
      <c r="AE2011" s="32">
        <f t="shared" si="2"/>
        <v>0</v>
      </c>
      <c r="AF2011" s="32"/>
    </row>
    <row r="2012">
      <c r="A2012" s="86"/>
      <c r="B2012" s="87"/>
      <c r="C2012" s="88"/>
      <c r="D2012" s="104"/>
      <c r="E2012" s="104"/>
      <c r="F2012" s="104"/>
      <c r="G2012" s="104"/>
      <c r="H2012" s="104"/>
      <c r="I2012" s="104"/>
      <c r="J2012" s="104"/>
      <c r="K2012" s="32"/>
      <c r="L2012" s="32"/>
      <c r="M2012" s="32"/>
      <c r="N2012" s="32"/>
      <c r="O2012" s="106"/>
      <c r="P2012" s="91">
        <f>IFERROR(__xludf.DUMMYFUNCTION("IFERROR(sum(FILTER($D:$N,$C:$C = $C2012,$A:$A &lt; $A2012,$B:$B = 12)),0) + sum($D2012:$N2012)"),0.0)</f>
        <v>0</v>
      </c>
      <c r="Q2012" s="92">
        <f t="shared" si="1"/>
        <v>0</v>
      </c>
      <c r="R2012" s="91">
        <f t="array" ref="R2012">IFERROR(INDEX('Fund YTD Target Values'!$1:$1000, MATCH($C2012,'Fund YTD Target Values'!$A:$A,0), MATCH($A2012,'Fund YTD Target Values'!$1:$1,0)),0)</f>
        <v>0</v>
      </c>
      <c r="S2012" s="91">
        <f>IFERROR(__xludf.DUMMYFUNCTION("IFERROR(sum(FILTER('Fund Investment Data'!$V:$V, 'Fund Investment Data'!$C:$C = $C2012, 'Fund Investment Data'!$A:$A &lt; $A2012)),0) + IFERROR(sum(FILTER('Fund Investment Data'!$V:$V, 'Fund Investment Data'!$C:$C = $C2012, 'Fund Investment Data'!$A:$A = $A2"&amp;"012, 'Fund Investment Data'!$B:$B &lt;= $B2012)),0)"),0.0)</f>
        <v>0</v>
      </c>
      <c r="T2012" s="32"/>
      <c r="U2012" s="32"/>
      <c r="V2012" s="32">
        <f>IFERROR(__xludf.DUMMYFUNCTION("$D2012 - IFERROR(FILTER($D:$D,$C:$C = $C2012, $A:$A = $A2012, $B:$B = $B2012 - 1),0)"),0.0)</f>
        <v>0</v>
      </c>
      <c r="W2012" s="93">
        <f>IFERROR(__xludf.DUMMYFUNCTION("$E2012 - IFERROR(FILTER($E:$E,$C:$C = $C2012, $A:$A = $A2012, $B:$B = $B2012 - 1),0)"),0.0)</f>
        <v>0</v>
      </c>
      <c r="X2012" s="91">
        <f>IFERROR(__xludf.DUMMYFUNCTION("iFERROR((FILTER('Fund Investment Data'!$Z:$Z, 'Fund Investment Data'!$C:$C = $C2012, 'Fund Investment Data'!$A:$A = $A2012 - 1, 'Fund Investment Data'!$B:$B = 12) + FILTER('Fund Investment Data'!$AB:$AB, 'Fund Investment Data'!$C:$C = $C2012, 'Fund Invest"&amp;"ment Data'!$A:$A = $A2012 - 1, 'Fund Investment Data'!$B:$B = 12)) * (1 + AVERAGE(FILTER('Inflation Data'!$C:$C,'Inflation Data'!$A:$A = ($A2012 - 2)))) * Parameters!$A$4,0)"),0.0)</f>
        <v>0</v>
      </c>
      <c r="Y2012" s="91">
        <f>IFERROR(__xludf.DUMMYFUNCTION("IFERROR((IFERROR(FILTER('Fund Investment Data'!$P:$P,'Fund Investment Data'!$C:$C = $C2012,'Fund Investment Data'!$A:$A = ($A2012 - 2), 'Fund Investment Data'!$B:$B = 12),0) - SUM(FILTER('Fund Investment Data'!$V:$V, 'Fund Investment Data'!$C:$C = $C2012,"&amp;" 'Fund Investment Data'!$A:$A = ($A2012 - 2), 'Fund Investment Data'!$B:$B &gt; 3)))  * Parameters!$B$4 * (1 - Parameters!$A$4),0)"),0.0)</f>
        <v>0</v>
      </c>
      <c r="Z2012" s="91">
        <f t="shared" si="24"/>
        <v>0</v>
      </c>
      <c r="AA2012" s="91">
        <f>IFERROR(__xludf.DUMMYFUNCTION("((IFERROR((SUM(FILTER('Fund Investment Data'!$V:$V, 'Fund Investment Data'!$C:$C = $C2012, 'Fund Investment Data'!$A:$A = $A2012 - 1, 'Fund Investment Data'!$B:$B &gt;= 4, 'Fund Investment Data'!$B:$B &lt;= ($B2012 + 5))) / 12) * ($B2012 - 3) * Parameters!$B$4,"&amp;" 0) + IF($B2012 &gt;= 9, IFERROR(SUM(FILTER('Fund Investment Data'!$V:$V, 'Fund Investment Data'!$C:$C = $C2012, 'Fund Investment Data'!$A:$A = $A2012, 'Fund Investment Data'!$B:$B &lt;= 3)) * Parameters!$B$4, 0),0)))"),0.0)</f>
        <v>0</v>
      </c>
      <c r="AB2012" s="32">
        <f>IFERROR(__xludf.DUMMYFUNCTION("IFERROR(((IFERROR(SUM(FILTER('Fund Investment Data'!$V:$V, 'Fund Investment Data'!$C:$C = $C2012, 'Fund Investment Data'!$A:$A = $A2012 - 2, 'Fund Investment Data'!$B:$B &gt;= 4)) * Parameters!$B$4,0) + IFERROR(SUM(FILTER('Fund Investment Data'!$V:$V, 'Fund "&amp;"Investment Data'!$C:$C = $C2012, 'Fund Investment Data'!$A:$A = $A2012 - 1, 'Fund Investment Data'!$B:$B &lt;= 3)) * Parameters!$B$4,0))),0)"),0.0)</f>
        <v>0</v>
      </c>
      <c r="AC2012" s="32">
        <f>IFERROR(__xludf.DUMMYFUNCTION("IFERROR(FILTER($AF:$AF,$C:$C = $C2012,$A:$A = $A2012 - 1,$B:$B = 12),0)"),0.0)</f>
        <v>0</v>
      </c>
      <c r="AD2012" s="32">
        <f t="shared" si="23"/>
        <v>0</v>
      </c>
      <c r="AE2012" s="32">
        <f t="shared" si="2"/>
        <v>0</v>
      </c>
      <c r="AF2012" s="32"/>
    </row>
    <row r="2013">
      <c r="A2013" s="86"/>
      <c r="B2013" s="87"/>
      <c r="C2013" s="88"/>
      <c r="D2013" s="104"/>
      <c r="E2013" s="104"/>
      <c r="F2013" s="104"/>
      <c r="G2013" s="104"/>
      <c r="H2013" s="104"/>
      <c r="I2013" s="104"/>
      <c r="J2013" s="104"/>
      <c r="K2013" s="32"/>
      <c r="L2013" s="32"/>
      <c r="M2013" s="32"/>
      <c r="N2013" s="32"/>
      <c r="O2013" s="106"/>
      <c r="P2013" s="91">
        <f>IFERROR(__xludf.DUMMYFUNCTION("IFERROR(sum(FILTER($D:$N,$C:$C = $C2013,$A:$A &lt; $A2013,$B:$B = 12)),0) + sum($D2013:$N2013)"),0.0)</f>
        <v>0</v>
      </c>
      <c r="Q2013" s="92">
        <f t="shared" si="1"/>
        <v>0</v>
      </c>
      <c r="R2013" s="91">
        <f t="array" ref="R2013">IFERROR(INDEX('Fund YTD Target Values'!$1:$1000, MATCH($C2013,'Fund YTD Target Values'!$A:$A,0), MATCH($A2013,'Fund YTD Target Values'!$1:$1,0)),0)</f>
        <v>0</v>
      </c>
      <c r="S2013" s="91">
        <f>IFERROR(__xludf.DUMMYFUNCTION("IFERROR(sum(FILTER('Fund Investment Data'!$V:$V, 'Fund Investment Data'!$C:$C = $C2013, 'Fund Investment Data'!$A:$A &lt; $A2013)),0) + IFERROR(sum(FILTER('Fund Investment Data'!$V:$V, 'Fund Investment Data'!$C:$C = $C2013, 'Fund Investment Data'!$A:$A = $A2"&amp;"013, 'Fund Investment Data'!$B:$B &lt;= $B2013)),0)"),0.0)</f>
        <v>0</v>
      </c>
      <c r="T2013" s="32"/>
      <c r="U2013" s="32"/>
      <c r="V2013" s="32">
        <f>IFERROR(__xludf.DUMMYFUNCTION("$D2013 - IFERROR(FILTER($D:$D,$C:$C = $C2013, $A:$A = $A2013, $B:$B = $B2013 - 1),0)"),0.0)</f>
        <v>0</v>
      </c>
      <c r="W2013" s="93">
        <f>IFERROR(__xludf.DUMMYFUNCTION("$E2013 - IFERROR(FILTER($E:$E,$C:$C = $C2013, $A:$A = $A2013, $B:$B = $B2013 - 1),0)"),0.0)</f>
        <v>0</v>
      </c>
      <c r="X2013" s="91">
        <f>IFERROR(__xludf.DUMMYFUNCTION("iFERROR((FILTER('Fund Investment Data'!$Z:$Z, 'Fund Investment Data'!$C:$C = $C2013, 'Fund Investment Data'!$A:$A = $A2013 - 1, 'Fund Investment Data'!$B:$B = 12) + FILTER('Fund Investment Data'!$AB:$AB, 'Fund Investment Data'!$C:$C = $C2013, 'Fund Invest"&amp;"ment Data'!$A:$A = $A2013 - 1, 'Fund Investment Data'!$B:$B = 12)) * (1 + AVERAGE(FILTER('Inflation Data'!$C:$C,'Inflation Data'!$A:$A = ($A2013 - 2)))) * Parameters!$A$4,0)"),0.0)</f>
        <v>0</v>
      </c>
      <c r="Y2013" s="91">
        <f>IFERROR(__xludf.DUMMYFUNCTION("IFERROR((IFERROR(FILTER('Fund Investment Data'!$P:$P,'Fund Investment Data'!$C:$C = $C2013,'Fund Investment Data'!$A:$A = ($A2013 - 2), 'Fund Investment Data'!$B:$B = 12),0) - SUM(FILTER('Fund Investment Data'!$V:$V, 'Fund Investment Data'!$C:$C = $C2013,"&amp;" 'Fund Investment Data'!$A:$A = ($A2013 - 2), 'Fund Investment Data'!$B:$B &gt; 3)))  * Parameters!$B$4 * (1 - Parameters!$A$4),0)"),0.0)</f>
        <v>0</v>
      </c>
      <c r="Z2013" s="91">
        <f t="shared" si="24"/>
        <v>0</v>
      </c>
      <c r="AA2013" s="91">
        <f>IFERROR(__xludf.DUMMYFUNCTION("((IFERROR((SUM(FILTER('Fund Investment Data'!$V:$V, 'Fund Investment Data'!$C:$C = $C2013, 'Fund Investment Data'!$A:$A = $A2013 - 1, 'Fund Investment Data'!$B:$B &gt;= 4, 'Fund Investment Data'!$B:$B &lt;= ($B2013 + 5))) / 12) * ($B2013 - 3) * Parameters!$B$4,"&amp;" 0) + IF($B2013 &gt;= 9, IFERROR(SUM(FILTER('Fund Investment Data'!$V:$V, 'Fund Investment Data'!$C:$C = $C2013, 'Fund Investment Data'!$A:$A = $A2013, 'Fund Investment Data'!$B:$B &lt;= 3)) * Parameters!$B$4, 0),0)))"),0.0)</f>
        <v>0</v>
      </c>
      <c r="AB2013" s="32">
        <f>IFERROR(__xludf.DUMMYFUNCTION("IFERROR(((IFERROR(SUM(FILTER('Fund Investment Data'!$V:$V, 'Fund Investment Data'!$C:$C = $C2013, 'Fund Investment Data'!$A:$A = $A2013 - 2, 'Fund Investment Data'!$B:$B &gt;= 4)) * Parameters!$B$4,0) + IFERROR(SUM(FILTER('Fund Investment Data'!$V:$V, 'Fund "&amp;"Investment Data'!$C:$C = $C2013, 'Fund Investment Data'!$A:$A = $A2013 - 1, 'Fund Investment Data'!$B:$B &lt;= 3)) * Parameters!$B$4,0))),0)"),0.0)</f>
        <v>0</v>
      </c>
      <c r="AC2013" s="32">
        <f>IFERROR(__xludf.DUMMYFUNCTION("IFERROR(FILTER($AF:$AF,$C:$C = $C2013,$A:$A = $A2013 - 1,$B:$B = 12),0)"),0.0)</f>
        <v>0</v>
      </c>
      <c r="AD2013" s="32">
        <f t="shared" si="23"/>
        <v>0</v>
      </c>
      <c r="AE2013" s="32">
        <f t="shared" si="2"/>
        <v>0</v>
      </c>
      <c r="AF2013" s="32"/>
    </row>
    <row r="2014">
      <c r="A2014" s="86"/>
      <c r="B2014" s="87"/>
      <c r="C2014" s="88"/>
      <c r="D2014" s="104"/>
      <c r="E2014" s="104"/>
      <c r="F2014" s="104"/>
      <c r="G2014" s="104"/>
      <c r="H2014" s="104"/>
      <c r="I2014" s="104"/>
      <c r="J2014" s="104"/>
      <c r="K2014" s="32"/>
      <c r="L2014" s="32"/>
      <c r="M2014" s="32"/>
      <c r="N2014" s="32"/>
      <c r="O2014" s="106"/>
      <c r="P2014" s="91">
        <f>IFERROR(__xludf.DUMMYFUNCTION("IFERROR(sum(FILTER($D:$N,$C:$C = $C2014,$A:$A &lt; $A2014,$B:$B = 12)),0) + sum($D2014:$N2014)"),0.0)</f>
        <v>0</v>
      </c>
      <c r="Q2014" s="92">
        <f t="shared" si="1"/>
        <v>0</v>
      </c>
      <c r="R2014" s="91">
        <f t="array" ref="R2014">IFERROR(INDEX('Fund YTD Target Values'!$1:$1000, MATCH($C2014,'Fund YTD Target Values'!$A:$A,0), MATCH($A2014,'Fund YTD Target Values'!$1:$1,0)),0)</f>
        <v>0</v>
      </c>
      <c r="S2014" s="91">
        <f>IFERROR(__xludf.DUMMYFUNCTION("IFERROR(sum(FILTER('Fund Investment Data'!$V:$V, 'Fund Investment Data'!$C:$C = $C2014, 'Fund Investment Data'!$A:$A &lt; $A2014)),0) + IFERROR(sum(FILTER('Fund Investment Data'!$V:$V, 'Fund Investment Data'!$C:$C = $C2014, 'Fund Investment Data'!$A:$A = $A2"&amp;"014, 'Fund Investment Data'!$B:$B &lt;= $B2014)),0)"),0.0)</f>
        <v>0</v>
      </c>
      <c r="T2014" s="32"/>
      <c r="U2014" s="32"/>
      <c r="V2014" s="32">
        <f>IFERROR(__xludf.DUMMYFUNCTION("$D2014 - IFERROR(FILTER($D:$D,$C:$C = $C2014, $A:$A = $A2014, $B:$B = $B2014 - 1),0)"),0.0)</f>
        <v>0</v>
      </c>
      <c r="W2014" s="93">
        <f>IFERROR(__xludf.DUMMYFUNCTION("$E2014 - IFERROR(FILTER($E:$E,$C:$C = $C2014, $A:$A = $A2014, $B:$B = $B2014 - 1),0)"),0.0)</f>
        <v>0</v>
      </c>
      <c r="X2014" s="91">
        <f>IFERROR(__xludf.DUMMYFUNCTION("iFERROR((FILTER('Fund Investment Data'!$Z:$Z, 'Fund Investment Data'!$C:$C = $C2014, 'Fund Investment Data'!$A:$A = $A2014 - 1, 'Fund Investment Data'!$B:$B = 12) + FILTER('Fund Investment Data'!$AB:$AB, 'Fund Investment Data'!$C:$C = $C2014, 'Fund Invest"&amp;"ment Data'!$A:$A = $A2014 - 1, 'Fund Investment Data'!$B:$B = 12)) * (1 + AVERAGE(FILTER('Inflation Data'!$C:$C,'Inflation Data'!$A:$A = ($A2014 - 2)))) * Parameters!$A$4,0)"),0.0)</f>
        <v>0</v>
      </c>
      <c r="Y2014" s="91">
        <f>IFERROR(__xludf.DUMMYFUNCTION("IFERROR((IFERROR(FILTER('Fund Investment Data'!$P:$P,'Fund Investment Data'!$C:$C = $C2014,'Fund Investment Data'!$A:$A = ($A2014 - 2), 'Fund Investment Data'!$B:$B = 12),0) - SUM(FILTER('Fund Investment Data'!$V:$V, 'Fund Investment Data'!$C:$C = $C2014,"&amp;" 'Fund Investment Data'!$A:$A = ($A2014 - 2), 'Fund Investment Data'!$B:$B &gt; 3)))  * Parameters!$B$4 * (1 - Parameters!$A$4),0)"),0.0)</f>
        <v>0</v>
      </c>
      <c r="Z2014" s="91">
        <f t="shared" si="24"/>
        <v>0</v>
      </c>
      <c r="AA2014" s="91">
        <f>IFERROR(__xludf.DUMMYFUNCTION("((IFERROR((SUM(FILTER('Fund Investment Data'!$V:$V, 'Fund Investment Data'!$C:$C = $C2014, 'Fund Investment Data'!$A:$A = $A2014 - 1, 'Fund Investment Data'!$B:$B &gt;= 4, 'Fund Investment Data'!$B:$B &lt;= ($B2014 + 5))) / 12) * ($B2014 - 3) * Parameters!$B$4,"&amp;" 0) + IF($B2014 &gt;= 9, IFERROR(SUM(FILTER('Fund Investment Data'!$V:$V, 'Fund Investment Data'!$C:$C = $C2014, 'Fund Investment Data'!$A:$A = $A2014, 'Fund Investment Data'!$B:$B &lt;= 3)) * Parameters!$B$4, 0),0)))"),0.0)</f>
        <v>0</v>
      </c>
      <c r="AB2014" s="32">
        <f>IFERROR(__xludf.DUMMYFUNCTION("IFERROR(((IFERROR(SUM(FILTER('Fund Investment Data'!$V:$V, 'Fund Investment Data'!$C:$C = $C2014, 'Fund Investment Data'!$A:$A = $A2014 - 2, 'Fund Investment Data'!$B:$B &gt;= 4)) * Parameters!$B$4,0) + IFERROR(SUM(FILTER('Fund Investment Data'!$V:$V, 'Fund "&amp;"Investment Data'!$C:$C = $C2014, 'Fund Investment Data'!$A:$A = $A2014 - 1, 'Fund Investment Data'!$B:$B &lt;= 3)) * Parameters!$B$4,0))),0)"),0.0)</f>
        <v>0</v>
      </c>
      <c r="AC2014" s="32">
        <f>IFERROR(__xludf.DUMMYFUNCTION("IFERROR(FILTER($AF:$AF,$C:$C = $C2014,$A:$A = $A2014 - 1,$B:$B = 12),0)"),0.0)</f>
        <v>0</v>
      </c>
      <c r="AD2014" s="32">
        <f t="shared" si="23"/>
        <v>0</v>
      </c>
      <c r="AE2014" s="32">
        <f t="shared" si="2"/>
        <v>0</v>
      </c>
      <c r="AF2014" s="32"/>
    </row>
    <row r="2015">
      <c r="A2015" s="86"/>
      <c r="B2015" s="87"/>
      <c r="C2015" s="88"/>
      <c r="D2015" s="104"/>
      <c r="E2015" s="104"/>
      <c r="F2015" s="104"/>
      <c r="G2015" s="104"/>
      <c r="H2015" s="104"/>
      <c r="I2015" s="104"/>
      <c r="J2015" s="104"/>
      <c r="K2015" s="32"/>
      <c r="L2015" s="32"/>
      <c r="M2015" s="32"/>
      <c r="N2015" s="32"/>
      <c r="O2015" s="106"/>
      <c r="P2015" s="91">
        <f>IFERROR(__xludf.DUMMYFUNCTION("IFERROR(sum(FILTER($D:$N,$C:$C = $C2015,$A:$A &lt; $A2015,$B:$B = 12)),0) + sum($D2015:$N2015)"),0.0)</f>
        <v>0</v>
      </c>
      <c r="Q2015" s="92">
        <f t="shared" si="1"/>
        <v>0</v>
      </c>
      <c r="R2015" s="91">
        <f t="array" ref="R2015">IFERROR(INDEX('Fund YTD Target Values'!$1:$1000, MATCH($C2015,'Fund YTD Target Values'!$A:$A,0), MATCH($A2015,'Fund YTD Target Values'!$1:$1,0)),0)</f>
        <v>0</v>
      </c>
      <c r="S2015" s="91">
        <f>IFERROR(__xludf.DUMMYFUNCTION("IFERROR(sum(FILTER('Fund Investment Data'!$V:$V, 'Fund Investment Data'!$C:$C = $C2015, 'Fund Investment Data'!$A:$A &lt; $A2015)),0) + IFERROR(sum(FILTER('Fund Investment Data'!$V:$V, 'Fund Investment Data'!$C:$C = $C2015, 'Fund Investment Data'!$A:$A = $A2"&amp;"015, 'Fund Investment Data'!$B:$B &lt;= $B2015)),0)"),0.0)</f>
        <v>0</v>
      </c>
      <c r="T2015" s="32"/>
      <c r="U2015" s="32"/>
      <c r="V2015" s="32">
        <f>IFERROR(__xludf.DUMMYFUNCTION("$D2015 - IFERROR(FILTER($D:$D,$C:$C = $C2015, $A:$A = $A2015, $B:$B = $B2015 - 1),0)"),0.0)</f>
        <v>0</v>
      </c>
      <c r="W2015" s="93">
        <f>IFERROR(__xludf.DUMMYFUNCTION("$E2015 - IFERROR(FILTER($E:$E,$C:$C = $C2015, $A:$A = $A2015, $B:$B = $B2015 - 1),0)"),0.0)</f>
        <v>0</v>
      </c>
      <c r="X2015" s="91">
        <f>IFERROR(__xludf.DUMMYFUNCTION("iFERROR((FILTER('Fund Investment Data'!$Z:$Z, 'Fund Investment Data'!$C:$C = $C2015, 'Fund Investment Data'!$A:$A = $A2015 - 1, 'Fund Investment Data'!$B:$B = 12) + FILTER('Fund Investment Data'!$AB:$AB, 'Fund Investment Data'!$C:$C = $C2015, 'Fund Invest"&amp;"ment Data'!$A:$A = $A2015 - 1, 'Fund Investment Data'!$B:$B = 12)) * (1 + AVERAGE(FILTER('Inflation Data'!$C:$C,'Inflation Data'!$A:$A = ($A2015 - 2)))) * Parameters!$A$4,0)"),0.0)</f>
        <v>0</v>
      </c>
      <c r="Y2015" s="91">
        <f>IFERROR(__xludf.DUMMYFUNCTION("IFERROR((IFERROR(FILTER('Fund Investment Data'!$P:$P,'Fund Investment Data'!$C:$C = $C2015,'Fund Investment Data'!$A:$A = ($A2015 - 2), 'Fund Investment Data'!$B:$B = 12),0) - SUM(FILTER('Fund Investment Data'!$V:$V, 'Fund Investment Data'!$C:$C = $C2015,"&amp;" 'Fund Investment Data'!$A:$A = ($A2015 - 2), 'Fund Investment Data'!$B:$B &gt; 3)))  * Parameters!$B$4 * (1 - Parameters!$A$4),0)"),0.0)</f>
        <v>0</v>
      </c>
      <c r="Z2015" s="91">
        <f t="shared" si="24"/>
        <v>0</v>
      </c>
      <c r="AA2015" s="91">
        <f>IFERROR(__xludf.DUMMYFUNCTION("((IFERROR((SUM(FILTER('Fund Investment Data'!$V:$V, 'Fund Investment Data'!$C:$C = $C2015, 'Fund Investment Data'!$A:$A = $A2015 - 1, 'Fund Investment Data'!$B:$B &gt;= 4, 'Fund Investment Data'!$B:$B &lt;= ($B2015 + 5))) / 12) * ($B2015 - 3) * Parameters!$B$4,"&amp;" 0) + IF($B2015 &gt;= 9, IFERROR(SUM(FILTER('Fund Investment Data'!$V:$V, 'Fund Investment Data'!$C:$C = $C2015, 'Fund Investment Data'!$A:$A = $A2015, 'Fund Investment Data'!$B:$B &lt;= 3)) * Parameters!$B$4, 0),0)))"),0.0)</f>
        <v>0</v>
      </c>
      <c r="AB2015" s="32">
        <f>IFERROR(__xludf.DUMMYFUNCTION("IFERROR(((IFERROR(SUM(FILTER('Fund Investment Data'!$V:$V, 'Fund Investment Data'!$C:$C = $C2015, 'Fund Investment Data'!$A:$A = $A2015 - 2, 'Fund Investment Data'!$B:$B &gt;= 4)) * Parameters!$B$4,0) + IFERROR(SUM(FILTER('Fund Investment Data'!$V:$V, 'Fund "&amp;"Investment Data'!$C:$C = $C2015, 'Fund Investment Data'!$A:$A = $A2015 - 1, 'Fund Investment Data'!$B:$B &lt;= 3)) * Parameters!$B$4,0))),0)"),0.0)</f>
        <v>0</v>
      </c>
      <c r="AC2015" s="32">
        <f>IFERROR(__xludf.DUMMYFUNCTION("IFERROR(FILTER($AF:$AF,$C:$C = $C2015,$A:$A = $A2015 - 1,$B:$B = 12),0)"),0.0)</f>
        <v>0</v>
      </c>
      <c r="AD2015" s="32">
        <f t="shared" si="23"/>
        <v>0</v>
      </c>
      <c r="AE2015" s="32">
        <f t="shared" si="2"/>
        <v>0</v>
      </c>
      <c r="AF2015" s="32"/>
    </row>
    <row r="2016">
      <c r="A2016" s="86"/>
      <c r="B2016" s="87"/>
      <c r="C2016" s="88"/>
      <c r="D2016" s="104"/>
      <c r="E2016" s="104"/>
      <c r="F2016" s="104"/>
      <c r="G2016" s="104"/>
      <c r="H2016" s="104"/>
      <c r="I2016" s="104"/>
      <c r="J2016" s="104"/>
      <c r="K2016" s="32"/>
      <c r="L2016" s="32"/>
      <c r="M2016" s="32"/>
      <c r="N2016" s="32"/>
      <c r="O2016" s="106"/>
      <c r="P2016" s="91">
        <f>IFERROR(__xludf.DUMMYFUNCTION("IFERROR(sum(FILTER($D:$N,$C:$C = $C2016,$A:$A &lt; $A2016,$B:$B = 12)),0) + sum($D2016:$N2016)"),0.0)</f>
        <v>0</v>
      </c>
      <c r="Q2016" s="92">
        <f t="shared" si="1"/>
        <v>0</v>
      </c>
      <c r="R2016" s="91">
        <f t="array" ref="R2016">IFERROR(INDEX('Fund YTD Target Values'!$1:$1000, MATCH($C2016,'Fund YTD Target Values'!$A:$A,0), MATCH($A2016,'Fund YTD Target Values'!$1:$1,0)),0)</f>
        <v>0</v>
      </c>
      <c r="S2016" s="91">
        <f>IFERROR(__xludf.DUMMYFUNCTION("IFERROR(sum(FILTER('Fund Investment Data'!$V:$V, 'Fund Investment Data'!$C:$C = $C2016, 'Fund Investment Data'!$A:$A &lt; $A2016)),0) + IFERROR(sum(FILTER('Fund Investment Data'!$V:$V, 'Fund Investment Data'!$C:$C = $C2016, 'Fund Investment Data'!$A:$A = $A2"&amp;"016, 'Fund Investment Data'!$B:$B &lt;= $B2016)),0)"),0.0)</f>
        <v>0</v>
      </c>
      <c r="T2016" s="32"/>
      <c r="U2016" s="32"/>
      <c r="V2016" s="32">
        <f>IFERROR(__xludf.DUMMYFUNCTION("$D2016 - IFERROR(FILTER($D:$D,$C:$C = $C2016, $A:$A = $A2016, $B:$B = $B2016 - 1),0)"),0.0)</f>
        <v>0</v>
      </c>
      <c r="W2016" s="93">
        <f>IFERROR(__xludf.DUMMYFUNCTION("$E2016 - IFERROR(FILTER($E:$E,$C:$C = $C2016, $A:$A = $A2016, $B:$B = $B2016 - 1),0)"),0.0)</f>
        <v>0</v>
      </c>
      <c r="X2016" s="91">
        <f>IFERROR(__xludf.DUMMYFUNCTION("iFERROR((FILTER('Fund Investment Data'!$Z:$Z, 'Fund Investment Data'!$C:$C = $C2016, 'Fund Investment Data'!$A:$A = $A2016 - 1, 'Fund Investment Data'!$B:$B = 12) + FILTER('Fund Investment Data'!$AB:$AB, 'Fund Investment Data'!$C:$C = $C2016, 'Fund Invest"&amp;"ment Data'!$A:$A = $A2016 - 1, 'Fund Investment Data'!$B:$B = 12)) * (1 + AVERAGE(FILTER('Inflation Data'!$C:$C,'Inflation Data'!$A:$A = ($A2016 - 2)))) * Parameters!$A$4,0)"),0.0)</f>
        <v>0</v>
      </c>
      <c r="Y2016" s="91">
        <f>IFERROR(__xludf.DUMMYFUNCTION("IFERROR((IFERROR(FILTER('Fund Investment Data'!$P:$P,'Fund Investment Data'!$C:$C = $C2016,'Fund Investment Data'!$A:$A = ($A2016 - 2), 'Fund Investment Data'!$B:$B = 12),0) - SUM(FILTER('Fund Investment Data'!$V:$V, 'Fund Investment Data'!$C:$C = $C2016,"&amp;" 'Fund Investment Data'!$A:$A = ($A2016 - 2), 'Fund Investment Data'!$B:$B &gt; 3)))  * Parameters!$B$4 * (1 - Parameters!$A$4),0)"),0.0)</f>
        <v>0</v>
      </c>
      <c r="Z2016" s="91">
        <f t="shared" si="24"/>
        <v>0</v>
      </c>
      <c r="AA2016" s="91">
        <f>IFERROR(__xludf.DUMMYFUNCTION("((IFERROR((SUM(FILTER('Fund Investment Data'!$V:$V, 'Fund Investment Data'!$C:$C = $C2016, 'Fund Investment Data'!$A:$A = $A2016 - 1, 'Fund Investment Data'!$B:$B &gt;= 4, 'Fund Investment Data'!$B:$B &lt;= ($B2016 + 5))) / 12) * ($B2016 - 3) * Parameters!$B$4,"&amp;" 0) + IF($B2016 &gt;= 9, IFERROR(SUM(FILTER('Fund Investment Data'!$V:$V, 'Fund Investment Data'!$C:$C = $C2016, 'Fund Investment Data'!$A:$A = $A2016, 'Fund Investment Data'!$B:$B &lt;= 3)) * Parameters!$B$4, 0),0)))"),0.0)</f>
        <v>0</v>
      </c>
      <c r="AB2016" s="32">
        <f>IFERROR(__xludf.DUMMYFUNCTION("IFERROR(((IFERROR(SUM(FILTER('Fund Investment Data'!$V:$V, 'Fund Investment Data'!$C:$C = $C2016, 'Fund Investment Data'!$A:$A = $A2016 - 2, 'Fund Investment Data'!$B:$B &gt;= 4)) * Parameters!$B$4,0) + IFERROR(SUM(FILTER('Fund Investment Data'!$V:$V, 'Fund "&amp;"Investment Data'!$C:$C = $C2016, 'Fund Investment Data'!$A:$A = $A2016 - 1, 'Fund Investment Data'!$B:$B &lt;= 3)) * Parameters!$B$4,0))),0)"),0.0)</f>
        <v>0</v>
      </c>
      <c r="AC2016" s="32">
        <f>IFERROR(__xludf.DUMMYFUNCTION("IFERROR(FILTER($AF:$AF,$C:$C = $C2016,$A:$A = $A2016 - 1,$B:$B = 12),0)"),0.0)</f>
        <v>0</v>
      </c>
      <c r="AD2016" s="32">
        <f t="shared" si="23"/>
        <v>0</v>
      </c>
      <c r="AE2016" s="32">
        <f t="shared" si="2"/>
        <v>0</v>
      </c>
      <c r="AF2016" s="32"/>
    </row>
    <row r="2017">
      <c r="A2017" s="86"/>
      <c r="B2017" s="87"/>
      <c r="C2017" s="88"/>
      <c r="D2017" s="104"/>
      <c r="E2017" s="104"/>
      <c r="F2017" s="104"/>
      <c r="G2017" s="104"/>
      <c r="H2017" s="104"/>
      <c r="I2017" s="104"/>
      <c r="J2017" s="104"/>
      <c r="K2017" s="32"/>
      <c r="L2017" s="32"/>
      <c r="M2017" s="32"/>
      <c r="N2017" s="32"/>
      <c r="O2017" s="106"/>
      <c r="P2017" s="91">
        <f>IFERROR(__xludf.DUMMYFUNCTION("IFERROR(sum(FILTER($D:$N,$C:$C = $C2017,$A:$A &lt; $A2017,$B:$B = 12)),0) + sum($D2017:$N2017)"),0.0)</f>
        <v>0</v>
      </c>
      <c r="Q2017" s="92">
        <f t="shared" si="1"/>
        <v>0</v>
      </c>
      <c r="R2017" s="91">
        <f t="array" ref="R2017">IFERROR(INDEX('Fund YTD Target Values'!$1:$1000, MATCH($C2017,'Fund YTD Target Values'!$A:$A,0), MATCH($A2017,'Fund YTD Target Values'!$1:$1,0)),0)</f>
        <v>0</v>
      </c>
      <c r="S2017" s="91">
        <f>IFERROR(__xludf.DUMMYFUNCTION("IFERROR(sum(FILTER('Fund Investment Data'!$V:$V, 'Fund Investment Data'!$C:$C = $C2017, 'Fund Investment Data'!$A:$A &lt; $A2017)),0) + IFERROR(sum(FILTER('Fund Investment Data'!$V:$V, 'Fund Investment Data'!$C:$C = $C2017, 'Fund Investment Data'!$A:$A = $A2"&amp;"017, 'Fund Investment Data'!$B:$B &lt;= $B2017)),0)"),0.0)</f>
        <v>0</v>
      </c>
      <c r="T2017" s="32"/>
      <c r="U2017" s="32"/>
      <c r="V2017" s="32">
        <f>IFERROR(__xludf.DUMMYFUNCTION("$D2017 - IFERROR(FILTER($D:$D,$C:$C = $C2017, $A:$A = $A2017, $B:$B = $B2017 - 1),0)"),0.0)</f>
        <v>0</v>
      </c>
      <c r="W2017" s="93">
        <f>IFERROR(__xludf.DUMMYFUNCTION("$E2017 - IFERROR(FILTER($E:$E,$C:$C = $C2017, $A:$A = $A2017, $B:$B = $B2017 - 1),0)"),0.0)</f>
        <v>0</v>
      </c>
      <c r="X2017" s="91">
        <f>IFERROR(__xludf.DUMMYFUNCTION("iFERROR((FILTER('Fund Investment Data'!$Z:$Z, 'Fund Investment Data'!$C:$C = $C2017, 'Fund Investment Data'!$A:$A = $A2017 - 1, 'Fund Investment Data'!$B:$B = 12) + FILTER('Fund Investment Data'!$AB:$AB, 'Fund Investment Data'!$C:$C = $C2017, 'Fund Invest"&amp;"ment Data'!$A:$A = $A2017 - 1, 'Fund Investment Data'!$B:$B = 12)) * (1 + AVERAGE(FILTER('Inflation Data'!$C:$C,'Inflation Data'!$A:$A = ($A2017 - 2)))) * Parameters!$A$4,0)"),0.0)</f>
        <v>0</v>
      </c>
      <c r="Y2017" s="91">
        <f>IFERROR(__xludf.DUMMYFUNCTION("IFERROR((IFERROR(FILTER('Fund Investment Data'!$P:$P,'Fund Investment Data'!$C:$C = $C2017,'Fund Investment Data'!$A:$A = ($A2017 - 2), 'Fund Investment Data'!$B:$B = 12),0) - SUM(FILTER('Fund Investment Data'!$V:$V, 'Fund Investment Data'!$C:$C = $C2017,"&amp;" 'Fund Investment Data'!$A:$A = ($A2017 - 2), 'Fund Investment Data'!$B:$B &gt; 3)))  * Parameters!$B$4 * (1 - Parameters!$A$4),0)"),0.0)</f>
        <v>0</v>
      </c>
      <c r="Z2017" s="91">
        <f t="shared" si="24"/>
        <v>0</v>
      </c>
      <c r="AA2017" s="91">
        <f>IFERROR(__xludf.DUMMYFUNCTION("((IFERROR((SUM(FILTER('Fund Investment Data'!$V:$V, 'Fund Investment Data'!$C:$C = $C2017, 'Fund Investment Data'!$A:$A = $A2017 - 1, 'Fund Investment Data'!$B:$B &gt;= 4, 'Fund Investment Data'!$B:$B &lt;= ($B2017 + 5))) / 12) * ($B2017 - 3) * Parameters!$B$4,"&amp;" 0) + IF($B2017 &gt;= 9, IFERROR(SUM(FILTER('Fund Investment Data'!$V:$V, 'Fund Investment Data'!$C:$C = $C2017, 'Fund Investment Data'!$A:$A = $A2017, 'Fund Investment Data'!$B:$B &lt;= 3)) * Parameters!$B$4, 0),0)))"),0.0)</f>
        <v>0</v>
      </c>
      <c r="AB2017" s="32">
        <f>IFERROR(__xludf.DUMMYFUNCTION("IFERROR(((IFERROR(SUM(FILTER('Fund Investment Data'!$V:$V, 'Fund Investment Data'!$C:$C = $C2017, 'Fund Investment Data'!$A:$A = $A2017 - 2, 'Fund Investment Data'!$B:$B &gt;= 4)) * Parameters!$B$4,0) + IFERROR(SUM(FILTER('Fund Investment Data'!$V:$V, 'Fund "&amp;"Investment Data'!$C:$C = $C2017, 'Fund Investment Data'!$A:$A = $A2017 - 1, 'Fund Investment Data'!$B:$B &lt;= 3)) * Parameters!$B$4,0))),0)"),0.0)</f>
        <v>0</v>
      </c>
      <c r="AC2017" s="32">
        <f>IFERROR(__xludf.DUMMYFUNCTION("IFERROR(FILTER($AF:$AF,$C:$C = $C2017,$A:$A = $A2017 - 1,$B:$B = 12),0)"),0.0)</f>
        <v>0</v>
      </c>
      <c r="AD2017" s="32">
        <f t="shared" si="23"/>
        <v>0</v>
      </c>
      <c r="AE2017" s="32">
        <f t="shared" si="2"/>
        <v>0</v>
      </c>
      <c r="AF2017" s="32"/>
    </row>
    <row r="2018">
      <c r="A2018" s="86"/>
      <c r="B2018" s="87"/>
      <c r="C2018" s="88"/>
      <c r="D2018" s="104"/>
      <c r="E2018" s="104"/>
      <c r="F2018" s="104"/>
      <c r="G2018" s="104"/>
      <c r="H2018" s="104"/>
      <c r="I2018" s="104"/>
      <c r="J2018" s="104"/>
      <c r="K2018" s="32"/>
      <c r="L2018" s="32"/>
      <c r="M2018" s="32"/>
      <c r="N2018" s="32"/>
      <c r="O2018" s="106"/>
      <c r="P2018" s="91">
        <f>IFERROR(__xludf.DUMMYFUNCTION("IFERROR(sum(FILTER($D:$N,$C:$C = $C2018,$A:$A &lt; $A2018,$B:$B = 12)),0) + sum($D2018:$N2018)"),0.0)</f>
        <v>0</v>
      </c>
      <c r="Q2018" s="92">
        <f t="shared" si="1"/>
        <v>0</v>
      </c>
      <c r="R2018" s="91">
        <f t="array" ref="R2018">IFERROR(INDEX('Fund YTD Target Values'!$1:$1000, MATCH($C2018,'Fund YTD Target Values'!$A:$A,0), MATCH($A2018,'Fund YTD Target Values'!$1:$1,0)),0)</f>
        <v>0</v>
      </c>
      <c r="S2018" s="91">
        <f>IFERROR(__xludf.DUMMYFUNCTION("IFERROR(sum(FILTER('Fund Investment Data'!$V:$V, 'Fund Investment Data'!$C:$C = $C2018, 'Fund Investment Data'!$A:$A &lt; $A2018)),0) + IFERROR(sum(FILTER('Fund Investment Data'!$V:$V, 'Fund Investment Data'!$C:$C = $C2018, 'Fund Investment Data'!$A:$A = $A2"&amp;"018, 'Fund Investment Data'!$B:$B &lt;= $B2018)),0)"),0.0)</f>
        <v>0</v>
      </c>
      <c r="T2018" s="32"/>
      <c r="U2018" s="32"/>
      <c r="V2018" s="32">
        <f>IFERROR(__xludf.DUMMYFUNCTION("$D2018 - IFERROR(FILTER($D:$D,$C:$C = $C2018, $A:$A = $A2018, $B:$B = $B2018 - 1),0)"),0.0)</f>
        <v>0</v>
      </c>
      <c r="W2018" s="93">
        <f>IFERROR(__xludf.DUMMYFUNCTION("$E2018 - IFERROR(FILTER($E:$E,$C:$C = $C2018, $A:$A = $A2018, $B:$B = $B2018 - 1),0)"),0.0)</f>
        <v>0</v>
      </c>
      <c r="X2018" s="91">
        <f>IFERROR(__xludf.DUMMYFUNCTION("iFERROR((FILTER('Fund Investment Data'!$Z:$Z, 'Fund Investment Data'!$C:$C = $C2018, 'Fund Investment Data'!$A:$A = $A2018 - 1, 'Fund Investment Data'!$B:$B = 12) + FILTER('Fund Investment Data'!$AB:$AB, 'Fund Investment Data'!$C:$C = $C2018, 'Fund Invest"&amp;"ment Data'!$A:$A = $A2018 - 1, 'Fund Investment Data'!$B:$B = 12)) * (1 + AVERAGE(FILTER('Inflation Data'!$C:$C,'Inflation Data'!$A:$A = ($A2018 - 2)))) * Parameters!$A$4,0)"),0.0)</f>
        <v>0</v>
      </c>
      <c r="Y2018" s="91">
        <f>IFERROR(__xludf.DUMMYFUNCTION("IFERROR((IFERROR(FILTER('Fund Investment Data'!$P:$P,'Fund Investment Data'!$C:$C = $C2018,'Fund Investment Data'!$A:$A = ($A2018 - 2), 'Fund Investment Data'!$B:$B = 12),0) - SUM(FILTER('Fund Investment Data'!$V:$V, 'Fund Investment Data'!$C:$C = $C2018,"&amp;" 'Fund Investment Data'!$A:$A = ($A2018 - 2), 'Fund Investment Data'!$B:$B &gt; 3)))  * Parameters!$B$4 * (1 - Parameters!$A$4),0)"),0.0)</f>
        <v>0</v>
      </c>
      <c r="Z2018" s="91">
        <f t="shared" si="24"/>
        <v>0</v>
      </c>
      <c r="AA2018" s="91">
        <f>IFERROR(__xludf.DUMMYFUNCTION("((IFERROR((SUM(FILTER('Fund Investment Data'!$V:$V, 'Fund Investment Data'!$C:$C = $C2018, 'Fund Investment Data'!$A:$A = $A2018 - 1, 'Fund Investment Data'!$B:$B &gt;= 4, 'Fund Investment Data'!$B:$B &lt;= ($B2018 + 5))) / 12) * ($B2018 - 3) * Parameters!$B$4,"&amp;" 0) + IF($B2018 &gt;= 9, IFERROR(SUM(FILTER('Fund Investment Data'!$V:$V, 'Fund Investment Data'!$C:$C = $C2018, 'Fund Investment Data'!$A:$A = $A2018, 'Fund Investment Data'!$B:$B &lt;= 3)) * Parameters!$B$4, 0),0)))"),0.0)</f>
        <v>0</v>
      </c>
      <c r="AB2018" s="32">
        <f>IFERROR(__xludf.DUMMYFUNCTION("IFERROR(((IFERROR(SUM(FILTER('Fund Investment Data'!$V:$V, 'Fund Investment Data'!$C:$C = $C2018, 'Fund Investment Data'!$A:$A = $A2018 - 2, 'Fund Investment Data'!$B:$B &gt;= 4)) * Parameters!$B$4,0) + IFERROR(SUM(FILTER('Fund Investment Data'!$V:$V, 'Fund "&amp;"Investment Data'!$C:$C = $C2018, 'Fund Investment Data'!$A:$A = $A2018 - 1, 'Fund Investment Data'!$B:$B &lt;= 3)) * Parameters!$B$4,0))),0)"),0.0)</f>
        <v>0</v>
      </c>
      <c r="AC2018" s="32">
        <f>IFERROR(__xludf.DUMMYFUNCTION("IFERROR(FILTER($AF:$AF,$C:$C = $C2018,$A:$A = $A2018 - 1,$B:$B = 12),0)"),0.0)</f>
        <v>0</v>
      </c>
      <c r="AD2018" s="32">
        <f t="shared" si="23"/>
        <v>0</v>
      </c>
      <c r="AE2018" s="32">
        <f t="shared" si="2"/>
        <v>0</v>
      </c>
      <c r="AF2018" s="32"/>
    </row>
    <row r="2019">
      <c r="A2019" s="86"/>
      <c r="B2019" s="87"/>
      <c r="C2019" s="88"/>
      <c r="D2019" s="104"/>
      <c r="E2019" s="104"/>
      <c r="F2019" s="104"/>
      <c r="G2019" s="104"/>
      <c r="H2019" s="104"/>
      <c r="I2019" s="104"/>
      <c r="J2019" s="104"/>
      <c r="K2019" s="32"/>
      <c r="L2019" s="32"/>
      <c r="M2019" s="32"/>
      <c r="N2019" s="32"/>
      <c r="O2019" s="106"/>
      <c r="P2019" s="91">
        <f>IFERROR(__xludf.DUMMYFUNCTION("IFERROR(sum(FILTER($D:$N,$C:$C = $C2019,$A:$A &lt; $A2019,$B:$B = 12)),0) + sum($D2019:$N2019)"),0.0)</f>
        <v>0</v>
      </c>
      <c r="Q2019" s="92">
        <f t="shared" si="1"/>
        <v>0</v>
      </c>
      <c r="R2019" s="91">
        <f t="array" ref="R2019">IFERROR(INDEX('Fund YTD Target Values'!$1:$1000, MATCH($C2019,'Fund YTD Target Values'!$A:$A,0), MATCH($A2019,'Fund YTD Target Values'!$1:$1,0)),0)</f>
        <v>0</v>
      </c>
      <c r="S2019" s="91">
        <f>IFERROR(__xludf.DUMMYFUNCTION("IFERROR(sum(FILTER('Fund Investment Data'!$V:$V, 'Fund Investment Data'!$C:$C = $C2019, 'Fund Investment Data'!$A:$A &lt; $A2019)),0) + IFERROR(sum(FILTER('Fund Investment Data'!$V:$V, 'Fund Investment Data'!$C:$C = $C2019, 'Fund Investment Data'!$A:$A = $A2"&amp;"019, 'Fund Investment Data'!$B:$B &lt;= $B2019)),0)"),0.0)</f>
        <v>0</v>
      </c>
      <c r="T2019" s="32"/>
      <c r="U2019" s="32"/>
      <c r="V2019" s="32">
        <f>IFERROR(__xludf.DUMMYFUNCTION("$D2019 - IFERROR(FILTER($D:$D,$C:$C = $C2019, $A:$A = $A2019, $B:$B = $B2019 - 1),0)"),0.0)</f>
        <v>0</v>
      </c>
      <c r="W2019" s="93">
        <f>IFERROR(__xludf.DUMMYFUNCTION("$E2019 - IFERROR(FILTER($E:$E,$C:$C = $C2019, $A:$A = $A2019, $B:$B = $B2019 - 1),0)"),0.0)</f>
        <v>0</v>
      </c>
      <c r="X2019" s="91">
        <f>IFERROR(__xludf.DUMMYFUNCTION("iFERROR((FILTER('Fund Investment Data'!$Z:$Z, 'Fund Investment Data'!$C:$C = $C2019, 'Fund Investment Data'!$A:$A = $A2019 - 1, 'Fund Investment Data'!$B:$B = 12) + FILTER('Fund Investment Data'!$AB:$AB, 'Fund Investment Data'!$C:$C = $C2019, 'Fund Invest"&amp;"ment Data'!$A:$A = $A2019 - 1, 'Fund Investment Data'!$B:$B = 12)) * (1 + AVERAGE(FILTER('Inflation Data'!$C:$C,'Inflation Data'!$A:$A = ($A2019 - 2)))) * Parameters!$A$4,0)"),0.0)</f>
        <v>0</v>
      </c>
      <c r="Y2019" s="91">
        <f>IFERROR(__xludf.DUMMYFUNCTION("IFERROR((IFERROR(FILTER('Fund Investment Data'!$P:$P,'Fund Investment Data'!$C:$C = $C2019,'Fund Investment Data'!$A:$A = ($A2019 - 2), 'Fund Investment Data'!$B:$B = 12),0) - SUM(FILTER('Fund Investment Data'!$V:$V, 'Fund Investment Data'!$C:$C = $C2019,"&amp;" 'Fund Investment Data'!$A:$A = ($A2019 - 2), 'Fund Investment Data'!$B:$B &gt; 3)))  * Parameters!$B$4 * (1 - Parameters!$A$4),0)"),0.0)</f>
        <v>0</v>
      </c>
      <c r="Z2019" s="91">
        <f t="shared" si="24"/>
        <v>0</v>
      </c>
      <c r="AA2019" s="91">
        <f>IFERROR(__xludf.DUMMYFUNCTION("((IFERROR((SUM(FILTER('Fund Investment Data'!$V:$V, 'Fund Investment Data'!$C:$C = $C2019, 'Fund Investment Data'!$A:$A = $A2019 - 1, 'Fund Investment Data'!$B:$B &gt;= 4, 'Fund Investment Data'!$B:$B &lt;= ($B2019 + 5))) / 12) * ($B2019 - 3) * Parameters!$B$4,"&amp;" 0) + IF($B2019 &gt;= 9, IFERROR(SUM(FILTER('Fund Investment Data'!$V:$V, 'Fund Investment Data'!$C:$C = $C2019, 'Fund Investment Data'!$A:$A = $A2019, 'Fund Investment Data'!$B:$B &lt;= 3)) * Parameters!$B$4, 0),0)))"),0.0)</f>
        <v>0</v>
      </c>
      <c r="AB2019" s="32">
        <f>IFERROR(__xludf.DUMMYFUNCTION("IFERROR(((IFERROR(SUM(FILTER('Fund Investment Data'!$V:$V, 'Fund Investment Data'!$C:$C = $C2019, 'Fund Investment Data'!$A:$A = $A2019 - 2, 'Fund Investment Data'!$B:$B &gt;= 4)) * Parameters!$B$4,0) + IFERROR(SUM(FILTER('Fund Investment Data'!$V:$V, 'Fund "&amp;"Investment Data'!$C:$C = $C2019, 'Fund Investment Data'!$A:$A = $A2019 - 1, 'Fund Investment Data'!$B:$B &lt;= 3)) * Parameters!$B$4,0))),0)"),0.0)</f>
        <v>0</v>
      </c>
      <c r="AC2019" s="32">
        <f>IFERROR(__xludf.DUMMYFUNCTION("IFERROR(FILTER($AF:$AF,$C:$C = $C2019,$A:$A = $A2019 - 1,$B:$B = 12),0)"),0.0)</f>
        <v>0</v>
      </c>
      <c r="AD2019" s="32">
        <f t="shared" si="23"/>
        <v>0</v>
      </c>
      <c r="AE2019" s="32">
        <f t="shared" si="2"/>
        <v>0</v>
      </c>
      <c r="AF2019" s="32"/>
    </row>
    <row r="2020">
      <c r="A2020" s="86"/>
      <c r="B2020" s="87"/>
      <c r="C2020" s="88"/>
      <c r="D2020" s="104"/>
      <c r="E2020" s="104"/>
      <c r="F2020" s="104"/>
      <c r="G2020" s="104"/>
      <c r="H2020" s="104"/>
      <c r="I2020" s="104"/>
      <c r="J2020" s="104"/>
      <c r="K2020" s="32"/>
      <c r="L2020" s="32"/>
      <c r="M2020" s="32"/>
      <c r="N2020" s="32"/>
      <c r="O2020" s="106"/>
      <c r="P2020" s="91">
        <f>IFERROR(__xludf.DUMMYFUNCTION("IFERROR(sum(FILTER($D:$N,$C:$C = $C2020,$A:$A &lt; $A2020,$B:$B = 12)),0) + sum($D2020:$N2020)"),0.0)</f>
        <v>0</v>
      </c>
      <c r="Q2020" s="92">
        <f t="shared" si="1"/>
        <v>0</v>
      </c>
      <c r="R2020" s="91">
        <f t="array" ref="R2020">IFERROR(INDEX('Fund YTD Target Values'!$1:$1000, MATCH($C2020,'Fund YTD Target Values'!$A:$A,0), MATCH($A2020,'Fund YTD Target Values'!$1:$1,0)),0)</f>
        <v>0</v>
      </c>
      <c r="S2020" s="91">
        <f>IFERROR(__xludf.DUMMYFUNCTION("IFERROR(sum(FILTER('Fund Investment Data'!$V:$V, 'Fund Investment Data'!$C:$C = $C2020, 'Fund Investment Data'!$A:$A &lt; $A2020)),0) + IFERROR(sum(FILTER('Fund Investment Data'!$V:$V, 'Fund Investment Data'!$C:$C = $C2020, 'Fund Investment Data'!$A:$A = $A2"&amp;"020, 'Fund Investment Data'!$B:$B &lt;= $B2020)),0)"),0.0)</f>
        <v>0</v>
      </c>
      <c r="T2020" s="32"/>
      <c r="U2020" s="32"/>
      <c r="V2020" s="32">
        <f>IFERROR(__xludf.DUMMYFUNCTION("$D2020 - IFERROR(FILTER($D:$D,$C:$C = $C2020, $A:$A = $A2020, $B:$B = $B2020 - 1),0)"),0.0)</f>
        <v>0</v>
      </c>
      <c r="W2020" s="93">
        <f>IFERROR(__xludf.DUMMYFUNCTION("$E2020 - IFERROR(FILTER($E:$E,$C:$C = $C2020, $A:$A = $A2020, $B:$B = $B2020 - 1),0)"),0.0)</f>
        <v>0</v>
      </c>
      <c r="X2020" s="91">
        <f>IFERROR(__xludf.DUMMYFUNCTION("iFERROR((FILTER('Fund Investment Data'!$Z:$Z, 'Fund Investment Data'!$C:$C = $C2020, 'Fund Investment Data'!$A:$A = $A2020 - 1, 'Fund Investment Data'!$B:$B = 12) + FILTER('Fund Investment Data'!$AB:$AB, 'Fund Investment Data'!$C:$C = $C2020, 'Fund Invest"&amp;"ment Data'!$A:$A = $A2020 - 1, 'Fund Investment Data'!$B:$B = 12)) * (1 + AVERAGE(FILTER('Inflation Data'!$C:$C,'Inflation Data'!$A:$A = ($A2020 - 2)))) * Parameters!$A$4,0)"),0.0)</f>
        <v>0</v>
      </c>
      <c r="Y2020" s="91">
        <f>IFERROR(__xludf.DUMMYFUNCTION("IFERROR((IFERROR(FILTER('Fund Investment Data'!$P:$P,'Fund Investment Data'!$C:$C = $C2020,'Fund Investment Data'!$A:$A = ($A2020 - 2), 'Fund Investment Data'!$B:$B = 12),0) - SUM(FILTER('Fund Investment Data'!$V:$V, 'Fund Investment Data'!$C:$C = $C2020,"&amp;" 'Fund Investment Data'!$A:$A = ($A2020 - 2), 'Fund Investment Data'!$B:$B &gt; 3)))  * Parameters!$B$4 * (1 - Parameters!$A$4),0)"),0.0)</f>
        <v>0</v>
      </c>
      <c r="Z2020" s="91">
        <f t="shared" si="24"/>
        <v>0</v>
      </c>
      <c r="AA2020" s="91">
        <f>IFERROR(__xludf.DUMMYFUNCTION("((IFERROR((SUM(FILTER('Fund Investment Data'!$V:$V, 'Fund Investment Data'!$C:$C = $C2020, 'Fund Investment Data'!$A:$A = $A2020 - 1, 'Fund Investment Data'!$B:$B &gt;= 4, 'Fund Investment Data'!$B:$B &lt;= ($B2020 + 5))) / 12) * ($B2020 - 3) * Parameters!$B$4,"&amp;" 0) + IF($B2020 &gt;= 9, IFERROR(SUM(FILTER('Fund Investment Data'!$V:$V, 'Fund Investment Data'!$C:$C = $C2020, 'Fund Investment Data'!$A:$A = $A2020, 'Fund Investment Data'!$B:$B &lt;= 3)) * Parameters!$B$4, 0),0)))"),0.0)</f>
        <v>0</v>
      </c>
      <c r="AB2020" s="32">
        <f>IFERROR(__xludf.DUMMYFUNCTION("IFERROR(((IFERROR(SUM(FILTER('Fund Investment Data'!$V:$V, 'Fund Investment Data'!$C:$C = $C2020, 'Fund Investment Data'!$A:$A = $A2020 - 2, 'Fund Investment Data'!$B:$B &gt;= 4)) * Parameters!$B$4,0) + IFERROR(SUM(FILTER('Fund Investment Data'!$V:$V, 'Fund "&amp;"Investment Data'!$C:$C = $C2020, 'Fund Investment Data'!$A:$A = $A2020 - 1, 'Fund Investment Data'!$B:$B &lt;= 3)) * Parameters!$B$4,0))),0)"),0.0)</f>
        <v>0</v>
      </c>
      <c r="AC2020" s="32">
        <f>IFERROR(__xludf.DUMMYFUNCTION("IFERROR(FILTER($AF:$AF,$C:$C = $C2020,$A:$A = $A2020 - 1,$B:$B = 12),0)"),0.0)</f>
        <v>0</v>
      </c>
      <c r="AD2020" s="32">
        <f t="shared" si="23"/>
        <v>0</v>
      </c>
      <c r="AE2020" s="32">
        <f t="shared" si="2"/>
        <v>0</v>
      </c>
      <c r="AF2020" s="32"/>
    </row>
    <row r="2021">
      <c r="A2021" s="86"/>
      <c r="B2021" s="87"/>
      <c r="C2021" s="88"/>
      <c r="D2021" s="104"/>
      <c r="E2021" s="104"/>
      <c r="F2021" s="104"/>
      <c r="G2021" s="104"/>
      <c r="H2021" s="104"/>
      <c r="I2021" s="104"/>
      <c r="J2021" s="104"/>
      <c r="K2021" s="32"/>
      <c r="L2021" s="32"/>
      <c r="M2021" s="32"/>
      <c r="N2021" s="32"/>
      <c r="O2021" s="106"/>
      <c r="P2021" s="91">
        <f>IFERROR(__xludf.DUMMYFUNCTION("IFERROR(sum(FILTER($D:$N,$C:$C = $C2021,$A:$A &lt; $A2021,$B:$B = 12)),0) + sum($D2021:$N2021)"),0.0)</f>
        <v>0</v>
      </c>
      <c r="Q2021" s="92">
        <f t="shared" si="1"/>
        <v>0</v>
      </c>
      <c r="R2021" s="91">
        <f t="array" ref="R2021">IFERROR(INDEX('Fund YTD Target Values'!$1:$1000, MATCH($C2021,'Fund YTD Target Values'!$A:$A,0), MATCH($A2021,'Fund YTD Target Values'!$1:$1,0)),0)</f>
        <v>0</v>
      </c>
      <c r="S2021" s="91">
        <f>IFERROR(__xludf.DUMMYFUNCTION("IFERROR(sum(FILTER('Fund Investment Data'!$V:$V, 'Fund Investment Data'!$C:$C = $C2021, 'Fund Investment Data'!$A:$A &lt; $A2021)),0) + IFERROR(sum(FILTER('Fund Investment Data'!$V:$V, 'Fund Investment Data'!$C:$C = $C2021, 'Fund Investment Data'!$A:$A = $A2"&amp;"021, 'Fund Investment Data'!$B:$B &lt;= $B2021)),0)"),0.0)</f>
        <v>0</v>
      </c>
      <c r="T2021" s="32"/>
      <c r="U2021" s="32"/>
      <c r="V2021" s="32">
        <f>IFERROR(__xludf.DUMMYFUNCTION("$D2021 - IFERROR(FILTER($D:$D,$C:$C = $C2021, $A:$A = $A2021, $B:$B = $B2021 - 1),0)"),0.0)</f>
        <v>0</v>
      </c>
      <c r="W2021" s="93">
        <f>IFERROR(__xludf.DUMMYFUNCTION("$E2021 - IFERROR(FILTER($E:$E,$C:$C = $C2021, $A:$A = $A2021, $B:$B = $B2021 - 1),0)"),0.0)</f>
        <v>0</v>
      </c>
      <c r="X2021" s="91">
        <f>IFERROR(__xludf.DUMMYFUNCTION("iFERROR((FILTER('Fund Investment Data'!$Z:$Z, 'Fund Investment Data'!$C:$C = $C2021, 'Fund Investment Data'!$A:$A = $A2021 - 1, 'Fund Investment Data'!$B:$B = 12) + FILTER('Fund Investment Data'!$AB:$AB, 'Fund Investment Data'!$C:$C = $C2021, 'Fund Invest"&amp;"ment Data'!$A:$A = $A2021 - 1, 'Fund Investment Data'!$B:$B = 12)) * (1 + AVERAGE(FILTER('Inflation Data'!$C:$C,'Inflation Data'!$A:$A = ($A2021 - 2)))) * Parameters!$A$4,0)"),0.0)</f>
        <v>0</v>
      </c>
      <c r="Y2021" s="91">
        <f>IFERROR(__xludf.DUMMYFUNCTION("IFERROR((IFERROR(FILTER('Fund Investment Data'!$P:$P,'Fund Investment Data'!$C:$C = $C2021,'Fund Investment Data'!$A:$A = ($A2021 - 2), 'Fund Investment Data'!$B:$B = 12),0) - SUM(FILTER('Fund Investment Data'!$V:$V, 'Fund Investment Data'!$C:$C = $C2021,"&amp;" 'Fund Investment Data'!$A:$A = ($A2021 - 2), 'Fund Investment Data'!$B:$B &gt; 3)))  * Parameters!$B$4 * (1 - Parameters!$A$4),0)"),0.0)</f>
        <v>0</v>
      </c>
      <c r="Z2021" s="91">
        <f t="shared" si="24"/>
        <v>0</v>
      </c>
      <c r="AA2021" s="91">
        <f>IFERROR(__xludf.DUMMYFUNCTION("((IFERROR((SUM(FILTER('Fund Investment Data'!$V:$V, 'Fund Investment Data'!$C:$C = $C2021, 'Fund Investment Data'!$A:$A = $A2021 - 1, 'Fund Investment Data'!$B:$B &gt;= 4, 'Fund Investment Data'!$B:$B &lt;= ($B2021 + 5))) / 12) * ($B2021 - 3) * Parameters!$B$4,"&amp;" 0) + IF($B2021 &gt;= 9, IFERROR(SUM(FILTER('Fund Investment Data'!$V:$V, 'Fund Investment Data'!$C:$C = $C2021, 'Fund Investment Data'!$A:$A = $A2021, 'Fund Investment Data'!$B:$B &lt;= 3)) * Parameters!$B$4, 0),0)))"),0.0)</f>
        <v>0</v>
      </c>
      <c r="AB2021" s="32">
        <f>IFERROR(__xludf.DUMMYFUNCTION("IFERROR(((IFERROR(SUM(FILTER('Fund Investment Data'!$V:$V, 'Fund Investment Data'!$C:$C = $C2021, 'Fund Investment Data'!$A:$A = $A2021 - 2, 'Fund Investment Data'!$B:$B &gt;= 4)) * Parameters!$B$4,0) + IFERROR(SUM(FILTER('Fund Investment Data'!$V:$V, 'Fund "&amp;"Investment Data'!$C:$C = $C2021, 'Fund Investment Data'!$A:$A = $A2021 - 1, 'Fund Investment Data'!$B:$B &lt;= 3)) * Parameters!$B$4,0))),0)"),0.0)</f>
        <v>0</v>
      </c>
      <c r="AC2021" s="32">
        <f>IFERROR(__xludf.DUMMYFUNCTION("IFERROR(FILTER($AF:$AF,$C:$C = $C2021,$A:$A = $A2021 - 1,$B:$B = 12),0)"),0.0)</f>
        <v>0</v>
      </c>
      <c r="AD2021" s="32">
        <f t="shared" si="23"/>
        <v>0</v>
      </c>
      <c r="AE2021" s="32">
        <f t="shared" si="2"/>
        <v>0</v>
      </c>
      <c r="AF2021" s="32"/>
    </row>
    <row r="2022">
      <c r="A2022" s="86"/>
      <c r="B2022" s="87"/>
      <c r="C2022" s="88"/>
      <c r="D2022" s="104"/>
      <c r="E2022" s="104"/>
      <c r="F2022" s="104"/>
      <c r="G2022" s="104"/>
      <c r="H2022" s="104"/>
      <c r="I2022" s="104"/>
      <c r="J2022" s="104"/>
      <c r="K2022" s="32"/>
      <c r="L2022" s="32"/>
      <c r="M2022" s="32"/>
      <c r="N2022" s="32"/>
      <c r="O2022" s="106"/>
      <c r="P2022" s="91">
        <f>IFERROR(__xludf.DUMMYFUNCTION("IFERROR(sum(FILTER($D:$N,$C:$C = $C2022,$A:$A &lt; $A2022,$B:$B = 12)),0) + sum($D2022:$N2022)"),0.0)</f>
        <v>0</v>
      </c>
      <c r="Q2022" s="92">
        <f t="shared" si="1"/>
        <v>0</v>
      </c>
      <c r="R2022" s="91">
        <f t="array" ref="R2022">IFERROR(INDEX('Fund YTD Target Values'!$1:$1000, MATCH($C2022,'Fund YTD Target Values'!$A:$A,0), MATCH($A2022,'Fund YTD Target Values'!$1:$1,0)),0)</f>
        <v>0</v>
      </c>
      <c r="S2022" s="91">
        <f>IFERROR(__xludf.DUMMYFUNCTION("IFERROR(sum(FILTER('Fund Investment Data'!$V:$V, 'Fund Investment Data'!$C:$C = $C2022, 'Fund Investment Data'!$A:$A &lt; $A2022)),0) + IFERROR(sum(FILTER('Fund Investment Data'!$V:$V, 'Fund Investment Data'!$C:$C = $C2022, 'Fund Investment Data'!$A:$A = $A2"&amp;"022, 'Fund Investment Data'!$B:$B &lt;= $B2022)),0)"),0.0)</f>
        <v>0</v>
      </c>
      <c r="T2022" s="32"/>
      <c r="U2022" s="32"/>
      <c r="V2022" s="32">
        <f>IFERROR(__xludf.DUMMYFUNCTION("$D2022 - IFERROR(FILTER($D:$D,$C:$C = $C2022, $A:$A = $A2022, $B:$B = $B2022 - 1),0)"),0.0)</f>
        <v>0</v>
      </c>
      <c r="W2022" s="93">
        <f>IFERROR(__xludf.DUMMYFUNCTION("$E2022 - IFERROR(FILTER($E:$E,$C:$C = $C2022, $A:$A = $A2022, $B:$B = $B2022 - 1),0)"),0.0)</f>
        <v>0</v>
      </c>
      <c r="X2022" s="91">
        <f>IFERROR(__xludf.DUMMYFUNCTION("iFERROR((FILTER('Fund Investment Data'!$Z:$Z, 'Fund Investment Data'!$C:$C = $C2022, 'Fund Investment Data'!$A:$A = $A2022 - 1, 'Fund Investment Data'!$B:$B = 12) + FILTER('Fund Investment Data'!$AB:$AB, 'Fund Investment Data'!$C:$C = $C2022, 'Fund Invest"&amp;"ment Data'!$A:$A = $A2022 - 1, 'Fund Investment Data'!$B:$B = 12)) * (1 + AVERAGE(FILTER('Inflation Data'!$C:$C,'Inflation Data'!$A:$A = ($A2022 - 2)))) * Parameters!$A$4,0)"),0.0)</f>
        <v>0</v>
      </c>
      <c r="Y2022" s="91">
        <f>IFERROR(__xludf.DUMMYFUNCTION("IFERROR((IFERROR(FILTER('Fund Investment Data'!$P:$P,'Fund Investment Data'!$C:$C = $C2022,'Fund Investment Data'!$A:$A = ($A2022 - 2), 'Fund Investment Data'!$B:$B = 12),0) - SUM(FILTER('Fund Investment Data'!$V:$V, 'Fund Investment Data'!$C:$C = $C2022,"&amp;" 'Fund Investment Data'!$A:$A = ($A2022 - 2), 'Fund Investment Data'!$B:$B &gt; 3)))  * Parameters!$B$4 * (1 - Parameters!$A$4),0)"),0.0)</f>
        <v>0</v>
      </c>
      <c r="Z2022" s="91">
        <f t="shared" si="24"/>
        <v>0</v>
      </c>
      <c r="AA2022" s="91">
        <f>IFERROR(__xludf.DUMMYFUNCTION("((IFERROR((SUM(FILTER('Fund Investment Data'!$V:$V, 'Fund Investment Data'!$C:$C = $C2022, 'Fund Investment Data'!$A:$A = $A2022 - 1, 'Fund Investment Data'!$B:$B &gt;= 4, 'Fund Investment Data'!$B:$B &lt;= ($B2022 + 5))) / 12) * ($B2022 - 3) * Parameters!$B$4,"&amp;" 0) + IF($B2022 &gt;= 9, IFERROR(SUM(FILTER('Fund Investment Data'!$V:$V, 'Fund Investment Data'!$C:$C = $C2022, 'Fund Investment Data'!$A:$A = $A2022, 'Fund Investment Data'!$B:$B &lt;= 3)) * Parameters!$B$4, 0),0)))"),0.0)</f>
        <v>0</v>
      </c>
      <c r="AB2022" s="32">
        <f>IFERROR(__xludf.DUMMYFUNCTION("IFERROR(((IFERROR(SUM(FILTER('Fund Investment Data'!$V:$V, 'Fund Investment Data'!$C:$C = $C2022, 'Fund Investment Data'!$A:$A = $A2022 - 2, 'Fund Investment Data'!$B:$B &gt;= 4)) * Parameters!$B$4,0) + IFERROR(SUM(FILTER('Fund Investment Data'!$V:$V, 'Fund "&amp;"Investment Data'!$C:$C = $C2022, 'Fund Investment Data'!$A:$A = $A2022 - 1, 'Fund Investment Data'!$B:$B &lt;= 3)) * Parameters!$B$4,0))),0)"),0.0)</f>
        <v>0</v>
      </c>
      <c r="AC2022" s="32">
        <f>IFERROR(__xludf.DUMMYFUNCTION("IFERROR(FILTER($AF:$AF,$C:$C = $C2022,$A:$A = $A2022 - 1,$B:$B = 12),0)"),0.0)</f>
        <v>0</v>
      </c>
      <c r="AD2022" s="32">
        <f t="shared" si="23"/>
        <v>0</v>
      </c>
      <c r="AE2022" s="32">
        <f t="shared" si="2"/>
        <v>0</v>
      </c>
      <c r="AF2022" s="32"/>
    </row>
    <row r="2023">
      <c r="A2023" s="86"/>
      <c r="B2023" s="87"/>
      <c r="C2023" s="88"/>
      <c r="D2023" s="104"/>
      <c r="E2023" s="104"/>
      <c r="F2023" s="104"/>
      <c r="G2023" s="104"/>
      <c r="H2023" s="104"/>
      <c r="I2023" s="104"/>
      <c r="J2023" s="104"/>
      <c r="K2023" s="32"/>
      <c r="L2023" s="32"/>
      <c r="M2023" s="32"/>
      <c r="N2023" s="32"/>
      <c r="O2023" s="106"/>
      <c r="P2023" s="91">
        <f>IFERROR(__xludf.DUMMYFUNCTION("IFERROR(sum(FILTER($D:$N,$C:$C = $C2023,$A:$A &lt; $A2023,$B:$B = 12)),0) + sum($D2023:$N2023)"),0.0)</f>
        <v>0</v>
      </c>
      <c r="Q2023" s="92">
        <f t="shared" si="1"/>
        <v>0</v>
      </c>
      <c r="R2023" s="91">
        <f t="array" ref="R2023">IFERROR(INDEX('Fund YTD Target Values'!$1:$1000, MATCH($C2023,'Fund YTD Target Values'!$A:$A,0), MATCH($A2023,'Fund YTD Target Values'!$1:$1,0)),0)</f>
        <v>0</v>
      </c>
      <c r="S2023" s="91">
        <f>IFERROR(__xludf.DUMMYFUNCTION("IFERROR(sum(FILTER('Fund Investment Data'!$V:$V, 'Fund Investment Data'!$C:$C = $C2023, 'Fund Investment Data'!$A:$A &lt; $A2023)),0) + IFERROR(sum(FILTER('Fund Investment Data'!$V:$V, 'Fund Investment Data'!$C:$C = $C2023, 'Fund Investment Data'!$A:$A = $A2"&amp;"023, 'Fund Investment Data'!$B:$B &lt;= $B2023)),0)"),0.0)</f>
        <v>0</v>
      </c>
      <c r="T2023" s="32"/>
      <c r="U2023" s="32"/>
      <c r="V2023" s="32">
        <f>IFERROR(__xludf.DUMMYFUNCTION("$D2023 - IFERROR(FILTER($D:$D,$C:$C = $C2023, $A:$A = $A2023, $B:$B = $B2023 - 1),0)"),0.0)</f>
        <v>0</v>
      </c>
      <c r="W2023" s="93">
        <f>IFERROR(__xludf.DUMMYFUNCTION("$E2023 - IFERROR(FILTER($E:$E,$C:$C = $C2023, $A:$A = $A2023, $B:$B = $B2023 - 1),0)"),0.0)</f>
        <v>0</v>
      </c>
      <c r="X2023" s="91">
        <f>IFERROR(__xludf.DUMMYFUNCTION("iFERROR((FILTER('Fund Investment Data'!$Z:$Z, 'Fund Investment Data'!$C:$C = $C2023, 'Fund Investment Data'!$A:$A = $A2023 - 1, 'Fund Investment Data'!$B:$B = 12) + FILTER('Fund Investment Data'!$AB:$AB, 'Fund Investment Data'!$C:$C = $C2023, 'Fund Invest"&amp;"ment Data'!$A:$A = $A2023 - 1, 'Fund Investment Data'!$B:$B = 12)) * (1 + AVERAGE(FILTER('Inflation Data'!$C:$C,'Inflation Data'!$A:$A = ($A2023 - 2)))) * Parameters!$A$4,0)"),0.0)</f>
        <v>0</v>
      </c>
      <c r="Y2023" s="91">
        <f>IFERROR(__xludf.DUMMYFUNCTION("IFERROR((IFERROR(FILTER('Fund Investment Data'!$P:$P,'Fund Investment Data'!$C:$C = $C2023,'Fund Investment Data'!$A:$A = ($A2023 - 2), 'Fund Investment Data'!$B:$B = 12),0) - SUM(FILTER('Fund Investment Data'!$V:$V, 'Fund Investment Data'!$C:$C = $C2023,"&amp;" 'Fund Investment Data'!$A:$A = ($A2023 - 2), 'Fund Investment Data'!$B:$B &gt; 3)))  * Parameters!$B$4 * (1 - Parameters!$A$4),0)"),0.0)</f>
        <v>0</v>
      </c>
      <c r="Z2023" s="91">
        <f t="shared" si="24"/>
        <v>0</v>
      </c>
      <c r="AA2023" s="91">
        <f>IFERROR(__xludf.DUMMYFUNCTION("((IFERROR((SUM(FILTER('Fund Investment Data'!$V:$V, 'Fund Investment Data'!$C:$C = $C2023, 'Fund Investment Data'!$A:$A = $A2023 - 1, 'Fund Investment Data'!$B:$B &gt;= 4, 'Fund Investment Data'!$B:$B &lt;= ($B2023 + 5))) / 12) * ($B2023 - 3) * Parameters!$B$4,"&amp;" 0) + IF($B2023 &gt;= 9, IFERROR(SUM(FILTER('Fund Investment Data'!$V:$V, 'Fund Investment Data'!$C:$C = $C2023, 'Fund Investment Data'!$A:$A = $A2023, 'Fund Investment Data'!$B:$B &lt;= 3)) * Parameters!$B$4, 0),0)))"),0.0)</f>
        <v>0</v>
      </c>
      <c r="AB2023" s="32">
        <f>IFERROR(__xludf.DUMMYFUNCTION("IFERROR(((IFERROR(SUM(FILTER('Fund Investment Data'!$V:$V, 'Fund Investment Data'!$C:$C = $C2023, 'Fund Investment Data'!$A:$A = $A2023 - 2, 'Fund Investment Data'!$B:$B &gt;= 4)) * Parameters!$B$4,0) + IFERROR(SUM(FILTER('Fund Investment Data'!$V:$V, 'Fund "&amp;"Investment Data'!$C:$C = $C2023, 'Fund Investment Data'!$A:$A = $A2023 - 1, 'Fund Investment Data'!$B:$B &lt;= 3)) * Parameters!$B$4,0))),0)"),0.0)</f>
        <v>0</v>
      </c>
      <c r="AC2023" s="32">
        <f>IFERROR(__xludf.DUMMYFUNCTION("IFERROR(FILTER($AF:$AF,$C:$C = $C2023,$A:$A = $A2023 - 1,$B:$B = 12),0)"),0.0)</f>
        <v>0</v>
      </c>
      <c r="AD2023" s="32">
        <f t="shared" si="23"/>
        <v>0</v>
      </c>
      <c r="AE2023" s="32">
        <f t="shared" si="2"/>
        <v>0</v>
      </c>
      <c r="AF2023" s="32"/>
    </row>
    <row r="2024">
      <c r="A2024" s="86"/>
      <c r="B2024" s="87"/>
      <c r="C2024" s="88"/>
      <c r="D2024" s="104"/>
      <c r="E2024" s="104"/>
      <c r="F2024" s="104"/>
      <c r="G2024" s="104"/>
      <c r="H2024" s="104"/>
      <c r="I2024" s="104"/>
      <c r="J2024" s="104"/>
      <c r="K2024" s="32"/>
      <c r="L2024" s="32"/>
      <c r="M2024" s="32"/>
      <c r="N2024" s="32"/>
      <c r="O2024" s="106"/>
      <c r="P2024" s="91">
        <f>IFERROR(__xludf.DUMMYFUNCTION("IFERROR(sum(FILTER($D:$N,$C:$C = $C2024,$A:$A &lt; $A2024,$B:$B = 12)),0) + sum($D2024:$N2024)"),0.0)</f>
        <v>0</v>
      </c>
      <c r="Q2024" s="92">
        <f t="shared" si="1"/>
        <v>0</v>
      </c>
      <c r="R2024" s="91">
        <f t="array" ref="R2024">IFERROR(INDEX('Fund YTD Target Values'!$1:$1000, MATCH($C2024,'Fund YTD Target Values'!$A:$A,0), MATCH($A2024,'Fund YTD Target Values'!$1:$1,0)),0)</f>
        <v>0</v>
      </c>
      <c r="S2024" s="91">
        <f>IFERROR(__xludf.DUMMYFUNCTION("IFERROR(sum(FILTER('Fund Investment Data'!$V:$V, 'Fund Investment Data'!$C:$C = $C2024, 'Fund Investment Data'!$A:$A &lt; $A2024)),0) + IFERROR(sum(FILTER('Fund Investment Data'!$V:$V, 'Fund Investment Data'!$C:$C = $C2024, 'Fund Investment Data'!$A:$A = $A2"&amp;"024, 'Fund Investment Data'!$B:$B &lt;= $B2024)),0)"),0.0)</f>
        <v>0</v>
      </c>
      <c r="T2024" s="32"/>
      <c r="U2024" s="32"/>
      <c r="V2024" s="32">
        <f>IFERROR(__xludf.DUMMYFUNCTION("$D2024 - IFERROR(FILTER($D:$D,$C:$C = $C2024, $A:$A = $A2024, $B:$B = $B2024 - 1),0)"),0.0)</f>
        <v>0</v>
      </c>
      <c r="W2024" s="93">
        <f>IFERROR(__xludf.DUMMYFUNCTION("$E2024 - IFERROR(FILTER($E:$E,$C:$C = $C2024, $A:$A = $A2024, $B:$B = $B2024 - 1),0)"),0.0)</f>
        <v>0</v>
      </c>
      <c r="X2024" s="91">
        <f>IFERROR(__xludf.DUMMYFUNCTION("iFERROR((FILTER('Fund Investment Data'!$Z:$Z, 'Fund Investment Data'!$C:$C = $C2024, 'Fund Investment Data'!$A:$A = $A2024 - 1, 'Fund Investment Data'!$B:$B = 12) + FILTER('Fund Investment Data'!$AB:$AB, 'Fund Investment Data'!$C:$C = $C2024, 'Fund Invest"&amp;"ment Data'!$A:$A = $A2024 - 1, 'Fund Investment Data'!$B:$B = 12)) * (1 + AVERAGE(FILTER('Inflation Data'!$C:$C,'Inflation Data'!$A:$A = ($A2024 - 2)))) * Parameters!$A$4,0)"),0.0)</f>
        <v>0</v>
      </c>
      <c r="Y2024" s="91">
        <f>IFERROR(__xludf.DUMMYFUNCTION("IFERROR((IFERROR(FILTER('Fund Investment Data'!$P:$P,'Fund Investment Data'!$C:$C = $C2024,'Fund Investment Data'!$A:$A = ($A2024 - 2), 'Fund Investment Data'!$B:$B = 12),0) - SUM(FILTER('Fund Investment Data'!$V:$V, 'Fund Investment Data'!$C:$C = $C2024,"&amp;" 'Fund Investment Data'!$A:$A = ($A2024 - 2), 'Fund Investment Data'!$B:$B &gt; 3)))  * Parameters!$B$4 * (1 - Parameters!$A$4),0)"),0.0)</f>
        <v>0</v>
      </c>
      <c r="Z2024" s="91">
        <f t="shared" si="24"/>
        <v>0</v>
      </c>
      <c r="AA2024" s="91">
        <f>IFERROR(__xludf.DUMMYFUNCTION("((IFERROR((SUM(FILTER('Fund Investment Data'!$V:$V, 'Fund Investment Data'!$C:$C = $C2024, 'Fund Investment Data'!$A:$A = $A2024 - 1, 'Fund Investment Data'!$B:$B &gt;= 4, 'Fund Investment Data'!$B:$B &lt;= ($B2024 + 5))) / 12) * ($B2024 - 3) * Parameters!$B$4,"&amp;" 0) + IF($B2024 &gt;= 9, IFERROR(SUM(FILTER('Fund Investment Data'!$V:$V, 'Fund Investment Data'!$C:$C = $C2024, 'Fund Investment Data'!$A:$A = $A2024, 'Fund Investment Data'!$B:$B &lt;= 3)) * Parameters!$B$4, 0),0)))"),0.0)</f>
        <v>0</v>
      </c>
      <c r="AB2024" s="32">
        <f>IFERROR(__xludf.DUMMYFUNCTION("IFERROR(((IFERROR(SUM(FILTER('Fund Investment Data'!$V:$V, 'Fund Investment Data'!$C:$C = $C2024, 'Fund Investment Data'!$A:$A = $A2024 - 2, 'Fund Investment Data'!$B:$B &gt;= 4)) * Parameters!$B$4,0) + IFERROR(SUM(FILTER('Fund Investment Data'!$V:$V, 'Fund "&amp;"Investment Data'!$C:$C = $C2024, 'Fund Investment Data'!$A:$A = $A2024 - 1, 'Fund Investment Data'!$B:$B &lt;= 3)) * Parameters!$B$4,0))),0)"),0.0)</f>
        <v>0</v>
      </c>
      <c r="AC2024" s="32">
        <f>IFERROR(__xludf.DUMMYFUNCTION("IFERROR(FILTER($AF:$AF,$C:$C = $C2024,$A:$A = $A2024 - 1,$B:$B = 12),0)"),0.0)</f>
        <v>0</v>
      </c>
      <c r="AD2024" s="32">
        <f t="shared" si="23"/>
        <v>0</v>
      </c>
      <c r="AE2024" s="32">
        <f t="shared" si="2"/>
        <v>0</v>
      </c>
      <c r="AF2024" s="32"/>
    </row>
    <row r="2025">
      <c r="A2025" s="86"/>
      <c r="B2025" s="87"/>
      <c r="C2025" s="88"/>
      <c r="D2025" s="104"/>
      <c r="E2025" s="104"/>
      <c r="F2025" s="104"/>
      <c r="G2025" s="104"/>
      <c r="H2025" s="104"/>
      <c r="I2025" s="104"/>
      <c r="J2025" s="104"/>
      <c r="K2025" s="32"/>
      <c r="L2025" s="32"/>
      <c r="M2025" s="32"/>
      <c r="N2025" s="32"/>
      <c r="O2025" s="106"/>
      <c r="P2025" s="91">
        <f>IFERROR(__xludf.DUMMYFUNCTION("IFERROR(sum(FILTER($D:$N,$C:$C = $C2025,$A:$A &lt; $A2025,$B:$B = 12)),0) + sum($D2025:$N2025)"),0.0)</f>
        <v>0</v>
      </c>
      <c r="Q2025" s="92">
        <f t="shared" si="1"/>
        <v>0</v>
      </c>
      <c r="R2025" s="91">
        <f t="array" ref="R2025">IFERROR(INDEX('Fund YTD Target Values'!$1:$1000, MATCH($C2025,'Fund YTD Target Values'!$A:$A,0), MATCH($A2025,'Fund YTD Target Values'!$1:$1,0)),0)</f>
        <v>0</v>
      </c>
      <c r="S2025" s="91">
        <f>IFERROR(__xludf.DUMMYFUNCTION("IFERROR(sum(FILTER('Fund Investment Data'!$V:$V, 'Fund Investment Data'!$C:$C = $C2025, 'Fund Investment Data'!$A:$A &lt; $A2025)),0) + IFERROR(sum(FILTER('Fund Investment Data'!$V:$V, 'Fund Investment Data'!$C:$C = $C2025, 'Fund Investment Data'!$A:$A = $A2"&amp;"025, 'Fund Investment Data'!$B:$B &lt;= $B2025)),0)"),0.0)</f>
        <v>0</v>
      </c>
      <c r="T2025" s="32"/>
      <c r="U2025" s="32"/>
      <c r="V2025" s="32">
        <f>IFERROR(__xludf.DUMMYFUNCTION("$D2025 - IFERROR(FILTER($D:$D,$C:$C = $C2025, $A:$A = $A2025, $B:$B = $B2025 - 1),0)"),0.0)</f>
        <v>0</v>
      </c>
      <c r="W2025" s="93">
        <f>IFERROR(__xludf.DUMMYFUNCTION("$E2025 - IFERROR(FILTER($E:$E,$C:$C = $C2025, $A:$A = $A2025, $B:$B = $B2025 - 1),0)"),0.0)</f>
        <v>0</v>
      </c>
      <c r="X2025" s="91">
        <f>IFERROR(__xludf.DUMMYFUNCTION("iFERROR((FILTER('Fund Investment Data'!$Z:$Z, 'Fund Investment Data'!$C:$C = $C2025, 'Fund Investment Data'!$A:$A = $A2025 - 1, 'Fund Investment Data'!$B:$B = 12) + FILTER('Fund Investment Data'!$AB:$AB, 'Fund Investment Data'!$C:$C = $C2025, 'Fund Invest"&amp;"ment Data'!$A:$A = $A2025 - 1, 'Fund Investment Data'!$B:$B = 12)) * (1 + AVERAGE(FILTER('Inflation Data'!$C:$C,'Inflation Data'!$A:$A = ($A2025 - 2)))) * Parameters!$A$4,0)"),0.0)</f>
        <v>0</v>
      </c>
      <c r="Y2025" s="91">
        <f>IFERROR(__xludf.DUMMYFUNCTION("IFERROR((IFERROR(FILTER('Fund Investment Data'!$P:$P,'Fund Investment Data'!$C:$C = $C2025,'Fund Investment Data'!$A:$A = ($A2025 - 2), 'Fund Investment Data'!$B:$B = 12),0) - SUM(FILTER('Fund Investment Data'!$V:$V, 'Fund Investment Data'!$C:$C = $C2025,"&amp;" 'Fund Investment Data'!$A:$A = ($A2025 - 2), 'Fund Investment Data'!$B:$B &gt; 3)))  * Parameters!$B$4 * (1 - Parameters!$A$4),0)"),0.0)</f>
        <v>0</v>
      </c>
      <c r="Z2025" s="91">
        <f t="shared" si="24"/>
        <v>0</v>
      </c>
      <c r="AA2025" s="91">
        <f>IFERROR(__xludf.DUMMYFUNCTION("((IFERROR((SUM(FILTER('Fund Investment Data'!$V:$V, 'Fund Investment Data'!$C:$C = $C2025, 'Fund Investment Data'!$A:$A = $A2025 - 1, 'Fund Investment Data'!$B:$B &gt;= 4, 'Fund Investment Data'!$B:$B &lt;= ($B2025 + 5))) / 12) * ($B2025 - 3) * Parameters!$B$4,"&amp;" 0) + IF($B2025 &gt;= 9, IFERROR(SUM(FILTER('Fund Investment Data'!$V:$V, 'Fund Investment Data'!$C:$C = $C2025, 'Fund Investment Data'!$A:$A = $A2025, 'Fund Investment Data'!$B:$B &lt;= 3)) * Parameters!$B$4, 0),0)))"),0.0)</f>
        <v>0</v>
      </c>
      <c r="AB2025" s="32">
        <f>IFERROR(__xludf.DUMMYFUNCTION("IFERROR(((IFERROR(SUM(FILTER('Fund Investment Data'!$V:$V, 'Fund Investment Data'!$C:$C = $C2025, 'Fund Investment Data'!$A:$A = $A2025 - 2, 'Fund Investment Data'!$B:$B &gt;= 4)) * Parameters!$B$4,0) + IFERROR(SUM(FILTER('Fund Investment Data'!$V:$V, 'Fund "&amp;"Investment Data'!$C:$C = $C2025, 'Fund Investment Data'!$A:$A = $A2025 - 1, 'Fund Investment Data'!$B:$B &lt;= 3)) * Parameters!$B$4,0))),0)"),0.0)</f>
        <v>0</v>
      </c>
      <c r="AC2025" s="32">
        <f>IFERROR(__xludf.DUMMYFUNCTION("IFERROR(FILTER($AF:$AF,$C:$C = $C2025,$A:$A = $A2025 - 1,$B:$B = 12),0)"),0.0)</f>
        <v>0</v>
      </c>
      <c r="AD2025" s="32">
        <f t="shared" si="23"/>
        <v>0</v>
      </c>
      <c r="AE2025" s="32">
        <f t="shared" si="2"/>
        <v>0</v>
      </c>
      <c r="AF2025" s="32"/>
    </row>
    <row r="2026">
      <c r="A2026" s="86"/>
      <c r="B2026" s="87"/>
      <c r="C2026" s="88"/>
      <c r="D2026" s="104"/>
      <c r="E2026" s="104"/>
      <c r="F2026" s="104"/>
      <c r="G2026" s="104"/>
      <c r="H2026" s="104"/>
      <c r="I2026" s="104"/>
      <c r="J2026" s="104"/>
      <c r="K2026" s="32"/>
      <c r="L2026" s="32"/>
      <c r="M2026" s="32"/>
      <c r="N2026" s="32"/>
      <c r="O2026" s="106"/>
      <c r="P2026" s="91">
        <f>IFERROR(__xludf.DUMMYFUNCTION("IFERROR(sum(FILTER($D:$N,$C:$C = $C2026,$A:$A &lt; $A2026,$B:$B = 12)),0) + sum($D2026:$N2026)"),0.0)</f>
        <v>0</v>
      </c>
      <c r="Q2026" s="92">
        <f t="shared" si="1"/>
        <v>0</v>
      </c>
      <c r="R2026" s="91">
        <f t="array" ref="R2026">IFERROR(INDEX('Fund YTD Target Values'!$1:$1000, MATCH($C2026,'Fund YTD Target Values'!$A:$A,0), MATCH($A2026,'Fund YTD Target Values'!$1:$1,0)),0)</f>
        <v>0</v>
      </c>
      <c r="S2026" s="91">
        <f>IFERROR(__xludf.DUMMYFUNCTION("IFERROR(sum(FILTER('Fund Investment Data'!$V:$V, 'Fund Investment Data'!$C:$C = $C2026, 'Fund Investment Data'!$A:$A &lt; $A2026)),0) + IFERROR(sum(FILTER('Fund Investment Data'!$V:$V, 'Fund Investment Data'!$C:$C = $C2026, 'Fund Investment Data'!$A:$A = $A2"&amp;"026, 'Fund Investment Data'!$B:$B &lt;= $B2026)),0)"),0.0)</f>
        <v>0</v>
      </c>
      <c r="T2026" s="32"/>
      <c r="U2026" s="32"/>
      <c r="V2026" s="32">
        <f>IFERROR(__xludf.DUMMYFUNCTION("$D2026 - IFERROR(FILTER($D:$D,$C:$C = $C2026, $A:$A = $A2026, $B:$B = $B2026 - 1),0)"),0.0)</f>
        <v>0</v>
      </c>
      <c r="W2026" s="93">
        <f>IFERROR(__xludf.DUMMYFUNCTION("$E2026 - IFERROR(FILTER($E:$E,$C:$C = $C2026, $A:$A = $A2026, $B:$B = $B2026 - 1),0)"),0.0)</f>
        <v>0</v>
      </c>
      <c r="X2026" s="91">
        <f>IFERROR(__xludf.DUMMYFUNCTION("iFERROR((FILTER('Fund Investment Data'!$Z:$Z, 'Fund Investment Data'!$C:$C = $C2026, 'Fund Investment Data'!$A:$A = $A2026 - 1, 'Fund Investment Data'!$B:$B = 12) + FILTER('Fund Investment Data'!$AB:$AB, 'Fund Investment Data'!$C:$C = $C2026, 'Fund Invest"&amp;"ment Data'!$A:$A = $A2026 - 1, 'Fund Investment Data'!$B:$B = 12)) * (1 + AVERAGE(FILTER('Inflation Data'!$C:$C,'Inflation Data'!$A:$A = ($A2026 - 2)))) * Parameters!$A$4,0)"),0.0)</f>
        <v>0</v>
      </c>
      <c r="Y2026" s="91">
        <f>IFERROR(__xludf.DUMMYFUNCTION("IFERROR((IFERROR(FILTER('Fund Investment Data'!$P:$P,'Fund Investment Data'!$C:$C = $C2026,'Fund Investment Data'!$A:$A = ($A2026 - 2), 'Fund Investment Data'!$B:$B = 12),0) - SUM(FILTER('Fund Investment Data'!$V:$V, 'Fund Investment Data'!$C:$C = $C2026,"&amp;" 'Fund Investment Data'!$A:$A = ($A2026 - 2), 'Fund Investment Data'!$B:$B &gt; 3)))  * Parameters!$B$4 * (1 - Parameters!$A$4),0)"),0.0)</f>
        <v>0</v>
      </c>
      <c r="Z2026" s="91">
        <f t="shared" si="24"/>
        <v>0</v>
      </c>
      <c r="AA2026" s="91">
        <f>IFERROR(__xludf.DUMMYFUNCTION("((IFERROR((SUM(FILTER('Fund Investment Data'!$V:$V, 'Fund Investment Data'!$C:$C = $C2026, 'Fund Investment Data'!$A:$A = $A2026 - 1, 'Fund Investment Data'!$B:$B &gt;= 4, 'Fund Investment Data'!$B:$B &lt;= ($B2026 + 5))) / 12) * ($B2026 - 3) * Parameters!$B$4,"&amp;" 0) + IF($B2026 &gt;= 9, IFERROR(SUM(FILTER('Fund Investment Data'!$V:$V, 'Fund Investment Data'!$C:$C = $C2026, 'Fund Investment Data'!$A:$A = $A2026, 'Fund Investment Data'!$B:$B &lt;= 3)) * Parameters!$B$4, 0),0)))"),0.0)</f>
        <v>0</v>
      </c>
      <c r="AB2026" s="32">
        <f>IFERROR(__xludf.DUMMYFUNCTION("IFERROR(((IFERROR(SUM(FILTER('Fund Investment Data'!$V:$V, 'Fund Investment Data'!$C:$C = $C2026, 'Fund Investment Data'!$A:$A = $A2026 - 2, 'Fund Investment Data'!$B:$B &gt;= 4)) * Parameters!$B$4,0) + IFERROR(SUM(FILTER('Fund Investment Data'!$V:$V, 'Fund "&amp;"Investment Data'!$C:$C = $C2026, 'Fund Investment Data'!$A:$A = $A2026 - 1, 'Fund Investment Data'!$B:$B &lt;= 3)) * Parameters!$B$4,0))),0)"),0.0)</f>
        <v>0</v>
      </c>
      <c r="AC2026" s="32">
        <f>IFERROR(__xludf.DUMMYFUNCTION("IFERROR(FILTER($AF:$AF,$C:$C = $C2026,$A:$A = $A2026 - 1,$B:$B = 12),0)"),0.0)</f>
        <v>0</v>
      </c>
      <c r="AD2026" s="32">
        <f t="shared" si="23"/>
        <v>0</v>
      </c>
      <c r="AE2026" s="32">
        <f t="shared" si="2"/>
        <v>0</v>
      </c>
      <c r="AF2026" s="32"/>
    </row>
    <row r="2027">
      <c r="A2027" s="86"/>
      <c r="B2027" s="87"/>
      <c r="C2027" s="88"/>
      <c r="D2027" s="104"/>
      <c r="E2027" s="104"/>
      <c r="F2027" s="104"/>
      <c r="G2027" s="104"/>
      <c r="H2027" s="104"/>
      <c r="I2027" s="104"/>
      <c r="J2027" s="104"/>
      <c r="K2027" s="32"/>
      <c r="L2027" s="32"/>
      <c r="M2027" s="32"/>
      <c r="N2027" s="32"/>
      <c r="O2027" s="106"/>
      <c r="P2027" s="91">
        <f>IFERROR(__xludf.DUMMYFUNCTION("IFERROR(sum(FILTER($D:$N,$C:$C = $C2027,$A:$A &lt; $A2027,$B:$B = 12)),0) + sum($D2027:$N2027)"),0.0)</f>
        <v>0</v>
      </c>
      <c r="Q2027" s="92">
        <f t="shared" si="1"/>
        <v>0</v>
      </c>
      <c r="R2027" s="91">
        <f t="array" ref="R2027">IFERROR(INDEX('Fund YTD Target Values'!$1:$1000, MATCH($C2027,'Fund YTD Target Values'!$A:$A,0), MATCH($A2027,'Fund YTD Target Values'!$1:$1,0)),0)</f>
        <v>0</v>
      </c>
      <c r="S2027" s="91">
        <f>IFERROR(__xludf.DUMMYFUNCTION("IFERROR(sum(FILTER('Fund Investment Data'!$V:$V, 'Fund Investment Data'!$C:$C = $C2027, 'Fund Investment Data'!$A:$A &lt; $A2027)),0) + IFERROR(sum(FILTER('Fund Investment Data'!$V:$V, 'Fund Investment Data'!$C:$C = $C2027, 'Fund Investment Data'!$A:$A = $A2"&amp;"027, 'Fund Investment Data'!$B:$B &lt;= $B2027)),0)"),0.0)</f>
        <v>0</v>
      </c>
      <c r="T2027" s="32"/>
      <c r="U2027" s="32"/>
      <c r="V2027" s="32">
        <f>IFERROR(__xludf.DUMMYFUNCTION("$D2027 - IFERROR(FILTER($D:$D,$C:$C = $C2027, $A:$A = $A2027, $B:$B = $B2027 - 1),0)"),0.0)</f>
        <v>0</v>
      </c>
      <c r="W2027" s="93">
        <f>IFERROR(__xludf.DUMMYFUNCTION("$E2027 - IFERROR(FILTER($E:$E,$C:$C = $C2027, $A:$A = $A2027, $B:$B = $B2027 - 1),0)"),0.0)</f>
        <v>0</v>
      </c>
      <c r="X2027" s="91">
        <f>IFERROR(__xludf.DUMMYFUNCTION("iFERROR((FILTER('Fund Investment Data'!$Z:$Z, 'Fund Investment Data'!$C:$C = $C2027, 'Fund Investment Data'!$A:$A = $A2027 - 1, 'Fund Investment Data'!$B:$B = 12) + FILTER('Fund Investment Data'!$AB:$AB, 'Fund Investment Data'!$C:$C = $C2027, 'Fund Invest"&amp;"ment Data'!$A:$A = $A2027 - 1, 'Fund Investment Data'!$B:$B = 12)) * (1 + AVERAGE(FILTER('Inflation Data'!$C:$C,'Inflation Data'!$A:$A = ($A2027 - 2)))) * Parameters!$A$4,0)"),0.0)</f>
        <v>0</v>
      </c>
      <c r="Y2027" s="91">
        <f>IFERROR(__xludf.DUMMYFUNCTION("IFERROR((IFERROR(FILTER('Fund Investment Data'!$P:$P,'Fund Investment Data'!$C:$C = $C2027,'Fund Investment Data'!$A:$A = ($A2027 - 2), 'Fund Investment Data'!$B:$B = 12),0) - SUM(FILTER('Fund Investment Data'!$V:$V, 'Fund Investment Data'!$C:$C = $C2027,"&amp;" 'Fund Investment Data'!$A:$A = ($A2027 - 2), 'Fund Investment Data'!$B:$B &gt; 3)))  * Parameters!$B$4 * (1 - Parameters!$A$4),0)"),0.0)</f>
        <v>0</v>
      </c>
      <c r="Z2027" s="91">
        <f t="shared" si="24"/>
        <v>0</v>
      </c>
      <c r="AA2027" s="91">
        <f>IFERROR(__xludf.DUMMYFUNCTION("((IFERROR((SUM(FILTER('Fund Investment Data'!$V:$V, 'Fund Investment Data'!$C:$C = $C2027, 'Fund Investment Data'!$A:$A = $A2027 - 1, 'Fund Investment Data'!$B:$B &gt;= 4, 'Fund Investment Data'!$B:$B &lt;= ($B2027 + 5))) / 12) * ($B2027 - 3) * Parameters!$B$4,"&amp;" 0) + IF($B2027 &gt;= 9, IFERROR(SUM(FILTER('Fund Investment Data'!$V:$V, 'Fund Investment Data'!$C:$C = $C2027, 'Fund Investment Data'!$A:$A = $A2027, 'Fund Investment Data'!$B:$B &lt;= 3)) * Parameters!$B$4, 0),0)))"),0.0)</f>
        <v>0</v>
      </c>
      <c r="AB2027" s="32">
        <f>IFERROR(__xludf.DUMMYFUNCTION("IFERROR(((IFERROR(SUM(FILTER('Fund Investment Data'!$V:$V, 'Fund Investment Data'!$C:$C = $C2027, 'Fund Investment Data'!$A:$A = $A2027 - 2, 'Fund Investment Data'!$B:$B &gt;= 4)) * Parameters!$B$4,0) + IFERROR(SUM(FILTER('Fund Investment Data'!$V:$V, 'Fund "&amp;"Investment Data'!$C:$C = $C2027, 'Fund Investment Data'!$A:$A = $A2027 - 1, 'Fund Investment Data'!$B:$B &lt;= 3)) * Parameters!$B$4,0))),0)"),0.0)</f>
        <v>0</v>
      </c>
      <c r="AC2027" s="32">
        <f>IFERROR(__xludf.DUMMYFUNCTION("IFERROR(FILTER($AF:$AF,$C:$C = $C2027,$A:$A = $A2027 - 1,$B:$B = 12),0)"),0.0)</f>
        <v>0</v>
      </c>
      <c r="AD2027" s="32">
        <f t="shared" si="23"/>
        <v>0</v>
      </c>
      <c r="AE2027" s="32">
        <f t="shared" si="2"/>
        <v>0</v>
      </c>
      <c r="AF2027" s="32"/>
    </row>
    <row r="2028">
      <c r="A2028" s="86"/>
      <c r="B2028" s="87"/>
      <c r="C2028" s="88"/>
      <c r="D2028" s="104"/>
      <c r="E2028" s="104"/>
      <c r="F2028" s="104"/>
      <c r="G2028" s="104"/>
      <c r="H2028" s="104"/>
      <c r="I2028" s="104"/>
      <c r="J2028" s="104"/>
      <c r="K2028" s="32"/>
      <c r="L2028" s="32"/>
      <c r="M2028" s="32"/>
      <c r="N2028" s="32"/>
      <c r="O2028" s="106"/>
      <c r="P2028" s="91">
        <f>IFERROR(__xludf.DUMMYFUNCTION("IFERROR(sum(FILTER($D:$N,$C:$C = $C2028,$A:$A &lt; $A2028,$B:$B = 12)),0) + sum($D2028:$N2028)"),0.0)</f>
        <v>0</v>
      </c>
      <c r="Q2028" s="92">
        <f t="shared" si="1"/>
        <v>0</v>
      </c>
      <c r="R2028" s="91">
        <f t="array" ref="R2028">IFERROR(INDEX('Fund YTD Target Values'!$1:$1000, MATCH($C2028,'Fund YTD Target Values'!$A:$A,0), MATCH($A2028,'Fund YTD Target Values'!$1:$1,0)),0)</f>
        <v>0</v>
      </c>
      <c r="S2028" s="91">
        <f>IFERROR(__xludf.DUMMYFUNCTION("IFERROR(sum(FILTER('Fund Investment Data'!$V:$V, 'Fund Investment Data'!$C:$C = $C2028, 'Fund Investment Data'!$A:$A &lt; $A2028)),0) + IFERROR(sum(FILTER('Fund Investment Data'!$V:$V, 'Fund Investment Data'!$C:$C = $C2028, 'Fund Investment Data'!$A:$A = $A2"&amp;"028, 'Fund Investment Data'!$B:$B &lt;= $B2028)),0)"),0.0)</f>
        <v>0</v>
      </c>
      <c r="T2028" s="32"/>
      <c r="U2028" s="32"/>
      <c r="V2028" s="32">
        <f>IFERROR(__xludf.DUMMYFUNCTION("$D2028 - IFERROR(FILTER($D:$D,$C:$C = $C2028, $A:$A = $A2028, $B:$B = $B2028 - 1),0)"),0.0)</f>
        <v>0</v>
      </c>
      <c r="W2028" s="93">
        <f>IFERROR(__xludf.DUMMYFUNCTION("$E2028 - IFERROR(FILTER($E:$E,$C:$C = $C2028, $A:$A = $A2028, $B:$B = $B2028 - 1),0)"),0.0)</f>
        <v>0</v>
      </c>
      <c r="X2028" s="91">
        <f>IFERROR(__xludf.DUMMYFUNCTION("iFERROR((FILTER('Fund Investment Data'!$Z:$Z, 'Fund Investment Data'!$C:$C = $C2028, 'Fund Investment Data'!$A:$A = $A2028 - 1, 'Fund Investment Data'!$B:$B = 12) + FILTER('Fund Investment Data'!$AB:$AB, 'Fund Investment Data'!$C:$C = $C2028, 'Fund Invest"&amp;"ment Data'!$A:$A = $A2028 - 1, 'Fund Investment Data'!$B:$B = 12)) * (1 + AVERAGE(FILTER('Inflation Data'!$C:$C,'Inflation Data'!$A:$A = ($A2028 - 2)))) * Parameters!$A$4,0)"),0.0)</f>
        <v>0</v>
      </c>
      <c r="Y2028" s="91">
        <f>IFERROR(__xludf.DUMMYFUNCTION("IFERROR((IFERROR(FILTER('Fund Investment Data'!$P:$P,'Fund Investment Data'!$C:$C = $C2028,'Fund Investment Data'!$A:$A = ($A2028 - 2), 'Fund Investment Data'!$B:$B = 12),0) - SUM(FILTER('Fund Investment Data'!$V:$V, 'Fund Investment Data'!$C:$C = $C2028,"&amp;" 'Fund Investment Data'!$A:$A = ($A2028 - 2), 'Fund Investment Data'!$B:$B &gt; 3)))  * Parameters!$B$4 * (1 - Parameters!$A$4),0)"),0.0)</f>
        <v>0</v>
      </c>
      <c r="Z2028" s="91">
        <f t="shared" si="24"/>
        <v>0</v>
      </c>
      <c r="AA2028" s="91">
        <f>IFERROR(__xludf.DUMMYFUNCTION("((IFERROR((SUM(FILTER('Fund Investment Data'!$V:$V, 'Fund Investment Data'!$C:$C = $C2028, 'Fund Investment Data'!$A:$A = $A2028 - 1, 'Fund Investment Data'!$B:$B &gt;= 4, 'Fund Investment Data'!$B:$B &lt;= ($B2028 + 5))) / 12) * ($B2028 - 3) * Parameters!$B$4,"&amp;" 0) + IF($B2028 &gt;= 9, IFERROR(SUM(FILTER('Fund Investment Data'!$V:$V, 'Fund Investment Data'!$C:$C = $C2028, 'Fund Investment Data'!$A:$A = $A2028, 'Fund Investment Data'!$B:$B &lt;= 3)) * Parameters!$B$4, 0),0)))"),0.0)</f>
        <v>0</v>
      </c>
      <c r="AB2028" s="32">
        <f>IFERROR(__xludf.DUMMYFUNCTION("IFERROR(((IFERROR(SUM(FILTER('Fund Investment Data'!$V:$V, 'Fund Investment Data'!$C:$C = $C2028, 'Fund Investment Data'!$A:$A = $A2028 - 2, 'Fund Investment Data'!$B:$B &gt;= 4)) * Parameters!$B$4,0) + IFERROR(SUM(FILTER('Fund Investment Data'!$V:$V, 'Fund "&amp;"Investment Data'!$C:$C = $C2028, 'Fund Investment Data'!$A:$A = $A2028 - 1, 'Fund Investment Data'!$B:$B &lt;= 3)) * Parameters!$B$4,0))),0)"),0.0)</f>
        <v>0</v>
      </c>
      <c r="AC2028" s="32">
        <f>IFERROR(__xludf.DUMMYFUNCTION("IFERROR(FILTER($AF:$AF,$C:$C = $C2028,$A:$A = $A2028 - 1,$B:$B = 12),0)"),0.0)</f>
        <v>0</v>
      </c>
      <c r="AD2028" s="32">
        <f t="shared" si="23"/>
        <v>0</v>
      </c>
      <c r="AE2028" s="32">
        <f t="shared" si="2"/>
        <v>0</v>
      </c>
      <c r="AF2028" s="32"/>
    </row>
    <row r="2029">
      <c r="A2029" s="86"/>
      <c r="B2029" s="87"/>
      <c r="C2029" s="88"/>
      <c r="D2029" s="104"/>
      <c r="E2029" s="104"/>
      <c r="F2029" s="104"/>
      <c r="G2029" s="104"/>
      <c r="H2029" s="104"/>
      <c r="I2029" s="104"/>
      <c r="J2029" s="104"/>
      <c r="K2029" s="32"/>
      <c r="L2029" s="32"/>
      <c r="M2029" s="32"/>
      <c r="N2029" s="32"/>
      <c r="O2029" s="106"/>
      <c r="P2029" s="91">
        <f>IFERROR(__xludf.DUMMYFUNCTION("IFERROR(sum(FILTER($D:$N,$C:$C = $C2029,$A:$A &lt; $A2029,$B:$B = 12)),0) + sum($D2029:$N2029)"),0.0)</f>
        <v>0</v>
      </c>
      <c r="Q2029" s="92">
        <f t="shared" si="1"/>
        <v>0</v>
      </c>
      <c r="R2029" s="91">
        <f t="array" ref="R2029">IFERROR(INDEX('Fund YTD Target Values'!$1:$1000, MATCH($C2029,'Fund YTD Target Values'!$A:$A,0), MATCH($A2029,'Fund YTD Target Values'!$1:$1,0)),0)</f>
        <v>0</v>
      </c>
      <c r="S2029" s="91">
        <f>IFERROR(__xludf.DUMMYFUNCTION("IFERROR(sum(FILTER('Fund Investment Data'!$V:$V, 'Fund Investment Data'!$C:$C = $C2029, 'Fund Investment Data'!$A:$A &lt; $A2029)),0) + IFERROR(sum(FILTER('Fund Investment Data'!$V:$V, 'Fund Investment Data'!$C:$C = $C2029, 'Fund Investment Data'!$A:$A = $A2"&amp;"029, 'Fund Investment Data'!$B:$B &lt;= $B2029)),0)"),0.0)</f>
        <v>0</v>
      </c>
      <c r="T2029" s="32"/>
      <c r="U2029" s="32"/>
      <c r="V2029" s="32">
        <f>IFERROR(__xludf.DUMMYFUNCTION("$D2029 - IFERROR(FILTER($D:$D,$C:$C = $C2029, $A:$A = $A2029, $B:$B = $B2029 - 1),0)"),0.0)</f>
        <v>0</v>
      </c>
      <c r="W2029" s="93">
        <f>IFERROR(__xludf.DUMMYFUNCTION("$E2029 - IFERROR(FILTER($E:$E,$C:$C = $C2029, $A:$A = $A2029, $B:$B = $B2029 - 1),0)"),0.0)</f>
        <v>0</v>
      </c>
      <c r="X2029" s="91">
        <f>IFERROR(__xludf.DUMMYFUNCTION("iFERROR((FILTER('Fund Investment Data'!$Z:$Z, 'Fund Investment Data'!$C:$C = $C2029, 'Fund Investment Data'!$A:$A = $A2029 - 1, 'Fund Investment Data'!$B:$B = 12) + FILTER('Fund Investment Data'!$AB:$AB, 'Fund Investment Data'!$C:$C = $C2029, 'Fund Invest"&amp;"ment Data'!$A:$A = $A2029 - 1, 'Fund Investment Data'!$B:$B = 12)) * (1 + AVERAGE(FILTER('Inflation Data'!$C:$C,'Inflation Data'!$A:$A = ($A2029 - 2)))) * Parameters!$A$4,0)"),0.0)</f>
        <v>0</v>
      </c>
      <c r="Y2029" s="91">
        <f>IFERROR(__xludf.DUMMYFUNCTION("IFERROR((IFERROR(FILTER('Fund Investment Data'!$P:$P,'Fund Investment Data'!$C:$C = $C2029,'Fund Investment Data'!$A:$A = ($A2029 - 2), 'Fund Investment Data'!$B:$B = 12),0) - SUM(FILTER('Fund Investment Data'!$V:$V, 'Fund Investment Data'!$C:$C = $C2029,"&amp;" 'Fund Investment Data'!$A:$A = ($A2029 - 2), 'Fund Investment Data'!$B:$B &gt; 3)))  * Parameters!$B$4 * (1 - Parameters!$A$4),0)"),0.0)</f>
        <v>0</v>
      </c>
      <c r="Z2029" s="91">
        <f t="shared" si="24"/>
        <v>0</v>
      </c>
      <c r="AA2029" s="91">
        <f>IFERROR(__xludf.DUMMYFUNCTION("((IFERROR((SUM(FILTER('Fund Investment Data'!$V:$V, 'Fund Investment Data'!$C:$C = $C2029, 'Fund Investment Data'!$A:$A = $A2029 - 1, 'Fund Investment Data'!$B:$B &gt;= 4, 'Fund Investment Data'!$B:$B &lt;= ($B2029 + 5))) / 12) * ($B2029 - 3) * Parameters!$B$4,"&amp;" 0) + IF($B2029 &gt;= 9, IFERROR(SUM(FILTER('Fund Investment Data'!$V:$V, 'Fund Investment Data'!$C:$C = $C2029, 'Fund Investment Data'!$A:$A = $A2029, 'Fund Investment Data'!$B:$B &lt;= 3)) * Parameters!$B$4, 0),0)))"),0.0)</f>
        <v>0</v>
      </c>
      <c r="AB2029" s="32">
        <f>IFERROR(__xludf.DUMMYFUNCTION("IFERROR(((IFERROR(SUM(FILTER('Fund Investment Data'!$V:$V, 'Fund Investment Data'!$C:$C = $C2029, 'Fund Investment Data'!$A:$A = $A2029 - 2, 'Fund Investment Data'!$B:$B &gt;= 4)) * Parameters!$B$4,0) + IFERROR(SUM(FILTER('Fund Investment Data'!$V:$V, 'Fund "&amp;"Investment Data'!$C:$C = $C2029, 'Fund Investment Data'!$A:$A = $A2029 - 1, 'Fund Investment Data'!$B:$B &lt;= 3)) * Parameters!$B$4,0))),0)"),0.0)</f>
        <v>0</v>
      </c>
      <c r="AC2029" s="32">
        <f>IFERROR(__xludf.DUMMYFUNCTION("IFERROR(FILTER($AF:$AF,$C:$C = $C2029,$A:$A = $A2029 - 1,$B:$B = 12),0)"),0.0)</f>
        <v>0</v>
      </c>
      <c r="AD2029" s="32">
        <f t="shared" si="23"/>
        <v>0</v>
      </c>
      <c r="AE2029" s="32">
        <f t="shared" si="2"/>
        <v>0</v>
      </c>
      <c r="AF2029" s="32"/>
    </row>
    <row r="2030">
      <c r="A2030" s="86"/>
      <c r="B2030" s="87"/>
      <c r="C2030" s="88"/>
      <c r="D2030" s="104"/>
      <c r="E2030" s="104"/>
      <c r="F2030" s="104"/>
      <c r="G2030" s="104"/>
      <c r="H2030" s="104"/>
      <c r="I2030" s="104"/>
      <c r="J2030" s="104"/>
      <c r="K2030" s="32"/>
      <c r="L2030" s="32"/>
      <c r="M2030" s="32"/>
      <c r="N2030" s="32"/>
      <c r="O2030" s="106"/>
      <c r="P2030" s="91">
        <f>IFERROR(__xludf.DUMMYFUNCTION("IFERROR(sum(FILTER($D:$N,$C:$C = $C2030,$A:$A &lt; $A2030,$B:$B = 12)),0) + sum($D2030:$N2030)"),0.0)</f>
        <v>0</v>
      </c>
      <c r="Q2030" s="92">
        <f t="shared" si="1"/>
        <v>0</v>
      </c>
      <c r="R2030" s="91">
        <f t="array" ref="R2030">IFERROR(INDEX('Fund YTD Target Values'!$1:$1000, MATCH($C2030,'Fund YTD Target Values'!$A:$A,0), MATCH($A2030,'Fund YTD Target Values'!$1:$1,0)),0)</f>
        <v>0</v>
      </c>
      <c r="S2030" s="91">
        <f>IFERROR(__xludf.DUMMYFUNCTION("IFERROR(sum(FILTER('Fund Investment Data'!$V:$V, 'Fund Investment Data'!$C:$C = $C2030, 'Fund Investment Data'!$A:$A &lt; $A2030)),0) + IFERROR(sum(FILTER('Fund Investment Data'!$V:$V, 'Fund Investment Data'!$C:$C = $C2030, 'Fund Investment Data'!$A:$A = $A2"&amp;"030, 'Fund Investment Data'!$B:$B &lt;= $B2030)),0)"),0.0)</f>
        <v>0</v>
      </c>
      <c r="T2030" s="32"/>
      <c r="U2030" s="32"/>
      <c r="V2030" s="32">
        <f>IFERROR(__xludf.DUMMYFUNCTION("$D2030 - IFERROR(FILTER($D:$D,$C:$C = $C2030, $A:$A = $A2030, $B:$B = $B2030 - 1),0)"),0.0)</f>
        <v>0</v>
      </c>
      <c r="W2030" s="93">
        <f>IFERROR(__xludf.DUMMYFUNCTION("$E2030 - IFERROR(FILTER($E:$E,$C:$C = $C2030, $A:$A = $A2030, $B:$B = $B2030 - 1),0)"),0.0)</f>
        <v>0</v>
      </c>
      <c r="X2030" s="91">
        <f>IFERROR(__xludf.DUMMYFUNCTION("iFERROR((FILTER('Fund Investment Data'!$Z:$Z, 'Fund Investment Data'!$C:$C = $C2030, 'Fund Investment Data'!$A:$A = $A2030 - 1, 'Fund Investment Data'!$B:$B = 12) + FILTER('Fund Investment Data'!$AB:$AB, 'Fund Investment Data'!$C:$C = $C2030, 'Fund Invest"&amp;"ment Data'!$A:$A = $A2030 - 1, 'Fund Investment Data'!$B:$B = 12)) * (1 + AVERAGE(FILTER('Inflation Data'!$C:$C,'Inflation Data'!$A:$A = ($A2030 - 2)))) * Parameters!$A$4,0)"),0.0)</f>
        <v>0</v>
      </c>
      <c r="Y2030" s="91">
        <f>IFERROR(__xludf.DUMMYFUNCTION("IFERROR((IFERROR(FILTER('Fund Investment Data'!$P:$P,'Fund Investment Data'!$C:$C = $C2030,'Fund Investment Data'!$A:$A = ($A2030 - 2), 'Fund Investment Data'!$B:$B = 12),0) - SUM(FILTER('Fund Investment Data'!$V:$V, 'Fund Investment Data'!$C:$C = $C2030,"&amp;" 'Fund Investment Data'!$A:$A = ($A2030 - 2), 'Fund Investment Data'!$B:$B &gt; 3)))  * Parameters!$B$4 * (1 - Parameters!$A$4),0)"),0.0)</f>
        <v>0</v>
      </c>
      <c r="Z2030" s="91">
        <f t="shared" si="24"/>
        <v>0</v>
      </c>
      <c r="AA2030" s="91">
        <f>IFERROR(__xludf.DUMMYFUNCTION("((IFERROR((SUM(FILTER('Fund Investment Data'!$V:$V, 'Fund Investment Data'!$C:$C = $C2030, 'Fund Investment Data'!$A:$A = $A2030 - 1, 'Fund Investment Data'!$B:$B &gt;= 4, 'Fund Investment Data'!$B:$B &lt;= ($B2030 + 5))) / 12) * ($B2030 - 3) * Parameters!$B$4,"&amp;" 0) + IF($B2030 &gt;= 9, IFERROR(SUM(FILTER('Fund Investment Data'!$V:$V, 'Fund Investment Data'!$C:$C = $C2030, 'Fund Investment Data'!$A:$A = $A2030, 'Fund Investment Data'!$B:$B &lt;= 3)) * Parameters!$B$4, 0),0)))"),0.0)</f>
        <v>0</v>
      </c>
      <c r="AB2030" s="32">
        <f>IFERROR(__xludf.DUMMYFUNCTION("IFERROR(((IFERROR(SUM(FILTER('Fund Investment Data'!$V:$V, 'Fund Investment Data'!$C:$C = $C2030, 'Fund Investment Data'!$A:$A = $A2030 - 2, 'Fund Investment Data'!$B:$B &gt;= 4)) * Parameters!$B$4,0) + IFERROR(SUM(FILTER('Fund Investment Data'!$V:$V, 'Fund "&amp;"Investment Data'!$C:$C = $C2030, 'Fund Investment Data'!$A:$A = $A2030 - 1, 'Fund Investment Data'!$B:$B &lt;= 3)) * Parameters!$B$4,0))),0)"),0.0)</f>
        <v>0</v>
      </c>
      <c r="AC2030" s="32">
        <f>IFERROR(__xludf.DUMMYFUNCTION("IFERROR(FILTER($AF:$AF,$C:$C = $C2030,$A:$A = $A2030 - 1,$B:$B = 12),0)"),0.0)</f>
        <v>0</v>
      </c>
      <c r="AD2030" s="32">
        <f t="shared" si="23"/>
        <v>0</v>
      </c>
      <c r="AE2030" s="32">
        <f t="shared" si="2"/>
        <v>0</v>
      </c>
      <c r="AF2030" s="32"/>
    </row>
    <row r="2031">
      <c r="A2031" s="86"/>
      <c r="B2031" s="87"/>
      <c r="C2031" s="88"/>
      <c r="D2031" s="104"/>
      <c r="E2031" s="104"/>
      <c r="F2031" s="104"/>
      <c r="G2031" s="104"/>
      <c r="H2031" s="104"/>
      <c r="I2031" s="104"/>
      <c r="J2031" s="104"/>
      <c r="K2031" s="32"/>
      <c r="L2031" s="32"/>
      <c r="M2031" s="32"/>
      <c r="N2031" s="32"/>
      <c r="O2031" s="106"/>
      <c r="P2031" s="91">
        <f>IFERROR(__xludf.DUMMYFUNCTION("IFERROR(sum(FILTER($D:$N,$C:$C = $C2031,$A:$A &lt; $A2031,$B:$B = 12)),0) + sum($D2031:$N2031)"),0.0)</f>
        <v>0</v>
      </c>
      <c r="Q2031" s="92">
        <f t="shared" si="1"/>
        <v>0</v>
      </c>
      <c r="R2031" s="91">
        <f t="array" ref="R2031">IFERROR(INDEX('Fund YTD Target Values'!$1:$1000, MATCH($C2031,'Fund YTD Target Values'!$A:$A,0), MATCH($A2031,'Fund YTD Target Values'!$1:$1,0)),0)</f>
        <v>0</v>
      </c>
      <c r="S2031" s="91">
        <f>IFERROR(__xludf.DUMMYFUNCTION("IFERROR(sum(FILTER('Fund Investment Data'!$V:$V, 'Fund Investment Data'!$C:$C = $C2031, 'Fund Investment Data'!$A:$A &lt; $A2031)),0) + IFERROR(sum(FILTER('Fund Investment Data'!$V:$V, 'Fund Investment Data'!$C:$C = $C2031, 'Fund Investment Data'!$A:$A = $A2"&amp;"031, 'Fund Investment Data'!$B:$B &lt;= $B2031)),0)"),0.0)</f>
        <v>0</v>
      </c>
      <c r="T2031" s="32"/>
      <c r="U2031" s="32"/>
      <c r="V2031" s="32">
        <f>IFERROR(__xludf.DUMMYFUNCTION("$D2031 - IFERROR(FILTER($D:$D,$C:$C = $C2031, $A:$A = $A2031, $B:$B = $B2031 - 1),0)"),0.0)</f>
        <v>0</v>
      </c>
      <c r="W2031" s="93">
        <f>IFERROR(__xludf.DUMMYFUNCTION("$E2031 - IFERROR(FILTER($E:$E,$C:$C = $C2031, $A:$A = $A2031, $B:$B = $B2031 - 1),0)"),0.0)</f>
        <v>0</v>
      </c>
      <c r="X2031" s="91">
        <f>IFERROR(__xludf.DUMMYFUNCTION("iFERROR((FILTER('Fund Investment Data'!$Z:$Z, 'Fund Investment Data'!$C:$C = $C2031, 'Fund Investment Data'!$A:$A = $A2031 - 1, 'Fund Investment Data'!$B:$B = 12) + FILTER('Fund Investment Data'!$AB:$AB, 'Fund Investment Data'!$C:$C = $C2031, 'Fund Invest"&amp;"ment Data'!$A:$A = $A2031 - 1, 'Fund Investment Data'!$B:$B = 12)) * (1 + AVERAGE(FILTER('Inflation Data'!$C:$C,'Inflation Data'!$A:$A = ($A2031 - 2)))) * Parameters!$A$4,0)"),0.0)</f>
        <v>0</v>
      </c>
      <c r="Y2031" s="91">
        <f>IFERROR(__xludf.DUMMYFUNCTION("IFERROR((IFERROR(FILTER('Fund Investment Data'!$P:$P,'Fund Investment Data'!$C:$C = $C2031,'Fund Investment Data'!$A:$A = ($A2031 - 2), 'Fund Investment Data'!$B:$B = 12),0) - SUM(FILTER('Fund Investment Data'!$V:$V, 'Fund Investment Data'!$C:$C = $C2031,"&amp;" 'Fund Investment Data'!$A:$A = ($A2031 - 2), 'Fund Investment Data'!$B:$B &gt; 3)))  * Parameters!$B$4 * (1 - Parameters!$A$4),0)"),0.0)</f>
        <v>0</v>
      </c>
      <c r="Z2031" s="91">
        <f t="shared" si="24"/>
        <v>0</v>
      </c>
      <c r="AA2031" s="91">
        <f>IFERROR(__xludf.DUMMYFUNCTION("((IFERROR((SUM(FILTER('Fund Investment Data'!$V:$V, 'Fund Investment Data'!$C:$C = $C2031, 'Fund Investment Data'!$A:$A = $A2031 - 1, 'Fund Investment Data'!$B:$B &gt;= 4, 'Fund Investment Data'!$B:$B &lt;= ($B2031 + 5))) / 12) * ($B2031 - 3) * Parameters!$B$4,"&amp;" 0) + IF($B2031 &gt;= 9, IFERROR(SUM(FILTER('Fund Investment Data'!$V:$V, 'Fund Investment Data'!$C:$C = $C2031, 'Fund Investment Data'!$A:$A = $A2031, 'Fund Investment Data'!$B:$B &lt;= 3)) * Parameters!$B$4, 0),0)))"),0.0)</f>
        <v>0</v>
      </c>
      <c r="AB2031" s="32">
        <f>IFERROR(__xludf.DUMMYFUNCTION("IFERROR(((IFERROR(SUM(FILTER('Fund Investment Data'!$V:$V, 'Fund Investment Data'!$C:$C = $C2031, 'Fund Investment Data'!$A:$A = $A2031 - 2, 'Fund Investment Data'!$B:$B &gt;= 4)) * Parameters!$B$4,0) + IFERROR(SUM(FILTER('Fund Investment Data'!$V:$V, 'Fund "&amp;"Investment Data'!$C:$C = $C2031, 'Fund Investment Data'!$A:$A = $A2031 - 1, 'Fund Investment Data'!$B:$B &lt;= 3)) * Parameters!$B$4,0))),0)"),0.0)</f>
        <v>0</v>
      </c>
      <c r="AC2031" s="32">
        <f>IFERROR(__xludf.DUMMYFUNCTION("IFERROR(FILTER($AF:$AF,$C:$C = $C2031,$A:$A = $A2031 - 1,$B:$B = 12),0)"),0.0)</f>
        <v>0</v>
      </c>
      <c r="AD2031" s="32">
        <f t="shared" si="23"/>
        <v>0</v>
      </c>
      <c r="AE2031" s="32">
        <f t="shared" si="2"/>
        <v>0</v>
      </c>
      <c r="AF2031" s="32"/>
    </row>
    <row r="2032">
      <c r="A2032" s="86"/>
      <c r="B2032" s="87"/>
      <c r="C2032" s="88"/>
      <c r="D2032" s="104"/>
      <c r="E2032" s="104"/>
      <c r="F2032" s="104"/>
      <c r="G2032" s="104"/>
      <c r="H2032" s="104"/>
      <c r="I2032" s="104"/>
      <c r="J2032" s="104"/>
      <c r="K2032" s="32"/>
      <c r="L2032" s="32"/>
      <c r="M2032" s="32"/>
      <c r="N2032" s="32"/>
      <c r="O2032" s="106"/>
      <c r="P2032" s="91">
        <f>IFERROR(__xludf.DUMMYFUNCTION("IFERROR(sum(FILTER($D:$N,$C:$C = $C2032,$A:$A &lt; $A2032,$B:$B = 12)),0) + sum($D2032:$N2032)"),0.0)</f>
        <v>0</v>
      </c>
      <c r="Q2032" s="92">
        <f t="shared" si="1"/>
        <v>0</v>
      </c>
      <c r="R2032" s="91">
        <f t="array" ref="R2032">IFERROR(INDEX('Fund YTD Target Values'!$1:$1000, MATCH($C2032,'Fund YTD Target Values'!$A:$A,0), MATCH($A2032,'Fund YTD Target Values'!$1:$1,0)),0)</f>
        <v>0</v>
      </c>
      <c r="S2032" s="91">
        <f>IFERROR(__xludf.DUMMYFUNCTION("IFERROR(sum(FILTER('Fund Investment Data'!$V:$V, 'Fund Investment Data'!$C:$C = $C2032, 'Fund Investment Data'!$A:$A &lt; $A2032)),0) + IFERROR(sum(FILTER('Fund Investment Data'!$V:$V, 'Fund Investment Data'!$C:$C = $C2032, 'Fund Investment Data'!$A:$A = $A2"&amp;"032, 'Fund Investment Data'!$B:$B &lt;= $B2032)),0)"),0.0)</f>
        <v>0</v>
      </c>
      <c r="T2032" s="32"/>
      <c r="U2032" s="32"/>
      <c r="V2032" s="32">
        <f>IFERROR(__xludf.DUMMYFUNCTION("$D2032 - IFERROR(FILTER($D:$D,$C:$C = $C2032, $A:$A = $A2032, $B:$B = $B2032 - 1),0)"),0.0)</f>
        <v>0</v>
      </c>
      <c r="W2032" s="93">
        <f>IFERROR(__xludf.DUMMYFUNCTION("$E2032 - IFERROR(FILTER($E:$E,$C:$C = $C2032, $A:$A = $A2032, $B:$B = $B2032 - 1),0)"),0.0)</f>
        <v>0</v>
      </c>
      <c r="X2032" s="91">
        <f>IFERROR(__xludf.DUMMYFUNCTION("iFERROR((FILTER('Fund Investment Data'!$Z:$Z, 'Fund Investment Data'!$C:$C = $C2032, 'Fund Investment Data'!$A:$A = $A2032 - 1, 'Fund Investment Data'!$B:$B = 12) + FILTER('Fund Investment Data'!$AB:$AB, 'Fund Investment Data'!$C:$C = $C2032, 'Fund Invest"&amp;"ment Data'!$A:$A = $A2032 - 1, 'Fund Investment Data'!$B:$B = 12)) * (1 + AVERAGE(FILTER('Inflation Data'!$C:$C,'Inflation Data'!$A:$A = ($A2032 - 2)))) * Parameters!$A$4,0)"),0.0)</f>
        <v>0</v>
      </c>
      <c r="Y2032" s="91">
        <f>IFERROR(__xludf.DUMMYFUNCTION("IFERROR((IFERROR(FILTER('Fund Investment Data'!$P:$P,'Fund Investment Data'!$C:$C = $C2032,'Fund Investment Data'!$A:$A = ($A2032 - 2), 'Fund Investment Data'!$B:$B = 12),0) - SUM(FILTER('Fund Investment Data'!$V:$V, 'Fund Investment Data'!$C:$C = $C2032,"&amp;" 'Fund Investment Data'!$A:$A = ($A2032 - 2), 'Fund Investment Data'!$B:$B &gt; 3)))  * Parameters!$B$4 * (1 - Parameters!$A$4),0)"),0.0)</f>
        <v>0</v>
      </c>
      <c r="Z2032" s="91">
        <f t="shared" si="24"/>
        <v>0</v>
      </c>
      <c r="AA2032" s="91">
        <f>IFERROR(__xludf.DUMMYFUNCTION("((IFERROR((SUM(FILTER('Fund Investment Data'!$V:$V, 'Fund Investment Data'!$C:$C = $C2032, 'Fund Investment Data'!$A:$A = $A2032 - 1, 'Fund Investment Data'!$B:$B &gt;= 4, 'Fund Investment Data'!$B:$B &lt;= ($B2032 + 5))) / 12) * ($B2032 - 3) * Parameters!$B$4,"&amp;" 0) + IF($B2032 &gt;= 9, IFERROR(SUM(FILTER('Fund Investment Data'!$V:$V, 'Fund Investment Data'!$C:$C = $C2032, 'Fund Investment Data'!$A:$A = $A2032, 'Fund Investment Data'!$B:$B &lt;= 3)) * Parameters!$B$4, 0),0)))"),0.0)</f>
        <v>0</v>
      </c>
      <c r="AB2032" s="32">
        <f>IFERROR(__xludf.DUMMYFUNCTION("IFERROR(((IFERROR(SUM(FILTER('Fund Investment Data'!$V:$V, 'Fund Investment Data'!$C:$C = $C2032, 'Fund Investment Data'!$A:$A = $A2032 - 2, 'Fund Investment Data'!$B:$B &gt;= 4)) * Parameters!$B$4,0) + IFERROR(SUM(FILTER('Fund Investment Data'!$V:$V, 'Fund "&amp;"Investment Data'!$C:$C = $C2032, 'Fund Investment Data'!$A:$A = $A2032 - 1, 'Fund Investment Data'!$B:$B &lt;= 3)) * Parameters!$B$4,0))),0)"),0.0)</f>
        <v>0</v>
      </c>
      <c r="AC2032" s="32">
        <f>IFERROR(__xludf.DUMMYFUNCTION("IFERROR(FILTER($AF:$AF,$C:$C = $C2032,$A:$A = $A2032 - 1,$B:$B = 12),0)"),0.0)</f>
        <v>0</v>
      </c>
      <c r="AD2032" s="32">
        <f t="shared" si="23"/>
        <v>0</v>
      </c>
      <c r="AE2032" s="32">
        <f t="shared" si="2"/>
        <v>0</v>
      </c>
      <c r="AF2032" s="32"/>
    </row>
    <row r="2033">
      <c r="A2033" s="86"/>
      <c r="B2033" s="87"/>
      <c r="C2033" s="88"/>
      <c r="D2033" s="104"/>
      <c r="E2033" s="104"/>
      <c r="F2033" s="104"/>
      <c r="G2033" s="104"/>
      <c r="H2033" s="104"/>
      <c r="I2033" s="104"/>
      <c r="J2033" s="104"/>
      <c r="K2033" s="32"/>
      <c r="L2033" s="32"/>
      <c r="M2033" s="32"/>
      <c r="N2033" s="32"/>
      <c r="O2033" s="106"/>
      <c r="P2033" s="91">
        <f>IFERROR(__xludf.DUMMYFUNCTION("IFERROR(sum(FILTER($D:$N,$C:$C = $C2033,$A:$A &lt; $A2033,$B:$B = 12)),0) + sum($D2033:$N2033)"),0.0)</f>
        <v>0</v>
      </c>
      <c r="Q2033" s="92">
        <f t="shared" si="1"/>
        <v>0</v>
      </c>
      <c r="R2033" s="91">
        <f t="array" ref="R2033">IFERROR(INDEX('Fund YTD Target Values'!$1:$1000, MATCH($C2033,'Fund YTD Target Values'!$A:$A,0), MATCH($A2033,'Fund YTD Target Values'!$1:$1,0)),0)</f>
        <v>0</v>
      </c>
      <c r="S2033" s="91">
        <f>IFERROR(__xludf.DUMMYFUNCTION("IFERROR(sum(FILTER('Fund Investment Data'!$V:$V, 'Fund Investment Data'!$C:$C = $C2033, 'Fund Investment Data'!$A:$A &lt; $A2033)),0) + IFERROR(sum(FILTER('Fund Investment Data'!$V:$V, 'Fund Investment Data'!$C:$C = $C2033, 'Fund Investment Data'!$A:$A = $A2"&amp;"033, 'Fund Investment Data'!$B:$B &lt;= $B2033)),0)"),0.0)</f>
        <v>0</v>
      </c>
      <c r="T2033" s="32"/>
      <c r="U2033" s="32"/>
      <c r="V2033" s="32">
        <f>IFERROR(__xludf.DUMMYFUNCTION("$D2033 - IFERROR(FILTER($D:$D,$C:$C = $C2033, $A:$A = $A2033, $B:$B = $B2033 - 1),0)"),0.0)</f>
        <v>0</v>
      </c>
      <c r="W2033" s="93">
        <f>IFERROR(__xludf.DUMMYFUNCTION("$E2033 - IFERROR(FILTER($E:$E,$C:$C = $C2033, $A:$A = $A2033, $B:$B = $B2033 - 1),0)"),0.0)</f>
        <v>0</v>
      </c>
      <c r="X2033" s="91">
        <f>IFERROR(__xludf.DUMMYFUNCTION("iFERROR((FILTER('Fund Investment Data'!$Z:$Z, 'Fund Investment Data'!$C:$C = $C2033, 'Fund Investment Data'!$A:$A = $A2033 - 1, 'Fund Investment Data'!$B:$B = 12) + FILTER('Fund Investment Data'!$AB:$AB, 'Fund Investment Data'!$C:$C = $C2033, 'Fund Invest"&amp;"ment Data'!$A:$A = $A2033 - 1, 'Fund Investment Data'!$B:$B = 12)) * (1 + AVERAGE(FILTER('Inflation Data'!$C:$C,'Inflation Data'!$A:$A = ($A2033 - 2)))) * Parameters!$A$4,0)"),0.0)</f>
        <v>0</v>
      </c>
      <c r="Y2033" s="91">
        <f>IFERROR(__xludf.DUMMYFUNCTION("IFERROR((IFERROR(FILTER('Fund Investment Data'!$P:$P,'Fund Investment Data'!$C:$C = $C2033,'Fund Investment Data'!$A:$A = ($A2033 - 2), 'Fund Investment Data'!$B:$B = 12),0) - SUM(FILTER('Fund Investment Data'!$V:$V, 'Fund Investment Data'!$C:$C = $C2033,"&amp;" 'Fund Investment Data'!$A:$A = ($A2033 - 2), 'Fund Investment Data'!$B:$B &gt; 3)))  * Parameters!$B$4 * (1 - Parameters!$A$4),0)"),0.0)</f>
        <v>0</v>
      </c>
      <c r="Z2033" s="91">
        <f t="shared" si="24"/>
        <v>0</v>
      </c>
      <c r="AA2033" s="91">
        <f>IFERROR(__xludf.DUMMYFUNCTION("((IFERROR((SUM(FILTER('Fund Investment Data'!$V:$V, 'Fund Investment Data'!$C:$C = $C2033, 'Fund Investment Data'!$A:$A = $A2033 - 1, 'Fund Investment Data'!$B:$B &gt;= 4, 'Fund Investment Data'!$B:$B &lt;= ($B2033 + 5))) / 12) * ($B2033 - 3) * Parameters!$B$4,"&amp;" 0) + IF($B2033 &gt;= 9, IFERROR(SUM(FILTER('Fund Investment Data'!$V:$V, 'Fund Investment Data'!$C:$C = $C2033, 'Fund Investment Data'!$A:$A = $A2033, 'Fund Investment Data'!$B:$B &lt;= 3)) * Parameters!$B$4, 0),0)))"),0.0)</f>
        <v>0</v>
      </c>
      <c r="AB2033" s="32">
        <f>IFERROR(__xludf.DUMMYFUNCTION("IFERROR(((IFERROR(SUM(FILTER('Fund Investment Data'!$V:$V, 'Fund Investment Data'!$C:$C = $C2033, 'Fund Investment Data'!$A:$A = $A2033 - 2, 'Fund Investment Data'!$B:$B &gt;= 4)) * Parameters!$B$4,0) + IFERROR(SUM(FILTER('Fund Investment Data'!$V:$V, 'Fund "&amp;"Investment Data'!$C:$C = $C2033, 'Fund Investment Data'!$A:$A = $A2033 - 1, 'Fund Investment Data'!$B:$B &lt;= 3)) * Parameters!$B$4,0))),0)"),0.0)</f>
        <v>0</v>
      </c>
      <c r="AC2033" s="32">
        <f>IFERROR(__xludf.DUMMYFUNCTION("IFERROR(FILTER($AF:$AF,$C:$C = $C2033,$A:$A = $A2033 - 1,$B:$B = 12),0)"),0.0)</f>
        <v>0</v>
      </c>
      <c r="AD2033" s="32">
        <f t="shared" si="23"/>
        <v>0</v>
      </c>
      <c r="AE2033" s="32">
        <f t="shared" si="2"/>
        <v>0</v>
      </c>
      <c r="AF2033" s="32"/>
    </row>
    <row r="2034">
      <c r="A2034" s="86"/>
      <c r="B2034" s="87"/>
      <c r="C2034" s="88"/>
      <c r="D2034" s="104"/>
      <c r="E2034" s="104"/>
      <c r="F2034" s="104"/>
      <c r="G2034" s="104"/>
      <c r="H2034" s="104"/>
      <c r="I2034" s="104"/>
      <c r="J2034" s="104"/>
      <c r="K2034" s="32"/>
      <c r="L2034" s="32"/>
      <c r="M2034" s="32"/>
      <c r="N2034" s="32"/>
      <c r="O2034" s="106"/>
      <c r="P2034" s="91">
        <f>IFERROR(__xludf.DUMMYFUNCTION("IFERROR(sum(FILTER($D:$N,$C:$C = $C2034,$A:$A &lt; $A2034,$B:$B = 12)),0) + sum($D2034:$N2034)"),0.0)</f>
        <v>0</v>
      </c>
      <c r="Q2034" s="92">
        <f t="shared" si="1"/>
        <v>0</v>
      </c>
      <c r="R2034" s="91">
        <f t="array" ref="R2034">IFERROR(INDEX('Fund YTD Target Values'!$1:$1000, MATCH($C2034,'Fund YTD Target Values'!$A:$A,0), MATCH($A2034,'Fund YTD Target Values'!$1:$1,0)),0)</f>
        <v>0</v>
      </c>
      <c r="S2034" s="91">
        <f>IFERROR(__xludf.DUMMYFUNCTION("IFERROR(sum(FILTER('Fund Investment Data'!$V:$V, 'Fund Investment Data'!$C:$C = $C2034, 'Fund Investment Data'!$A:$A &lt; $A2034)),0) + IFERROR(sum(FILTER('Fund Investment Data'!$V:$V, 'Fund Investment Data'!$C:$C = $C2034, 'Fund Investment Data'!$A:$A = $A2"&amp;"034, 'Fund Investment Data'!$B:$B &lt;= $B2034)),0)"),0.0)</f>
        <v>0</v>
      </c>
      <c r="T2034" s="32"/>
      <c r="U2034" s="32"/>
      <c r="V2034" s="32">
        <f>IFERROR(__xludf.DUMMYFUNCTION("$D2034 - IFERROR(FILTER($D:$D,$C:$C = $C2034, $A:$A = $A2034, $B:$B = $B2034 - 1),0)"),0.0)</f>
        <v>0</v>
      </c>
      <c r="W2034" s="93">
        <f>IFERROR(__xludf.DUMMYFUNCTION("$E2034 - IFERROR(FILTER($E:$E,$C:$C = $C2034, $A:$A = $A2034, $B:$B = $B2034 - 1),0)"),0.0)</f>
        <v>0</v>
      </c>
      <c r="X2034" s="91">
        <f>IFERROR(__xludf.DUMMYFUNCTION("iFERROR((FILTER('Fund Investment Data'!$Z:$Z, 'Fund Investment Data'!$C:$C = $C2034, 'Fund Investment Data'!$A:$A = $A2034 - 1, 'Fund Investment Data'!$B:$B = 12) + FILTER('Fund Investment Data'!$AB:$AB, 'Fund Investment Data'!$C:$C = $C2034, 'Fund Invest"&amp;"ment Data'!$A:$A = $A2034 - 1, 'Fund Investment Data'!$B:$B = 12)) * (1 + AVERAGE(FILTER('Inflation Data'!$C:$C,'Inflation Data'!$A:$A = ($A2034 - 2)))) * Parameters!$A$4,0)"),0.0)</f>
        <v>0</v>
      </c>
      <c r="Y2034" s="91">
        <f>IFERROR(__xludf.DUMMYFUNCTION("IFERROR((IFERROR(FILTER('Fund Investment Data'!$P:$P,'Fund Investment Data'!$C:$C = $C2034,'Fund Investment Data'!$A:$A = ($A2034 - 2), 'Fund Investment Data'!$B:$B = 12),0) - SUM(FILTER('Fund Investment Data'!$V:$V, 'Fund Investment Data'!$C:$C = $C2034,"&amp;" 'Fund Investment Data'!$A:$A = ($A2034 - 2), 'Fund Investment Data'!$B:$B &gt; 3)))  * Parameters!$B$4 * (1 - Parameters!$A$4),0)"),0.0)</f>
        <v>0</v>
      </c>
      <c r="Z2034" s="91">
        <f t="shared" si="24"/>
        <v>0</v>
      </c>
      <c r="AA2034" s="91">
        <f>IFERROR(__xludf.DUMMYFUNCTION("((IFERROR((SUM(FILTER('Fund Investment Data'!$V:$V, 'Fund Investment Data'!$C:$C = $C2034, 'Fund Investment Data'!$A:$A = $A2034 - 1, 'Fund Investment Data'!$B:$B &gt;= 4, 'Fund Investment Data'!$B:$B &lt;= ($B2034 + 5))) / 12) * ($B2034 - 3) * Parameters!$B$4,"&amp;" 0) + IF($B2034 &gt;= 9, IFERROR(SUM(FILTER('Fund Investment Data'!$V:$V, 'Fund Investment Data'!$C:$C = $C2034, 'Fund Investment Data'!$A:$A = $A2034, 'Fund Investment Data'!$B:$B &lt;= 3)) * Parameters!$B$4, 0),0)))"),0.0)</f>
        <v>0</v>
      </c>
      <c r="AB2034" s="32">
        <f>IFERROR(__xludf.DUMMYFUNCTION("IFERROR(((IFERROR(SUM(FILTER('Fund Investment Data'!$V:$V, 'Fund Investment Data'!$C:$C = $C2034, 'Fund Investment Data'!$A:$A = $A2034 - 2, 'Fund Investment Data'!$B:$B &gt;= 4)) * Parameters!$B$4,0) + IFERROR(SUM(FILTER('Fund Investment Data'!$V:$V, 'Fund "&amp;"Investment Data'!$C:$C = $C2034, 'Fund Investment Data'!$A:$A = $A2034 - 1, 'Fund Investment Data'!$B:$B &lt;= 3)) * Parameters!$B$4,0))),0)"),0.0)</f>
        <v>0</v>
      </c>
      <c r="AC2034" s="32">
        <f>IFERROR(__xludf.DUMMYFUNCTION("IFERROR(FILTER($AF:$AF,$C:$C = $C2034,$A:$A = $A2034 - 1,$B:$B = 12),0)"),0.0)</f>
        <v>0</v>
      </c>
      <c r="AD2034" s="32">
        <f t="shared" si="23"/>
        <v>0</v>
      </c>
      <c r="AE2034" s="32">
        <f t="shared" si="2"/>
        <v>0</v>
      </c>
      <c r="AF2034" s="32"/>
    </row>
    <row r="2035">
      <c r="A2035" s="86"/>
      <c r="B2035" s="87"/>
      <c r="C2035" s="88"/>
      <c r="D2035" s="104"/>
      <c r="E2035" s="104"/>
      <c r="F2035" s="104"/>
      <c r="G2035" s="104"/>
      <c r="H2035" s="104"/>
      <c r="I2035" s="104"/>
      <c r="J2035" s="104"/>
      <c r="K2035" s="32"/>
      <c r="L2035" s="32"/>
      <c r="M2035" s="32"/>
      <c r="N2035" s="32"/>
      <c r="O2035" s="106"/>
      <c r="P2035" s="91">
        <f>IFERROR(__xludf.DUMMYFUNCTION("IFERROR(sum(FILTER($D:$N,$C:$C = $C2035,$A:$A &lt; $A2035,$B:$B = 12)),0) + sum($D2035:$N2035)"),0.0)</f>
        <v>0</v>
      </c>
      <c r="Q2035" s="92">
        <f t="shared" si="1"/>
        <v>0</v>
      </c>
      <c r="R2035" s="91">
        <f t="array" ref="R2035">IFERROR(INDEX('Fund YTD Target Values'!$1:$1000, MATCH($C2035,'Fund YTD Target Values'!$A:$A,0), MATCH($A2035,'Fund YTD Target Values'!$1:$1,0)),0)</f>
        <v>0</v>
      </c>
      <c r="S2035" s="91">
        <f>IFERROR(__xludf.DUMMYFUNCTION("IFERROR(sum(FILTER('Fund Investment Data'!$V:$V, 'Fund Investment Data'!$C:$C = $C2035, 'Fund Investment Data'!$A:$A &lt; $A2035)),0) + IFERROR(sum(FILTER('Fund Investment Data'!$V:$V, 'Fund Investment Data'!$C:$C = $C2035, 'Fund Investment Data'!$A:$A = $A2"&amp;"035, 'Fund Investment Data'!$B:$B &lt;= $B2035)),0)"),0.0)</f>
        <v>0</v>
      </c>
      <c r="T2035" s="32"/>
      <c r="U2035" s="32"/>
      <c r="V2035" s="32">
        <f>IFERROR(__xludf.DUMMYFUNCTION("$D2035 - IFERROR(FILTER($D:$D,$C:$C = $C2035, $A:$A = $A2035, $B:$B = $B2035 - 1),0)"),0.0)</f>
        <v>0</v>
      </c>
      <c r="W2035" s="93">
        <f>IFERROR(__xludf.DUMMYFUNCTION("$E2035 - IFERROR(FILTER($E:$E,$C:$C = $C2035, $A:$A = $A2035, $B:$B = $B2035 - 1),0)"),0.0)</f>
        <v>0</v>
      </c>
      <c r="X2035" s="91">
        <f>IFERROR(__xludf.DUMMYFUNCTION("iFERROR((FILTER('Fund Investment Data'!$Z:$Z, 'Fund Investment Data'!$C:$C = $C2035, 'Fund Investment Data'!$A:$A = $A2035 - 1, 'Fund Investment Data'!$B:$B = 12) + FILTER('Fund Investment Data'!$AB:$AB, 'Fund Investment Data'!$C:$C = $C2035, 'Fund Invest"&amp;"ment Data'!$A:$A = $A2035 - 1, 'Fund Investment Data'!$B:$B = 12)) * (1 + AVERAGE(FILTER('Inflation Data'!$C:$C,'Inflation Data'!$A:$A = ($A2035 - 2)))) * Parameters!$A$4,0)"),0.0)</f>
        <v>0</v>
      </c>
      <c r="Y2035" s="91">
        <f>IFERROR(__xludf.DUMMYFUNCTION("IFERROR((IFERROR(FILTER('Fund Investment Data'!$P:$P,'Fund Investment Data'!$C:$C = $C2035,'Fund Investment Data'!$A:$A = ($A2035 - 2), 'Fund Investment Data'!$B:$B = 12),0) - SUM(FILTER('Fund Investment Data'!$V:$V, 'Fund Investment Data'!$C:$C = $C2035,"&amp;" 'Fund Investment Data'!$A:$A = ($A2035 - 2), 'Fund Investment Data'!$B:$B &gt; 3)))  * Parameters!$B$4 * (1 - Parameters!$A$4),0)"),0.0)</f>
        <v>0</v>
      </c>
      <c r="Z2035" s="91">
        <f t="shared" si="24"/>
        <v>0</v>
      </c>
      <c r="AA2035" s="91">
        <f>IFERROR(__xludf.DUMMYFUNCTION("((IFERROR((SUM(FILTER('Fund Investment Data'!$V:$V, 'Fund Investment Data'!$C:$C = $C2035, 'Fund Investment Data'!$A:$A = $A2035 - 1, 'Fund Investment Data'!$B:$B &gt;= 4, 'Fund Investment Data'!$B:$B &lt;= ($B2035 + 5))) / 12) * ($B2035 - 3) * Parameters!$B$4,"&amp;" 0) + IF($B2035 &gt;= 9, IFERROR(SUM(FILTER('Fund Investment Data'!$V:$V, 'Fund Investment Data'!$C:$C = $C2035, 'Fund Investment Data'!$A:$A = $A2035, 'Fund Investment Data'!$B:$B &lt;= 3)) * Parameters!$B$4, 0),0)))"),0.0)</f>
        <v>0</v>
      </c>
      <c r="AB2035" s="32">
        <f>IFERROR(__xludf.DUMMYFUNCTION("IFERROR(((IFERROR(SUM(FILTER('Fund Investment Data'!$V:$V, 'Fund Investment Data'!$C:$C = $C2035, 'Fund Investment Data'!$A:$A = $A2035 - 2, 'Fund Investment Data'!$B:$B &gt;= 4)) * Parameters!$B$4,0) + IFERROR(SUM(FILTER('Fund Investment Data'!$V:$V, 'Fund "&amp;"Investment Data'!$C:$C = $C2035, 'Fund Investment Data'!$A:$A = $A2035 - 1, 'Fund Investment Data'!$B:$B &lt;= 3)) * Parameters!$B$4,0))),0)"),0.0)</f>
        <v>0</v>
      </c>
      <c r="AC2035" s="32">
        <f>IFERROR(__xludf.DUMMYFUNCTION("IFERROR(FILTER($AF:$AF,$C:$C = $C2035,$A:$A = $A2035 - 1,$B:$B = 12),0)"),0.0)</f>
        <v>0</v>
      </c>
      <c r="AD2035" s="32">
        <f t="shared" si="23"/>
        <v>0</v>
      </c>
      <c r="AE2035" s="32">
        <f t="shared" si="2"/>
        <v>0</v>
      </c>
      <c r="AF2035" s="32"/>
    </row>
    <row r="2036">
      <c r="A2036" s="86"/>
      <c r="B2036" s="87"/>
      <c r="C2036" s="88"/>
      <c r="D2036" s="104"/>
      <c r="E2036" s="104"/>
      <c r="F2036" s="104"/>
      <c r="G2036" s="104"/>
      <c r="H2036" s="104"/>
      <c r="I2036" s="104"/>
      <c r="J2036" s="104"/>
      <c r="K2036" s="32"/>
      <c r="L2036" s="32"/>
      <c r="M2036" s="32"/>
      <c r="N2036" s="32"/>
      <c r="O2036" s="106"/>
      <c r="P2036" s="91">
        <f>IFERROR(__xludf.DUMMYFUNCTION("IFERROR(sum(FILTER($D:$N,$C:$C = $C2036,$A:$A &lt; $A2036,$B:$B = 12)),0) + sum($D2036:$N2036)"),0.0)</f>
        <v>0</v>
      </c>
      <c r="Q2036" s="92">
        <f t="shared" si="1"/>
        <v>0</v>
      </c>
      <c r="R2036" s="91">
        <f t="array" ref="R2036">IFERROR(INDEX('Fund YTD Target Values'!$1:$1000, MATCH($C2036,'Fund YTD Target Values'!$A:$A,0), MATCH($A2036,'Fund YTD Target Values'!$1:$1,0)),0)</f>
        <v>0</v>
      </c>
      <c r="S2036" s="91">
        <f>IFERROR(__xludf.DUMMYFUNCTION("IFERROR(sum(FILTER('Fund Investment Data'!$V:$V, 'Fund Investment Data'!$C:$C = $C2036, 'Fund Investment Data'!$A:$A &lt; $A2036)),0) + IFERROR(sum(FILTER('Fund Investment Data'!$V:$V, 'Fund Investment Data'!$C:$C = $C2036, 'Fund Investment Data'!$A:$A = $A2"&amp;"036, 'Fund Investment Data'!$B:$B &lt;= $B2036)),0)"),0.0)</f>
        <v>0</v>
      </c>
      <c r="T2036" s="32"/>
      <c r="U2036" s="32"/>
      <c r="V2036" s="32">
        <f>IFERROR(__xludf.DUMMYFUNCTION("$D2036 - IFERROR(FILTER($D:$D,$C:$C = $C2036, $A:$A = $A2036, $B:$B = $B2036 - 1),0)"),0.0)</f>
        <v>0</v>
      </c>
      <c r="W2036" s="93">
        <f>IFERROR(__xludf.DUMMYFUNCTION("$E2036 - IFERROR(FILTER($E:$E,$C:$C = $C2036, $A:$A = $A2036, $B:$B = $B2036 - 1),0)"),0.0)</f>
        <v>0</v>
      </c>
      <c r="X2036" s="91">
        <f>IFERROR(__xludf.DUMMYFUNCTION("iFERROR((FILTER('Fund Investment Data'!$Z:$Z, 'Fund Investment Data'!$C:$C = $C2036, 'Fund Investment Data'!$A:$A = $A2036 - 1, 'Fund Investment Data'!$B:$B = 12) + FILTER('Fund Investment Data'!$AB:$AB, 'Fund Investment Data'!$C:$C = $C2036, 'Fund Invest"&amp;"ment Data'!$A:$A = $A2036 - 1, 'Fund Investment Data'!$B:$B = 12)) * (1 + AVERAGE(FILTER('Inflation Data'!$C:$C,'Inflation Data'!$A:$A = ($A2036 - 2)))) * Parameters!$A$4,0)"),0.0)</f>
        <v>0</v>
      </c>
      <c r="Y2036" s="91">
        <f>IFERROR(__xludf.DUMMYFUNCTION("IFERROR((IFERROR(FILTER('Fund Investment Data'!$P:$P,'Fund Investment Data'!$C:$C = $C2036,'Fund Investment Data'!$A:$A = ($A2036 - 2), 'Fund Investment Data'!$B:$B = 12),0) - SUM(FILTER('Fund Investment Data'!$V:$V, 'Fund Investment Data'!$C:$C = $C2036,"&amp;" 'Fund Investment Data'!$A:$A = ($A2036 - 2), 'Fund Investment Data'!$B:$B &gt; 3)))  * Parameters!$B$4 * (1 - Parameters!$A$4),0)"),0.0)</f>
        <v>0</v>
      </c>
      <c r="Z2036" s="91">
        <f t="shared" si="24"/>
        <v>0</v>
      </c>
      <c r="AA2036" s="91">
        <f>IFERROR(__xludf.DUMMYFUNCTION("((IFERROR((SUM(FILTER('Fund Investment Data'!$V:$V, 'Fund Investment Data'!$C:$C = $C2036, 'Fund Investment Data'!$A:$A = $A2036 - 1, 'Fund Investment Data'!$B:$B &gt;= 4, 'Fund Investment Data'!$B:$B &lt;= ($B2036 + 5))) / 12) * ($B2036 - 3) * Parameters!$B$4,"&amp;" 0) + IF($B2036 &gt;= 9, IFERROR(SUM(FILTER('Fund Investment Data'!$V:$V, 'Fund Investment Data'!$C:$C = $C2036, 'Fund Investment Data'!$A:$A = $A2036, 'Fund Investment Data'!$B:$B &lt;= 3)) * Parameters!$B$4, 0),0)))"),0.0)</f>
        <v>0</v>
      </c>
      <c r="AB2036" s="32">
        <f>IFERROR(__xludf.DUMMYFUNCTION("IFERROR(((IFERROR(SUM(FILTER('Fund Investment Data'!$V:$V, 'Fund Investment Data'!$C:$C = $C2036, 'Fund Investment Data'!$A:$A = $A2036 - 2, 'Fund Investment Data'!$B:$B &gt;= 4)) * Parameters!$B$4,0) + IFERROR(SUM(FILTER('Fund Investment Data'!$V:$V, 'Fund "&amp;"Investment Data'!$C:$C = $C2036, 'Fund Investment Data'!$A:$A = $A2036 - 1, 'Fund Investment Data'!$B:$B &lt;= 3)) * Parameters!$B$4,0))),0)"),0.0)</f>
        <v>0</v>
      </c>
      <c r="AC2036" s="32">
        <f>IFERROR(__xludf.DUMMYFUNCTION("IFERROR(FILTER($AF:$AF,$C:$C = $C2036,$A:$A = $A2036 - 1,$B:$B = 12),0)"),0.0)</f>
        <v>0</v>
      </c>
      <c r="AD2036" s="32">
        <f t="shared" si="23"/>
        <v>0</v>
      </c>
      <c r="AE2036" s="32">
        <f t="shared" si="2"/>
        <v>0</v>
      </c>
      <c r="AF2036" s="32"/>
    </row>
    <row r="2037">
      <c r="A2037" s="86"/>
      <c r="B2037" s="87"/>
      <c r="C2037" s="88"/>
      <c r="D2037" s="104"/>
      <c r="E2037" s="104"/>
      <c r="F2037" s="104"/>
      <c r="G2037" s="104"/>
      <c r="H2037" s="104"/>
      <c r="I2037" s="104"/>
      <c r="J2037" s="104"/>
      <c r="K2037" s="32"/>
      <c r="L2037" s="32"/>
      <c r="M2037" s="32"/>
      <c r="N2037" s="32"/>
      <c r="O2037" s="106"/>
      <c r="P2037" s="91">
        <f>IFERROR(__xludf.DUMMYFUNCTION("IFERROR(sum(FILTER($D:$N,$C:$C = $C2037,$A:$A &lt; $A2037,$B:$B = 12)),0) + sum($D2037:$N2037)"),0.0)</f>
        <v>0</v>
      </c>
      <c r="Q2037" s="92">
        <f t="shared" si="1"/>
        <v>0</v>
      </c>
      <c r="R2037" s="91">
        <f t="array" ref="R2037">IFERROR(INDEX('Fund YTD Target Values'!$1:$1000, MATCH($C2037,'Fund YTD Target Values'!$A:$A,0), MATCH($A2037,'Fund YTD Target Values'!$1:$1,0)),0)</f>
        <v>0</v>
      </c>
      <c r="S2037" s="91">
        <f>IFERROR(__xludf.DUMMYFUNCTION("IFERROR(sum(FILTER('Fund Investment Data'!$V:$V, 'Fund Investment Data'!$C:$C = $C2037, 'Fund Investment Data'!$A:$A &lt; $A2037)),0) + IFERROR(sum(FILTER('Fund Investment Data'!$V:$V, 'Fund Investment Data'!$C:$C = $C2037, 'Fund Investment Data'!$A:$A = $A2"&amp;"037, 'Fund Investment Data'!$B:$B &lt;= $B2037)),0)"),0.0)</f>
        <v>0</v>
      </c>
      <c r="T2037" s="32"/>
      <c r="U2037" s="32"/>
      <c r="V2037" s="32">
        <f>IFERROR(__xludf.DUMMYFUNCTION("$D2037 - IFERROR(FILTER($D:$D,$C:$C = $C2037, $A:$A = $A2037, $B:$B = $B2037 - 1),0)"),0.0)</f>
        <v>0</v>
      </c>
      <c r="W2037" s="93">
        <f>IFERROR(__xludf.DUMMYFUNCTION("$E2037 - IFERROR(FILTER($E:$E,$C:$C = $C2037, $A:$A = $A2037, $B:$B = $B2037 - 1),0)"),0.0)</f>
        <v>0</v>
      </c>
      <c r="X2037" s="91">
        <f>IFERROR(__xludf.DUMMYFUNCTION("iFERROR((FILTER('Fund Investment Data'!$Z:$Z, 'Fund Investment Data'!$C:$C = $C2037, 'Fund Investment Data'!$A:$A = $A2037 - 1, 'Fund Investment Data'!$B:$B = 12) + FILTER('Fund Investment Data'!$AB:$AB, 'Fund Investment Data'!$C:$C = $C2037, 'Fund Invest"&amp;"ment Data'!$A:$A = $A2037 - 1, 'Fund Investment Data'!$B:$B = 12)) * (1 + AVERAGE(FILTER('Inflation Data'!$C:$C,'Inflation Data'!$A:$A = ($A2037 - 2)))) * Parameters!$A$4,0)"),0.0)</f>
        <v>0</v>
      </c>
      <c r="Y2037" s="91">
        <f>IFERROR(__xludf.DUMMYFUNCTION("IFERROR((IFERROR(FILTER('Fund Investment Data'!$P:$P,'Fund Investment Data'!$C:$C = $C2037,'Fund Investment Data'!$A:$A = ($A2037 - 2), 'Fund Investment Data'!$B:$B = 12),0) - SUM(FILTER('Fund Investment Data'!$V:$V, 'Fund Investment Data'!$C:$C = $C2037,"&amp;" 'Fund Investment Data'!$A:$A = ($A2037 - 2), 'Fund Investment Data'!$B:$B &gt; 3)))  * Parameters!$B$4 * (1 - Parameters!$A$4),0)"),0.0)</f>
        <v>0</v>
      </c>
      <c r="Z2037" s="91">
        <f t="shared" si="24"/>
        <v>0</v>
      </c>
      <c r="AA2037" s="91">
        <f>IFERROR(__xludf.DUMMYFUNCTION("((IFERROR((SUM(FILTER('Fund Investment Data'!$V:$V, 'Fund Investment Data'!$C:$C = $C2037, 'Fund Investment Data'!$A:$A = $A2037 - 1, 'Fund Investment Data'!$B:$B &gt;= 4, 'Fund Investment Data'!$B:$B &lt;= ($B2037 + 5))) / 12) * ($B2037 - 3) * Parameters!$B$4,"&amp;" 0) + IF($B2037 &gt;= 9, IFERROR(SUM(FILTER('Fund Investment Data'!$V:$V, 'Fund Investment Data'!$C:$C = $C2037, 'Fund Investment Data'!$A:$A = $A2037, 'Fund Investment Data'!$B:$B &lt;= 3)) * Parameters!$B$4, 0),0)))"),0.0)</f>
        <v>0</v>
      </c>
      <c r="AB2037" s="32">
        <f>IFERROR(__xludf.DUMMYFUNCTION("IFERROR(((IFERROR(SUM(FILTER('Fund Investment Data'!$V:$V, 'Fund Investment Data'!$C:$C = $C2037, 'Fund Investment Data'!$A:$A = $A2037 - 2, 'Fund Investment Data'!$B:$B &gt;= 4)) * Parameters!$B$4,0) + IFERROR(SUM(FILTER('Fund Investment Data'!$V:$V, 'Fund "&amp;"Investment Data'!$C:$C = $C2037, 'Fund Investment Data'!$A:$A = $A2037 - 1, 'Fund Investment Data'!$B:$B &lt;= 3)) * Parameters!$B$4,0))),0)"),0.0)</f>
        <v>0</v>
      </c>
      <c r="AC2037" s="32">
        <f>IFERROR(__xludf.DUMMYFUNCTION("IFERROR(FILTER($AF:$AF,$C:$C = $C2037,$A:$A = $A2037 - 1,$B:$B = 12),0)"),0.0)</f>
        <v>0</v>
      </c>
      <c r="AD2037" s="32">
        <f t="shared" si="23"/>
        <v>0</v>
      </c>
      <c r="AE2037" s="32">
        <f t="shared" si="2"/>
        <v>0</v>
      </c>
      <c r="AF2037" s="32"/>
    </row>
    <row r="2038">
      <c r="A2038" s="86"/>
      <c r="B2038" s="87"/>
      <c r="C2038" s="88"/>
      <c r="D2038" s="104"/>
      <c r="E2038" s="104"/>
      <c r="F2038" s="104"/>
      <c r="G2038" s="104"/>
      <c r="H2038" s="104"/>
      <c r="I2038" s="104"/>
      <c r="J2038" s="104"/>
      <c r="K2038" s="32"/>
      <c r="L2038" s="32"/>
      <c r="M2038" s="32"/>
      <c r="N2038" s="32"/>
      <c r="O2038" s="106"/>
      <c r="P2038" s="91">
        <f>IFERROR(__xludf.DUMMYFUNCTION("IFERROR(sum(FILTER($D:$N,$C:$C = $C2038,$A:$A &lt; $A2038,$B:$B = 12)),0) + sum($D2038:$N2038)"),0.0)</f>
        <v>0</v>
      </c>
      <c r="Q2038" s="92">
        <f t="shared" si="1"/>
        <v>0</v>
      </c>
      <c r="R2038" s="91">
        <f t="array" ref="R2038">IFERROR(INDEX('Fund YTD Target Values'!$1:$1000, MATCH($C2038,'Fund YTD Target Values'!$A:$A,0), MATCH($A2038,'Fund YTD Target Values'!$1:$1,0)),0)</f>
        <v>0</v>
      </c>
      <c r="S2038" s="91">
        <f>IFERROR(__xludf.DUMMYFUNCTION("IFERROR(sum(FILTER('Fund Investment Data'!$V:$V, 'Fund Investment Data'!$C:$C = $C2038, 'Fund Investment Data'!$A:$A &lt; $A2038)),0) + IFERROR(sum(FILTER('Fund Investment Data'!$V:$V, 'Fund Investment Data'!$C:$C = $C2038, 'Fund Investment Data'!$A:$A = $A2"&amp;"038, 'Fund Investment Data'!$B:$B &lt;= $B2038)),0)"),0.0)</f>
        <v>0</v>
      </c>
      <c r="T2038" s="32"/>
      <c r="U2038" s="32"/>
      <c r="V2038" s="32">
        <f>IFERROR(__xludf.DUMMYFUNCTION("$D2038 - IFERROR(FILTER($D:$D,$C:$C = $C2038, $A:$A = $A2038, $B:$B = $B2038 - 1),0)"),0.0)</f>
        <v>0</v>
      </c>
      <c r="W2038" s="93">
        <f>IFERROR(__xludf.DUMMYFUNCTION("$E2038 - IFERROR(FILTER($E:$E,$C:$C = $C2038, $A:$A = $A2038, $B:$B = $B2038 - 1),0)"),0.0)</f>
        <v>0</v>
      </c>
      <c r="X2038" s="91">
        <f>IFERROR(__xludf.DUMMYFUNCTION("iFERROR((FILTER('Fund Investment Data'!$Z:$Z, 'Fund Investment Data'!$C:$C = $C2038, 'Fund Investment Data'!$A:$A = $A2038 - 1, 'Fund Investment Data'!$B:$B = 12) + FILTER('Fund Investment Data'!$AB:$AB, 'Fund Investment Data'!$C:$C = $C2038, 'Fund Invest"&amp;"ment Data'!$A:$A = $A2038 - 1, 'Fund Investment Data'!$B:$B = 12)) * (1 + AVERAGE(FILTER('Inflation Data'!$C:$C,'Inflation Data'!$A:$A = ($A2038 - 2)))) * Parameters!$A$4,0)"),0.0)</f>
        <v>0</v>
      </c>
      <c r="Y2038" s="91">
        <f>IFERROR(__xludf.DUMMYFUNCTION("IFERROR((IFERROR(FILTER('Fund Investment Data'!$P:$P,'Fund Investment Data'!$C:$C = $C2038,'Fund Investment Data'!$A:$A = ($A2038 - 2), 'Fund Investment Data'!$B:$B = 12),0) - SUM(FILTER('Fund Investment Data'!$V:$V, 'Fund Investment Data'!$C:$C = $C2038,"&amp;" 'Fund Investment Data'!$A:$A = ($A2038 - 2), 'Fund Investment Data'!$B:$B &gt; 3)))  * Parameters!$B$4 * (1 - Parameters!$A$4),0)"),0.0)</f>
        <v>0</v>
      </c>
      <c r="Z2038" s="91">
        <f t="shared" si="24"/>
        <v>0</v>
      </c>
      <c r="AA2038" s="91">
        <f>IFERROR(__xludf.DUMMYFUNCTION("((IFERROR((SUM(FILTER('Fund Investment Data'!$V:$V, 'Fund Investment Data'!$C:$C = $C2038, 'Fund Investment Data'!$A:$A = $A2038 - 1, 'Fund Investment Data'!$B:$B &gt;= 4, 'Fund Investment Data'!$B:$B &lt;= ($B2038 + 5))) / 12) * ($B2038 - 3) * Parameters!$B$4,"&amp;" 0) + IF($B2038 &gt;= 9, IFERROR(SUM(FILTER('Fund Investment Data'!$V:$V, 'Fund Investment Data'!$C:$C = $C2038, 'Fund Investment Data'!$A:$A = $A2038, 'Fund Investment Data'!$B:$B &lt;= 3)) * Parameters!$B$4, 0),0)))"),0.0)</f>
        <v>0</v>
      </c>
      <c r="AB2038" s="32">
        <f>IFERROR(__xludf.DUMMYFUNCTION("IFERROR(((IFERROR(SUM(FILTER('Fund Investment Data'!$V:$V, 'Fund Investment Data'!$C:$C = $C2038, 'Fund Investment Data'!$A:$A = $A2038 - 2, 'Fund Investment Data'!$B:$B &gt;= 4)) * Parameters!$B$4,0) + IFERROR(SUM(FILTER('Fund Investment Data'!$V:$V, 'Fund "&amp;"Investment Data'!$C:$C = $C2038, 'Fund Investment Data'!$A:$A = $A2038 - 1, 'Fund Investment Data'!$B:$B &lt;= 3)) * Parameters!$B$4,0))),0)"),0.0)</f>
        <v>0</v>
      </c>
      <c r="AC2038" s="32">
        <f>IFERROR(__xludf.DUMMYFUNCTION("IFERROR(FILTER($AF:$AF,$C:$C = $C2038,$A:$A = $A2038 - 1,$B:$B = 12),0)"),0.0)</f>
        <v>0</v>
      </c>
      <c r="AD2038" s="32">
        <f t="shared" si="23"/>
        <v>0</v>
      </c>
      <c r="AE2038" s="32">
        <f t="shared" si="2"/>
        <v>0</v>
      </c>
      <c r="AF2038" s="32"/>
    </row>
    <row r="2039">
      <c r="A2039" s="86"/>
      <c r="B2039" s="87"/>
      <c r="C2039" s="88"/>
      <c r="D2039" s="104"/>
      <c r="E2039" s="104"/>
      <c r="F2039" s="104"/>
      <c r="G2039" s="104"/>
      <c r="H2039" s="104"/>
      <c r="I2039" s="104"/>
      <c r="J2039" s="104"/>
      <c r="K2039" s="32"/>
      <c r="L2039" s="32"/>
      <c r="M2039" s="32"/>
      <c r="N2039" s="32"/>
      <c r="O2039" s="106"/>
      <c r="P2039" s="91">
        <f>IFERROR(__xludf.DUMMYFUNCTION("IFERROR(sum(FILTER($D:$N,$C:$C = $C2039,$A:$A &lt; $A2039,$B:$B = 12)),0) + sum($D2039:$N2039)"),0.0)</f>
        <v>0</v>
      </c>
      <c r="Q2039" s="92">
        <f t="shared" si="1"/>
        <v>0</v>
      </c>
      <c r="R2039" s="91">
        <f t="array" ref="R2039">IFERROR(INDEX('Fund YTD Target Values'!$1:$1000, MATCH($C2039,'Fund YTD Target Values'!$A:$A,0), MATCH($A2039,'Fund YTD Target Values'!$1:$1,0)),0)</f>
        <v>0</v>
      </c>
      <c r="S2039" s="91">
        <f>IFERROR(__xludf.DUMMYFUNCTION("IFERROR(sum(FILTER('Fund Investment Data'!$V:$V, 'Fund Investment Data'!$C:$C = $C2039, 'Fund Investment Data'!$A:$A &lt; $A2039)),0) + IFERROR(sum(FILTER('Fund Investment Data'!$V:$V, 'Fund Investment Data'!$C:$C = $C2039, 'Fund Investment Data'!$A:$A = $A2"&amp;"039, 'Fund Investment Data'!$B:$B &lt;= $B2039)),0)"),0.0)</f>
        <v>0</v>
      </c>
      <c r="T2039" s="32"/>
      <c r="U2039" s="32"/>
      <c r="V2039" s="32">
        <f>IFERROR(__xludf.DUMMYFUNCTION("$D2039 - IFERROR(FILTER($D:$D,$C:$C = $C2039, $A:$A = $A2039, $B:$B = $B2039 - 1),0)"),0.0)</f>
        <v>0</v>
      </c>
      <c r="W2039" s="93">
        <f>IFERROR(__xludf.DUMMYFUNCTION("$E2039 - IFERROR(FILTER($E:$E,$C:$C = $C2039, $A:$A = $A2039, $B:$B = $B2039 - 1),0)"),0.0)</f>
        <v>0</v>
      </c>
      <c r="X2039" s="91">
        <f>IFERROR(__xludf.DUMMYFUNCTION("iFERROR((FILTER('Fund Investment Data'!$Z:$Z, 'Fund Investment Data'!$C:$C = $C2039, 'Fund Investment Data'!$A:$A = $A2039 - 1, 'Fund Investment Data'!$B:$B = 12) + FILTER('Fund Investment Data'!$AB:$AB, 'Fund Investment Data'!$C:$C = $C2039, 'Fund Invest"&amp;"ment Data'!$A:$A = $A2039 - 1, 'Fund Investment Data'!$B:$B = 12)) * (1 + AVERAGE(FILTER('Inflation Data'!$C:$C,'Inflation Data'!$A:$A = ($A2039 - 2)))) * Parameters!$A$4,0)"),0.0)</f>
        <v>0</v>
      </c>
      <c r="Y2039" s="91">
        <f>IFERROR(__xludf.DUMMYFUNCTION("IFERROR((IFERROR(FILTER('Fund Investment Data'!$P:$P,'Fund Investment Data'!$C:$C = $C2039,'Fund Investment Data'!$A:$A = ($A2039 - 2), 'Fund Investment Data'!$B:$B = 12),0) - SUM(FILTER('Fund Investment Data'!$V:$V, 'Fund Investment Data'!$C:$C = $C2039,"&amp;" 'Fund Investment Data'!$A:$A = ($A2039 - 2), 'Fund Investment Data'!$B:$B &gt; 3)))  * Parameters!$B$4 * (1 - Parameters!$A$4),0)"),0.0)</f>
        <v>0</v>
      </c>
      <c r="Z2039" s="91">
        <f t="shared" si="24"/>
        <v>0</v>
      </c>
      <c r="AA2039" s="91">
        <f>IFERROR(__xludf.DUMMYFUNCTION("((IFERROR((SUM(FILTER('Fund Investment Data'!$V:$V, 'Fund Investment Data'!$C:$C = $C2039, 'Fund Investment Data'!$A:$A = $A2039 - 1, 'Fund Investment Data'!$B:$B &gt;= 4, 'Fund Investment Data'!$B:$B &lt;= ($B2039 + 5))) / 12) * ($B2039 - 3) * Parameters!$B$4,"&amp;" 0) + IF($B2039 &gt;= 9, IFERROR(SUM(FILTER('Fund Investment Data'!$V:$V, 'Fund Investment Data'!$C:$C = $C2039, 'Fund Investment Data'!$A:$A = $A2039, 'Fund Investment Data'!$B:$B &lt;= 3)) * Parameters!$B$4, 0),0)))"),0.0)</f>
        <v>0</v>
      </c>
      <c r="AB2039" s="32">
        <f>IFERROR(__xludf.DUMMYFUNCTION("IFERROR(((IFERROR(SUM(FILTER('Fund Investment Data'!$V:$V, 'Fund Investment Data'!$C:$C = $C2039, 'Fund Investment Data'!$A:$A = $A2039 - 2, 'Fund Investment Data'!$B:$B &gt;= 4)) * Parameters!$B$4,0) + IFERROR(SUM(FILTER('Fund Investment Data'!$V:$V, 'Fund "&amp;"Investment Data'!$C:$C = $C2039, 'Fund Investment Data'!$A:$A = $A2039 - 1, 'Fund Investment Data'!$B:$B &lt;= 3)) * Parameters!$B$4,0))),0)"),0.0)</f>
        <v>0</v>
      </c>
      <c r="AC2039" s="32">
        <f>IFERROR(__xludf.DUMMYFUNCTION("IFERROR(FILTER($AF:$AF,$C:$C = $C2039,$A:$A = $A2039 - 1,$B:$B = 12),0)"),0.0)</f>
        <v>0</v>
      </c>
      <c r="AD2039" s="32">
        <f t="shared" si="23"/>
        <v>0</v>
      </c>
      <c r="AE2039" s="32">
        <f t="shared" si="2"/>
        <v>0</v>
      </c>
      <c r="AF2039" s="32"/>
    </row>
    <row r="2040">
      <c r="A2040" s="86"/>
      <c r="B2040" s="87"/>
      <c r="C2040" s="88"/>
      <c r="D2040" s="104"/>
      <c r="E2040" s="104"/>
      <c r="F2040" s="104"/>
      <c r="G2040" s="104"/>
      <c r="H2040" s="104"/>
      <c r="I2040" s="104"/>
      <c r="J2040" s="104"/>
      <c r="K2040" s="32"/>
      <c r="L2040" s="32"/>
      <c r="M2040" s="32"/>
      <c r="N2040" s="32"/>
      <c r="O2040" s="106"/>
      <c r="P2040" s="91">
        <f>IFERROR(__xludf.DUMMYFUNCTION("IFERROR(sum(FILTER($D:$N,$C:$C = $C2040,$A:$A &lt; $A2040,$B:$B = 12)),0) + sum($D2040:$N2040)"),0.0)</f>
        <v>0</v>
      </c>
      <c r="Q2040" s="92">
        <f t="shared" si="1"/>
        <v>0</v>
      </c>
      <c r="R2040" s="91">
        <f t="array" ref="R2040">IFERROR(INDEX('Fund YTD Target Values'!$1:$1000, MATCH($C2040,'Fund YTD Target Values'!$A:$A,0), MATCH($A2040,'Fund YTD Target Values'!$1:$1,0)),0)</f>
        <v>0</v>
      </c>
      <c r="S2040" s="91">
        <f>IFERROR(__xludf.DUMMYFUNCTION("IFERROR(sum(FILTER('Fund Investment Data'!$V:$V, 'Fund Investment Data'!$C:$C = $C2040, 'Fund Investment Data'!$A:$A &lt; $A2040)),0) + IFERROR(sum(FILTER('Fund Investment Data'!$V:$V, 'Fund Investment Data'!$C:$C = $C2040, 'Fund Investment Data'!$A:$A = $A2"&amp;"040, 'Fund Investment Data'!$B:$B &lt;= $B2040)),0)"),0.0)</f>
        <v>0</v>
      </c>
      <c r="T2040" s="32"/>
      <c r="U2040" s="32"/>
      <c r="V2040" s="32">
        <f>IFERROR(__xludf.DUMMYFUNCTION("$D2040 - IFERROR(FILTER($D:$D,$C:$C = $C2040, $A:$A = $A2040, $B:$B = $B2040 - 1),0)"),0.0)</f>
        <v>0</v>
      </c>
      <c r="W2040" s="93">
        <f>IFERROR(__xludf.DUMMYFUNCTION("$E2040 - IFERROR(FILTER($E:$E,$C:$C = $C2040, $A:$A = $A2040, $B:$B = $B2040 - 1),0)"),0.0)</f>
        <v>0</v>
      </c>
      <c r="X2040" s="91">
        <f>IFERROR(__xludf.DUMMYFUNCTION("iFERROR((FILTER('Fund Investment Data'!$Z:$Z, 'Fund Investment Data'!$C:$C = $C2040, 'Fund Investment Data'!$A:$A = $A2040 - 1, 'Fund Investment Data'!$B:$B = 12) + FILTER('Fund Investment Data'!$AB:$AB, 'Fund Investment Data'!$C:$C = $C2040, 'Fund Invest"&amp;"ment Data'!$A:$A = $A2040 - 1, 'Fund Investment Data'!$B:$B = 12)) * (1 + AVERAGE(FILTER('Inflation Data'!$C:$C,'Inflation Data'!$A:$A = ($A2040 - 2)))) * Parameters!$A$4,0)"),0.0)</f>
        <v>0</v>
      </c>
      <c r="Y2040" s="91">
        <f>IFERROR(__xludf.DUMMYFUNCTION("IFERROR((IFERROR(FILTER('Fund Investment Data'!$P:$P,'Fund Investment Data'!$C:$C = $C2040,'Fund Investment Data'!$A:$A = ($A2040 - 2), 'Fund Investment Data'!$B:$B = 12),0) - SUM(FILTER('Fund Investment Data'!$V:$V, 'Fund Investment Data'!$C:$C = $C2040,"&amp;" 'Fund Investment Data'!$A:$A = ($A2040 - 2), 'Fund Investment Data'!$B:$B &gt; 3)))  * Parameters!$B$4 * (1 - Parameters!$A$4),0)"),0.0)</f>
        <v>0</v>
      </c>
      <c r="Z2040" s="91">
        <f t="shared" si="24"/>
        <v>0</v>
      </c>
      <c r="AA2040" s="91">
        <f>IFERROR(__xludf.DUMMYFUNCTION("((IFERROR((SUM(FILTER('Fund Investment Data'!$V:$V, 'Fund Investment Data'!$C:$C = $C2040, 'Fund Investment Data'!$A:$A = $A2040 - 1, 'Fund Investment Data'!$B:$B &gt;= 4, 'Fund Investment Data'!$B:$B &lt;= ($B2040 + 5))) / 12) * ($B2040 - 3) * Parameters!$B$4,"&amp;" 0) + IF($B2040 &gt;= 9, IFERROR(SUM(FILTER('Fund Investment Data'!$V:$V, 'Fund Investment Data'!$C:$C = $C2040, 'Fund Investment Data'!$A:$A = $A2040, 'Fund Investment Data'!$B:$B &lt;= 3)) * Parameters!$B$4, 0),0)))"),0.0)</f>
        <v>0</v>
      </c>
      <c r="AB2040" s="32">
        <f>IFERROR(__xludf.DUMMYFUNCTION("IFERROR(((IFERROR(SUM(FILTER('Fund Investment Data'!$V:$V, 'Fund Investment Data'!$C:$C = $C2040, 'Fund Investment Data'!$A:$A = $A2040 - 2, 'Fund Investment Data'!$B:$B &gt;= 4)) * Parameters!$B$4,0) + IFERROR(SUM(FILTER('Fund Investment Data'!$V:$V, 'Fund "&amp;"Investment Data'!$C:$C = $C2040, 'Fund Investment Data'!$A:$A = $A2040 - 1, 'Fund Investment Data'!$B:$B &lt;= 3)) * Parameters!$B$4,0))),0)"),0.0)</f>
        <v>0</v>
      </c>
      <c r="AC2040" s="32">
        <f>IFERROR(__xludf.DUMMYFUNCTION("IFERROR(FILTER($AF:$AF,$C:$C = $C2040,$A:$A = $A2040 - 1,$B:$B = 12),0)"),0.0)</f>
        <v>0</v>
      </c>
      <c r="AD2040" s="32">
        <f t="shared" si="23"/>
        <v>0</v>
      </c>
      <c r="AE2040" s="32">
        <f t="shared" si="2"/>
        <v>0</v>
      </c>
      <c r="AF2040" s="32"/>
    </row>
    <row r="2041">
      <c r="A2041" s="86"/>
      <c r="B2041" s="87"/>
      <c r="C2041" s="88"/>
      <c r="D2041" s="104"/>
      <c r="E2041" s="104"/>
      <c r="F2041" s="104"/>
      <c r="G2041" s="104"/>
      <c r="H2041" s="104"/>
      <c r="I2041" s="104"/>
      <c r="J2041" s="104"/>
      <c r="K2041" s="32"/>
      <c r="L2041" s="32"/>
      <c r="M2041" s="32"/>
      <c r="N2041" s="32"/>
      <c r="O2041" s="106"/>
      <c r="P2041" s="91">
        <f>IFERROR(__xludf.DUMMYFUNCTION("IFERROR(sum(FILTER($D:$N,$C:$C = $C2041,$A:$A &lt; $A2041,$B:$B = 12)),0) + sum($D2041:$N2041)"),0.0)</f>
        <v>0</v>
      </c>
      <c r="Q2041" s="92">
        <f t="shared" si="1"/>
        <v>0</v>
      </c>
      <c r="R2041" s="91">
        <f t="array" ref="R2041">IFERROR(INDEX('Fund YTD Target Values'!$1:$1000, MATCH($C2041,'Fund YTD Target Values'!$A:$A,0), MATCH($A2041,'Fund YTD Target Values'!$1:$1,0)),0)</f>
        <v>0</v>
      </c>
      <c r="S2041" s="91">
        <f>IFERROR(__xludf.DUMMYFUNCTION("IFERROR(sum(FILTER('Fund Investment Data'!$V:$V, 'Fund Investment Data'!$C:$C = $C2041, 'Fund Investment Data'!$A:$A &lt; $A2041)),0) + IFERROR(sum(FILTER('Fund Investment Data'!$V:$V, 'Fund Investment Data'!$C:$C = $C2041, 'Fund Investment Data'!$A:$A = $A2"&amp;"041, 'Fund Investment Data'!$B:$B &lt;= $B2041)),0)"),0.0)</f>
        <v>0</v>
      </c>
      <c r="T2041" s="32"/>
      <c r="U2041" s="32"/>
      <c r="V2041" s="32">
        <f>IFERROR(__xludf.DUMMYFUNCTION("$D2041 - IFERROR(FILTER($D:$D,$C:$C = $C2041, $A:$A = $A2041, $B:$B = $B2041 - 1),0)"),0.0)</f>
        <v>0</v>
      </c>
      <c r="W2041" s="93">
        <f>IFERROR(__xludf.DUMMYFUNCTION("$E2041 - IFERROR(FILTER($E:$E,$C:$C = $C2041, $A:$A = $A2041, $B:$B = $B2041 - 1),0)"),0.0)</f>
        <v>0</v>
      </c>
      <c r="X2041" s="91">
        <f>IFERROR(__xludf.DUMMYFUNCTION("iFERROR((FILTER('Fund Investment Data'!$Z:$Z, 'Fund Investment Data'!$C:$C = $C2041, 'Fund Investment Data'!$A:$A = $A2041 - 1, 'Fund Investment Data'!$B:$B = 12) + FILTER('Fund Investment Data'!$AB:$AB, 'Fund Investment Data'!$C:$C = $C2041, 'Fund Invest"&amp;"ment Data'!$A:$A = $A2041 - 1, 'Fund Investment Data'!$B:$B = 12)) * (1 + AVERAGE(FILTER('Inflation Data'!$C:$C,'Inflation Data'!$A:$A = ($A2041 - 2)))) * Parameters!$A$4,0)"),0.0)</f>
        <v>0</v>
      </c>
      <c r="Y2041" s="91">
        <f>IFERROR(__xludf.DUMMYFUNCTION("IFERROR((IFERROR(FILTER('Fund Investment Data'!$P:$P,'Fund Investment Data'!$C:$C = $C2041,'Fund Investment Data'!$A:$A = ($A2041 - 2), 'Fund Investment Data'!$B:$B = 12),0) - SUM(FILTER('Fund Investment Data'!$V:$V, 'Fund Investment Data'!$C:$C = $C2041,"&amp;" 'Fund Investment Data'!$A:$A = ($A2041 - 2), 'Fund Investment Data'!$B:$B &gt; 3)))  * Parameters!$B$4 * (1 - Parameters!$A$4),0)"),0.0)</f>
        <v>0</v>
      </c>
      <c r="Z2041" s="91">
        <f t="shared" si="24"/>
        <v>0</v>
      </c>
      <c r="AA2041" s="91">
        <f>IFERROR(__xludf.DUMMYFUNCTION("((IFERROR((SUM(FILTER('Fund Investment Data'!$V:$V, 'Fund Investment Data'!$C:$C = $C2041, 'Fund Investment Data'!$A:$A = $A2041 - 1, 'Fund Investment Data'!$B:$B &gt;= 4, 'Fund Investment Data'!$B:$B &lt;= ($B2041 + 5))) / 12) * ($B2041 - 3) * Parameters!$B$4,"&amp;" 0) + IF($B2041 &gt;= 9, IFERROR(SUM(FILTER('Fund Investment Data'!$V:$V, 'Fund Investment Data'!$C:$C = $C2041, 'Fund Investment Data'!$A:$A = $A2041, 'Fund Investment Data'!$B:$B &lt;= 3)) * Parameters!$B$4, 0),0)))"),0.0)</f>
        <v>0</v>
      </c>
      <c r="AB2041" s="32">
        <f>IFERROR(__xludf.DUMMYFUNCTION("IFERROR(((IFERROR(SUM(FILTER('Fund Investment Data'!$V:$V, 'Fund Investment Data'!$C:$C = $C2041, 'Fund Investment Data'!$A:$A = $A2041 - 2, 'Fund Investment Data'!$B:$B &gt;= 4)) * Parameters!$B$4,0) + IFERROR(SUM(FILTER('Fund Investment Data'!$V:$V, 'Fund "&amp;"Investment Data'!$C:$C = $C2041, 'Fund Investment Data'!$A:$A = $A2041 - 1, 'Fund Investment Data'!$B:$B &lt;= 3)) * Parameters!$B$4,0))),0)"),0.0)</f>
        <v>0</v>
      </c>
      <c r="AC2041" s="32">
        <f>IFERROR(__xludf.DUMMYFUNCTION("IFERROR(FILTER($AF:$AF,$C:$C = $C2041,$A:$A = $A2041 - 1,$B:$B = 12),0)"),0.0)</f>
        <v>0</v>
      </c>
      <c r="AD2041" s="32">
        <f t="shared" si="23"/>
        <v>0</v>
      </c>
      <c r="AE2041" s="32">
        <f t="shared" si="2"/>
        <v>0</v>
      </c>
      <c r="AF2041" s="32"/>
    </row>
    <row r="2042">
      <c r="A2042" s="86"/>
      <c r="B2042" s="87"/>
      <c r="C2042" s="88"/>
      <c r="D2042" s="104"/>
      <c r="E2042" s="104"/>
      <c r="F2042" s="104"/>
      <c r="G2042" s="104"/>
      <c r="H2042" s="104"/>
      <c r="I2042" s="104"/>
      <c r="J2042" s="104"/>
      <c r="K2042" s="32"/>
      <c r="L2042" s="32"/>
      <c r="M2042" s="32"/>
      <c r="N2042" s="32"/>
      <c r="O2042" s="106"/>
      <c r="P2042" s="91">
        <f>IFERROR(__xludf.DUMMYFUNCTION("IFERROR(sum(FILTER($D:$N,$C:$C = $C2042,$A:$A &lt; $A2042,$B:$B = 12)),0) + sum($D2042:$N2042)"),0.0)</f>
        <v>0</v>
      </c>
      <c r="Q2042" s="92">
        <f t="shared" si="1"/>
        <v>0</v>
      </c>
      <c r="R2042" s="91">
        <f t="array" ref="R2042">IFERROR(INDEX('Fund YTD Target Values'!$1:$1000, MATCH($C2042,'Fund YTD Target Values'!$A:$A,0), MATCH($A2042,'Fund YTD Target Values'!$1:$1,0)),0)</f>
        <v>0</v>
      </c>
      <c r="S2042" s="91">
        <f>IFERROR(__xludf.DUMMYFUNCTION("IFERROR(sum(FILTER('Fund Investment Data'!$V:$V, 'Fund Investment Data'!$C:$C = $C2042, 'Fund Investment Data'!$A:$A &lt; $A2042)),0) + IFERROR(sum(FILTER('Fund Investment Data'!$V:$V, 'Fund Investment Data'!$C:$C = $C2042, 'Fund Investment Data'!$A:$A = $A2"&amp;"042, 'Fund Investment Data'!$B:$B &lt;= $B2042)),0)"),0.0)</f>
        <v>0</v>
      </c>
      <c r="T2042" s="32"/>
      <c r="U2042" s="32"/>
      <c r="V2042" s="32">
        <f>IFERROR(__xludf.DUMMYFUNCTION("$D2042 - IFERROR(FILTER($D:$D,$C:$C = $C2042, $A:$A = $A2042, $B:$B = $B2042 - 1),0)"),0.0)</f>
        <v>0</v>
      </c>
      <c r="W2042" s="93">
        <f>IFERROR(__xludf.DUMMYFUNCTION("$E2042 - IFERROR(FILTER($E:$E,$C:$C = $C2042, $A:$A = $A2042, $B:$B = $B2042 - 1),0)"),0.0)</f>
        <v>0</v>
      </c>
      <c r="X2042" s="91">
        <f>IFERROR(__xludf.DUMMYFUNCTION("iFERROR((FILTER('Fund Investment Data'!$Z:$Z, 'Fund Investment Data'!$C:$C = $C2042, 'Fund Investment Data'!$A:$A = $A2042 - 1, 'Fund Investment Data'!$B:$B = 12) + FILTER('Fund Investment Data'!$AB:$AB, 'Fund Investment Data'!$C:$C = $C2042, 'Fund Invest"&amp;"ment Data'!$A:$A = $A2042 - 1, 'Fund Investment Data'!$B:$B = 12)) * (1 + AVERAGE(FILTER('Inflation Data'!$C:$C,'Inflation Data'!$A:$A = ($A2042 - 2)))) * Parameters!$A$4,0)"),0.0)</f>
        <v>0</v>
      </c>
      <c r="Y2042" s="91">
        <f>IFERROR(__xludf.DUMMYFUNCTION("IFERROR((IFERROR(FILTER('Fund Investment Data'!$P:$P,'Fund Investment Data'!$C:$C = $C2042,'Fund Investment Data'!$A:$A = ($A2042 - 2), 'Fund Investment Data'!$B:$B = 12),0) - SUM(FILTER('Fund Investment Data'!$V:$V, 'Fund Investment Data'!$C:$C = $C2042,"&amp;" 'Fund Investment Data'!$A:$A = ($A2042 - 2), 'Fund Investment Data'!$B:$B &gt; 3)))  * Parameters!$B$4 * (1 - Parameters!$A$4),0)"),0.0)</f>
        <v>0</v>
      </c>
      <c r="Z2042" s="91">
        <f t="shared" si="24"/>
        <v>0</v>
      </c>
      <c r="AA2042" s="91">
        <f>IFERROR(__xludf.DUMMYFUNCTION("((IFERROR((SUM(FILTER('Fund Investment Data'!$V:$V, 'Fund Investment Data'!$C:$C = $C2042, 'Fund Investment Data'!$A:$A = $A2042 - 1, 'Fund Investment Data'!$B:$B &gt;= 4, 'Fund Investment Data'!$B:$B &lt;= ($B2042 + 5))) / 12) * ($B2042 - 3) * Parameters!$B$4,"&amp;" 0) + IF($B2042 &gt;= 9, IFERROR(SUM(FILTER('Fund Investment Data'!$V:$V, 'Fund Investment Data'!$C:$C = $C2042, 'Fund Investment Data'!$A:$A = $A2042, 'Fund Investment Data'!$B:$B &lt;= 3)) * Parameters!$B$4, 0),0)))"),0.0)</f>
        <v>0</v>
      </c>
      <c r="AB2042" s="32">
        <f>IFERROR(__xludf.DUMMYFUNCTION("IFERROR(((IFERROR(SUM(FILTER('Fund Investment Data'!$V:$V, 'Fund Investment Data'!$C:$C = $C2042, 'Fund Investment Data'!$A:$A = $A2042 - 2, 'Fund Investment Data'!$B:$B &gt;= 4)) * Parameters!$B$4,0) + IFERROR(SUM(FILTER('Fund Investment Data'!$V:$V, 'Fund "&amp;"Investment Data'!$C:$C = $C2042, 'Fund Investment Data'!$A:$A = $A2042 - 1, 'Fund Investment Data'!$B:$B &lt;= 3)) * Parameters!$B$4,0))),0)"),0.0)</f>
        <v>0</v>
      </c>
      <c r="AC2042" s="32">
        <f>IFERROR(__xludf.DUMMYFUNCTION("IFERROR(FILTER($AF:$AF,$C:$C = $C2042,$A:$A = $A2042 - 1,$B:$B = 12),0)"),0.0)</f>
        <v>0</v>
      </c>
      <c r="AD2042" s="32">
        <f t="shared" si="23"/>
        <v>0</v>
      </c>
      <c r="AE2042" s="32">
        <f t="shared" si="2"/>
        <v>0</v>
      </c>
      <c r="AF2042" s="32"/>
    </row>
    <row r="2043">
      <c r="A2043" s="86"/>
      <c r="B2043" s="87"/>
      <c r="C2043" s="88"/>
      <c r="D2043" s="104"/>
      <c r="E2043" s="104"/>
      <c r="F2043" s="104"/>
      <c r="G2043" s="104"/>
      <c r="H2043" s="104"/>
      <c r="I2043" s="104"/>
      <c r="J2043" s="104"/>
      <c r="K2043" s="32"/>
      <c r="L2043" s="32"/>
      <c r="M2043" s="32"/>
      <c r="N2043" s="32"/>
      <c r="O2043" s="106"/>
      <c r="P2043" s="91">
        <f>IFERROR(__xludf.DUMMYFUNCTION("IFERROR(sum(FILTER($D:$N,$C:$C = $C2043,$A:$A &lt; $A2043,$B:$B = 12)),0) + sum($D2043:$N2043)"),0.0)</f>
        <v>0</v>
      </c>
      <c r="Q2043" s="92">
        <f t="shared" si="1"/>
        <v>0</v>
      </c>
      <c r="R2043" s="91">
        <f t="array" ref="R2043">IFERROR(INDEX('Fund YTD Target Values'!$1:$1000, MATCH($C2043,'Fund YTD Target Values'!$A:$A,0), MATCH($A2043,'Fund YTD Target Values'!$1:$1,0)),0)</f>
        <v>0</v>
      </c>
      <c r="S2043" s="91">
        <f>IFERROR(__xludf.DUMMYFUNCTION("IFERROR(sum(FILTER('Fund Investment Data'!$V:$V, 'Fund Investment Data'!$C:$C = $C2043, 'Fund Investment Data'!$A:$A &lt; $A2043)),0) + IFERROR(sum(FILTER('Fund Investment Data'!$V:$V, 'Fund Investment Data'!$C:$C = $C2043, 'Fund Investment Data'!$A:$A = $A2"&amp;"043, 'Fund Investment Data'!$B:$B &lt;= $B2043)),0)"),0.0)</f>
        <v>0</v>
      </c>
      <c r="T2043" s="32"/>
      <c r="U2043" s="32"/>
      <c r="V2043" s="32">
        <f>IFERROR(__xludf.DUMMYFUNCTION("$D2043 - IFERROR(FILTER($D:$D,$C:$C = $C2043, $A:$A = $A2043, $B:$B = $B2043 - 1),0)"),0.0)</f>
        <v>0</v>
      </c>
      <c r="W2043" s="93">
        <f>IFERROR(__xludf.DUMMYFUNCTION("$E2043 - IFERROR(FILTER($E:$E,$C:$C = $C2043, $A:$A = $A2043, $B:$B = $B2043 - 1),0)"),0.0)</f>
        <v>0</v>
      </c>
      <c r="X2043" s="91">
        <f>IFERROR(__xludf.DUMMYFUNCTION("iFERROR((FILTER('Fund Investment Data'!$Z:$Z, 'Fund Investment Data'!$C:$C = $C2043, 'Fund Investment Data'!$A:$A = $A2043 - 1, 'Fund Investment Data'!$B:$B = 12) + FILTER('Fund Investment Data'!$AB:$AB, 'Fund Investment Data'!$C:$C = $C2043, 'Fund Invest"&amp;"ment Data'!$A:$A = $A2043 - 1, 'Fund Investment Data'!$B:$B = 12)) * (1 + AVERAGE(FILTER('Inflation Data'!$C:$C,'Inflation Data'!$A:$A = ($A2043 - 2)))) * Parameters!$A$4,0)"),0.0)</f>
        <v>0</v>
      </c>
      <c r="Y2043" s="91">
        <f>IFERROR(__xludf.DUMMYFUNCTION("IFERROR((IFERROR(FILTER('Fund Investment Data'!$P:$P,'Fund Investment Data'!$C:$C = $C2043,'Fund Investment Data'!$A:$A = ($A2043 - 2), 'Fund Investment Data'!$B:$B = 12),0) - SUM(FILTER('Fund Investment Data'!$V:$V, 'Fund Investment Data'!$C:$C = $C2043,"&amp;" 'Fund Investment Data'!$A:$A = ($A2043 - 2), 'Fund Investment Data'!$B:$B &gt; 3)))  * Parameters!$B$4 * (1 - Parameters!$A$4),0)"),0.0)</f>
        <v>0</v>
      </c>
      <c r="Z2043" s="91">
        <f t="shared" si="24"/>
        <v>0</v>
      </c>
      <c r="AA2043" s="91">
        <f>IFERROR(__xludf.DUMMYFUNCTION("((IFERROR((SUM(FILTER('Fund Investment Data'!$V:$V, 'Fund Investment Data'!$C:$C = $C2043, 'Fund Investment Data'!$A:$A = $A2043 - 1, 'Fund Investment Data'!$B:$B &gt;= 4, 'Fund Investment Data'!$B:$B &lt;= ($B2043 + 5))) / 12) * ($B2043 - 3) * Parameters!$B$4,"&amp;" 0) + IF($B2043 &gt;= 9, IFERROR(SUM(FILTER('Fund Investment Data'!$V:$V, 'Fund Investment Data'!$C:$C = $C2043, 'Fund Investment Data'!$A:$A = $A2043, 'Fund Investment Data'!$B:$B &lt;= 3)) * Parameters!$B$4, 0),0)))"),0.0)</f>
        <v>0</v>
      </c>
      <c r="AB2043" s="32">
        <f>IFERROR(__xludf.DUMMYFUNCTION("IFERROR(((IFERROR(SUM(FILTER('Fund Investment Data'!$V:$V, 'Fund Investment Data'!$C:$C = $C2043, 'Fund Investment Data'!$A:$A = $A2043 - 2, 'Fund Investment Data'!$B:$B &gt;= 4)) * Parameters!$B$4,0) + IFERROR(SUM(FILTER('Fund Investment Data'!$V:$V, 'Fund "&amp;"Investment Data'!$C:$C = $C2043, 'Fund Investment Data'!$A:$A = $A2043 - 1, 'Fund Investment Data'!$B:$B &lt;= 3)) * Parameters!$B$4,0))),0)"),0.0)</f>
        <v>0</v>
      </c>
      <c r="AC2043" s="32">
        <f>IFERROR(__xludf.DUMMYFUNCTION("IFERROR(FILTER($AF:$AF,$C:$C = $C2043,$A:$A = $A2043 - 1,$B:$B = 12),0)"),0.0)</f>
        <v>0</v>
      </c>
      <c r="AD2043" s="32">
        <f t="shared" si="23"/>
        <v>0</v>
      </c>
      <c r="AE2043" s="32">
        <f t="shared" si="2"/>
        <v>0</v>
      </c>
      <c r="AF2043" s="32"/>
    </row>
    <row r="2044">
      <c r="A2044" s="86"/>
      <c r="B2044" s="87"/>
      <c r="C2044" s="88"/>
      <c r="D2044" s="104"/>
      <c r="E2044" s="104"/>
      <c r="F2044" s="104"/>
      <c r="G2044" s="104"/>
      <c r="H2044" s="104"/>
      <c r="I2044" s="104"/>
      <c r="J2044" s="104"/>
      <c r="K2044" s="32"/>
      <c r="L2044" s="32"/>
      <c r="M2044" s="32"/>
      <c r="N2044" s="32"/>
      <c r="O2044" s="106"/>
      <c r="P2044" s="91">
        <f>IFERROR(__xludf.DUMMYFUNCTION("IFERROR(sum(FILTER($D:$N,$C:$C = $C2044,$A:$A &lt; $A2044,$B:$B = 12)),0) + sum($D2044:$N2044)"),0.0)</f>
        <v>0</v>
      </c>
      <c r="Q2044" s="92">
        <f t="shared" si="1"/>
        <v>0</v>
      </c>
      <c r="R2044" s="91">
        <f t="array" ref="R2044">IFERROR(INDEX('Fund YTD Target Values'!$1:$1000, MATCH($C2044,'Fund YTD Target Values'!$A:$A,0), MATCH($A2044,'Fund YTD Target Values'!$1:$1,0)),0)</f>
        <v>0</v>
      </c>
      <c r="S2044" s="91">
        <f>IFERROR(__xludf.DUMMYFUNCTION("IFERROR(sum(FILTER('Fund Investment Data'!$V:$V, 'Fund Investment Data'!$C:$C = $C2044, 'Fund Investment Data'!$A:$A &lt; $A2044)),0) + IFERROR(sum(FILTER('Fund Investment Data'!$V:$V, 'Fund Investment Data'!$C:$C = $C2044, 'Fund Investment Data'!$A:$A = $A2"&amp;"044, 'Fund Investment Data'!$B:$B &lt;= $B2044)),0)"),0.0)</f>
        <v>0</v>
      </c>
      <c r="T2044" s="32"/>
      <c r="U2044" s="32"/>
      <c r="V2044" s="32">
        <f>IFERROR(__xludf.DUMMYFUNCTION("$D2044 - IFERROR(FILTER($D:$D,$C:$C = $C2044, $A:$A = $A2044, $B:$B = $B2044 - 1),0)"),0.0)</f>
        <v>0</v>
      </c>
      <c r="W2044" s="93">
        <f>IFERROR(__xludf.DUMMYFUNCTION("$E2044 - IFERROR(FILTER($E:$E,$C:$C = $C2044, $A:$A = $A2044, $B:$B = $B2044 - 1),0)"),0.0)</f>
        <v>0</v>
      </c>
      <c r="X2044" s="91">
        <f>IFERROR(__xludf.DUMMYFUNCTION("iFERROR((FILTER('Fund Investment Data'!$Z:$Z, 'Fund Investment Data'!$C:$C = $C2044, 'Fund Investment Data'!$A:$A = $A2044 - 1, 'Fund Investment Data'!$B:$B = 12) + FILTER('Fund Investment Data'!$AB:$AB, 'Fund Investment Data'!$C:$C = $C2044, 'Fund Invest"&amp;"ment Data'!$A:$A = $A2044 - 1, 'Fund Investment Data'!$B:$B = 12)) * (1 + AVERAGE(FILTER('Inflation Data'!$C:$C,'Inflation Data'!$A:$A = ($A2044 - 2)))) * Parameters!$A$4,0)"),0.0)</f>
        <v>0</v>
      </c>
      <c r="Y2044" s="91">
        <f>IFERROR(__xludf.DUMMYFUNCTION("IFERROR((IFERROR(FILTER('Fund Investment Data'!$P:$P,'Fund Investment Data'!$C:$C = $C2044,'Fund Investment Data'!$A:$A = ($A2044 - 2), 'Fund Investment Data'!$B:$B = 12),0) - SUM(FILTER('Fund Investment Data'!$V:$V, 'Fund Investment Data'!$C:$C = $C2044,"&amp;" 'Fund Investment Data'!$A:$A = ($A2044 - 2), 'Fund Investment Data'!$B:$B &gt; 3)))  * Parameters!$B$4 * (1 - Parameters!$A$4),0)"),0.0)</f>
        <v>0</v>
      </c>
      <c r="Z2044" s="91">
        <f t="shared" si="24"/>
        <v>0</v>
      </c>
      <c r="AA2044" s="91">
        <f>IFERROR(__xludf.DUMMYFUNCTION("((IFERROR((SUM(FILTER('Fund Investment Data'!$V:$V, 'Fund Investment Data'!$C:$C = $C2044, 'Fund Investment Data'!$A:$A = $A2044 - 1, 'Fund Investment Data'!$B:$B &gt;= 4, 'Fund Investment Data'!$B:$B &lt;= ($B2044 + 5))) / 12) * ($B2044 - 3) * Parameters!$B$4,"&amp;" 0) + IF($B2044 &gt;= 9, IFERROR(SUM(FILTER('Fund Investment Data'!$V:$V, 'Fund Investment Data'!$C:$C = $C2044, 'Fund Investment Data'!$A:$A = $A2044, 'Fund Investment Data'!$B:$B &lt;= 3)) * Parameters!$B$4, 0),0)))"),0.0)</f>
        <v>0</v>
      </c>
      <c r="AB2044" s="32">
        <f>IFERROR(__xludf.DUMMYFUNCTION("IFERROR(((IFERROR(SUM(FILTER('Fund Investment Data'!$V:$V, 'Fund Investment Data'!$C:$C = $C2044, 'Fund Investment Data'!$A:$A = $A2044 - 2, 'Fund Investment Data'!$B:$B &gt;= 4)) * Parameters!$B$4,0) + IFERROR(SUM(FILTER('Fund Investment Data'!$V:$V, 'Fund "&amp;"Investment Data'!$C:$C = $C2044, 'Fund Investment Data'!$A:$A = $A2044 - 1, 'Fund Investment Data'!$B:$B &lt;= 3)) * Parameters!$B$4,0))),0)"),0.0)</f>
        <v>0</v>
      </c>
      <c r="AC2044" s="32">
        <f>IFERROR(__xludf.DUMMYFUNCTION("IFERROR(FILTER($AF:$AF,$C:$C = $C2044,$A:$A = $A2044 - 1,$B:$B = 12),0)"),0.0)</f>
        <v>0</v>
      </c>
      <c r="AD2044" s="32">
        <f t="shared" si="23"/>
        <v>0</v>
      </c>
      <c r="AE2044" s="32">
        <f t="shared" si="2"/>
        <v>0</v>
      </c>
      <c r="AF2044" s="32"/>
    </row>
    <row r="2045">
      <c r="A2045" s="86"/>
      <c r="B2045" s="87"/>
      <c r="C2045" s="88"/>
      <c r="D2045" s="104"/>
      <c r="E2045" s="104"/>
      <c r="F2045" s="104"/>
      <c r="G2045" s="104"/>
      <c r="H2045" s="104"/>
      <c r="I2045" s="104"/>
      <c r="J2045" s="104"/>
      <c r="K2045" s="32"/>
      <c r="L2045" s="32"/>
      <c r="M2045" s="32"/>
      <c r="N2045" s="32"/>
      <c r="O2045" s="106"/>
      <c r="P2045" s="91">
        <f>IFERROR(__xludf.DUMMYFUNCTION("IFERROR(sum(FILTER($D:$N,$C:$C = $C2045,$A:$A &lt; $A2045,$B:$B = 12)),0) + sum($D2045:$N2045)"),0.0)</f>
        <v>0</v>
      </c>
      <c r="Q2045" s="92">
        <f t="shared" si="1"/>
        <v>0</v>
      </c>
      <c r="R2045" s="91">
        <f t="array" ref="R2045">IFERROR(INDEX('Fund YTD Target Values'!$1:$1000, MATCH($C2045,'Fund YTD Target Values'!$A:$A,0), MATCH($A2045,'Fund YTD Target Values'!$1:$1,0)),0)</f>
        <v>0</v>
      </c>
      <c r="S2045" s="91">
        <f>IFERROR(__xludf.DUMMYFUNCTION("IFERROR(sum(FILTER('Fund Investment Data'!$V:$V, 'Fund Investment Data'!$C:$C = $C2045, 'Fund Investment Data'!$A:$A &lt; $A2045)),0) + IFERROR(sum(FILTER('Fund Investment Data'!$V:$V, 'Fund Investment Data'!$C:$C = $C2045, 'Fund Investment Data'!$A:$A = $A2"&amp;"045, 'Fund Investment Data'!$B:$B &lt;= $B2045)),0)"),0.0)</f>
        <v>0</v>
      </c>
      <c r="T2045" s="32"/>
      <c r="U2045" s="32"/>
      <c r="V2045" s="32">
        <f>IFERROR(__xludf.DUMMYFUNCTION("$D2045 - IFERROR(FILTER($D:$D,$C:$C = $C2045, $A:$A = $A2045, $B:$B = $B2045 - 1),0)"),0.0)</f>
        <v>0</v>
      </c>
      <c r="W2045" s="93">
        <f>IFERROR(__xludf.DUMMYFUNCTION("$E2045 - IFERROR(FILTER($E:$E,$C:$C = $C2045, $A:$A = $A2045, $B:$B = $B2045 - 1),0)"),0.0)</f>
        <v>0</v>
      </c>
      <c r="X2045" s="91">
        <f>IFERROR(__xludf.DUMMYFUNCTION("iFERROR((FILTER('Fund Investment Data'!$Z:$Z, 'Fund Investment Data'!$C:$C = $C2045, 'Fund Investment Data'!$A:$A = $A2045 - 1, 'Fund Investment Data'!$B:$B = 12) + FILTER('Fund Investment Data'!$AB:$AB, 'Fund Investment Data'!$C:$C = $C2045, 'Fund Invest"&amp;"ment Data'!$A:$A = $A2045 - 1, 'Fund Investment Data'!$B:$B = 12)) * (1 + AVERAGE(FILTER('Inflation Data'!$C:$C,'Inflation Data'!$A:$A = ($A2045 - 2)))) * Parameters!$A$4,0)"),0.0)</f>
        <v>0</v>
      </c>
      <c r="Y2045" s="91">
        <f>IFERROR(__xludf.DUMMYFUNCTION("IFERROR((IFERROR(FILTER('Fund Investment Data'!$P:$P,'Fund Investment Data'!$C:$C = $C2045,'Fund Investment Data'!$A:$A = ($A2045 - 2), 'Fund Investment Data'!$B:$B = 12),0) - SUM(FILTER('Fund Investment Data'!$V:$V, 'Fund Investment Data'!$C:$C = $C2045,"&amp;" 'Fund Investment Data'!$A:$A = ($A2045 - 2), 'Fund Investment Data'!$B:$B &gt; 3)))  * Parameters!$B$4 * (1 - Parameters!$A$4),0)"),0.0)</f>
        <v>0</v>
      </c>
      <c r="Z2045" s="91">
        <f t="shared" si="24"/>
        <v>0</v>
      </c>
      <c r="AA2045" s="91">
        <f>IFERROR(__xludf.DUMMYFUNCTION("((IFERROR((SUM(FILTER('Fund Investment Data'!$V:$V, 'Fund Investment Data'!$C:$C = $C2045, 'Fund Investment Data'!$A:$A = $A2045 - 1, 'Fund Investment Data'!$B:$B &gt;= 4, 'Fund Investment Data'!$B:$B &lt;= ($B2045 + 5))) / 12) * ($B2045 - 3) * Parameters!$B$4,"&amp;" 0) + IF($B2045 &gt;= 9, IFERROR(SUM(FILTER('Fund Investment Data'!$V:$V, 'Fund Investment Data'!$C:$C = $C2045, 'Fund Investment Data'!$A:$A = $A2045, 'Fund Investment Data'!$B:$B &lt;= 3)) * Parameters!$B$4, 0),0)))"),0.0)</f>
        <v>0</v>
      </c>
      <c r="AB2045" s="32">
        <f>IFERROR(__xludf.DUMMYFUNCTION("IFERROR(((IFERROR(SUM(FILTER('Fund Investment Data'!$V:$V, 'Fund Investment Data'!$C:$C = $C2045, 'Fund Investment Data'!$A:$A = $A2045 - 2, 'Fund Investment Data'!$B:$B &gt;= 4)) * Parameters!$B$4,0) + IFERROR(SUM(FILTER('Fund Investment Data'!$V:$V, 'Fund "&amp;"Investment Data'!$C:$C = $C2045, 'Fund Investment Data'!$A:$A = $A2045 - 1, 'Fund Investment Data'!$B:$B &lt;= 3)) * Parameters!$B$4,0))),0)"),0.0)</f>
        <v>0</v>
      </c>
      <c r="AC2045" s="32">
        <f>IFERROR(__xludf.DUMMYFUNCTION("IFERROR(FILTER($AF:$AF,$C:$C = $C2045,$A:$A = $A2045 - 1,$B:$B = 12),0)"),0.0)</f>
        <v>0</v>
      </c>
      <c r="AD2045" s="32">
        <f t="shared" si="23"/>
        <v>0</v>
      </c>
      <c r="AE2045" s="32">
        <f t="shared" si="2"/>
        <v>0</v>
      </c>
      <c r="AF2045" s="32"/>
    </row>
    <row r="2046">
      <c r="A2046" s="86"/>
      <c r="B2046" s="87"/>
      <c r="C2046" s="88"/>
      <c r="D2046" s="104"/>
      <c r="E2046" s="104"/>
      <c r="F2046" s="104"/>
      <c r="G2046" s="104"/>
      <c r="H2046" s="104"/>
      <c r="I2046" s="104"/>
      <c r="J2046" s="104"/>
      <c r="K2046" s="32"/>
      <c r="L2046" s="32"/>
      <c r="M2046" s="32"/>
      <c r="N2046" s="32"/>
      <c r="O2046" s="106"/>
      <c r="P2046" s="91">
        <f>IFERROR(__xludf.DUMMYFUNCTION("IFERROR(sum(FILTER($D:$N,$C:$C = $C2046,$A:$A &lt; $A2046,$B:$B = 12)),0) + sum($D2046:$N2046)"),0.0)</f>
        <v>0</v>
      </c>
      <c r="Q2046" s="92">
        <f t="shared" si="1"/>
        <v>0</v>
      </c>
      <c r="R2046" s="91">
        <f t="array" ref="R2046">IFERROR(INDEX('Fund YTD Target Values'!$1:$1000, MATCH($C2046,'Fund YTD Target Values'!$A:$A,0), MATCH($A2046,'Fund YTD Target Values'!$1:$1,0)),0)</f>
        <v>0</v>
      </c>
      <c r="S2046" s="91">
        <f>IFERROR(__xludf.DUMMYFUNCTION("IFERROR(sum(FILTER('Fund Investment Data'!$V:$V, 'Fund Investment Data'!$C:$C = $C2046, 'Fund Investment Data'!$A:$A &lt; $A2046)),0) + IFERROR(sum(FILTER('Fund Investment Data'!$V:$V, 'Fund Investment Data'!$C:$C = $C2046, 'Fund Investment Data'!$A:$A = $A2"&amp;"046, 'Fund Investment Data'!$B:$B &lt;= $B2046)),0)"),0.0)</f>
        <v>0</v>
      </c>
      <c r="T2046" s="32"/>
      <c r="U2046" s="32"/>
      <c r="V2046" s="32">
        <f>IFERROR(__xludf.DUMMYFUNCTION("$D2046 - IFERROR(FILTER($D:$D,$C:$C = $C2046, $A:$A = $A2046, $B:$B = $B2046 - 1),0)"),0.0)</f>
        <v>0</v>
      </c>
      <c r="W2046" s="93">
        <f>IFERROR(__xludf.DUMMYFUNCTION("$E2046 - IFERROR(FILTER($E:$E,$C:$C = $C2046, $A:$A = $A2046, $B:$B = $B2046 - 1),0)"),0.0)</f>
        <v>0</v>
      </c>
      <c r="X2046" s="91">
        <f>IFERROR(__xludf.DUMMYFUNCTION("iFERROR((FILTER('Fund Investment Data'!$Z:$Z, 'Fund Investment Data'!$C:$C = $C2046, 'Fund Investment Data'!$A:$A = $A2046 - 1, 'Fund Investment Data'!$B:$B = 12) + FILTER('Fund Investment Data'!$AB:$AB, 'Fund Investment Data'!$C:$C = $C2046, 'Fund Invest"&amp;"ment Data'!$A:$A = $A2046 - 1, 'Fund Investment Data'!$B:$B = 12)) * (1 + AVERAGE(FILTER('Inflation Data'!$C:$C,'Inflation Data'!$A:$A = ($A2046 - 2)))) * Parameters!$A$4,0)"),0.0)</f>
        <v>0</v>
      </c>
      <c r="Y2046" s="91">
        <f>IFERROR(__xludf.DUMMYFUNCTION("IFERROR((IFERROR(FILTER('Fund Investment Data'!$P:$P,'Fund Investment Data'!$C:$C = $C2046,'Fund Investment Data'!$A:$A = ($A2046 - 2), 'Fund Investment Data'!$B:$B = 12),0) - SUM(FILTER('Fund Investment Data'!$V:$V, 'Fund Investment Data'!$C:$C = $C2046,"&amp;" 'Fund Investment Data'!$A:$A = ($A2046 - 2), 'Fund Investment Data'!$B:$B &gt; 3)))  * Parameters!$B$4 * (1 - Parameters!$A$4),0)"),0.0)</f>
        <v>0</v>
      </c>
      <c r="Z2046" s="91">
        <f t="shared" si="24"/>
        <v>0</v>
      </c>
      <c r="AA2046" s="91">
        <f>IFERROR(__xludf.DUMMYFUNCTION("((IFERROR((SUM(FILTER('Fund Investment Data'!$V:$V, 'Fund Investment Data'!$C:$C = $C2046, 'Fund Investment Data'!$A:$A = $A2046 - 1, 'Fund Investment Data'!$B:$B &gt;= 4, 'Fund Investment Data'!$B:$B &lt;= ($B2046 + 5))) / 12) * ($B2046 - 3) * Parameters!$B$4,"&amp;" 0) + IF($B2046 &gt;= 9, IFERROR(SUM(FILTER('Fund Investment Data'!$V:$V, 'Fund Investment Data'!$C:$C = $C2046, 'Fund Investment Data'!$A:$A = $A2046, 'Fund Investment Data'!$B:$B &lt;= 3)) * Parameters!$B$4, 0),0)))"),0.0)</f>
        <v>0</v>
      </c>
      <c r="AB2046" s="32">
        <f>IFERROR(__xludf.DUMMYFUNCTION("IFERROR(((IFERROR(SUM(FILTER('Fund Investment Data'!$V:$V, 'Fund Investment Data'!$C:$C = $C2046, 'Fund Investment Data'!$A:$A = $A2046 - 2, 'Fund Investment Data'!$B:$B &gt;= 4)) * Parameters!$B$4,0) + IFERROR(SUM(FILTER('Fund Investment Data'!$V:$V, 'Fund "&amp;"Investment Data'!$C:$C = $C2046, 'Fund Investment Data'!$A:$A = $A2046 - 1, 'Fund Investment Data'!$B:$B &lt;= 3)) * Parameters!$B$4,0))),0)"),0.0)</f>
        <v>0</v>
      </c>
      <c r="AC2046" s="32">
        <f>IFERROR(__xludf.DUMMYFUNCTION("IFERROR(FILTER($AF:$AF,$C:$C = $C2046,$A:$A = $A2046 - 1,$B:$B = 12),0)"),0.0)</f>
        <v>0</v>
      </c>
      <c r="AD2046" s="32">
        <f t="shared" si="23"/>
        <v>0</v>
      </c>
      <c r="AE2046" s="32">
        <f t="shared" si="2"/>
        <v>0</v>
      </c>
      <c r="AF2046" s="32"/>
    </row>
    <row r="2047">
      <c r="A2047" s="86"/>
      <c r="B2047" s="87"/>
      <c r="C2047" s="88"/>
      <c r="D2047" s="104"/>
      <c r="E2047" s="104"/>
      <c r="F2047" s="104"/>
      <c r="G2047" s="104"/>
      <c r="H2047" s="104"/>
      <c r="I2047" s="104"/>
      <c r="J2047" s="104"/>
      <c r="K2047" s="32"/>
      <c r="L2047" s="32"/>
      <c r="M2047" s="32"/>
      <c r="N2047" s="32"/>
      <c r="O2047" s="106"/>
      <c r="P2047" s="91">
        <f>IFERROR(__xludf.DUMMYFUNCTION("IFERROR(sum(FILTER($D:$N,$C:$C = $C2047,$A:$A &lt; $A2047,$B:$B = 12)),0) + sum($D2047:$N2047)"),0.0)</f>
        <v>0</v>
      </c>
      <c r="Q2047" s="92">
        <f t="shared" si="1"/>
        <v>0</v>
      </c>
      <c r="R2047" s="91">
        <f t="array" ref="R2047">IFERROR(INDEX('Fund YTD Target Values'!$1:$1000, MATCH($C2047,'Fund YTD Target Values'!$A:$A,0), MATCH($A2047,'Fund YTD Target Values'!$1:$1,0)),0)</f>
        <v>0</v>
      </c>
      <c r="S2047" s="91">
        <f>IFERROR(__xludf.DUMMYFUNCTION("IFERROR(sum(FILTER('Fund Investment Data'!$V:$V, 'Fund Investment Data'!$C:$C = $C2047, 'Fund Investment Data'!$A:$A &lt; $A2047)),0) + IFERROR(sum(FILTER('Fund Investment Data'!$V:$V, 'Fund Investment Data'!$C:$C = $C2047, 'Fund Investment Data'!$A:$A = $A2"&amp;"047, 'Fund Investment Data'!$B:$B &lt;= $B2047)),0)"),0.0)</f>
        <v>0</v>
      </c>
      <c r="T2047" s="32"/>
      <c r="U2047" s="32"/>
      <c r="V2047" s="32">
        <f>IFERROR(__xludf.DUMMYFUNCTION("$D2047 - IFERROR(FILTER($D:$D,$C:$C = $C2047, $A:$A = $A2047, $B:$B = $B2047 - 1),0)"),0.0)</f>
        <v>0</v>
      </c>
      <c r="W2047" s="93">
        <f>IFERROR(__xludf.DUMMYFUNCTION("$E2047 - IFERROR(FILTER($E:$E,$C:$C = $C2047, $A:$A = $A2047, $B:$B = $B2047 - 1),0)"),0.0)</f>
        <v>0</v>
      </c>
      <c r="X2047" s="91">
        <f>IFERROR(__xludf.DUMMYFUNCTION("iFERROR((FILTER('Fund Investment Data'!$Z:$Z, 'Fund Investment Data'!$C:$C = $C2047, 'Fund Investment Data'!$A:$A = $A2047 - 1, 'Fund Investment Data'!$B:$B = 12) + FILTER('Fund Investment Data'!$AB:$AB, 'Fund Investment Data'!$C:$C = $C2047, 'Fund Invest"&amp;"ment Data'!$A:$A = $A2047 - 1, 'Fund Investment Data'!$B:$B = 12)) * (1 + AVERAGE(FILTER('Inflation Data'!$C:$C,'Inflation Data'!$A:$A = ($A2047 - 2)))) * Parameters!$A$4,0)"),0.0)</f>
        <v>0</v>
      </c>
      <c r="Y2047" s="91">
        <f>IFERROR(__xludf.DUMMYFUNCTION("IFERROR((IFERROR(FILTER('Fund Investment Data'!$P:$P,'Fund Investment Data'!$C:$C = $C2047,'Fund Investment Data'!$A:$A = ($A2047 - 2), 'Fund Investment Data'!$B:$B = 12),0) - SUM(FILTER('Fund Investment Data'!$V:$V, 'Fund Investment Data'!$C:$C = $C2047,"&amp;" 'Fund Investment Data'!$A:$A = ($A2047 - 2), 'Fund Investment Data'!$B:$B &gt; 3)))  * Parameters!$B$4 * (1 - Parameters!$A$4),0)"),0.0)</f>
        <v>0</v>
      </c>
      <c r="Z2047" s="91">
        <f t="shared" si="24"/>
        <v>0</v>
      </c>
      <c r="AA2047" s="91">
        <f>IFERROR(__xludf.DUMMYFUNCTION("((IFERROR((SUM(FILTER('Fund Investment Data'!$V:$V, 'Fund Investment Data'!$C:$C = $C2047, 'Fund Investment Data'!$A:$A = $A2047 - 1, 'Fund Investment Data'!$B:$B &gt;= 4, 'Fund Investment Data'!$B:$B &lt;= ($B2047 + 5))) / 12) * ($B2047 - 3) * Parameters!$B$4,"&amp;" 0) + IF($B2047 &gt;= 9, IFERROR(SUM(FILTER('Fund Investment Data'!$V:$V, 'Fund Investment Data'!$C:$C = $C2047, 'Fund Investment Data'!$A:$A = $A2047, 'Fund Investment Data'!$B:$B &lt;= 3)) * Parameters!$B$4, 0),0)))"),0.0)</f>
        <v>0</v>
      </c>
      <c r="AB2047" s="32">
        <f>IFERROR(__xludf.DUMMYFUNCTION("IFERROR(((IFERROR(SUM(FILTER('Fund Investment Data'!$V:$V, 'Fund Investment Data'!$C:$C = $C2047, 'Fund Investment Data'!$A:$A = $A2047 - 2, 'Fund Investment Data'!$B:$B &gt;= 4)) * Parameters!$B$4,0) + IFERROR(SUM(FILTER('Fund Investment Data'!$V:$V, 'Fund "&amp;"Investment Data'!$C:$C = $C2047, 'Fund Investment Data'!$A:$A = $A2047 - 1, 'Fund Investment Data'!$B:$B &lt;= 3)) * Parameters!$B$4,0))),0)"),0.0)</f>
        <v>0</v>
      </c>
      <c r="AC2047" s="32">
        <f>IFERROR(__xludf.DUMMYFUNCTION("IFERROR(FILTER($AF:$AF,$C:$C = $C2047,$A:$A = $A2047 - 1,$B:$B = 12),0)"),0.0)</f>
        <v>0</v>
      </c>
      <c r="AD2047" s="32">
        <f t="shared" si="23"/>
        <v>0</v>
      </c>
      <c r="AE2047" s="32">
        <f t="shared" si="2"/>
        <v>0</v>
      </c>
      <c r="AF2047" s="32"/>
    </row>
    <row r="2048">
      <c r="A2048" s="86"/>
      <c r="B2048" s="87"/>
      <c r="C2048" s="88"/>
      <c r="D2048" s="104"/>
      <c r="E2048" s="104"/>
      <c r="F2048" s="104"/>
      <c r="G2048" s="104"/>
      <c r="H2048" s="104"/>
      <c r="I2048" s="104"/>
      <c r="J2048" s="104"/>
      <c r="K2048" s="32"/>
      <c r="L2048" s="32"/>
      <c r="M2048" s="32"/>
      <c r="N2048" s="32"/>
      <c r="O2048" s="106"/>
      <c r="P2048" s="91">
        <f>IFERROR(__xludf.DUMMYFUNCTION("IFERROR(sum(FILTER($D:$N,$C:$C = $C2048,$A:$A &lt; $A2048,$B:$B = 12)),0) + sum($D2048:$N2048)"),0.0)</f>
        <v>0</v>
      </c>
      <c r="Q2048" s="92">
        <f t="shared" si="1"/>
        <v>0</v>
      </c>
      <c r="R2048" s="91">
        <f t="array" ref="R2048">IFERROR(INDEX('Fund YTD Target Values'!$1:$1000, MATCH($C2048,'Fund YTD Target Values'!$A:$A,0), MATCH($A2048,'Fund YTD Target Values'!$1:$1,0)),0)</f>
        <v>0</v>
      </c>
      <c r="S2048" s="91">
        <f>IFERROR(__xludf.DUMMYFUNCTION("IFERROR(sum(FILTER('Fund Investment Data'!$V:$V, 'Fund Investment Data'!$C:$C = $C2048, 'Fund Investment Data'!$A:$A &lt; $A2048)),0) + IFERROR(sum(FILTER('Fund Investment Data'!$V:$V, 'Fund Investment Data'!$C:$C = $C2048, 'Fund Investment Data'!$A:$A = $A2"&amp;"048, 'Fund Investment Data'!$B:$B &lt;= $B2048)),0)"),0.0)</f>
        <v>0</v>
      </c>
      <c r="T2048" s="32"/>
      <c r="U2048" s="32"/>
      <c r="V2048" s="32">
        <f>IFERROR(__xludf.DUMMYFUNCTION("$D2048 - IFERROR(FILTER($D:$D,$C:$C = $C2048, $A:$A = $A2048, $B:$B = $B2048 - 1),0)"),0.0)</f>
        <v>0</v>
      </c>
      <c r="W2048" s="93">
        <f>IFERROR(__xludf.DUMMYFUNCTION("$E2048 - IFERROR(FILTER($E:$E,$C:$C = $C2048, $A:$A = $A2048, $B:$B = $B2048 - 1),0)"),0.0)</f>
        <v>0</v>
      </c>
      <c r="X2048" s="91">
        <f>IFERROR(__xludf.DUMMYFUNCTION("iFERROR((FILTER('Fund Investment Data'!$Z:$Z, 'Fund Investment Data'!$C:$C = $C2048, 'Fund Investment Data'!$A:$A = $A2048 - 1, 'Fund Investment Data'!$B:$B = 12) + FILTER('Fund Investment Data'!$AB:$AB, 'Fund Investment Data'!$C:$C = $C2048, 'Fund Invest"&amp;"ment Data'!$A:$A = $A2048 - 1, 'Fund Investment Data'!$B:$B = 12)) * (1 + AVERAGE(FILTER('Inflation Data'!$C:$C,'Inflation Data'!$A:$A = ($A2048 - 2)))) * Parameters!$A$4,0)"),0.0)</f>
        <v>0</v>
      </c>
      <c r="Y2048" s="91">
        <f>IFERROR(__xludf.DUMMYFUNCTION("IFERROR((IFERROR(FILTER('Fund Investment Data'!$P:$P,'Fund Investment Data'!$C:$C = $C2048,'Fund Investment Data'!$A:$A = ($A2048 - 2), 'Fund Investment Data'!$B:$B = 12),0) - SUM(FILTER('Fund Investment Data'!$V:$V, 'Fund Investment Data'!$C:$C = $C2048,"&amp;" 'Fund Investment Data'!$A:$A = ($A2048 - 2), 'Fund Investment Data'!$B:$B &gt; 3)))  * Parameters!$B$4 * (1 - Parameters!$A$4),0)"),0.0)</f>
        <v>0</v>
      </c>
      <c r="Z2048" s="91">
        <f t="shared" si="24"/>
        <v>0</v>
      </c>
      <c r="AA2048" s="91">
        <f>IFERROR(__xludf.DUMMYFUNCTION("((IFERROR((SUM(FILTER('Fund Investment Data'!$V:$V, 'Fund Investment Data'!$C:$C = $C2048, 'Fund Investment Data'!$A:$A = $A2048 - 1, 'Fund Investment Data'!$B:$B &gt;= 4, 'Fund Investment Data'!$B:$B &lt;= ($B2048 + 5))) / 12) * ($B2048 - 3) * Parameters!$B$4,"&amp;" 0) + IF($B2048 &gt;= 9, IFERROR(SUM(FILTER('Fund Investment Data'!$V:$V, 'Fund Investment Data'!$C:$C = $C2048, 'Fund Investment Data'!$A:$A = $A2048, 'Fund Investment Data'!$B:$B &lt;= 3)) * Parameters!$B$4, 0),0)))"),0.0)</f>
        <v>0</v>
      </c>
      <c r="AB2048" s="32">
        <f>IFERROR(__xludf.DUMMYFUNCTION("IFERROR(((IFERROR(SUM(FILTER('Fund Investment Data'!$V:$V, 'Fund Investment Data'!$C:$C = $C2048, 'Fund Investment Data'!$A:$A = $A2048 - 2, 'Fund Investment Data'!$B:$B &gt;= 4)) * Parameters!$B$4,0) + IFERROR(SUM(FILTER('Fund Investment Data'!$V:$V, 'Fund "&amp;"Investment Data'!$C:$C = $C2048, 'Fund Investment Data'!$A:$A = $A2048 - 1, 'Fund Investment Data'!$B:$B &lt;= 3)) * Parameters!$B$4,0))),0)"),0.0)</f>
        <v>0</v>
      </c>
      <c r="AC2048" s="32">
        <f>IFERROR(__xludf.DUMMYFUNCTION("IFERROR(FILTER($AF:$AF,$C:$C = $C2048,$A:$A = $A2048 - 1,$B:$B = 12),0)"),0.0)</f>
        <v>0</v>
      </c>
      <c r="AD2048" s="32">
        <f t="shared" si="23"/>
        <v>0</v>
      </c>
      <c r="AE2048" s="32">
        <f t="shared" si="2"/>
        <v>0</v>
      </c>
      <c r="AF2048" s="32"/>
    </row>
    <row r="2049">
      <c r="A2049" s="86"/>
      <c r="B2049" s="87"/>
      <c r="C2049" s="88"/>
      <c r="D2049" s="104"/>
      <c r="E2049" s="104"/>
      <c r="F2049" s="104"/>
      <c r="G2049" s="104"/>
      <c r="H2049" s="104"/>
      <c r="I2049" s="104"/>
      <c r="J2049" s="104"/>
      <c r="K2049" s="32"/>
      <c r="L2049" s="32"/>
      <c r="M2049" s="32"/>
      <c r="N2049" s="32"/>
      <c r="O2049" s="106"/>
      <c r="P2049" s="91">
        <f>IFERROR(__xludf.DUMMYFUNCTION("IFERROR(sum(FILTER($D:$N,$C:$C = $C2049,$A:$A &lt; $A2049,$B:$B = 12)),0) + sum($D2049:$N2049)"),0.0)</f>
        <v>0</v>
      </c>
      <c r="Q2049" s="92">
        <f t="shared" si="1"/>
        <v>0</v>
      </c>
      <c r="R2049" s="91">
        <f t="array" ref="R2049">IFERROR(INDEX('Fund YTD Target Values'!$1:$1000, MATCH($C2049,'Fund YTD Target Values'!$A:$A,0), MATCH($A2049,'Fund YTD Target Values'!$1:$1,0)),0)</f>
        <v>0</v>
      </c>
      <c r="S2049" s="91">
        <f>IFERROR(__xludf.DUMMYFUNCTION("IFERROR(sum(FILTER('Fund Investment Data'!$V:$V, 'Fund Investment Data'!$C:$C = $C2049, 'Fund Investment Data'!$A:$A &lt; $A2049)),0) + IFERROR(sum(FILTER('Fund Investment Data'!$V:$V, 'Fund Investment Data'!$C:$C = $C2049, 'Fund Investment Data'!$A:$A = $A2"&amp;"049, 'Fund Investment Data'!$B:$B &lt;= $B2049)),0)"),0.0)</f>
        <v>0</v>
      </c>
      <c r="T2049" s="32"/>
      <c r="U2049" s="32"/>
      <c r="V2049" s="32">
        <f>IFERROR(__xludf.DUMMYFUNCTION("$D2049 - IFERROR(FILTER($D:$D,$C:$C = $C2049, $A:$A = $A2049, $B:$B = $B2049 - 1),0)"),0.0)</f>
        <v>0</v>
      </c>
      <c r="W2049" s="93">
        <f>IFERROR(__xludf.DUMMYFUNCTION("$E2049 - IFERROR(FILTER($E:$E,$C:$C = $C2049, $A:$A = $A2049, $B:$B = $B2049 - 1),0)"),0.0)</f>
        <v>0</v>
      </c>
      <c r="X2049" s="91">
        <f>IFERROR(__xludf.DUMMYFUNCTION("iFERROR((FILTER('Fund Investment Data'!$Z:$Z, 'Fund Investment Data'!$C:$C = $C2049, 'Fund Investment Data'!$A:$A = $A2049 - 1, 'Fund Investment Data'!$B:$B = 12) + FILTER('Fund Investment Data'!$AB:$AB, 'Fund Investment Data'!$C:$C = $C2049, 'Fund Invest"&amp;"ment Data'!$A:$A = $A2049 - 1, 'Fund Investment Data'!$B:$B = 12)) * (1 + AVERAGE(FILTER('Inflation Data'!$C:$C,'Inflation Data'!$A:$A = ($A2049 - 2)))) * Parameters!$A$4,0)"),0.0)</f>
        <v>0</v>
      </c>
      <c r="Y2049" s="91">
        <f>IFERROR(__xludf.DUMMYFUNCTION("IFERROR((IFERROR(FILTER('Fund Investment Data'!$P:$P,'Fund Investment Data'!$C:$C = $C2049,'Fund Investment Data'!$A:$A = ($A2049 - 2), 'Fund Investment Data'!$B:$B = 12),0) - SUM(FILTER('Fund Investment Data'!$V:$V, 'Fund Investment Data'!$C:$C = $C2049,"&amp;" 'Fund Investment Data'!$A:$A = ($A2049 - 2), 'Fund Investment Data'!$B:$B &gt; 3)))  * Parameters!$B$4 * (1 - Parameters!$A$4),0)"),0.0)</f>
        <v>0</v>
      </c>
      <c r="Z2049" s="91">
        <f t="shared" si="24"/>
        <v>0</v>
      </c>
      <c r="AA2049" s="91">
        <f>IFERROR(__xludf.DUMMYFUNCTION("((IFERROR((SUM(FILTER('Fund Investment Data'!$V:$V, 'Fund Investment Data'!$C:$C = $C2049, 'Fund Investment Data'!$A:$A = $A2049 - 1, 'Fund Investment Data'!$B:$B &gt;= 4, 'Fund Investment Data'!$B:$B &lt;= ($B2049 + 5))) / 12) * ($B2049 - 3) * Parameters!$B$4,"&amp;" 0) + IF($B2049 &gt;= 9, IFERROR(SUM(FILTER('Fund Investment Data'!$V:$V, 'Fund Investment Data'!$C:$C = $C2049, 'Fund Investment Data'!$A:$A = $A2049, 'Fund Investment Data'!$B:$B &lt;= 3)) * Parameters!$B$4, 0),0)))"),0.0)</f>
        <v>0</v>
      </c>
      <c r="AB2049" s="32">
        <f>IFERROR(__xludf.DUMMYFUNCTION("IFERROR(((IFERROR(SUM(FILTER('Fund Investment Data'!$V:$V, 'Fund Investment Data'!$C:$C = $C2049, 'Fund Investment Data'!$A:$A = $A2049 - 2, 'Fund Investment Data'!$B:$B &gt;= 4)) * Parameters!$B$4,0) + IFERROR(SUM(FILTER('Fund Investment Data'!$V:$V, 'Fund "&amp;"Investment Data'!$C:$C = $C2049, 'Fund Investment Data'!$A:$A = $A2049 - 1, 'Fund Investment Data'!$B:$B &lt;= 3)) * Parameters!$B$4,0))),0)"),0.0)</f>
        <v>0</v>
      </c>
      <c r="AC2049" s="32">
        <f>IFERROR(__xludf.DUMMYFUNCTION("IFERROR(FILTER($AF:$AF,$C:$C = $C2049,$A:$A = $A2049 - 1,$B:$B = 12),0)"),0.0)</f>
        <v>0</v>
      </c>
      <c r="AD2049" s="32">
        <f t="shared" si="23"/>
        <v>0</v>
      </c>
      <c r="AE2049" s="32">
        <f t="shared" si="2"/>
        <v>0</v>
      </c>
      <c r="AF2049" s="32"/>
    </row>
    <row r="2050">
      <c r="A2050" s="86"/>
      <c r="B2050" s="87"/>
      <c r="C2050" s="88"/>
      <c r="D2050" s="104"/>
      <c r="E2050" s="104"/>
      <c r="F2050" s="104"/>
      <c r="G2050" s="104"/>
      <c r="H2050" s="104"/>
      <c r="I2050" s="104"/>
      <c r="J2050" s="104"/>
      <c r="K2050" s="32"/>
      <c r="L2050" s="32"/>
      <c r="M2050" s="32"/>
      <c r="N2050" s="32"/>
      <c r="O2050" s="106"/>
      <c r="P2050" s="91">
        <f>IFERROR(__xludf.DUMMYFUNCTION("IFERROR(sum(FILTER($D:$N,$C:$C = $C2050,$A:$A &lt; $A2050,$B:$B = 12)),0) + sum($D2050:$N2050)"),0.0)</f>
        <v>0</v>
      </c>
      <c r="Q2050" s="92">
        <f t="shared" si="1"/>
        <v>0</v>
      </c>
      <c r="R2050" s="91">
        <f t="array" ref="R2050">IFERROR(INDEX('Fund YTD Target Values'!$1:$1000, MATCH($C2050,'Fund YTD Target Values'!$A:$A,0), MATCH($A2050,'Fund YTD Target Values'!$1:$1,0)),0)</f>
        <v>0</v>
      </c>
      <c r="S2050" s="91">
        <f>IFERROR(__xludf.DUMMYFUNCTION("IFERROR(sum(FILTER('Fund Investment Data'!$V:$V, 'Fund Investment Data'!$C:$C = $C2050, 'Fund Investment Data'!$A:$A &lt; $A2050)),0) + IFERROR(sum(FILTER('Fund Investment Data'!$V:$V, 'Fund Investment Data'!$C:$C = $C2050, 'Fund Investment Data'!$A:$A = $A2"&amp;"050, 'Fund Investment Data'!$B:$B &lt;= $B2050)),0)"),0.0)</f>
        <v>0</v>
      </c>
      <c r="T2050" s="32"/>
      <c r="U2050" s="32"/>
      <c r="V2050" s="32">
        <f>IFERROR(__xludf.DUMMYFUNCTION("$D2050 - IFERROR(FILTER($D:$D,$C:$C = $C2050, $A:$A = $A2050, $B:$B = $B2050 - 1),0)"),0.0)</f>
        <v>0</v>
      </c>
      <c r="W2050" s="93">
        <f>IFERROR(__xludf.DUMMYFUNCTION("$E2050 - IFERROR(FILTER($E:$E,$C:$C = $C2050, $A:$A = $A2050, $B:$B = $B2050 - 1),0)"),0.0)</f>
        <v>0</v>
      </c>
      <c r="X2050" s="91">
        <f>IFERROR(__xludf.DUMMYFUNCTION("iFERROR((FILTER('Fund Investment Data'!$Z:$Z, 'Fund Investment Data'!$C:$C = $C2050, 'Fund Investment Data'!$A:$A = $A2050 - 1, 'Fund Investment Data'!$B:$B = 12) + FILTER('Fund Investment Data'!$AB:$AB, 'Fund Investment Data'!$C:$C = $C2050, 'Fund Invest"&amp;"ment Data'!$A:$A = $A2050 - 1, 'Fund Investment Data'!$B:$B = 12)) * (1 + AVERAGE(FILTER('Inflation Data'!$C:$C,'Inflation Data'!$A:$A = ($A2050 - 2)))) * Parameters!$A$4,0)"),0.0)</f>
        <v>0</v>
      </c>
      <c r="Y2050" s="91">
        <f>IFERROR(__xludf.DUMMYFUNCTION("IFERROR((IFERROR(FILTER('Fund Investment Data'!$P:$P,'Fund Investment Data'!$C:$C = $C2050,'Fund Investment Data'!$A:$A = ($A2050 - 2), 'Fund Investment Data'!$B:$B = 12),0) - SUM(FILTER('Fund Investment Data'!$V:$V, 'Fund Investment Data'!$C:$C = $C2050,"&amp;" 'Fund Investment Data'!$A:$A = ($A2050 - 2), 'Fund Investment Data'!$B:$B &gt; 3)))  * Parameters!$B$4 * (1 - Parameters!$A$4),0)"),0.0)</f>
        <v>0</v>
      </c>
      <c r="Z2050" s="91">
        <f t="shared" si="24"/>
        <v>0</v>
      </c>
      <c r="AA2050" s="91">
        <f>IFERROR(__xludf.DUMMYFUNCTION("((IFERROR((SUM(FILTER('Fund Investment Data'!$V:$V, 'Fund Investment Data'!$C:$C = $C2050, 'Fund Investment Data'!$A:$A = $A2050 - 1, 'Fund Investment Data'!$B:$B &gt;= 4, 'Fund Investment Data'!$B:$B &lt;= ($B2050 + 5))) / 12) * ($B2050 - 3) * Parameters!$B$4,"&amp;" 0) + IF($B2050 &gt;= 9, IFERROR(SUM(FILTER('Fund Investment Data'!$V:$V, 'Fund Investment Data'!$C:$C = $C2050, 'Fund Investment Data'!$A:$A = $A2050, 'Fund Investment Data'!$B:$B &lt;= 3)) * Parameters!$B$4, 0),0)))"),0.0)</f>
        <v>0</v>
      </c>
      <c r="AB2050" s="32">
        <f>IFERROR(__xludf.DUMMYFUNCTION("IFERROR(((IFERROR(SUM(FILTER('Fund Investment Data'!$V:$V, 'Fund Investment Data'!$C:$C = $C2050, 'Fund Investment Data'!$A:$A = $A2050 - 2, 'Fund Investment Data'!$B:$B &gt;= 4)) * Parameters!$B$4,0) + IFERROR(SUM(FILTER('Fund Investment Data'!$V:$V, 'Fund "&amp;"Investment Data'!$C:$C = $C2050, 'Fund Investment Data'!$A:$A = $A2050 - 1, 'Fund Investment Data'!$B:$B &lt;= 3)) * Parameters!$B$4,0))),0)"),0.0)</f>
        <v>0</v>
      </c>
      <c r="AC2050" s="32">
        <f>IFERROR(__xludf.DUMMYFUNCTION("IFERROR(FILTER($AF:$AF,$C:$C = $C2050,$A:$A = $A2050 - 1,$B:$B = 12),0)"),0.0)</f>
        <v>0</v>
      </c>
      <c r="AD2050" s="32">
        <f t="shared" si="23"/>
        <v>0</v>
      </c>
      <c r="AE2050" s="32">
        <f t="shared" si="2"/>
        <v>0</v>
      </c>
      <c r="AF2050" s="32"/>
    </row>
    <row r="2051">
      <c r="A2051" s="86"/>
      <c r="B2051" s="87"/>
      <c r="C2051" s="88"/>
      <c r="D2051" s="104"/>
      <c r="E2051" s="104"/>
      <c r="F2051" s="104"/>
      <c r="G2051" s="104"/>
      <c r="H2051" s="104"/>
      <c r="I2051" s="104"/>
      <c r="J2051" s="104"/>
      <c r="K2051" s="32"/>
      <c r="L2051" s="32"/>
      <c r="M2051" s="32"/>
      <c r="N2051" s="32"/>
      <c r="O2051" s="106"/>
      <c r="P2051" s="91">
        <f>IFERROR(__xludf.DUMMYFUNCTION("IFERROR(sum(FILTER($D:$N,$C:$C = $C2051,$A:$A &lt; $A2051,$B:$B = 12)),0) + sum($D2051:$N2051)"),0.0)</f>
        <v>0</v>
      </c>
      <c r="Q2051" s="92">
        <f t="shared" si="1"/>
        <v>0</v>
      </c>
      <c r="R2051" s="91">
        <f t="array" ref="R2051">IFERROR(INDEX('Fund YTD Target Values'!$1:$1000, MATCH($C2051,'Fund YTD Target Values'!$A:$A,0), MATCH($A2051,'Fund YTD Target Values'!$1:$1,0)),0)</f>
        <v>0</v>
      </c>
      <c r="S2051" s="91">
        <f>IFERROR(__xludf.DUMMYFUNCTION("IFERROR(sum(FILTER('Fund Investment Data'!$V:$V, 'Fund Investment Data'!$C:$C = $C2051, 'Fund Investment Data'!$A:$A &lt; $A2051)),0) + IFERROR(sum(FILTER('Fund Investment Data'!$V:$V, 'Fund Investment Data'!$C:$C = $C2051, 'Fund Investment Data'!$A:$A = $A2"&amp;"051, 'Fund Investment Data'!$B:$B &lt;= $B2051)),0)"),0.0)</f>
        <v>0</v>
      </c>
      <c r="T2051" s="32"/>
      <c r="U2051" s="32"/>
      <c r="V2051" s="32">
        <f>IFERROR(__xludf.DUMMYFUNCTION("$D2051 - IFERROR(FILTER($D:$D,$C:$C = $C2051, $A:$A = $A2051, $B:$B = $B2051 - 1),0)"),0.0)</f>
        <v>0</v>
      </c>
      <c r="W2051" s="93">
        <f>IFERROR(__xludf.DUMMYFUNCTION("$E2051 - IFERROR(FILTER($E:$E,$C:$C = $C2051, $A:$A = $A2051, $B:$B = $B2051 - 1),0)"),0.0)</f>
        <v>0</v>
      </c>
      <c r="X2051" s="91">
        <f>IFERROR(__xludf.DUMMYFUNCTION("iFERROR((FILTER('Fund Investment Data'!$Z:$Z, 'Fund Investment Data'!$C:$C = $C2051, 'Fund Investment Data'!$A:$A = $A2051 - 1, 'Fund Investment Data'!$B:$B = 12) + FILTER('Fund Investment Data'!$AB:$AB, 'Fund Investment Data'!$C:$C = $C2051, 'Fund Invest"&amp;"ment Data'!$A:$A = $A2051 - 1, 'Fund Investment Data'!$B:$B = 12)) * (1 + AVERAGE(FILTER('Inflation Data'!$C:$C,'Inflation Data'!$A:$A = ($A2051 - 2)))) * Parameters!$A$4,0)"),0.0)</f>
        <v>0</v>
      </c>
      <c r="Y2051" s="91">
        <f>IFERROR(__xludf.DUMMYFUNCTION("IFERROR((IFERROR(FILTER('Fund Investment Data'!$P:$P,'Fund Investment Data'!$C:$C = $C2051,'Fund Investment Data'!$A:$A = ($A2051 - 2), 'Fund Investment Data'!$B:$B = 12),0) - SUM(FILTER('Fund Investment Data'!$V:$V, 'Fund Investment Data'!$C:$C = $C2051,"&amp;" 'Fund Investment Data'!$A:$A = ($A2051 - 2), 'Fund Investment Data'!$B:$B &gt; 3)))  * Parameters!$B$4 * (1 - Parameters!$A$4),0)"),0.0)</f>
        <v>0</v>
      </c>
      <c r="Z2051" s="91">
        <f t="shared" si="24"/>
        <v>0</v>
      </c>
      <c r="AA2051" s="91">
        <f>IFERROR(__xludf.DUMMYFUNCTION("((IFERROR((SUM(FILTER('Fund Investment Data'!$V:$V, 'Fund Investment Data'!$C:$C = $C2051, 'Fund Investment Data'!$A:$A = $A2051 - 1, 'Fund Investment Data'!$B:$B &gt;= 4, 'Fund Investment Data'!$B:$B &lt;= ($B2051 + 5))) / 12) * ($B2051 - 3) * Parameters!$B$4,"&amp;" 0) + IF($B2051 &gt;= 9, IFERROR(SUM(FILTER('Fund Investment Data'!$V:$V, 'Fund Investment Data'!$C:$C = $C2051, 'Fund Investment Data'!$A:$A = $A2051, 'Fund Investment Data'!$B:$B &lt;= 3)) * Parameters!$B$4, 0),0)))"),0.0)</f>
        <v>0</v>
      </c>
      <c r="AB2051" s="32">
        <f>IFERROR(__xludf.DUMMYFUNCTION("IFERROR(((IFERROR(SUM(FILTER('Fund Investment Data'!$V:$V, 'Fund Investment Data'!$C:$C = $C2051, 'Fund Investment Data'!$A:$A = $A2051 - 2, 'Fund Investment Data'!$B:$B &gt;= 4)) * Parameters!$B$4,0) + IFERROR(SUM(FILTER('Fund Investment Data'!$V:$V, 'Fund "&amp;"Investment Data'!$C:$C = $C2051, 'Fund Investment Data'!$A:$A = $A2051 - 1, 'Fund Investment Data'!$B:$B &lt;= 3)) * Parameters!$B$4,0))),0)"),0.0)</f>
        <v>0</v>
      </c>
      <c r="AC2051" s="32">
        <f>IFERROR(__xludf.DUMMYFUNCTION("IFERROR(FILTER($AF:$AF,$C:$C = $C2051,$A:$A = $A2051 - 1,$B:$B = 12),0)"),0.0)</f>
        <v>0</v>
      </c>
      <c r="AD2051" s="32">
        <f t="shared" si="23"/>
        <v>0</v>
      </c>
      <c r="AE2051" s="32">
        <f t="shared" si="2"/>
        <v>0</v>
      </c>
      <c r="AF2051" s="32"/>
    </row>
    <row r="2052">
      <c r="A2052" s="86"/>
      <c r="B2052" s="87"/>
      <c r="C2052" s="88"/>
      <c r="D2052" s="104"/>
      <c r="E2052" s="104"/>
      <c r="F2052" s="104"/>
      <c r="G2052" s="104"/>
      <c r="H2052" s="104"/>
      <c r="I2052" s="104"/>
      <c r="J2052" s="104"/>
      <c r="K2052" s="32"/>
      <c r="L2052" s="32"/>
      <c r="M2052" s="32"/>
      <c r="N2052" s="32"/>
      <c r="O2052" s="106"/>
      <c r="P2052" s="91">
        <f>IFERROR(__xludf.DUMMYFUNCTION("IFERROR(sum(FILTER($D:$N,$C:$C = $C2052,$A:$A &lt; $A2052,$B:$B = 12)),0) + sum($D2052:$N2052)"),0.0)</f>
        <v>0</v>
      </c>
      <c r="Q2052" s="92">
        <f t="shared" si="1"/>
        <v>0</v>
      </c>
      <c r="R2052" s="91">
        <f t="array" ref="R2052">IFERROR(INDEX('Fund YTD Target Values'!$1:$1000, MATCH($C2052,'Fund YTD Target Values'!$A:$A,0), MATCH($A2052,'Fund YTD Target Values'!$1:$1,0)),0)</f>
        <v>0</v>
      </c>
      <c r="S2052" s="91">
        <f>IFERROR(__xludf.DUMMYFUNCTION("IFERROR(sum(FILTER('Fund Investment Data'!$V:$V, 'Fund Investment Data'!$C:$C = $C2052, 'Fund Investment Data'!$A:$A &lt; $A2052)),0) + IFERROR(sum(FILTER('Fund Investment Data'!$V:$V, 'Fund Investment Data'!$C:$C = $C2052, 'Fund Investment Data'!$A:$A = $A2"&amp;"052, 'Fund Investment Data'!$B:$B &lt;= $B2052)),0)"),0.0)</f>
        <v>0</v>
      </c>
      <c r="T2052" s="32"/>
      <c r="U2052" s="32"/>
      <c r="V2052" s="32">
        <f>IFERROR(__xludf.DUMMYFUNCTION("$D2052 - IFERROR(FILTER($D:$D,$C:$C = $C2052, $A:$A = $A2052, $B:$B = $B2052 - 1),0)"),0.0)</f>
        <v>0</v>
      </c>
      <c r="W2052" s="93">
        <f>IFERROR(__xludf.DUMMYFUNCTION("$E2052 - IFERROR(FILTER($E:$E,$C:$C = $C2052, $A:$A = $A2052, $B:$B = $B2052 - 1),0)"),0.0)</f>
        <v>0</v>
      </c>
      <c r="X2052" s="91">
        <f>IFERROR(__xludf.DUMMYFUNCTION("iFERROR((FILTER('Fund Investment Data'!$Z:$Z, 'Fund Investment Data'!$C:$C = $C2052, 'Fund Investment Data'!$A:$A = $A2052 - 1, 'Fund Investment Data'!$B:$B = 12) + FILTER('Fund Investment Data'!$AB:$AB, 'Fund Investment Data'!$C:$C = $C2052, 'Fund Invest"&amp;"ment Data'!$A:$A = $A2052 - 1, 'Fund Investment Data'!$B:$B = 12)) * (1 + AVERAGE(FILTER('Inflation Data'!$C:$C,'Inflation Data'!$A:$A = ($A2052 - 2)))) * Parameters!$A$4,0)"),0.0)</f>
        <v>0</v>
      </c>
      <c r="Y2052" s="91">
        <f>IFERROR(__xludf.DUMMYFUNCTION("IFERROR((IFERROR(FILTER('Fund Investment Data'!$P:$P,'Fund Investment Data'!$C:$C = $C2052,'Fund Investment Data'!$A:$A = ($A2052 - 2), 'Fund Investment Data'!$B:$B = 12),0) - SUM(FILTER('Fund Investment Data'!$V:$V, 'Fund Investment Data'!$C:$C = $C2052,"&amp;" 'Fund Investment Data'!$A:$A = ($A2052 - 2), 'Fund Investment Data'!$B:$B &gt; 3)))  * Parameters!$B$4 * (1 - Parameters!$A$4),0)"),0.0)</f>
        <v>0</v>
      </c>
      <c r="Z2052" s="91">
        <f t="shared" si="24"/>
        <v>0</v>
      </c>
      <c r="AA2052" s="91">
        <f>IFERROR(__xludf.DUMMYFUNCTION("((IFERROR((SUM(FILTER('Fund Investment Data'!$V:$V, 'Fund Investment Data'!$C:$C = $C2052, 'Fund Investment Data'!$A:$A = $A2052 - 1, 'Fund Investment Data'!$B:$B &gt;= 4, 'Fund Investment Data'!$B:$B &lt;= ($B2052 + 5))) / 12) * ($B2052 - 3) * Parameters!$B$4,"&amp;" 0) + IF($B2052 &gt;= 9, IFERROR(SUM(FILTER('Fund Investment Data'!$V:$V, 'Fund Investment Data'!$C:$C = $C2052, 'Fund Investment Data'!$A:$A = $A2052, 'Fund Investment Data'!$B:$B &lt;= 3)) * Parameters!$B$4, 0),0)))"),0.0)</f>
        <v>0</v>
      </c>
      <c r="AB2052" s="32">
        <f>IFERROR(__xludf.DUMMYFUNCTION("IFERROR(((IFERROR(SUM(FILTER('Fund Investment Data'!$V:$V, 'Fund Investment Data'!$C:$C = $C2052, 'Fund Investment Data'!$A:$A = $A2052 - 2, 'Fund Investment Data'!$B:$B &gt;= 4)) * Parameters!$B$4,0) + IFERROR(SUM(FILTER('Fund Investment Data'!$V:$V, 'Fund "&amp;"Investment Data'!$C:$C = $C2052, 'Fund Investment Data'!$A:$A = $A2052 - 1, 'Fund Investment Data'!$B:$B &lt;= 3)) * Parameters!$B$4,0))),0)"),0.0)</f>
        <v>0</v>
      </c>
      <c r="AC2052" s="32">
        <f>IFERROR(__xludf.DUMMYFUNCTION("IFERROR(FILTER($AF:$AF,$C:$C = $C2052,$A:$A = $A2052 - 1,$B:$B = 12),0)"),0.0)</f>
        <v>0</v>
      </c>
      <c r="AD2052" s="32">
        <f t="shared" si="23"/>
        <v>0</v>
      </c>
      <c r="AE2052" s="32">
        <f t="shared" si="2"/>
        <v>0</v>
      </c>
      <c r="AF2052" s="32"/>
    </row>
    <row r="2053">
      <c r="A2053" s="86"/>
      <c r="B2053" s="87"/>
      <c r="C2053" s="88"/>
      <c r="D2053" s="104"/>
      <c r="E2053" s="104"/>
      <c r="F2053" s="104"/>
      <c r="G2053" s="104"/>
      <c r="H2053" s="104"/>
      <c r="I2053" s="104"/>
      <c r="J2053" s="104"/>
      <c r="K2053" s="32"/>
      <c r="L2053" s="32"/>
      <c r="M2053" s="32"/>
      <c r="N2053" s="32"/>
      <c r="O2053" s="106"/>
      <c r="P2053" s="91">
        <f>IFERROR(__xludf.DUMMYFUNCTION("IFERROR(sum(FILTER($D:$N,$C:$C = $C2053,$A:$A &lt; $A2053,$B:$B = 12)),0) + sum($D2053:$N2053)"),0.0)</f>
        <v>0</v>
      </c>
      <c r="Q2053" s="92">
        <f t="shared" si="1"/>
        <v>0</v>
      </c>
      <c r="R2053" s="91">
        <f t="array" ref="R2053">IFERROR(INDEX('Fund YTD Target Values'!$1:$1000, MATCH($C2053,'Fund YTD Target Values'!$A:$A,0), MATCH($A2053,'Fund YTD Target Values'!$1:$1,0)),0)</f>
        <v>0</v>
      </c>
      <c r="S2053" s="91">
        <f>IFERROR(__xludf.DUMMYFUNCTION("IFERROR(sum(FILTER('Fund Investment Data'!$V:$V, 'Fund Investment Data'!$C:$C = $C2053, 'Fund Investment Data'!$A:$A &lt; $A2053)),0) + IFERROR(sum(FILTER('Fund Investment Data'!$V:$V, 'Fund Investment Data'!$C:$C = $C2053, 'Fund Investment Data'!$A:$A = $A2"&amp;"053, 'Fund Investment Data'!$B:$B &lt;= $B2053)),0)"),0.0)</f>
        <v>0</v>
      </c>
      <c r="T2053" s="32"/>
      <c r="U2053" s="32"/>
      <c r="V2053" s="32">
        <f>IFERROR(__xludf.DUMMYFUNCTION("$D2053 - IFERROR(FILTER($D:$D,$C:$C = $C2053, $A:$A = $A2053, $B:$B = $B2053 - 1),0)"),0.0)</f>
        <v>0</v>
      </c>
      <c r="W2053" s="93">
        <f>IFERROR(__xludf.DUMMYFUNCTION("$E2053 - IFERROR(FILTER($E:$E,$C:$C = $C2053, $A:$A = $A2053, $B:$B = $B2053 - 1),0)"),0.0)</f>
        <v>0</v>
      </c>
      <c r="X2053" s="91">
        <f>IFERROR(__xludf.DUMMYFUNCTION("iFERROR((FILTER('Fund Investment Data'!$Z:$Z, 'Fund Investment Data'!$C:$C = $C2053, 'Fund Investment Data'!$A:$A = $A2053 - 1, 'Fund Investment Data'!$B:$B = 12) + FILTER('Fund Investment Data'!$AB:$AB, 'Fund Investment Data'!$C:$C = $C2053, 'Fund Invest"&amp;"ment Data'!$A:$A = $A2053 - 1, 'Fund Investment Data'!$B:$B = 12)) * (1 + AVERAGE(FILTER('Inflation Data'!$C:$C,'Inflation Data'!$A:$A = ($A2053 - 2)))) * Parameters!$A$4,0)"),0.0)</f>
        <v>0</v>
      </c>
      <c r="Y2053" s="91">
        <f>IFERROR(__xludf.DUMMYFUNCTION("IFERROR((IFERROR(FILTER('Fund Investment Data'!$P:$P,'Fund Investment Data'!$C:$C = $C2053,'Fund Investment Data'!$A:$A = ($A2053 - 2), 'Fund Investment Data'!$B:$B = 12),0) - SUM(FILTER('Fund Investment Data'!$V:$V, 'Fund Investment Data'!$C:$C = $C2053,"&amp;" 'Fund Investment Data'!$A:$A = ($A2053 - 2), 'Fund Investment Data'!$B:$B &gt; 3)))  * Parameters!$B$4 * (1 - Parameters!$A$4),0)"),0.0)</f>
        <v>0</v>
      </c>
      <c r="Z2053" s="91">
        <f t="shared" si="24"/>
        <v>0</v>
      </c>
      <c r="AA2053" s="91">
        <f>IFERROR(__xludf.DUMMYFUNCTION("((IFERROR((SUM(FILTER('Fund Investment Data'!$V:$V, 'Fund Investment Data'!$C:$C = $C2053, 'Fund Investment Data'!$A:$A = $A2053 - 1, 'Fund Investment Data'!$B:$B &gt;= 4, 'Fund Investment Data'!$B:$B &lt;= ($B2053 + 5))) / 12) * ($B2053 - 3) * Parameters!$B$4,"&amp;" 0) + IF($B2053 &gt;= 9, IFERROR(SUM(FILTER('Fund Investment Data'!$V:$V, 'Fund Investment Data'!$C:$C = $C2053, 'Fund Investment Data'!$A:$A = $A2053, 'Fund Investment Data'!$B:$B &lt;= 3)) * Parameters!$B$4, 0),0)))"),0.0)</f>
        <v>0</v>
      </c>
      <c r="AB2053" s="32">
        <f>IFERROR(__xludf.DUMMYFUNCTION("IFERROR(((IFERROR(SUM(FILTER('Fund Investment Data'!$V:$V, 'Fund Investment Data'!$C:$C = $C2053, 'Fund Investment Data'!$A:$A = $A2053 - 2, 'Fund Investment Data'!$B:$B &gt;= 4)) * Parameters!$B$4,0) + IFERROR(SUM(FILTER('Fund Investment Data'!$V:$V, 'Fund "&amp;"Investment Data'!$C:$C = $C2053, 'Fund Investment Data'!$A:$A = $A2053 - 1, 'Fund Investment Data'!$B:$B &lt;= 3)) * Parameters!$B$4,0))),0)"),0.0)</f>
        <v>0</v>
      </c>
      <c r="AC2053" s="32">
        <f>IFERROR(__xludf.DUMMYFUNCTION("IFERROR(FILTER($AF:$AF,$C:$C = $C2053,$A:$A = $A2053 - 1,$B:$B = 12),0)"),0.0)</f>
        <v>0</v>
      </c>
      <c r="AD2053" s="32">
        <f t="shared" si="23"/>
        <v>0</v>
      </c>
      <c r="AE2053" s="32">
        <f t="shared" si="2"/>
        <v>0</v>
      </c>
      <c r="AF2053" s="32"/>
    </row>
    <row r="2054">
      <c r="A2054" s="86"/>
      <c r="B2054" s="87"/>
      <c r="C2054" s="88"/>
      <c r="D2054" s="104"/>
      <c r="E2054" s="104"/>
      <c r="F2054" s="104"/>
      <c r="G2054" s="104"/>
      <c r="H2054" s="104"/>
      <c r="I2054" s="104"/>
      <c r="J2054" s="104"/>
      <c r="K2054" s="32"/>
      <c r="L2054" s="32"/>
      <c r="M2054" s="32"/>
      <c r="N2054" s="32"/>
      <c r="O2054" s="106"/>
      <c r="P2054" s="91">
        <f>IFERROR(__xludf.DUMMYFUNCTION("IFERROR(sum(FILTER($D:$N,$C:$C = $C2054,$A:$A &lt; $A2054,$B:$B = 12)),0) + sum($D2054:$N2054)"),0.0)</f>
        <v>0</v>
      </c>
      <c r="Q2054" s="92">
        <f t="shared" si="1"/>
        <v>0</v>
      </c>
      <c r="R2054" s="91">
        <f t="array" ref="R2054">IFERROR(INDEX('Fund YTD Target Values'!$1:$1000, MATCH($C2054,'Fund YTD Target Values'!$A:$A,0), MATCH($A2054,'Fund YTD Target Values'!$1:$1,0)),0)</f>
        <v>0</v>
      </c>
      <c r="S2054" s="91">
        <f>IFERROR(__xludf.DUMMYFUNCTION("IFERROR(sum(FILTER('Fund Investment Data'!$V:$V, 'Fund Investment Data'!$C:$C = $C2054, 'Fund Investment Data'!$A:$A &lt; $A2054)),0) + IFERROR(sum(FILTER('Fund Investment Data'!$V:$V, 'Fund Investment Data'!$C:$C = $C2054, 'Fund Investment Data'!$A:$A = $A2"&amp;"054, 'Fund Investment Data'!$B:$B &lt;= $B2054)),0)"),0.0)</f>
        <v>0</v>
      </c>
      <c r="T2054" s="32"/>
      <c r="U2054" s="32"/>
      <c r="V2054" s="32">
        <f>IFERROR(__xludf.DUMMYFUNCTION("$D2054 - IFERROR(FILTER($D:$D,$C:$C = $C2054, $A:$A = $A2054, $B:$B = $B2054 - 1),0)"),0.0)</f>
        <v>0</v>
      </c>
      <c r="W2054" s="93">
        <f>IFERROR(__xludf.DUMMYFUNCTION("$E2054 - IFERROR(FILTER($E:$E,$C:$C = $C2054, $A:$A = $A2054, $B:$B = $B2054 - 1),0)"),0.0)</f>
        <v>0</v>
      </c>
      <c r="X2054" s="91">
        <f>IFERROR(__xludf.DUMMYFUNCTION("iFERROR((FILTER('Fund Investment Data'!$Z:$Z, 'Fund Investment Data'!$C:$C = $C2054, 'Fund Investment Data'!$A:$A = $A2054 - 1, 'Fund Investment Data'!$B:$B = 12) + FILTER('Fund Investment Data'!$AB:$AB, 'Fund Investment Data'!$C:$C = $C2054, 'Fund Invest"&amp;"ment Data'!$A:$A = $A2054 - 1, 'Fund Investment Data'!$B:$B = 12)) * (1 + AVERAGE(FILTER('Inflation Data'!$C:$C,'Inflation Data'!$A:$A = ($A2054 - 2)))) * Parameters!$A$4,0)"),0.0)</f>
        <v>0</v>
      </c>
      <c r="Y2054" s="91">
        <f>IFERROR(__xludf.DUMMYFUNCTION("IFERROR((IFERROR(FILTER('Fund Investment Data'!$P:$P,'Fund Investment Data'!$C:$C = $C2054,'Fund Investment Data'!$A:$A = ($A2054 - 2), 'Fund Investment Data'!$B:$B = 12),0) - SUM(FILTER('Fund Investment Data'!$V:$V, 'Fund Investment Data'!$C:$C = $C2054,"&amp;" 'Fund Investment Data'!$A:$A = ($A2054 - 2), 'Fund Investment Data'!$B:$B &gt; 3)))  * Parameters!$B$4 * (1 - Parameters!$A$4),0)"),0.0)</f>
        <v>0</v>
      </c>
      <c r="Z2054" s="91">
        <f t="shared" si="24"/>
        <v>0</v>
      </c>
      <c r="AA2054" s="91">
        <f>IFERROR(__xludf.DUMMYFUNCTION("((IFERROR((SUM(FILTER('Fund Investment Data'!$V:$V, 'Fund Investment Data'!$C:$C = $C2054, 'Fund Investment Data'!$A:$A = $A2054 - 1, 'Fund Investment Data'!$B:$B &gt;= 4, 'Fund Investment Data'!$B:$B &lt;= ($B2054 + 5))) / 12) * ($B2054 - 3) * Parameters!$B$4,"&amp;" 0) + IF($B2054 &gt;= 9, IFERROR(SUM(FILTER('Fund Investment Data'!$V:$V, 'Fund Investment Data'!$C:$C = $C2054, 'Fund Investment Data'!$A:$A = $A2054, 'Fund Investment Data'!$B:$B &lt;= 3)) * Parameters!$B$4, 0),0)))"),0.0)</f>
        <v>0</v>
      </c>
      <c r="AB2054" s="32">
        <f>IFERROR(__xludf.DUMMYFUNCTION("IFERROR(((IFERROR(SUM(FILTER('Fund Investment Data'!$V:$V, 'Fund Investment Data'!$C:$C = $C2054, 'Fund Investment Data'!$A:$A = $A2054 - 2, 'Fund Investment Data'!$B:$B &gt;= 4)) * Parameters!$B$4,0) + IFERROR(SUM(FILTER('Fund Investment Data'!$V:$V, 'Fund "&amp;"Investment Data'!$C:$C = $C2054, 'Fund Investment Data'!$A:$A = $A2054 - 1, 'Fund Investment Data'!$B:$B &lt;= 3)) * Parameters!$B$4,0))),0)"),0.0)</f>
        <v>0</v>
      </c>
      <c r="AC2054" s="32">
        <f>IFERROR(__xludf.DUMMYFUNCTION("IFERROR(FILTER($AF:$AF,$C:$C = $C2054,$A:$A = $A2054 - 1,$B:$B = 12),0)"),0.0)</f>
        <v>0</v>
      </c>
      <c r="AD2054" s="32">
        <f t="shared" si="23"/>
        <v>0</v>
      </c>
      <c r="AE2054" s="32">
        <f t="shared" si="2"/>
        <v>0</v>
      </c>
      <c r="AF2054" s="32"/>
    </row>
    <row r="2055">
      <c r="A2055" s="86"/>
      <c r="B2055" s="87"/>
      <c r="C2055" s="88"/>
      <c r="D2055" s="104"/>
      <c r="E2055" s="104"/>
      <c r="F2055" s="104"/>
      <c r="G2055" s="104"/>
      <c r="H2055" s="104"/>
      <c r="I2055" s="104"/>
      <c r="J2055" s="104"/>
      <c r="K2055" s="32"/>
      <c r="L2055" s="32"/>
      <c r="M2055" s="32"/>
      <c r="N2055" s="32"/>
      <c r="O2055" s="106"/>
      <c r="P2055" s="91">
        <f>IFERROR(__xludf.DUMMYFUNCTION("IFERROR(sum(FILTER($D:$N,$C:$C = $C2055,$A:$A &lt; $A2055,$B:$B = 12)),0) + sum($D2055:$N2055)"),0.0)</f>
        <v>0</v>
      </c>
      <c r="Q2055" s="92">
        <f t="shared" si="1"/>
        <v>0</v>
      </c>
      <c r="R2055" s="91">
        <f t="array" ref="R2055">IFERROR(INDEX('Fund YTD Target Values'!$1:$1000, MATCH($C2055,'Fund YTD Target Values'!$A:$A,0), MATCH($A2055,'Fund YTD Target Values'!$1:$1,0)),0)</f>
        <v>0</v>
      </c>
      <c r="S2055" s="91">
        <f>IFERROR(__xludf.DUMMYFUNCTION("IFERROR(sum(FILTER('Fund Investment Data'!$V:$V, 'Fund Investment Data'!$C:$C = $C2055, 'Fund Investment Data'!$A:$A &lt; $A2055)),0) + IFERROR(sum(FILTER('Fund Investment Data'!$V:$V, 'Fund Investment Data'!$C:$C = $C2055, 'Fund Investment Data'!$A:$A = $A2"&amp;"055, 'Fund Investment Data'!$B:$B &lt;= $B2055)),0)"),0.0)</f>
        <v>0</v>
      </c>
      <c r="T2055" s="32"/>
      <c r="U2055" s="32"/>
      <c r="V2055" s="32">
        <f>IFERROR(__xludf.DUMMYFUNCTION("$D2055 - IFERROR(FILTER($D:$D,$C:$C = $C2055, $A:$A = $A2055, $B:$B = $B2055 - 1),0)"),0.0)</f>
        <v>0</v>
      </c>
      <c r="W2055" s="93">
        <f>IFERROR(__xludf.DUMMYFUNCTION("$E2055 - IFERROR(FILTER($E:$E,$C:$C = $C2055, $A:$A = $A2055, $B:$B = $B2055 - 1),0)"),0.0)</f>
        <v>0</v>
      </c>
      <c r="X2055" s="91">
        <f>IFERROR(__xludf.DUMMYFUNCTION("iFERROR((FILTER('Fund Investment Data'!$Z:$Z, 'Fund Investment Data'!$C:$C = $C2055, 'Fund Investment Data'!$A:$A = $A2055 - 1, 'Fund Investment Data'!$B:$B = 12) + FILTER('Fund Investment Data'!$AB:$AB, 'Fund Investment Data'!$C:$C = $C2055, 'Fund Invest"&amp;"ment Data'!$A:$A = $A2055 - 1, 'Fund Investment Data'!$B:$B = 12)) * (1 + AVERAGE(FILTER('Inflation Data'!$C:$C,'Inflation Data'!$A:$A = ($A2055 - 2)))) * Parameters!$A$4,0)"),0.0)</f>
        <v>0</v>
      </c>
      <c r="Y2055" s="91">
        <f>IFERROR(__xludf.DUMMYFUNCTION("IFERROR((IFERROR(FILTER('Fund Investment Data'!$P:$P,'Fund Investment Data'!$C:$C = $C2055,'Fund Investment Data'!$A:$A = ($A2055 - 2), 'Fund Investment Data'!$B:$B = 12),0) - SUM(FILTER('Fund Investment Data'!$V:$V, 'Fund Investment Data'!$C:$C = $C2055,"&amp;" 'Fund Investment Data'!$A:$A = ($A2055 - 2), 'Fund Investment Data'!$B:$B &gt; 3)))  * Parameters!$B$4 * (1 - Parameters!$A$4),0)"),0.0)</f>
        <v>0</v>
      </c>
      <c r="Z2055" s="91">
        <f t="shared" si="24"/>
        <v>0</v>
      </c>
      <c r="AA2055" s="91">
        <f>IFERROR(__xludf.DUMMYFUNCTION("((IFERROR((SUM(FILTER('Fund Investment Data'!$V:$V, 'Fund Investment Data'!$C:$C = $C2055, 'Fund Investment Data'!$A:$A = $A2055 - 1, 'Fund Investment Data'!$B:$B &gt;= 4, 'Fund Investment Data'!$B:$B &lt;= ($B2055 + 5))) / 12) * ($B2055 - 3) * Parameters!$B$4,"&amp;" 0) + IF($B2055 &gt;= 9, IFERROR(SUM(FILTER('Fund Investment Data'!$V:$V, 'Fund Investment Data'!$C:$C = $C2055, 'Fund Investment Data'!$A:$A = $A2055, 'Fund Investment Data'!$B:$B &lt;= 3)) * Parameters!$B$4, 0),0)))"),0.0)</f>
        <v>0</v>
      </c>
      <c r="AB2055" s="32">
        <f>IFERROR(__xludf.DUMMYFUNCTION("IFERROR(((IFERROR(SUM(FILTER('Fund Investment Data'!$V:$V, 'Fund Investment Data'!$C:$C = $C2055, 'Fund Investment Data'!$A:$A = $A2055 - 2, 'Fund Investment Data'!$B:$B &gt;= 4)) * Parameters!$B$4,0) + IFERROR(SUM(FILTER('Fund Investment Data'!$V:$V, 'Fund "&amp;"Investment Data'!$C:$C = $C2055, 'Fund Investment Data'!$A:$A = $A2055 - 1, 'Fund Investment Data'!$B:$B &lt;= 3)) * Parameters!$B$4,0))),0)"),0.0)</f>
        <v>0</v>
      </c>
      <c r="AC2055" s="32">
        <f>IFERROR(__xludf.DUMMYFUNCTION("IFERROR(FILTER($AF:$AF,$C:$C = $C2055,$A:$A = $A2055 - 1,$B:$B = 12),0)"),0.0)</f>
        <v>0</v>
      </c>
      <c r="AD2055" s="32">
        <f t="shared" si="23"/>
        <v>0</v>
      </c>
      <c r="AE2055" s="32">
        <f t="shared" si="2"/>
        <v>0</v>
      </c>
      <c r="AF2055" s="32"/>
    </row>
    <row r="2056">
      <c r="A2056" s="86"/>
      <c r="B2056" s="87"/>
      <c r="C2056" s="88"/>
      <c r="D2056" s="104"/>
      <c r="E2056" s="104"/>
      <c r="F2056" s="104"/>
      <c r="G2056" s="104"/>
      <c r="H2056" s="104"/>
      <c r="I2056" s="104"/>
      <c r="J2056" s="104"/>
      <c r="K2056" s="32"/>
      <c r="L2056" s="32"/>
      <c r="M2056" s="32"/>
      <c r="N2056" s="32"/>
      <c r="O2056" s="106"/>
      <c r="P2056" s="91">
        <f>IFERROR(__xludf.DUMMYFUNCTION("IFERROR(sum(FILTER($D:$N,$C:$C = $C2056,$A:$A &lt; $A2056,$B:$B = 12)),0) + sum($D2056:$N2056)"),0.0)</f>
        <v>0</v>
      </c>
      <c r="Q2056" s="92">
        <f t="shared" si="1"/>
        <v>0</v>
      </c>
      <c r="R2056" s="91">
        <f t="array" ref="R2056">IFERROR(INDEX('Fund YTD Target Values'!$1:$1000, MATCH($C2056,'Fund YTD Target Values'!$A:$A,0), MATCH($A2056,'Fund YTD Target Values'!$1:$1,0)),0)</f>
        <v>0</v>
      </c>
      <c r="S2056" s="91">
        <f>IFERROR(__xludf.DUMMYFUNCTION("IFERROR(sum(FILTER('Fund Investment Data'!$V:$V, 'Fund Investment Data'!$C:$C = $C2056, 'Fund Investment Data'!$A:$A &lt; $A2056)),0) + IFERROR(sum(FILTER('Fund Investment Data'!$V:$V, 'Fund Investment Data'!$C:$C = $C2056, 'Fund Investment Data'!$A:$A = $A2"&amp;"056, 'Fund Investment Data'!$B:$B &lt;= $B2056)),0)"),0.0)</f>
        <v>0</v>
      </c>
      <c r="T2056" s="32"/>
      <c r="U2056" s="32"/>
      <c r="V2056" s="32">
        <f>IFERROR(__xludf.DUMMYFUNCTION("$D2056 - IFERROR(FILTER($D:$D,$C:$C = $C2056, $A:$A = $A2056, $B:$B = $B2056 - 1),0)"),0.0)</f>
        <v>0</v>
      </c>
      <c r="W2056" s="93">
        <f>IFERROR(__xludf.DUMMYFUNCTION("$E2056 - IFERROR(FILTER($E:$E,$C:$C = $C2056, $A:$A = $A2056, $B:$B = $B2056 - 1),0)"),0.0)</f>
        <v>0</v>
      </c>
      <c r="X2056" s="91">
        <f>IFERROR(__xludf.DUMMYFUNCTION("iFERROR((FILTER('Fund Investment Data'!$Z:$Z, 'Fund Investment Data'!$C:$C = $C2056, 'Fund Investment Data'!$A:$A = $A2056 - 1, 'Fund Investment Data'!$B:$B = 12) + FILTER('Fund Investment Data'!$AB:$AB, 'Fund Investment Data'!$C:$C = $C2056, 'Fund Invest"&amp;"ment Data'!$A:$A = $A2056 - 1, 'Fund Investment Data'!$B:$B = 12)) * (1 + AVERAGE(FILTER('Inflation Data'!$C:$C,'Inflation Data'!$A:$A = ($A2056 - 2)))) * Parameters!$A$4,0)"),0.0)</f>
        <v>0</v>
      </c>
      <c r="Y2056" s="91">
        <f>IFERROR(__xludf.DUMMYFUNCTION("IFERROR((IFERROR(FILTER('Fund Investment Data'!$P:$P,'Fund Investment Data'!$C:$C = $C2056,'Fund Investment Data'!$A:$A = ($A2056 - 2), 'Fund Investment Data'!$B:$B = 12),0) - SUM(FILTER('Fund Investment Data'!$V:$V, 'Fund Investment Data'!$C:$C = $C2056,"&amp;" 'Fund Investment Data'!$A:$A = ($A2056 - 2), 'Fund Investment Data'!$B:$B &gt; 3)))  * Parameters!$B$4 * (1 - Parameters!$A$4),0)"),0.0)</f>
        <v>0</v>
      </c>
      <c r="Z2056" s="91">
        <f t="shared" si="24"/>
        <v>0</v>
      </c>
      <c r="AA2056" s="91">
        <f>IFERROR(__xludf.DUMMYFUNCTION("((IFERROR((SUM(FILTER('Fund Investment Data'!$V:$V, 'Fund Investment Data'!$C:$C = $C2056, 'Fund Investment Data'!$A:$A = $A2056 - 1, 'Fund Investment Data'!$B:$B &gt;= 4, 'Fund Investment Data'!$B:$B &lt;= ($B2056 + 5))) / 12) * ($B2056 - 3) * Parameters!$B$4,"&amp;" 0) + IF($B2056 &gt;= 9, IFERROR(SUM(FILTER('Fund Investment Data'!$V:$V, 'Fund Investment Data'!$C:$C = $C2056, 'Fund Investment Data'!$A:$A = $A2056, 'Fund Investment Data'!$B:$B &lt;= 3)) * Parameters!$B$4, 0),0)))"),0.0)</f>
        <v>0</v>
      </c>
      <c r="AB2056" s="32">
        <f>IFERROR(__xludf.DUMMYFUNCTION("IFERROR(((IFERROR(SUM(FILTER('Fund Investment Data'!$V:$V, 'Fund Investment Data'!$C:$C = $C2056, 'Fund Investment Data'!$A:$A = $A2056 - 2, 'Fund Investment Data'!$B:$B &gt;= 4)) * Parameters!$B$4,0) + IFERROR(SUM(FILTER('Fund Investment Data'!$V:$V, 'Fund "&amp;"Investment Data'!$C:$C = $C2056, 'Fund Investment Data'!$A:$A = $A2056 - 1, 'Fund Investment Data'!$B:$B &lt;= 3)) * Parameters!$B$4,0))),0)"),0.0)</f>
        <v>0</v>
      </c>
      <c r="AC2056" s="32">
        <f>IFERROR(__xludf.DUMMYFUNCTION("IFERROR(FILTER($AF:$AF,$C:$C = $C2056,$A:$A = $A2056 - 1,$B:$B = 12),0)"),0.0)</f>
        <v>0</v>
      </c>
      <c r="AD2056" s="32">
        <f t="shared" si="23"/>
        <v>0</v>
      </c>
      <c r="AE2056" s="32">
        <f t="shared" si="2"/>
        <v>0</v>
      </c>
      <c r="AF2056" s="32"/>
    </row>
    <row r="2057">
      <c r="A2057" s="86"/>
      <c r="B2057" s="87"/>
      <c r="C2057" s="88"/>
      <c r="D2057" s="104"/>
      <c r="E2057" s="104"/>
      <c r="F2057" s="104"/>
      <c r="G2057" s="104"/>
      <c r="H2057" s="104"/>
      <c r="I2057" s="104"/>
      <c r="J2057" s="104"/>
      <c r="K2057" s="32"/>
      <c r="L2057" s="32"/>
      <c r="M2057" s="32"/>
      <c r="N2057" s="32"/>
      <c r="O2057" s="106"/>
      <c r="P2057" s="91">
        <f>IFERROR(__xludf.DUMMYFUNCTION("IFERROR(sum(FILTER($D:$N,$C:$C = $C2057,$A:$A &lt; $A2057,$B:$B = 12)),0) + sum($D2057:$N2057)"),0.0)</f>
        <v>0</v>
      </c>
      <c r="Q2057" s="92">
        <f t="shared" si="1"/>
        <v>0</v>
      </c>
      <c r="R2057" s="91">
        <f t="array" ref="R2057">IFERROR(INDEX('Fund YTD Target Values'!$1:$1000, MATCH($C2057,'Fund YTD Target Values'!$A:$A,0), MATCH($A2057,'Fund YTD Target Values'!$1:$1,0)),0)</f>
        <v>0</v>
      </c>
      <c r="S2057" s="91">
        <f>IFERROR(__xludf.DUMMYFUNCTION("IFERROR(sum(FILTER('Fund Investment Data'!$V:$V, 'Fund Investment Data'!$C:$C = $C2057, 'Fund Investment Data'!$A:$A &lt; $A2057)),0) + IFERROR(sum(FILTER('Fund Investment Data'!$V:$V, 'Fund Investment Data'!$C:$C = $C2057, 'Fund Investment Data'!$A:$A = $A2"&amp;"057, 'Fund Investment Data'!$B:$B &lt;= $B2057)),0)"),0.0)</f>
        <v>0</v>
      </c>
      <c r="T2057" s="32"/>
      <c r="U2057" s="32"/>
      <c r="V2057" s="32">
        <f>IFERROR(__xludf.DUMMYFUNCTION("$D2057 - IFERROR(FILTER($D:$D,$C:$C = $C2057, $A:$A = $A2057, $B:$B = $B2057 - 1),0)"),0.0)</f>
        <v>0</v>
      </c>
      <c r="W2057" s="93">
        <f>IFERROR(__xludf.DUMMYFUNCTION("$E2057 - IFERROR(FILTER($E:$E,$C:$C = $C2057, $A:$A = $A2057, $B:$B = $B2057 - 1),0)"),0.0)</f>
        <v>0</v>
      </c>
      <c r="X2057" s="91">
        <f>IFERROR(__xludf.DUMMYFUNCTION("iFERROR((FILTER('Fund Investment Data'!$Z:$Z, 'Fund Investment Data'!$C:$C = $C2057, 'Fund Investment Data'!$A:$A = $A2057 - 1, 'Fund Investment Data'!$B:$B = 12) + FILTER('Fund Investment Data'!$AB:$AB, 'Fund Investment Data'!$C:$C = $C2057, 'Fund Invest"&amp;"ment Data'!$A:$A = $A2057 - 1, 'Fund Investment Data'!$B:$B = 12)) * (1 + AVERAGE(FILTER('Inflation Data'!$C:$C,'Inflation Data'!$A:$A = ($A2057 - 2)))) * Parameters!$A$4,0)"),0.0)</f>
        <v>0</v>
      </c>
      <c r="Y2057" s="91">
        <f>IFERROR(__xludf.DUMMYFUNCTION("IFERROR((IFERROR(FILTER('Fund Investment Data'!$P:$P,'Fund Investment Data'!$C:$C = $C2057,'Fund Investment Data'!$A:$A = ($A2057 - 2), 'Fund Investment Data'!$B:$B = 12),0) - SUM(FILTER('Fund Investment Data'!$V:$V, 'Fund Investment Data'!$C:$C = $C2057,"&amp;" 'Fund Investment Data'!$A:$A = ($A2057 - 2), 'Fund Investment Data'!$B:$B &gt; 3)))  * Parameters!$B$4 * (1 - Parameters!$A$4),0)"),0.0)</f>
        <v>0</v>
      </c>
      <c r="Z2057" s="91">
        <f t="shared" si="24"/>
        <v>0</v>
      </c>
      <c r="AA2057" s="91">
        <f>IFERROR(__xludf.DUMMYFUNCTION("((IFERROR((SUM(FILTER('Fund Investment Data'!$V:$V, 'Fund Investment Data'!$C:$C = $C2057, 'Fund Investment Data'!$A:$A = $A2057 - 1, 'Fund Investment Data'!$B:$B &gt;= 4, 'Fund Investment Data'!$B:$B &lt;= ($B2057 + 5))) / 12) * ($B2057 - 3) * Parameters!$B$4,"&amp;" 0) + IF($B2057 &gt;= 9, IFERROR(SUM(FILTER('Fund Investment Data'!$V:$V, 'Fund Investment Data'!$C:$C = $C2057, 'Fund Investment Data'!$A:$A = $A2057, 'Fund Investment Data'!$B:$B &lt;= 3)) * Parameters!$B$4, 0),0)))"),0.0)</f>
        <v>0</v>
      </c>
      <c r="AB2057" s="32">
        <f>IFERROR(__xludf.DUMMYFUNCTION("IFERROR(((IFERROR(SUM(FILTER('Fund Investment Data'!$V:$V, 'Fund Investment Data'!$C:$C = $C2057, 'Fund Investment Data'!$A:$A = $A2057 - 2, 'Fund Investment Data'!$B:$B &gt;= 4)) * Parameters!$B$4,0) + IFERROR(SUM(FILTER('Fund Investment Data'!$V:$V, 'Fund "&amp;"Investment Data'!$C:$C = $C2057, 'Fund Investment Data'!$A:$A = $A2057 - 1, 'Fund Investment Data'!$B:$B &lt;= 3)) * Parameters!$B$4,0))),0)"),0.0)</f>
        <v>0</v>
      </c>
      <c r="AC2057" s="32">
        <f>IFERROR(__xludf.DUMMYFUNCTION("IFERROR(FILTER($AF:$AF,$C:$C = $C2057,$A:$A = $A2057 - 1,$B:$B = 12),0)"),0.0)</f>
        <v>0</v>
      </c>
      <c r="AD2057" s="32">
        <f t="shared" si="23"/>
        <v>0</v>
      </c>
      <c r="AE2057" s="32">
        <f t="shared" si="2"/>
        <v>0</v>
      </c>
      <c r="AF2057" s="32"/>
    </row>
    <row r="2058">
      <c r="A2058" s="86"/>
      <c r="B2058" s="87"/>
      <c r="C2058" s="88"/>
      <c r="D2058" s="104"/>
      <c r="E2058" s="104"/>
      <c r="F2058" s="104"/>
      <c r="G2058" s="104"/>
      <c r="H2058" s="104"/>
      <c r="I2058" s="104"/>
      <c r="J2058" s="104"/>
      <c r="K2058" s="32"/>
      <c r="L2058" s="32"/>
      <c r="M2058" s="32"/>
      <c r="N2058" s="32"/>
      <c r="O2058" s="106"/>
      <c r="P2058" s="91">
        <f>IFERROR(__xludf.DUMMYFUNCTION("IFERROR(sum(FILTER($D:$N,$C:$C = $C2058,$A:$A &lt; $A2058,$B:$B = 12)),0) + sum($D2058:$N2058)"),0.0)</f>
        <v>0</v>
      </c>
      <c r="Q2058" s="92">
        <f t="shared" si="1"/>
        <v>0</v>
      </c>
      <c r="R2058" s="91">
        <f t="array" ref="R2058">IFERROR(INDEX('Fund YTD Target Values'!$1:$1000, MATCH($C2058,'Fund YTD Target Values'!$A:$A,0), MATCH($A2058,'Fund YTD Target Values'!$1:$1,0)),0)</f>
        <v>0</v>
      </c>
      <c r="S2058" s="91">
        <f>IFERROR(__xludf.DUMMYFUNCTION("IFERROR(sum(FILTER('Fund Investment Data'!$V:$V, 'Fund Investment Data'!$C:$C = $C2058, 'Fund Investment Data'!$A:$A &lt; $A2058)),0) + IFERROR(sum(FILTER('Fund Investment Data'!$V:$V, 'Fund Investment Data'!$C:$C = $C2058, 'Fund Investment Data'!$A:$A = $A2"&amp;"058, 'Fund Investment Data'!$B:$B &lt;= $B2058)),0)"),0.0)</f>
        <v>0</v>
      </c>
      <c r="T2058" s="32"/>
      <c r="U2058" s="32"/>
      <c r="V2058" s="32">
        <f>IFERROR(__xludf.DUMMYFUNCTION("$D2058 - IFERROR(FILTER($D:$D,$C:$C = $C2058, $A:$A = $A2058, $B:$B = $B2058 - 1),0)"),0.0)</f>
        <v>0</v>
      </c>
      <c r="W2058" s="93">
        <f>IFERROR(__xludf.DUMMYFUNCTION("$E2058 - IFERROR(FILTER($E:$E,$C:$C = $C2058, $A:$A = $A2058, $B:$B = $B2058 - 1),0)"),0.0)</f>
        <v>0</v>
      </c>
      <c r="X2058" s="91">
        <f>IFERROR(__xludf.DUMMYFUNCTION("iFERROR((FILTER('Fund Investment Data'!$Z:$Z, 'Fund Investment Data'!$C:$C = $C2058, 'Fund Investment Data'!$A:$A = $A2058 - 1, 'Fund Investment Data'!$B:$B = 12) + FILTER('Fund Investment Data'!$AB:$AB, 'Fund Investment Data'!$C:$C = $C2058, 'Fund Invest"&amp;"ment Data'!$A:$A = $A2058 - 1, 'Fund Investment Data'!$B:$B = 12)) * (1 + AVERAGE(FILTER('Inflation Data'!$C:$C,'Inflation Data'!$A:$A = ($A2058 - 2)))) * Parameters!$A$4,0)"),0.0)</f>
        <v>0</v>
      </c>
      <c r="Y2058" s="91">
        <f>IFERROR(__xludf.DUMMYFUNCTION("IFERROR((IFERROR(FILTER('Fund Investment Data'!$P:$P,'Fund Investment Data'!$C:$C = $C2058,'Fund Investment Data'!$A:$A = ($A2058 - 2), 'Fund Investment Data'!$B:$B = 12),0) - SUM(FILTER('Fund Investment Data'!$V:$V, 'Fund Investment Data'!$C:$C = $C2058,"&amp;" 'Fund Investment Data'!$A:$A = ($A2058 - 2), 'Fund Investment Data'!$B:$B &gt; 3)))  * Parameters!$B$4 * (1 - Parameters!$A$4),0)"),0.0)</f>
        <v>0</v>
      </c>
      <c r="Z2058" s="91">
        <f t="shared" si="24"/>
        <v>0</v>
      </c>
      <c r="AA2058" s="91">
        <f>IFERROR(__xludf.DUMMYFUNCTION("((IFERROR((SUM(FILTER('Fund Investment Data'!$V:$V, 'Fund Investment Data'!$C:$C = $C2058, 'Fund Investment Data'!$A:$A = $A2058 - 1, 'Fund Investment Data'!$B:$B &gt;= 4, 'Fund Investment Data'!$B:$B &lt;= ($B2058 + 5))) / 12) * ($B2058 - 3) * Parameters!$B$4,"&amp;" 0) + IF($B2058 &gt;= 9, IFERROR(SUM(FILTER('Fund Investment Data'!$V:$V, 'Fund Investment Data'!$C:$C = $C2058, 'Fund Investment Data'!$A:$A = $A2058, 'Fund Investment Data'!$B:$B &lt;= 3)) * Parameters!$B$4, 0),0)))"),0.0)</f>
        <v>0</v>
      </c>
      <c r="AB2058" s="32">
        <f>IFERROR(__xludf.DUMMYFUNCTION("IFERROR(((IFERROR(SUM(FILTER('Fund Investment Data'!$V:$V, 'Fund Investment Data'!$C:$C = $C2058, 'Fund Investment Data'!$A:$A = $A2058 - 2, 'Fund Investment Data'!$B:$B &gt;= 4)) * Parameters!$B$4,0) + IFERROR(SUM(FILTER('Fund Investment Data'!$V:$V, 'Fund "&amp;"Investment Data'!$C:$C = $C2058, 'Fund Investment Data'!$A:$A = $A2058 - 1, 'Fund Investment Data'!$B:$B &lt;= 3)) * Parameters!$B$4,0))),0)"),0.0)</f>
        <v>0</v>
      </c>
      <c r="AC2058" s="32">
        <f>IFERROR(__xludf.DUMMYFUNCTION("IFERROR(FILTER($AF:$AF,$C:$C = $C2058,$A:$A = $A2058 - 1,$B:$B = 12),0)"),0.0)</f>
        <v>0</v>
      </c>
      <c r="AD2058" s="32">
        <f t="shared" si="23"/>
        <v>0</v>
      </c>
      <c r="AE2058" s="32">
        <f t="shared" si="2"/>
        <v>0</v>
      </c>
      <c r="AF2058" s="32"/>
    </row>
    <row r="2059">
      <c r="A2059" s="86"/>
      <c r="B2059" s="87"/>
      <c r="C2059" s="88"/>
      <c r="D2059" s="104"/>
      <c r="E2059" s="104"/>
      <c r="F2059" s="104"/>
      <c r="G2059" s="104"/>
      <c r="H2059" s="104"/>
      <c r="I2059" s="104"/>
      <c r="J2059" s="104"/>
      <c r="K2059" s="32"/>
      <c r="L2059" s="32"/>
      <c r="M2059" s="32"/>
      <c r="N2059" s="32"/>
      <c r="O2059" s="106"/>
      <c r="P2059" s="91">
        <f>IFERROR(__xludf.DUMMYFUNCTION("IFERROR(sum(FILTER($D:$N,$C:$C = $C2059,$A:$A &lt; $A2059,$B:$B = 12)),0) + sum($D2059:$N2059)"),0.0)</f>
        <v>0</v>
      </c>
      <c r="Q2059" s="92">
        <f t="shared" si="1"/>
        <v>0</v>
      </c>
      <c r="R2059" s="91">
        <f t="array" ref="R2059">IFERROR(INDEX('Fund YTD Target Values'!$1:$1000, MATCH($C2059,'Fund YTD Target Values'!$A:$A,0), MATCH($A2059,'Fund YTD Target Values'!$1:$1,0)),0)</f>
        <v>0</v>
      </c>
      <c r="S2059" s="91">
        <f>IFERROR(__xludf.DUMMYFUNCTION("IFERROR(sum(FILTER('Fund Investment Data'!$V:$V, 'Fund Investment Data'!$C:$C = $C2059, 'Fund Investment Data'!$A:$A &lt; $A2059)),0) + IFERROR(sum(FILTER('Fund Investment Data'!$V:$V, 'Fund Investment Data'!$C:$C = $C2059, 'Fund Investment Data'!$A:$A = $A2"&amp;"059, 'Fund Investment Data'!$B:$B &lt;= $B2059)),0)"),0.0)</f>
        <v>0</v>
      </c>
      <c r="T2059" s="32"/>
      <c r="U2059" s="32"/>
      <c r="V2059" s="32">
        <f>IFERROR(__xludf.DUMMYFUNCTION("$D2059 - IFERROR(FILTER($D:$D,$C:$C = $C2059, $A:$A = $A2059, $B:$B = $B2059 - 1),0)"),0.0)</f>
        <v>0</v>
      </c>
      <c r="W2059" s="93">
        <f>IFERROR(__xludf.DUMMYFUNCTION("$E2059 - IFERROR(FILTER($E:$E,$C:$C = $C2059, $A:$A = $A2059, $B:$B = $B2059 - 1),0)"),0.0)</f>
        <v>0</v>
      </c>
      <c r="X2059" s="91">
        <f>IFERROR(__xludf.DUMMYFUNCTION("iFERROR((FILTER('Fund Investment Data'!$Z:$Z, 'Fund Investment Data'!$C:$C = $C2059, 'Fund Investment Data'!$A:$A = $A2059 - 1, 'Fund Investment Data'!$B:$B = 12) + FILTER('Fund Investment Data'!$AB:$AB, 'Fund Investment Data'!$C:$C = $C2059, 'Fund Invest"&amp;"ment Data'!$A:$A = $A2059 - 1, 'Fund Investment Data'!$B:$B = 12)) * (1 + AVERAGE(FILTER('Inflation Data'!$C:$C,'Inflation Data'!$A:$A = ($A2059 - 2)))) * Parameters!$A$4,0)"),0.0)</f>
        <v>0</v>
      </c>
      <c r="Y2059" s="91">
        <f>IFERROR(__xludf.DUMMYFUNCTION("IFERROR((IFERROR(FILTER('Fund Investment Data'!$P:$P,'Fund Investment Data'!$C:$C = $C2059,'Fund Investment Data'!$A:$A = ($A2059 - 2), 'Fund Investment Data'!$B:$B = 12),0) - SUM(FILTER('Fund Investment Data'!$V:$V, 'Fund Investment Data'!$C:$C = $C2059,"&amp;" 'Fund Investment Data'!$A:$A = ($A2059 - 2), 'Fund Investment Data'!$B:$B &gt; 3)))  * Parameters!$B$4 * (1 - Parameters!$A$4),0)"),0.0)</f>
        <v>0</v>
      </c>
      <c r="Z2059" s="91">
        <f t="shared" si="24"/>
        <v>0</v>
      </c>
      <c r="AA2059" s="91">
        <f>IFERROR(__xludf.DUMMYFUNCTION("((IFERROR((SUM(FILTER('Fund Investment Data'!$V:$V, 'Fund Investment Data'!$C:$C = $C2059, 'Fund Investment Data'!$A:$A = $A2059 - 1, 'Fund Investment Data'!$B:$B &gt;= 4, 'Fund Investment Data'!$B:$B &lt;= ($B2059 + 5))) / 12) * ($B2059 - 3) * Parameters!$B$4,"&amp;" 0) + IF($B2059 &gt;= 9, IFERROR(SUM(FILTER('Fund Investment Data'!$V:$V, 'Fund Investment Data'!$C:$C = $C2059, 'Fund Investment Data'!$A:$A = $A2059, 'Fund Investment Data'!$B:$B &lt;= 3)) * Parameters!$B$4, 0),0)))"),0.0)</f>
        <v>0</v>
      </c>
      <c r="AB2059" s="32">
        <f>IFERROR(__xludf.DUMMYFUNCTION("IFERROR(((IFERROR(SUM(FILTER('Fund Investment Data'!$V:$V, 'Fund Investment Data'!$C:$C = $C2059, 'Fund Investment Data'!$A:$A = $A2059 - 2, 'Fund Investment Data'!$B:$B &gt;= 4)) * Parameters!$B$4,0) + IFERROR(SUM(FILTER('Fund Investment Data'!$V:$V, 'Fund "&amp;"Investment Data'!$C:$C = $C2059, 'Fund Investment Data'!$A:$A = $A2059 - 1, 'Fund Investment Data'!$B:$B &lt;= 3)) * Parameters!$B$4,0))),0)"),0.0)</f>
        <v>0</v>
      </c>
      <c r="AC2059" s="32">
        <f>IFERROR(__xludf.DUMMYFUNCTION("IFERROR(FILTER($AF:$AF,$C:$C = $C2059,$A:$A = $A2059 - 1,$B:$B = 12),0)"),0.0)</f>
        <v>0</v>
      </c>
      <c r="AD2059" s="32">
        <f t="shared" si="23"/>
        <v>0</v>
      </c>
      <c r="AE2059" s="32">
        <f t="shared" si="2"/>
        <v>0</v>
      </c>
      <c r="AF2059" s="32"/>
    </row>
    <row r="2060">
      <c r="A2060" s="86"/>
      <c r="B2060" s="87"/>
      <c r="C2060" s="88"/>
      <c r="D2060" s="104"/>
      <c r="E2060" s="104"/>
      <c r="F2060" s="104"/>
      <c r="G2060" s="104"/>
      <c r="H2060" s="104"/>
      <c r="I2060" s="104"/>
      <c r="J2060" s="104"/>
      <c r="K2060" s="32"/>
      <c r="L2060" s="32"/>
      <c r="M2060" s="32"/>
      <c r="N2060" s="32"/>
      <c r="O2060" s="106"/>
      <c r="P2060" s="91">
        <f>IFERROR(__xludf.DUMMYFUNCTION("IFERROR(sum(FILTER($D:$N,$C:$C = $C2060,$A:$A &lt; $A2060,$B:$B = 12)),0) + sum($D2060:$N2060)"),0.0)</f>
        <v>0</v>
      </c>
      <c r="Q2060" s="92">
        <f t="shared" si="1"/>
        <v>0</v>
      </c>
      <c r="R2060" s="91">
        <f t="array" ref="R2060">IFERROR(INDEX('Fund YTD Target Values'!$1:$1000, MATCH($C2060,'Fund YTD Target Values'!$A:$A,0), MATCH($A2060,'Fund YTD Target Values'!$1:$1,0)),0)</f>
        <v>0</v>
      </c>
      <c r="S2060" s="91">
        <f>IFERROR(__xludf.DUMMYFUNCTION("IFERROR(sum(FILTER('Fund Investment Data'!$V:$V, 'Fund Investment Data'!$C:$C = $C2060, 'Fund Investment Data'!$A:$A &lt; $A2060)),0) + IFERROR(sum(FILTER('Fund Investment Data'!$V:$V, 'Fund Investment Data'!$C:$C = $C2060, 'Fund Investment Data'!$A:$A = $A2"&amp;"060, 'Fund Investment Data'!$B:$B &lt;= $B2060)),0)"),0.0)</f>
        <v>0</v>
      </c>
      <c r="T2060" s="32"/>
      <c r="U2060" s="32"/>
      <c r="V2060" s="32">
        <f>IFERROR(__xludf.DUMMYFUNCTION("$D2060 - IFERROR(FILTER($D:$D,$C:$C = $C2060, $A:$A = $A2060, $B:$B = $B2060 - 1),0)"),0.0)</f>
        <v>0</v>
      </c>
      <c r="W2060" s="93">
        <f>IFERROR(__xludf.DUMMYFUNCTION("$E2060 - IFERROR(FILTER($E:$E,$C:$C = $C2060, $A:$A = $A2060, $B:$B = $B2060 - 1),0)"),0.0)</f>
        <v>0</v>
      </c>
      <c r="X2060" s="91">
        <f>IFERROR(__xludf.DUMMYFUNCTION("iFERROR((FILTER('Fund Investment Data'!$Z:$Z, 'Fund Investment Data'!$C:$C = $C2060, 'Fund Investment Data'!$A:$A = $A2060 - 1, 'Fund Investment Data'!$B:$B = 12) + FILTER('Fund Investment Data'!$AB:$AB, 'Fund Investment Data'!$C:$C = $C2060, 'Fund Invest"&amp;"ment Data'!$A:$A = $A2060 - 1, 'Fund Investment Data'!$B:$B = 12)) * (1 + AVERAGE(FILTER('Inflation Data'!$C:$C,'Inflation Data'!$A:$A = ($A2060 - 2)))) * Parameters!$A$4,0)"),0.0)</f>
        <v>0</v>
      </c>
      <c r="Y2060" s="91">
        <f>IFERROR(__xludf.DUMMYFUNCTION("IFERROR((IFERROR(FILTER('Fund Investment Data'!$P:$P,'Fund Investment Data'!$C:$C = $C2060,'Fund Investment Data'!$A:$A = ($A2060 - 2), 'Fund Investment Data'!$B:$B = 12),0) - SUM(FILTER('Fund Investment Data'!$V:$V, 'Fund Investment Data'!$C:$C = $C2060,"&amp;" 'Fund Investment Data'!$A:$A = ($A2060 - 2), 'Fund Investment Data'!$B:$B &gt; 3)))  * Parameters!$B$4 * (1 - Parameters!$A$4),0)"),0.0)</f>
        <v>0</v>
      </c>
      <c r="Z2060" s="91">
        <f t="shared" si="24"/>
        <v>0</v>
      </c>
      <c r="AA2060" s="91">
        <f>IFERROR(__xludf.DUMMYFUNCTION("((IFERROR((SUM(FILTER('Fund Investment Data'!$V:$V, 'Fund Investment Data'!$C:$C = $C2060, 'Fund Investment Data'!$A:$A = $A2060 - 1, 'Fund Investment Data'!$B:$B &gt;= 4, 'Fund Investment Data'!$B:$B &lt;= ($B2060 + 5))) / 12) * ($B2060 - 3) * Parameters!$B$4,"&amp;" 0) + IF($B2060 &gt;= 9, IFERROR(SUM(FILTER('Fund Investment Data'!$V:$V, 'Fund Investment Data'!$C:$C = $C2060, 'Fund Investment Data'!$A:$A = $A2060, 'Fund Investment Data'!$B:$B &lt;= 3)) * Parameters!$B$4, 0),0)))"),0.0)</f>
        <v>0</v>
      </c>
      <c r="AB2060" s="32">
        <f>IFERROR(__xludf.DUMMYFUNCTION("IFERROR(((IFERROR(SUM(FILTER('Fund Investment Data'!$V:$V, 'Fund Investment Data'!$C:$C = $C2060, 'Fund Investment Data'!$A:$A = $A2060 - 2, 'Fund Investment Data'!$B:$B &gt;= 4)) * Parameters!$B$4,0) + IFERROR(SUM(FILTER('Fund Investment Data'!$V:$V, 'Fund "&amp;"Investment Data'!$C:$C = $C2060, 'Fund Investment Data'!$A:$A = $A2060 - 1, 'Fund Investment Data'!$B:$B &lt;= 3)) * Parameters!$B$4,0))),0)"),0.0)</f>
        <v>0</v>
      </c>
      <c r="AC2060" s="32">
        <f>IFERROR(__xludf.DUMMYFUNCTION("IFERROR(FILTER($AF:$AF,$C:$C = $C2060,$A:$A = $A2060 - 1,$B:$B = 12),0)"),0.0)</f>
        <v>0</v>
      </c>
      <c r="AD2060" s="32">
        <f t="shared" si="23"/>
        <v>0</v>
      </c>
      <c r="AE2060" s="32">
        <f t="shared" si="2"/>
        <v>0</v>
      </c>
      <c r="AF2060" s="32"/>
    </row>
    <row r="2061">
      <c r="A2061" s="86"/>
      <c r="B2061" s="87"/>
      <c r="C2061" s="88"/>
      <c r="D2061" s="104"/>
      <c r="E2061" s="104"/>
      <c r="F2061" s="104"/>
      <c r="G2061" s="104"/>
      <c r="H2061" s="104"/>
      <c r="I2061" s="104"/>
      <c r="J2061" s="104"/>
      <c r="K2061" s="32"/>
      <c r="L2061" s="32"/>
      <c r="M2061" s="32"/>
      <c r="N2061" s="32"/>
      <c r="O2061" s="106"/>
      <c r="P2061" s="91">
        <f>IFERROR(__xludf.DUMMYFUNCTION("IFERROR(sum(FILTER($D:$N,$C:$C = $C2061,$A:$A &lt; $A2061,$B:$B = 12)),0) + sum($D2061:$N2061)"),0.0)</f>
        <v>0</v>
      </c>
      <c r="Q2061" s="92">
        <f t="shared" si="1"/>
        <v>0</v>
      </c>
      <c r="R2061" s="91">
        <f t="array" ref="R2061">IFERROR(INDEX('Fund YTD Target Values'!$1:$1000, MATCH($C2061,'Fund YTD Target Values'!$A:$A,0), MATCH($A2061,'Fund YTD Target Values'!$1:$1,0)),0)</f>
        <v>0</v>
      </c>
      <c r="S2061" s="91">
        <f>IFERROR(__xludf.DUMMYFUNCTION("IFERROR(sum(FILTER('Fund Investment Data'!$V:$V, 'Fund Investment Data'!$C:$C = $C2061, 'Fund Investment Data'!$A:$A &lt; $A2061)),0) + IFERROR(sum(FILTER('Fund Investment Data'!$V:$V, 'Fund Investment Data'!$C:$C = $C2061, 'Fund Investment Data'!$A:$A = $A2"&amp;"061, 'Fund Investment Data'!$B:$B &lt;= $B2061)),0)"),0.0)</f>
        <v>0</v>
      </c>
      <c r="T2061" s="32"/>
      <c r="U2061" s="32"/>
      <c r="V2061" s="32">
        <f>IFERROR(__xludf.DUMMYFUNCTION("$D2061 - IFERROR(FILTER($D:$D,$C:$C = $C2061, $A:$A = $A2061, $B:$B = $B2061 - 1),0)"),0.0)</f>
        <v>0</v>
      </c>
      <c r="W2061" s="93">
        <f>IFERROR(__xludf.DUMMYFUNCTION("$E2061 - IFERROR(FILTER($E:$E,$C:$C = $C2061, $A:$A = $A2061, $B:$B = $B2061 - 1),0)"),0.0)</f>
        <v>0</v>
      </c>
      <c r="X2061" s="91">
        <f>IFERROR(__xludf.DUMMYFUNCTION("iFERROR((FILTER('Fund Investment Data'!$Z:$Z, 'Fund Investment Data'!$C:$C = $C2061, 'Fund Investment Data'!$A:$A = $A2061 - 1, 'Fund Investment Data'!$B:$B = 12) + FILTER('Fund Investment Data'!$AB:$AB, 'Fund Investment Data'!$C:$C = $C2061, 'Fund Invest"&amp;"ment Data'!$A:$A = $A2061 - 1, 'Fund Investment Data'!$B:$B = 12)) * (1 + AVERAGE(FILTER('Inflation Data'!$C:$C,'Inflation Data'!$A:$A = ($A2061 - 2)))) * Parameters!$A$4,0)"),0.0)</f>
        <v>0</v>
      </c>
      <c r="Y2061" s="91">
        <f>IFERROR(__xludf.DUMMYFUNCTION("IFERROR((IFERROR(FILTER('Fund Investment Data'!$P:$P,'Fund Investment Data'!$C:$C = $C2061,'Fund Investment Data'!$A:$A = ($A2061 - 2), 'Fund Investment Data'!$B:$B = 12),0) - SUM(FILTER('Fund Investment Data'!$V:$V, 'Fund Investment Data'!$C:$C = $C2061,"&amp;" 'Fund Investment Data'!$A:$A = ($A2061 - 2), 'Fund Investment Data'!$B:$B &gt; 3)))  * Parameters!$B$4 * (1 - Parameters!$A$4),0)"),0.0)</f>
        <v>0</v>
      </c>
      <c r="Z2061" s="91">
        <f t="shared" si="24"/>
        <v>0</v>
      </c>
      <c r="AA2061" s="91">
        <f>IFERROR(__xludf.DUMMYFUNCTION("((IFERROR((SUM(FILTER('Fund Investment Data'!$V:$V, 'Fund Investment Data'!$C:$C = $C2061, 'Fund Investment Data'!$A:$A = $A2061 - 1, 'Fund Investment Data'!$B:$B &gt;= 4, 'Fund Investment Data'!$B:$B &lt;= ($B2061 + 5))) / 12) * ($B2061 - 3) * Parameters!$B$4,"&amp;" 0) + IF($B2061 &gt;= 9, IFERROR(SUM(FILTER('Fund Investment Data'!$V:$V, 'Fund Investment Data'!$C:$C = $C2061, 'Fund Investment Data'!$A:$A = $A2061, 'Fund Investment Data'!$B:$B &lt;= 3)) * Parameters!$B$4, 0),0)))"),0.0)</f>
        <v>0</v>
      </c>
      <c r="AB2061" s="32">
        <f>IFERROR(__xludf.DUMMYFUNCTION("IFERROR(((IFERROR(SUM(FILTER('Fund Investment Data'!$V:$V, 'Fund Investment Data'!$C:$C = $C2061, 'Fund Investment Data'!$A:$A = $A2061 - 2, 'Fund Investment Data'!$B:$B &gt;= 4)) * Parameters!$B$4,0) + IFERROR(SUM(FILTER('Fund Investment Data'!$V:$V, 'Fund "&amp;"Investment Data'!$C:$C = $C2061, 'Fund Investment Data'!$A:$A = $A2061 - 1, 'Fund Investment Data'!$B:$B &lt;= 3)) * Parameters!$B$4,0))),0)"),0.0)</f>
        <v>0</v>
      </c>
      <c r="AC2061" s="32">
        <f>IFERROR(__xludf.DUMMYFUNCTION("IFERROR(FILTER($AF:$AF,$C:$C = $C2061,$A:$A = $A2061 - 1,$B:$B = 12),0)"),0.0)</f>
        <v>0</v>
      </c>
      <c r="AD2061" s="32">
        <f t="shared" si="23"/>
        <v>0</v>
      </c>
      <c r="AE2061" s="32">
        <f t="shared" si="2"/>
        <v>0</v>
      </c>
      <c r="AF2061" s="32"/>
    </row>
    <row r="2062">
      <c r="A2062" s="86"/>
      <c r="B2062" s="87"/>
      <c r="C2062" s="88"/>
      <c r="D2062" s="104"/>
      <c r="E2062" s="104"/>
      <c r="F2062" s="104"/>
      <c r="G2062" s="104"/>
      <c r="H2062" s="104"/>
      <c r="I2062" s="104"/>
      <c r="J2062" s="104"/>
      <c r="K2062" s="32"/>
      <c r="L2062" s="32"/>
      <c r="M2062" s="32"/>
      <c r="N2062" s="32"/>
      <c r="O2062" s="106"/>
      <c r="P2062" s="91">
        <f>IFERROR(__xludf.DUMMYFUNCTION("IFERROR(sum(FILTER($D:$N,$C:$C = $C2062,$A:$A &lt; $A2062,$B:$B = 12)),0) + sum($D2062:$N2062)"),0.0)</f>
        <v>0</v>
      </c>
      <c r="Q2062" s="92">
        <f t="shared" si="1"/>
        <v>0</v>
      </c>
      <c r="R2062" s="91">
        <f t="array" ref="R2062">IFERROR(INDEX('Fund YTD Target Values'!$1:$1000, MATCH($C2062,'Fund YTD Target Values'!$A:$A,0), MATCH($A2062,'Fund YTD Target Values'!$1:$1,0)),0)</f>
        <v>0</v>
      </c>
      <c r="S2062" s="91">
        <f>IFERROR(__xludf.DUMMYFUNCTION("IFERROR(sum(FILTER('Fund Investment Data'!$V:$V, 'Fund Investment Data'!$C:$C = $C2062, 'Fund Investment Data'!$A:$A &lt; $A2062)),0) + IFERROR(sum(FILTER('Fund Investment Data'!$V:$V, 'Fund Investment Data'!$C:$C = $C2062, 'Fund Investment Data'!$A:$A = $A2"&amp;"062, 'Fund Investment Data'!$B:$B &lt;= $B2062)),0)"),0.0)</f>
        <v>0</v>
      </c>
      <c r="T2062" s="32"/>
      <c r="U2062" s="32"/>
      <c r="V2062" s="32">
        <f>IFERROR(__xludf.DUMMYFUNCTION("$D2062 - IFERROR(FILTER($D:$D,$C:$C = $C2062, $A:$A = $A2062, $B:$B = $B2062 - 1),0)"),0.0)</f>
        <v>0</v>
      </c>
      <c r="W2062" s="93">
        <f>IFERROR(__xludf.DUMMYFUNCTION("$E2062 - IFERROR(FILTER($E:$E,$C:$C = $C2062, $A:$A = $A2062, $B:$B = $B2062 - 1),0)"),0.0)</f>
        <v>0</v>
      </c>
      <c r="X2062" s="91">
        <f>IFERROR(__xludf.DUMMYFUNCTION("iFERROR((FILTER('Fund Investment Data'!$Z:$Z, 'Fund Investment Data'!$C:$C = $C2062, 'Fund Investment Data'!$A:$A = $A2062 - 1, 'Fund Investment Data'!$B:$B = 12) + FILTER('Fund Investment Data'!$AB:$AB, 'Fund Investment Data'!$C:$C = $C2062, 'Fund Invest"&amp;"ment Data'!$A:$A = $A2062 - 1, 'Fund Investment Data'!$B:$B = 12)) * (1 + AVERAGE(FILTER('Inflation Data'!$C:$C,'Inflation Data'!$A:$A = ($A2062 - 2)))) * Parameters!$A$4,0)"),0.0)</f>
        <v>0</v>
      </c>
      <c r="Y2062" s="91">
        <f>IFERROR(__xludf.DUMMYFUNCTION("IFERROR((IFERROR(FILTER('Fund Investment Data'!$P:$P,'Fund Investment Data'!$C:$C = $C2062,'Fund Investment Data'!$A:$A = ($A2062 - 2), 'Fund Investment Data'!$B:$B = 12),0) - SUM(FILTER('Fund Investment Data'!$V:$V, 'Fund Investment Data'!$C:$C = $C2062,"&amp;" 'Fund Investment Data'!$A:$A = ($A2062 - 2), 'Fund Investment Data'!$B:$B &gt; 3)))  * Parameters!$B$4 * (1 - Parameters!$A$4),0)"),0.0)</f>
        <v>0</v>
      </c>
      <c r="Z2062" s="91">
        <f t="shared" si="24"/>
        <v>0</v>
      </c>
      <c r="AA2062" s="91">
        <f>IFERROR(__xludf.DUMMYFUNCTION("((IFERROR((SUM(FILTER('Fund Investment Data'!$V:$V, 'Fund Investment Data'!$C:$C = $C2062, 'Fund Investment Data'!$A:$A = $A2062 - 1, 'Fund Investment Data'!$B:$B &gt;= 4, 'Fund Investment Data'!$B:$B &lt;= ($B2062 + 5))) / 12) * ($B2062 - 3) * Parameters!$B$4,"&amp;" 0) + IF($B2062 &gt;= 9, IFERROR(SUM(FILTER('Fund Investment Data'!$V:$V, 'Fund Investment Data'!$C:$C = $C2062, 'Fund Investment Data'!$A:$A = $A2062, 'Fund Investment Data'!$B:$B &lt;= 3)) * Parameters!$B$4, 0),0)))"),0.0)</f>
        <v>0</v>
      </c>
      <c r="AB2062" s="32">
        <f>IFERROR(__xludf.DUMMYFUNCTION("IFERROR(((IFERROR(SUM(FILTER('Fund Investment Data'!$V:$V, 'Fund Investment Data'!$C:$C = $C2062, 'Fund Investment Data'!$A:$A = $A2062 - 2, 'Fund Investment Data'!$B:$B &gt;= 4)) * Parameters!$B$4,0) + IFERROR(SUM(FILTER('Fund Investment Data'!$V:$V, 'Fund "&amp;"Investment Data'!$C:$C = $C2062, 'Fund Investment Data'!$A:$A = $A2062 - 1, 'Fund Investment Data'!$B:$B &lt;= 3)) * Parameters!$B$4,0))),0)"),0.0)</f>
        <v>0</v>
      </c>
      <c r="AC2062" s="32">
        <f>IFERROR(__xludf.DUMMYFUNCTION("IFERROR(FILTER($AF:$AF,$C:$C = $C2062,$A:$A = $A2062 - 1,$B:$B = 12),0)"),0.0)</f>
        <v>0</v>
      </c>
      <c r="AD2062" s="32">
        <f t="shared" si="23"/>
        <v>0</v>
      </c>
      <c r="AE2062" s="32">
        <f t="shared" si="2"/>
        <v>0</v>
      </c>
      <c r="AF2062" s="32"/>
    </row>
    <row r="2063">
      <c r="A2063" s="86"/>
      <c r="B2063" s="87"/>
      <c r="C2063" s="88"/>
      <c r="D2063" s="104"/>
      <c r="E2063" s="104"/>
      <c r="F2063" s="104"/>
      <c r="G2063" s="104"/>
      <c r="H2063" s="104"/>
      <c r="I2063" s="104"/>
      <c r="J2063" s="104"/>
      <c r="K2063" s="32"/>
      <c r="L2063" s="32"/>
      <c r="M2063" s="32"/>
      <c r="N2063" s="32"/>
      <c r="O2063" s="106"/>
      <c r="P2063" s="91">
        <f>IFERROR(__xludf.DUMMYFUNCTION("IFERROR(sum(FILTER($D:$N,$C:$C = $C2063,$A:$A &lt; $A2063,$B:$B = 12)),0) + sum($D2063:$N2063)"),0.0)</f>
        <v>0</v>
      </c>
      <c r="Q2063" s="92">
        <f t="shared" si="1"/>
        <v>0</v>
      </c>
      <c r="R2063" s="91">
        <f t="array" ref="R2063">IFERROR(INDEX('Fund YTD Target Values'!$1:$1000, MATCH($C2063,'Fund YTD Target Values'!$A:$A,0), MATCH($A2063,'Fund YTD Target Values'!$1:$1,0)),0)</f>
        <v>0</v>
      </c>
      <c r="S2063" s="91">
        <f>IFERROR(__xludf.DUMMYFUNCTION("IFERROR(sum(FILTER('Fund Investment Data'!$V:$V, 'Fund Investment Data'!$C:$C = $C2063, 'Fund Investment Data'!$A:$A &lt; $A2063)),0) + IFERROR(sum(FILTER('Fund Investment Data'!$V:$V, 'Fund Investment Data'!$C:$C = $C2063, 'Fund Investment Data'!$A:$A = $A2"&amp;"063, 'Fund Investment Data'!$B:$B &lt;= $B2063)),0)"),0.0)</f>
        <v>0</v>
      </c>
      <c r="T2063" s="32"/>
      <c r="U2063" s="32"/>
      <c r="V2063" s="32">
        <f>IFERROR(__xludf.DUMMYFUNCTION("$D2063 - IFERROR(FILTER($D:$D,$C:$C = $C2063, $A:$A = $A2063, $B:$B = $B2063 - 1),0)"),0.0)</f>
        <v>0</v>
      </c>
      <c r="W2063" s="93">
        <f>IFERROR(__xludf.DUMMYFUNCTION("$E2063 - IFERROR(FILTER($E:$E,$C:$C = $C2063, $A:$A = $A2063, $B:$B = $B2063 - 1),0)"),0.0)</f>
        <v>0</v>
      </c>
      <c r="X2063" s="91">
        <f>IFERROR(__xludf.DUMMYFUNCTION("iFERROR((FILTER('Fund Investment Data'!$Z:$Z, 'Fund Investment Data'!$C:$C = $C2063, 'Fund Investment Data'!$A:$A = $A2063 - 1, 'Fund Investment Data'!$B:$B = 12) + FILTER('Fund Investment Data'!$AB:$AB, 'Fund Investment Data'!$C:$C = $C2063, 'Fund Invest"&amp;"ment Data'!$A:$A = $A2063 - 1, 'Fund Investment Data'!$B:$B = 12)) * (1 + AVERAGE(FILTER('Inflation Data'!$C:$C,'Inflation Data'!$A:$A = ($A2063 - 2)))) * Parameters!$A$4,0)"),0.0)</f>
        <v>0</v>
      </c>
      <c r="Y2063" s="91">
        <f>IFERROR(__xludf.DUMMYFUNCTION("IFERROR((IFERROR(FILTER('Fund Investment Data'!$P:$P,'Fund Investment Data'!$C:$C = $C2063,'Fund Investment Data'!$A:$A = ($A2063 - 2), 'Fund Investment Data'!$B:$B = 12),0) - SUM(FILTER('Fund Investment Data'!$V:$V, 'Fund Investment Data'!$C:$C = $C2063,"&amp;" 'Fund Investment Data'!$A:$A = ($A2063 - 2), 'Fund Investment Data'!$B:$B &gt; 3)))  * Parameters!$B$4 * (1 - Parameters!$A$4),0)"),0.0)</f>
        <v>0</v>
      </c>
      <c r="Z2063" s="91">
        <f t="shared" si="24"/>
        <v>0</v>
      </c>
      <c r="AA2063" s="91">
        <f>IFERROR(__xludf.DUMMYFUNCTION("((IFERROR((SUM(FILTER('Fund Investment Data'!$V:$V, 'Fund Investment Data'!$C:$C = $C2063, 'Fund Investment Data'!$A:$A = $A2063 - 1, 'Fund Investment Data'!$B:$B &gt;= 4, 'Fund Investment Data'!$B:$B &lt;= ($B2063 + 5))) / 12) * ($B2063 - 3) * Parameters!$B$4,"&amp;" 0) + IF($B2063 &gt;= 9, IFERROR(SUM(FILTER('Fund Investment Data'!$V:$V, 'Fund Investment Data'!$C:$C = $C2063, 'Fund Investment Data'!$A:$A = $A2063, 'Fund Investment Data'!$B:$B &lt;= 3)) * Parameters!$B$4, 0),0)))"),0.0)</f>
        <v>0</v>
      </c>
      <c r="AB2063" s="32">
        <f>IFERROR(__xludf.DUMMYFUNCTION("IFERROR(((IFERROR(SUM(FILTER('Fund Investment Data'!$V:$V, 'Fund Investment Data'!$C:$C = $C2063, 'Fund Investment Data'!$A:$A = $A2063 - 2, 'Fund Investment Data'!$B:$B &gt;= 4)) * Parameters!$B$4,0) + IFERROR(SUM(FILTER('Fund Investment Data'!$V:$V, 'Fund "&amp;"Investment Data'!$C:$C = $C2063, 'Fund Investment Data'!$A:$A = $A2063 - 1, 'Fund Investment Data'!$B:$B &lt;= 3)) * Parameters!$B$4,0))),0)"),0.0)</f>
        <v>0</v>
      </c>
      <c r="AC2063" s="32">
        <f>IFERROR(__xludf.DUMMYFUNCTION("IFERROR(FILTER($AF:$AF,$C:$C = $C2063,$A:$A = $A2063 - 1,$B:$B = 12),0)"),0.0)</f>
        <v>0</v>
      </c>
      <c r="AD2063" s="32">
        <f t="shared" si="23"/>
        <v>0</v>
      </c>
      <c r="AE2063" s="32">
        <f t="shared" si="2"/>
        <v>0</v>
      </c>
      <c r="AF2063" s="32"/>
    </row>
    <row r="2064">
      <c r="A2064" s="86"/>
      <c r="B2064" s="87"/>
      <c r="C2064" s="88"/>
      <c r="D2064" s="104"/>
      <c r="E2064" s="104"/>
      <c r="F2064" s="104"/>
      <c r="G2064" s="104"/>
      <c r="H2064" s="104"/>
      <c r="I2064" s="104"/>
      <c r="J2064" s="104"/>
      <c r="K2064" s="32"/>
      <c r="L2064" s="32"/>
      <c r="M2064" s="32"/>
      <c r="N2064" s="32"/>
      <c r="O2064" s="106"/>
      <c r="P2064" s="91">
        <f>IFERROR(__xludf.DUMMYFUNCTION("IFERROR(sum(FILTER($D:$N,$C:$C = $C2064,$A:$A &lt; $A2064,$B:$B = 12)),0) + sum($D2064:$N2064)"),0.0)</f>
        <v>0</v>
      </c>
      <c r="Q2064" s="92">
        <f t="shared" si="1"/>
        <v>0</v>
      </c>
      <c r="R2064" s="91">
        <f t="array" ref="R2064">IFERROR(INDEX('Fund YTD Target Values'!$1:$1000, MATCH($C2064,'Fund YTD Target Values'!$A:$A,0), MATCH($A2064,'Fund YTD Target Values'!$1:$1,0)),0)</f>
        <v>0</v>
      </c>
      <c r="S2064" s="91">
        <f>IFERROR(__xludf.DUMMYFUNCTION("IFERROR(sum(FILTER('Fund Investment Data'!$V:$V, 'Fund Investment Data'!$C:$C = $C2064, 'Fund Investment Data'!$A:$A &lt; $A2064)),0) + IFERROR(sum(FILTER('Fund Investment Data'!$V:$V, 'Fund Investment Data'!$C:$C = $C2064, 'Fund Investment Data'!$A:$A = $A2"&amp;"064, 'Fund Investment Data'!$B:$B &lt;= $B2064)),0)"),0.0)</f>
        <v>0</v>
      </c>
      <c r="T2064" s="32"/>
      <c r="U2064" s="32"/>
      <c r="V2064" s="32">
        <f>IFERROR(__xludf.DUMMYFUNCTION("$D2064 - IFERROR(FILTER($D:$D,$C:$C = $C2064, $A:$A = $A2064, $B:$B = $B2064 - 1),0)"),0.0)</f>
        <v>0</v>
      </c>
      <c r="W2064" s="93">
        <f>IFERROR(__xludf.DUMMYFUNCTION("$E2064 - IFERROR(FILTER($E:$E,$C:$C = $C2064, $A:$A = $A2064, $B:$B = $B2064 - 1),0)"),0.0)</f>
        <v>0</v>
      </c>
      <c r="X2064" s="91">
        <f>IFERROR(__xludf.DUMMYFUNCTION("iFERROR((FILTER('Fund Investment Data'!$Z:$Z, 'Fund Investment Data'!$C:$C = $C2064, 'Fund Investment Data'!$A:$A = $A2064 - 1, 'Fund Investment Data'!$B:$B = 12) + FILTER('Fund Investment Data'!$AB:$AB, 'Fund Investment Data'!$C:$C = $C2064, 'Fund Invest"&amp;"ment Data'!$A:$A = $A2064 - 1, 'Fund Investment Data'!$B:$B = 12)) * (1 + AVERAGE(FILTER('Inflation Data'!$C:$C,'Inflation Data'!$A:$A = ($A2064 - 2)))) * Parameters!$A$4,0)"),0.0)</f>
        <v>0</v>
      </c>
      <c r="Y2064" s="91">
        <f>IFERROR(__xludf.DUMMYFUNCTION("IFERROR((IFERROR(FILTER('Fund Investment Data'!$P:$P,'Fund Investment Data'!$C:$C = $C2064,'Fund Investment Data'!$A:$A = ($A2064 - 2), 'Fund Investment Data'!$B:$B = 12),0) - SUM(FILTER('Fund Investment Data'!$V:$V, 'Fund Investment Data'!$C:$C = $C2064,"&amp;" 'Fund Investment Data'!$A:$A = ($A2064 - 2), 'Fund Investment Data'!$B:$B &gt; 3)))  * Parameters!$B$4 * (1 - Parameters!$A$4),0)"),0.0)</f>
        <v>0</v>
      </c>
      <c r="Z2064" s="91">
        <f t="shared" si="24"/>
        <v>0</v>
      </c>
      <c r="AA2064" s="91">
        <f>IFERROR(__xludf.DUMMYFUNCTION("((IFERROR((SUM(FILTER('Fund Investment Data'!$V:$V, 'Fund Investment Data'!$C:$C = $C2064, 'Fund Investment Data'!$A:$A = $A2064 - 1, 'Fund Investment Data'!$B:$B &gt;= 4, 'Fund Investment Data'!$B:$B &lt;= ($B2064 + 5))) / 12) * ($B2064 - 3) * Parameters!$B$4,"&amp;" 0) + IF($B2064 &gt;= 9, IFERROR(SUM(FILTER('Fund Investment Data'!$V:$V, 'Fund Investment Data'!$C:$C = $C2064, 'Fund Investment Data'!$A:$A = $A2064, 'Fund Investment Data'!$B:$B &lt;= 3)) * Parameters!$B$4, 0),0)))"),0.0)</f>
        <v>0</v>
      </c>
      <c r="AB2064" s="32">
        <f>IFERROR(__xludf.DUMMYFUNCTION("IFERROR(((IFERROR(SUM(FILTER('Fund Investment Data'!$V:$V, 'Fund Investment Data'!$C:$C = $C2064, 'Fund Investment Data'!$A:$A = $A2064 - 2, 'Fund Investment Data'!$B:$B &gt;= 4)) * Parameters!$B$4,0) + IFERROR(SUM(FILTER('Fund Investment Data'!$V:$V, 'Fund "&amp;"Investment Data'!$C:$C = $C2064, 'Fund Investment Data'!$A:$A = $A2064 - 1, 'Fund Investment Data'!$B:$B &lt;= 3)) * Parameters!$B$4,0))),0)"),0.0)</f>
        <v>0</v>
      </c>
      <c r="AC2064" s="32">
        <f>IFERROR(__xludf.DUMMYFUNCTION("IFERROR(FILTER($AF:$AF,$C:$C = $C2064,$A:$A = $A2064 - 1,$B:$B = 12),0)"),0.0)</f>
        <v>0</v>
      </c>
      <c r="AD2064" s="32">
        <f t="shared" si="23"/>
        <v>0</v>
      </c>
      <c r="AE2064" s="32">
        <f t="shared" si="2"/>
        <v>0</v>
      </c>
      <c r="AF2064" s="32"/>
    </row>
    <row r="2065">
      <c r="A2065" s="86"/>
      <c r="B2065" s="87"/>
      <c r="C2065" s="88"/>
      <c r="D2065" s="104"/>
      <c r="E2065" s="104"/>
      <c r="F2065" s="104"/>
      <c r="G2065" s="104"/>
      <c r="H2065" s="104"/>
      <c r="I2065" s="104"/>
      <c r="J2065" s="104"/>
      <c r="K2065" s="32"/>
      <c r="L2065" s="32"/>
      <c r="M2065" s="32"/>
      <c r="N2065" s="32"/>
      <c r="O2065" s="106"/>
      <c r="P2065" s="91">
        <f>IFERROR(__xludf.DUMMYFUNCTION("IFERROR(sum(FILTER($D:$N,$C:$C = $C2065,$A:$A &lt; $A2065,$B:$B = 12)),0) + sum($D2065:$N2065)"),0.0)</f>
        <v>0</v>
      </c>
      <c r="Q2065" s="92">
        <f t="shared" si="1"/>
        <v>0</v>
      </c>
      <c r="R2065" s="91">
        <f t="array" ref="R2065">IFERROR(INDEX('Fund YTD Target Values'!$1:$1000, MATCH($C2065,'Fund YTD Target Values'!$A:$A,0), MATCH($A2065,'Fund YTD Target Values'!$1:$1,0)),0)</f>
        <v>0</v>
      </c>
      <c r="S2065" s="91">
        <f>IFERROR(__xludf.DUMMYFUNCTION("IFERROR(sum(FILTER('Fund Investment Data'!$V:$V, 'Fund Investment Data'!$C:$C = $C2065, 'Fund Investment Data'!$A:$A &lt; $A2065)),0) + IFERROR(sum(FILTER('Fund Investment Data'!$V:$V, 'Fund Investment Data'!$C:$C = $C2065, 'Fund Investment Data'!$A:$A = $A2"&amp;"065, 'Fund Investment Data'!$B:$B &lt;= $B2065)),0)"),0.0)</f>
        <v>0</v>
      </c>
      <c r="T2065" s="32"/>
      <c r="U2065" s="32"/>
      <c r="V2065" s="32">
        <f>IFERROR(__xludf.DUMMYFUNCTION("$D2065 - IFERROR(FILTER($D:$D,$C:$C = $C2065, $A:$A = $A2065, $B:$B = $B2065 - 1),0)"),0.0)</f>
        <v>0</v>
      </c>
      <c r="W2065" s="93">
        <f>IFERROR(__xludf.DUMMYFUNCTION("$E2065 - IFERROR(FILTER($E:$E,$C:$C = $C2065, $A:$A = $A2065, $B:$B = $B2065 - 1),0)"),0.0)</f>
        <v>0</v>
      </c>
      <c r="X2065" s="91">
        <f>IFERROR(__xludf.DUMMYFUNCTION("iFERROR((FILTER('Fund Investment Data'!$Z:$Z, 'Fund Investment Data'!$C:$C = $C2065, 'Fund Investment Data'!$A:$A = $A2065 - 1, 'Fund Investment Data'!$B:$B = 12) + FILTER('Fund Investment Data'!$AB:$AB, 'Fund Investment Data'!$C:$C = $C2065, 'Fund Invest"&amp;"ment Data'!$A:$A = $A2065 - 1, 'Fund Investment Data'!$B:$B = 12)) * (1 + AVERAGE(FILTER('Inflation Data'!$C:$C,'Inflation Data'!$A:$A = ($A2065 - 2)))) * Parameters!$A$4,0)"),0.0)</f>
        <v>0</v>
      </c>
      <c r="Y2065" s="91">
        <f>IFERROR(__xludf.DUMMYFUNCTION("IFERROR((IFERROR(FILTER('Fund Investment Data'!$P:$P,'Fund Investment Data'!$C:$C = $C2065,'Fund Investment Data'!$A:$A = ($A2065 - 2), 'Fund Investment Data'!$B:$B = 12),0) - SUM(FILTER('Fund Investment Data'!$V:$V, 'Fund Investment Data'!$C:$C = $C2065,"&amp;" 'Fund Investment Data'!$A:$A = ($A2065 - 2), 'Fund Investment Data'!$B:$B &gt; 3)))  * Parameters!$B$4 * (1 - Parameters!$A$4),0)"),0.0)</f>
        <v>0</v>
      </c>
      <c r="Z2065" s="91">
        <f t="shared" si="24"/>
        <v>0</v>
      </c>
      <c r="AA2065" s="91">
        <f>IFERROR(__xludf.DUMMYFUNCTION("((IFERROR((SUM(FILTER('Fund Investment Data'!$V:$V, 'Fund Investment Data'!$C:$C = $C2065, 'Fund Investment Data'!$A:$A = $A2065 - 1, 'Fund Investment Data'!$B:$B &gt;= 4, 'Fund Investment Data'!$B:$B &lt;= ($B2065 + 5))) / 12) * ($B2065 - 3) * Parameters!$B$4,"&amp;" 0) + IF($B2065 &gt;= 9, IFERROR(SUM(FILTER('Fund Investment Data'!$V:$V, 'Fund Investment Data'!$C:$C = $C2065, 'Fund Investment Data'!$A:$A = $A2065, 'Fund Investment Data'!$B:$B &lt;= 3)) * Parameters!$B$4, 0),0)))"),0.0)</f>
        <v>0</v>
      </c>
      <c r="AB2065" s="32">
        <f>IFERROR(__xludf.DUMMYFUNCTION("IFERROR(((IFERROR(SUM(FILTER('Fund Investment Data'!$V:$V, 'Fund Investment Data'!$C:$C = $C2065, 'Fund Investment Data'!$A:$A = $A2065 - 2, 'Fund Investment Data'!$B:$B &gt;= 4)) * Parameters!$B$4,0) + IFERROR(SUM(FILTER('Fund Investment Data'!$V:$V, 'Fund "&amp;"Investment Data'!$C:$C = $C2065, 'Fund Investment Data'!$A:$A = $A2065 - 1, 'Fund Investment Data'!$B:$B &lt;= 3)) * Parameters!$B$4,0))),0)"),0.0)</f>
        <v>0</v>
      </c>
      <c r="AC2065" s="32">
        <f>IFERROR(__xludf.DUMMYFUNCTION("IFERROR(FILTER($AF:$AF,$C:$C = $C2065,$A:$A = $A2065 - 1,$B:$B = 12),0)"),0.0)</f>
        <v>0</v>
      </c>
      <c r="AD2065" s="32">
        <f t="shared" si="23"/>
        <v>0</v>
      </c>
      <c r="AE2065" s="32">
        <f t="shared" si="2"/>
        <v>0</v>
      </c>
      <c r="AF2065" s="32"/>
    </row>
    <row r="2066">
      <c r="A2066" s="86"/>
      <c r="B2066" s="87"/>
      <c r="C2066" s="88"/>
      <c r="D2066" s="104"/>
      <c r="E2066" s="104"/>
      <c r="F2066" s="104"/>
      <c r="G2066" s="104"/>
      <c r="H2066" s="104"/>
      <c r="I2066" s="104"/>
      <c r="J2066" s="104"/>
      <c r="K2066" s="32"/>
      <c r="L2066" s="32"/>
      <c r="M2066" s="32"/>
      <c r="N2066" s="32"/>
      <c r="O2066" s="106"/>
      <c r="P2066" s="91">
        <f>IFERROR(__xludf.DUMMYFUNCTION("IFERROR(sum(FILTER($D:$N,$C:$C = $C2066,$A:$A &lt; $A2066,$B:$B = 12)),0) + sum($D2066:$N2066)"),0.0)</f>
        <v>0</v>
      </c>
      <c r="Q2066" s="92">
        <f t="shared" si="1"/>
        <v>0</v>
      </c>
      <c r="R2066" s="91">
        <f t="array" ref="R2066">IFERROR(INDEX('Fund YTD Target Values'!$1:$1000, MATCH($C2066,'Fund YTD Target Values'!$A:$A,0), MATCH($A2066,'Fund YTD Target Values'!$1:$1,0)),0)</f>
        <v>0</v>
      </c>
      <c r="S2066" s="91">
        <f>IFERROR(__xludf.DUMMYFUNCTION("IFERROR(sum(FILTER('Fund Investment Data'!$V:$V, 'Fund Investment Data'!$C:$C = $C2066, 'Fund Investment Data'!$A:$A &lt; $A2066)),0) + IFERROR(sum(FILTER('Fund Investment Data'!$V:$V, 'Fund Investment Data'!$C:$C = $C2066, 'Fund Investment Data'!$A:$A = $A2"&amp;"066, 'Fund Investment Data'!$B:$B &lt;= $B2066)),0)"),0.0)</f>
        <v>0</v>
      </c>
      <c r="T2066" s="32"/>
      <c r="U2066" s="32"/>
      <c r="V2066" s="32">
        <f>IFERROR(__xludf.DUMMYFUNCTION("$D2066 - IFERROR(FILTER($D:$D,$C:$C = $C2066, $A:$A = $A2066, $B:$B = $B2066 - 1),0)"),0.0)</f>
        <v>0</v>
      </c>
      <c r="W2066" s="93">
        <f>IFERROR(__xludf.DUMMYFUNCTION("$E2066 - IFERROR(FILTER($E:$E,$C:$C = $C2066, $A:$A = $A2066, $B:$B = $B2066 - 1),0)"),0.0)</f>
        <v>0</v>
      </c>
      <c r="X2066" s="91">
        <f>IFERROR(__xludf.DUMMYFUNCTION("iFERROR((FILTER('Fund Investment Data'!$Z:$Z, 'Fund Investment Data'!$C:$C = $C2066, 'Fund Investment Data'!$A:$A = $A2066 - 1, 'Fund Investment Data'!$B:$B = 12) + FILTER('Fund Investment Data'!$AB:$AB, 'Fund Investment Data'!$C:$C = $C2066, 'Fund Invest"&amp;"ment Data'!$A:$A = $A2066 - 1, 'Fund Investment Data'!$B:$B = 12)) * (1 + AVERAGE(FILTER('Inflation Data'!$C:$C,'Inflation Data'!$A:$A = ($A2066 - 2)))) * Parameters!$A$4,0)"),0.0)</f>
        <v>0</v>
      </c>
      <c r="Y2066" s="91">
        <f>IFERROR(__xludf.DUMMYFUNCTION("IFERROR((IFERROR(FILTER('Fund Investment Data'!$P:$P,'Fund Investment Data'!$C:$C = $C2066,'Fund Investment Data'!$A:$A = ($A2066 - 2), 'Fund Investment Data'!$B:$B = 12),0) - SUM(FILTER('Fund Investment Data'!$V:$V, 'Fund Investment Data'!$C:$C = $C2066,"&amp;" 'Fund Investment Data'!$A:$A = ($A2066 - 2), 'Fund Investment Data'!$B:$B &gt; 3)))  * Parameters!$B$4 * (1 - Parameters!$A$4),0)"),0.0)</f>
        <v>0</v>
      </c>
      <c r="Z2066" s="91">
        <f t="shared" si="24"/>
        <v>0</v>
      </c>
      <c r="AA2066" s="91">
        <f>IFERROR(__xludf.DUMMYFUNCTION("((IFERROR((SUM(FILTER('Fund Investment Data'!$V:$V, 'Fund Investment Data'!$C:$C = $C2066, 'Fund Investment Data'!$A:$A = $A2066 - 1, 'Fund Investment Data'!$B:$B &gt;= 4, 'Fund Investment Data'!$B:$B &lt;= ($B2066 + 5))) / 12) * ($B2066 - 3) * Parameters!$B$4,"&amp;" 0) + IF($B2066 &gt;= 9, IFERROR(SUM(FILTER('Fund Investment Data'!$V:$V, 'Fund Investment Data'!$C:$C = $C2066, 'Fund Investment Data'!$A:$A = $A2066, 'Fund Investment Data'!$B:$B &lt;= 3)) * Parameters!$B$4, 0),0)))"),0.0)</f>
        <v>0</v>
      </c>
      <c r="AB2066" s="32">
        <f>IFERROR(__xludf.DUMMYFUNCTION("IFERROR(((IFERROR(SUM(FILTER('Fund Investment Data'!$V:$V, 'Fund Investment Data'!$C:$C = $C2066, 'Fund Investment Data'!$A:$A = $A2066 - 2, 'Fund Investment Data'!$B:$B &gt;= 4)) * Parameters!$B$4,0) + IFERROR(SUM(FILTER('Fund Investment Data'!$V:$V, 'Fund "&amp;"Investment Data'!$C:$C = $C2066, 'Fund Investment Data'!$A:$A = $A2066 - 1, 'Fund Investment Data'!$B:$B &lt;= 3)) * Parameters!$B$4,0))),0)"),0.0)</f>
        <v>0</v>
      </c>
      <c r="AC2066" s="32">
        <f>IFERROR(__xludf.DUMMYFUNCTION("IFERROR(FILTER($AF:$AF,$C:$C = $C2066,$A:$A = $A2066 - 1,$B:$B = 12),0)"),0.0)</f>
        <v>0</v>
      </c>
      <c r="AD2066" s="32">
        <f t="shared" si="23"/>
        <v>0</v>
      </c>
      <c r="AE2066" s="32">
        <f t="shared" si="2"/>
        <v>0</v>
      </c>
      <c r="AF2066" s="32"/>
    </row>
    <row r="2067">
      <c r="A2067" s="86"/>
      <c r="B2067" s="87"/>
      <c r="C2067" s="88"/>
      <c r="D2067" s="104"/>
      <c r="E2067" s="104"/>
      <c r="F2067" s="104"/>
      <c r="G2067" s="104"/>
      <c r="H2067" s="104"/>
      <c r="I2067" s="104"/>
      <c r="J2067" s="104"/>
      <c r="K2067" s="32"/>
      <c r="L2067" s="32"/>
      <c r="M2067" s="32"/>
      <c r="N2067" s="32"/>
      <c r="O2067" s="106"/>
      <c r="P2067" s="91">
        <f>IFERROR(__xludf.DUMMYFUNCTION("IFERROR(sum(FILTER($D:$N,$C:$C = $C2067,$A:$A &lt; $A2067,$B:$B = 12)),0) + sum($D2067:$N2067)"),0.0)</f>
        <v>0</v>
      </c>
      <c r="Q2067" s="92">
        <f t="shared" si="1"/>
        <v>0</v>
      </c>
      <c r="R2067" s="91">
        <f t="array" ref="R2067">IFERROR(INDEX('Fund YTD Target Values'!$1:$1000, MATCH($C2067,'Fund YTD Target Values'!$A:$A,0), MATCH($A2067,'Fund YTD Target Values'!$1:$1,0)),0)</f>
        <v>0</v>
      </c>
      <c r="S2067" s="91">
        <f>IFERROR(__xludf.DUMMYFUNCTION("IFERROR(sum(FILTER('Fund Investment Data'!$V:$V, 'Fund Investment Data'!$C:$C = $C2067, 'Fund Investment Data'!$A:$A &lt; $A2067)),0) + IFERROR(sum(FILTER('Fund Investment Data'!$V:$V, 'Fund Investment Data'!$C:$C = $C2067, 'Fund Investment Data'!$A:$A = $A2"&amp;"067, 'Fund Investment Data'!$B:$B &lt;= $B2067)),0)"),0.0)</f>
        <v>0</v>
      </c>
      <c r="T2067" s="32"/>
      <c r="U2067" s="32"/>
      <c r="V2067" s="32">
        <f>IFERROR(__xludf.DUMMYFUNCTION("$D2067 - IFERROR(FILTER($D:$D,$C:$C = $C2067, $A:$A = $A2067, $B:$B = $B2067 - 1),0)"),0.0)</f>
        <v>0</v>
      </c>
      <c r="W2067" s="93">
        <f>IFERROR(__xludf.DUMMYFUNCTION("$E2067 - IFERROR(FILTER($E:$E,$C:$C = $C2067, $A:$A = $A2067, $B:$B = $B2067 - 1),0)"),0.0)</f>
        <v>0</v>
      </c>
      <c r="X2067" s="91">
        <f>IFERROR(__xludf.DUMMYFUNCTION("iFERROR((FILTER('Fund Investment Data'!$Z:$Z, 'Fund Investment Data'!$C:$C = $C2067, 'Fund Investment Data'!$A:$A = $A2067 - 1, 'Fund Investment Data'!$B:$B = 12) + FILTER('Fund Investment Data'!$AB:$AB, 'Fund Investment Data'!$C:$C = $C2067, 'Fund Invest"&amp;"ment Data'!$A:$A = $A2067 - 1, 'Fund Investment Data'!$B:$B = 12)) * (1 + AVERAGE(FILTER('Inflation Data'!$C:$C,'Inflation Data'!$A:$A = ($A2067 - 2)))) * Parameters!$A$4,0)"),0.0)</f>
        <v>0</v>
      </c>
      <c r="Y2067" s="91">
        <f>IFERROR(__xludf.DUMMYFUNCTION("IFERROR((IFERROR(FILTER('Fund Investment Data'!$P:$P,'Fund Investment Data'!$C:$C = $C2067,'Fund Investment Data'!$A:$A = ($A2067 - 2), 'Fund Investment Data'!$B:$B = 12),0) - SUM(FILTER('Fund Investment Data'!$V:$V, 'Fund Investment Data'!$C:$C = $C2067,"&amp;" 'Fund Investment Data'!$A:$A = ($A2067 - 2), 'Fund Investment Data'!$B:$B &gt; 3)))  * Parameters!$B$4 * (1 - Parameters!$A$4),0)"),0.0)</f>
        <v>0</v>
      </c>
      <c r="Z2067" s="91">
        <f t="shared" si="24"/>
        <v>0</v>
      </c>
      <c r="AA2067" s="91">
        <f>IFERROR(__xludf.DUMMYFUNCTION("((IFERROR((SUM(FILTER('Fund Investment Data'!$V:$V, 'Fund Investment Data'!$C:$C = $C2067, 'Fund Investment Data'!$A:$A = $A2067 - 1, 'Fund Investment Data'!$B:$B &gt;= 4, 'Fund Investment Data'!$B:$B &lt;= ($B2067 + 5))) / 12) * ($B2067 - 3) * Parameters!$B$4,"&amp;" 0) + IF($B2067 &gt;= 9, IFERROR(SUM(FILTER('Fund Investment Data'!$V:$V, 'Fund Investment Data'!$C:$C = $C2067, 'Fund Investment Data'!$A:$A = $A2067, 'Fund Investment Data'!$B:$B &lt;= 3)) * Parameters!$B$4, 0),0)))"),0.0)</f>
        <v>0</v>
      </c>
      <c r="AB2067" s="32">
        <f>IFERROR(__xludf.DUMMYFUNCTION("IFERROR(((IFERROR(SUM(FILTER('Fund Investment Data'!$V:$V, 'Fund Investment Data'!$C:$C = $C2067, 'Fund Investment Data'!$A:$A = $A2067 - 2, 'Fund Investment Data'!$B:$B &gt;= 4)) * Parameters!$B$4,0) + IFERROR(SUM(FILTER('Fund Investment Data'!$V:$V, 'Fund "&amp;"Investment Data'!$C:$C = $C2067, 'Fund Investment Data'!$A:$A = $A2067 - 1, 'Fund Investment Data'!$B:$B &lt;= 3)) * Parameters!$B$4,0))),0)"),0.0)</f>
        <v>0</v>
      </c>
      <c r="AC2067" s="32">
        <f>IFERROR(__xludf.DUMMYFUNCTION("IFERROR(FILTER($AF:$AF,$C:$C = $C2067,$A:$A = $A2067 - 1,$B:$B = 12),0)"),0.0)</f>
        <v>0</v>
      </c>
      <c r="AD2067" s="32">
        <f t="shared" si="23"/>
        <v>0</v>
      </c>
      <c r="AE2067" s="32">
        <f t="shared" si="2"/>
        <v>0</v>
      </c>
      <c r="AF2067" s="32"/>
    </row>
    <row r="2068">
      <c r="A2068" s="86"/>
      <c r="B2068" s="87"/>
      <c r="C2068" s="88"/>
      <c r="D2068" s="104"/>
      <c r="E2068" s="104"/>
      <c r="F2068" s="104"/>
      <c r="G2068" s="104"/>
      <c r="H2068" s="104"/>
      <c r="I2068" s="104"/>
      <c r="J2068" s="104"/>
      <c r="K2068" s="32"/>
      <c r="L2068" s="32"/>
      <c r="M2068" s="32"/>
      <c r="N2068" s="32"/>
      <c r="O2068" s="106"/>
      <c r="P2068" s="91">
        <f>IFERROR(__xludf.DUMMYFUNCTION("IFERROR(sum(FILTER($D:$N,$C:$C = $C2068,$A:$A &lt; $A2068,$B:$B = 12)),0) + sum($D2068:$N2068)"),0.0)</f>
        <v>0</v>
      </c>
      <c r="Q2068" s="92">
        <f t="shared" si="1"/>
        <v>0</v>
      </c>
      <c r="R2068" s="91">
        <f t="array" ref="R2068">IFERROR(INDEX('Fund YTD Target Values'!$1:$1000, MATCH($C2068,'Fund YTD Target Values'!$A:$A,0), MATCH($A2068,'Fund YTD Target Values'!$1:$1,0)),0)</f>
        <v>0</v>
      </c>
      <c r="S2068" s="91">
        <f>IFERROR(__xludf.DUMMYFUNCTION("IFERROR(sum(FILTER('Fund Investment Data'!$V:$V, 'Fund Investment Data'!$C:$C = $C2068, 'Fund Investment Data'!$A:$A &lt; $A2068)),0) + IFERROR(sum(FILTER('Fund Investment Data'!$V:$V, 'Fund Investment Data'!$C:$C = $C2068, 'Fund Investment Data'!$A:$A = $A2"&amp;"068, 'Fund Investment Data'!$B:$B &lt;= $B2068)),0)"),0.0)</f>
        <v>0</v>
      </c>
      <c r="T2068" s="32"/>
      <c r="U2068" s="32"/>
      <c r="V2068" s="32">
        <f>IFERROR(__xludf.DUMMYFUNCTION("$D2068 - IFERROR(FILTER($D:$D,$C:$C = $C2068, $A:$A = $A2068, $B:$B = $B2068 - 1),0)"),0.0)</f>
        <v>0</v>
      </c>
      <c r="W2068" s="93">
        <f>IFERROR(__xludf.DUMMYFUNCTION("$E2068 - IFERROR(FILTER($E:$E,$C:$C = $C2068, $A:$A = $A2068, $B:$B = $B2068 - 1),0)"),0.0)</f>
        <v>0</v>
      </c>
      <c r="X2068" s="91">
        <f>IFERROR(__xludf.DUMMYFUNCTION("iFERROR((FILTER('Fund Investment Data'!$Z:$Z, 'Fund Investment Data'!$C:$C = $C2068, 'Fund Investment Data'!$A:$A = $A2068 - 1, 'Fund Investment Data'!$B:$B = 12) + FILTER('Fund Investment Data'!$AB:$AB, 'Fund Investment Data'!$C:$C = $C2068, 'Fund Invest"&amp;"ment Data'!$A:$A = $A2068 - 1, 'Fund Investment Data'!$B:$B = 12)) * (1 + AVERAGE(FILTER('Inflation Data'!$C:$C,'Inflation Data'!$A:$A = ($A2068 - 2)))) * Parameters!$A$4,0)"),0.0)</f>
        <v>0</v>
      </c>
      <c r="Y2068" s="91">
        <f>IFERROR(__xludf.DUMMYFUNCTION("IFERROR((IFERROR(FILTER('Fund Investment Data'!$P:$P,'Fund Investment Data'!$C:$C = $C2068,'Fund Investment Data'!$A:$A = ($A2068 - 2), 'Fund Investment Data'!$B:$B = 12),0) - SUM(FILTER('Fund Investment Data'!$V:$V, 'Fund Investment Data'!$C:$C = $C2068,"&amp;" 'Fund Investment Data'!$A:$A = ($A2068 - 2), 'Fund Investment Data'!$B:$B &gt; 3)))  * Parameters!$B$4 * (1 - Parameters!$A$4),0)"),0.0)</f>
        <v>0</v>
      </c>
      <c r="Z2068" s="91">
        <f t="shared" si="24"/>
        <v>0</v>
      </c>
      <c r="AA2068" s="91">
        <f>IFERROR(__xludf.DUMMYFUNCTION("((IFERROR((SUM(FILTER('Fund Investment Data'!$V:$V, 'Fund Investment Data'!$C:$C = $C2068, 'Fund Investment Data'!$A:$A = $A2068 - 1, 'Fund Investment Data'!$B:$B &gt;= 4, 'Fund Investment Data'!$B:$B &lt;= ($B2068 + 5))) / 12) * ($B2068 - 3) * Parameters!$B$4,"&amp;" 0) + IF($B2068 &gt;= 9, IFERROR(SUM(FILTER('Fund Investment Data'!$V:$V, 'Fund Investment Data'!$C:$C = $C2068, 'Fund Investment Data'!$A:$A = $A2068, 'Fund Investment Data'!$B:$B &lt;= 3)) * Parameters!$B$4, 0),0)))"),0.0)</f>
        <v>0</v>
      </c>
      <c r="AB2068" s="32">
        <f>IFERROR(__xludf.DUMMYFUNCTION("IFERROR(((IFERROR(SUM(FILTER('Fund Investment Data'!$V:$V, 'Fund Investment Data'!$C:$C = $C2068, 'Fund Investment Data'!$A:$A = $A2068 - 2, 'Fund Investment Data'!$B:$B &gt;= 4)) * Parameters!$B$4,0) + IFERROR(SUM(FILTER('Fund Investment Data'!$V:$V, 'Fund "&amp;"Investment Data'!$C:$C = $C2068, 'Fund Investment Data'!$A:$A = $A2068 - 1, 'Fund Investment Data'!$B:$B &lt;= 3)) * Parameters!$B$4,0))),0)"),0.0)</f>
        <v>0</v>
      </c>
      <c r="AC2068" s="32">
        <f>IFERROR(__xludf.DUMMYFUNCTION("IFERROR(FILTER($AF:$AF,$C:$C = $C2068,$A:$A = $A2068 - 1,$B:$B = 12),0)"),0.0)</f>
        <v>0</v>
      </c>
      <c r="AD2068" s="32">
        <f t="shared" si="23"/>
        <v>0</v>
      </c>
      <c r="AE2068" s="32">
        <f t="shared" si="2"/>
        <v>0</v>
      </c>
      <c r="AF2068" s="32"/>
    </row>
    <row r="2069">
      <c r="A2069" s="86"/>
      <c r="B2069" s="87"/>
      <c r="C2069" s="88"/>
      <c r="D2069" s="104"/>
      <c r="E2069" s="104"/>
      <c r="F2069" s="104"/>
      <c r="G2069" s="104"/>
      <c r="H2069" s="104"/>
      <c r="I2069" s="104"/>
      <c r="J2069" s="104"/>
      <c r="K2069" s="32"/>
      <c r="L2069" s="32"/>
      <c r="M2069" s="32"/>
      <c r="N2069" s="32"/>
      <c r="O2069" s="106"/>
      <c r="P2069" s="91">
        <f>IFERROR(__xludf.DUMMYFUNCTION("IFERROR(sum(FILTER($D:$N,$C:$C = $C2069,$A:$A &lt; $A2069,$B:$B = 12)),0) + sum($D2069:$N2069)"),0.0)</f>
        <v>0</v>
      </c>
      <c r="Q2069" s="92">
        <f t="shared" si="1"/>
        <v>0</v>
      </c>
      <c r="R2069" s="91">
        <f t="array" ref="R2069">IFERROR(INDEX('Fund YTD Target Values'!$1:$1000, MATCH($C2069,'Fund YTD Target Values'!$A:$A,0), MATCH($A2069,'Fund YTD Target Values'!$1:$1,0)),0)</f>
        <v>0</v>
      </c>
      <c r="S2069" s="91">
        <f>IFERROR(__xludf.DUMMYFUNCTION("IFERROR(sum(FILTER('Fund Investment Data'!$V:$V, 'Fund Investment Data'!$C:$C = $C2069, 'Fund Investment Data'!$A:$A &lt; $A2069)),0) + IFERROR(sum(FILTER('Fund Investment Data'!$V:$V, 'Fund Investment Data'!$C:$C = $C2069, 'Fund Investment Data'!$A:$A = $A2"&amp;"069, 'Fund Investment Data'!$B:$B &lt;= $B2069)),0)"),0.0)</f>
        <v>0</v>
      </c>
      <c r="T2069" s="32"/>
      <c r="U2069" s="32"/>
      <c r="V2069" s="32">
        <f>IFERROR(__xludf.DUMMYFUNCTION("$D2069 - IFERROR(FILTER($D:$D,$C:$C = $C2069, $A:$A = $A2069, $B:$B = $B2069 - 1),0)"),0.0)</f>
        <v>0</v>
      </c>
      <c r="W2069" s="93">
        <f>IFERROR(__xludf.DUMMYFUNCTION("$E2069 - IFERROR(FILTER($E:$E,$C:$C = $C2069, $A:$A = $A2069, $B:$B = $B2069 - 1),0)"),0.0)</f>
        <v>0</v>
      </c>
      <c r="X2069" s="91">
        <f>IFERROR(__xludf.DUMMYFUNCTION("iFERROR((FILTER('Fund Investment Data'!$Z:$Z, 'Fund Investment Data'!$C:$C = $C2069, 'Fund Investment Data'!$A:$A = $A2069 - 1, 'Fund Investment Data'!$B:$B = 12) + FILTER('Fund Investment Data'!$AB:$AB, 'Fund Investment Data'!$C:$C = $C2069, 'Fund Invest"&amp;"ment Data'!$A:$A = $A2069 - 1, 'Fund Investment Data'!$B:$B = 12)) * (1 + AVERAGE(FILTER('Inflation Data'!$C:$C,'Inflation Data'!$A:$A = ($A2069 - 2)))) * Parameters!$A$4,0)"),0.0)</f>
        <v>0</v>
      </c>
      <c r="Y2069" s="91">
        <f>IFERROR(__xludf.DUMMYFUNCTION("IFERROR((IFERROR(FILTER('Fund Investment Data'!$P:$P,'Fund Investment Data'!$C:$C = $C2069,'Fund Investment Data'!$A:$A = ($A2069 - 2), 'Fund Investment Data'!$B:$B = 12),0) - SUM(FILTER('Fund Investment Data'!$V:$V, 'Fund Investment Data'!$C:$C = $C2069,"&amp;" 'Fund Investment Data'!$A:$A = ($A2069 - 2), 'Fund Investment Data'!$B:$B &gt; 3)))  * Parameters!$B$4 * (1 - Parameters!$A$4),0)"),0.0)</f>
        <v>0</v>
      </c>
      <c r="Z2069" s="91">
        <f t="shared" si="24"/>
        <v>0</v>
      </c>
      <c r="AA2069" s="91">
        <f>IFERROR(__xludf.DUMMYFUNCTION("((IFERROR((SUM(FILTER('Fund Investment Data'!$V:$V, 'Fund Investment Data'!$C:$C = $C2069, 'Fund Investment Data'!$A:$A = $A2069 - 1, 'Fund Investment Data'!$B:$B &gt;= 4, 'Fund Investment Data'!$B:$B &lt;= ($B2069 + 5))) / 12) * ($B2069 - 3) * Parameters!$B$4,"&amp;" 0) + IF($B2069 &gt;= 9, IFERROR(SUM(FILTER('Fund Investment Data'!$V:$V, 'Fund Investment Data'!$C:$C = $C2069, 'Fund Investment Data'!$A:$A = $A2069, 'Fund Investment Data'!$B:$B &lt;= 3)) * Parameters!$B$4, 0),0)))"),0.0)</f>
        <v>0</v>
      </c>
      <c r="AB2069" s="32">
        <f>IFERROR(__xludf.DUMMYFUNCTION("IFERROR(((IFERROR(SUM(FILTER('Fund Investment Data'!$V:$V, 'Fund Investment Data'!$C:$C = $C2069, 'Fund Investment Data'!$A:$A = $A2069 - 2, 'Fund Investment Data'!$B:$B &gt;= 4)) * Parameters!$B$4,0) + IFERROR(SUM(FILTER('Fund Investment Data'!$V:$V, 'Fund "&amp;"Investment Data'!$C:$C = $C2069, 'Fund Investment Data'!$A:$A = $A2069 - 1, 'Fund Investment Data'!$B:$B &lt;= 3)) * Parameters!$B$4,0))),0)"),0.0)</f>
        <v>0</v>
      </c>
      <c r="AC2069" s="32">
        <f>IFERROR(__xludf.DUMMYFUNCTION("IFERROR(FILTER($AF:$AF,$C:$C = $C2069,$A:$A = $A2069 - 1,$B:$B = 12),0)"),0.0)</f>
        <v>0</v>
      </c>
      <c r="AD2069" s="32">
        <f t="shared" si="23"/>
        <v>0</v>
      </c>
      <c r="AE2069" s="32">
        <f t="shared" si="2"/>
        <v>0</v>
      </c>
      <c r="AF2069" s="32"/>
    </row>
    <row r="2070">
      <c r="A2070" s="86"/>
      <c r="B2070" s="87"/>
      <c r="C2070" s="88"/>
      <c r="D2070" s="104"/>
      <c r="E2070" s="104"/>
      <c r="F2070" s="104"/>
      <c r="G2070" s="104"/>
      <c r="H2070" s="104"/>
      <c r="I2070" s="104"/>
      <c r="J2070" s="104"/>
      <c r="K2070" s="32"/>
      <c r="L2070" s="32"/>
      <c r="M2070" s="32"/>
      <c r="N2070" s="32"/>
      <c r="O2070" s="106"/>
      <c r="P2070" s="91">
        <f>IFERROR(__xludf.DUMMYFUNCTION("IFERROR(sum(FILTER($D:$N,$C:$C = $C2070,$A:$A &lt; $A2070,$B:$B = 12)),0) + sum($D2070:$N2070)"),0.0)</f>
        <v>0</v>
      </c>
      <c r="Q2070" s="92">
        <f t="shared" si="1"/>
        <v>0</v>
      </c>
      <c r="R2070" s="91">
        <f t="array" ref="R2070">IFERROR(INDEX('Fund YTD Target Values'!$1:$1000, MATCH($C2070,'Fund YTD Target Values'!$A:$A,0), MATCH($A2070,'Fund YTD Target Values'!$1:$1,0)),0)</f>
        <v>0</v>
      </c>
      <c r="S2070" s="91">
        <f>IFERROR(__xludf.DUMMYFUNCTION("IFERROR(sum(FILTER('Fund Investment Data'!$V:$V, 'Fund Investment Data'!$C:$C = $C2070, 'Fund Investment Data'!$A:$A &lt; $A2070)),0) + IFERROR(sum(FILTER('Fund Investment Data'!$V:$V, 'Fund Investment Data'!$C:$C = $C2070, 'Fund Investment Data'!$A:$A = $A2"&amp;"070, 'Fund Investment Data'!$B:$B &lt;= $B2070)),0)"),0.0)</f>
        <v>0</v>
      </c>
      <c r="T2070" s="32"/>
      <c r="U2070" s="32"/>
      <c r="V2070" s="32">
        <f>IFERROR(__xludf.DUMMYFUNCTION("$D2070 - IFERROR(FILTER($D:$D,$C:$C = $C2070, $A:$A = $A2070, $B:$B = $B2070 - 1),0)"),0.0)</f>
        <v>0</v>
      </c>
      <c r="W2070" s="93">
        <f>IFERROR(__xludf.DUMMYFUNCTION("$E2070 - IFERROR(FILTER($E:$E,$C:$C = $C2070, $A:$A = $A2070, $B:$B = $B2070 - 1),0)"),0.0)</f>
        <v>0</v>
      </c>
      <c r="X2070" s="91">
        <f>IFERROR(__xludf.DUMMYFUNCTION("iFERROR((FILTER('Fund Investment Data'!$Z:$Z, 'Fund Investment Data'!$C:$C = $C2070, 'Fund Investment Data'!$A:$A = $A2070 - 1, 'Fund Investment Data'!$B:$B = 12) + FILTER('Fund Investment Data'!$AB:$AB, 'Fund Investment Data'!$C:$C = $C2070, 'Fund Invest"&amp;"ment Data'!$A:$A = $A2070 - 1, 'Fund Investment Data'!$B:$B = 12)) * (1 + AVERAGE(FILTER('Inflation Data'!$C:$C,'Inflation Data'!$A:$A = ($A2070 - 2)))) * Parameters!$A$4,0)"),0.0)</f>
        <v>0</v>
      </c>
      <c r="Y2070" s="91">
        <f>IFERROR(__xludf.DUMMYFUNCTION("IFERROR((IFERROR(FILTER('Fund Investment Data'!$P:$P,'Fund Investment Data'!$C:$C = $C2070,'Fund Investment Data'!$A:$A = ($A2070 - 2), 'Fund Investment Data'!$B:$B = 12),0) - SUM(FILTER('Fund Investment Data'!$V:$V, 'Fund Investment Data'!$C:$C = $C2070,"&amp;" 'Fund Investment Data'!$A:$A = ($A2070 - 2), 'Fund Investment Data'!$B:$B &gt; 3)))  * Parameters!$B$4 * (1 - Parameters!$A$4),0)"),0.0)</f>
        <v>0</v>
      </c>
      <c r="Z2070" s="91">
        <f t="shared" si="24"/>
        <v>0</v>
      </c>
      <c r="AA2070" s="91">
        <f>IFERROR(__xludf.DUMMYFUNCTION("((IFERROR((SUM(FILTER('Fund Investment Data'!$V:$V, 'Fund Investment Data'!$C:$C = $C2070, 'Fund Investment Data'!$A:$A = $A2070 - 1, 'Fund Investment Data'!$B:$B &gt;= 4, 'Fund Investment Data'!$B:$B &lt;= ($B2070 + 5))) / 12) * ($B2070 - 3) * Parameters!$B$4,"&amp;" 0) + IF($B2070 &gt;= 9, IFERROR(SUM(FILTER('Fund Investment Data'!$V:$V, 'Fund Investment Data'!$C:$C = $C2070, 'Fund Investment Data'!$A:$A = $A2070, 'Fund Investment Data'!$B:$B &lt;= 3)) * Parameters!$B$4, 0),0)))"),0.0)</f>
        <v>0</v>
      </c>
      <c r="AB2070" s="32">
        <f>IFERROR(__xludf.DUMMYFUNCTION("IFERROR(((IFERROR(SUM(FILTER('Fund Investment Data'!$V:$V, 'Fund Investment Data'!$C:$C = $C2070, 'Fund Investment Data'!$A:$A = $A2070 - 2, 'Fund Investment Data'!$B:$B &gt;= 4)) * Parameters!$B$4,0) + IFERROR(SUM(FILTER('Fund Investment Data'!$V:$V, 'Fund "&amp;"Investment Data'!$C:$C = $C2070, 'Fund Investment Data'!$A:$A = $A2070 - 1, 'Fund Investment Data'!$B:$B &lt;= 3)) * Parameters!$B$4,0))),0)"),0.0)</f>
        <v>0</v>
      </c>
      <c r="AC2070" s="32">
        <f>IFERROR(__xludf.DUMMYFUNCTION("IFERROR(FILTER($AF:$AF,$C:$C = $C2070,$A:$A = $A2070 - 1,$B:$B = 12),0)"),0.0)</f>
        <v>0</v>
      </c>
      <c r="AD2070" s="32">
        <f t="shared" si="23"/>
        <v>0</v>
      </c>
      <c r="AE2070" s="32">
        <f t="shared" si="2"/>
        <v>0</v>
      </c>
      <c r="AF2070" s="32"/>
    </row>
    <row r="2071">
      <c r="A2071" s="86"/>
      <c r="B2071" s="87"/>
      <c r="C2071" s="88"/>
      <c r="D2071" s="104"/>
      <c r="E2071" s="104"/>
      <c r="F2071" s="104"/>
      <c r="G2071" s="104"/>
      <c r="H2071" s="104"/>
      <c r="I2071" s="104"/>
      <c r="J2071" s="104"/>
      <c r="K2071" s="32"/>
      <c r="L2071" s="32"/>
      <c r="M2071" s="32"/>
      <c r="N2071" s="32"/>
      <c r="O2071" s="106"/>
      <c r="P2071" s="91">
        <f>IFERROR(__xludf.DUMMYFUNCTION("IFERROR(sum(FILTER($D:$N,$C:$C = $C2071,$A:$A &lt; $A2071,$B:$B = 12)),0) + sum($D2071:$N2071)"),0.0)</f>
        <v>0</v>
      </c>
      <c r="Q2071" s="92">
        <f t="shared" si="1"/>
        <v>0</v>
      </c>
      <c r="R2071" s="91">
        <f t="array" ref="R2071">IFERROR(INDEX('Fund YTD Target Values'!$1:$1000, MATCH($C2071,'Fund YTD Target Values'!$A:$A,0), MATCH($A2071,'Fund YTD Target Values'!$1:$1,0)),0)</f>
        <v>0</v>
      </c>
      <c r="S2071" s="91">
        <f>IFERROR(__xludf.DUMMYFUNCTION("IFERROR(sum(FILTER('Fund Investment Data'!$V:$V, 'Fund Investment Data'!$C:$C = $C2071, 'Fund Investment Data'!$A:$A &lt; $A2071)),0) + IFERROR(sum(FILTER('Fund Investment Data'!$V:$V, 'Fund Investment Data'!$C:$C = $C2071, 'Fund Investment Data'!$A:$A = $A2"&amp;"071, 'Fund Investment Data'!$B:$B &lt;= $B2071)),0)"),0.0)</f>
        <v>0</v>
      </c>
      <c r="T2071" s="32"/>
      <c r="U2071" s="32"/>
      <c r="V2071" s="32">
        <f>IFERROR(__xludf.DUMMYFUNCTION("$D2071 - IFERROR(FILTER($D:$D,$C:$C = $C2071, $A:$A = $A2071, $B:$B = $B2071 - 1),0)"),0.0)</f>
        <v>0</v>
      </c>
      <c r="W2071" s="93">
        <f>IFERROR(__xludf.DUMMYFUNCTION("$E2071 - IFERROR(FILTER($E:$E,$C:$C = $C2071, $A:$A = $A2071, $B:$B = $B2071 - 1),0)"),0.0)</f>
        <v>0</v>
      </c>
      <c r="X2071" s="91">
        <f>IFERROR(__xludf.DUMMYFUNCTION("iFERROR((FILTER('Fund Investment Data'!$Z:$Z, 'Fund Investment Data'!$C:$C = $C2071, 'Fund Investment Data'!$A:$A = $A2071 - 1, 'Fund Investment Data'!$B:$B = 12) + FILTER('Fund Investment Data'!$AB:$AB, 'Fund Investment Data'!$C:$C = $C2071, 'Fund Invest"&amp;"ment Data'!$A:$A = $A2071 - 1, 'Fund Investment Data'!$B:$B = 12)) * (1 + AVERAGE(FILTER('Inflation Data'!$C:$C,'Inflation Data'!$A:$A = ($A2071 - 2)))) * Parameters!$A$4,0)"),0.0)</f>
        <v>0</v>
      </c>
      <c r="Y2071" s="91">
        <f>IFERROR(__xludf.DUMMYFUNCTION("IFERROR((IFERROR(FILTER('Fund Investment Data'!$P:$P,'Fund Investment Data'!$C:$C = $C2071,'Fund Investment Data'!$A:$A = ($A2071 - 2), 'Fund Investment Data'!$B:$B = 12),0) - SUM(FILTER('Fund Investment Data'!$V:$V, 'Fund Investment Data'!$C:$C = $C2071,"&amp;" 'Fund Investment Data'!$A:$A = ($A2071 - 2), 'Fund Investment Data'!$B:$B &gt; 3)))  * Parameters!$B$4 * (1 - Parameters!$A$4),0)"),0.0)</f>
        <v>0</v>
      </c>
      <c r="Z2071" s="91">
        <f t="shared" si="24"/>
        <v>0</v>
      </c>
      <c r="AA2071" s="91">
        <f>IFERROR(__xludf.DUMMYFUNCTION("((IFERROR((SUM(FILTER('Fund Investment Data'!$V:$V, 'Fund Investment Data'!$C:$C = $C2071, 'Fund Investment Data'!$A:$A = $A2071 - 1, 'Fund Investment Data'!$B:$B &gt;= 4, 'Fund Investment Data'!$B:$B &lt;= ($B2071 + 5))) / 12) * ($B2071 - 3) * Parameters!$B$4,"&amp;" 0) + IF($B2071 &gt;= 9, IFERROR(SUM(FILTER('Fund Investment Data'!$V:$V, 'Fund Investment Data'!$C:$C = $C2071, 'Fund Investment Data'!$A:$A = $A2071, 'Fund Investment Data'!$B:$B &lt;= 3)) * Parameters!$B$4, 0),0)))"),0.0)</f>
        <v>0</v>
      </c>
      <c r="AB2071" s="32">
        <f>IFERROR(__xludf.DUMMYFUNCTION("IFERROR(((IFERROR(SUM(FILTER('Fund Investment Data'!$V:$V, 'Fund Investment Data'!$C:$C = $C2071, 'Fund Investment Data'!$A:$A = $A2071 - 2, 'Fund Investment Data'!$B:$B &gt;= 4)) * Parameters!$B$4,0) + IFERROR(SUM(FILTER('Fund Investment Data'!$V:$V, 'Fund "&amp;"Investment Data'!$C:$C = $C2071, 'Fund Investment Data'!$A:$A = $A2071 - 1, 'Fund Investment Data'!$B:$B &lt;= 3)) * Parameters!$B$4,0))),0)"),0.0)</f>
        <v>0</v>
      </c>
      <c r="AC2071" s="32">
        <f>IFERROR(__xludf.DUMMYFUNCTION("IFERROR(FILTER($AF:$AF,$C:$C = $C2071,$A:$A = $A2071 - 1,$B:$B = 12),0)"),0.0)</f>
        <v>0</v>
      </c>
      <c r="AD2071" s="32">
        <f t="shared" si="23"/>
        <v>0</v>
      </c>
      <c r="AE2071" s="32">
        <f t="shared" si="2"/>
        <v>0</v>
      </c>
      <c r="AF2071" s="32"/>
    </row>
    <row r="2072">
      <c r="A2072" s="86"/>
      <c r="B2072" s="87"/>
      <c r="C2072" s="88"/>
      <c r="D2072" s="104"/>
      <c r="E2072" s="104"/>
      <c r="F2072" s="104"/>
      <c r="G2072" s="104"/>
      <c r="H2072" s="104"/>
      <c r="I2072" s="104"/>
      <c r="J2072" s="104"/>
      <c r="K2072" s="32"/>
      <c r="L2072" s="32"/>
      <c r="M2072" s="32"/>
      <c r="N2072" s="32"/>
      <c r="O2072" s="106"/>
      <c r="P2072" s="91">
        <f>IFERROR(__xludf.DUMMYFUNCTION("IFERROR(sum(FILTER($D:$N,$C:$C = $C2072,$A:$A &lt; $A2072,$B:$B = 12)),0) + sum($D2072:$N2072)"),0.0)</f>
        <v>0</v>
      </c>
      <c r="Q2072" s="92">
        <f t="shared" si="1"/>
        <v>0</v>
      </c>
      <c r="R2072" s="91">
        <f t="array" ref="R2072">IFERROR(INDEX('Fund YTD Target Values'!$1:$1000, MATCH($C2072,'Fund YTD Target Values'!$A:$A,0), MATCH($A2072,'Fund YTD Target Values'!$1:$1,0)),0)</f>
        <v>0</v>
      </c>
      <c r="S2072" s="91">
        <f>IFERROR(__xludf.DUMMYFUNCTION("IFERROR(sum(FILTER('Fund Investment Data'!$V:$V, 'Fund Investment Data'!$C:$C = $C2072, 'Fund Investment Data'!$A:$A &lt; $A2072)),0) + IFERROR(sum(FILTER('Fund Investment Data'!$V:$V, 'Fund Investment Data'!$C:$C = $C2072, 'Fund Investment Data'!$A:$A = $A2"&amp;"072, 'Fund Investment Data'!$B:$B &lt;= $B2072)),0)"),0.0)</f>
        <v>0</v>
      </c>
      <c r="T2072" s="32"/>
      <c r="U2072" s="32"/>
      <c r="V2072" s="32">
        <f>IFERROR(__xludf.DUMMYFUNCTION("$D2072 - IFERROR(FILTER($D:$D,$C:$C = $C2072, $A:$A = $A2072, $B:$B = $B2072 - 1),0)"),0.0)</f>
        <v>0</v>
      </c>
      <c r="W2072" s="93">
        <f>IFERROR(__xludf.DUMMYFUNCTION("$E2072 - IFERROR(FILTER($E:$E,$C:$C = $C2072, $A:$A = $A2072, $B:$B = $B2072 - 1),0)"),0.0)</f>
        <v>0</v>
      </c>
      <c r="X2072" s="91">
        <f>IFERROR(__xludf.DUMMYFUNCTION("iFERROR((FILTER('Fund Investment Data'!$Z:$Z, 'Fund Investment Data'!$C:$C = $C2072, 'Fund Investment Data'!$A:$A = $A2072 - 1, 'Fund Investment Data'!$B:$B = 12) + FILTER('Fund Investment Data'!$AB:$AB, 'Fund Investment Data'!$C:$C = $C2072, 'Fund Invest"&amp;"ment Data'!$A:$A = $A2072 - 1, 'Fund Investment Data'!$B:$B = 12)) * (1 + AVERAGE(FILTER('Inflation Data'!$C:$C,'Inflation Data'!$A:$A = ($A2072 - 2)))) * Parameters!$A$4,0)"),0.0)</f>
        <v>0</v>
      </c>
      <c r="Y2072" s="91">
        <f>IFERROR(__xludf.DUMMYFUNCTION("IFERROR((IFERROR(FILTER('Fund Investment Data'!$P:$P,'Fund Investment Data'!$C:$C = $C2072,'Fund Investment Data'!$A:$A = ($A2072 - 2), 'Fund Investment Data'!$B:$B = 12),0) - SUM(FILTER('Fund Investment Data'!$V:$V, 'Fund Investment Data'!$C:$C = $C2072,"&amp;" 'Fund Investment Data'!$A:$A = ($A2072 - 2), 'Fund Investment Data'!$B:$B &gt; 3)))  * Parameters!$B$4 * (1 - Parameters!$A$4),0)"),0.0)</f>
        <v>0</v>
      </c>
      <c r="Z2072" s="91">
        <f t="shared" si="24"/>
        <v>0</v>
      </c>
      <c r="AA2072" s="91">
        <f>IFERROR(__xludf.DUMMYFUNCTION("((IFERROR((SUM(FILTER('Fund Investment Data'!$V:$V, 'Fund Investment Data'!$C:$C = $C2072, 'Fund Investment Data'!$A:$A = $A2072 - 1, 'Fund Investment Data'!$B:$B &gt;= 4, 'Fund Investment Data'!$B:$B &lt;= ($B2072 + 5))) / 12) * ($B2072 - 3) * Parameters!$B$4,"&amp;" 0) + IF($B2072 &gt;= 9, IFERROR(SUM(FILTER('Fund Investment Data'!$V:$V, 'Fund Investment Data'!$C:$C = $C2072, 'Fund Investment Data'!$A:$A = $A2072, 'Fund Investment Data'!$B:$B &lt;= 3)) * Parameters!$B$4, 0),0)))"),0.0)</f>
        <v>0</v>
      </c>
      <c r="AB2072" s="32">
        <f>IFERROR(__xludf.DUMMYFUNCTION("IFERROR(((IFERROR(SUM(FILTER('Fund Investment Data'!$V:$V, 'Fund Investment Data'!$C:$C = $C2072, 'Fund Investment Data'!$A:$A = $A2072 - 2, 'Fund Investment Data'!$B:$B &gt;= 4)) * Parameters!$B$4,0) + IFERROR(SUM(FILTER('Fund Investment Data'!$V:$V, 'Fund "&amp;"Investment Data'!$C:$C = $C2072, 'Fund Investment Data'!$A:$A = $A2072 - 1, 'Fund Investment Data'!$B:$B &lt;= 3)) * Parameters!$B$4,0))),0)"),0.0)</f>
        <v>0</v>
      </c>
      <c r="AC2072" s="32">
        <f>IFERROR(__xludf.DUMMYFUNCTION("IFERROR(FILTER($AF:$AF,$C:$C = $C2072,$A:$A = $A2072 - 1,$B:$B = 12),0)"),0.0)</f>
        <v>0</v>
      </c>
      <c r="AD2072" s="32">
        <f t="shared" si="23"/>
        <v>0</v>
      </c>
      <c r="AE2072" s="32">
        <f t="shared" si="2"/>
        <v>0</v>
      </c>
      <c r="AF2072" s="32"/>
    </row>
    <row r="2073">
      <c r="A2073" s="86"/>
      <c r="B2073" s="87"/>
      <c r="C2073" s="88"/>
      <c r="D2073" s="104"/>
      <c r="E2073" s="104"/>
      <c r="F2073" s="104"/>
      <c r="G2073" s="104"/>
      <c r="H2073" s="104"/>
      <c r="I2073" s="104"/>
      <c r="J2073" s="104"/>
      <c r="K2073" s="32"/>
      <c r="L2073" s="32"/>
      <c r="M2073" s="32"/>
      <c r="N2073" s="32"/>
      <c r="O2073" s="106"/>
      <c r="P2073" s="91">
        <f>IFERROR(__xludf.DUMMYFUNCTION("IFERROR(sum(FILTER($D:$N,$C:$C = $C2073,$A:$A &lt; $A2073,$B:$B = 12)),0) + sum($D2073:$N2073)"),0.0)</f>
        <v>0</v>
      </c>
      <c r="Q2073" s="92">
        <f t="shared" si="1"/>
        <v>0</v>
      </c>
      <c r="R2073" s="91">
        <f t="array" ref="R2073">IFERROR(INDEX('Fund YTD Target Values'!$1:$1000, MATCH($C2073,'Fund YTD Target Values'!$A:$A,0), MATCH($A2073,'Fund YTD Target Values'!$1:$1,0)),0)</f>
        <v>0</v>
      </c>
      <c r="S2073" s="91">
        <f>IFERROR(__xludf.DUMMYFUNCTION("IFERROR(sum(FILTER('Fund Investment Data'!$V:$V, 'Fund Investment Data'!$C:$C = $C2073, 'Fund Investment Data'!$A:$A &lt; $A2073)),0) + IFERROR(sum(FILTER('Fund Investment Data'!$V:$V, 'Fund Investment Data'!$C:$C = $C2073, 'Fund Investment Data'!$A:$A = $A2"&amp;"073, 'Fund Investment Data'!$B:$B &lt;= $B2073)),0)"),0.0)</f>
        <v>0</v>
      </c>
      <c r="T2073" s="32"/>
      <c r="U2073" s="32"/>
      <c r="V2073" s="32">
        <f>IFERROR(__xludf.DUMMYFUNCTION("$D2073 - IFERROR(FILTER($D:$D,$C:$C = $C2073, $A:$A = $A2073, $B:$B = $B2073 - 1),0)"),0.0)</f>
        <v>0</v>
      </c>
      <c r="W2073" s="93">
        <f>IFERROR(__xludf.DUMMYFUNCTION("$E2073 - IFERROR(FILTER($E:$E,$C:$C = $C2073, $A:$A = $A2073, $B:$B = $B2073 - 1),0)"),0.0)</f>
        <v>0</v>
      </c>
      <c r="X2073" s="91">
        <f>IFERROR(__xludf.DUMMYFUNCTION("iFERROR((FILTER('Fund Investment Data'!$Z:$Z, 'Fund Investment Data'!$C:$C = $C2073, 'Fund Investment Data'!$A:$A = $A2073 - 1, 'Fund Investment Data'!$B:$B = 12) + FILTER('Fund Investment Data'!$AB:$AB, 'Fund Investment Data'!$C:$C = $C2073, 'Fund Invest"&amp;"ment Data'!$A:$A = $A2073 - 1, 'Fund Investment Data'!$B:$B = 12)) * (1 + AVERAGE(FILTER('Inflation Data'!$C:$C,'Inflation Data'!$A:$A = ($A2073 - 2)))) * Parameters!$A$4,0)"),0.0)</f>
        <v>0</v>
      </c>
      <c r="Y2073" s="91">
        <f>IFERROR(__xludf.DUMMYFUNCTION("IFERROR((IFERROR(FILTER('Fund Investment Data'!$P:$P,'Fund Investment Data'!$C:$C = $C2073,'Fund Investment Data'!$A:$A = ($A2073 - 2), 'Fund Investment Data'!$B:$B = 12),0) - SUM(FILTER('Fund Investment Data'!$V:$V, 'Fund Investment Data'!$C:$C = $C2073,"&amp;" 'Fund Investment Data'!$A:$A = ($A2073 - 2), 'Fund Investment Data'!$B:$B &gt; 3)))  * Parameters!$B$4 * (1 - Parameters!$A$4),0)"),0.0)</f>
        <v>0</v>
      </c>
      <c r="Z2073" s="91">
        <f t="shared" si="24"/>
        <v>0</v>
      </c>
      <c r="AA2073" s="91">
        <f>IFERROR(__xludf.DUMMYFUNCTION("((IFERROR((SUM(FILTER('Fund Investment Data'!$V:$V, 'Fund Investment Data'!$C:$C = $C2073, 'Fund Investment Data'!$A:$A = $A2073 - 1, 'Fund Investment Data'!$B:$B &gt;= 4, 'Fund Investment Data'!$B:$B &lt;= ($B2073 + 5))) / 12) * ($B2073 - 3) * Parameters!$B$4,"&amp;" 0) + IF($B2073 &gt;= 9, IFERROR(SUM(FILTER('Fund Investment Data'!$V:$V, 'Fund Investment Data'!$C:$C = $C2073, 'Fund Investment Data'!$A:$A = $A2073, 'Fund Investment Data'!$B:$B &lt;= 3)) * Parameters!$B$4, 0),0)))"),0.0)</f>
        <v>0</v>
      </c>
      <c r="AB2073" s="32">
        <f>IFERROR(__xludf.DUMMYFUNCTION("IFERROR(((IFERROR(SUM(FILTER('Fund Investment Data'!$V:$V, 'Fund Investment Data'!$C:$C = $C2073, 'Fund Investment Data'!$A:$A = $A2073 - 2, 'Fund Investment Data'!$B:$B &gt;= 4)) * Parameters!$B$4,0) + IFERROR(SUM(FILTER('Fund Investment Data'!$V:$V, 'Fund "&amp;"Investment Data'!$C:$C = $C2073, 'Fund Investment Data'!$A:$A = $A2073 - 1, 'Fund Investment Data'!$B:$B &lt;= 3)) * Parameters!$B$4,0))),0)"),0.0)</f>
        <v>0</v>
      </c>
      <c r="AC2073" s="32">
        <f>IFERROR(__xludf.DUMMYFUNCTION("IFERROR(FILTER($AF:$AF,$C:$C = $C2073,$A:$A = $A2073 - 1,$B:$B = 12),0)"),0.0)</f>
        <v>0</v>
      </c>
      <c r="AD2073" s="32">
        <f t="shared" si="23"/>
        <v>0</v>
      </c>
      <c r="AE2073" s="32">
        <f t="shared" si="2"/>
        <v>0</v>
      </c>
      <c r="AF2073" s="32"/>
    </row>
    <row r="2074">
      <c r="A2074" s="86"/>
      <c r="B2074" s="87"/>
      <c r="C2074" s="88"/>
      <c r="D2074" s="104"/>
      <c r="E2074" s="104"/>
      <c r="F2074" s="104"/>
      <c r="G2074" s="104"/>
      <c r="H2074" s="104"/>
      <c r="I2074" s="104"/>
      <c r="J2074" s="104"/>
      <c r="K2074" s="32"/>
      <c r="L2074" s="32"/>
      <c r="M2074" s="32"/>
      <c r="N2074" s="32"/>
      <c r="O2074" s="106"/>
      <c r="P2074" s="91">
        <f>IFERROR(__xludf.DUMMYFUNCTION("IFERROR(sum(FILTER($D:$N,$C:$C = $C2074,$A:$A &lt; $A2074,$B:$B = 12)),0) + sum($D2074:$N2074)"),0.0)</f>
        <v>0</v>
      </c>
      <c r="Q2074" s="92">
        <f t="shared" si="1"/>
        <v>0</v>
      </c>
      <c r="R2074" s="91">
        <f t="array" ref="R2074">IFERROR(INDEX('Fund YTD Target Values'!$1:$1000, MATCH($C2074,'Fund YTD Target Values'!$A:$A,0), MATCH($A2074,'Fund YTD Target Values'!$1:$1,0)),0)</f>
        <v>0</v>
      </c>
      <c r="S2074" s="91">
        <f>IFERROR(__xludf.DUMMYFUNCTION("IFERROR(sum(FILTER('Fund Investment Data'!$V:$V, 'Fund Investment Data'!$C:$C = $C2074, 'Fund Investment Data'!$A:$A &lt; $A2074)),0) + IFERROR(sum(FILTER('Fund Investment Data'!$V:$V, 'Fund Investment Data'!$C:$C = $C2074, 'Fund Investment Data'!$A:$A = $A2"&amp;"074, 'Fund Investment Data'!$B:$B &lt;= $B2074)),0)"),0.0)</f>
        <v>0</v>
      </c>
      <c r="T2074" s="32"/>
      <c r="U2074" s="32"/>
      <c r="V2074" s="32">
        <f>IFERROR(__xludf.DUMMYFUNCTION("$D2074 - IFERROR(FILTER($D:$D,$C:$C = $C2074, $A:$A = $A2074, $B:$B = $B2074 - 1),0)"),0.0)</f>
        <v>0</v>
      </c>
      <c r="W2074" s="93">
        <f>IFERROR(__xludf.DUMMYFUNCTION("$E2074 - IFERROR(FILTER($E:$E,$C:$C = $C2074, $A:$A = $A2074, $B:$B = $B2074 - 1),0)"),0.0)</f>
        <v>0</v>
      </c>
      <c r="X2074" s="91">
        <f>IFERROR(__xludf.DUMMYFUNCTION("iFERROR((FILTER('Fund Investment Data'!$Z:$Z, 'Fund Investment Data'!$C:$C = $C2074, 'Fund Investment Data'!$A:$A = $A2074 - 1, 'Fund Investment Data'!$B:$B = 12) + FILTER('Fund Investment Data'!$AB:$AB, 'Fund Investment Data'!$C:$C = $C2074, 'Fund Invest"&amp;"ment Data'!$A:$A = $A2074 - 1, 'Fund Investment Data'!$B:$B = 12)) * (1 + AVERAGE(FILTER('Inflation Data'!$C:$C,'Inflation Data'!$A:$A = ($A2074 - 2)))) * Parameters!$A$4,0)"),0.0)</f>
        <v>0</v>
      </c>
      <c r="Y2074" s="91">
        <f>IFERROR(__xludf.DUMMYFUNCTION("IFERROR((IFERROR(FILTER('Fund Investment Data'!$P:$P,'Fund Investment Data'!$C:$C = $C2074,'Fund Investment Data'!$A:$A = ($A2074 - 2), 'Fund Investment Data'!$B:$B = 12),0) - SUM(FILTER('Fund Investment Data'!$V:$V, 'Fund Investment Data'!$C:$C = $C2074,"&amp;" 'Fund Investment Data'!$A:$A = ($A2074 - 2), 'Fund Investment Data'!$B:$B &gt; 3)))  * Parameters!$B$4 * (1 - Parameters!$A$4),0)"),0.0)</f>
        <v>0</v>
      </c>
      <c r="Z2074" s="91">
        <f t="shared" si="24"/>
        <v>0</v>
      </c>
      <c r="AA2074" s="91">
        <f>IFERROR(__xludf.DUMMYFUNCTION("((IFERROR((SUM(FILTER('Fund Investment Data'!$V:$V, 'Fund Investment Data'!$C:$C = $C2074, 'Fund Investment Data'!$A:$A = $A2074 - 1, 'Fund Investment Data'!$B:$B &gt;= 4, 'Fund Investment Data'!$B:$B &lt;= ($B2074 + 5))) / 12) * ($B2074 - 3) * Parameters!$B$4,"&amp;" 0) + IF($B2074 &gt;= 9, IFERROR(SUM(FILTER('Fund Investment Data'!$V:$V, 'Fund Investment Data'!$C:$C = $C2074, 'Fund Investment Data'!$A:$A = $A2074, 'Fund Investment Data'!$B:$B &lt;= 3)) * Parameters!$B$4, 0),0)))"),0.0)</f>
        <v>0</v>
      </c>
      <c r="AB2074" s="32">
        <f>IFERROR(__xludf.DUMMYFUNCTION("IFERROR(((IFERROR(SUM(FILTER('Fund Investment Data'!$V:$V, 'Fund Investment Data'!$C:$C = $C2074, 'Fund Investment Data'!$A:$A = $A2074 - 2, 'Fund Investment Data'!$B:$B &gt;= 4)) * Parameters!$B$4,0) + IFERROR(SUM(FILTER('Fund Investment Data'!$V:$V, 'Fund "&amp;"Investment Data'!$C:$C = $C2074, 'Fund Investment Data'!$A:$A = $A2074 - 1, 'Fund Investment Data'!$B:$B &lt;= 3)) * Parameters!$B$4,0))),0)"),0.0)</f>
        <v>0</v>
      </c>
      <c r="AC2074" s="32">
        <f>IFERROR(__xludf.DUMMYFUNCTION("IFERROR(FILTER($AF:$AF,$C:$C = $C2074,$A:$A = $A2074 - 1,$B:$B = 12),0)"),0.0)</f>
        <v>0</v>
      </c>
      <c r="AD2074" s="32">
        <f t="shared" si="23"/>
        <v>0</v>
      </c>
      <c r="AE2074" s="32">
        <f t="shared" si="2"/>
        <v>0</v>
      </c>
      <c r="AF2074" s="32"/>
    </row>
    <row r="2075">
      <c r="A2075" s="86"/>
      <c r="B2075" s="87"/>
      <c r="C2075" s="88"/>
      <c r="D2075" s="104"/>
      <c r="E2075" s="104"/>
      <c r="F2075" s="104"/>
      <c r="G2075" s="104"/>
      <c r="H2075" s="104"/>
      <c r="I2075" s="104"/>
      <c r="J2075" s="104"/>
      <c r="K2075" s="32"/>
      <c r="L2075" s="32"/>
      <c r="M2075" s="32"/>
      <c r="N2075" s="32"/>
      <c r="O2075" s="106"/>
      <c r="P2075" s="91">
        <f>IFERROR(__xludf.DUMMYFUNCTION("IFERROR(sum(FILTER($D:$N,$C:$C = $C2075,$A:$A &lt; $A2075,$B:$B = 12)),0) + sum($D2075:$N2075)"),0.0)</f>
        <v>0</v>
      </c>
      <c r="Q2075" s="92">
        <f t="shared" si="1"/>
        <v>0</v>
      </c>
      <c r="R2075" s="91">
        <f t="array" ref="R2075">IFERROR(INDEX('Fund YTD Target Values'!$1:$1000, MATCH($C2075,'Fund YTD Target Values'!$A:$A,0), MATCH($A2075,'Fund YTD Target Values'!$1:$1,0)),0)</f>
        <v>0</v>
      </c>
      <c r="S2075" s="91">
        <f>IFERROR(__xludf.DUMMYFUNCTION("IFERROR(sum(FILTER('Fund Investment Data'!$V:$V, 'Fund Investment Data'!$C:$C = $C2075, 'Fund Investment Data'!$A:$A &lt; $A2075)),0) + IFERROR(sum(FILTER('Fund Investment Data'!$V:$V, 'Fund Investment Data'!$C:$C = $C2075, 'Fund Investment Data'!$A:$A = $A2"&amp;"075, 'Fund Investment Data'!$B:$B &lt;= $B2075)),0)"),0.0)</f>
        <v>0</v>
      </c>
      <c r="T2075" s="32"/>
      <c r="U2075" s="32"/>
      <c r="V2075" s="32">
        <f>IFERROR(__xludf.DUMMYFUNCTION("$D2075 - IFERROR(FILTER($D:$D,$C:$C = $C2075, $A:$A = $A2075, $B:$B = $B2075 - 1),0)"),0.0)</f>
        <v>0</v>
      </c>
      <c r="W2075" s="93">
        <f>IFERROR(__xludf.DUMMYFUNCTION("$E2075 - IFERROR(FILTER($E:$E,$C:$C = $C2075, $A:$A = $A2075, $B:$B = $B2075 - 1),0)"),0.0)</f>
        <v>0</v>
      </c>
      <c r="X2075" s="91">
        <f>IFERROR(__xludf.DUMMYFUNCTION("iFERROR((FILTER('Fund Investment Data'!$Z:$Z, 'Fund Investment Data'!$C:$C = $C2075, 'Fund Investment Data'!$A:$A = $A2075 - 1, 'Fund Investment Data'!$B:$B = 12) + FILTER('Fund Investment Data'!$AB:$AB, 'Fund Investment Data'!$C:$C = $C2075, 'Fund Invest"&amp;"ment Data'!$A:$A = $A2075 - 1, 'Fund Investment Data'!$B:$B = 12)) * (1 + AVERAGE(FILTER('Inflation Data'!$C:$C,'Inflation Data'!$A:$A = ($A2075 - 2)))) * Parameters!$A$4,0)"),0.0)</f>
        <v>0</v>
      </c>
      <c r="Y2075" s="91">
        <f>IFERROR(__xludf.DUMMYFUNCTION("IFERROR((IFERROR(FILTER('Fund Investment Data'!$P:$P,'Fund Investment Data'!$C:$C = $C2075,'Fund Investment Data'!$A:$A = ($A2075 - 2), 'Fund Investment Data'!$B:$B = 12),0) - SUM(FILTER('Fund Investment Data'!$V:$V, 'Fund Investment Data'!$C:$C = $C2075,"&amp;" 'Fund Investment Data'!$A:$A = ($A2075 - 2), 'Fund Investment Data'!$B:$B &gt; 3)))  * Parameters!$B$4 * (1 - Parameters!$A$4),0)"),0.0)</f>
        <v>0</v>
      </c>
      <c r="Z2075" s="91">
        <f t="shared" si="24"/>
        <v>0</v>
      </c>
      <c r="AA2075" s="91">
        <f>IFERROR(__xludf.DUMMYFUNCTION("((IFERROR((SUM(FILTER('Fund Investment Data'!$V:$V, 'Fund Investment Data'!$C:$C = $C2075, 'Fund Investment Data'!$A:$A = $A2075 - 1, 'Fund Investment Data'!$B:$B &gt;= 4, 'Fund Investment Data'!$B:$B &lt;= ($B2075 + 5))) / 12) * ($B2075 - 3) * Parameters!$B$4,"&amp;" 0) + IF($B2075 &gt;= 9, IFERROR(SUM(FILTER('Fund Investment Data'!$V:$V, 'Fund Investment Data'!$C:$C = $C2075, 'Fund Investment Data'!$A:$A = $A2075, 'Fund Investment Data'!$B:$B &lt;= 3)) * Parameters!$B$4, 0),0)))"),0.0)</f>
        <v>0</v>
      </c>
      <c r="AB2075" s="32">
        <f>IFERROR(__xludf.DUMMYFUNCTION("IFERROR(((IFERROR(SUM(FILTER('Fund Investment Data'!$V:$V, 'Fund Investment Data'!$C:$C = $C2075, 'Fund Investment Data'!$A:$A = $A2075 - 2, 'Fund Investment Data'!$B:$B &gt;= 4)) * Parameters!$B$4,0) + IFERROR(SUM(FILTER('Fund Investment Data'!$V:$V, 'Fund "&amp;"Investment Data'!$C:$C = $C2075, 'Fund Investment Data'!$A:$A = $A2075 - 1, 'Fund Investment Data'!$B:$B &lt;= 3)) * Parameters!$B$4,0))),0)"),0.0)</f>
        <v>0</v>
      </c>
      <c r="AC2075" s="32">
        <f>IFERROR(__xludf.DUMMYFUNCTION("IFERROR(FILTER($AF:$AF,$C:$C = $C2075,$A:$A = $A2075 - 1,$B:$B = 12),0)"),0.0)</f>
        <v>0</v>
      </c>
      <c r="AD2075" s="32">
        <f t="shared" si="23"/>
        <v>0</v>
      </c>
      <c r="AE2075" s="32">
        <f t="shared" si="2"/>
        <v>0</v>
      </c>
      <c r="AF2075" s="32"/>
    </row>
    <row r="2076">
      <c r="A2076" s="86"/>
      <c r="B2076" s="87"/>
      <c r="C2076" s="88"/>
      <c r="D2076" s="104"/>
      <c r="E2076" s="104"/>
      <c r="F2076" s="104"/>
      <c r="G2076" s="104"/>
      <c r="H2076" s="104"/>
      <c r="I2076" s="104"/>
      <c r="J2076" s="104"/>
      <c r="K2076" s="32"/>
      <c r="L2076" s="32"/>
      <c r="M2076" s="32"/>
      <c r="N2076" s="32"/>
      <c r="O2076" s="106"/>
      <c r="P2076" s="91">
        <f>IFERROR(__xludf.DUMMYFUNCTION("IFERROR(sum(FILTER($D:$N,$C:$C = $C2076,$A:$A &lt; $A2076,$B:$B = 12)),0) + sum($D2076:$N2076)"),0.0)</f>
        <v>0</v>
      </c>
      <c r="Q2076" s="92">
        <f t="shared" si="1"/>
        <v>0</v>
      </c>
      <c r="R2076" s="91">
        <f t="array" ref="R2076">IFERROR(INDEX('Fund YTD Target Values'!$1:$1000, MATCH($C2076,'Fund YTD Target Values'!$A:$A,0), MATCH($A2076,'Fund YTD Target Values'!$1:$1,0)),0)</f>
        <v>0</v>
      </c>
      <c r="S2076" s="91">
        <f>IFERROR(__xludf.DUMMYFUNCTION("IFERROR(sum(FILTER('Fund Investment Data'!$V:$V, 'Fund Investment Data'!$C:$C = $C2076, 'Fund Investment Data'!$A:$A &lt; $A2076)),0) + IFERROR(sum(FILTER('Fund Investment Data'!$V:$V, 'Fund Investment Data'!$C:$C = $C2076, 'Fund Investment Data'!$A:$A = $A2"&amp;"076, 'Fund Investment Data'!$B:$B &lt;= $B2076)),0)"),0.0)</f>
        <v>0</v>
      </c>
      <c r="T2076" s="32"/>
      <c r="U2076" s="32"/>
      <c r="V2076" s="32">
        <f>IFERROR(__xludf.DUMMYFUNCTION("$D2076 - IFERROR(FILTER($D:$D,$C:$C = $C2076, $A:$A = $A2076, $B:$B = $B2076 - 1),0)"),0.0)</f>
        <v>0</v>
      </c>
      <c r="W2076" s="93">
        <f>IFERROR(__xludf.DUMMYFUNCTION("$E2076 - IFERROR(FILTER($E:$E,$C:$C = $C2076, $A:$A = $A2076, $B:$B = $B2076 - 1),0)"),0.0)</f>
        <v>0</v>
      </c>
      <c r="X2076" s="91">
        <f>IFERROR(__xludf.DUMMYFUNCTION("iFERROR((FILTER('Fund Investment Data'!$Z:$Z, 'Fund Investment Data'!$C:$C = $C2076, 'Fund Investment Data'!$A:$A = $A2076 - 1, 'Fund Investment Data'!$B:$B = 12) + FILTER('Fund Investment Data'!$AB:$AB, 'Fund Investment Data'!$C:$C = $C2076, 'Fund Invest"&amp;"ment Data'!$A:$A = $A2076 - 1, 'Fund Investment Data'!$B:$B = 12)) * (1 + AVERAGE(FILTER('Inflation Data'!$C:$C,'Inflation Data'!$A:$A = ($A2076 - 2)))) * Parameters!$A$4,0)"),0.0)</f>
        <v>0</v>
      </c>
      <c r="Y2076" s="91">
        <f>IFERROR(__xludf.DUMMYFUNCTION("IFERROR((IFERROR(FILTER('Fund Investment Data'!$P:$P,'Fund Investment Data'!$C:$C = $C2076,'Fund Investment Data'!$A:$A = ($A2076 - 2), 'Fund Investment Data'!$B:$B = 12),0) - SUM(FILTER('Fund Investment Data'!$V:$V, 'Fund Investment Data'!$C:$C = $C2076,"&amp;" 'Fund Investment Data'!$A:$A = ($A2076 - 2), 'Fund Investment Data'!$B:$B &gt; 3)))  * Parameters!$B$4 * (1 - Parameters!$A$4),0)"),0.0)</f>
        <v>0</v>
      </c>
      <c r="Z2076" s="91">
        <f t="shared" si="24"/>
        <v>0</v>
      </c>
      <c r="AA2076" s="91">
        <f>IFERROR(__xludf.DUMMYFUNCTION("((IFERROR((SUM(FILTER('Fund Investment Data'!$V:$V, 'Fund Investment Data'!$C:$C = $C2076, 'Fund Investment Data'!$A:$A = $A2076 - 1, 'Fund Investment Data'!$B:$B &gt;= 4, 'Fund Investment Data'!$B:$B &lt;= ($B2076 + 5))) / 12) * ($B2076 - 3) * Parameters!$B$4,"&amp;" 0) + IF($B2076 &gt;= 9, IFERROR(SUM(FILTER('Fund Investment Data'!$V:$V, 'Fund Investment Data'!$C:$C = $C2076, 'Fund Investment Data'!$A:$A = $A2076, 'Fund Investment Data'!$B:$B &lt;= 3)) * Parameters!$B$4, 0),0)))"),0.0)</f>
        <v>0</v>
      </c>
      <c r="AB2076" s="32">
        <f>IFERROR(__xludf.DUMMYFUNCTION("IFERROR(((IFERROR(SUM(FILTER('Fund Investment Data'!$V:$V, 'Fund Investment Data'!$C:$C = $C2076, 'Fund Investment Data'!$A:$A = $A2076 - 2, 'Fund Investment Data'!$B:$B &gt;= 4)) * Parameters!$B$4,0) + IFERROR(SUM(FILTER('Fund Investment Data'!$V:$V, 'Fund "&amp;"Investment Data'!$C:$C = $C2076, 'Fund Investment Data'!$A:$A = $A2076 - 1, 'Fund Investment Data'!$B:$B &lt;= 3)) * Parameters!$B$4,0))),0)"),0.0)</f>
        <v>0</v>
      </c>
      <c r="AC2076" s="32">
        <f>IFERROR(__xludf.DUMMYFUNCTION("IFERROR(FILTER($AF:$AF,$C:$C = $C2076,$A:$A = $A2076 - 1,$B:$B = 12),0)"),0.0)</f>
        <v>0</v>
      </c>
      <c r="AD2076" s="32">
        <f t="shared" si="23"/>
        <v>0</v>
      </c>
      <c r="AE2076" s="32">
        <f t="shared" si="2"/>
        <v>0</v>
      </c>
      <c r="AF2076" s="32"/>
    </row>
    <row r="2077">
      <c r="A2077" s="86"/>
      <c r="B2077" s="87"/>
      <c r="C2077" s="88"/>
      <c r="D2077" s="104"/>
      <c r="E2077" s="104"/>
      <c r="F2077" s="104"/>
      <c r="G2077" s="104"/>
      <c r="H2077" s="104"/>
      <c r="I2077" s="104"/>
      <c r="J2077" s="104"/>
      <c r="K2077" s="32"/>
      <c r="L2077" s="32"/>
      <c r="M2077" s="32"/>
      <c r="N2077" s="32"/>
      <c r="O2077" s="106"/>
      <c r="P2077" s="91">
        <f>IFERROR(__xludf.DUMMYFUNCTION("IFERROR(sum(FILTER($D:$N,$C:$C = $C2077,$A:$A &lt; $A2077,$B:$B = 12)),0) + sum($D2077:$N2077)"),0.0)</f>
        <v>0</v>
      </c>
      <c r="Q2077" s="92">
        <f t="shared" si="1"/>
        <v>0</v>
      </c>
      <c r="R2077" s="91">
        <f t="array" ref="R2077">IFERROR(INDEX('Fund YTD Target Values'!$1:$1000, MATCH($C2077,'Fund YTD Target Values'!$A:$A,0), MATCH($A2077,'Fund YTD Target Values'!$1:$1,0)),0)</f>
        <v>0</v>
      </c>
      <c r="S2077" s="91">
        <f>IFERROR(__xludf.DUMMYFUNCTION("IFERROR(sum(FILTER('Fund Investment Data'!$V:$V, 'Fund Investment Data'!$C:$C = $C2077, 'Fund Investment Data'!$A:$A &lt; $A2077)),0) + IFERROR(sum(FILTER('Fund Investment Data'!$V:$V, 'Fund Investment Data'!$C:$C = $C2077, 'Fund Investment Data'!$A:$A = $A2"&amp;"077, 'Fund Investment Data'!$B:$B &lt;= $B2077)),0)"),0.0)</f>
        <v>0</v>
      </c>
      <c r="T2077" s="32"/>
      <c r="U2077" s="32"/>
      <c r="V2077" s="32">
        <f>IFERROR(__xludf.DUMMYFUNCTION("$D2077 - IFERROR(FILTER($D:$D,$C:$C = $C2077, $A:$A = $A2077, $B:$B = $B2077 - 1),0)"),0.0)</f>
        <v>0</v>
      </c>
      <c r="W2077" s="93">
        <f>IFERROR(__xludf.DUMMYFUNCTION("$E2077 - IFERROR(FILTER($E:$E,$C:$C = $C2077, $A:$A = $A2077, $B:$B = $B2077 - 1),0)"),0.0)</f>
        <v>0</v>
      </c>
      <c r="X2077" s="91">
        <f>IFERROR(__xludf.DUMMYFUNCTION("iFERROR((FILTER('Fund Investment Data'!$Z:$Z, 'Fund Investment Data'!$C:$C = $C2077, 'Fund Investment Data'!$A:$A = $A2077 - 1, 'Fund Investment Data'!$B:$B = 12) + FILTER('Fund Investment Data'!$AB:$AB, 'Fund Investment Data'!$C:$C = $C2077, 'Fund Invest"&amp;"ment Data'!$A:$A = $A2077 - 1, 'Fund Investment Data'!$B:$B = 12)) * (1 + AVERAGE(FILTER('Inflation Data'!$C:$C,'Inflation Data'!$A:$A = ($A2077 - 2)))) * Parameters!$A$4,0)"),0.0)</f>
        <v>0</v>
      </c>
      <c r="Y2077" s="91">
        <f>IFERROR(__xludf.DUMMYFUNCTION("IFERROR((IFERROR(FILTER('Fund Investment Data'!$P:$P,'Fund Investment Data'!$C:$C = $C2077,'Fund Investment Data'!$A:$A = ($A2077 - 2), 'Fund Investment Data'!$B:$B = 12),0) - SUM(FILTER('Fund Investment Data'!$V:$V, 'Fund Investment Data'!$C:$C = $C2077,"&amp;" 'Fund Investment Data'!$A:$A = ($A2077 - 2), 'Fund Investment Data'!$B:$B &gt; 3)))  * Parameters!$B$4 * (1 - Parameters!$A$4),0)"),0.0)</f>
        <v>0</v>
      </c>
      <c r="Z2077" s="91">
        <f t="shared" si="24"/>
        <v>0</v>
      </c>
      <c r="AA2077" s="91">
        <f>IFERROR(__xludf.DUMMYFUNCTION("((IFERROR((SUM(FILTER('Fund Investment Data'!$V:$V, 'Fund Investment Data'!$C:$C = $C2077, 'Fund Investment Data'!$A:$A = $A2077 - 1, 'Fund Investment Data'!$B:$B &gt;= 4, 'Fund Investment Data'!$B:$B &lt;= ($B2077 + 5))) / 12) * ($B2077 - 3) * Parameters!$B$4,"&amp;" 0) + IF($B2077 &gt;= 9, IFERROR(SUM(FILTER('Fund Investment Data'!$V:$V, 'Fund Investment Data'!$C:$C = $C2077, 'Fund Investment Data'!$A:$A = $A2077, 'Fund Investment Data'!$B:$B &lt;= 3)) * Parameters!$B$4, 0),0)))"),0.0)</f>
        <v>0</v>
      </c>
      <c r="AB2077" s="32">
        <f>IFERROR(__xludf.DUMMYFUNCTION("IFERROR(((IFERROR(SUM(FILTER('Fund Investment Data'!$V:$V, 'Fund Investment Data'!$C:$C = $C2077, 'Fund Investment Data'!$A:$A = $A2077 - 2, 'Fund Investment Data'!$B:$B &gt;= 4)) * Parameters!$B$4,0) + IFERROR(SUM(FILTER('Fund Investment Data'!$V:$V, 'Fund "&amp;"Investment Data'!$C:$C = $C2077, 'Fund Investment Data'!$A:$A = $A2077 - 1, 'Fund Investment Data'!$B:$B &lt;= 3)) * Parameters!$B$4,0))),0)"),0.0)</f>
        <v>0</v>
      </c>
      <c r="AC2077" s="32">
        <f>IFERROR(__xludf.DUMMYFUNCTION("IFERROR(FILTER($AF:$AF,$C:$C = $C2077,$A:$A = $A2077 - 1,$B:$B = 12),0)"),0.0)</f>
        <v>0</v>
      </c>
      <c r="AD2077" s="32">
        <f t="shared" si="23"/>
        <v>0</v>
      </c>
      <c r="AE2077" s="32">
        <f t="shared" si="2"/>
        <v>0</v>
      </c>
      <c r="AF2077" s="32"/>
    </row>
    <row r="2078">
      <c r="A2078" s="86"/>
      <c r="B2078" s="87"/>
      <c r="C2078" s="88"/>
      <c r="D2078" s="104"/>
      <c r="E2078" s="104"/>
      <c r="F2078" s="104"/>
      <c r="G2078" s="104"/>
      <c r="H2078" s="104"/>
      <c r="I2078" s="104"/>
      <c r="J2078" s="104"/>
      <c r="K2078" s="32"/>
      <c r="L2078" s="32"/>
      <c r="M2078" s="32"/>
      <c r="N2078" s="32"/>
      <c r="O2078" s="106"/>
      <c r="P2078" s="91">
        <f>IFERROR(__xludf.DUMMYFUNCTION("IFERROR(sum(FILTER($D:$N,$C:$C = $C2078,$A:$A &lt; $A2078,$B:$B = 12)),0) + sum($D2078:$N2078)"),0.0)</f>
        <v>0</v>
      </c>
      <c r="Q2078" s="92">
        <f t="shared" si="1"/>
        <v>0</v>
      </c>
      <c r="R2078" s="91">
        <f t="array" ref="R2078">IFERROR(INDEX('Fund YTD Target Values'!$1:$1000, MATCH($C2078,'Fund YTD Target Values'!$A:$A,0), MATCH($A2078,'Fund YTD Target Values'!$1:$1,0)),0)</f>
        <v>0</v>
      </c>
      <c r="S2078" s="91">
        <f>IFERROR(__xludf.DUMMYFUNCTION("IFERROR(sum(FILTER('Fund Investment Data'!$V:$V, 'Fund Investment Data'!$C:$C = $C2078, 'Fund Investment Data'!$A:$A &lt; $A2078)),0) + IFERROR(sum(FILTER('Fund Investment Data'!$V:$V, 'Fund Investment Data'!$C:$C = $C2078, 'Fund Investment Data'!$A:$A = $A2"&amp;"078, 'Fund Investment Data'!$B:$B &lt;= $B2078)),0)"),0.0)</f>
        <v>0</v>
      </c>
      <c r="T2078" s="32"/>
      <c r="U2078" s="32"/>
      <c r="V2078" s="32">
        <f>IFERROR(__xludf.DUMMYFUNCTION("$D2078 - IFERROR(FILTER($D:$D,$C:$C = $C2078, $A:$A = $A2078, $B:$B = $B2078 - 1),0)"),0.0)</f>
        <v>0</v>
      </c>
      <c r="W2078" s="93">
        <f>IFERROR(__xludf.DUMMYFUNCTION("$E2078 - IFERROR(FILTER($E:$E,$C:$C = $C2078, $A:$A = $A2078, $B:$B = $B2078 - 1),0)"),0.0)</f>
        <v>0</v>
      </c>
      <c r="X2078" s="91">
        <f>IFERROR(__xludf.DUMMYFUNCTION("iFERROR((FILTER('Fund Investment Data'!$Z:$Z, 'Fund Investment Data'!$C:$C = $C2078, 'Fund Investment Data'!$A:$A = $A2078 - 1, 'Fund Investment Data'!$B:$B = 12) + FILTER('Fund Investment Data'!$AB:$AB, 'Fund Investment Data'!$C:$C = $C2078, 'Fund Invest"&amp;"ment Data'!$A:$A = $A2078 - 1, 'Fund Investment Data'!$B:$B = 12)) * (1 + AVERAGE(FILTER('Inflation Data'!$C:$C,'Inflation Data'!$A:$A = ($A2078 - 2)))) * Parameters!$A$4,0)"),0.0)</f>
        <v>0</v>
      </c>
      <c r="Y2078" s="91">
        <f>IFERROR(__xludf.DUMMYFUNCTION("IFERROR((IFERROR(FILTER('Fund Investment Data'!$P:$P,'Fund Investment Data'!$C:$C = $C2078,'Fund Investment Data'!$A:$A = ($A2078 - 2), 'Fund Investment Data'!$B:$B = 12),0) - SUM(FILTER('Fund Investment Data'!$V:$V, 'Fund Investment Data'!$C:$C = $C2078,"&amp;" 'Fund Investment Data'!$A:$A = ($A2078 - 2), 'Fund Investment Data'!$B:$B &gt; 3)))  * Parameters!$B$4 * (1 - Parameters!$A$4),0)"),0.0)</f>
        <v>0</v>
      </c>
      <c r="Z2078" s="91">
        <f t="shared" si="24"/>
        <v>0</v>
      </c>
      <c r="AA2078" s="91">
        <f>IFERROR(__xludf.DUMMYFUNCTION("((IFERROR((SUM(FILTER('Fund Investment Data'!$V:$V, 'Fund Investment Data'!$C:$C = $C2078, 'Fund Investment Data'!$A:$A = $A2078 - 1, 'Fund Investment Data'!$B:$B &gt;= 4, 'Fund Investment Data'!$B:$B &lt;= ($B2078 + 5))) / 12) * ($B2078 - 3) * Parameters!$B$4,"&amp;" 0) + IF($B2078 &gt;= 9, IFERROR(SUM(FILTER('Fund Investment Data'!$V:$V, 'Fund Investment Data'!$C:$C = $C2078, 'Fund Investment Data'!$A:$A = $A2078, 'Fund Investment Data'!$B:$B &lt;= 3)) * Parameters!$B$4, 0),0)))"),0.0)</f>
        <v>0</v>
      </c>
      <c r="AB2078" s="32">
        <f>IFERROR(__xludf.DUMMYFUNCTION("IFERROR(((IFERROR(SUM(FILTER('Fund Investment Data'!$V:$V, 'Fund Investment Data'!$C:$C = $C2078, 'Fund Investment Data'!$A:$A = $A2078 - 2, 'Fund Investment Data'!$B:$B &gt;= 4)) * Parameters!$B$4,0) + IFERROR(SUM(FILTER('Fund Investment Data'!$V:$V, 'Fund "&amp;"Investment Data'!$C:$C = $C2078, 'Fund Investment Data'!$A:$A = $A2078 - 1, 'Fund Investment Data'!$B:$B &lt;= 3)) * Parameters!$B$4,0))),0)"),0.0)</f>
        <v>0</v>
      </c>
      <c r="AC2078" s="32">
        <f>IFERROR(__xludf.DUMMYFUNCTION("IFERROR(FILTER($AF:$AF,$C:$C = $C2078,$A:$A = $A2078 - 1,$B:$B = 12),0)"),0.0)</f>
        <v>0</v>
      </c>
      <c r="AD2078" s="32">
        <f t="shared" si="23"/>
        <v>0</v>
      </c>
      <c r="AE2078" s="32">
        <f t="shared" si="2"/>
        <v>0</v>
      </c>
      <c r="AF2078" s="32"/>
    </row>
    <row r="2079">
      <c r="A2079" s="86"/>
      <c r="B2079" s="87"/>
      <c r="C2079" s="88"/>
      <c r="D2079" s="104"/>
      <c r="E2079" s="104"/>
      <c r="F2079" s="104"/>
      <c r="G2079" s="104"/>
      <c r="H2079" s="104"/>
      <c r="I2079" s="104"/>
      <c r="J2079" s="104"/>
      <c r="K2079" s="32"/>
      <c r="L2079" s="32"/>
      <c r="M2079" s="32"/>
      <c r="N2079" s="32"/>
      <c r="O2079" s="106"/>
      <c r="P2079" s="91">
        <f>IFERROR(__xludf.DUMMYFUNCTION("IFERROR(sum(FILTER($D:$N,$C:$C = $C2079,$A:$A &lt; $A2079,$B:$B = 12)),0) + sum($D2079:$N2079)"),0.0)</f>
        <v>0</v>
      </c>
      <c r="Q2079" s="92">
        <f t="shared" si="1"/>
        <v>0</v>
      </c>
      <c r="R2079" s="91">
        <f t="array" ref="R2079">IFERROR(INDEX('Fund YTD Target Values'!$1:$1000, MATCH($C2079,'Fund YTD Target Values'!$A:$A,0), MATCH($A2079,'Fund YTD Target Values'!$1:$1,0)),0)</f>
        <v>0</v>
      </c>
      <c r="S2079" s="91">
        <f>IFERROR(__xludf.DUMMYFUNCTION("IFERROR(sum(FILTER('Fund Investment Data'!$V:$V, 'Fund Investment Data'!$C:$C = $C2079, 'Fund Investment Data'!$A:$A &lt; $A2079)),0) + IFERROR(sum(FILTER('Fund Investment Data'!$V:$V, 'Fund Investment Data'!$C:$C = $C2079, 'Fund Investment Data'!$A:$A = $A2"&amp;"079, 'Fund Investment Data'!$B:$B &lt;= $B2079)),0)"),0.0)</f>
        <v>0</v>
      </c>
      <c r="T2079" s="32"/>
      <c r="U2079" s="32"/>
      <c r="V2079" s="32">
        <f>IFERROR(__xludf.DUMMYFUNCTION("$D2079 - IFERROR(FILTER($D:$D,$C:$C = $C2079, $A:$A = $A2079, $B:$B = $B2079 - 1),0)"),0.0)</f>
        <v>0</v>
      </c>
      <c r="W2079" s="93">
        <f>IFERROR(__xludf.DUMMYFUNCTION("$E2079 - IFERROR(FILTER($E:$E,$C:$C = $C2079, $A:$A = $A2079, $B:$B = $B2079 - 1),0)"),0.0)</f>
        <v>0</v>
      </c>
      <c r="X2079" s="91">
        <f>IFERROR(__xludf.DUMMYFUNCTION("iFERROR((FILTER('Fund Investment Data'!$Z:$Z, 'Fund Investment Data'!$C:$C = $C2079, 'Fund Investment Data'!$A:$A = $A2079 - 1, 'Fund Investment Data'!$B:$B = 12) + FILTER('Fund Investment Data'!$AB:$AB, 'Fund Investment Data'!$C:$C = $C2079, 'Fund Invest"&amp;"ment Data'!$A:$A = $A2079 - 1, 'Fund Investment Data'!$B:$B = 12)) * (1 + AVERAGE(FILTER('Inflation Data'!$C:$C,'Inflation Data'!$A:$A = ($A2079 - 2)))) * Parameters!$A$4,0)"),0.0)</f>
        <v>0</v>
      </c>
      <c r="Y2079" s="91">
        <f>IFERROR(__xludf.DUMMYFUNCTION("IFERROR((IFERROR(FILTER('Fund Investment Data'!$P:$P,'Fund Investment Data'!$C:$C = $C2079,'Fund Investment Data'!$A:$A = ($A2079 - 2), 'Fund Investment Data'!$B:$B = 12),0) - SUM(FILTER('Fund Investment Data'!$V:$V, 'Fund Investment Data'!$C:$C = $C2079,"&amp;" 'Fund Investment Data'!$A:$A = ($A2079 - 2), 'Fund Investment Data'!$B:$B &gt; 3)))  * Parameters!$B$4 * (1 - Parameters!$A$4),0)"),0.0)</f>
        <v>0</v>
      </c>
      <c r="Z2079" s="91">
        <f t="shared" si="24"/>
        <v>0</v>
      </c>
      <c r="AA2079" s="91">
        <f>IFERROR(__xludf.DUMMYFUNCTION("((IFERROR((SUM(FILTER('Fund Investment Data'!$V:$V, 'Fund Investment Data'!$C:$C = $C2079, 'Fund Investment Data'!$A:$A = $A2079 - 1, 'Fund Investment Data'!$B:$B &gt;= 4, 'Fund Investment Data'!$B:$B &lt;= ($B2079 + 5))) / 12) * ($B2079 - 3) * Parameters!$B$4,"&amp;" 0) + IF($B2079 &gt;= 9, IFERROR(SUM(FILTER('Fund Investment Data'!$V:$V, 'Fund Investment Data'!$C:$C = $C2079, 'Fund Investment Data'!$A:$A = $A2079, 'Fund Investment Data'!$B:$B &lt;= 3)) * Parameters!$B$4, 0),0)))"),0.0)</f>
        <v>0</v>
      </c>
      <c r="AB2079" s="32">
        <f>IFERROR(__xludf.DUMMYFUNCTION("IFERROR(((IFERROR(SUM(FILTER('Fund Investment Data'!$V:$V, 'Fund Investment Data'!$C:$C = $C2079, 'Fund Investment Data'!$A:$A = $A2079 - 2, 'Fund Investment Data'!$B:$B &gt;= 4)) * Parameters!$B$4,0) + IFERROR(SUM(FILTER('Fund Investment Data'!$V:$V, 'Fund "&amp;"Investment Data'!$C:$C = $C2079, 'Fund Investment Data'!$A:$A = $A2079 - 1, 'Fund Investment Data'!$B:$B &lt;= 3)) * Parameters!$B$4,0))),0)"),0.0)</f>
        <v>0</v>
      </c>
      <c r="AC2079" s="32">
        <f>IFERROR(__xludf.DUMMYFUNCTION("IFERROR(FILTER($AF:$AF,$C:$C = $C2079,$A:$A = $A2079 - 1,$B:$B = 12),0)"),0.0)</f>
        <v>0</v>
      </c>
      <c r="AD2079" s="32">
        <f t="shared" si="23"/>
        <v>0</v>
      </c>
      <c r="AE2079" s="32">
        <f t="shared" si="2"/>
        <v>0</v>
      </c>
      <c r="AF2079" s="32"/>
    </row>
    <row r="2080">
      <c r="A2080" s="86"/>
      <c r="B2080" s="87"/>
      <c r="C2080" s="88"/>
      <c r="D2080" s="104"/>
      <c r="E2080" s="104"/>
      <c r="F2080" s="104"/>
      <c r="G2080" s="104"/>
      <c r="H2080" s="104"/>
      <c r="I2080" s="104"/>
      <c r="J2080" s="104"/>
      <c r="K2080" s="32"/>
      <c r="L2080" s="32"/>
      <c r="M2080" s="32"/>
      <c r="N2080" s="32"/>
      <c r="O2080" s="106"/>
      <c r="P2080" s="91">
        <f>IFERROR(__xludf.DUMMYFUNCTION("IFERROR(sum(FILTER($D:$N,$C:$C = $C2080,$A:$A &lt; $A2080,$B:$B = 12)),0) + sum($D2080:$N2080)"),0.0)</f>
        <v>0</v>
      </c>
      <c r="Q2080" s="92">
        <f t="shared" si="1"/>
        <v>0</v>
      </c>
      <c r="R2080" s="91">
        <f t="array" ref="R2080">IFERROR(INDEX('Fund YTD Target Values'!$1:$1000, MATCH($C2080,'Fund YTD Target Values'!$A:$A,0), MATCH($A2080,'Fund YTD Target Values'!$1:$1,0)),0)</f>
        <v>0</v>
      </c>
      <c r="S2080" s="91">
        <f>IFERROR(__xludf.DUMMYFUNCTION("IFERROR(sum(FILTER('Fund Investment Data'!$V:$V, 'Fund Investment Data'!$C:$C = $C2080, 'Fund Investment Data'!$A:$A &lt; $A2080)),0) + IFERROR(sum(FILTER('Fund Investment Data'!$V:$V, 'Fund Investment Data'!$C:$C = $C2080, 'Fund Investment Data'!$A:$A = $A2"&amp;"080, 'Fund Investment Data'!$B:$B &lt;= $B2080)),0)"),0.0)</f>
        <v>0</v>
      </c>
      <c r="T2080" s="32"/>
      <c r="U2080" s="32"/>
      <c r="V2080" s="32">
        <f>IFERROR(__xludf.DUMMYFUNCTION("$D2080 - IFERROR(FILTER($D:$D,$C:$C = $C2080, $A:$A = $A2080, $B:$B = $B2080 - 1),0)"),0.0)</f>
        <v>0</v>
      </c>
      <c r="W2080" s="93">
        <f>IFERROR(__xludf.DUMMYFUNCTION("$E2080 - IFERROR(FILTER($E:$E,$C:$C = $C2080, $A:$A = $A2080, $B:$B = $B2080 - 1),0)"),0.0)</f>
        <v>0</v>
      </c>
      <c r="X2080" s="91">
        <f>IFERROR(__xludf.DUMMYFUNCTION("iFERROR((FILTER('Fund Investment Data'!$Z:$Z, 'Fund Investment Data'!$C:$C = $C2080, 'Fund Investment Data'!$A:$A = $A2080 - 1, 'Fund Investment Data'!$B:$B = 12) + FILTER('Fund Investment Data'!$AB:$AB, 'Fund Investment Data'!$C:$C = $C2080, 'Fund Invest"&amp;"ment Data'!$A:$A = $A2080 - 1, 'Fund Investment Data'!$B:$B = 12)) * (1 + AVERAGE(FILTER('Inflation Data'!$C:$C,'Inflation Data'!$A:$A = ($A2080 - 2)))) * Parameters!$A$4,0)"),0.0)</f>
        <v>0</v>
      </c>
      <c r="Y2080" s="91">
        <f>IFERROR(__xludf.DUMMYFUNCTION("IFERROR((IFERROR(FILTER('Fund Investment Data'!$P:$P,'Fund Investment Data'!$C:$C = $C2080,'Fund Investment Data'!$A:$A = ($A2080 - 2), 'Fund Investment Data'!$B:$B = 12),0) - SUM(FILTER('Fund Investment Data'!$V:$V, 'Fund Investment Data'!$C:$C = $C2080,"&amp;" 'Fund Investment Data'!$A:$A = ($A2080 - 2), 'Fund Investment Data'!$B:$B &gt; 3)))  * Parameters!$B$4 * (1 - Parameters!$A$4),0)"),0.0)</f>
        <v>0</v>
      </c>
      <c r="Z2080" s="91">
        <f t="shared" si="24"/>
        <v>0</v>
      </c>
      <c r="AA2080" s="91">
        <f>IFERROR(__xludf.DUMMYFUNCTION("((IFERROR((SUM(FILTER('Fund Investment Data'!$V:$V, 'Fund Investment Data'!$C:$C = $C2080, 'Fund Investment Data'!$A:$A = $A2080 - 1, 'Fund Investment Data'!$B:$B &gt;= 4, 'Fund Investment Data'!$B:$B &lt;= ($B2080 + 5))) / 12) * ($B2080 - 3) * Parameters!$B$4,"&amp;" 0) + IF($B2080 &gt;= 9, IFERROR(SUM(FILTER('Fund Investment Data'!$V:$V, 'Fund Investment Data'!$C:$C = $C2080, 'Fund Investment Data'!$A:$A = $A2080, 'Fund Investment Data'!$B:$B &lt;= 3)) * Parameters!$B$4, 0),0)))"),0.0)</f>
        <v>0</v>
      </c>
      <c r="AB2080" s="32">
        <f>IFERROR(__xludf.DUMMYFUNCTION("IFERROR(((IFERROR(SUM(FILTER('Fund Investment Data'!$V:$V, 'Fund Investment Data'!$C:$C = $C2080, 'Fund Investment Data'!$A:$A = $A2080 - 2, 'Fund Investment Data'!$B:$B &gt;= 4)) * Parameters!$B$4,0) + IFERROR(SUM(FILTER('Fund Investment Data'!$V:$V, 'Fund "&amp;"Investment Data'!$C:$C = $C2080, 'Fund Investment Data'!$A:$A = $A2080 - 1, 'Fund Investment Data'!$B:$B &lt;= 3)) * Parameters!$B$4,0))),0)"),0.0)</f>
        <v>0</v>
      </c>
      <c r="AC2080" s="32">
        <f>IFERROR(__xludf.DUMMYFUNCTION("IFERROR(FILTER($AF:$AF,$C:$C = $C2080,$A:$A = $A2080 - 1,$B:$B = 12),0)"),0.0)</f>
        <v>0</v>
      </c>
      <c r="AD2080" s="32">
        <f t="shared" si="23"/>
        <v>0</v>
      </c>
      <c r="AE2080" s="32">
        <f t="shared" si="2"/>
        <v>0</v>
      </c>
      <c r="AF2080" s="32"/>
    </row>
    <row r="2081">
      <c r="A2081" s="86"/>
      <c r="B2081" s="87"/>
      <c r="C2081" s="88"/>
      <c r="D2081" s="104"/>
      <c r="E2081" s="104"/>
      <c r="F2081" s="104"/>
      <c r="G2081" s="104"/>
      <c r="H2081" s="104"/>
      <c r="I2081" s="104"/>
      <c r="J2081" s="104"/>
      <c r="K2081" s="32"/>
      <c r="L2081" s="32"/>
      <c r="M2081" s="32"/>
      <c r="N2081" s="32"/>
      <c r="O2081" s="106"/>
      <c r="P2081" s="91">
        <f>IFERROR(__xludf.DUMMYFUNCTION("IFERROR(sum(FILTER($D:$N,$C:$C = $C2081,$A:$A &lt; $A2081,$B:$B = 12)),0) + sum($D2081:$N2081)"),0.0)</f>
        <v>0</v>
      </c>
      <c r="Q2081" s="92">
        <f t="shared" si="1"/>
        <v>0</v>
      </c>
      <c r="R2081" s="91">
        <f t="array" ref="R2081">IFERROR(INDEX('Fund YTD Target Values'!$1:$1000, MATCH($C2081,'Fund YTD Target Values'!$A:$A,0), MATCH($A2081,'Fund YTD Target Values'!$1:$1,0)),0)</f>
        <v>0</v>
      </c>
      <c r="S2081" s="91">
        <f>IFERROR(__xludf.DUMMYFUNCTION("IFERROR(sum(FILTER('Fund Investment Data'!$V:$V, 'Fund Investment Data'!$C:$C = $C2081, 'Fund Investment Data'!$A:$A &lt; $A2081)),0) + IFERROR(sum(FILTER('Fund Investment Data'!$V:$V, 'Fund Investment Data'!$C:$C = $C2081, 'Fund Investment Data'!$A:$A = $A2"&amp;"081, 'Fund Investment Data'!$B:$B &lt;= $B2081)),0)"),0.0)</f>
        <v>0</v>
      </c>
      <c r="T2081" s="32"/>
      <c r="U2081" s="32"/>
      <c r="V2081" s="32">
        <f>IFERROR(__xludf.DUMMYFUNCTION("$D2081 - IFERROR(FILTER($D:$D,$C:$C = $C2081, $A:$A = $A2081, $B:$B = $B2081 - 1),0)"),0.0)</f>
        <v>0</v>
      </c>
      <c r="W2081" s="93">
        <f>IFERROR(__xludf.DUMMYFUNCTION("$E2081 - IFERROR(FILTER($E:$E,$C:$C = $C2081, $A:$A = $A2081, $B:$B = $B2081 - 1),0)"),0.0)</f>
        <v>0</v>
      </c>
      <c r="X2081" s="91">
        <f>IFERROR(__xludf.DUMMYFUNCTION("iFERROR((FILTER('Fund Investment Data'!$Z:$Z, 'Fund Investment Data'!$C:$C = $C2081, 'Fund Investment Data'!$A:$A = $A2081 - 1, 'Fund Investment Data'!$B:$B = 12) + FILTER('Fund Investment Data'!$AB:$AB, 'Fund Investment Data'!$C:$C = $C2081, 'Fund Invest"&amp;"ment Data'!$A:$A = $A2081 - 1, 'Fund Investment Data'!$B:$B = 12)) * (1 + AVERAGE(FILTER('Inflation Data'!$C:$C,'Inflation Data'!$A:$A = ($A2081 - 2)))) * Parameters!$A$4,0)"),0.0)</f>
        <v>0</v>
      </c>
      <c r="Y2081" s="91">
        <f>IFERROR(__xludf.DUMMYFUNCTION("IFERROR((IFERROR(FILTER('Fund Investment Data'!$P:$P,'Fund Investment Data'!$C:$C = $C2081,'Fund Investment Data'!$A:$A = ($A2081 - 2), 'Fund Investment Data'!$B:$B = 12),0) - SUM(FILTER('Fund Investment Data'!$V:$V, 'Fund Investment Data'!$C:$C = $C2081,"&amp;" 'Fund Investment Data'!$A:$A = ($A2081 - 2), 'Fund Investment Data'!$B:$B &gt; 3)))  * Parameters!$B$4 * (1 - Parameters!$A$4),0)"),0.0)</f>
        <v>0</v>
      </c>
      <c r="Z2081" s="91">
        <f t="shared" si="24"/>
        <v>0</v>
      </c>
      <c r="AA2081" s="91">
        <f>IFERROR(__xludf.DUMMYFUNCTION("((IFERROR((SUM(FILTER('Fund Investment Data'!$V:$V, 'Fund Investment Data'!$C:$C = $C2081, 'Fund Investment Data'!$A:$A = $A2081 - 1, 'Fund Investment Data'!$B:$B &gt;= 4, 'Fund Investment Data'!$B:$B &lt;= ($B2081 + 5))) / 12) * ($B2081 - 3) * Parameters!$B$4,"&amp;" 0) + IF($B2081 &gt;= 9, IFERROR(SUM(FILTER('Fund Investment Data'!$V:$V, 'Fund Investment Data'!$C:$C = $C2081, 'Fund Investment Data'!$A:$A = $A2081, 'Fund Investment Data'!$B:$B &lt;= 3)) * Parameters!$B$4, 0),0)))"),0.0)</f>
        <v>0</v>
      </c>
      <c r="AB2081" s="32">
        <f>IFERROR(__xludf.DUMMYFUNCTION("IFERROR(((IFERROR(SUM(FILTER('Fund Investment Data'!$V:$V, 'Fund Investment Data'!$C:$C = $C2081, 'Fund Investment Data'!$A:$A = $A2081 - 2, 'Fund Investment Data'!$B:$B &gt;= 4)) * Parameters!$B$4,0) + IFERROR(SUM(FILTER('Fund Investment Data'!$V:$V, 'Fund "&amp;"Investment Data'!$C:$C = $C2081, 'Fund Investment Data'!$A:$A = $A2081 - 1, 'Fund Investment Data'!$B:$B &lt;= 3)) * Parameters!$B$4,0))),0)"),0.0)</f>
        <v>0</v>
      </c>
      <c r="AC2081" s="32">
        <f>IFERROR(__xludf.DUMMYFUNCTION("IFERROR(FILTER($AF:$AF,$C:$C = $C2081,$A:$A = $A2081 - 1,$B:$B = 12),0)"),0.0)</f>
        <v>0</v>
      </c>
      <c r="AD2081" s="32">
        <f t="shared" si="23"/>
        <v>0</v>
      </c>
      <c r="AE2081" s="32">
        <f t="shared" si="2"/>
        <v>0</v>
      </c>
      <c r="AF2081" s="32"/>
    </row>
    <row r="2082">
      <c r="A2082" s="86"/>
      <c r="B2082" s="87"/>
      <c r="C2082" s="88"/>
      <c r="D2082" s="104"/>
      <c r="E2082" s="104"/>
      <c r="F2082" s="104"/>
      <c r="G2082" s="104"/>
      <c r="H2082" s="104"/>
      <c r="I2082" s="104"/>
      <c r="J2082" s="104"/>
      <c r="K2082" s="32"/>
      <c r="L2082" s="32"/>
      <c r="M2082" s="32"/>
      <c r="N2082" s="32"/>
      <c r="O2082" s="106"/>
      <c r="P2082" s="91">
        <f>IFERROR(__xludf.DUMMYFUNCTION("IFERROR(sum(FILTER($D:$N,$C:$C = $C2082,$A:$A &lt; $A2082,$B:$B = 12)),0) + sum($D2082:$N2082)"),0.0)</f>
        <v>0</v>
      </c>
      <c r="Q2082" s="92">
        <f t="shared" si="1"/>
        <v>0</v>
      </c>
      <c r="R2082" s="91">
        <f t="array" ref="R2082">IFERROR(INDEX('Fund YTD Target Values'!$1:$1000, MATCH($C2082,'Fund YTD Target Values'!$A:$A,0), MATCH($A2082,'Fund YTD Target Values'!$1:$1,0)),0)</f>
        <v>0</v>
      </c>
      <c r="S2082" s="91">
        <f>IFERROR(__xludf.DUMMYFUNCTION("IFERROR(sum(FILTER('Fund Investment Data'!$V:$V, 'Fund Investment Data'!$C:$C = $C2082, 'Fund Investment Data'!$A:$A &lt; $A2082)),0) + IFERROR(sum(FILTER('Fund Investment Data'!$V:$V, 'Fund Investment Data'!$C:$C = $C2082, 'Fund Investment Data'!$A:$A = $A2"&amp;"082, 'Fund Investment Data'!$B:$B &lt;= $B2082)),0)"),0.0)</f>
        <v>0</v>
      </c>
      <c r="T2082" s="32"/>
      <c r="U2082" s="32"/>
      <c r="V2082" s="32">
        <f>IFERROR(__xludf.DUMMYFUNCTION("$D2082 - IFERROR(FILTER($D:$D,$C:$C = $C2082, $A:$A = $A2082, $B:$B = $B2082 - 1),0)"),0.0)</f>
        <v>0</v>
      </c>
      <c r="W2082" s="93">
        <f>IFERROR(__xludf.DUMMYFUNCTION("$E2082 - IFERROR(FILTER($E:$E,$C:$C = $C2082, $A:$A = $A2082, $B:$B = $B2082 - 1),0)"),0.0)</f>
        <v>0</v>
      </c>
      <c r="X2082" s="91">
        <f>IFERROR(__xludf.DUMMYFUNCTION("iFERROR((FILTER('Fund Investment Data'!$Z:$Z, 'Fund Investment Data'!$C:$C = $C2082, 'Fund Investment Data'!$A:$A = $A2082 - 1, 'Fund Investment Data'!$B:$B = 12) + FILTER('Fund Investment Data'!$AB:$AB, 'Fund Investment Data'!$C:$C = $C2082, 'Fund Invest"&amp;"ment Data'!$A:$A = $A2082 - 1, 'Fund Investment Data'!$B:$B = 12)) * (1 + AVERAGE(FILTER('Inflation Data'!$C:$C,'Inflation Data'!$A:$A = ($A2082 - 2)))) * Parameters!$A$4,0)"),0.0)</f>
        <v>0</v>
      </c>
      <c r="Y2082" s="91">
        <f>IFERROR(__xludf.DUMMYFUNCTION("IFERROR((IFERROR(FILTER('Fund Investment Data'!$P:$P,'Fund Investment Data'!$C:$C = $C2082,'Fund Investment Data'!$A:$A = ($A2082 - 2), 'Fund Investment Data'!$B:$B = 12),0) - SUM(FILTER('Fund Investment Data'!$V:$V, 'Fund Investment Data'!$C:$C = $C2082,"&amp;" 'Fund Investment Data'!$A:$A = ($A2082 - 2), 'Fund Investment Data'!$B:$B &gt; 3)))  * Parameters!$B$4 * (1 - Parameters!$A$4),0)"),0.0)</f>
        <v>0</v>
      </c>
      <c r="Z2082" s="91">
        <f t="shared" si="24"/>
        <v>0</v>
      </c>
      <c r="AA2082" s="91">
        <f>IFERROR(__xludf.DUMMYFUNCTION("((IFERROR((SUM(FILTER('Fund Investment Data'!$V:$V, 'Fund Investment Data'!$C:$C = $C2082, 'Fund Investment Data'!$A:$A = $A2082 - 1, 'Fund Investment Data'!$B:$B &gt;= 4, 'Fund Investment Data'!$B:$B &lt;= ($B2082 + 5))) / 12) * ($B2082 - 3) * Parameters!$B$4,"&amp;" 0) + IF($B2082 &gt;= 9, IFERROR(SUM(FILTER('Fund Investment Data'!$V:$V, 'Fund Investment Data'!$C:$C = $C2082, 'Fund Investment Data'!$A:$A = $A2082, 'Fund Investment Data'!$B:$B &lt;= 3)) * Parameters!$B$4, 0),0)))"),0.0)</f>
        <v>0</v>
      </c>
      <c r="AB2082" s="32">
        <f>IFERROR(__xludf.DUMMYFUNCTION("IFERROR(((IFERROR(SUM(FILTER('Fund Investment Data'!$V:$V, 'Fund Investment Data'!$C:$C = $C2082, 'Fund Investment Data'!$A:$A = $A2082 - 2, 'Fund Investment Data'!$B:$B &gt;= 4)) * Parameters!$B$4,0) + IFERROR(SUM(FILTER('Fund Investment Data'!$V:$V, 'Fund "&amp;"Investment Data'!$C:$C = $C2082, 'Fund Investment Data'!$A:$A = $A2082 - 1, 'Fund Investment Data'!$B:$B &lt;= 3)) * Parameters!$B$4,0))),0)"),0.0)</f>
        <v>0</v>
      </c>
      <c r="AC2082" s="32">
        <f>IFERROR(__xludf.DUMMYFUNCTION("IFERROR(FILTER($AF:$AF,$C:$C = $C2082,$A:$A = $A2082 - 1,$B:$B = 12),0)"),0.0)</f>
        <v>0</v>
      </c>
      <c r="AD2082" s="32">
        <f t="shared" si="23"/>
        <v>0</v>
      </c>
      <c r="AE2082" s="32">
        <f t="shared" si="2"/>
        <v>0</v>
      </c>
      <c r="AF2082" s="32"/>
    </row>
    <row r="2083">
      <c r="A2083" s="86"/>
      <c r="B2083" s="87"/>
      <c r="C2083" s="88"/>
      <c r="D2083" s="104"/>
      <c r="E2083" s="104"/>
      <c r="F2083" s="104"/>
      <c r="G2083" s="104"/>
      <c r="H2083" s="104"/>
      <c r="I2083" s="104"/>
      <c r="J2083" s="104"/>
      <c r="K2083" s="32"/>
      <c r="L2083" s="32"/>
      <c r="M2083" s="32"/>
      <c r="N2083" s="32"/>
      <c r="O2083" s="106"/>
      <c r="P2083" s="91">
        <f>IFERROR(__xludf.DUMMYFUNCTION("IFERROR(sum(FILTER($D:$N,$C:$C = $C2083,$A:$A &lt; $A2083,$B:$B = 12)),0) + sum($D2083:$N2083)"),0.0)</f>
        <v>0</v>
      </c>
      <c r="Q2083" s="92">
        <f t="shared" si="1"/>
        <v>0</v>
      </c>
      <c r="R2083" s="91">
        <f t="array" ref="R2083">IFERROR(INDEX('Fund YTD Target Values'!$1:$1000, MATCH($C2083,'Fund YTD Target Values'!$A:$A,0), MATCH($A2083,'Fund YTD Target Values'!$1:$1,0)),0)</f>
        <v>0</v>
      </c>
      <c r="S2083" s="91">
        <f>IFERROR(__xludf.DUMMYFUNCTION("IFERROR(sum(FILTER('Fund Investment Data'!$V:$V, 'Fund Investment Data'!$C:$C = $C2083, 'Fund Investment Data'!$A:$A &lt; $A2083)),0) + IFERROR(sum(FILTER('Fund Investment Data'!$V:$V, 'Fund Investment Data'!$C:$C = $C2083, 'Fund Investment Data'!$A:$A = $A2"&amp;"083, 'Fund Investment Data'!$B:$B &lt;= $B2083)),0)"),0.0)</f>
        <v>0</v>
      </c>
      <c r="T2083" s="32"/>
      <c r="U2083" s="32"/>
      <c r="V2083" s="32">
        <f>IFERROR(__xludf.DUMMYFUNCTION("$D2083 - IFERROR(FILTER($D:$D,$C:$C = $C2083, $A:$A = $A2083, $B:$B = $B2083 - 1),0)"),0.0)</f>
        <v>0</v>
      </c>
      <c r="W2083" s="93">
        <f>IFERROR(__xludf.DUMMYFUNCTION("$E2083 - IFERROR(FILTER($E:$E,$C:$C = $C2083, $A:$A = $A2083, $B:$B = $B2083 - 1),0)"),0.0)</f>
        <v>0</v>
      </c>
      <c r="X2083" s="91">
        <f>IFERROR(__xludf.DUMMYFUNCTION("iFERROR((FILTER('Fund Investment Data'!$Z:$Z, 'Fund Investment Data'!$C:$C = $C2083, 'Fund Investment Data'!$A:$A = $A2083 - 1, 'Fund Investment Data'!$B:$B = 12) + FILTER('Fund Investment Data'!$AB:$AB, 'Fund Investment Data'!$C:$C = $C2083, 'Fund Invest"&amp;"ment Data'!$A:$A = $A2083 - 1, 'Fund Investment Data'!$B:$B = 12)) * (1 + AVERAGE(FILTER('Inflation Data'!$C:$C,'Inflation Data'!$A:$A = ($A2083 - 2)))) * Parameters!$A$4,0)"),0.0)</f>
        <v>0</v>
      </c>
      <c r="Y2083" s="91">
        <f>IFERROR(__xludf.DUMMYFUNCTION("IFERROR((IFERROR(FILTER('Fund Investment Data'!$P:$P,'Fund Investment Data'!$C:$C = $C2083,'Fund Investment Data'!$A:$A = ($A2083 - 2), 'Fund Investment Data'!$B:$B = 12),0) - SUM(FILTER('Fund Investment Data'!$V:$V, 'Fund Investment Data'!$C:$C = $C2083,"&amp;" 'Fund Investment Data'!$A:$A = ($A2083 - 2), 'Fund Investment Data'!$B:$B &gt; 3)))  * Parameters!$B$4 * (1 - Parameters!$A$4),0)"),0.0)</f>
        <v>0</v>
      </c>
      <c r="Z2083" s="91">
        <f t="shared" si="24"/>
        <v>0</v>
      </c>
      <c r="AA2083" s="91">
        <f>IFERROR(__xludf.DUMMYFUNCTION("((IFERROR((SUM(FILTER('Fund Investment Data'!$V:$V, 'Fund Investment Data'!$C:$C = $C2083, 'Fund Investment Data'!$A:$A = $A2083 - 1, 'Fund Investment Data'!$B:$B &gt;= 4, 'Fund Investment Data'!$B:$B &lt;= ($B2083 + 5))) / 12) * ($B2083 - 3) * Parameters!$B$4,"&amp;" 0) + IF($B2083 &gt;= 9, IFERROR(SUM(FILTER('Fund Investment Data'!$V:$V, 'Fund Investment Data'!$C:$C = $C2083, 'Fund Investment Data'!$A:$A = $A2083, 'Fund Investment Data'!$B:$B &lt;= 3)) * Parameters!$B$4, 0),0)))"),0.0)</f>
        <v>0</v>
      </c>
      <c r="AB2083" s="32">
        <f>IFERROR(__xludf.DUMMYFUNCTION("IFERROR(((IFERROR(SUM(FILTER('Fund Investment Data'!$V:$V, 'Fund Investment Data'!$C:$C = $C2083, 'Fund Investment Data'!$A:$A = $A2083 - 2, 'Fund Investment Data'!$B:$B &gt;= 4)) * Parameters!$B$4,0) + IFERROR(SUM(FILTER('Fund Investment Data'!$V:$V, 'Fund "&amp;"Investment Data'!$C:$C = $C2083, 'Fund Investment Data'!$A:$A = $A2083 - 1, 'Fund Investment Data'!$B:$B &lt;= 3)) * Parameters!$B$4,0))),0)"),0.0)</f>
        <v>0</v>
      </c>
      <c r="AC2083" s="32">
        <f>IFERROR(__xludf.DUMMYFUNCTION("IFERROR(FILTER($AF:$AF,$C:$C = $C2083,$A:$A = $A2083 - 1,$B:$B = 12),0)"),0.0)</f>
        <v>0</v>
      </c>
      <c r="AD2083" s="32">
        <f t="shared" si="23"/>
        <v>0</v>
      </c>
      <c r="AE2083" s="32">
        <f t="shared" si="2"/>
        <v>0</v>
      </c>
      <c r="AF2083" s="32"/>
    </row>
    <row r="2084">
      <c r="A2084" s="86"/>
      <c r="B2084" s="87"/>
      <c r="C2084" s="88"/>
      <c r="D2084" s="104"/>
      <c r="E2084" s="104"/>
      <c r="F2084" s="104"/>
      <c r="G2084" s="104"/>
      <c r="H2084" s="104"/>
      <c r="I2084" s="104"/>
      <c r="J2084" s="104"/>
      <c r="K2084" s="32"/>
      <c r="L2084" s="32"/>
      <c r="M2084" s="32"/>
      <c r="N2084" s="32"/>
      <c r="O2084" s="106"/>
      <c r="P2084" s="91">
        <f>IFERROR(__xludf.DUMMYFUNCTION("IFERROR(sum(FILTER($D:$N,$C:$C = $C2084,$A:$A &lt; $A2084,$B:$B = 12)),0) + sum($D2084:$N2084)"),0.0)</f>
        <v>0</v>
      </c>
      <c r="Q2084" s="92">
        <f t="shared" si="1"/>
        <v>0</v>
      </c>
      <c r="R2084" s="91">
        <f t="array" ref="R2084">IFERROR(INDEX('Fund YTD Target Values'!$1:$1000, MATCH($C2084,'Fund YTD Target Values'!$A:$A,0), MATCH($A2084,'Fund YTD Target Values'!$1:$1,0)),0)</f>
        <v>0</v>
      </c>
      <c r="S2084" s="91">
        <f>IFERROR(__xludf.DUMMYFUNCTION("IFERROR(sum(FILTER('Fund Investment Data'!$V:$V, 'Fund Investment Data'!$C:$C = $C2084, 'Fund Investment Data'!$A:$A &lt; $A2084)),0) + IFERROR(sum(FILTER('Fund Investment Data'!$V:$V, 'Fund Investment Data'!$C:$C = $C2084, 'Fund Investment Data'!$A:$A = $A2"&amp;"084, 'Fund Investment Data'!$B:$B &lt;= $B2084)),0)"),0.0)</f>
        <v>0</v>
      </c>
      <c r="T2084" s="32"/>
      <c r="U2084" s="32"/>
      <c r="V2084" s="32">
        <f>IFERROR(__xludf.DUMMYFUNCTION("$D2084 - IFERROR(FILTER($D:$D,$C:$C = $C2084, $A:$A = $A2084, $B:$B = $B2084 - 1),0)"),0.0)</f>
        <v>0</v>
      </c>
      <c r="W2084" s="93">
        <f>IFERROR(__xludf.DUMMYFUNCTION("$E2084 - IFERROR(FILTER($E:$E,$C:$C = $C2084, $A:$A = $A2084, $B:$B = $B2084 - 1),0)"),0.0)</f>
        <v>0</v>
      </c>
      <c r="X2084" s="91">
        <f>IFERROR(__xludf.DUMMYFUNCTION("iFERROR((FILTER('Fund Investment Data'!$Z:$Z, 'Fund Investment Data'!$C:$C = $C2084, 'Fund Investment Data'!$A:$A = $A2084 - 1, 'Fund Investment Data'!$B:$B = 12) + FILTER('Fund Investment Data'!$AB:$AB, 'Fund Investment Data'!$C:$C = $C2084, 'Fund Invest"&amp;"ment Data'!$A:$A = $A2084 - 1, 'Fund Investment Data'!$B:$B = 12)) * (1 + AVERAGE(FILTER('Inflation Data'!$C:$C,'Inflation Data'!$A:$A = ($A2084 - 2)))) * Parameters!$A$4,0)"),0.0)</f>
        <v>0</v>
      </c>
      <c r="Y2084" s="91">
        <f>IFERROR(__xludf.DUMMYFUNCTION("IFERROR((IFERROR(FILTER('Fund Investment Data'!$P:$P,'Fund Investment Data'!$C:$C = $C2084,'Fund Investment Data'!$A:$A = ($A2084 - 2), 'Fund Investment Data'!$B:$B = 12),0) - SUM(FILTER('Fund Investment Data'!$V:$V, 'Fund Investment Data'!$C:$C = $C2084,"&amp;" 'Fund Investment Data'!$A:$A = ($A2084 - 2), 'Fund Investment Data'!$B:$B &gt; 3)))  * Parameters!$B$4 * (1 - Parameters!$A$4),0)"),0.0)</f>
        <v>0</v>
      </c>
      <c r="Z2084" s="91">
        <f t="shared" si="24"/>
        <v>0</v>
      </c>
      <c r="AA2084" s="91">
        <f>IFERROR(__xludf.DUMMYFUNCTION("((IFERROR((SUM(FILTER('Fund Investment Data'!$V:$V, 'Fund Investment Data'!$C:$C = $C2084, 'Fund Investment Data'!$A:$A = $A2084 - 1, 'Fund Investment Data'!$B:$B &gt;= 4, 'Fund Investment Data'!$B:$B &lt;= ($B2084 + 5))) / 12) * ($B2084 - 3) * Parameters!$B$4,"&amp;" 0) + IF($B2084 &gt;= 9, IFERROR(SUM(FILTER('Fund Investment Data'!$V:$V, 'Fund Investment Data'!$C:$C = $C2084, 'Fund Investment Data'!$A:$A = $A2084, 'Fund Investment Data'!$B:$B &lt;= 3)) * Parameters!$B$4, 0),0)))"),0.0)</f>
        <v>0</v>
      </c>
      <c r="AB2084" s="32">
        <f>IFERROR(__xludf.DUMMYFUNCTION("IFERROR(((IFERROR(SUM(FILTER('Fund Investment Data'!$V:$V, 'Fund Investment Data'!$C:$C = $C2084, 'Fund Investment Data'!$A:$A = $A2084 - 2, 'Fund Investment Data'!$B:$B &gt;= 4)) * Parameters!$B$4,0) + IFERROR(SUM(FILTER('Fund Investment Data'!$V:$V, 'Fund "&amp;"Investment Data'!$C:$C = $C2084, 'Fund Investment Data'!$A:$A = $A2084 - 1, 'Fund Investment Data'!$B:$B &lt;= 3)) * Parameters!$B$4,0))),0)"),0.0)</f>
        <v>0</v>
      </c>
      <c r="AC2084" s="32">
        <f>IFERROR(__xludf.DUMMYFUNCTION("IFERROR(FILTER($AF:$AF,$C:$C = $C2084,$A:$A = $A2084 - 1,$B:$B = 12),0)"),0.0)</f>
        <v>0</v>
      </c>
      <c r="AD2084" s="32">
        <f t="shared" si="23"/>
        <v>0</v>
      </c>
      <c r="AE2084" s="32">
        <f t="shared" si="2"/>
        <v>0</v>
      </c>
      <c r="AF2084" s="32"/>
    </row>
    <row r="2085">
      <c r="A2085" s="86"/>
      <c r="B2085" s="87"/>
      <c r="C2085" s="88"/>
      <c r="D2085" s="104"/>
      <c r="E2085" s="104"/>
      <c r="F2085" s="104"/>
      <c r="G2085" s="104"/>
      <c r="H2085" s="104"/>
      <c r="I2085" s="104"/>
      <c r="J2085" s="104"/>
      <c r="K2085" s="32"/>
      <c r="L2085" s="32"/>
      <c r="M2085" s="32"/>
      <c r="N2085" s="32"/>
      <c r="O2085" s="106"/>
      <c r="P2085" s="91">
        <f>IFERROR(__xludf.DUMMYFUNCTION("IFERROR(sum(FILTER($D:$N,$C:$C = $C2085,$A:$A &lt; $A2085,$B:$B = 12)),0) + sum($D2085:$N2085)"),0.0)</f>
        <v>0</v>
      </c>
      <c r="Q2085" s="92">
        <f t="shared" si="1"/>
        <v>0</v>
      </c>
      <c r="R2085" s="91">
        <f t="array" ref="R2085">IFERROR(INDEX('Fund YTD Target Values'!$1:$1000, MATCH($C2085,'Fund YTD Target Values'!$A:$A,0), MATCH($A2085,'Fund YTD Target Values'!$1:$1,0)),0)</f>
        <v>0</v>
      </c>
      <c r="S2085" s="91">
        <f>IFERROR(__xludf.DUMMYFUNCTION("IFERROR(sum(FILTER('Fund Investment Data'!$V:$V, 'Fund Investment Data'!$C:$C = $C2085, 'Fund Investment Data'!$A:$A &lt; $A2085)),0) + IFERROR(sum(FILTER('Fund Investment Data'!$V:$V, 'Fund Investment Data'!$C:$C = $C2085, 'Fund Investment Data'!$A:$A = $A2"&amp;"085, 'Fund Investment Data'!$B:$B &lt;= $B2085)),0)"),0.0)</f>
        <v>0</v>
      </c>
      <c r="T2085" s="32"/>
      <c r="U2085" s="32"/>
      <c r="V2085" s="32">
        <f>IFERROR(__xludf.DUMMYFUNCTION("$D2085 - IFERROR(FILTER($D:$D,$C:$C = $C2085, $A:$A = $A2085, $B:$B = $B2085 - 1),0)"),0.0)</f>
        <v>0</v>
      </c>
      <c r="W2085" s="93">
        <f>IFERROR(__xludf.DUMMYFUNCTION("$E2085 - IFERROR(FILTER($E:$E,$C:$C = $C2085, $A:$A = $A2085, $B:$B = $B2085 - 1),0)"),0.0)</f>
        <v>0</v>
      </c>
      <c r="X2085" s="91">
        <f>IFERROR(__xludf.DUMMYFUNCTION("iFERROR((FILTER('Fund Investment Data'!$Z:$Z, 'Fund Investment Data'!$C:$C = $C2085, 'Fund Investment Data'!$A:$A = $A2085 - 1, 'Fund Investment Data'!$B:$B = 12) + FILTER('Fund Investment Data'!$AB:$AB, 'Fund Investment Data'!$C:$C = $C2085, 'Fund Invest"&amp;"ment Data'!$A:$A = $A2085 - 1, 'Fund Investment Data'!$B:$B = 12)) * (1 + AVERAGE(FILTER('Inflation Data'!$C:$C,'Inflation Data'!$A:$A = ($A2085 - 2)))) * Parameters!$A$4,0)"),0.0)</f>
        <v>0</v>
      </c>
      <c r="Y2085" s="91">
        <f>IFERROR(__xludf.DUMMYFUNCTION("IFERROR((IFERROR(FILTER('Fund Investment Data'!$P:$P,'Fund Investment Data'!$C:$C = $C2085,'Fund Investment Data'!$A:$A = ($A2085 - 2), 'Fund Investment Data'!$B:$B = 12),0) - SUM(FILTER('Fund Investment Data'!$V:$V, 'Fund Investment Data'!$C:$C = $C2085,"&amp;" 'Fund Investment Data'!$A:$A = ($A2085 - 2), 'Fund Investment Data'!$B:$B &gt; 3)))  * Parameters!$B$4 * (1 - Parameters!$A$4),0)"),0.0)</f>
        <v>0</v>
      </c>
      <c r="Z2085" s="91">
        <f t="shared" si="24"/>
        <v>0</v>
      </c>
      <c r="AA2085" s="91">
        <f>IFERROR(__xludf.DUMMYFUNCTION("((IFERROR((SUM(FILTER('Fund Investment Data'!$V:$V, 'Fund Investment Data'!$C:$C = $C2085, 'Fund Investment Data'!$A:$A = $A2085 - 1, 'Fund Investment Data'!$B:$B &gt;= 4, 'Fund Investment Data'!$B:$B &lt;= ($B2085 + 5))) / 12) * ($B2085 - 3) * Parameters!$B$4,"&amp;" 0) + IF($B2085 &gt;= 9, IFERROR(SUM(FILTER('Fund Investment Data'!$V:$V, 'Fund Investment Data'!$C:$C = $C2085, 'Fund Investment Data'!$A:$A = $A2085, 'Fund Investment Data'!$B:$B &lt;= 3)) * Parameters!$B$4, 0),0)))"),0.0)</f>
        <v>0</v>
      </c>
      <c r="AB2085" s="32">
        <f>IFERROR(__xludf.DUMMYFUNCTION("IFERROR(((IFERROR(SUM(FILTER('Fund Investment Data'!$V:$V, 'Fund Investment Data'!$C:$C = $C2085, 'Fund Investment Data'!$A:$A = $A2085 - 2, 'Fund Investment Data'!$B:$B &gt;= 4)) * Parameters!$B$4,0) + IFERROR(SUM(FILTER('Fund Investment Data'!$V:$V, 'Fund "&amp;"Investment Data'!$C:$C = $C2085, 'Fund Investment Data'!$A:$A = $A2085 - 1, 'Fund Investment Data'!$B:$B &lt;= 3)) * Parameters!$B$4,0))),0)"),0.0)</f>
        <v>0</v>
      </c>
      <c r="AC2085" s="32">
        <f>IFERROR(__xludf.DUMMYFUNCTION("IFERROR(FILTER($AF:$AF,$C:$C = $C2085,$A:$A = $A2085 - 1,$B:$B = 12),0)"),0.0)</f>
        <v>0</v>
      </c>
      <c r="AD2085" s="32">
        <f t="shared" si="23"/>
        <v>0</v>
      </c>
      <c r="AE2085" s="32">
        <f t="shared" si="2"/>
        <v>0</v>
      </c>
      <c r="AF2085" s="32"/>
    </row>
    <row r="2086">
      <c r="A2086" s="86"/>
      <c r="B2086" s="87"/>
      <c r="C2086" s="88"/>
      <c r="D2086" s="104"/>
      <c r="E2086" s="104"/>
      <c r="F2086" s="104"/>
      <c r="G2086" s="104"/>
      <c r="H2086" s="104"/>
      <c r="I2086" s="104"/>
      <c r="J2086" s="104"/>
      <c r="K2086" s="32"/>
      <c r="L2086" s="32"/>
      <c r="M2086" s="32"/>
      <c r="N2086" s="32"/>
      <c r="O2086" s="106"/>
      <c r="P2086" s="91">
        <f>IFERROR(__xludf.DUMMYFUNCTION("IFERROR(sum(FILTER($D:$N,$C:$C = $C2086,$A:$A &lt; $A2086,$B:$B = 12)),0) + sum($D2086:$N2086)"),0.0)</f>
        <v>0</v>
      </c>
      <c r="Q2086" s="92">
        <f t="shared" si="1"/>
        <v>0</v>
      </c>
      <c r="R2086" s="91">
        <f t="array" ref="R2086">IFERROR(INDEX('Fund YTD Target Values'!$1:$1000, MATCH($C2086,'Fund YTD Target Values'!$A:$A,0), MATCH($A2086,'Fund YTD Target Values'!$1:$1,0)),0)</f>
        <v>0</v>
      </c>
      <c r="S2086" s="91">
        <f>IFERROR(__xludf.DUMMYFUNCTION("IFERROR(sum(FILTER('Fund Investment Data'!$V:$V, 'Fund Investment Data'!$C:$C = $C2086, 'Fund Investment Data'!$A:$A &lt; $A2086)),0) + IFERROR(sum(FILTER('Fund Investment Data'!$V:$V, 'Fund Investment Data'!$C:$C = $C2086, 'Fund Investment Data'!$A:$A = $A2"&amp;"086, 'Fund Investment Data'!$B:$B &lt;= $B2086)),0)"),0.0)</f>
        <v>0</v>
      </c>
      <c r="T2086" s="32"/>
      <c r="U2086" s="32"/>
      <c r="V2086" s="32">
        <f>IFERROR(__xludf.DUMMYFUNCTION("$D2086 - IFERROR(FILTER($D:$D,$C:$C = $C2086, $A:$A = $A2086, $B:$B = $B2086 - 1),0)"),0.0)</f>
        <v>0</v>
      </c>
      <c r="W2086" s="93">
        <f>IFERROR(__xludf.DUMMYFUNCTION("$E2086 - IFERROR(FILTER($E:$E,$C:$C = $C2086, $A:$A = $A2086, $B:$B = $B2086 - 1),0)"),0.0)</f>
        <v>0</v>
      </c>
      <c r="X2086" s="91">
        <f>IFERROR(__xludf.DUMMYFUNCTION("iFERROR((FILTER('Fund Investment Data'!$Z:$Z, 'Fund Investment Data'!$C:$C = $C2086, 'Fund Investment Data'!$A:$A = $A2086 - 1, 'Fund Investment Data'!$B:$B = 12) + FILTER('Fund Investment Data'!$AB:$AB, 'Fund Investment Data'!$C:$C = $C2086, 'Fund Invest"&amp;"ment Data'!$A:$A = $A2086 - 1, 'Fund Investment Data'!$B:$B = 12)) * (1 + AVERAGE(FILTER('Inflation Data'!$C:$C,'Inflation Data'!$A:$A = ($A2086 - 2)))) * Parameters!$A$4,0)"),0.0)</f>
        <v>0</v>
      </c>
      <c r="Y2086" s="91">
        <f>IFERROR(__xludf.DUMMYFUNCTION("IFERROR((IFERROR(FILTER('Fund Investment Data'!$P:$P,'Fund Investment Data'!$C:$C = $C2086,'Fund Investment Data'!$A:$A = ($A2086 - 2), 'Fund Investment Data'!$B:$B = 12),0) - SUM(FILTER('Fund Investment Data'!$V:$V, 'Fund Investment Data'!$C:$C = $C2086,"&amp;" 'Fund Investment Data'!$A:$A = ($A2086 - 2), 'Fund Investment Data'!$B:$B &gt; 3)))  * Parameters!$B$4 * (1 - Parameters!$A$4),0)"),0.0)</f>
        <v>0</v>
      </c>
      <c r="Z2086" s="91">
        <f t="shared" si="24"/>
        <v>0</v>
      </c>
      <c r="AA2086" s="91">
        <f>IFERROR(__xludf.DUMMYFUNCTION("((IFERROR((SUM(FILTER('Fund Investment Data'!$V:$V, 'Fund Investment Data'!$C:$C = $C2086, 'Fund Investment Data'!$A:$A = $A2086 - 1, 'Fund Investment Data'!$B:$B &gt;= 4, 'Fund Investment Data'!$B:$B &lt;= ($B2086 + 5))) / 12) * ($B2086 - 3) * Parameters!$B$4,"&amp;" 0) + IF($B2086 &gt;= 9, IFERROR(SUM(FILTER('Fund Investment Data'!$V:$V, 'Fund Investment Data'!$C:$C = $C2086, 'Fund Investment Data'!$A:$A = $A2086, 'Fund Investment Data'!$B:$B &lt;= 3)) * Parameters!$B$4, 0),0)))"),0.0)</f>
        <v>0</v>
      </c>
      <c r="AB2086" s="32">
        <f>IFERROR(__xludf.DUMMYFUNCTION("IFERROR(((IFERROR(SUM(FILTER('Fund Investment Data'!$V:$V, 'Fund Investment Data'!$C:$C = $C2086, 'Fund Investment Data'!$A:$A = $A2086 - 2, 'Fund Investment Data'!$B:$B &gt;= 4)) * Parameters!$B$4,0) + IFERROR(SUM(FILTER('Fund Investment Data'!$V:$V, 'Fund "&amp;"Investment Data'!$C:$C = $C2086, 'Fund Investment Data'!$A:$A = $A2086 - 1, 'Fund Investment Data'!$B:$B &lt;= 3)) * Parameters!$B$4,0))),0)"),0.0)</f>
        <v>0</v>
      </c>
      <c r="AC2086" s="32">
        <f>IFERROR(__xludf.DUMMYFUNCTION("IFERROR(FILTER($AF:$AF,$C:$C = $C2086,$A:$A = $A2086 - 1,$B:$B = 12),0)"),0.0)</f>
        <v>0</v>
      </c>
      <c r="AD2086" s="32">
        <f t="shared" si="23"/>
        <v>0</v>
      </c>
      <c r="AE2086" s="32">
        <f t="shared" si="2"/>
        <v>0</v>
      </c>
      <c r="AF2086" s="32"/>
    </row>
    <row r="2087">
      <c r="A2087" s="86"/>
      <c r="B2087" s="87"/>
      <c r="C2087" s="88"/>
      <c r="D2087" s="104"/>
      <c r="E2087" s="104"/>
      <c r="F2087" s="104"/>
      <c r="G2087" s="104"/>
      <c r="H2087" s="104"/>
      <c r="I2087" s="104"/>
      <c r="J2087" s="104"/>
      <c r="K2087" s="32"/>
      <c r="L2087" s="32"/>
      <c r="M2087" s="32"/>
      <c r="N2087" s="32"/>
      <c r="O2087" s="106"/>
      <c r="P2087" s="91">
        <f>IFERROR(__xludf.DUMMYFUNCTION("IFERROR(sum(FILTER($D:$N,$C:$C = $C2087,$A:$A &lt; $A2087,$B:$B = 12)),0) + sum($D2087:$N2087)"),0.0)</f>
        <v>0</v>
      </c>
      <c r="Q2087" s="92">
        <f t="shared" si="1"/>
        <v>0</v>
      </c>
      <c r="R2087" s="91">
        <f t="array" ref="R2087">IFERROR(INDEX('Fund YTD Target Values'!$1:$1000, MATCH($C2087,'Fund YTD Target Values'!$A:$A,0), MATCH($A2087,'Fund YTD Target Values'!$1:$1,0)),0)</f>
        <v>0</v>
      </c>
      <c r="S2087" s="91">
        <f>IFERROR(__xludf.DUMMYFUNCTION("IFERROR(sum(FILTER('Fund Investment Data'!$V:$V, 'Fund Investment Data'!$C:$C = $C2087, 'Fund Investment Data'!$A:$A &lt; $A2087)),0) + IFERROR(sum(FILTER('Fund Investment Data'!$V:$V, 'Fund Investment Data'!$C:$C = $C2087, 'Fund Investment Data'!$A:$A = $A2"&amp;"087, 'Fund Investment Data'!$B:$B &lt;= $B2087)),0)"),0.0)</f>
        <v>0</v>
      </c>
      <c r="T2087" s="32"/>
      <c r="U2087" s="32"/>
      <c r="V2087" s="32">
        <f>IFERROR(__xludf.DUMMYFUNCTION("$D2087 - IFERROR(FILTER($D:$D,$C:$C = $C2087, $A:$A = $A2087, $B:$B = $B2087 - 1),0)"),0.0)</f>
        <v>0</v>
      </c>
      <c r="W2087" s="93">
        <f>IFERROR(__xludf.DUMMYFUNCTION("$E2087 - IFERROR(FILTER($E:$E,$C:$C = $C2087, $A:$A = $A2087, $B:$B = $B2087 - 1),0)"),0.0)</f>
        <v>0</v>
      </c>
      <c r="X2087" s="91">
        <f>IFERROR(__xludf.DUMMYFUNCTION("iFERROR((FILTER('Fund Investment Data'!$Z:$Z, 'Fund Investment Data'!$C:$C = $C2087, 'Fund Investment Data'!$A:$A = $A2087 - 1, 'Fund Investment Data'!$B:$B = 12) + FILTER('Fund Investment Data'!$AB:$AB, 'Fund Investment Data'!$C:$C = $C2087, 'Fund Invest"&amp;"ment Data'!$A:$A = $A2087 - 1, 'Fund Investment Data'!$B:$B = 12)) * (1 + AVERAGE(FILTER('Inflation Data'!$C:$C,'Inflation Data'!$A:$A = ($A2087 - 2)))) * Parameters!$A$4,0)"),0.0)</f>
        <v>0</v>
      </c>
      <c r="Y2087" s="91">
        <f>IFERROR(__xludf.DUMMYFUNCTION("IFERROR((IFERROR(FILTER('Fund Investment Data'!$P:$P,'Fund Investment Data'!$C:$C = $C2087,'Fund Investment Data'!$A:$A = ($A2087 - 2), 'Fund Investment Data'!$B:$B = 12),0) - SUM(FILTER('Fund Investment Data'!$V:$V, 'Fund Investment Data'!$C:$C = $C2087,"&amp;" 'Fund Investment Data'!$A:$A = ($A2087 - 2), 'Fund Investment Data'!$B:$B &gt; 3)))  * Parameters!$B$4 * (1 - Parameters!$A$4),0)"),0.0)</f>
        <v>0</v>
      </c>
      <c r="Z2087" s="91">
        <f t="shared" si="24"/>
        <v>0</v>
      </c>
      <c r="AA2087" s="91">
        <f>IFERROR(__xludf.DUMMYFUNCTION("((IFERROR((SUM(FILTER('Fund Investment Data'!$V:$V, 'Fund Investment Data'!$C:$C = $C2087, 'Fund Investment Data'!$A:$A = $A2087 - 1, 'Fund Investment Data'!$B:$B &gt;= 4, 'Fund Investment Data'!$B:$B &lt;= ($B2087 + 5))) / 12) * ($B2087 - 3) * Parameters!$B$4,"&amp;" 0) + IF($B2087 &gt;= 9, IFERROR(SUM(FILTER('Fund Investment Data'!$V:$V, 'Fund Investment Data'!$C:$C = $C2087, 'Fund Investment Data'!$A:$A = $A2087, 'Fund Investment Data'!$B:$B &lt;= 3)) * Parameters!$B$4, 0),0)))"),0.0)</f>
        <v>0</v>
      </c>
      <c r="AB2087" s="32">
        <f>IFERROR(__xludf.DUMMYFUNCTION("IFERROR(((IFERROR(SUM(FILTER('Fund Investment Data'!$V:$V, 'Fund Investment Data'!$C:$C = $C2087, 'Fund Investment Data'!$A:$A = $A2087 - 2, 'Fund Investment Data'!$B:$B &gt;= 4)) * Parameters!$B$4,0) + IFERROR(SUM(FILTER('Fund Investment Data'!$V:$V, 'Fund "&amp;"Investment Data'!$C:$C = $C2087, 'Fund Investment Data'!$A:$A = $A2087 - 1, 'Fund Investment Data'!$B:$B &lt;= 3)) * Parameters!$B$4,0))),0)"),0.0)</f>
        <v>0</v>
      </c>
      <c r="AC2087" s="32">
        <f>IFERROR(__xludf.DUMMYFUNCTION("IFERROR(FILTER($AF:$AF,$C:$C = $C2087,$A:$A = $A2087 - 1,$B:$B = 12),0)"),0.0)</f>
        <v>0</v>
      </c>
      <c r="AD2087" s="32">
        <f t="shared" si="23"/>
        <v>0</v>
      </c>
      <c r="AE2087" s="32">
        <f t="shared" si="2"/>
        <v>0</v>
      </c>
      <c r="AF2087" s="32"/>
    </row>
    <row r="2088">
      <c r="A2088" s="86"/>
      <c r="B2088" s="87"/>
      <c r="C2088" s="88"/>
      <c r="D2088" s="104"/>
      <c r="E2088" s="104"/>
      <c r="F2088" s="104"/>
      <c r="G2088" s="104"/>
      <c r="H2088" s="104"/>
      <c r="I2088" s="104"/>
      <c r="J2088" s="104"/>
      <c r="K2088" s="32"/>
      <c r="L2088" s="32"/>
      <c r="M2088" s="32"/>
      <c r="N2088" s="32"/>
      <c r="O2088" s="106"/>
      <c r="P2088" s="91">
        <f>IFERROR(__xludf.DUMMYFUNCTION("IFERROR(sum(FILTER($D:$N,$C:$C = $C2088,$A:$A &lt; $A2088,$B:$B = 12)),0) + sum($D2088:$N2088)"),0.0)</f>
        <v>0</v>
      </c>
      <c r="Q2088" s="92">
        <f t="shared" si="1"/>
        <v>0</v>
      </c>
      <c r="R2088" s="91">
        <f t="array" ref="R2088">IFERROR(INDEX('Fund YTD Target Values'!$1:$1000, MATCH($C2088,'Fund YTD Target Values'!$A:$A,0), MATCH($A2088,'Fund YTD Target Values'!$1:$1,0)),0)</f>
        <v>0</v>
      </c>
      <c r="S2088" s="91">
        <f>IFERROR(__xludf.DUMMYFUNCTION("IFERROR(sum(FILTER('Fund Investment Data'!$V:$V, 'Fund Investment Data'!$C:$C = $C2088, 'Fund Investment Data'!$A:$A &lt; $A2088)),0) + IFERROR(sum(FILTER('Fund Investment Data'!$V:$V, 'Fund Investment Data'!$C:$C = $C2088, 'Fund Investment Data'!$A:$A = $A2"&amp;"088, 'Fund Investment Data'!$B:$B &lt;= $B2088)),0)"),0.0)</f>
        <v>0</v>
      </c>
      <c r="T2088" s="32"/>
      <c r="U2088" s="32"/>
      <c r="V2088" s="32">
        <f>IFERROR(__xludf.DUMMYFUNCTION("$D2088 - IFERROR(FILTER($D:$D,$C:$C = $C2088, $A:$A = $A2088, $B:$B = $B2088 - 1),0)"),0.0)</f>
        <v>0</v>
      </c>
      <c r="W2088" s="93">
        <f>IFERROR(__xludf.DUMMYFUNCTION("$E2088 - IFERROR(FILTER($E:$E,$C:$C = $C2088, $A:$A = $A2088, $B:$B = $B2088 - 1),0)"),0.0)</f>
        <v>0</v>
      </c>
      <c r="X2088" s="91">
        <f>IFERROR(__xludf.DUMMYFUNCTION("iFERROR((FILTER('Fund Investment Data'!$Z:$Z, 'Fund Investment Data'!$C:$C = $C2088, 'Fund Investment Data'!$A:$A = $A2088 - 1, 'Fund Investment Data'!$B:$B = 12) + FILTER('Fund Investment Data'!$AB:$AB, 'Fund Investment Data'!$C:$C = $C2088, 'Fund Invest"&amp;"ment Data'!$A:$A = $A2088 - 1, 'Fund Investment Data'!$B:$B = 12)) * (1 + AVERAGE(FILTER('Inflation Data'!$C:$C,'Inflation Data'!$A:$A = ($A2088 - 2)))) * Parameters!$A$4,0)"),0.0)</f>
        <v>0</v>
      </c>
      <c r="Y2088" s="91">
        <f>IFERROR(__xludf.DUMMYFUNCTION("IFERROR((IFERROR(FILTER('Fund Investment Data'!$P:$P,'Fund Investment Data'!$C:$C = $C2088,'Fund Investment Data'!$A:$A = ($A2088 - 2), 'Fund Investment Data'!$B:$B = 12),0) - SUM(FILTER('Fund Investment Data'!$V:$V, 'Fund Investment Data'!$C:$C = $C2088,"&amp;" 'Fund Investment Data'!$A:$A = ($A2088 - 2), 'Fund Investment Data'!$B:$B &gt; 3)))  * Parameters!$B$4 * (1 - Parameters!$A$4),0)"),0.0)</f>
        <v>0</v>
      </c>
      <c r="Z2088" s="91">
        <f t="shared" si="24"/>
        <v>0</v>
      </c>
      <c r="AA2088" s="91">
        <f>IFERROR(__xludf.DUMMYFUNCTION("((IFERROR((SUM(FILTER('Fund Investment Data'!$V:$V, 'Fund Investment Data'!$C:$C = $C2088, 'Fund Investment Data'!$A:$A = $A2088 - 1, 'Fund Investment Data'!$B:$B &gt;= 4, 'Fund Investment Data'!$B:$B &lt;= ($B2088 + 5))) / 12) * ($B2088 - 3) * Parameters!$B$4,"&amp;" 0) + IF($B2088 &gt;= 9, IFERROR(SUM(FILTER('Fund Investment Data'!$V:$V, 'Fund Investment Data'!$C:$C = $C2088, 'Fund Investment Data'!$A:$A = $A2088, 'Fund Investment Data'!$B:$B &lt;= 3)) * Parameters!$B$4, 0),0)))"),0.0)</f>
        <v>0</v>
      </c>
      <c r="AB2088" s="32">
        <f>IFERROR(__xludf.DUMMYFUNCTION("IFERROR(((IFERROR(SUM(FILTER('Fund Investment Data'!$V:$V, 'Fund Investment Data'!$C:$C = $C2088, 'Fund Investment Data'!$A:$A = $A2088 - 2, 'Fund Investment Data'!$B:$B &gt;= 4)) * Parameters!$B$4,0) + IFERROR(SUM(FILTER('Fund Investment Data'!$V:$V, 'Fund "&amp;"Investment Data'!$C:$C = $C2088, 'Fund Investment Data'!$A:$A = $A2088 - 1, 'Fund Investment Data'!$B:$B &lt;= 3)) * Parameters!$B$4,0))),0)"),0.0)</f>
        <v>0</v>
      </c>
      <c r="AC2088" s="32">
        <f>IFERROR(__xludf.DUMMYFUNCTION("IFERROR(FILTER($AF:$AF,$C:$C = $C2088,$A:$A = $A2088 - 1,$B:$B = 12),0)"),0.0)</f>
        <v>0</v>
      </c>
      <c r="AD2088" s="32">
        <f t="shared" si="23"/>
        <v>0</v>
      </c>
      <c r="AE2088" s="32">
        <f t="shared" si="2"/>
        <v>0</v>
      </c>
      <c r="AF2088" s="32"/>
    </row>
    <row r="2089">
      <c r="A2089" s="86"/>
      <c r="B2089" s="87"/>
      <c r="C2089" s="88"/>
      <c r="D2089" s="104"/>
      <c r="E2089" s="104"/>
      <c r="F2089" s="104"/>
      <c r="G2089" s="104"/>
      <c r="H2089" s="104"/>
      <c r="I2089" s="104"/>
      <c r="J2089" s="104"/>
      <c r="K2089" s="32"/>
      <c r="L2089" s="32"/>
      <c r="M2089" s="32"/>
      <c r="N2089" s="32"/>
      <c r="O2089" s="106"/>
      <c r="P2089" s="91">
        <f>IFERROR(__xludf.DUMMYFUNCTION("IFERROR(sum(FILTER($D:$N,$C:$C = $C2089,$A:$A &lt; $A2089,$B:$B = 12)),0) + sum($D2089:$N2089)"),0.0)</f>
        <v>0</v>
      </c>
      <c r="Q2089" s="92">
        <f t="shared" si="1"/>
        <v>0</v>
      </c>
      <c r="R2089" s="91">
        <f t="array" ref="R2089">IFERROR(INDEX('Fund YTD Target Values'!$1:$1000, MATCH($C2089,'Fund YTD Target Values'!$A:$A,0), MATCH($A2089,'Fund YTD Target Values'!$1:$1,0)),0)</f>
        <v>0</v>
      </c>
      <c r="S2089" s="91">
        <f>IFERROR(__xludf.DUMMYFUNCTION("IFERROR(sum(FILTER('Fund Investment Data'!$V:$V, 'Fund Investment Data'!$C:$C = $C2089, 'Fund Investment Data'!$A:$A &lt; $A2089)),0) + IFERROR(sum(FILTER('Fund Investment Data'!$V:$V, 'Fund Investment Data'!$C:$C = $C2089, 'Fund Investment Data'!$A:$A = $A2"&amp;"089, 'Fund Investment Data'!$B:$B &lt;= $B2089)),0)"),0.0)</f>
        <v>0</v>
      </c>
      <c r="T2089" s="32"/>
      <c r="U2089" s="32"/>
      <c r="V2089" s="32">
        <f>IFERROR(__xludf.DUMMYFUNCTION("$D2089 - IFERROR(FILTER($D:$D,$C:$C = $C2089, $A:$A = $A2089, $B:$B = $B2089 - 1),0)"),0.0)</f>
        <v>0</v>
      </c>
      <c r="W2089" s="93">
        <f>IFERROR(__xludf.DUMMYFUNCTION("$E2089 - IFERROR(FILTER($E:$E,$C:$C = $C2089, $A:$A = $A2089, $B:$B = $B2089 - 1),0)"),0.0)</f>
        <v>0</v>
      </c>
      <c r="X2089" s="91">
        <f>IFERROR(__xludf.DUMMYFUNCTION("iFERROR((FILTER('Fund Investment Data'!$Z:$Z, 'Fund Investment Data'!$C:$C = $C2089, 'Fund Investment Data'!$A:$A = $A2089 - 1, 'Fund Investment Data'!$B:$B = 12) + FILTER('Fund Investment Data'!$AB:$AB, 'Fund Investment Data'!$C:$C = $C2089, 'Fund Invest"&amp;"ment Data'!$A:$A = $A2089 - 1, 'Fund Investment Data'!$B:$B = 12)) * (1 + AVERAGE(FILTER('Inflation Data'!$C:$C,'Inflation Data'!$A:$A = ($A2089 - 2)))) * Parameters!$A$4,0)"),0.0)</f>
        <v>0</v>
      </c>
      <c r="Y2089" s="91">
        <f>IFERROR(__xludf.DUMMYFUNCTION("IFERROR((IFERROR(FILTER('Fund Investment Data'!$P:$P,'Fund Investment Data'!$C:$C = $C2089,'Fund Investment Data'!$A:$A = ($A2089 - 2), 'Fund Investment Data'!$B:$B = 12),0) - SUM(FILTER('Fund Investment Data'!$V:$V, 'Fund Investment Data'!$C:$C = $C2089,"&amp;" 'Fund Investment Data'!$A:$A = ($A2089 - 2), 'Fund Investment Data'!$B:$B &gt; 3)))  * Parameters!$B$4 * (1 - Parameters!$A$4),0)"),0.0)</f>
        <v>0</v>
      </c>
      <c r="Z2089" s="91">
        <f t="shared" si="24"/>
        <v>0</v>
      </c>
      <c r="AA2089" s="91">
        <f>IFERROR(__xludf.DUMMYFUNCTION("((IFERROR((SUM(FILTER('Fund Investment Data'!$V:$V, 'Fund Investment Data'!$C:$C = $C2089, 'Fund Investment Data'!$A:$A = $A2089 - 1, 'Fund Investment Data'!$B:$B &gt;= 4, 'Fund Investment Data'!$B:$B &lt;= ($B2089 + 5))) / 12) * ($B2089 - 3) * Parameters!$B$4,"&amp;" 0) + IF($B2089 &gt;= 9, IFERROR(SUM(FILTER('Fund Investment Data'!$V:$V, 'Fund Investment Data'!$C:$C = $C2089, 'Fund Investment Data'!$A:$A = $A2089, 'Fund Investment Data'!$B:$B &lt;= 3)) * Parameters!$B$4, 0),0)))"),0.0)</f>
        <v>0</v>
      </c>
      <c r="AB2089" s="32">
        <f>IFERROR(__xludf.DUMMYFUNCTION("IFERROR(((IFERROR(SUM(FILTER('Fund Investment Data'!$V:$V, 'Fund Investment Data'!$C:$C = $C2089, 'Fund Investment Data'!$A:$A = $A2089 - 2, 'Fund Investment Data'!$B:$B &gt;= 4)) * Parameters!$B$4,0) + IFERROR(SUM(FILTER('Fund Investment Data'!$V:$V, 'Fund "&amp;"Investment Data'!$C:$C = $C2089, 'Fund Investment Data'!$A:$A = $A2089 - 1, 'Fund Investment Data'!$B:$B &lt;= 3)) * Parameters!$B$4,0))),0)"),0.0)</f>
        <v>0</v>
      </c>
      <c r="AC2089" s="32">
        <f>IFERROR(__xludf.DUMMYFUNCTION("IFERROR(FILTER($AF:$AF,$C:$C = $C2089,$A:$A = $A2089 - 1,$B:$B = 12),0)"),0.0)</f>
        <v>0</v>
      </c>
      <c r="AD2089" s="32">
        <f t="shared" si="23"/>
        <v>0</v>
      </c>
      <c r="AE2089" s="32">
        <f t="shared" si="2"/>
        <v>0</v>
      </c>
      <c r="AF2089" s="32"/>
    </row>
    <row r="2090">
      <c r="A2090" s="86"/>
      <c r="B2090" s="87"/>
      <c r="C2090" s="88"/>
      <c r="D2090" s="104"/>
      <c r="E2090" s="104"/>
      <c r="F2090" s="104"/>
      <c r="G2090" s="104"/>
      <c r="H2090" s="104"/>
      <c r="I2090" s="104"/>
      <c r="J2090" s="104"/>
      <c r="K2090" s="32"/>
      <c r="L2090" s="32"/>
      <c r="M2090" s="32"/>
      <c r="N2090" s="32"/>
      <c r="O2090" s="106"/>
      <c r="P2090" s="91">
        <f>IFERROR(__xludf.DUMMYFUNCTION("IFERROR(sum(FILTER($D:$N,$C:$C = $C2090,$A:$A &lt; $A2090,$B:$B = 12)),0) + sum($D2090:$N2090)"),0.0)</f>
        <v>0</v>
      </c>
      <c r="Q2090" s="92">
        <f t="shared" si="1"/>
        <v>0</v>
      </c>
      <c r="R2090" s="91">
        <f t="array" ref="R2090">IFERROR(INDEX('Fund YTD Target Values'!$1:$1000, MATCH($C2090,'Fund YTD Target Values'!$A:$A,0), MATCH($A2090,'Fund YTD Target Values'!$1:$1,0)),0)</f>
        <v>0</v>
      </c>
      <c r="S2090" s="91">
        <f>IFERROR(__xludf.DUMMYFUNCTION("IFERROR(sum(FILTER('Fund Investment Data'!$V:$V, 'Fund Investment Data'!$C:$C = $C2090, 'Fund Investment Data'!$A:$A &lt; $A2090)),0) + IFERROR(sum(FILTER('Fund Investment Data'!$V:$V, 'Fund Investment Data'!$C:$C = $C2090, 'Fund Investment Data'!$A:$A = $A2"&amp;"090, 'Fund Investment Data'!$B:$B &lt;= $B2090)),0)"),0.0)</f>
        <v>0</v>
      </c>
      <c r="T2090" s="32"/>
      <c r="U2090" s="32"/>
      <c r="V2090" s="32">
        <f>IFERROR(__xludf.DUMMYFUNCTION("$D2090 - IFERROR(FILTER($D:$D,$C:$C = $C2090, $A:$A = $A2090, $B:$B = $B2090 - 1),0)"),0.0)</f>
        <v>0</v>
      </c>
      <c r="W2090" s="93">
        <f>IFERROR(__xludf.DUMMYFUNCTION("$E2090 - IFERROR(FILTER($E:$E,$C:$C = $C2090, $A:$A = $A2090, $B:$B = $B2090 - 1),0)"),0.0)</f>
        <v>0</v>
      </c>
      <c r="X2090" s="91">
        <f>IFERROR(__xludf.DUMMYFUNCTION("iFERROR((FILTER('Fund Investment Data'!$Z:$Z, 'Fund Investment Data'!$C:$C = $C2090, 'Fund Investment Data'!$A:$A = $A2090 - 1, 'Fund Investment Data'!$B:$B = 12) + FILTER('Fund Investment Data'!$AB:$AB, 'Fund Investment Data'!$C:$C = $C2090, 'Fund Invest"&amp;"ment Data'!$A:$A = $A2090 - 1, 'Fund Investment Data'!$B:$B = 12)) * (1 + AVERAGE(FILTER('Inflation Data'!$C:$C,'Inflation Data'!$A:$A = ($A2090 - 2)))) * Parameters!$A$4,0)"),0.0)</f>
        <v>0</v>
      </c>
      <c r="Y2090" s="91">
        <f>IFERROR(__xludf.DUMMYFUNCTION("IFERROR((IFERROR(FILTER('Fund Investment Data'!$P:$P,'Fund Investment Data'!$C:$C = $C2090,'Fund Investment Data'!$A:$A = ($A2090 - 2), 'Fund Investment Data'!$B:$B = 12),0) - SUM(FILTER('Fund Investment Data'!$V:$V, 'Fund Investment Data'!$C:$C = $C2090,"&amp;" 'Fund Investment Data'!$A:$A = ($A2090 - 2), 'Fund Investment Data'!$B:$B &gt; 3)))  * Parameters!$B$4 * (1 - Parameters!$A$4),0)"),0.0)</f>
        <v>0</v>
      </c>
      <c r="Z2090" s="91">
        <f t="shared" si="24"/>
        <v>0</v>
      </c>
      <c r="AA2090" s="91">
        <f>IFERROR(__xludf.DUMMYFUNCTION("((IFERROR((SUM(FILTER('Fund Investment Data'!$V:$V, 'Fund Investment Data'!$C:$C = $C2090, 'Fund Investment Data'!$A:$A = $A2090 - 1, 'Fund Investment Data'!$B:$B &gt;= 4, 'Fund Investment Data'!$B:$B &lt;= ($B2090 + 5))) / 12) * ($B2090 - 3) * Parameters!$B$4,"&amp;" 0) + IF($B2090 &gt;= 9, IFERROR(SUM(FILTER('Fund Investment Data'!$V:$V, 'Fund Investment Data'!$C:$C = $C2090, 'Fund Investment Data'!$A:$A = $A2090, 'Fund Investment Data'!$B:$B &lt;= 3)) * Parameters!$B$4, 0),0)))"),0.0)</f>
        <v>0</v>
      </c>
      <c r="AB2090" s="32">
        <f>IFERROR(__xludf.DUMMYFUNCTION("IFERROR(((IFERROR(SUM(FILTER('Fund Investment Data'!$V:$V, 'Fund Investment Data'!$C:$C = $C2090, 'Fund Investment Data'!$A:$A = $A2090 - 2, 'Fund Investment Data'!$B:$B &gt;= 4)) * Parameters!$B$4,0) + IFERROR(SUM(FILTER('Fund Investment Data'!$V:$V, 'Fund "&amp;"Investment Data'!$C:$C = $C2090, 'Fund Investment Data'!$A:$A = $A2090 - 1, 'Fund Investment Data'!$B:$B &lt;= 3)) * Parameters!$B$4,0))),0)"),0.0)</f>
        <v>0</v>
      </c>
      <c r="AC2090" s="32">
        <f>IFERROR(__xludf.DUMMYFUNCTION("IFERROR(FILTER($AF:$AF,$C:$C = $C2090,$A:$A = $A2090 - 1,$B:$B = 12),0)"),0.0)</f>
        <v>0</v>
      </c>
      <c r="AD2090" s="32">
        <f t="shared" si="23"/>
        <v>0</v>
      </c>
      <c r="AE2090" s="32">
        <f t="shared" si="2"/>
        <v>0</v>
      </c>
      <c r="AF2090" s="32"/>
    </row>
    <row r="2091">
      <c r="A2091" s="86"/>
      <c r="B2091" s="87"/>
      <c r="C2091" s="88"/>
      <c r="D2091" s="104"/>
      <c r="E2091" s="104"/>
      <c r="F2091" s="104"/>
      <c r="G2091" s="104"/>
      <c r="H2091" s="104"/>
      <c r="I2091" s="104"/>
      <c r="J2091" s="104"/>
      <c r="K2091" s="32"/>
      <c r="L2091" s="32"/>
      <c r="M2091" s="32"/>
      <c r="N2091" s="32"/>
      <c r="O2091" s="106"/>
      <c r="P2091" s="91">
        <f>IFERROR(__xludf.DUMMYFUNCTION("IFERROR(sum(FILTER($D:$N,$C:$C = $C2091,$A:$A &lt; $A2091,$B:$B = 12)),0) + sum($D2091:$N2091)"),0.0)</f>
        <v>0</v>
      </c>
      <c r="Q2091" s="92">
        <f t="shared" si="1"/>
        <v>0</v>
      </c>
      <c r="R2091" s="91">
        <f t="array" ref="R2091">IFERROR(INDEX('Fund YTD Target Values'!$1:$1000, MATCH($C2091,'Fund YTD Target Values'!$A:$A,0), MATCH($A2091,'Fund YTD Target Values'!$1:$1,0)),0)</f>
        <v>0</v>
      </c>
      <c r="S2091" s="91">
        <f>IFERROR(__xludf.DUMMYFUNCTION("IFERROR(sum(FILTER('Fund Investment Data'!$V:$V, 'Fund Investment Data'!$C:$C = $C2091, 'Fund Investment Data'!$A:$A &lt; $A2091)),0) + IFERROR(sum(FILTER('Fund Investment Data'!$V:$V, 'Fund Investment Data'!$C:$C = $C2091, 'Fund Investment Data'!$A:$A = $A2"&amp;"091, 'Fund Investment Data'!$B:$B &lt;= $B2091)),0)"),0.0)</f>
        <v>0</v>
      </c>
      <c r="T2091" s="32"/>
      <c r="U2091" s="32"/>
      <c r="V2091" s="32">
        <f>IFERROR(__xludf.DUMMYFUNCTION("$D2091 - IFERROR(FILTER($D:$D,$C:$C = $C2091, $A:$A = $A2091, $B:$B = $B2091 - 1),0)"),0.0)</f>
        <v>0</v>
      </c>
      <c r="W2091" s="93">
        <f>IFERROR(__xludf.DUMMYFUNCTION("$E2091 - IFERROR(FILTER($E:$E,$C:$C = $C2091, $A:$A = $A2091, $B:$B = $B2091 - 1),0)"),0.0)</f>
        <v>0</v>
      </c>
      <c r="X2091" s="91">
        <f>IFERROR(__xludf.DUMMYFUNCTION("iFERROR((FILTER('Fund Investment Data'!$Z:$Z, 'Fund Investment Data'!$C:$C = $C2091, 'Fund Investment Data'!$A:$A = $A2091 - 1, 'Fund Investment Data'!$B:$B = 12) + FILTER('Fund Investment Data'!$AB:$AB, 'Fund Investment Data'!$C:$C = $C2091, 'Fund Invest"&amp;"ment Data'!$A:$A = $A2091 - 1, 'Fund Investment Data'!$B:$B = 12)) * (1 + AVERAGE(FILTER('Inflation Data'!$C:$C,'Inflation Data'!$A:$A = ($A2091 - 2)))) * Parameters!$A$4,0)"),0.0)</f>
        <v>0</v>
      </c>
      <c r="Y2091" s="91">
        <f>IFERROR(__xludf.DUMMYFUNCTION("IFERROR((IFERROR(FILTER('Fund Investment Data'!$P:$P,'Fund Investment Data'!$C:$C = $C2091,'Fund Investment Data'!$A:$A = ($A2091 - 2), 'Fund Investment Data'!$B:$B = 12),0) - SUM(FILTER('Fund Investment Data'!$V:$V, 'Fund Investment Data'!$C:$C = $C2091,"&amp;" 'Fund Investment Data'!$A:$A = ($A2091 - 2), 'Fund Investment Data'!$B:$B &gt; 3)))  * Parameters!$B$4 * (1 - Parameters!$A$4),0)"),0.0)</f>
        <v>0</v>
      </c>
      <c r="Z2091" s="91">
        <f t="shared" si="24"/>
        <v>0</v>
      </c>
      <c r="AA2091" s="91">
        <f>IFERROR(__xludf.DUMMYFUNCTION("((IFERROR((SUM(FILTER('Fund Investment Data'!$V:$V, 'Fund Investment Data'!$C:$C = $C2091, 'Fund Investment Data'!$A:$A = $A2091 - 1, 'Fund Investment Data'!$B:$B &gt;= 4, 'Fund Investment Data'!$B:$B &lt;= ($B2091 + 5))) / 12) * ($B2091 - 3) * Parameters!$B$4,"&amp;" 0) + IF($B2091 &gt;= 9, IFERROR(SUM(FILTER('Fund Investment Data'!$V:$V, 'Fund Investment Data'!$C:$C = $C2091, 'Fund Investment Data'!$A:$A = $A2091, 'Fund Investment Data'!$B:$B &lt;= 3)) * Parameters!$B$4, 0),0)))"),0.0)</f>
        <v>0</v>
      </c>
      <c r="AB2091" s="32">
        <f>IFERROR(__xludf.DUMMYFUNCTION("IFERROR(((IFERROR(SUM(FILTER('Fund Investment Data'!$V:$V, 'Fund Investment Data'!$C:$C = $C2091, 'Fund Investment Data'!$A:$A = $A2091 - 2, 'Fund Investment Data'!$B:$B &gt;= 4)) * Parameters!$B$4,0) + IFERROR(SUM(FILTER('Fund Investment Data'!$V:$V, 'Fund "&amp;"Investment Data'!$C:$C = $C2091, 'Fund Investment Data'!$A:$A = $A2091 - 1, 'Fund Investment Data'!$B:$B &lt;= 3)) * Parameters!$B$4,0))),0)"),0.0)</f>
        <v>0</v>
      </c>
      <c r="AC2091" s="32">
        <f>IFERROR(__xludf.DUMMYFUNCTION("IFERROR(FILTER($AF:$AF,$C:$C = $C2091,$A:$A = $A2091 - 1,$B:$B = 12),0)"),0.0)</f>
        <v>0</v>
      </c>
      <c r="AD2091" s="32">
        <f t="shared" si="23"/>
        <v>0</v>
      </c>
      <c r="AE2091" s="32">
        <f t="shared" si="2"/>
        <v>0</v>
      </c>
      <c r="AF2091" s="32"/>
    </row>
    <row r="2092">
      <c r="A2092" s="86"/>
      <c r="B2092" s="87"/>
      <c r="C2092" s="88"/>
      <c r="D2092" s="104"/>
      <c r="E2092" s="104"/>
      <c r="F2092" s="104"/>
      <c r="G2092" s="104"/>
      <c r="H2092" s="104"/>
      <c r="I2092" s="104"/>
      <c r="J2092" s="104"/>
      <c r="K2092" s="32"/>
      <c r="L2092" s="32"/>
      <c r="M2092" s="32"/>
      <c r="N2092" s="32"/>
      <c r="O2092" s="106"/>
      <c r="P2092" s="91">
        <f>IFERROR(__xludf.DUMMYFUNCTION("IFERROR(sum(FILTER($D:$N,$C:$C = $C2092,$A:$A &lt; $A2092,$B:$B = 12)),0) + sum($D2092:$N2092)"),0.0)</f>
        <v>0</v>
      </c>
      <c r="Q2092" s="92">
        <f t="shared" si="1"/>
        <v>0</v>
      </c>
      <c r="R2092" s="91">
        <f t="array" ref="R2092">IFERROR(INDEX('Fund YTD Target Values'!$1:$1000, MATCH($C2092,'Fund YTD Target Values'!$A:$A,0), MATCH($A2092,'Fund YTD Target Values'!$1:$1,0)),0)</f>
        <v>0</v>
      </c>
      <c r="S2092" s="91">
        <f>IFERROR(__xludf.DUMMYFUNCTION("IFERROR(sum(FILTER('Fund Investment Data'!$V:$V, 'Fund Investment Data'!$C:$C = $C2092, 'Fund Investment Data'!$A:$A &lt; $A2092)),0) + IFERROR(sum(FILTER('Fund Investment Data'!$V:$V, 'Fund Investment Data'!$C:$C = $C2092, 'Fund Investment Data'!$A:$A = $A2"&amp;"092, 'Fund Investment Data'!$B:$B &lt;= $B2092)),0)"),0.0)</f>
        <v>0</v>
      </c>
      <c r="T2092" s="32"/>
      <c r="U2092" s="32"/>
      <c r="V2092" s="32">
        <f>IFERROR(__xludf.DUMMYFUNCTION("$D2092 - IFERROR(FILTER($D:$D,$C:$C = $C2092, $A:$A = $A2092, $B:$B = $B2092 - 1),0)"),0.0)</f>
        <v>0</v>
      </c>
      <c r="W2092" s="93">
        <f>IFERROR(__xludf.DUMMYFUNCTION("$E2092 - IFERROR(FILTER($E:$E,$C:$C = $C2092, $A:$A = $A2092, $B:$B = $B2092 - 1),0)"),0.0)</f>
        <v>0</v>
      </c>
      <c r="X2092" s="91">
        <f>IFERROR(__xludf.DUMMYFUNCTION("iFERROR((FILTER('Fund Investment Data'!$Z:$Z, 'Fund Investment Data'!$C:$C = $C2092, 'Fund Investment Data'!$A:$A = $A2092 - 1, 'Fund Investment Data'!$B:$B = 12) + FILTER('Fund Investment Data'!$AB:$AB, 'Fund Investment Data'!$C:$C = $C2092, 'Fund Invest"&amp;"ment Data'!$A:$A = $A2092 - 1, 'Fund Investment Data'!$B:$B = 12)) * (1 + AVERAGE(FILTER('Inflation Data'!$C:$C,'Inflation Data'!$A:$A = ($A2092 - 2)))) * Parameters!$A$4,0)"),0.0)</f>
        <v>0</v>
      </c>
      <c r="Y2092" s="91">
        <f>IFERROR(__xludf.DUMMYFUNCTION("IFERROR((IFERROR(FILTER('Fund Investment Data'!$P:$P,'Fund Investment Data'!$C:$C = $C2092,'Fund Investment Data'!$A:$A = ($A2092 - 2), 'Fund Investment Data'!$B:$B = 12),0) - SUM(FILTER('Fund Investment Data'!$V:$V, 'Fund Investment Data'!$C:$C = $C2092,"&amp;" 'Fund Investment Data'!$A:$A = ($A2092 - 2), 'Fund Investment Data'!$B:$B &gt; 3)))  * Parameters!$B$4 * (1 - Parameters!$A$4),0)"),0.0)</f>
        <v>0</v>
      </c>
      <c r="Z2092" s="91">
        <f t="shared" si="24"/>
        <v>0</v>
      </c>
      <c r="AA2092" s="91">
        <f>IFERROR(__xludf.DUMMYFUNCTION("((IFERROR((SUM(FILTER('Fund Investment Data'!$V:$V, 'Fund Investment Data'!$C:$C = $C2092, 'Fund Investment Data'!$A:$A = $A2092 - 1, 'Fund Investment Data'!$B:$B &gt;= 4, 'Fund Investment Data'!$B:$B &lt;= ($B2092 + 5))) / 12) * ($B2092 - 3) * Parameters!$B$4,"&amp;" 0) + IF($B2092 &gt;= 9, IFERROR(SUM(FILTER('Fund Investment Data'!$V:$V, 'Fund Investment Data'!$C:$C = $C2092, 'Fund Investment Data'!$A:$A = $A2092, 'Fund Investment Data'!$B:$B &lt;= 3)) * Parameters!$B$4, 0),0)))"),0.0)</f>
        <v>0</v>
      </c>
      <c r="AB2092" s="32">
        <f>IFERROR(__xludf.DUMMYFUNCTION("IFERROR(((IFERROR(SUM(FILTER('Fund Investment Data'!$V:$V, 'Fund Investment Data'!$C:$C = $C2092, 'Fund Investment Data'!$A:$A = $A2092 - 2, 'Fund Investment Data'!$B:$B &gt;= 4)) * Parameters!$B$4,0) + IFERROR(SUM(FILTER('Fund Investment Data'!$V:$V, 'Fund "&amp;"Investment Data'!$C:$C = $C2092, 'Fund Investment Data'!$A:$A = $A2092 - 1, 'Fund Investment Data'!$B:$B &lt;= 3)) * Parameters!$B$4,0))),0)"),0.0)</f>
        <v>0</v>
      </c>
      <c r="AC2092" s="32">
        <f>IFERROR(__xludf.DUMMYFUNCTION("IFERROR(FILTER($AF:$AF,$C:$C = $C2092,$A:$A = $A2092 - 1,$B:$B = 12),0)"),0.0)</f>
        <v>0</v>
      </c>
      <c r="AD2092" s="32">
        <f t="shared" si="23"/>
        <v>0</v>
      </c>
      <c r="AE2092" s="32">
        <f t="shared" si="2"/>
        <v>0</v>
      </c>
      <c r="AF2092" s="32"/>
    </row>
    <row r="2093">
      <c r="A2093" s="86"/>
      <c r="B2093" s="87"/>
      <c r="C2093" s="88"/>
      <c r="D2093" s="104"/>
      <c r="E2093" s="104"/>
      <c r="F2093" s="104"/>
      <c r="G2093" s="104"/>
      <c r="H2093" s="104"/>
      <c r="I2093" s="104"/>
      <c r="J2093" s="104"/>
      <c r="K2093" s="32"/>
      <c r="L2093" s="32"/>
      <c r="M2093" s="32"/>
      <c r="N2093" s="32"/>
      <c r="O2093" s="106"/>
      <c r="P2093" s="91">
        <f>IFERROR(__xludf.DUMMYFUNCTION("IFERROR(sum(FILTER($D:$N,$C:$C = $C2093,$A:$A &lt; $A2093,$B:$B = 12)),0) + sum($D2093:$N2093)"),0.0)</f>
        <v>0</v>
      </c>
      <c r="Q2093" s="92">
        <f t="shared" si="1"/>
        <v>0</v>
      </c>
      <c r="R2093" s="91">
        <f t="array" ref="R2093">IFERROR(INDEX('Fund YTD Target Values'!$1:$1000, MATCH($C2093,'Fund YTD Target Values'!$A:$A,0), MATCH($A2093,'Fund YTD Target Values'!$1:$1,0)),0)</f>
        <v>0</v>
      </c>
      <c r="S2093" s="91">
        <f>IFERROR(__xludf.DUMMYFUNCTION("IFERROR(sum(FILTER('Fund Investment Data'!$V:$V, 'Fund Investment Data'!$C:$C = $C2093, 'Fund Investment Data'!$A:$A &lt; $A2093)),0) + IFERROR(sum(FILTER('Fund Investment Data'!$V:$V, 'Fund Investment Data'!$C:$C = $C2093, 'Fund Investment Data'!$A:$A = $A2"&amp;"093, 'Fund Investment Data'!$B:$B &lt;= $B2093)),0)"),0.0)</f>
        <v>0</v>
      </c>
      <c r="T2093" s="32"/>
      <c r="U2093" s="32"/>
      <c r="V2093" s="32">
        <f>IFERROR(__xludf.DUMMYFUNCTION("$D2093 - IFERROR(FILTER($D:$D,$C:$C = $C2093, $A:$A = $A2093, $B:$B = $B2093 - 1),0)"),0.0)</f>
        <v>0</v>
      </c>
      <c r="W2093" s="93">
        <f>IFERROR(__xludf.DUMMYFUNCTION("$E2093 - IFERROR(FILTER($E:$E,$C:$C = $C2093, $A:$A = $A2093, $B:$B = $B2093 - 1),0)"),0.0)</f>
        <v>0</v>
      </c>
      <c r="X2093" s="91">
        <f>IFERROR(__xludf.DUMMYFUNCTION("iFERROR((FILTER('Fund Investment Data'!$Z:$Z, 'Fund Investment Data'!$C:$C = $C2093, 'Fund Investment Data'!$A:$A = $A2093 - 1, 'Fund Investment Data'!$B:$B = 12) + FILTER('Fund Investment Data'!$AB:$AB, 'Fund Investment Data'!$C:$C = $C2093, 'Fund Invest"&amp;"ment Data'!$A:$A = $A2093 - 1, 'Fund Investment Data'!$B:$B = 12)) * (1 + AVERAGE(FILTER('Inflation Data'!$C:$C,'Inflation Data'!$A:$A = ($A2093 - 2)))) * Parameters!$A$4,0)"),0.0)</f>
        <v>0</v>
      </c>
      <c r="Y2093" s="91">
        <f>IFERROR(__xludf.DUMMYFUNCTION("IFERROR((IFERROR(FILTER('Fund Investment Data'!$P:$P,'Fund Investment Data'!$C:$C = $C2093,'Fund Investment Data'!$A:$A = ($A2093 - 2), 'Fund Investment Data'!$B:$B = 12),0) - SUM(FILTER('Fund Investment Data'!$V:$V, 'Fund Investment Data'!$C:$C = $C2093,"&amp;" 'Fund Investment Data'!$A:$A = ($A2093 - 2), 'Fund Investment Data'!$B:$B &gt; 3)))  * Parameters!$B$4 * (1 - Parameters!$A$4),0)"),0.0)</f>
        <v>0</v>
      </c>
      <c r="Z2093" s="91">
        <f t="shared" si="24"/>
        <v>0</v>
      </c>
      <c r="AA2093" s="91">
        <f>IFERROR(__xludf.DUMMYFUNCTION("((IFERROR((SUM(FILTER('Fund Investment Data'!$V:$V, 'Fund Investment Data'!$C:$C = $C2093, 'Fund Investment Data'!$A:$A = $A2093 - 1, 'Fund Investment Data'!$B:$B &gt;= 4, 'Fund Investment Data'!$B:$B &lt;= ($B2093 + 5))) / 12) * ($B2093 - 3) * Parameters!$B$4,"&amp;" 0) + IF($B2093 &gt;= 9, IFERROR(SUM(FILTER('Fund Investment Data'!$V:$V, 'Fund Investment Data'!$C:$C = $C2093, 'Fund Investment Data'!$A:$A = $A2093, 'Fund Investment Data'!$B:$B &lt;= 3)) * Parameters!$B$4, 0),0)))"),0.0)</f>
        <v>0</v>
      </c>
      <c r="AB2093" s="32">
        <f>IFERROR(__xludf.DUMMYFUNCTION("IFERROR(((IFERROR(SUM(FILTER('Fund Investment Data'!$V:$V, 'Fund Investment Data'!$C:$C = $C2093, 'Fund Investment Data'!$A:$A = $A2093 - 2, 'Fund Investment Data'!$B:$B &gt;= 4)) * Parameters!$B$4,0) + IFERROR(SUM(FILTER('Fund Investment Data'!$V:$V, 'Fund "&amp;"Investment Data'!$C:$C = $C2093, 'Fund Investment Data'!$A:$A = $A2093 - 1, 'Fund Investment Data'!$B:$B &lt;= 3)) * Parameters!$B$4,0))),0)"),0.0)</f>
        <v>0</v>
      </c>
      <c r="AC2093" s="32">
        <f>IFERROR(__xludf.DUMMYFUNCTION("IFERROR(FILTER($AF:$AF,$C:$C = $C2093,$A:$A = $A2093 - 1,$B:$B = 12),0)"),0.0)</f>
        <v>0</v>
      </c>
      <c r="AD2093" s="32">
        <f t="shared" si="23"/>
        <v>0</v>
      </c>
      <c r="AE2093" s="32">
        <f t="shared" si="2"/>
        <v>0</v>
      </c>
      <c r="AF2093" s="32"/>
    </row>
    <row r="2094">
      <c r="A2094" s="86"/>
      <c r="B2094" s="87"/>
      <c r="C2094" s="88"/>
      <c r="D2094" s="104"/>
      <c r="E2094" s="104"/>
      <c r="F2094" s="104"/>
      <c r="G2094" s="104"/>
      <c r="H2094" s="104"/>
      <c r="I2094" s="104"/>
      <c r="J2094" s="104"/>
      <c r="K2094" s="32"/>
      <c r="L2094" s="32"/>
      <c r="M2094" s="32"/>
      <c r="N2094" s="32"/>
      <c r="O2094" s="106"/>
      <c r="P2094" s="91">
        <f>IFERROR(__xludf.DUMMYFUNCTION("IFERROR(sum(FILTER($D:$N,$C:$C = $C2094,$A:$A &lt; $A2094,$B:$B = 12)),0) + sum($D2094:$N2094)"),0.0)</f>
        <v>0</v>
      </c>
      <c r="Q2094" s="92">
        <f t="shared" si="1"/>
        <v>0</v>
      </c>
      <c r="R2094" s="91">
        <f t="array" ref="R2094">IFERROR(INDEX('Fund YTD Target Values'!$1:$1000, MATCH($C2094,'Fund YTD Target Values'!$A:$A,0), MATCH($A2094,'Fund YTD Target Values'!$1:$1,0)),0)</f>
        <v>0</v>
      </c>
      <c r="S2094" s="91">
        <f>IFERROR(__xludf.DUMMYFUNCTION("IFERROR(sum(FILTER('Fund Investment Data'!$V:$V, 'Fund Investment Data'!$C:$C = $C2094, 'Fund Investment Data'!$A:$A &lt; $A2094)),0) + IFERROR(sum(FILTER('Fund Investment Data'!$V:$V, 'Fund Investment Data'!$C:$C = $C2094, 'Fund Investment Data'!$A:$A = $A2"&amp;"094, 'Fund Investment Data'!$B:$B &lt;= $B2094)),0)"),0.0)</f>
        <v>0</v>
      </c>
      <c r="T2094" s="32"/>
      <c r="U2094" s="32"/>
      <c r="V2094" s="32">
        <f>IFERROR(__xludf.DUMMYFUNCTION("$D2094 - IFERROR(FILTER($D:$D,$C:$C = $C2094, $A:$A = $A2094, $B:$B = $B2094 - 1),0)"),0.0)</f>
        <v>0</v>
      </c>
      <c r="W2094" s="93">
        <f>IFERROR(__xludf.DUMMYFUNCTION("$E2094 - IFERROR(FILTER($E:$E,$C:$C = $C2094, $A:$A = $A2094, $B:$B = $B2094 - 1),0)"),0.0)</f>
        <v>0</v>
      </c>
      <c r="X2094" s="91">
        <f>IFERROR(__xludf.DUMMYFUNCTION("iFERROR((FILTER('Fund Investment Data'!$Z:$Z, 'Fund Investment Data'!$C:$C = $C2094, 'Fund Investment Data'!$A:$A = $A2094 - 1, 'Fund Investment Data'!$B:$B = 12) + FILTER('Fund Investment Data'!$AB:$AB, 'Fund Investment Data'!$C:$C = $C2094, 'Fund Invest"&amp;"ment Data'!$A:$A = $A2094 - 1, 'Fund Investment Data'!$B:$B = 12)) * (1 + AVERAGE(FILTER('Inflation Data'!$C:$C,'Inflation Data'!$A:$A = ($A2094 - 2)))) * Parameters!$A$4,0)"),0.0)</f>
        <v>0</v>
      </c>
      <c r="Y2094" s="91">
        <f>IFERROR(__xludf.DUMMYFUNCTION("IFERROR((IFERROR(FILTER('Fund Investment Data'!$P:$P,'Fund Investment Data'!$C:$C = $C2094,'Fund Investment Data'!$A:$A = ($A2094 - 2), 'Fund Investment Data'!$B:$B = 12),0) - SUM(FILTER('Fund Investment Data'!$V:$V, 'Fund Investment Data'!$C:$C = $C2094,"&amp;" 'Fund Investment Data'!$A:$A = ($A2094 - 2), 'Fund Investment Data'!$B:$B &gt; 3)))  * Parameters!$B$4 * (1 - Parameters!$A$4),0)"),0.0)</f>
        <v>0</v>
      </c>
      <c r="Z2094" s="91">
        <f t="shared" si="24"/>
        <v>0</v>
      </c>
      <c r="AA2094" s="91">
        <f>IFERROR(__xludf.DUMMYFUNCTION("((IFERROR((SUM(FILTER('Fund Investment Data'!$V:$V, 'Fund Investment Data'!$C:$C = $C2094, 'Fund Investment Data'!$A:$A = $A2094 - 1, 'Fund Investment Data'!$B:$B &gt;= 4, 'Fund Investment Data'!$B:$B &lt;= ($B2094 + 5))) / 12) * ($B2094 - 3) * Parameters!$B$4,"&amp;" 0) + IF($B2094 &gt;= 9, IFERROR(SUM(FILTER('Fund Investment Data'!$V:$V, 'Fund Investment Data'!$C:$C = $C2094, 'Fund Investment Data'!$A:$A = $A2094, 'Fund Investment Data'!$B:$B &lt;= 3)) * Parameters!$B$4, 0),0)))"),0.0)</f>
        <v>0</v>
      </c>
      <c r="AB2094" s="32">
        <f>IFERROR(__xludf.DUMMYFUNCTION("IFERROR(((IFERROR(SUM(FILTER('Fund Investment Data'!$V:$V, 'Fund Investment Data'!$C:$C = $C2094, 'Fund Investment Data'!$A:$A = $A2094 - 2, 'Fund Investment Data'!$B:$B &gt;= 4)) * Parameters!$B$4,0) + IFERROR(SUM(FILTER('Fund Investment Data'!$V:$V, 'Fund "&amp;"Investment Data'!$C:$C = $C2094, 'Fund Investment Data'!$A:$A = $A2094 - 1, 'Fund Investment Data'!$B:$B &lt;= 3)) * Parameters!$B$4,0))),0)"),0.0)</f>
        <v>0</v>
      </c>
      <c r="AC2094" s="32">
        <f>IFERROR(__xludf.DUMMYFUNCTION("IFERROR(FILTER($AF:$AF,$C:$C = $C2094,$A:$A = $A2094 - 1,$B:$B = 12),0)"),0.0)</f>
        <v>0</v>
      </c>
      <c r="AD2094" s="32">
        <f t="shared" si="23"/>
        <v>0</v>
      </c>
      <c r="AE2094" s="32">
        <f t="shared" si="2"/>
        <v>0</v>
      </c>
      <c r="AF2094" s="32"/>
    </row>
    <row r="2095">
      <c r="A2095" s="86"/>
      <c r="B2095" s="87"/>
      <c r="C2095" s="88"/>
      <c r="D2095" s="104"/>
      <c r="E2095" s="104"/>
      <c r="F2095" s="104"/>
      <c r="G2095" s="104"/>
      <c r="H2095" s="104"/>
      <c r="I2095" s="104"/>
      <c r="J2095" s="104"/>
      <c r="K2095" s="32"/>
      <c r="L2095" s="32"/>
      <c r="M2095" s="32"/>
      <c r="N2095" s="32"/>
      <c r="O2095" s="106"/>
      <c r="P2095" s="91">
        <f>IFERROR(__xludf.DUMMYFUNCTION("IFERROR(sum(FILTER($D:$N,$C:$C = $C2095,$A:$A &lt; $A2095,$B:$B = 12)),0) + sum($D2095:$N2095)"),0.0)</f>
        <v>0</v>
      </c>
      <c r="Q2095" s="92">
        <f t="shared" si="1"/>
        <v>0</v>
      </c>
      <c r="R2095" s="91">
        <f t="array" ref="R2095">IFERROR(INDEX('Fund YTD Target Values'!$1:$1000, MATCH($C2095,'Fund YTD Target Values'!$A:$A,0), MATCH($A2095,'Fund YTD Target Values'!$1:$1,0)),0)</f>
        <v>0</v>
      </c>
      <c r="S2095" s="91">
        <f>IFERROR(__xludf.DUMMYFUNCTION("IFERROR(sum(FILTER('Fund Investment Data'!$V:$V, 'Fund Investment Data'!$C:$C = $C2095, 'Fund Investment Data'!$A:$A &lt; $A2095)),0) + IFERROR(sum(FILTER('Fund Investment Data'!$V:$V, 'Fund Investment Data'!$C:$C = $C2095, 'Fund Investment Data'!$A:$A = $A2"&amp;"095, 'Fund Investment Data'!$B:$B &lt;= $B2095)),0)"),0.0)</f>
        <v>0</v>
      </c>
      <c r="T2095" s="32"/>
      <c r="U2095" s="32"/>
      <c r="V2095" s="32">
        <f>IFERROR(__xludf.DUMMYFUNCTION("$D2095 - IFERROR(FILTER($D:$D,$C:$C = $C2095, $A:$A = $A2095, $B:$B = $B2095 - 1),0)"),0.0)</f>
        <v>0</v>
      </c>
      <c r="W2095" s="93">
        <f>IFERROR(__xludf.DUMMYFUNCTION("$E2095 - IFERROR(FILTER($E:$E,$C:$C = $C2095, $A:$A = $A2095, $B:$B = $B2095 - 1),0)"),0.0)</f>
        <v>0</v>
      </c>
      <c r="X2095" s="91">
        <f>IFERROR(__xludf.DUMMYFUNCTION("iFERROR((FILTER('Fund Investment Data'!$Z:$Z, 'Fund Investment Data'!$C:$C = $C2095, 'Fund Investment Data'!$A:$A = $A2095 - 1, 'Fund Investment Data'!$B:$B = 12) + FILTER('Fund Investment Data'!$AB:$AB, 'Fund Investment Data'!$C:$C = $C2095, 'Fund Invest"&amp;"ment Data'!$A:$A = $A2095 - 1, 'Fund Investment Data'!$B:$B = 12)) * (1 + AVERAGE(FILTER('Inflation Data'!$C:$C,'Inflation Data'!$A:$A = ($A2095 - 2)))) * Parameters!$A$4,0)"),0.0)</f>
        <v>0</v>
      </c>
      <c r="Y2095" s="91">
        <f>IFERROR(__xludf.DUMMYFUNCTION("IFERROR((IFERROR(FILTER('Fund Investment Data'!$P:$P,'Fund Investment Data'!$C:$C = $C2095,'Fund Investment Data'!$A:$A = ($A2095 - 2), 'Fund Investment Data'!$B:$B = 12),0) - SUM(FILTER('Fund Investment Data'!$V:$V, 'Fund Investment Data'!$C:$C = $C2095,"&amp;" 'Fund Investment Data'!$A:$A = ($A2095 - 2), 'Fund Investment Data'!$B:$B &gt; 3)))  * Parameters!$B$4 * (1 - Parameters!$A$4),0)"),0.0)</f>
        <v>0</v>
      </c>
      <c r="Z2095" s="91">
        <f t="shared" si="24"/>
        <v>0</v>
      </c>
      <c r="AA2095" s="91">
        <f>IFERROR(__xludf.DUMMYFUNCTION("((IFERROR((SUM(FILTER('Fund Investment Data'!$V:$V, 'Fund Investment Data'!$C:$C = $C2095, 'Fund Investment Data'!$A:$A = $A2095 - 1, 'Fund Investment Data'!$B:$B &gt;= 4, 'Fund Investment Data'!$B:$B &lt;= ($B2095 + 5))) / 12) * ($B2095 - 3) * Parameters!$B$4,"&amp;" 0) + IF($B2095 &gt;= 9, IFERROR(SUM(FILTER('Fund Investment Data'!$V:$V, 'Fund Investment Data'!$C:$C = $C2095, 'Fund Investment Data'!$A:$A = $A2095, 'Fund Investment Data'!$B:$B &lt;= 3)) * Parameters!$B$4, 0),0)))"),0.0)</f>
        <v>0</v>
      </c>
      <c r="AB2095" s="32">
        <f>IFERROR(__xludf.DUMMYFUNCTION("IFERROR(((IFERROR(SUM(FILTER('Fund Investment Data'!$V:$V, 'Fund Investment Data'!$C:$C = $C2095, 'Fund Investment Data'!$A:$A = $A2095 - 2, 'Fund Investment Data'!$B:$B &gt;= 4)) * Parameters!$B$4,0) + IFERROR(SUM(FILTER('Fund Investment Data'!$V:$V, 'Fund "&amp;"Investment Data'!$C:$C = $C2095, 'Fund Investment Data'!$A:$A = $A2095 - 1, 'Fund Investment Data'!$B:$B &lt;= 3)) * Parameters!$B$4,0))),0)"),0.0)</f>
        <v>0</v>
      </c>
      <c r="AC2095" s="32">
        <f>IFERROR(__xludf.DUMMYFUNCTION("IFERROR(FILTER($AF:$AF,$C:$C = $C2095,$A:$A = $A2095 - 1,$B:$B = 12),0)"),0.0)</f>
        <v>0</v>
      </c>
      <c r="AD2095" s="32">
        <f t="shared" si="23"/>
        <v>0</v>
      </c>
      <c r="AE2095" s="32">
        <f t="shared" si="2"/>
        <v>0</v>
      </c>
      <c r="AF2095" s="32"/>
    </row>
    <row r="2096">
      <c r="A2096" s="86"/>
      <c r="B2096" s="87"/>
      <c r="C2096" s="88"/>
      <c r="D2096" s="104"/>
      <c r="E2096" s="104"/>
      <c r="F2096" s="104"/>
      <c r="G2096" s="104"/>
      <c r="H2096" s="104"/>
      <c r="I2096" s="104"/>
      <c r="J2096" s="104"/>
      <c r="K2096" s="32"/>
      <c r="L2096" s="32"/>
      <c r="M2096" s="32"/>
      <c r="N2096" s="32"/>
      <c r="O2096" s="106"/>
      <c r="P2096" s="91">
        <f>IFERROR(__xludf.DUMMYFUNCTION("IFERROR(sum(FILTER($D:$N,$C:$C = $C2096,$A:$A &lt; $A2096,$B:$B = 12)),0) + sum($D2096:$N2096)"),0.0)</f>
        <v>0</v>
      </c>
      <c r="Q2096" s="92">
        <f t="shared" si="1"/>
        <v>0</v>
      </c>
      <c r="R2096" s="91">
        <f t="array" ref="R2096">IFERROR(INDEX('Fund YTD Target Values'!$1:$1000, MATCH($C2096,'Fund YTD Target Values'!$A:$A,0), MATCH($A2096,'Fund YTD Target Values'!$1:$1,0)),0)</f>
        <v>0</v>
      </c>
      <c r="S2096" s="91">
        <f>IFERROR(__xludf.DUMMYFUNCTION("IFERROR(sum(FILTER('Fund Investment Data'!$V:$V, 'Fund Investment Data'!$C:$C = $C2096, 'Fund Investment Data'!$A:$A &lt; $A2096)),0) + IFERROR(sum(FILTER('Fund Investment Data'!$V:$V, 'Fund Investment Data'!$C:$C = $C2096, 'Fund Investment Data'!$A:$A = $A2"&amp;"096, 'Fund Investment Data'!$B:$B &lt;= $B2096)),0)"),0.0)</f>
        <v>0</v>
      </c>
      <c r="T2096" s="32"/>
      <c r="U2096" s="32"/>
      <c r="V2096" s="32">
        <f>IFERROR(__xludf.DUMMYFUNCTION("$D2096 - IFERROR(FILTER($D:$D,$C:$C = $C2096, $A:$A = $A2096, $B:$B = $B2096 - 1),0)"),0.0)</f>
        <v>0</v>
      </c>
      <c r="W2096" s="93">
        <f>IFERROR(__xludf.DUMMYFUNCTION("$E2096 - IFERROR(FILTER($E:$E,$C:$C = $C2096, $A:$A = $A2096, $B:$B = $B2096 - 1),0)"),0.0)</f>
        <v>0</v>
      </c>
      <c r="X2096" s="91">
        <f>IFERROR(__xludf.DUMMYFUNCTION("iFERROR((FILTER('Fund Investment Data'!$Z:$Z, 'Fund Investment Data'!$C:$C = $C2096, 'Fund Investment Data'!$A:$A = $A2096 - 1, 'Fund Investment Data'!$B:$B = 12) + FILTER('Fund Investment Data'!$AB:$AB, 'Fund Investment Data'!$C:$C = $C2096, 'Fund Invest"&amp;"ment Data'!$A:$A = $A2096 - 1, 'Fund Investment Data'!$B:$B = 12)) * (1 + AVERAGE(FILTER('Inflation Data'!$C:$C,'Inflation Data'!$A:$A = ($A2096 - 2)))) * Parameters!$A$4,0)"),0.0)</f>
        <v>0</v>
      </c>
      <c r="Y2096" s="91">
        <f>IFERROR(__xludf.DUMMYFUNCTION("IFERROR((IFERROR(FILTER('Fund Investment Data'!$P:$P,'Fund Investment Data'!$C:$C = $C2096,'Fund Investment Data'!$A:$A = ($A2096 - 2), 'Fund Investment Data'!$B:$B = 12),0) - SUM(FILTER('Fund Investment Data'!$V:$V, 'Fund Investment Data'!$C:$C = $C2096,"&amp;" 'Fund Investment Data'!$A:$A = ($A2096 - 2), 'Fund Investment Data'!$B:$B &gt; 3)))  * Parameters!$B$4 * (1 - Parameters!$A$4),0)"),0.0)</f>
        <v>0</v>
      </c>
      <c r="Z2096" s="91">
        <f t="shared" si="24"/>
        <v>0</v>
      </c>
      <c r="AA2096" s="91">
        <f>IFERROR(__xludf.DUMMYFUNCTION("((IFERROR((SUM(FILTER('Fund Investment Data'!$V:$V, 'Fund Investment Data'!$C:$C = $C2096, 'Fund Investment Data'!$A:$A = $A2096 - 1, 'Fund Investment Data'!$B:$B &gt;= 4, 'Fund Investment Data'!$B:$B &lt;= ($B2096 + 5))) / 12) * ($B2096 - 3) * Parameters!$B$4,"&amp;" 0) + IF($B2096 &gt;= 9, IFERROR(SUM(FILTER('Fund Investment Data'!$V:$V, 'Fund Investment Data'!$C:$C = $C2096, 'Fund Investment Data'!$A:$A = $A2096, 'Fund Investment Data'!$B:$B &lt;= 3)) * Parameters!$B$4, 0),0)))"),0.0)</f>
        <v>0</v>
      </c>
      <c r="AB2096" s="32">
        <f>IFERROR(__xludf.DUMMYFUNCTION("IFERROR(((IFERROR(SUM(FILTER('Fund Investment Data'!$V:$V, 'Fund Investment Data'!$C:$C = $C2096, 'Fund Investment Data'!$A:$A = $A2096 - 2, 'Fund Investment Data'!$B:$B &gt;= 4)) * Parameters!$B$4,0) + IFERROR(SUM(FILTER('Fund Investment Data'!$V:$V, 'Fund "&amp;"Investment Data'!$C:$C = $C2096, 'Fund Investment Data'!$A:$A = $A2096 - 1, 'Fund Investment Data'!$B:$B &lt;= 3)) * Parameters!$B$4,0))),0)"),0.0)</f>
        <v>0</v>
      </c>
      <c r="AC2096" s="32">
        <f>IFERROR(__xludf.DUMMYFUNCTION("IFERROR(FILTER($AF:$AF,$C:$C = $C2096,$A:$A = $A2096 - 1,$B:$B = 12),0)"),0.0)</f>
        <v>0</v>
      </c>
      <c r="AD2096" s="32">
        <f t="shared" si="23"/>
        <v>0</v>
      </c>
      <c r="AE2096" s="32">
        <f t="shared" si="2"/>
        <v>0</v>
      </c>
      <c r="AF2096" s="32"/>
    </row>
    <row r="2097">
      <c r="A2097" s="86"/>
      <c r="B2097" s="87"/>
      <c r="C2097" s="88"/>
      <c r="D2097" s="104"/>
      <c r="E2097" s="104"/>
      <c r="F2097" s="104"/>
      <c r="G2097" s="104"/>
      <c r="H2097" s="104"/>
      <c r="I2097" s="104"/>
      <c r="J2097" s="104"/>
      <c r="K2097" s="32"/>
      <c r="L2097" s="32"/>
      <c r="M2097" s="32"/>
      <c r="N2097" s="32"/>
      <c r="O2097" s="106"/>
      <c r="P2097" s="91">
        <f>IFERROR(__xludf.DUMMYFUNCTION("IFERROR(sum(FILTER($D:$N,$C:$C = $C2097,$A:$A &lt; $A2097,$B:$B = 12)),0) + sum($D2097:$N2097)"),0.0)</f>
        <v>0</v>
      </c>
      <c r="Q2097" s="92">
        <f t="shared" si="1"/>
        <v>0</v>
      </c>
      <c r="R2097" s="91">
        <f t="array" ref="R2097">IFERROR(INDEX('Fund YTD Target Values'!$1:$1000, MATCH($C2097,'Fund YTD Target Values'!$A:$A,0), MATCH($A2097,'Fund YTD Target Values'!$1:$1,0)),0)</f>
        <v>0</v>
      </c>
      <c r="S2097" s="91">
        <f>IFERROR(__xludf.DUMMYFUNCTION("IFERROR(sum(FILTER('Fund Investment Data'!$V:$V, 'Fund Investment Data'!$C:$C = $C2097, 'Fund Investment Data'!$A:$A &lt; $A2097)),0) + IFERROR(sum(FILTER('Fund Investment Data'!$V:$V, 'Fund Investment Data'!$C:$C = $C2097, 'Fund Investment Data'!$A:$A = $A2"&amp;"097, 'Fund Investment Data'!$B:$B &lt;= $B2097)),0)"),0.0)</f>
        <v>0</v>
      </c>
      <c r="T2097" s="32"/>
      <c r="U2097" s="32"/>
      <c r="V2097" s="32">
        <f>IFERROR(__xludf.DUMMYFUNCTION("$D2097 - IFERROR(FILTER($D:$D,$C:$C = $C2097, $A:$A = $A2097, $B:$B = $B2097 - 1),0)"),0.0)</f>
        <v>0</v>
      </c>
      <c r="W2097" s="93">
        <f>IFERROR(__xludf.DUMMYFUNCTION("$E2097 - IFERROR(FILTER($E:$E,$C:$C = $C2097, $A:$A = $A2097, $B:$B = $B2097 - 1),0)"),0.0)</f>
        <v>0</v>
      </c>
      <c r="X2097" s="91">
        <f>IFERROR(__xludf.DUMMYFUNCTION("iFERROR((FILTER('Fund Investment Data'!$Z:$Z, 'Fund Investment Data'!$C:$C = $C2097, 'Fund Investment Data'!$A:$A = $A2097 - 1, 'Fund Investment Data'!$B:$B = 12) + FILTER('Fund Investment Data'!$AB:$AB, 'Fund Investment Data'!$C:$C = $C2097, 'Fund Invest"&amp;"ment Data'!$A:$A = $A2097 - 1, 'Fund Investment Data'!$B:$B = 12)) * (1 + AVERAGE(FILTER('Inflation Data'!$C:$C,'Inflation Data'!$A:$A = ($A2097 - 2)))) * Parameters!$A$4,0)"),0.0)</f>
        <v>0</v>
      </c>
      <c r="Y2097" s="91">
        <f>IFERROR(__xludf.DUMMYFUNCTION("IFERROR((IFERROR(FILTER('Fund Investment Data'!$P:$P,'Fund Investment Data'!$C:$C = $C2097,'Fund Investment Data'!$A:$A = ($A2097 - 2), 'Fund Investment Data'!$B:$B = 12),0) - SUM(FILTER('Fund Investment Data'!$V:$V, 'Fund Investment Data'!$C:$C = $C2097,"&amp;" 'Fund Investment Data'!$A:$A = ($A2097 - 2), 'Fund Investment Data'!$B:$B &gt; 3)))  * Parameters!$B$4 * (1 - Parameters!$A$4),0)"),0.0)</f>
        <v>0</v>
      </c>
      <c r="Z2097" s="91">
        <f t="shared" si="24"/>
        <v>0</v>
      </c>
      <c r="AA2097" s="91">
        <f>IFERROR(__xludf.DUMMYFUNCTION("((IFERROR((SUM(FILTER('Fund Investment Data'!$V:$V, 'Fund Investment Data'!$C:$C = $C2097, 'Fund Investment Data'!$A:$A = $A2097 - 1, 'Fund Investment Data'!$B:$B &gt;= 4, 'Fund Investment Data'!$B:$B &lt;= ($B2097 + 5))) / 12) * ($B2097 - 3) * Parameters!$B$4,"&amp;" 0) + IF($B2097 &gt;= 9, IFERROR(SUM(FILTER('Fund Investment Data'!$V:$V, 'Fund Investment Data'!$C:$C = $C2097, 'Fund Investment Data'!$A:$A = $A2097, 'Fund Investment Data'!$B:$B &lt;= 3)) * Parameters!$B$4, 0),0)))"),0.0)</f>
        <v>0</v>
      </c>
      <c r="AB2097" s="32">
        <f>IFERROR(__xludf.DUMMYFUNCTION("IFERROR(((IFERROR(SUM(FILTER('Fund Investment Data'!$V:$V, 'Fund Investment Data'!$C:$C = $C2097, 'Fund Investment Data'!$A:$A = $A2097 - 2, 'Fund Investment Data'!$B:$B &gt;= 4)) * Parameters!$B$4,0) + IFERROR(SUM(FILTER('Fund Investment Data'!$V:$V, 'Fund "&amp;"Investment Data'!$C:$C = $C2097, 'Fund Investment Data'!$A:$A = $A2097 - 1, 'Fund Investment Data'!$B:$B &lt;= 3)) * Parameters!$B$4,0))),0)"),0.0)</f>
        <v>0</v>
      </c>
      <c r="AC2097" s="32">
        <f>IFERROR(__xludf.DUMMYFUNCTION("IFERROR(FILTER($AF:$AF,$C:$C = $C2097,$A:$A = $A2097 - 1,$B:$B = 12),0)"),0.0)</f>
        <v>0</v>
      </c>
      <c r="AD2097" s="32">
        <f t="shared" si="23"/>
        <v>0</v>
      </c>
      <c r="AE2097" s="32">
        <f t="shared" si="2"/>
        <v>0</v>
      </c>
      <c r="AF2097" s="32"/>
    </row>
    <row r="2098">
      <c r="A2098" s="86"/>
      <c r="B2098" s="87"/>
      <c r="C2098" s="88"/>
      <c r="D2098" s="104"/>
      <c r="E2098" s="104"/>
      <c r="F2098" s="104"/>
      <c r="G2098" s="104"/>
      <c r="H2098" s="104"/>
      <c r="I2098" s="104"/>
      <c r="J2098" s="104"/>
      <c r="K2098" s="32"/>
      <c r="L2098" s="32"/>
      <c r="M2098" s="32"/>
      <c r="N2098" s="32"/>
      <c r="O2098" s="106"/>
      <c r="P2098" s="91">
        <f>IFERROR(__xludf.DUMMYFUNCTION("IFERROR(sum(FILTER($D:$N,$C:$C = $C2098,$A:$A &lt; $A2098,$B:$B = 12)),0) + sum($D2098:$N2098)"),0.0)</f>
        <v>0</v>
      </c>
      <c r="Q2098" s="92">
        <f t="shared" si="1"/>
        <v>0</v>
      </c>
      <c r="R2098" s="91">
        <f t="array" ref="R2098">IFERROR(INDEX('Fund YTD Target Values'!$1:$1000, MATCH($C2098,'Fund YTD Target Values'!$A:$A,0), MATCH($A2098,'Fund YTD Target Values'!$1:$1,0)),0)</f>
        <v>0</v>
      </c>
      <c r="S2098" s="91">
        <f>IFERROR(__xludf.DUMMYFUNCTION("IFERROR(sum(FILTER('Fund Investment Data'!$V:$V, 'Fund Investment Data'!$C:$C = $C2098, 'Fund Investment Data'!$A:$A &lt; $A2098)),0) + IFERROR(sum(FILTER('Fund Investment Data'!$V:$V, 'Fund Investment Data'!$C:$C = $C2098, 'Fund Investment Data'!$A:$A = $A2"&amp;"098, 'Fund Investment Data'!$B:$B &lt;= $B2098)),0)"),0.0)</f>
        <v>0</v>
      </c>
      <c r="T2098" s="32"/>
      <c r="U2098" s="32"/>
      <c r="V2098" s="32">
        <f>IFERROR(__xludf.DUMMYFUNCTION("$D2098 - IFERROR(FILTER($D:$D,$C:$C = $C2098, $A:$A = $A2098, $B:$B = $B2098 - 1),0)"),0.0)</f>
        <v>0</v>
      </c>
      <c r="W2098" s="93">
        <f>IFERROR(__xludf.DUMMYFUNCTION("$E2098 - IFERROR(FILTER($E:$E,$C:$C = $C2098, $A:$A = $A2098, $B:$B = $B2098 - 1),0)"),0.0)</f>
        <v>0</v>
      </c>
      <c r="X2098" s="91">
        <f>IFERROR(__xludf.DUMMYFUNCTION("iFERROR((FILTER('Fund Investment Data'!$Z:$Z, 'Fund Investment Data'!$C:$C = $C2098, 'Fund Investment Data'!$A:$A = $A2098 - 1, 'Fund Investment Data'!$B:$B = 12) + FILTER('Fund Investment Data'!$AB:$AB, 'Fund Investment Data'!$C:$C = $C2098, 'Fund Invest"&amp;"ment Data'!$A:$A = $A2098 - 1, 'Fund Investment Data'!$B:$B = 12)) * (1 + AVERAGE(FILTER('Inflation Data'!$C:$C,'Inflation Data'!$A:$A = ($A2098 - 2)))) * Parameters!$A$4,0)"),0.0)</f>
        <v>0</v>
      </c>
      <c r="Y2098" s="91">
        <f>IFERROR(__xludf.DUMMYFUNCTION("IFERROR((IFERROR(FILTER('Fund Investment Data'!$P:$P,'Fund Investment Data'!$C:$C = $C2098,'Fund Investment Data'!$A:$A = ($A2098 - 2), 'Fund Investment Data'!$B:$B = 12),0) - SUM(FILTER('Fund Investment Data'!$V:$V, 'Fund Investment Data'!$C:$C = $C2098,"&amp;" 'Fund Investment Data'!$A:$A = ($A2098 - 2), 'Fund Investment Data'!$B:$B &gt; 3)))  * Parameters!$B$4 * (1 - Parameters!$A$4),0)"),0.0)</f>
        <v>0</v>
      </c>
      <c r="Z2098" s="91">
        <f t="shared" si="24"/>
        <v>0</v>
      </c>
      <c r="AA2098" s="91">
        <f>IFERROR(__xludf.DUMMYFUNCTION("((IFERROR((SUM(FILTER('Fund Investment Data'!$V:$V, 'Fund Investment Data'!$C:$C = $C2098, 'Fund Investment Data'!$A:$A = $A2098 - 1, 'Fund Investment Data'!$B:$B &gt;= 4, 'Fund Investment Data'!$B:$B &lt;= ($B2098 + 5))) / 12) * ($B2098 - 3) * Parameters!$B$4,"&amp;" 0) + IF($B2098 &gt;= 9, IFERROR(SUM(FILTER('Fund Investment Data'!$V:$V, 'Fund Investment Data'!$C:$C = $C2098, 'Fund Investment Data'!$A:$A = $A2098, 'Fund Investment Data'!$B:$B &lt;= 3)) * Parameters!$B$4, 0),0)))"),0.0)</f>
        <v>0</v>
      </c>
      <c r="AB2098" s="32">
        <f>IFERROR(__xludf.DUMMYFUNCTION("IFERROR(((IFERROR(SUM(FILTER('Fund Investment Data'!$V:$V, 'Fund Investment Data'!$C:$C = $C2098, 'Fund Investment Data'!$A:$A = $A2098 - 2, 'Fund Investment Data'!$B:$B &gt;= 4)) * Parameters!$B$4,0) + IFERROR(SUM(FILTER('Fund Investment Data'!$V:$V, 'Fund "&amp;"Investment Data'!$C:$C = $C2098, 'Fund Investment Data'!$A:$A = $A2098 - 1, 'Fund Investment Data'!$B:$B &lt;= 3)) * Parameters!$B$4,0))),0)"),0.0)</f>
        <v>0</v>
      </c>
      <c r="AC2098" s="32">
        <f>IFERROR(__xludf.DUMMYFUNCTION("IFERROR(FILTER($AF:$AF,$C:$C = $C2098,$A:$A = $A2098 - 1,$B:$B = 12),0)"),0.0)</f>
        <v>0</v>
      </c>
      <c r="AD2098" s="32">
        <f t="shared" si="23"/>
        <v>0</v>
      </c>
      <c r="AE2098" s="32">
        <f t="shared" si="2"/>
        <v>0</v>
      </c>
      <c r="AF2098" s="32"/>
    </row>
    <row r="2099">
      <c r="A2099" s="86"/>
      <c r="B2099" s="87"/>
      <c r="C2099" s="88"/>
      <c r="D2099" s="104"/>
      <c r="E2099" s="104"/>
      <c r="F2099" s="104"/>
      <c r="G2099" s="104"/>
      <c r="H2099" s="104"/>
      <c r="I2099" s="104"/>
      <c r="J2099" s="104"/>
      <c r="K2099" s="32"/>
      <c r="L2099" s="32"/>
      <c r="M2099" s="32"/>
      <c r="N2099" s="32"/>
      <c r="O2099" s="106"/>
      <c r="P2099" s="91">
        <f>IFERROR(__xludf.DUMMYFUNCTION("IFERROR(sum(FILTER($D:$N,$C:$C = $C2099,$A:$A &lt; $A2099,$B:$B = 12)),0) + sum($D2099:$N2099)"),0.0)</f>
        <v>0</v>
      </c>
      <c r="Q2099" s="92">
        <f t="shared" si="1"/>
        <v>0</v>
      </c>
      <c r="R2099" s="91">
        <f t="array" ref="R2099">IFERROR(INDEX('Fund YTD Target Values'!$1:$1000, MATCH($C2099,'Fund YTD Target Values'!$A:$A,0), MATCH($A2099,'Fund YTD Target Values'!$1:$1,0)),0)</f>
        <v>0</v>
      </c>
      <c r="S2099" s="91">
        <f>IFERROR(__xludf.DUMMYFUNCTION("IFERROR(sum(FILTER('Fund Investment Data'!$V:$V, 'Fund Investment Data'!$C:$C = $C2099, 'Fund Investment Data'!$A:$A &lt; $A2099)),0) + IFERROR(sum(FILTER('Fund Investment Data'!$V:$V, 'Fund Investment Data'!$C:$C = $C2099, 'Fund Investment Data'!$A:$A = $A2"&amp;"099, 'Fund Investment Data'!$B:$B &lt;= $B2099)),0)"),0.0)</f>
        <v>0</v>
      </c>
      <c r="T2099" s="32"/>
      <c r="U2099" s="32"/>
      <c r="V2099" s="32">
        <f>IFERROR(__xludf.DUMMYFUNCTION("$D2099 - IFERROR(FILTER($D:$D,$C:$C = $C2099, $A:$A = $A2099, $B:$B = $B2099 - 1),0)"),0.0)</f>
        <v>0</v>
      </c>
      <c r="W2099" s="93">
        <f>IFERROR(__xludf.DUMMYFUNCTION("$E2099 - IFERROR(FILTER($E:$E,$C:$C = $C2099, $A:$A = $A2099, $B:$B = $B2099 - 1),0)"),0.0)</f>
        <v>0</v>
      </c>
      <c r="X2099" s="91">
        <f>IFERROR(__xludf.DUMMYFUNCTION("iFERROR((FILTER('Fund Investment Data'!$Z:$Z, 'Fund Investment Data'!$C:$C = $C2099, 'Fund Investment Data'!$A:$A = $A2099 - 1, 'Fund Investment Data'!$B:$B = 12) + FILTER('Fund Investment Data'!$AB:$AB, 'Fund Investment Data'!$C:$C = $C2099, 'Fund Invest"&amp;"ment Data'!$A:$A = $A2099 - 1, 'Fund Investment Data'!$B:$B = 12)) * (1 + AVERAGE(FILTER('Inflation Data'!$C:$C,'Inflation Data'!$A:$A = ($A2099 - 2)))) * Parameters!$A$4,0)"),0.0)</f>
        <v>0</v>
      </c>
      <c r="Y2099" s="91">
        <f>IFERROR(__xludf.DUMMYFUNCTION("IFERROR((IFERROR(FILTER('Fund Investment Data'!$P:$P,'Fund Investment Data'!$C:$C = $C2099,'Fund Investment Data'!$A:$A = ($A2099 - 2), 'Fund Investment Data'!$B:$B = 12),0) - SUM(FILTER('Fund Investment Data'!$V:$V, 'Fund Investment Data'!$C:$C = $C2099,"&amp;" 'Fund Investment Data'!$A:$A = ($A2099 - 2), 'Fund Investment Data'!$B:$B &gt; 3)))  * Parameters!$B$4 * (1 - Parameters!$A$4),0)"),0.0)</f>
        <v>0</v>
      </c>
      <c r="Z2099" s="91">
        <f t="shared" si="24"/>
        <v>0</v>
      </c>
      <c r="AA2099" s="91">
        <f>IFERROR(__xludf.DUMMYFUNCTION("((IFERROR((SUM(FILTER('Fund Investment Data'!$V:$V, 'Fund Investment Data'!$C:$C = $C2099, 'Fund Investment Data'!$A:$A = $A2099 - 1, 'Fund Investment Data'!$B:$B &gt;= 4, 'Fund Investment Data'!$B:$B &lt;= ($B2099 + 5))) / 12) * ($B2099 - 3) * Parameters!$B$4,"&amp;" 0) + IF($B2099 &gt;= 9, IFERROR(SUM(FILTER('Fund Investment Data'!$V:$V, 'Fund Investment Data'!$C:$C = $C2099, 'Fund Investment Data'!$A:$A = $A2099, 'Fund Investment Data'!$B:$B &lt;= 3)) * Parameters!$B$4, 0),0)))"),0.0)</f>
        <v>0</v>
      </c>
      <c r="AB2099" s="32">
        <f>IFERROR(__xludf.DUMMYFUNCTION("IFERROR(((IFERROR(SUM(FILTER('Fund Investment Data'!$V:$V, 'Fund Investment Data'!$C:$C = $C2099, 'Fund Investment Data'!$A:$A = $A2099 - 2, 'Fund Investment Data'!$B:$B &gt;= 4)) * Parameters!$B$4,0) + IFERROR(SUM(FILTER('Fund Investment Data'!$V:$V, 'Fund "&amp;"Investment Data'!$C:$C = $C2099, 'Fund Investment Data'!$A:$A = $A2099 - 1, 'Fund Investment Data'!$B:$B &lt;= 3)) * Parameters!$B$4,0))),0)"),0.0)</f>
        <v>0</v>
      </c>
      <c r="AC2099" s="32">
        <f>IFERROR(__xludf.DUMMYFUNCTION("IFERROR(FILTER($AF:$AF,$C:$C = $C2099,$A:$A = $A2099 - 1,$B:$B = 12),0)"),0.0)</f>
        <v>0</v>
      </c>
      <c r="AD2099" s="32">
        <f t="shared" si="23"/>
        <v>0</v>
      </c>
      <c r="AE2099" s="32">
        <f t="shared" si="2"/>
        <v>0</v>
      </c>
      <c r="AF2099" s="32"/>
    </row>
    <row r="2100">
      <c r="A2100" s="86"/>
      <c r="B2100" s="87"/>
      <c r="C2100" s="88"/>
      <c r="D2100" s="104"/>
      <c r="E2100" s="104"/>
      <c r="F2100" s="104"/>
      <c r="G2100" s="104"/>
      <c r="H2100" s="104"/>
      <c r="I2100" s="104"/>
      <c r="J2100" s="104"/>
      <c r="K2100" s="32"/>
      <c r="L2100" s="32"/>
      <c r="M2100" s="32"/>
      <c r="N2100" s="32"/>
      <c r="O2100" s="106"/>
      <c r="P2100" s="91">
        <f>IFERROR(__xludf.DUMMYFUNCTION("IFERROR(sum(FILTER($D:$N,$C:$C = $C2100,$A:$A &lt; $A2100,$B:$B = 12)),0) + sum($D2100:$N2100)"),0.0)</f>
        <v>0</v>
      </c>
      <c r="Q2100" s="92">
        <f t="shared" si="1"/>
        <v>0</v>
      </c>
      <c r="R2100" s="91">
        <f t="array" ref="R2100">IFERROR(INDEX('Fund YTD Target Values'!$1:$1000, MATCH($C2100,'Fund YTD Target Values'!$A:$A,0), MATCH($A2100,'Fund YTD Target Values'!$1:$1,0)),0)</f>
        <v>0</v>
      </c>
      <c r="S2100" s="91">
        <f>IFERROR(__xludf.DUMMYFUNCTION("IFERROR(sum(FILTER('Fund Investment Data'!$V:$V, 'Fund Investment Data'!$C:$C = $C2100, 'Fund Investment Data'!$A:$A &lt; $A2100)),0) + IFERROR(sum(FILTER('Fund Investment Data'!$V:$V, 'Fund Investment Data'!$C:$C = $C2100, 'Fund Investment Data'!$A:$A = $A2"&amp;"100, 'Fund Investment Data'!$B:$B &lt;= $B2100)),0)"),0.0)</f>
        <v>0</v>
      </c>
      <c r="T2100" s="32"/>
      <c r="U2100" s="32"/>
      <c r="V2100" s="32">
        <f>IFERROR(__xludf.DUMMYFUNCTION("$D2100 - IFERROR(FILTER($D:$D,$C:$C = $C2100, $A:$A = $A2100, $B:$B = $B2100 - 1),0)"),0.0)</f>
        <v>0</v>
      </c>
      <c r="W2100" s="93">
        <f>IFERROR(__xludf.DUMMYFUNCTION("$E2100 - IFERROR(FILTER($E:$E,$C:$C = $C2100, $A:$A = $A2100, $B:$B = $B2100 - 1),0)"),0.0)</f>
        <v>0</v>
      </c>
      <c r="X2100" s="91">
        <f>IFERROR(__xludf.DUMMYFUNCTION("iFERROR((FILTER('Fund Investment Data'!$Z:$Z, 'Fund Investment Data'!$C:$C = $C2100, 'Fund Investment Data'!$A:$A = $A2100 - 1, 'Fund Investment Data'!$B:$B = 12) + FILTER('Fund Investment Data'!$AB:$AB, 'Fund Investment Data'!$C:$C = $C2100, 'Fund Invest"&amp;"ment Data'!$A:$A = $A2100 - 1, 'Fund Investment Data'!$B:$B = 12)) * (1 + AVERAGE(FILTER('Inflation Data'!$C:$C,'Inflation Data'!$A:$A = ($A2100 - 2)))) * Parameters!$A$4,0)"),0.0)</f>
        <v>0</v>
      </c>
      <c r="Y2100" s="91">
        <f>IFERROR(__xludf.DUMMYFUNCTION("IFERROR((IFERROR(FILTER('Fund Investment Data'!$P:$P,'Fund Investment Data'!$C:$C = $C2100,'Fund Investment Data'!$A:$A = ($A2100 - 2), 'Fund Investment Data'!$B:$B = 12),0) - SUM(FILTER('Fund Investment Data'!$V:$V, 'Fund Investment Data'!$C:$C = $C2100,"&amp;" 'Fund Investment Data'!$A:$A = ($A2100 - 2), 'Fund Investment Data'!$B:$B &gt; 3)))  * Parameters!$B$4 * (1 - Parameters!$A$4),0)"),0.0)</f>
        <v>0</v>
      </c>
      <c r="Z2100" s="91">
        <f t="shared" si="24"/>
        <v>0</v>
      </c>
      <c r="AA2100" s="91">
        <f>IFERROR(__xludf.DUMMYFUNCTION("((IFERROR((SUM(FILTER('Fund Investment Data'!$V:$V, 'Fund Investment Data'!$C:$C = $C2100, 'Fund Investment Data'!$A:$A = $A2100 - 1, 'Fund Investment Data'!$B:$B &gt;= 4, 'Fund Investment Data'!$B:$B &lt;= ($B2100 + 5))) / 12) * ($B2100 - 3) * Parameters!$B$4,"&amp;" 0) + IF($B2100 &gt;= 9, IFERROR(SUM(FILTER('Fund Investment Data'!$V:$V, 'Fund Investment Data'!$C:$C = $C2100, 'Fund Investment Data'!$A:$A = $A2100, 'Fund Investment Data'!$B:$B &lt;= 3)) * Parameters!$B$4, 0),0)))"),0.0)</f>
        <v>0</v>
      </c>
      <c r="AB2100" s="32">
        <f>IFERROR(__xludf.DUMMYFUNCTION("IFERROR(((IFERROR(SUM(FILTER('Fund Investment Data'!$V:$V, 'Fund Investment Data'!$C:$C = $C2100, 'Fund Investment Data'!$A:$A = $A2100 - 2, 'Fund Investment Data'!$B:$B &gt;= 4)) * Parameters!$B$4,0) + IFERROR(SUM(FILTER('Fund Investment Data'!$V:$V, 'Fund "&amp;"Investment Data'!$C:$C = $C2100, 'Fund Investment Data'!$A:$A = $A2100 - 1, 'Fund Investment Data'!$B:$B &lt;= 3)) * Parameters!$B$4,0))),0)"),0.0)</f>
        <v>0</v>
      </c>
      <c r="AC2100" s="32">
        <f>IFERROR(__xludf.DUMMYFUNCTION("IFERROR(FILTER($AF:$AF,$C:$C = $C2100,$A:$A = $A2100 - 1,$B:$B = 12),0)"),0.0)</f>
        <v>0</v>
      </c>
      <c r="AD2100" s="32">
        <f t="shared" si="23"/>
        <v>0</v>
      </c>
      <c r="AE2100" s="32">
        <f t="shared" si="2"/>
        <v>0</v>
      </c>
      <c r="AF2100" s="32"/>
    </row>
    <row r="2101">
      <c r="A2101" s="86"/>
      <c r="B2101" s="87"/>
      <c r="C2101" s="88"/>
      <c r="D2101" s="104"/>
      <c r="E2101" s="104"/>
      <c r="F2101" s="104"/>
      <c r="G2101" s="104"/>
      <c r="H2101" s="104"/>
      <c r="I2101" s="104"/>
      <c r="J2101" s="104"/>
      <c r="K2101" s="32"/>
      <c r="L2101" s="32"/>
      <c r="M2101" s="32"/>
      <c r="N2101" s="32"/>
      <c r="O2101" s="106"/>
      <c r="P2101" s="91">
        <f>IFERROR(__xludf.DUMMYFUNCTION("IFERROR(sum(FILTER($D:$N,$C:$C = $C2101,$A:$A &lt; $A2101,$B:$B = 12)),0) + sum($D2101:$N2101)"),0.0)</f>
        <v>0</v>
      </c>
      <c r="Q2101" s="92">
        <f t="shared" si="1"/>
        <v>0</v>
      </c>
      <c r="R2101" s="91">
        <f t="array" ref="R2101">IFERROR(INDEX('Fund YTD Target Values'!$1:$1000, MATCH($C2101,'Fund YTD Target Values'!$A:$A,0), MATCH($A2101,'Fund YTD Target Values'!$1:$1,0)),0)</f>
        <v>0</v>
      </c>
      <c r="S2101" s="91">
        <f>IFERROR(__xludf.DUMMYFUNCTION("IFERROR(sum(FILTER('Fund Investment Data'!$V:$V, 'Fund Investment Data'!$C:$C = $C2101, 'Fund Investment Data'!$A:$A &lt; $A2101)),0) + IFERROR(sum(FILTER('Fund Investment Data'!$V:$V, 'Fund Investment Data'!$C:$C = $C2101, 'Fund Investment Data'!$A:$A = $A2"&amp;"101, 'Fund Investment Data'!$B:$B &lt;= $B2101)),0)"),0.0)</f>
        <v>0</v>
      </c>
      <c r="T2101" s="32"/>
      <c r="U2101" s="32"/>
      <c r="V2101" s="32">
        <f>IFERROR(__xludf.DUMMYFUNCTION("$D2101 - IFERROR(FILTER($D:$D,$C:$C = $C2101, $A:$A = $A2101, $B:$B = $B2101 - 1),0)"),0.0)</f>
        <v>0</v>
      </c>
      <c r="W2101" s="93">
        <f>IFERROR(__xludf.DUMMYFUNCTION("$E2101 - IFERROR(FILTER($E:$E,$C:$C = $C2101, $A:$A = $A2101, $B:$B = $B2101 - 1),0)"),0.0)</f>
        <v>0</v>
      </c>
      <c r="X2101" s="91">
        <f>IFERROR(__xludf.DUMMYFUNCTION("iFERROR((FILTER('Fund Investment Data'!$Z:$Z, 'Fund Investment Data'!$C:$C = $C2101, 'Fund Investment Data'!$A:$A = $A2101 - 1, 'Fund Investment Data'!$B:$B = 12) + FILTER('Fund Investment Data'!$AB:$AB, 'Fund Investment Data'!$C:$C = $C2101, 'Fund Invest"&amp;"ment Data'!$A:$A = $A2101 - 1, 'Fund Investment Data'!$B:$B = 12)) * (1 + AVERAGE(FILTER('Inflation Data'!$C:$C,'Inflation Data'!$A:$A = ($A2101 - 2)))) * Parameters!$A$4,0)"),0.0)</f>
        <v>0</v>
      </c>
      <c r="Y2101" s="91">
        <f>IFERROR(__xludf.DUMMYFUNCTION("IFERROR((IFERROR(FILTER('Fund Investment Data'!$P:$P,'Fund Investment Data'!$C:$C = $C2101,'Fund Investment Data'!$A:$A = ($A2101 - 2), 'Fund Investment Data'!$B:$B = 12),0) - SUM(FILTER('Fund Investment Data'!$V:$V, 'Fund Investment Data'!$C:$C = $C2101,"&amp;" 'Fund Investment Data'!$A:$A = ($A2101 - 2), 'Fund Investment Data'!$B:$B &gt; 3)))  * Parameters!$B$4 * (1 - Parameters!$A$4),0)"),0.0)</f>
        <v>0</v>
      </c>
      <c r="Z2101" s="91">
        <f t="shared" si="24"/>
        <v>0</v>
      </c>
      <c r="AA2101" s="91">
        <f>IFERROR(__xludf.DUMMYFUNCTION("((IFERROR((SUM(FILTER('Fund Investment Data'!$V:$V, 'Fund Investment Data'!$C:$C = $C2101, 'Fund Investment Data'!$A:$A = $A2101 - 1, 'Fund Investment Data'!$B:$B &gt;= 4, 'Fund Investment Data'!$B:$B &lt;= ($B2101 + 5))) / 12) * ($B2101 - 3) * Parameters!$B$4,"&amp;" 0) + IF($B2101 &gt;= 9, IFERROR(SUM(FILTER('Fund Investment Data'!$V:$V, 'Fund Investment Data'!$C:$C = $C2101, 'Fund Investment Data'!$A:$A = $A2101, 'Fund Investment Data'!$B:$B &lt;= 3)) * Parameters!$B$4, 0),0)))"),0.0)</f>
        <v>0</v>
      </c>
      <c r="AB2101" s="32">
        <f>IFERROR(__xludf.DUMMYFUNCTION("IFERROR(((IFERROR(SUM(FILTER('Fund Investment Data'!$V:$V, 'Fund Investment Data'!$C:$C = $C2101, 'Fund Investment Data'!$A:$A = $A2101 - 2, 'Fund Investment Data'!$B:$B &gt;= 4)) * Parameters!$B$4,0) + IFERROR(SUM(FILTER('Fund Investment Data'!$V:$V, 'Fund "&amp;"Investment Data'!$C:$C = $C2101, 'Fund Investment Data'!$A:$A = $A2101 - 1, 'Fund Investment Data'!$B:$B &lt;= 3)) * Parameters!$B$4,0))),0)"),0.0)</f>
        <v>0</v>
      </c>
      <c r="AC2101" s="32">
        <f>IFERROR(__xludf.DUMMYFUNCTION("IFERROR(FILTER($AF:$AF,$C:$C = $C2101,$A:$A = $A2101 - 1,$B:$B = 12),0)"),0.0)</f>
        <v>0</v>
      </c>
      <c r="AD2101" s="32">
        <f t="shared" si="23"/>
        <v>0</v>
      </c>
      <c r="AE2101" s="32">
        <f t="shared" si="2"/>
        <v>0</v>
      </c>
      <c r="AF2101" s="32"/>
    </row>
    <row r="2102">
      <c r="A2102" s="86"/>
      <c r="B2102" s="87"/>
      <c r="C2102" s="88"/>
      <c r="D2102" s="104"/>
      <c r="E2102" s="104"/>
      <c r="F2102" s="104"/>
      <c r="G2102" s="104"/>
      <c r="H2102" s="104"/>
      <c r="I2102" s="104"/>
      <c r="J2102" s="104"/>
      <c r="K2102" s="32"/>
      <c r="L2102" s="32"/>
      <c r="M2102" s="32"/>
      <c r="N2102" s="32"/>
      <c r="O2102" s="106"/>
      <c r="P2102" s="91">
        <f>IFERROR(__xludf.DUMMYFUNCTION("IFERROR(sum(FILTER($D:$N,$C:$C = $C2102,$A:$A &lt; $A2102,$B:$B = 12)),0) + sum($D2102:$N2102)"),0.0)</f>
        <v>0</v>
      </c>
      <c r="Q2102" s="92">
        <f t="shared" si="1"/>
        <v>0</v>
      </c>
      <c r="R2102" s="91">
        <f t="array" ref="R2102">IFERROR(INDEX('Fund YTD Target Values'!$1:$1000, MATCH($C2102,'Fund YTD Target Values'!$A:$A,0), MATCH($A2102,'Fund YTD Target Values'!$1:$1,0)),0)</f>
        <v>0</v>
      </c>
      <c r="S2102" s="91">
        <f>IFERROR(__xludf.DUMMYFUNCTION("IFERROR(sum(FILTER('Fund Investment Data'!$V:$V, 'Fund Investment Data'!$C:$C = $C2102, 'Fund Investment Data'!$A:$A &lt; $A2102)),0) + IFERROR(sum(FILTER('Fund Investment Data'!$V:$V, 'Fund Investment Data'!$C:$C = $C2102, 'Fund Investment Data'!$A:$A = $A2"&amp;"102, 'Fund Investment Data'!$B:$B &lt;= $B2102)),0)"),0.0)</f>
        <v>0</v>
      </c>
      <c r="T2102" s="32"/>
      <c r="U2102" s="32"/>
      <c r="V2102" s="32">
        <f>IFERROR(__xludf.DUMMYFUNCTION("$D2102 - IFERROR(FILTER($D:$D,$C:$C = $C2102, $A:$A = $A2102, $B:$B = $B2102 - 1),0)"),0.0)</f>
        <v>0</v>
      </c>
      <c r="W2102" s="93">
        <f>IFERROR(__xludf.DUMMYFUNCTION("$E2102 - IFERROR(FILTER($E:$E,$C:$C = $C2102, $A:$A = $A2102, $B:$B = $B2102 - 1),0)"),0.0)</f>
        <v>0</v>
      </c>
      <c r="X2102" s="91">
        <f>IFERROR(__xludf.DUMMYFUNCTION("iFERROR((FILTER('Fund Investment Data'!$Z:$Z, 'Fund Investment Data'!$C:$C = $C2102, 'Fund Investment Data'!$A:$A = $A2102 - 1, 'Fund Investment Data'!$B:$B = 12) + FILTER('Fund Investment Data'!$AB:$AB, 'Fund Investment Data'!$C:$C = $C2102, 'Fund Invest"&amp;"ment Data'!$A:$A = $A2102 - 1, 'Fund Investment Data'!$B:$B = 12)) * (1 + AVERAGE(FILTER('Inflation Data'!$C:$C,'Inflation Data'!$A:$A = ($A2102 - 2)))) * Parameters!$A$4,0)"),0.0)</f>
        <v>0</v>
      </c>
      <c r="Y2102" s="91">
        <f>IFERROR(__xludf.DUMMYFUNCTION("IFERROR((IFERROR(FILTER('Fund Investment Data'!$P:$P,'Fund Investment Data'!$C:$C = $C2102,'Fund Investment Data'!$A:$A = ($A2102 - 2), 'Fund Investment Data'!$B:$B = 12),0) - SUM(FILTER('Fund Investment Data'!$V:$V, 'Fund Investment Data'!$C:$C = $C2102,"&amp;" 'Fund Investment Data'!$A:$A = ($A2102 - 2), 'Fund Investment Data'!$B:$B &gt; 3)))  * Parameters!$B$4 * (1 - Parameters!$A$4),0)"),0.0)</f>
        <v>0</v>
      </c>
      <c r="Z2102" s="91">
        <f t="shared" si="24"/>
        <v>0</v>
      </c>
      <c r="AA2102" s="91">
        <f>IFERROR(__xludf.DUMMYFUNCTION("((IFERROR((SUM(FILTER('Fund Investment Data'!$V:$V, 'Fund Investment Data'!$C:$C = $C2102, 'Fund Investment Data'!$A:$A = $A2102 - 1, 'Fund Investment Data'!$B:$B &gt;= 4, 'Fund Investment Data'!$B:$B &lt;= ($B2102 + 5))) / 12) * ($B2102 - 3) * Parameters!$B$4,"&amp;" 0) + IF($B2102 &gt;= 9, IFERROR(SUM(FILTER('Fund Investment Data'!$V:$V, 'Fund Investment Data'!$C:$C = $C2102, 'Fund Investment Data'!$A:$A = $A2102, 'Fund Investment Data'!$B:$B &lt;= 3)) * Parameters!$B$4, 0),0)))"),0.0)</f>
        <v>0</v>
      </c>
      <c r="AB2102" s="32">
        <f>IFERROR(__xludf.DUMMYFUNCTION("IFERROR(((IFERROR(SUM(FILTER('Fund Investment Data'!$V:$V, 'Fund Investment Data'!$C:$C = $C2102, 'Fund Investment Data'!$A:$A = $A2102 - 2, 'Fund Investment Data'!$B:$B &gt;= 4)) * Parameters!$B$4,0) + IFERROR(SUM(FILTER('Fund Investment Data'!$V:$V, 'Fund "&amp;"Investment Data'!$C:$C = $C2102, 'Fund Investment Data'!$A:$A = $A2102 - 1, 'Fund Investment Data'!$B:$B &lt;= 3)) * Parameters!$B$4,0))),0)"),0.0)</f>
        <v>0</v>
      </c>
      <c r="AC2102" s="32">
        <f>IFERROR(__xludf.DUMMYFUNCTION("IFERROR(FILTER($AF:$AF,$C:$C = $C2102,$A:$A = $A2102 - 1,$B:$B = 12),0)"),0.0)</f>
        <v>0</v>
      </c>
      <c r="AD2102" s="32">
        <f t="shared" si="23"/>
        <v>0</v>
      </c>
      <c r="AE2102" s="32">
        <f t="shared" si="2"/>
        <v>0</v>
      </c>
      <c r="AF2102" s="32"/>
    </row>
    <row r="2103">
      <c r="A2103" s="86"/>
      <c r="B2103" s="87"/>
      <c r="C2103" s="88"/>
      <c r="D2103" s="104"/>
      <c r="E2103" s="104"/>
      <c r="F2103" s="104"/>
      <c r="G2103" s="104"/>
      <c r="H2103" s="104"/>
      <c r="I2103" s="104"/>
      <c r="J2103" s="104"/>
      <c r="K2103" s="32"/>
      <c r="L2103" s="32"/>
      <c r="M2103" s="32"/>
      <c r="N2103" s="32"/>
      <c r="O2103" s="106"/>
      <c r="P2103" s="91">
        <f>IFERROR(__xludf.DUMMYFUNCTION("IFERROR(sum(FILTER($D:$N,$C:$C = $C2103,$A:$A &lt; $A2103,$B:$B = 12)),0) + sum($D2103:$N2103)"),0.0)</f>
        <v>0</v>
      </c>
      <c r="Q2103" s="92">
        <f t="shared" si="1"/>
        <v>0</v>
      </c>
      <c r="R2103" s="91">
        <f t="array" ref="R2103">IFERROR(INDEX('Fund YTD Target Values'!$1:$1000, MATCH($C2103,'Fund YTD Target Values'!$A:$A,0), MATCH($A2103,'Fund YTD Target Values'!$1:$1,0)),0)</f>
        <v>0</v>
      </c>
      <c r="S2103" s="91">
        <f>IFERROR(__xludf.DUMMYFUNCTION("IFERROR(sum(FILTER('Fund Investment Data'!$V:$V, 'Fund Investment Data'!$C:$C = $C2103, 'Fund Investment Data'!$A:$A &lt; $A2103)),0) + IFERROR(sum(FILTER('Fund Investment Data'!$V:$V, 'Fund Investment Data'!$C:$C = $C2103, 'Fund Investment Data'!$A:$A = $A2"&amp;"103, 'Fund Investment Data'!$B:$B &lt;= $B2103)),0)"),0.0)</f>
        <v>0</v>
      </c>
      <c r="T2103" s="32"/>
      <c r="U2103" s="32"/>
      <c r="V2103" s="32">
        <f>IFERROR(__xludf.DUMMYFUNCTION("$D2103 - IFERROR(FILTER($D:$D,$C:$C = $C2103, $A:$A = $A2103, $B:$B = $B2103 - 1),0)"),0.0)</f>
        <v>0</v>
      </c>
      <c r="W2103" s="93">
        <f>IFERROR(__xludf.DUMMYFUNCTION("$E2103 - IFERROR(FILTER($E:$E,$C:$C = $C2103, $A:$A = $A2103, $B:$B = $B2103 - 1),0)"),0.0)</f>
        <v>0</v>
      </c>
      <c r="X2103" s="91">
        <f>IFERROR(__xludf.DUMMYFUNCTION("iFERROR((FILTER('Fund Investment Data'!$Z:$Z, 'Fund Investment Data'!$C:$C = $C2103, 'Fund Investment Data'!$A:$A = $A2103 - 1, 'Fund Investment Data'!$B:$B = 12) + FILTER('Fund Investment Data'!$AB:$AB, 'Fund Investment Data'!$C:$C = $C2103, 'Fund Invest"&amp;"ment Data'!$A:$A = $A2103 - 1, 'Fund Investment Data'!$B:$B = 12)) * (1 + AVERAGE(FILTER('Inflation Data'!$C:$C,'Inflation Data'!$A:$A = ($A2103 - 2)))) * Parameters!$A$4,0)"),0.0)</f>
        <v>0</v>
      </c>
      <c r="Y2103" s="91">
        <f>IFERROR(__xludf.DUMMYFUNCTION("IFERROR((IFERROR(FILTER('Fund Investment Data'!$P:$P,'Fund Investment Data'!$C:$C = $C2103,'Fund Investment Data'!$A:$A = ($A2103 - 2), 'Fund Investment Data'!$B:$B = 12),0) - SUM(FILTER('Fund Investment Data'!$V:$V, 'Fund Investment Data'!$C:$C = $C2103,"&amp;" 'Fund Investment Data'!$A:$A = ($A2103 - 2), 'Fund Investment Data'!$B:$B &gt; 3)))  * Parameters!$B$4 * (1 - Parameters!$A$4),0)"),0.0)</f>
        <v>0</v>
      </c>
      <c r="Z2103" s="91">
        <f t="shared" si="24"/>
        <v>0</v>
      </c>
      <c r="AA2103" s="91">
        <f>IFERROR(__xludf.DUMMYFUNCTION("((IFERROR((SUM(FILTER('Fund Investment Data'!$V:$V, 'Fund Investment Data'!$C:$C = $C2103, 'Fund Investment Data'!$A:$A = $A2103 - 1, 'Fund Investment Data'!$B:$B &gt;= 4, 'Fund Investment Data'!$B:$B &lt;= ($B2103 + 5))) / 12) * ($B2103 - 3) * Parameters!$B$4,"&amp;" 0) + IF($B2103 &gt;= 9, IFERROR(SUM(FILTER('Fund Investment Data'!$V:$V, 'Fund Investment Data'!$C:$C = $C2103, 'Fund Investment Data'!$A:$A = $A2103, 'Fund Investment Data'!$B:$B &lt;= 3)) * Parameters!$B$4, 0),0)))"),0.0)</f>
        <v>0</v>
      </c>
      <c r="AB2103" s="32">
        <f>IFERROR(__xludf.DUMMYFUNCTION("IFERROR(((IFERROR(SUM(FILTER('Fund Investment Data'!$V:$V, 'Fund Investment Data'!$C:$C = $C2103, 'Fund Investment Data'!$A:$A = $A2103 - 2, 'Fund Investment Data'!$B:$B &gt;= 4)) * Parameters!$B$4,0) + IFERROR(SUM(FILTER('Fund Investment Data'!$V:$V, 'Fund "&amp;"Investment Data'!$C:$C = $C2103, 'Fund Investment Data'!$A:$A = $A2103 - 1, 'Fund Investment Data'!$B:$B &lt;= 3)) * Parameters!$B$4,0))),0)"),0.0)</f>
        <v>0</v>
      </c>
      <c r="AC2103" s="32">
        <f>IFERROR(__xludf.DUMMYFUNCTION("IFERROR(FILTER($AF:$AF,$C:$C = $C2103,$A:$A = $A2103 - 1,$B:$B = 12),0)"),0.0)</f>
        <v>0</v>
      </c>
      <c r="AD2103" s="32">
        <f t="shared" si="23"/>
        <v>0</v>
      </c>
      <c r="AE2103" s="32">
        <f t="shared" si="2"/>
        <v>0</v>
      </c>
      <c r="AF2103" s="32"/>
    </row>
    <row r="2104">
      <c r="A2104" s="86"/>
      <c r="B2104" s="87"/>
      <c r="C2104" s="88"/>
      <c r="D2104" s="104"/>
      <c r="E2104" s="104"/>
      <c r="F2104" s="104"/>
      <c r="G2104" s="104"/>
      <c r="H2104" s="104"/>
      <c r="I2104" s="104"/>
      <c r="J2104" s="104"/>
      <c r="K2104" s="32"/>
      <c r="L2104" s="32"/>
      <c r="M2104" s="32"/>
      <c r="N2104" s="32"/>
      <c r="O2104" s="106"/>
      <c r="P2104" s="91">
        <f>IFERROR(__xludf.DUMMYFUNCTION("IFERROR(sum(FILTER($D:$N,$C:$C = $C2104,$A:$A &lt; $A2104,$B:$B = 12)),0) + sum($D2104:$N2104)"),0.0)</f>
        <v>0</v>
      </c>
      <c r="Q2104" s="92">
        <f t="shared" si="1"/>
        <v>0</v>
      </c>
      <c r="R2104" s="91">
        <f t="array" ref="R2104">IFERROR(INDEX('Fund YTD Target Values'!$1:$1000, MATCH($C2104,'Fund YTD Target Values'!$A:$A,0), MATCH($A2104,'Fund YTD Target Values'!$1:$1,0)),0)</f>
        <v>0</v>
      </c>
      <c r="S2104" s="91">
        <f>IFERROR(__xludf.DUMMYFUNCTION("IFERROR(sum(FILTER('Fund Investment Data'!$V:$V, 'Fund Investment Data'!$C:$C = $C2104, 'Fund Investment Data'!$A:$A &lt; $A2104)),0) + IFERROR(sum(FILTER('Fund Investment Data'!$V:$V, 'Fund Investment Data'!$C:$C = $C2104, 'Fund Investment Data'!$A:$A = $A2"&amp;"104, 'Fund Investment Data'!$B:$B &lt;= $B2104)),0)"),0.0)</f>
        <v>0</v>
      </c>
      <c r="T2104" s="32"/>
      <c r="U2104" s="32"/>
      <c r="V2104" s="32">
        <f>IFERROR(__xludf.DUMMYFUNCTION("$D2104 - IFERROR(FILTER($D:$D,$C:$C = $C2104, $A:$A = $A2104, $B:$B = $B2104 - 1),0)"),0.0)</f>
        <v>0</v>
      </c>
      <c r="W2104" s="93">
        <f>IFERROR(__xludf.DUMMYFUNCTION("$E2104 - IFERROR(FILTER($E:$E,$C:$C = $C2104, $A:$A = $A2104, $B:$B = $B2104 - 1),0)"),0.0)</f>
        <v>0</v>
      </c>
      <c r="X2104" s="91">
        <f>IFERROR(__xludf.DUMMYFUNCTION("iFERROR((FILTER('Fund Investment Data'!$Z:$Z, 'Fund Investment Data'!$C:$C = $C2104, 'Fund Investment Data'!$A:$A = $A2104 - 1, 'Fund Investment Data'!$B:$B = 12) + FILTER('Fund Investment Data'!$AB:$AB, 'Fund Investment Data'!$C:$C = $C2104, 'Fund Invest"&amp;"ment Data'!$A:$A = $A2104 - 1, 'Fund Investment Data'!$B:$B = 12)) * (1 + AVERAGE(FILTER('Inflation Data'!$C:$C,'Inflation Data'!$A:$A = ($A2104 - 2)))) * Parameters!$A$4,0)"),0.0)</f>
        <v>0</v>
      </c>
      <c r="Y2104" s="91">
        <f>IFERROR(__xludf.DUMMYFUNCTION("IFERROR((IFERROR(FILTER('Fund Investment Data'!$P:$P,'Fund Investment Data'!$C:$C = $C2104,'Fund Investment Data'!$A:$A = ($A2104 - 2), 'Fund Investment Data'!$B:$B = 12),0) - SUM(FILTER('Fund Investment Data'!$V:$V, 'Fund Investment Data'!$C:$C = $C2104,"&amp;" 'Fund Investment Data'!$A:$A = ($A2104 - 2), 'Fund Investment Data'!$B:$B &gt; 3)))  * Parameters!$B$4 * (1 - Parameters!$A$4),0)"),0.0)</f>
        <v>0</v>
      </c>
      <c r="Z2104" s="91">
        <f t="shared" si="24"/>
        <v>0</v>
      </c>
      <c r="AA2104" s="91">
        <f>IFERROR(__xludf.DUMMYFUNCTION("((IFERROR((SUM(FILTER('Fund Investment Data'!$V:$V, 'Fund Investment Data'!$C:$C = $C2104, 'Fund Investment Data'!$A:$A = $A2104 - 1, 'Fund Investment Data'!$B:$B &gt;= 4, 'Fund Investment Data'!$B:$B &lt;= ($B2104 + 5))) / 12) * ($B2104 - 3) * Parameters!$B$4,"&amp;" 0) + IF($B2104 &gt;= 9, IFERROR(SUM(FILTER('Fund Investment Data'!$V:$V, 'Fund Investment Data'!$C:$C = $C2104, 'Fund Investment Data'!$A:$A = $A2104, 'Fund Investment Data'!$B:$B &lt;= 3)) * Parameters!$B$4, 0),0)))"),0.0)</f>
        <v>0</v>
      </c>
      <c r="AB2104" s="32">
        <f>IFERROR(__xludf.DUMMYFUNCTION("IFERROR(((IFERROR(SUM(FILTER('Fund Investment Data'!$V:$V, 'Fund Investment Data'!$C:$C = $C2104, 'Fund Investment Data'!$A:$A = $A2104 - 2, 'Fund Investment Data'!$B:$B &gt;= 4)) * Parameters!$B$4,0) + IFERROR(SUM(FILTER('Fund Investment Data'!$V:$V, 'Fund "&amp;"Investment Data'!$C:$C = $C2104, 'Fund Investment Data'!$A:$A = $A2104 - 1, 'Fund Investment Data'!$B:$B &lt;= 3)) * Parameters!$B$4,0))),0)"),0.0)</f>
        <v>0</v>
      </c>
      <c r="AC2104" s="32">
        <f>IFERROR(__xludf.DUMMYFUNCTION("IFERROR(FILTER($AF:$AF,$C:$C = $C2104,$A:$A = $A2104 - 1,$B:$B = 12),0)"),0.0)</f>
        <v>0</v>
      </c>
      <c r="AD2104" s="32">
        <f t="shared" si="23"/>
        <v>0</v>
      </c>
      <c r="AE2104" s="32">
        <f t="shared" si="2"/>
        <v>0</v>
      </c>
      <c r="AF2104" s="32"/>
    </row>
    <row r="2105">
      <c r="A2105" s="86"/>
      <c r="B2105" s="87"/>
      <c r="C2105" s="88"/>
      <c r="D2105" s="104"/>
      <c r="E2105" s="104"/>
      <c r="F2105" s="104"/>
      <c r="G2105" s="104"/>
      <c r="H2105" s="104"/>
      <c r="I2105" s="104"/>
      <c r="J2105" s="104"/>
      <c r="K2105" s="32"/>
      <c r="L2105" s="32"/>
      <c r="M2105" s="32"/>
      <c r="N2105" s="32"/>
      <c r="O2105" s="106"/>
      <c r="P2105" s="91">
        <f>IFERROR(__xludf.DUMMYFUNCTION("IFERROR(sum(FILTER($D:$N,$C:$C = $C2105,$A:$A &lt; $A2105,$B:$B = 12)),0) + sum($D2105:$N2105)"),0.0)</f>
        <v>0</v>
      </c>
      <c r="Q2105" s="92">
        <f t="shared" si="1"/>
        <v>0</v>
      </c>
      <c r="R2105" s="91">
        <f t="array" ref="R2105">IFERROR(INDEX('Fund YTD Target Values'!$1:$1000, MATCH($C2105,'Fund YTD Target Values'!$A:$A,0), MATCH($A2105,'Fund YTD Target Values'!$1:$1,0)),0)</f>
        <v>0</v>
      </c>
      <c r="S2105" s="91">
        <f>IFERROR(__xludf.DUMMYFUNCTION("IFERROR(sum(FILTER('Fund Investment Data'!$V:$V, 'Fund Investment Data'!$C:$C = $C2105, 'Fund Investment Data'!$A:$A &lt; $A2105)),0) + IFERROR(sum(FILTER('Fund Investment Data'!$V:$V, 'Fund Investment Data'!$C:$C = $C2105, 'Fund Investment Data'!$A:$A = $A2"&amp;"105, 'Fund Investment Data'!$B:$B &lt;= $B2105)),0)"),0.0)</f>
        <v>0</v>
      </c>
      <c r="T2105" s="32"/>
      <c r="U2105" s="32"/>
      <c r="V2105" s="32">
        <f>IFERROR(__xludf.DUMMYFUNCTION("$D2105 - IFERROR(FILTER($D:$D,$C:$C = $C2105, $A:$A = $A2105, $B:$B = $B2105 - 1),0)"),0.0)</f>
        <v>0</v>
      </c>
      <c r="W2105" s="93">
        <f>IFERROR(__xludf.DUMMYFUNCTION("$E2105 - IFERROR(FILTER($E:$E,$C:$C = $C2105, $A:$A = $A2105, $B:$B = $B2105 - 1),0)"),0.0)</f>
        <v>0</v>
      </c>
      <c r="X2105" s="91">
        <f>IFERROR(__xludf.DUMMYFUNCTION("iFERROR((FILTER('Fund Investment Data'!$Z:$Z, 'Fund Investment Data'!$C:$C = $C2105, 'Fund Investment Data'!$A:$A = $A2105 - 1, 'Fund Investment Data'!$B:$B = 12) + FILTER('Fund Investment Data'!$AB:$AB, 'Fund Investment Data'!$C:$C = $C2105, 'Fund Invest"&amp;"ment Data'!$A:$A = $A2105 - 1, 'Fund Investment Data'!$B:$B = 12)) * (1 + AVERAGE(FILTER('Inflation Data'!$C:$C,'Inflation Data'!$A:$A = ($A2105 - 2)))) * Parameters!$A$4,0)"),0.0)</f>
        <v>0</v>
      </c>
      <c r="Y2105" s="91">
        <f>IFERROR(__xludf.DUMMYFUNCTION("IFERROR((IFERROR(FILTER('Fund Investment Data'!$P:$P,'Fund Investment Data'!$C:$C = $C2105,'Fund Investment Data'!$A:$A = ($A2105 - 2), 'Fund Investment Data'!$B:$B = 12),0) - SUM(FILTER('Fund Investment Data'!$V:$V, 'Fund Investment Data'!$C:$C = $C2105,"&amp;" 'Fund Investment Data'!$A:$A = ($A2105 - 2), 'Fund Investment Data'!$B:$B &gt; 3)))  * Parameters!$B$4 * (1 - Parameters!$A$4),0)"),0.0)</f>
        <v>0</v>
      </c>
      <c r="Z2105" s="91">
        <f t="shared" si="24"/>
        <v>0</v>
      </c>
      <c r="AA2105" s="91">
        <f>IFERROR(__xludf.DUMMYFUNCTION("((IFERROR((SUM(FILTER('Fund Investment Data'!$V:$V, 'Fund Investment Data'!$C:$C = $C2105, 'Fund Investment Data'!$A:$A = $A2105 - 1, 'Fund Investment Data'!$B:$B &gt;= 4, 'Fund Investment Data'!$B:$B &lt;= ($B2105 + 5))) / 12) * ($B2105 - 3) * Parameters!$B$4,"&amp;" 0) + IF($B2105 &gt;= 9, IFERROR(SUM(FILTER('Fund Investment Data'!$V:$V, 'Fund Investment Data'!$C:$C = $C2105, 'Fund Investment Data'!$A:$A = $A2105, 'Fund Investment Data'!$B:$B &lt;= 3)) * Parameters!$B$4, 0),0)))"),0.0)</f>
        <v>0</v>
      </c>
      <c r="AB2105" s="32">
        <f>IFERROR(__xludf.DUMMYFUNCTION("IFERROR(((IFERROR(SUM(FILTER('Fund Investment Data'!$V:$V, 'Fund Investment Data'!$C:$C = $C2105, 'Fund Investment Data'!$A:$A = $A2105 - 2, 'Fund Investment Data'!$B:$B &gt;= 4)) * Parameters!$B$4,0) + IFERROR(SUM(FILTER('Fund Investment Data'!$V:$V, 'Fund "&amp;"Investment Data'!$C:$C = $C2105, 'Fund Investment Data'!$A:$A = $A2105 - 1, 'Fund Investment Data'!$B:$B &lt;= 3)) * Parameters!$B$4,0))),0)"),0.0)</f>
        <v>0</v>
      </c>
      <c r="AC2105" s="32">
        <f>IFERROR(__xludf.DUMMYFUNCTION("IFERROR(FILTER($AF:$AF,$C:$C = $C2105,$A:$A = $A2105 - 1,$B:$B = 12),0)"),0.0)</f>
        <v>0</v>
      </c>
      <c r="AD2105" s="32">
        <f t="shared" si="23"/>
        <v>0</v>
      </c>
      <c r="AE2105" s="32">
        <f t="shared" si="2"/>
        <v>0</v>
      </c>
      <c r="AF2105" s="32"/>
    </row>
    <row r="2106">
      <c r="A2106" s="86"/>
      <c r="B2106" s="87"/>
      <c r="C2106" s="88"/>
      <c r="D2106" s="104"/>
      <c r="E2106" s="104"/>
      <c r="F2106" s="104"/>
      <c r="G2106" s="104"/>
      <c r="H2106" s="104"/>
      <c r="I2106" s="104"/>
      <c r="J2106" s="104"/>
      <c r="K2106" s="32"/>
      <c r="L2106" s="32"/>
      <c r="M2106" s="32"/>
      <c r="N2106" s="32"/>
      <c r="O2106" s="106"/>
      <c r="P2106" s="91">
        <f>IFERROR(__xludf.DUMMYFUNCTION("IFERROR(sum(FILTER($D:$N,$C:$C = $C2106,$A:$A &lt; $A2106,$B:$B = 12)),0) + sum($D2106:$N2106)"),0.0)</f>
        <v>0</v>
      </c>
      <c r="Q2106" s="92">
        <f t="shared" si="1"/>
        <v>0</v>
      </c>
      <c r="R2106" s="91">
        <f t="array" ref="R2106">IFERROR(INDEX('Fund YTD Target Values'!$1:$1000, MATCH($C2106,'Fund YTD Target Values'!$A:$A,0), MATCH($A2106,'Fund YTD Target Values'!$1:$1,0)),0)</f>
        <v>0</v>
      </c>
      <c r="S2106" s="91">
        <f>IFERROR(__xludf.DUMMYFUNCTION("IFERROR(sum(FILTER('Fund Investment Data'!$V:$V, 'Fund Investment Data'!$C:$C = $C2106, 'Fund Investment Data'!$A:$A &lt; $A2106)),0) + IFERROR(sum(FILTER('Fund Investment Data'!$V:$V, 'Fund Investment Data'!$C:$C = $C2106, 'Fund Investment Data'!$A:$A = $A2"&amp;"106, 'Fund Investment Data'!$B:$B &lt;= $B2106)),0)"),0.0)</f>
        <v>0</v>
      </c>
      <c r="T2106" s="32"/>
      <c r="U2106" s="32"/>
      <c r="V2106" s="32">
        <f>IFERROR(__xludf.DUMMYFUNCTION("$D2106 - IFERROR(FILTER($D:$D,$C:$C = $C2106, $A:$A = $A2106, $B:$B = $B2106 - 1),0)"),0.0)</f>
        <v>0</v>
      </c>
      <c r="W2106" s="93">
        <f>IFERROR(__xludf.DUMMYFUNCTION("$E2106 - IFERROR(FILTER($E:$E,$C:$C = $C2106, $A:$A = $A2106, $B:$B = $B2106 - 1),0)"),0.0)</f>
        <v>0</v>
      </c>
      <c r="X2106" s="91">
        <f>IFERROR(__xludf.DUMMYFUNCTION("iFERROR((FILTER('Fund Investment Data'!$Z:$Z, 'Fund Investment Data'!$C:$C = $C2106, 'Fund Investment Data'!$A:$A = $A2106 - 1, 'Fund Investment Data'!$B:$B = 12) + FILTER('Fund Investment Data'!$AB:$AB, 'Fund Investment Data'!$C:$C = $C2106, 'Fund Invest"&amp;"ment Data'!$A:$A = $A2106 - 1, 'Fund Investment Data'!$B:$B = 12)) * (1 + AVERAGE(FILTER('Inflation Data'!$C:$C,'Inflation Data'!$A:$A = ($A2106 - 2)))) * Parameters!$A$4,0)"),0.0)</f>
        <v>0</v>
      </c>
      <c r="Y2106" s="91">
        <f>IFERROR(__xludf.DUMMYFUNCTION("IFERROR((IFERROR(FILTER('Fund Investment Data'!$P:$P,'Fund Investment Data'!$C:$C = $C2106,'Fund Investment Data'!$A:$A = ($A2106 - 2), 'Fund Investment Data'!$B:$B = 12),0) - SUM(FILTER('Fund Investment Data'!$V:$V, 'Fund Investment Data'!$C:$C = $C2106,"&amp;" 'Fund Investment Data'!$A:$A = ($A2106 - 2), 'Fund Investment Data'!$B:$B &gt; 3)))  * Parameters!$B$4 * (1 - Parameters!$A$4),0)"),0.0)</f>
        <v>0</v>
      </c>
      <c r="Z2106" s="91">
        <f t="shared" si="24"/>
        <v>0</v>
      </c>
      <c r="AA2106" s="91">
        <f>IFERROR(__xludf.DUMMYFUNCTION("((IFERROR((SUM(FILTER('Fund Investment Data'!$V:$V, 'Fund Investment Data'!$C:$C = $C2106, 'Fund Investment Data'!$A:$A = $A2106 - 1, 'Fund Investment Data'!$B:$B &gt;= 4, 'Fund Investment Data'!$B:$B &lt;= ($B2106 + 5))) / 12) * ($B2106 - 3) * Parameters!$B$4,"&amp;" 0) + IF($B2106 &gt;= 9, IFERROR(SUM(FILTER('Fund Investment Data'!$V:$V, 'Fund Investment Data'!$C:$C = $C2106, 'Fund Investment Data'!$A:$A = $A2106, 'Fund Investment Data'!$B:$B &lt;= 3)) * Parameters!$B$4, 0),0)))"),0.0)</f>
        <v>0</v>
      </c>
      <c r="AB2106" s="32">
        <f>IFERROR(__xludf.DUMMYFUNCTION("IFERROR(((IFERROR(SUM(FILTER('Fund Investment Data'!$V:$V, 'Fund Investment Data'!$C:$C = $C2106, 'Fund Investment Data'!$A:$A = $A2106 - 2, 'Fund Investment Data'!$B:$B &gt;= 4)) * Parameters!$B$4,0) + IFERROR(SUM(FILTER('Fund Investment Data'!$V:$V, 'Fund "&amp;"Investment Data'!$C:$C = $C2106, 'Fund Investment Data'!$A:$A = $A2106 - 1, 'Fund Investment Data'!$B:$B &lt;= 3)) * Parameters!$B$4,0))),0)"),0.0)</f>
        <v>0</v>
      </c>
      <c r="AC2106" s="32">
        <f>IFERROR(__xludf.DUMMYFUNCTION("IFERROR(FILTER($AF:$AF,$C:$C = $C2106,$A:$A = $A2106 - 1,$B:$B = 12),0)"),0.0)</f>
        <v>0</v>
      </c>
      <c r="AD2106" s="32">
        <f t="shared" si="23"/>
        <v>0</v>
      </c>
      <c r="AE2106" s="32">
        <f t="shared" si="2"/>
        <v>0</v>
      </c>
      <c r="AF2106" s="32"/>
    </row>
    <row r="2107">
      <c r="A2107" s="86"/>
      <c r="B2107" s="87"/>
      <c r="C2107" s="88"/>
      <c r="D2107" s="104"/>
      <c r="E2107" s="104"/>
      <c r="F2107" s="104"/>
      <c r="G2107" s="104"/>
      <c r="H2107" s="104"/>
      <c r="I2107" s="104"/>
      <c r="J2107" s="104"/>
      <c r="K2107" s="32"/>
      <c r="L2107" s="32"/>
      <c r="M2107" s="32"/>
      <c r="N2107" s="32"/>
      <c r="O2107" s="106"/>
      <c r="P2107" s="91">
        <f>IFERROR(__xludf.DUMMYFUNCTION("IFERROR(sum(FILTER($D:$N,$C:$C = $C2107,$A:$A &lt; $A2107,$B:$B = 12)),0) + sum($D2107:$N2107)"),0.0)</f>
        <v>0</v>
      </c>
      <c r="Q2107" s="92">
        <f t="shared" si="1"/>
        <v>0</v>
      </c>
      <c r="R2107" s="91">
        <f t="array" ref="R2107">IFERROR(INDEX('Fund YTD Target Values'!$1:$1000, MATCH($C2107,'Fund YTD Target Values'!$A:$A,0), MATCH($A2107,'Fund YTD Target Values'!$1:$1,0)),0)</f>
        <v>0</v>
      </c>
      <c r="S2107" s="91">
        <f>IFERROR(__xludf.DUMMYFUNCTION("IFERROR(sum(FILTER('Fund Investment Data'!$V:$V, 'Fund Investment Data'!$C:$C = $C2107, 'Fund Investment Data'!$A:$A &lt; $A2107)),0) + IFERROR(sum(FILTER('Fund Investment Data'!$V:$V, 'Fund Investment Data'!$C:$C = $C2107, 'Fund Investment Data'!$A:$A = $A2"&amp;"107, 'Fund Investment Data'!$B:$B &lt;= $B2107)),0)"),0.0)</f>
        <v>0</v>
      </c>
      <c r="T2107" s="32"/>
      <c r="U2107" s="32"/>
      <c r="V2107" s="32">
        <f>IFERROR(__xludf.DUMMYFUNCTION("$D2107 - IFERROR(FILTER($D:$D,$C:$C = $C2107, $A:$A = $A2107, $B:$B = $B2107 - 1),0)"),0.0)</f>
        <v>0</v>
      </c>
      <c r="W2107" s="93">
        <f>IFERROR(__xludf.DUMMYFUNCTION("$E2107 - IFERROR(FILTER($E:$E,$C:$C = $C2107, $A:$A = $A2107, $B:$B = $B2107 - 1),0)"),0.0)</f>
        <v>0</v>
      </c>
      <c r="X2107" s="91">
        <f>IFERROR(__xludf.DUMMYFUNCTION("iFERROR((FILTER('Fund Investment Data'!$Z:$Z, 'Fund Investment Data'!$C:$C = $C2107, 'Fund Investment Data'!$A:$A = $A2107 - 1, 'Fund Investment Data'!$B:$B = 12) + FILTER('Fund Investment Data'!$AB:$AB, 'Fund Investment Data'!$C:$C = $C2107, 'Fund Invest"&amp;"ment Data'!$A:$A = $A2107 - 1, 'Fund Investment Data'!$B:$B = 12)) * (1 + AVERAGE(FILTER('Inflation Data'!$C:$C,'Inflation Data'!$A:$A = ($A2107 - 2)))) * Parameters!$A$4,0)"),0.0)</f>
        <v>0</v>
      </c>
      <c r="Y2107" s="91">
        <f>IFERROR(__xludf.DUMMYFUNCTION("IFERROR((IFERROR(FILTER('Fund Investment Data'!$P:$P,'Fund Investment Data'!$C:$C = $C2107,'Fund Investment Data'!$A:$A = ($A2107 - 2), 'Fund Investment Data'!$B:$B = 12),0) - SUM(FILTER('Fund Investment Data'!$V:$V, 'Fund Investment Data'!$C:$C = $C2107,"&amp;" 'Fund Investment Data'!$A:$A = ($A2107 - 2), 'Fund Investment Data'!$B:$B &gt; 3)))  * Parameters!$B$4 * (1 - Parameters!$A$4),0)"),0.0)</f>
        <v>0</v>
      </c>
      <c r="Z2107" s="91">
        <f t="shared" si="24"/>
        <v>0</v>
      </c>
      <c r="AA2107" s="91">
        <f>IFERROR(__xludf.DUMMYFUNCTION("((IFERROR((SUM(FILTER('Fund Investment Data'!$V:$V, 'Fund Investment Data'!$C:$C = $C2107, 'Fund Investment Data'!$A:$A = $A2107 - 1, 'Fund Investment Data'!$B:$B &gt;= 4, 'Fund Investment Data'!$B:$B &lt;= ($B2107 + 5))) / 12) * ($B2107 - 3) * Parameters!$B$4,"&amp;" 0) + IF($B2107 &gt;= 9, IFERROR(SUM(FILTER('Fund Investment Data'!$V:$V, 'Fund Investment Data'!$C:$C = $C2107, 'Fund Investment Data'!$A:$A = $A2107, 'Fund Investment Data'!$B:$B &lt;= 3)) * Parameters!$B$4, 0),0)))"),0.0)</f>
        <v>0</v>
      </c>
      <c r="AB2107" s="32">
        <f>IFERROR(__xludf.DUMMYFUNCTION("IFERROR(((IFERROR(SUM(FILTER('Fund Investment Data'!$V:$V, 'Fund Investment Data'!$C:$C = $C2107, 'Fund Investment Data'!$A:$A = $A2107 - 2, 'Fund Investment Data'!$B:$B &gt;= 4)) * Parameters!$B$4,0) + IFERROR(SUM(FILTER('Fund Investment Data'!$V:$V, 'Fund "&amp;"Investment Data'!$C:$C = $C2107, 'Fund Investment Data'!$A:$A = $A2107 - 1, 'Fund Investment Data'!$B:$B &lt;= 3)) * Parameters!$B$4,0))),0)"),0.0)</f>
        <v>0</v>
      </c>
      <c r="AC2107" s="32">
        <f>IFERROR(__xludf.DUMMYFUNCTION("IFERROR(FILTER($AF:$AF,$C:$C = $C2107,$A:$A = $A2107 - 1,$B:$B = 12),0)"),0.0)</f>
        <v>0</v>
      </c>
      <c r="AD2107" s="32">
        <f t="shared" si="23"/>
        <v>0</v>
      </c>
      <c r="AE2107" s="32">
        <f t="shared" si="2"/>
        <v>0</v>
      </c>
      <c r="AF2107" s="32"/>
    </row>
    <row r="2108">
      <c r="A2108" s="86"/>
      <c r="B2108" s="87"/>
      <c r="C2108" s="88"/>
      <c r="D2108" s="104"/>
      <c r="E2108" s="104"/>
      <c r="F2108" s="104"/>
      <c r="G2108" s="104"/>
      <c r="H2108" s="104"/>
      <c r="I2108" s="104"/>
      <c r="J2108" s="104"/>
      <c r="K2108" s="32"/>
      <c r="L2108" s="32"/>
      <c r="M2108" s="32"/>
      <c r="N2108" s="32"/>
      <c r="O2108" s="106"/>
      <c r="P2108" s="91">
        <f>IFERROR(__xludf.DUMMYFUNCTION("IFERROR(sum(FILTER($D:$N,$C:$C = $C2108,$A:$A &lt; $A2108,$B:$B = 12)),0) + sum($D2108:$N2108)"),0.0)</f>
        <v>0</v>
      </c>
      <c r="Q2108" s="92">
        <f t="shared" si="1"/>
        <v>0</v>
      </c>
      <c r="R2108" s="91">
        <f t="array" ref="R2108">IFERROR(INDEX('Fund YTD Target Values'!$1:$1000, MATCH($C2108,'Fund YTD Target Values'!$A:$A,0), MATCH($A2108,'Fund YTD Target Values'!$1:$1,0)),0)</f>
        <v>0</v>
      </c>
      <c r="S2108" s="91">
        <f>IFERROR(__xludf.DUMMYFUNCTION("IFERROR(sum(FILTER('Fund Investment Data'!$V:$V, 'Fund Investment Data'!$C:$C = $C2108, 'Fund Investment Data'!$A:$A &lt; $A2108)),0) + IFERROR(sum(FILTER('Fund Investment Data'!$V:$V, 'Fund Investment Data'!$C:$C = $C2108, 'Fund Investment Data'!$A:$A = $A2"&amp;"108, 'Fund Investment Data'!$B:$B &lt;= $B2108)),0)"),0.0)</f>
        <v>0</v>
      </c>
      <c r="T2108" s="32"/>
      <c r="U2108" s="32"/>
      <c r="V2108" s="32">
        <f>IFERROR(__xludf.DUMMYFUNCTION("$D2108 - IFERROR(FILTER($D:$D,$C:$C = $C2108, $A:$A = $A2108, $B:$B = $B2108 - 1),0)"),0.0)</f>
        <v>0</v>
      </c>
      <c r="W2108" s="93">
        <f>IFERROR(__xludf.DUMMYFUNCTION("$E2108 - IFERROR(FILTER($E:$E,$C:$C = $C2108, $A:$A = $A2108, $B:$B = $B2108 - 1),0)"),0.0)</f>
        <v>0</v>
      </c>
      <c r="X2108" s="91">
        <f>IFERROR(__xludf.DUMMYFUNCTION("iFERROR((FILTER('Fund Investment Data'!$Z:$Z, 'Fund Investment Data'!$C:$C = $C2108, 'Fund Investment Data'!$A:$A = $A2108 - 1, 'Fund Investment Data'!$B:$B = 12) + FILTER('Fund Investment Data'!$AB:$AB, 'Fund Investment Data'!$C:$C = $C2108, 'Fund Invest"&amp;"ment Data'!$A:$A = $A2108 - 1, 'Fund Investment Data'!$B:$B = 12)) * (1 + AVERAGE(FILTER('Inflation Data'!$C:$C,'Inflation Data'!$A:$A = ($A2108 - 2)))) * Parameters!$A$4,0)"),0.0)</f>
        <v>0</v>
      </c>
      <c r="Y2108" s="91">
        <f>IFERROR(__xludf.DUMMYFUNCTION("IFERROR((IFERROR(FILTER('Fund Investment Data'!$P:$P,'Fund Investment Data'!$C:$C = $C2108,'Fund Investment Data'!$A:$A = ($A2108 - 2), 'Fund Investment Data'!$B:$B = 12),0) - SUM(FILTER('Fund Investment Data'!$V:$V, 'Fund Investment Data'!$C:$C = $C2108,"&amp;" 'Fund Investment Data'!$A:$A = ($A2108 - 2), 'Fund Investment Data'!$B:$B &gt; 3)))  * Parameters!$B$4 * (1 - Parameters!$A$4),0)"),0.0)</f>
        <v>0</v>
      </c>
      <c r="Z2108" s="91">
        <f t="shared" si="24"/>
        <v>0</v>
      </c>
      <c r="AA2108" s="91">
        <f>IFERROR(__xludf.DUMMYFUNCTION("((IFERROR((SUM(FILTER('Fund Investment Data'!$V:$V, 'Fund Investment Data'!$C:$C = $C2108, 'Fund Investment Data'!$A:$A = $A2108 - 1, 'Fund Investment Data'!$B:$B &gt;= 4, 'Fund Investment Data'!$B:$B &lt;= ($B2108 + 5))) / 12) * ($B2108 - 3) * Parameters!$B$4,"&amp;" 0) + IF($B2108 &gt;= 9, IFERROR(SUM(FILTER('Fund Investment Data'!$V:$V, 'Fund Investment Data'!$C:$C = $C2108, 'Fund Investment Data'!$A:$A = $A2108, 'Fund Investment Data'!$B:$B &lt;= 3)) * Parameters!$B$4, 0),0)))"),0.0)</f>
        <v>0</v>
      </c>
      <c r="AB2108" s="32">
        <f>IFERROR(__xludf.DUMMYFUNCTION("IFERROR(((IFERROR(SUM(FILTER('Fund Investment Data'!$V:$V, 'Fund Investment Data'!$C:$C = $C2108, 'Fund Investment Data'!$A:$A = $A2108 - 2, 'Fund Investment Data'!$B:$B &gt;= 4)) * Parameters!$B$4,0) + IFERROR(SUM(FILTER('Fund Investment Data'!$V:$V, 'Fund "&amp;"Investment Data'!$C:$C = $C2108, 'Fund Investment Data'!$A:$A = $A2108 - 1, 'Fund Investment Data'!$B:$B &lt;= 3)) * Parameters!$B$4,0))),0)"),0.0)</f>
        <v>0</v>
      </c>
      <c r="AC2108" s="32">
        <f>IFERROR(__xludf.DUMMYFUNCTION("IFERROR(FILTER($AF:$AF,$C:$C = $C2108,$A:$A = $A2108 - 1,$B:$B = 12),0)"),0.0)</f>
        <v>0</v>
      </c>
      <c r="AD2108" s="32">
        <f t="shared" si="23"/>
        <v>0</v>
      </c>
      <c r="AE2108" s="32">
        <f t="shared" si="2"/>
        <v>0</v>
      </c>
      <c r="AF2108" s="32"/>
    </row>
    <row r="2109">
      <c r="A2109" s="86"/>
      <c r="B2109" s="87"/>
      <c r="C2109" s="88"/>
      <c r="D2109" s="104"/>
      <c r="E2109" s="104"/>
      <c r="F2109" s="104"/>
      <c r="G2109" s="104"/>
      <c r="H2109" s="104"/>
      <c r="I2109" s="104"/>
      <c r="J2109" s="104"/>
      <c r="K2109" s="32"/>
      <c r="L2109" s="32"/>
      <c r="M2109" s="32"/>
      <c r="N2109" s="32"/>
      <c r="O2109" s="106"/>
      <c r="P2109" s="91">
        <f>IFERROR(__xludf.DUMMYFUNCTION("IFERROR(sum(FILTER($D:$N,$C:$C = $C2109,$A:$A &lt; $A2109,$B:$B = 12)),0) + sum($D2109:$N2109)"),0.0)</f>
        <v>0</v>
      </c>
      <c r="Q2109" s="92">
        <f t="shared" si="1"/>
        <v>0</v>
      </c>
      <c r="R2109" s="91">
        <f t="array" ref="R2109">IFERROR(INDEX('Fund YTD Target Values'!$1:$1000, MATCH($C2109,'Fund YTD Target Values'!$A:$A,0), MATCH($A2109,'Fund YTD Target Values'!$1:$1,0)),0)</f>
        <v>0</v>
      </c>
      <c r="S2109" s="91">
        <f>IFERROR(__xludf.DUMMYFUNCTION("IFERROR(sum(FILTER('Fund Investment Data'!$V:$V, 'Fund Investment Data'!$C:$C = $C2109, 'Fund Investment Data'!$A:$A &lt; $A2109)),0) + IFERROR(sum(FILTER('Fund Investment Data'!$V:$V, 'Fund Investment Data'!$C:$C = $C2109, 'Fund Investment Data'!$A:$A = $A2"&amp;"109, 'Fund Investment Data'!$B:$B &lt;= $B2109)),0)"),0.0)</f>
        <v>0</v>
      </c>
      <c r="T2109" s="32"/>
      <c r="U2109" s="32"/>
      <c r="V2109" s="32">
        <f>IFERROR(__xludf.DUMMYFUNCTION("$D2109 - IFERROR(FILTER($D:$D,$C:$C = $C2109, $A:$A = $A2109, $B:$B = $B2109 - 1),0)"),0.0)</f>
        <v>0</v>
      </c>
      <c r="W2109" s="93">
        <f>IFERROR(__xludf.DUMMYFUNCTION("$E2109 - IFERROR(FILTER($E:$E,$C:$C = $C2109, $A:$A = $A2109, $B:$B = $B2109 - 1),0)"),0.0)</f>
        <v>0</v>
      </c>
      <c r="X2109" s="91">
        <f>IFERROR(__xludf.DUMMYFUNCTION("iFERROR((FILTER('Fund Investment Data'!$Z:$Z, 'Fund Investment Data'!$C:$C = $C2109, 'Fund Investment Data'!$A:$A = $A2109 - 1, 'Fund Investment Data'!$B:$B = 12) + FILTER('Fund Investment Data'!$AB:$AB, 'Fund Investment Data'!$C:$C = $C2109, 'Fund Invest"&amp;"ment Data'!$A:$A = $A2109 - 1, 'Fund Investment Data'!$B:$B = 12)) * (1 + AVERAGE(FILTER('Inflation Data'!$C:$C,'Inflation Data'!$A:$A = ($A2109 - 2)))) * Parameters!$A$4,0)"),0.0)</f>
        <v>0</v>
      </c>
      <c r="Y2109" s="91">
        <f>IFERROR(__xludf.DUMMYFUNCTION("IFERROR((IFERROR(FILTER('Fund Investment Data'!$P:$P,'Fund Investment Data'!$C:$C = $C2109,'Fund Investment Data'!$A:$A = ($A2109 - 2), 'Fund Investment Data'!$B:$B = 12),0) - SUM(FILTER('Fund Investment Data'!$V:$V, 'Fund Investment Data'!$C:$C = $C2109,"&amp;" 'Fund Investment Data'!$A:$A = ($A2109 - 2), 'Fund Investment Data'!$B:$B &gt; 3)))  * Parameters!$B$4 * (1 - Parameters!$A$4),0)"),0.0)</f>
        <v>0</v>
      </c>
      <c r="Z2109" s="91">
        <f t="shared" si="24"/>
        <v>0</v>
      </c>
      <c r="AA2109" s="91">
        <f>IFERROR(__xludf.DUMMYFUNCTION("((IFERROR((SUM(FILTER('Fund Investment Data'!$V:$V, 'Fund Investment Data'!$C:$C = $C2109, 'Fund Investment Data'!$A:$A = $A2109 - 1, 'Fund Investment Data'!$B:$B &gt;= 4, 'Fund Investment Data'!$B:$B &lt;= ($B2109 + 5))) / 12) * ($B2109 - 3) * Parameters!$B$4,"&amp;" 0) + IF($B2109 &gt;= 9, IFERROR(SUM(FILTER('Fund Investment Data'!$V:$V, 'Fund Investment Data'!$C:$C = $C2109, 'Fund Investment Data'!$A:$A = $A2109, 'Fund Investment Data'!$B:$B &lt;= 3)) * Parameters!$B$4, 0),0)))"),0.0)</f>
        <v>0</v>
      </c>
      <c r="AB2109" s="32">
        <f>IFERROR(__xludf.DUMMYFUNCTION("IFERROR(((IFERROR(SUM(FILTER('Fund Investment Data'!$V:$V, 'Fund Investment Data'!$C:$C = $C2109, 'Fund Investment Data'!$A:$A = $A2109 - 2, 'Fund Investment Data'!$B:$B &gt;= 4)) * Parameters!$B$4,0) + IFERROR(SUM(FILTER('Fund Investment Data'!$V:$V, 'Fund "&amp;"Investment Data'!$C:$C = $C2109, 'Fund Investment Data'!$A:$A = $A2109 - 1, 'Fund Investment Data'!$B:$B &lt;= 3)) * Parameters!$B$4,0))),0)"),0.0)</f>
        <v>0</v>
      </c>
      <c r="AC2109" s="32">
        <f>IFERROR(__xludf.DUMMYFUNCTION("IFERROR(FILTER($AF:$AF,$C:$C = $C2109,$A:$A = $A2109 - 1,$B:$B = 12),0)"),0.0)</f>
        <v>0</v>
      </c>
      <c r="AD2109" s="32">
        <f t="shared" si="23"/>
        <v>0</v>
      </c>
      <c r="AE2109" s="32">
        <f t="shared" si="2"/>
        <v>0</v>
      </c>
      <c r="AF2109" s="32"/>
    </row>
    <row r="2110">
      <c r="A2110" s="86"/>
      <c r="B2110" s="87"/>
      <c r="C2110" s="88"/>
      <c r="D2110" s="104"/>
      <c r="E2110" s="104"/>
      <c r="F2110" s="104"/>
      <c r="G2110" s="104"/>
      <c r="H2110" s="104"/>
      <c r="I2110" s="104"/>
      <c r="J2110" s="104"/>
      <c r="K2110" s="32"/>
      <c r="L2110" s="32"/>
      <c r="M2110" s="32"/>
      <c r="N2110" s="32"/>
      <c r="O2110" s="106"/>
      <c r="P2110" s="91">
        <f>IFERROR(__xludf.DUMMYFUNCTION("IFERROR(sum(FILTER($D:$N,$C:$C = $C2110,$A:$A &lt; $A2110,$B:$B = 12)),0) + sum($D2110:$N2110)"),0.0)</f>
        <v>0</v>
      </c>
      <c r="Q2110" s="92">
        <f t="shared" si="1"/>
        <v>0</v>
      </c>
      <c r="R2110" s="91">
        <f t="array" ref="R2110">IFERROR(INDEX('Fund YTD Target Values'!$1:$1000, MATCH($C2110,'Fund YTD Target Values'!$A:$A,0), MATCH($A2110,'Fund YTD Target Values'!$1:$1,0)),0)</f>
        <v>0</v>
      </c>
      <c r="S2110" s="91">
        <f>IFERROR(__xludf.DUMMYFUNCTION("IFERROR(sum(FILTER('Fund Investment Data'!$V:$V, 'Fund Investment Data'!$C:$C = $C2110, 'Fund Investment Data'!$A:$A &lt; $A2110)),0) + IFERROR(sum(FILTER('Fund Investment Data'!$V:$V, 'Fund Investment Data'!$C:$C = $C2110, 'Fund Investment Data'!$A:$A = $A2"&amp;"110, 'Fund Investment Data'!$B:$B &lt;= $B2110)),0)"),0.0)</f>
        <v>0</v>
      </c>
      <c r="T2110" s="32"/>
      <c r="U2110" s="32"/>
      <c r="V2110" s="32">
        <f>IFERROR(__xludf.DUMMYFUNCTION("$D2110 - IFERROR(FILTER($D:$D,$C:$C = $C2110, $A:$A = $A2110, $B:$B = $B2110 - 1),0)"),0.0)</f>
        <v>0</v>
      </c>
      <c r="W2110" s="93">
        <f>IFERROR(__xludf.DUMMYFUNCTION("$E2110 - IFERROR(FILTER($E:$E,$C:$C = $C2110, $A:$A = $A2110, $B:$B = $B2110 - 1),0)"),0.0)</f>
        <v>0</v>
      </c>
      <c r="X2110" s="91">
        <f>IFERROR(__xludf.DUMMYFUNCTION("iFERROR((FILTER('Fund Investment Data'!$Z:$Z, 'Fund Investment Data'!$C:$C = $C2110, 'Fund Investment Data'!$A:$A = $A2110 - 1, 'Fund Investment Data'!$B:$B = 12) + FILTER('Fund Investment Data'!$AB:$AB, 'Fund Investment Data'!$C:$C = $C2110, 'Fund Invest"&amp;"ment Data'!$A:$A = $A2110 - 1, 'Fund Investment Data'!$B:$B = 12)) * (1 + AVERAGE(FILTER('Inflation Data'!$C:$C,'Inflation Data'!$A:$A = ($A2110 - 2)))) * Parameters!$A$4,0)"),0.0)</f>
        <v>0</v>
      </c>
      <c r="Y2110" s="91">
        <f>IFERROR(__xludf.DUMMYFUNCTION("IFERROR((IFERROR(FILTER('Fund Investment Data'!$P:$P,'Fund Investment Data'!$C:$C = $C2110,'Fund Investment Data'!$A:$A = ($A2110 - 2), 'Fund Investment Data'!$B:$B = 12),0) - SUM(FILTER('Fund Investment Data'!$V:$V, 'Fund Investment Data'!$C:$C = $C2110,"&amp;" 'Fund Investment Data'!$A:$A = ($A2110 - 2), 'Fund Investment Data'!$B:$B &gt; 3)))  * Parameters!$B$4 * (1 - Parameters!$A$4),0)"),0.0)</f>
        <v>0</v>
      </c>
      <c r="Z2110" s="91">
        <f t="shared" si="24"/>
        <v>0</v>
      </c>
      <c r="AA2110" s="91">
        <f>IFERROR(__xludf.DUMMYFUNCTION("((IFERROR((SUM(FILTER('Fund Investment Data'!$V:$V, 'Fund Investment Data'!$C:$C = $C2110, 'Fund Investment Data'!$A:$A = $A2110 - 1, 'Fund Investment Data'!$B:$B &gt;= 4, 'Fund Investment Data'!$B:$B &lt;= ($B2110 + 5))) / 12) * ($B2110 - 3) * Parameters!$B$4,"&amp;" 0) + IF($B2110 &gt;= 9, IFERROR(SUM(FILTER('Fund Investment Data'!$V:$V, 'Fund Investment Data'!$C:$C = $C2110, 'Fund Investment Data'!$A:$A = $A2110, 'Fund Investment Data'!$B:$B &lt;= 3)) * Parameters!$B$4, 0),0)))"),0.0)</f>
        <v>0</v>
      </c>
      <c r="AB2110" s="32">
        <f>IFERROR(__xludf.DUMMYFUNCTION("IFERROR(((IFERROR(SUM(FILTER('Fund Investment Data'!$V:$V, 'Fund Investment Data'!$C:$C = $C2110, 'Fund Investment Data'!$A:$A = $A2110 - 2, 'Fund Investment Data'!$B:$B &gt;= 4)) * Parameters!$B$4,0) + IFERROR(SUM(FILTER('Fund Investment Data'!$V:$V, 'Fund "&amp;"Investment Data'!$C:$C = $C2110, 'Fund Investment Data'!$A:$A = $A2110 - 1, 'Fund Investment Data'!$B:$B &lt;= 3)) * Parameters!$B$4,0))),0)"),0.0)</f>
        <v>0</v>
      </c>
      <c r="AC2110" s="32">
        <f>IFERROR(__xludf.DUMMYFUNCTION("IFERROR(FILTER($AF:$AF,$C:$C = $C2110,$A:$A = $A2110 - 1,$B:$B = 12),0)"),0.0)</f>
        <v>0</v>
      </c>
      <c r="AD2110" s="32">
        <f t="shared" si="23"/>
        <v>0</v>
      </c>
      <c r="AE2110" s="32">
        <f t="shared" si="2"/>
        <v>0</v>
      </c>
      <c r="AF2110" s="32"/>
    </row>
    <row r="2111">
      <c r="A2111" s="86"/>
      <c r="B2111" s="87"/>
      <c r="C2111" s="88"/>
      <c r="D2111" s="104"/>
      <c r="E2111" s="104"/>
      <c r="F2111" s="104"/>
      <c r="G2111" s="104"/>
      <c r="H2111" s="104"/>
      <c r="I2111" s="104"/>
      <c r="J2111" s="104"/>
      <c r="K2111" s="32"/>
      <c r="L2111" s="32"/>
      <c r="M2111" s="32"/>
      <c r="N2111" s="32"/>
      <c r="O2111" s="106"/>
      <c r="P2111" s="91">
        <f>IFERROR(__xludf.DUMMYFUNCTION("IFERROR(sum(FILTER($D:$N,$C:$C = $C2111,$A:$A &lt; $A2111,$B:$B = 12)),0) + sum($D2111:$N2111)"),0.0)</f>
        <v>0</v>
      </c>
      <c r="Q2111" s="92">
        <f t="shared" si="1"/>
        <v>0</v>
      </c>
      <c r="R2111" s="91">
        <f t="array" ref="R2111">IFERROR(INDEX('Fund YTD Target Values'!$1:$1000, MATCH($C2111,'Fund YTD Target Values'!$A:$A,0), MATCH($A2111,'Fund YTD Target Values'!$1:$1,0)),0)</f>
        <v>0</v>
      </c>
      <c r="S2111" s="91">
        <f>IFERROR(__xludf.DUMMYFUNCTION("IFERROR(sum(FILTER('Fund Investment Data'!$V:$V, 'Fund Investment Data'!$C:$C = $C2111, 'Fund Investment Data'!$A:$A &lt; $A2111)),0) + IFERROR(sum(FILTER('Fund Investment Data'!$V:$V, 'Fund Investment Data'!$C:$C = $C2111, 'Fund Investment Data'!$A:$A = $A2"&amp;"111, 'Fund Investment Data'!$B:$B &lt;= $B2111)),0)"),0.0)</f>
        <v>0</v>
      </c>
      <c r="T2111" s="32"/>
      <c r="U2111" s="32"/>
      <c r="V2111" s="32">
        <f>IFERROR(__xludf.DUMMYFUNCTION("$D2111 - IFERROR(FILTER($D:$D,$C:$C = $C2111, $A:$A = $A2111, $B:$B = $B2111 - 1),0)"),0.0)</f>
        <v>0</v>
      </c>
      <c r="W2111" s="93">
        <f>IFERROR(__xludf.DUMMYFUNCTION("$E2111 - IFERROR(FILTER($E:$E,$C:$C = $C2111, $A:$A = $A2111, $B:$B = $B2111 - 1),0)"),0.0)</f>
        <v>0</v>
      </c>
      <c r="X2111" s="91">
        <f>IFERROR(__xludf.DUMMYFUNCTION("iFERROR((FILTER('Fund Investment Data'!$Z:$Z, 'Fund Investment Data'!$C:$C = $C2111, 'Fund Investment Data'!$A:$A = $A2111 - 1, 'Fund Investment Data'!$B:$B = 12) + FILTER('Fund Investment Data'!$AB:$AB, 'Fund Investment Data'!$C:$C = $C2111, 'Fund Invest"&amp;"ment Data'!$A:$A = $A2111 - 1, 'Fund Investment Data'!$B:$B = 12)) * (1 + AVERAGE(FILTER('Inflation Data'!$C:$C,'Inflation Data'!$A:$A = ($A2111 - 2)))) * Parameters!$A$4,0)"),0.0)</f>
        <v>0</v>
      </c>
      <c r="Y2111" s="91">
        <f>IFERROR(__xludf.DUMMYFUNCTION("IFERROR((IFERROR(FILTER('Fund Investment Data'!$P:$P,'Fund Investment Data'!$C:$C = $C2111,'Fund Investment Data'!$A:$A = ($A2111 - 2), 'Fund Investment Data'!$B:$B = 12),0) - SUM(FILTER('Fund Investment Data'!$V:$V, 'Fund Investment Data'!$C:$C = $C2111,"&amp;" 'Fund Investment Data'!$A:$A = ($A2111 - 2), 'Fund Investment Data'!$B:$B &gt; 3)))  * Parameters!$B$4 * (1 - Parameters!$A$4),0)"),0.0)</f>
        <v>0</v>
      </c>
      <c r="Z2111" s="91">
        <f t="shared" si="24"/>
        <v>0</v>
      </c>
      <c r="AA2111" s="91">
        <f>IFERROR(__xludf.DUMMYFUNCTION("((IFERROR((SUM(FILTER('Fund Investment Data'!$V:$V, 'Fund Investment Data'!$C:$C = $C2111, 'Fund Investment Data'!$A:$A = $A2111 - 1, 'Fund Investment Data'!$B:$B &gt;= 4, 'Fund Investment Data'!$B:$B &lt;= ($B2111 + 5))) / 12) * ($B2111 - 3) * Parameters!$B$4,"&amp;" 0) + IF($B2111 &gt;= 9, IFERROR(SUM(FILTER('Fund Investment Data'!$V:$V, 'Fund Investment Data'!$C:$C = $C2111, 'Fund Investment Data'!$A:$A = $A2111, 'Fund Investment Data'!$B:$B &lt;= 3)) * Parameters!$B$4, 0),0)))"),0.0)</f>
        <v>0</v>
      </c>
      <c r="AB2111" s="32">
        <f>IFERROR(__xludf.DUMMYFUNCTION("IFERROR(((IFERROR(SUM(FILTER('Fund Investment Data'!$V:$V, 'Fund Investment Data'!$C:$C = $C2111, 'Fund Investment Data'!$A:$A = $A2111 - 2, 'Fund Investment Data'!$B:$B &gt;= 4)) * Parameters!$B$4,0) + IFERROR(SUM(FILTER('Fund Investment Data'!$V:$V, 'Fund "&amp;"Investment Data'!$C:$C = $C2111, 'Fund Investment Data'!$A:$A = $A2111 - 1, 'Fund Investment Data'!$B:$B &lt;= 3)) * Parameters!$B$4,0))),0)"),0.0)</f>
        <v>0</v>
      </c>
      <c r="AC2111" s="32">
        <f>IFERROR(__xludf.DUMMYFUNCTION("IFERROR(FILTER($AF:$AF,$C:$C = $C2111,$A:$A = $A2111 - 1,$B:$B = 12),0)"),0.0)</f>
        <v>0</v>
      </c>
      <c r="AD2111" s="32">
        <f t="shared" si="23"/>
        <v>0</v>
      </c>
      <c r="AE2111" s="32">
        <f t="shared" si="2"/>
        <v>0</v>
      </c>
      <c r="AF2111" s="32"/>
    </row>
    <row r="2112">
      <c r="A2112" s="86"/>
      <c r="B2112" s="87"/>
      <c r="C2112" s="88"/>
      <c r="D2112" s="104"/>
      <c r="E2112" s="104"/>
      <c r="F2112" s="104"/>
      <c r="G2112" s="104"/>
      <c r="H2112" s="104"/>
      <c r="I2112" s="104"/>
      <c r="J2112" s="104"/>
      <c r="K2112" s="32"/>
      <c r="L2112" s="32"/>
      <c r="M2112" s="32"/>
      <c r="N2112" s="32"/>
      <c r="O2112" s="106"/>
      <c r="P2112" s="91">
        <f>IFERROR(__xludf.DUMMYFUNCTION("IFERROR(sum(FILTER($D:$N,$C:$C = $C2112,$A:$A &lt; $A2112,$B:$B = 12)),0) + sum($D2112:$N2112)"),0.0)</f>
        <v>0</v>
      </c>
      <c r="Q2112" s="92">
        <f t="shared" si="1"/>
        <v>0</v>
      </c>
      <c r="R2112" s="91">
        <f t="array" ref="R2112">IFERROR(INDEX('Fund YTD Target Values'!$1:$1000, MATCH($C2112,'Fund YTD Target Values'!$A:$A,0), MATCH($A2112,'Fund YTD Target Values'!$1:$1,0)),0)</f>
        <v>0</v>
      </c>
      <c r="S2112" s="91">
        <f>IFERROR(__xludf.DUMMYFUNCTION("IFERROR(sum(FILTER('Fund Investment Data'!$V:$V, 'Fund Investment Data'!$C:$C = $C2112, 'Fund Investment Data'!$A:$A &lt; $A2112)),0) + IFERROR(sum(FILTER('Fund Investment Data'!$V:$V, 'Fund Investment Data'!$C:$C = $C2112, 'Fund Investment Data'!$A:$A = $A2"&amp;"112, 'Fund Investment Data'!$B:$B &lt;= $B2112)),0)"),0.0)</f>
        <v>0</v>
      </c>
      <c r="T2112" s="32"/>
      <c r="U2112" s="32"/>
      <c r="V2112" s="32">
        <f>IFERROR(__xludf.DUMMYFUNCTION("$D2112 - IFERROR(FILTER($D:$D,$C:$C = $C2112, $A:$A = $A2112, $B:$B = $B2112 - 1),0)"),0.0)</f>
        <v>0</v>
      </c>
      <c r="W2112" s="93">
        <f>IFERROR(__xludf.DUMMYFUNCTION("$E2112 - IFERROR(FILTER($E:$E,$C:$C = $C2112, $A:$A = $A2112, $B:$B = $B2112 - 1),0)"),0.0)</f>
        <v>0</v>
      </c>
      <c r="X2112" s="91">
        <f>IFERROR(__xludf.DUMMYFUNCTION("iFERROR((FILTER('Fund Investment Data'!$Z:$Z, 'Fund Investment Data'!$C:$C = $C2112, 'Fund Investment Data'!$A:$A = $A2112 - 1, 'Fund Investment Data'!$B:$B = 12) + FILTER('Fund Investment Data'!$AB:$AB, 'Fund Investment Data'!$C:$C = $C2112, 'Fund Invest"&amp;"ment Data'!$A:$A = $A2112 - 1, 'Fund Investment Data'!$B:$B = 12)) * (1 + AVERAGE(FILTER('Inflation Data'!$C:$C,'Inflation Data'!$A:$A = ($A2112 - 2)))) * Parameters!$A$4,0)"),0.0)</f>
        <v>0</v>
      </c>
      <c r="Y2112" s="91">
        <f>IFERROR(__xludf.DUMMYFUNCTION("IFERROR((IFERROR(FILTER('Fund Investment Data'!$P:$P,'Fund Investment Data'!$C:$C = $C2112,'Fund Investment Data'!$A:$A = ($A2112 - 2), 'Fund Investment Data'!$B:$B = 12),0) - SUM(FILTER('Fund Investment Data'!$V:$V, 'Fund Investment Data'!$C:$C = $C2112,"&amp;" 'Fund Investment Data'!$A:$A = ($A2112 - 2), 'Fund Investment Data'!$B:$B &gt; 3)))  * Parameters!$B$4 * (1 - Parameters!$A$4),0)"),0.0)</f>
        <v>0</v>
      </c>
      <c r="Z2112" s="91">
        <f t="shared" si="24"/>
        <v>0</v>
      </c>
      <c r="AA2112" s="91">
        <f>IFERROR(__xludf.DUMMYFUNCTION("((IFERROR((SUM(FILTER('Fund Investment Data'!$V:$V, 'Fund Investment Data'!$C:$C = $C2112, 'Fund Investment Data'!$A:$A = $A2112 - 1, 'Fund Investment Data'!$B:$B &gt;= 4, 'Fund Investment Data'!$B:$B &lt;= ($B2112 + 5))) / 12) * ($B2112 - 3) * Parameters!$B$4,"&amp;" 0) + IF($B2112 &gt;= 9, IFERROR(SUM(FILTER('Fund Investment Data'!$V:$V, 'Fund Investment Data'!$C:$C = $C2112, 'Fund Investment Data'!$A:$A = $A2112, 'Fund Investment Data'!$B:$B &lt;= 3)) * Parameters!$B$4, 0),0)))"),0.0)</f>
        <v>0</v>
      </c>
      <c r="AB2112" s="32">
        <f>IFERROR(__xludf.DUMMYFUNCTION("IFERROR(((IFERROR(SUM(FILTER('Fund Investment Data'!$V:$V, 'Fund Investment Data'!$C:$C = $C2112, 'Fund Investment Data'!$A:$A = $A2112 - 2, 'Fund Investment Data'!$B:$B &gt;= 4)) * Parameters!$B$4,0) + IFERROR(SUM(FILTER('Fund Investment Data'!$V:$V, 'Fund "&amp;"Investment Data'!$C:$C = $C2112, 'Fund Investment Data'!$A:$A = $A2112 - 1, 'Fund Investment Data'!$B:$B &lt;= 3)) * Parameters!$B$4,0))),0)"),0.0)</f>
        <v>0</v>
      </c>
      <c r="AC2112" s="32">
        <f>IFERROR(__xludf.DUMMYFUNCTION("IFERROR(FILTER($AF:$AF,$C:$C = $C2112,$A:$A = $A2112 - 1,$B:$B = 12),0)"),0.0)</f>
        <v>0</v>
      </c>
      <c r="AD2112" s="32">
        <f t="shared" si="23"/>
        <v>0</v>
      </c>
      <c r="AE2112" s="32">
        <f t="shared" si="2"/>
        <v>0</v>
      </c>
      <c r="AF2112" s="32"/>
    </row>
    <row r="2113">
      <c r="A2113" s="86"/>
      <c r="B2113" s="87"/>
      <c r="C2113" s="88"/>
      <c r="D2113" s="104"/>
      <c r="E2113" s="104"/>
      <c r="F2113" s="104"/>
      <c r="G2113" s="104"/>
      <c r="H2113" s="104"/>
      <c r="I2113" s="104"/>
      <c r="J2113" s="104"/>
      <c r="K2113" s="32"/>
      <c r="L2113" s="32"/>
      <c r="M2113" s="32"/>
      <c r="N2113" s="32"/>
      <c r="O2113" s="106"/>
      <c r="P2113" s="91">
        <f>IFERROR(__xludf.DUMMYFUNCTION("IFERROR(sum(FILTER($D:$N,$C:$C = $C2113,$A:$A &lt; $A2113,$B:$B = 12)),0) + sum($D2113:$N2113)"),0.0)</f>
        <v>0</v>
      </c>
      <c r="Q2113" s="92">
        <f t="shared" si="1"/>
        <v>0</v>
      </c>
      <c r="R2113" s="91">
        <f t="array" ref="R2113">IFERROR(INDEX('Fund YTD Target Values'!$1:$1000, MATCH($C2113,'Fund YTD Target Values'!$A:$A,0), MATCH($A2113,'Fund YTD Target Values'!$1:$1,0)),0)</f>
        <v>0</v>
      </c>
      <c r="S2113" s="91">
        <f>IFERROR(__xludf.DUMMYFUNCTION("IFERROR(sum(FILTER('Fund Investment Data'!$V:$V, 'Fund Investment Data'!$C:$C = $C2113, 'Fund Investment Data'!$A:$A &lt; $A2113)),0) + IFERROR(sum(FILTER('Fund Investment Data'!$V:$V, 'Fund Investment Data'!$C:$C = $C2113, 'Fund Investment Data'!$A:$A = $A2"&amp;"113, 'Fund Investment Data'!$B:$B &lt;= $B2113)),0)"),0.0)</f>
        <v>0</v>
      </c>
      <c r="T2113" s="32"/>
      <c r="U2113" s="32"/>
      <c r="V2113" s="32">
        <f>IFERROR(__xludf.DUMMYFUNCTION("$D2113 - IFERROR(FILTER($D:$D,$C:$C = $C2113, $A:$A = $A2113, $B:$B = $B2113 - 1),0)"),0.0)</f>
        <v>0</v>
      </c>
      <c r="W2113" s="93">
        <f>IFERROR(__xludf.DUMMYFUNCTION("$E2113 - IFERROR(FILTER($E:$E,$C:$C = $C2113, $A:$A = $A2113, $B:$B = $B2113 - 1),0)"),0.0)</f>
        <v>0</v>
      </c>
      <c r="X2113" s="91">
        <f>IFERROR(__xludf.DUMMYFUNCTION("iFERROR((FILTER('Fund Investment Data'!$Z:$Z, 'Fund Investment Data'!$C:$C = $C2113, 'Fund Investment Data'!$A:$A = $A2113 - 1, 'Fund Investment Data'!$B:$B = 12) + FILTER('Fund Investment Data'!$AB:$AB, 'Fund Investment Data'!$C:$C = $C2113, 'Fund Invest"&amp;"ment Data'!$A:$A = $A2113 - 1, 'Fund Investment Data'!$B:$B = 12)) * (1 + AVERAGE(FILTER('Inflation Data'!$C:$C,'Inflation Data'!$A:$A = ($A2113 - 2)))) * Parameters!$A$4,0)"),0.0)</f>
        <v>0</v>
      </c>
      <c r="Y2113" s="91">
        <f>IFERROR(__xludf.DUMMYFUNCTION("IFERROR((IFERROR(FILTER('Fund Investment Data'!$P:$P,'Fund Investment Data'!$C:$C = $C2113,'Fund Investment Data'!$A:$A = ($A2113 - 2), 'Fund Investment Data'!$B:$B = 12),0) - SUM(FILTER('Fund Investment Data'!$V:$V, 'Fund Investment Data'!$C:$C = $C2113,"&amp;" 'Fund Investment Data'!$A:$A = ($A2113 - 2), 'Fund Investment Data'!$B:$B &gt; 3)))  * Parameters!$B$4 * (1 - Parameters!$A$4),0)"),0.0)</f>
        <v>0</v>
      </c>
      <c r="Z2113" s="91">
        <f t="shared" si="24"/>
        <v>0</v>
      </c>
      <c r="AA2113" s="91">
        <f>IFERROR(__xludf.DUMMYFUNCTION("((IFERROR((SUM(FILTER('Fund Investment Data'!$V:$V, 'Fund Investment Data'!$C:$C = $C2113, 'Fund Investment Data'!$A:$A = $A2113 - 1, 'Fund Investment Data'!$B:$B &gt;= 4, 'Fund Investment Data'!$B:$B &lt;= ($B2113 + 5))) / 12) * ($B2113 - 3) * Parameters!$B$4,"&amp;" 0) + IF($B2113 &gt;= 9, IFERROR(SUM(FILTER('Fund Investment Data'!$V:$V, 'Fund Investment Data'!$C:$C = $C2113, 'Fund Investment Data'!$A:$A = $A2113, 'Fund Investment Data'!$B:$B &lt;= 3)) * Parameters!$B$4, 0),0)))"),0.0)</f>
        <v>0</v>
      </c>
      <c r="AB2113" s="32">
        <f>IFERROR(__xludf.DUMMYFUNCTION("IFERROR(((IFERROR(SUM(FILTER('Fund Investment Data'!$V:$V, 'Fund Investment Data'!$C:$C = $C2113, 'Fund Investment Data'!$A:$A = $A2113 - 2, 'Fund Investment Data'!$B:$B &gt;= 4)) * Parameters!$B$4,0) + IFERROR(SUM(FILTER('Fund Investment Data'!$V:$V, 'Fund "&amp;"Investment Data'!$C:$C = $C2113, 'Fund Investment Data'!$A:$A = $A2113 - 1, 'Fund Investment Data'!$B:$B &lt;= 3)) * Parameters!$B$4,0))),0)"),0.0)</f>
        <v>0</v>
      </c>
      <c r="AC2113" s="32">
        <f>IFERROR(__xludf.DUMMYFUNCTION("IFERROR(FILTER($AF:$AF,$C:$C = $C2113,$A:$A = $A2113 - 1,$B:$B = 12),0)"),0.0)</f>
        <v>0</v>
      </c>
      <c r="AD2113" s="32">
        <f t="shared" si="23"/>
        <v>0</v>
      </c>
      <c r="AE2113" s="32">
        <f t="shared" si="2"/>
        <v>0</v>
      </c>
      <c r="AF2113" s="32"/>
    </row>
    <row r="2114">
      <c r="A2114" s="86"/>
      <c r="B2114" s="87"/>
      <c r="C2114" s="88"/>
      <c r="D2114" s="104"/>
      <c r="E2114" s="104"/>
      <c r="F2114" s="104"/>
      <c r="G2114" s="104"/>
      <c r="H2114" s="104"/>
      <c r="I2114" s="104"/>
      <c r="J2114" s="104"/>
      <c r="K2114" s="32"/>
      <c r="L2114" s="32"/>
      <c r="M2114" s="32"/>
      <c r="N2114" s="32"/>
      <c r="O2114" s="106"/>
      <c r="P2114" s="91">
        <f>IFERROR(__xludf.DUMMYFUNCTION("IFERROR(sum(FILTER($D:$N,$C:$C = $C2114,$A:$A &lt; $A2114,$B:$B = 12)),0) + sum($D2114:$N2114)"),0.0)</f>
        <v>0</v>
      </c>
      <c r="Q2114" s="92">
        <f t="shared" si="1"/>
        <v>0</v>
      </c>
      <c r="R2114" s="91">
        <f t="array" ref="R2114">IFERROR(INDEX('Fund YTD Target Values'!$1:$1000, MATCH($C2114,'Fund YTD Target Values'!$A:$A,0), MATCH($A2114,'Fund YTD Target Values'!$1:$1,0)),0)</f>
        <v>0</v>
      </c>
      <c r="S2114" s="91">
        <f>IFERROR(__xludf.DUMMYFUNCTION("IFERROR(sum(FILTER('Fund Investment Data'!$V:$V, 'Fund Investment Data'!$C:$C = $C2114, 'Fund Investment Data'!$A:$A &lt; $A2114)),0) + IFERROR(sum(FILTER('Fund Investment Data'!$V:$V, 'Fund Investment Data'!$C:$C = $C2114, 'Fund Investment Data'!$A:$A = $A2"&amp;"114, 'Fund Investment Data'!$B:$B &lt;= $B2114)),0)"),0.0)</f>
        <v>0</v>
      </c>
      <c r="T2114" s="32"/>
      <c r="U2114" s="32"/>
      <c r="V2114" s="32">
        <f>IFERROR(__xludf.DUMMYFUNCTION("$D2114 - IFERROR(FILTER($D:$D,$C:$C = $C2114, $A:$A = $A2114, $B:$B = $B2114 - 1),0)"),0.0)</f>
        <v>0</v>
      </c>
      <c r="W2114" s="93">
        <f>IFERROR(__xludf.DUMMYFUNCTION("$E2114 - IFERROR(FILTER($E:$E,$C:$C = $C2114, $A:$A = $A2114, $B:$B = $B2114 - 1),0)"),0.0)</f>
        <v>0</v>
      </c>
      <c r="X2114" s="91">
        <f>IFERROR(__xludf.DUMMYFUNCTION("iFERROR((FILTER('Fund Investment Data'!$Z:$Z, 'Fund Investment Data'!$C:$C = $C2114, 'Fund Investment Data'!$A:$A = $A2114 - 1, 'Fund Investment Data'!$B:$B = 12) + FILTER('Fund Investment Data'!$AB:$AB, 'Fund Investment Data'!$C:$C = $C2114, 'Fund Invest"&amp;"ment Data'!$A:$A = $A2114 - 1, 'Fund Investment Data'!$B:$B = 12)) * (1 + AVERAGE(FILTER('Inflation Data'!$C:$C,'Inflation Data'!$A:$A = ($A2114 - 2)))) * Parameters!$A$4,0)"),0.0)</f>
        <v>0</v>
      </c>
      <c r="Y2114" s="91">
        <f>IFERROR(__xludf.DUMMYFUNCTION("IFERROR((IFERROR(FILTER('Fund Investment Data'!$P:$P,'Fund Investment Data'!$C:$C = $C2114,'Fund Investment Data'!$A:$A = ($A2114 - 2), 'Fund Investment Data'!$B:$B = 12),0) - SUM(FILTER('Fund Investment Data'!$V:$V, 'Fund Investment Data'!$C:$C = $C2114,"&amp;" 'Fund Investment Data'!$A:$A = ($A2114 - 2), 'Fund Investment Data'!$B:$B &gt; 3)))  * Parameters!$B$4 * (1 - Parameters!$A$4),0)"),0.0)</f>
        <v>0</v>
      </c>
      <c r="Z2114" s="91">
        <f t="shared" si="24"/>
        <v>0</v>
      </c>
      <c r="AA2114" s="91">
        <f>IFERROR(__xludf.DUMMYFUNCTION("((IFERROR((SUM(FILTER('Fund Investment Data'!$V:$V, 'Fund Investment Data'!$C:$C = $C2114, 'Fund Investment Data'!$A:$A = $A2114 - 1, 'Fund Investment Data'!$B:$B &gt;= 4, 'Fund Investment Data'!$B:$B &lt;= ($B2114 + 5))) / 12) * ($B2114 - 3) * Parameters!$B$4,"&amp;" 0) + IF($B2114 &gt;= 9, IFERROR(SUM(FILTER('Fund Investment Data'!$V:$V, 'Fund Investment Data'!$C:$C = $C2114, 'Fund Investment Data'!$A:$A = $A2114, 'Fund Investment Data'!$B:$B &lt;= 3)) * Parameters!$B$4, 0),0)))"),0.0)</f>
        <v>0</v>
      </c>
      <c r="AB2114" s="32">
        <f>IFERROR(__xludf.DUMMYFUNCTION("IFERROR(((IFERROR(SUM(FILTER('Fund Investment Data'!$V:$V, 'Fund Investment Data'!$C:$C = $C2114, 'Fund Investment Data'!$A:$A = $A2114 - 2, 'Fund Investment Data'!$B:$B &gt;= 4)) * Parameters!$B$4,0) + IFERROR(SUM(FILTER('Fund Investment Data'!$V:$V, 'Fund "&amp;"Investment Data'!$C:$C = $C2114, 'Fund Investment Data'!$A:$A = $A2114 - 1, 'Fund Investment Data'!$B:$B &lt;= 3)) * Parameters!$B$4,0))),0)"),0.0)</f>
        <v>0</v>
      </c>
      <c r="AC2114" s="32">
        <f>IFERROR(__xludf.DUMMYFUNCTION("IFERROR(FILTER($AF:$AF,$C:$C = $C2114,$A:$A = $A2114 - 1,$B:$B = 12),0)"),0.0)</f>
        <v>0</v>
      </c>
      <c r="AD2114" s="32">
        <f t="shared" si="23"/>
        <v>0</v>
      </c>
      <c r="AE2114" s="32">
        <f t="shared" si="2"/>
        <v>0</v>
      </c>
      <c r="AF2114" s="32"/>
    </row>
    <row r="2115">
      <c r="A2115" s="86"/>
      <c r="B2115" s="87"/>
      <c r="C2115" s="88"/>
      <c r="D2115" s="104"/>
      <c r="E2115" s="104"/>
      <c r="F2115" s="104"/>
      <c r="G2115" s="104"/>
      <c r="H2115" s="104"/>
      <c r="I2115" s="104"/>
      <c r="J2115" s="104"/>
      <c r="K2115" s="32"/>
      <c r="L2115" s="32"/>
      <c r="M2115" s="32"/>
      <c r="N2115" s="32"/>
      <c r="O2115" s="106"/>
      <c r="P2115" s="91">
        <f>IFERROR(__xludf.DUMMYFUNCTION("IFERROR(sum(FILTER($D:$N,$C:$C = $C2115,$A:$A &lt; $A2115,$B:$B = 12)),0) + sum($D2115:$N2115)"),0.0)</f>
        <v>0</v>
      </c>
      <c r="Q2115" s="92">
        <f t="shared" si="1"/>
        <v>0</v>
      </c>
      <c r="R2115" s="91">
        <f t="array" ref="R2115">IFERROR(INDEX('Fund YTD Target Values'!$1:$1000, MATCH($C2115,'Fund YTD Target Values'!$A:$A,0), MATCH($A2115,'Fund YTD Target Values'!$1:$1,0)),0)</f>
        <v>0</v>
      </c>
      <c r="S2115" s="91">
        <f>IFERROR(__xludf.DUMMYFUNCTION("IFERROR(sum(FILTER('Fund Investment Data'!$V:$V, 'Fund Investment Data'!$C:$C = $C2115, 'Fund Investment Data'!$A:$A &lt; $A2115)),0) + IFERROR(sum(FILTER('Fund Investment Data'!$V:$V, 'Fund Investment Data'!$C:$C = $C2115, 'Fund Investment Data'!$A:$A = $A2"&amp;"115, 'Fund Investment Data'!$B:$B &lt;= $B2115)),0)"),0.0)</f>
        <v>0</v>
      </c>
      <c r="T2115" s="32"/>
      <c r="U2115" s="32"/>
      <c r="V2115" s="32">
        <f>IFERROR(__xludf.DUMMYFUNCTION("$D2115 - IFERROR(FILTER($D:$D,$C:$C = $C2115, $A:$A = $A2115, $B:$B = $B2115 - 1),0)"),0.0)</f>
        <v>0</v>
      </c>
      <c r="W2115" s="93">
        <f>IFERROR(__xludf.DUMMYFUNCTION("$E2115 - IFERROR(FILTER($E:$E,$C:$C = $C2115, $A:$A = $A2115, $B:$B = $B2115 - 1),0)"),0.0)</f>
        <v>0</v>
      </c>
      <c r="X2115" s="91">
        <f>IFERROR(__xludf.DUMMYFUNCTION("iFERROR((FILTER('Fund Investment Data'!$Z:$Z, 'Fund Investment Data'!$C:$C = $C2115, 'Fund Investment Data'!$A:$A = $A2115 - 1, 'Fund Investment Data'!$B:$B = 12) + FILTER('Fund Investment Data'!$AB:$AB, 'Fund Investment Data'!$C:$C = $C2115, 'Fund Invest"&amp;"ment Data'!$A:$A = $A2115 - 1, 'Fund Investment Data'!$B:$B = 12)) * (1 + AVERAGE(FILTER('Inflation Data'!$C:$C,'Inflation Data'!$A:$A = ($A2115 - 2)))) * Parameters!$A$4,0)"),0.0)</f>
        <v>0</v>
      </c>
      <c r="Y2115" s="91">
        <f>IFERROR(__xludf.DUMMYFUNCTION("IFERROR((IFERROR(FILTER('Fund Investment Data'!$P:$P,'Fund Investment Data'!$C:$C = $C2115,'Fund Investment Data'!$A:$A = ($A2115 - 2), 'Fund Investment Data'!$B:$B = 12),0) - SUM(FILTER('Fund Investment Data'!$V:$V, 'Fund Investment Data'!$C:$C = $C2115,"&amp;" 'Fund Investment Data'!$A:$A = ($A2115 - 2), 'Fund Investment Data'!$B:$B &gt; 3)))  * Parameters!$B$4 * (1 - Parameters!$A$4),0)"),0.0)</f>
        <v>0</v>
      </c>
      <c r="Z2115" s="91">
        <f t="shared" si="24"/>
        <v>0</v>
      </c>
      <c r="AA2115" s="91">
        <f>IFERROR(__xludf.DUMMYFUNCTION("((IFERROR((SUM(FILTER('Fund Investment Data'!$V:$V, 'Fund Investment Data'!$C:$C = $C2115, 'Fund Investment Data'!$A:$A = $A2115 - 1, 'Fund Investment Data'!$B:$B &gt;= 4, 'Fund Investment Data'!$B:$B &lt;= ($B2115 + 5))) / 12) * ($B2115 - 3) * Parameters!$B$4,"&amp;" 0) + IF($B2115 &gt;= 9, IFERROR(SUM(FILTER('Fund Investment Data'!$V:$V, 'Fund Investment Data'!$C:$C = $C2115, 'Fund Investment Data'!$A:$A = $A2115, 'Fund Investment Data'!$B:$B &lt;= 3)) * Parameters!$B$4, 0),0)))"),0.0)</f>
        <v>0</v>
      </c>
      <c r="AB2115" s="32">
        <f>IFERROR(__xludf.DUMMYFUNCTION("IFERROR(((IFERROR(SUM(FILTER('Fund Investment Data'!$V:$V, 'Fund Investment Data'!$C:$C = $C2115, 'Fund Investment Data'!$A:$A = $A2115 - 2, 'Fund Investment Data'!$B:$B &gt;= 4)) * Parameters!$B$4,0) + IFERROR(SUM(FILTER('Fund Investment Data'!$V:$V, 'Fund "&amp;"Investment Data'!$C:$C = $C2115, 'Fund Investment Data'!$A:$A = $A2115 - 1, 'Fund Investment Data'!$B:$B &lt;= 3)) * Parameters!$B$4,0))),0)"),0.0)</f>
        <v>0</v>
      </c>
      <c r="AC2115" s="32">
        <f>IFERROR(__xludf.DUMMYFUNCTION("IFERROR(FILTER($AF:$AF,$C:$C = $C2115,$A:$A = $A2115 - 1,$B:$B = 12),0)"),0.0)</f>
        <v>0</v>
      </c>
      <c r="AD2115" s="32">
        <f t="shared" si="23"/>
        <v>0</v>
      </c>
      <c r="AE2115" s="32">
        <f t="shared" si="2"/>
        <v>0</v>
      </c>
      <c r="AF2115" s="32"/>
    </row>
    <row r="2116">
      <c r="A2116" s="86"/>
      <c r="B2116" s="87"/>
      <c r="C2116" s="88"/>
      <c r="D2116" s="104"/>
      <c r="E2116" s="104"/>
      <c r="F2116" s="104"/>
      <c r="G2116" s="104"/>
      <c r="H2116" s="104"/>
      <c r="I2116" s="104"/>
      <c r="J2116" s="104"/>
      <c r="K2116" s="32"/>
      <c r="L2116" s="32"/>
      <c r="M2116" s="32"/>
      <c r="N2116" s="32"/>
      <c r="O2116" s="106"/>
      <c r="P2116" s="91">
        <f>IFERROR(__xludf.DUMMYFUNCTION("IFERROR(sum(FILTER($D:$N,$C:$C = $C2116,$A:$A &lt; $A2116,$B:$B = 12)),0) + sum($D2116:$N2116)"),0.0)</f>
        <v>0</v>
      </c>
      <c r="Q2116" s="92">
        <f t="shared" si="1"/>
        <v>0</v>
      </c>
      <c r="R2116" s="91">
        <f t="array" ref="R2116">IFERROR(INDEX('Fund YTD Target Values'!$1:$1000, MATCH($C2116,'Fund YTD Target Values'!$A:$A,0), MATCH($A2116,'Fund YTD Target Values'!$1:$1,0)),0)</f>
        <v>0</v>
      </c>
      <c r="S2116" s="91">
        <f>IFERROR(__xludf.DUMMYFUNCTION("IFERROR(sum(FILTER('Fund Investment Data'!$V:$V, 'Fund Investment Data'!$C:$C = $C2116, 'Fund Investment Data'!$A:$A &lt; $A2116)),0) + IFERROR(sum(FILTER('Fund Investment Data'!$V:$V, 'Fund Investment Data'!$C:$C = $C2116, 'Fund Investment Data'!$A:$A = $A2"&amp;"116, 'Fund Investment Data'!$B:$B &lt;= $B2116)),0)"),0.0)</f>
        <v>0</v>
      </c>
      <c r="T2116" s="32"/>
      <c r="U2116" s="32"/>
      <c r="V2116" s="32">
        <f>IFERROR(__xludf.DUMMYFUNCTION("$D2116 - IFERROR(FILTER($D:$D,$C:$C = $C2116, $A:$A = $A2116, $B:$B = $B2116 - 1),0)"),0.0)</f>
        <v>0</v>
      </c>
      <c r="W2116" s="93">
        <f>IFERROR(__xludf.DUMMYFUNCTION("$E2116 - IFERROR(FILTER($E:$E,$C:$C = $C2116, $A:$A = $A2116, $B:$B = $B2116 - 1),0)"),0.0)</f>
        <v>0</v>
      </c>
      <c r="X2116" s="91">
        <f>IFERROR(__xludf.DUMMYFUNCTION("iFERROR((FILTER('Fund Investment Data'!$Z:$Z, 'Fund Investment Data'!$C:$C = $C2116, 'Fund Investment Data'!$A:$A = $A2116 - 1, 'Fund Investment Data'!$B:$B = 12) + FILTER('Fund Investment Data'!$AB:$AB, 'Fund Investment Data'!$C:$C = $C2116, 'Fund Invest"&amp;"ment Data'!$A:$A = $A2116 - 1, 'Fund Investment Data'!$B:$B = 12)) * (1 + AVERAGE(FILTER('Inflation Data'!$C:$C,'Inflation Data'!$A:$A = ($A2116 - 2)))) * Parameters!$A$4,0)"),0.0)</f>
        <v>0</v>
      </c>
      <c r="Y2116" s="91">
        <f>IFERROR(__xludf.DUMMYFUNCTION("IFERROR((IFERROR(FILTER('Fund Investment Data'!$P:$P,'Fund Investment Data'!$C:$C = $C2116,'Fund Investment Data'!$A:$A = ($A2116 - 2), 'Fund Investment Data'!$B:$B = 12),0) - SUM(FILTER('Fund Investment Data'!$V:$V, 'Fund Investment Data'!$C:$C = $C2116,"&amp;" 'Fund Investment Data'!$A:$A = ($A2116 - 2), 'Fund Investment Data'!$B:$B &gt; 3)))  * Parameters!$B$4 * (1 - Parameters!$A$4),0)"),0.0)</f>
        <v>0</v>
      </c>
      <c r="Z2116" s="91">
        <f t="shared" si="24"/>
        <v>0</v>
      </c>
      <c r="AA2116" s="91">
        <f>IFERROR(__xludf.DUMMYFUNCTION("((IFERROR((SUM(FILTER('Fund Investment Data'!$V:$V, 'Fund Investment Data'!$C:$C = $C2116, 'Fund Investment Data'!$A:$A = $A2116 - 1, 'Fund Investment Data'!$B:$B &gt;= 4, 'Fund Investment Data'!$B:$B &lt;= ($B2116 + 5))) / 12) * ($B2116 - 3) * Parameters!$B$4,"&amp;" 0) + IF($B2116 &gt;= 9, IFERROR(SUM(FILTER('Fund Investment Data'!$V:$V, 'Fund Investment Data'!$C:$C = $C2116, 'Fund Investment Data'!$A:$A = $A2116, 'Fund Investment Data'!$B:$B &lt;= 3)) * Parameters!$B$4, 0),0)))"),0.0)</f>
        <v>0</v>
      </c>
      <c r="AB2116" s="32">
        <f>IFERROR(__xludf.DUMMYFUNCTION("IFERROR(((IFERROR(SUM(FILTER('Fund Investment Data'!$V:$V, 'Fund Investment Data'!$C:$C = $C2116, 'Fund Investment Data'!$A:$A = $A2116 - 2, 'Fund Investment Data'!$B:$B &gt;= 4)) * Parameters!$B$4,0) + IFERROR(SUM(FILTER('Fund Investment Data'!$V:$V, 'Fund "&amp;"Investment Data'!$C:$C = $C2116, 'Fund Investment Data'!$A:$A = $A2116 - 1, 'Fund Investment Data'!$B:$B &lt;= 3)) * Parameters!$B$4,0))),0)"),0.0)</f>
        <v>0</v>
      </c>
      <c r="AC2116" s="32">
        <f>IFERROR(__xludf.DUMMYFUNCTION("IFERROR(FILTER($AF:$AF,$C:$C = $C2116,$A:$A = $A2116 - 1,$B:$B = 12),0)"),0.0)</f>
        <v>0</v>
      </c>
      <c r="AD2116" s="32">
        <f t="shared" si="23"/>
        <v>0</v>
      </c>
      <c r="AE2116" s="32">
        <f t="shared" si="2"/>
        <v>0</v>
      </c>
      <c r="AF2116" s="32"/>
    </row>
    <row r="2117">
      <c r="A2117" s="86"/>
      <c r="B2117" s="87"/>
      <c r="C2117" s="88"/>
      <c r="D2117" s="104"/>
      <c r="E2117" s="104"/>
      <c r="F2117" s="104"/>
      <c r="G2117" s="104"/>
      <c r="H2117" s="104"/>
      <c r="I2117" s="104"/>
      <c r="J2117" s="104"/>
      <c r="K2117" s="32"/>
      <c r="L2117" s="32"/>
      <c r="M2117" s="32"/>
      <c r="N2117" s="32"/>
      <c r="O2117" s="106"/>
      <c r="P2117" s="91">
        <f>IFERROR(__xludf.DUMMYFUNCTION("IFERROR(sum(FILTER($D:$N,$C:$C = $C2117,$A:$A &lt; $A2117,$B:$B = 12)),0) + sum($D2117:$N2117)"),0.0)</f>
        <v>0</v>
      </c>
      <c r="Q2117" s="92">
        <f t="shared" si="1"/>
        <v>0</v>
      </c>
      <c r="R2117" s="91">
        <f t="array" ref="R2117">IFERROR(INDEX('Fund YTD Target Values'!$1:$1000, MATCH($C2117,'Fund YTD Target Values'!$A:$A,0), MATCH($A2117,'Fund YTD Target Values'!$1:$1,0)),0)</f>
        <v>0</v>
      </c>
      <c r="S2117" s="91">
        <f>IFERROR(__xludf.DUMMYFUNCTION("IFERROR(sum(FILTER('Fund Investment Data'!$V:$V, 'Fund Investment Data'!$C:$C = $C2117, 'Fund Investment Data'!$A:$A &lt; $A2117)),0) + IFERROR(sum(FILTER('Fund Investment Data'!$V:$V, 'Fund Investment Data'!$C:$C = $C2117, 'Fund Investment Data'!$A:$A = $A2"&amp;"117, 'Fund Investment Data'!$B:$B &lt;= $B2117)),0)"),0.0)</f>
        <v>0</v>
      </c>
      <c r="T2117" s="32"/>
      <c r="U2117" s="32"/>
      <c r="V2117" s="32">
        <f>IFERROR(__xludf.DUMMYFUNCTION("$D2117 - IFERROR(FILTER($D:$D,$C:$C = $C2117, $A:$A = $A2117, $B:$B = $B2117 - 1),0)"),0.0)</f>
        <v>0</v>
      </c>
      <c r="W2117" s="93">
        <f>IFERROR(__xludf.DUMMYFUNCTION("$E2117 - IFERROR(FILTER($E:$E,$C:$C = $C2117, $A:$A = $A2117, $B:$B = $B2117 - 1),0)"),0.0)</f>
        <v>0</v>
      </c>
      <c r="X2117" s="91">
        <f>IFERROR(__xludf.DUMMYFUNCTION("iFERROR((FILTER('Fund Investment Data'!$Z:$Z, 'Fund Investment Data'!$C:$C = $C2117, 'Fund Investment Data'!$A:$A = $A2117 - 1, 'Fund Investment Data'!$B:$B = 12) + FILTER('Fund Investment Data'!$AB:$AB, 'Fund Investment Data'!$C:$C = $C2117, 'Fund Invest"&amp;"ment Data'!$A:$A = $A2117 - 1, 'Fund Investment Data'!$B:$B = 12)) * (1 + AVERAGE(FILTER('Inflation Data'!$C:$C,'Inflation Data'!$A:$A = ($A2117 - 2)))) * Parameters!$A$4,0)"),0.0)</f>
        <v>0</v>
      </c>
      <c r="Y2117" s="91">
        <f>IFERROR(__xludf.DUMMYFUNCTION("IFERROR((IFERROR(FILTER('Fund Investment Data'!$P:$P,'Fund Investment Data'!$C:$C = $C2117,'Fund Investment Data'!$A:$A = ($A2117 - 2), 'Fund Investment Data'!$B:$B = 12),0) - SUM(FILTER('Fund Investment Data'!$V:$V, 'Fund Investment Data'!$C:$C = $C2117,"&amp;" 'Fund Investment Data'!$A:$A = ($A2117 - 2), 'Fund Investment Data'!$B:$B &gt; 3)))  * Parameters!$B$4 * (1 - Parameters!$A$4),0)"),0.0)</f>
        <v>0</v>
      </c>
      <c r="Z2117" s="91">
        <f t="shared" si="24"/>
        <v>0</v>
      </c>
      <c r="AA2117" s="91">
        <f>IFERROR(__xludf.DUMMYFUNCTION("((IFERROR((SUM(FILTER('Fund Investment Data'!$V:$V, 'Fund Investment Data'!$C:$C = $C2117, 'Fund Investment Data'!$A:$A = $A2117 - 1, 'Fund Investment Data'!$B:$B &gt;= 4, 'Fund Investment Data'!$B:$B &lt;= ($B2117 + 5))) / 12) * ($B2117 - 3) * Parameters!$B$4,"&amp;" 0) + IF($B2117 &gt;= 9, IFERROR(SUM(FILTER('Fund Investment Data'!$V:$V, 'Fund Investment Data'!$C:$C = $C2117, 'Fund Investment Data'!$A:$A = $A2117, 'Fund Investment Data'!$B:$B &lt;= 3)) * Parameters!$B$4, 0),0)))"),0.0)</f>
        <v>0</v>
      </c>
      <c r="AB2117" s="32">
        <f>IFERROR(__xludf.DUMMYFUNCTION("IFERROR(((IFERROR(SUM(FILTER('Fund Investment Data'!$V:$V, 'Fund Investment Data'!$C:$C = $C2117, 'Fund Investment Data'!$A:$A = $A2117 - 2, 'Fund Investment Data'!$B:$B &gt;= 4)) * Parameters!$B$4,0) + IFERROR(SUM(FILTER('Fund Investment Data'!$V:$V, 'Fund "&amp;"Investment Data'!$C:$C = $C2117, 'Fund Investment Data'!$A:$A = $A2117 - 1, 'Fund Investment Data'!$B:$B &lt;= 3)) * Parameters!$B$4,0))),0)"),0.0)</f>
        <v>0</v>
      </c>
      <c r="AC2117" s="32">
        <f>IFERROR(__xludf.DUMMYFUNCTION("IFERROR(FILTER($AF:$AF,$C:$C = $C2117,$A:$A = $A2117 - 1,$B:$B = 12),0)"),0.0)</f>
        <v>0</v>
      </c>
      <c r="AD2117" s="32">
        <f t="shared" si="23"/>
        <v>0</v>
      </c>
      <c r="AE2117" s="32">
        <f t="shared" si="2"/>
        <v>0</v>
      </c>
      <c r="AF2117" s="32"/>
    </row>
    <row r="2118">
      <c r="A2118" s="86"/>
      <c r="B2118" s="87"/>
      <c r="C2118" s="88"/>
      <c r="D2118" s="104"/>
      <c r="E2118" s="104"/>
      <c r="F2118" s="104"/>
      <c r="G2118" s="104"/>
      <c r="H2118" s="104"/>
      <c r="I2118" s="104"/>
      <c r="J2118" s="104"/>
      <c r="K2118" s="32"/>
      <c r="L2118" s="32"/>
      <c r="M2118" s="32"/>
      <c r="N2118" s="32"/>
      <c r="O2118" s="106"/>
      <c r="P2118" s="91">
        <f>IFERROR(__xludf.DUMMYFUNCTION("IFERROR(sum(FILTER($D:$N,$C:$C = $C2118,$A:$A &lt; $A2118,$B:$B = 12)),0) + sum($D2118:$N2118)"),0.0)</f>
        <v>0</v>
      </c>
      <c r="Q2118" s="92">
        <f t="shared" si="1"/>
        <v>0</v>
      </c>
      <c r="R2118" s="91">
        <f t="array" ref="R2118">IFERROR(INDEX('Fund YTD Target Values'!$1:$1000, MATCH($C2118,'Fund YTD Target Values'!$A:$A,0), MATCH($A2118,'Fund YTD Target Values'!$1:$1,0)),0)</f>
        <v>0</v>
      </c>
      <c r="S2118" s="91">
        <f>IFERROR(__xludf.DUMMYFUNCTION("IFERROR(sum(FILTER('Fund Investment Data'!$V:$V, 'Fund Investment Data'!$C:$C = $C2118, 'Fund Investment Data'!$A:$A &lt; $A2118)),0) + IFERROR(sum(FILTER('Fund Investment Data'!$V:$V, 'Fund Investment Data'!$C:$C = $C2118, 'Fund Investment Data'!$A:$A = $A2"&amp;"118, 'Fund Investment Data'!$B:$B &lt;= $B2118)),0)"),0.0)</f>
        <v>0</v>
      </c>
      <c r="T2118" s="32"/>
      <c r="U2118" s="32"/>
      <c r="V2118" s="32">
        <f>IFERROR(__xludf.DUMMYFUNCTION("$D2118 - IFERROR(FILTER($D:$D,$C:$C = $C2118, $A:$A = $A2118, $B:$B = $B2118 - 1),0)"),0.0)</f>
        <v>0</v>
      </c>
      <c r="W2118" s="93">
        <f>IFERROR(__xludf.DUMMYFUNCTION("$E2118 - IFERROR(FILTER($E:$E,$C:$C = $C2118, $A:$A = $A2118, $B:$B = $B2118 - 1),0)"),0.0)</f>
        <v>0</v>
      </c>
      <c r="X2118" s="91">
        <f>IFERROR(__xludf.DUMMYFUNCTION("iFERROR((FILTER('Fund Investment Data'!$Z:$Z, 'Fund Investment Data'!$C:$C = $C2118, 'Fund Investment Data'!$A:$A = $A2118 - 1, 'Fund Investment Data'!$B:$B = 12) + FILTER('Fund Investment Data'!$AB:$AB, 'Fund Investment Data'!$C:$C = $C2118, 'Fund Invest"&amp;"ment Data'!$A:$A = $A2118 - 1, 'Fund Investment Data'!$B:$B = 12)) * (1 + AVERAGE(FILTER('Inflation Data'!$C:$C,'Inflation Data'!$A:$A = ($A2118 - 2)))) * Parameters!$A$4,0)"),0.0)</f>
        <v>0</v>
      </c>
      <c r="Y2118" s="91">
        <f>IFERROR(__xludf.DUMMYFUNCTION("IFERROR((IFERROR(FILTER('Fund Investment Data'!$P:$P,'Fund Investment Data'!$C:$C = $C2118,'Fund Investment Data'!$A:$A = ($A2118 - 2), 'Fund Investment Data'!$B:$B = 12),0) - SUM(FILTER('Fund Investment Data'!$V:$V, 'Fund Investment Data'!$C:$C = $C2118,"&amp;" 'Fund Investment Data'!$A:$A = ($A2118 - 2), 'Fund Investment Data'!$B:$B &gt; 3)))  * Parameters!$B$4 * (1 - Parameters!$A$4),0)"),0.0)</f>
        <v>0</v>
      </c>
      <c r="Z2118" s="91">
        <f t="shared" si="24"/>
        <v>0</v>
      </c>
      <c r="AA2118" s="91">
        <f>IFERROR(__xludf.DUMMYFUNCTION("((IFERROR((SUM(FILTER('Fund Investment Data'!$V:$V, 'Fund Investment Data'!$C:$C = $C2118, 'Fund Investment Data'!$A:$A = $A2118 - 1, 'Fund Investment Data'!$B:$B &gt;= 4, 'Fund Investment Data'!$B:$B &lt;= ($B2118 + 5))) / 12) * ($B2118 - 3) * Parameters!$B$4,"&amp;" 0) + IF($B2118 &gt;= 9, IFERROR(SUM(FILTER('Fund Investment Data'!$V:$V, 'Fund Investment Data'!$C:$C = $C2118, 'Fund Investment Data'!$A:$A = $A2118, 'Fund Investment Data'!$B:$B &lt;= 3)) * Parameters!$B$4, 0),0)))"),0.0)</f>
        <v>0</v>
      </c>
      <c r="AB2118" s="32">
        <f>IFERROR(__xludf.DUMMYFUNCTION("IFERROR(((IFERROR(SUM(FILTER('Fund Investment Data'!$V:$V, 'Fund Investment Data'!$C:$C = $C2118, 'Fund Investment Data'!$A:$A = $A2118 - 2, 'Fund Investment Data'!$B:$B &gt;= 4)) * Parameters!$B$4,0) + IFERROR(SUM(FILTER('Fund Investment Data'!$V:$V, 'Fund "&amp;"Investment Data'!$C:$C = $C2118, 'Fund Investment Data'!$A:$A = $A2118 - 1, 'Fund Investment Data'!$B:$B &lt;= 3)) * Parameters!$B$4,0))),0)"),0.0)</f>
        <v>0</v>
      </c>
      <c r="AC2118" s="32">
        <f>IFERROR(__xludf.DUMMYFUNCTION("IFERROR(FILTER($AF:$AF,$C:$C = $C2118,$A:$A = $A2118 - 1,$B:$B = 12),0)"),0.0)</f>
        <v>0</v>
      </c>
      <c r="AD2118" s="32">
        <f t="shared" si="23"/>
        <v>0</v>
      </c>
      <c r="AE2118" s="32">
        <f t="shared" si="2"/>
        <v>0</v>
      </c>
      <c r="AF2118" s="32"/>
    </row>
    <row r="2119">
      <c r="A2119" s="86"/>
      <c r="B2119" s="87"/>
      <c r="C2119" s="88"/>
      <c r="D2119" s="104"/>
      <c r="E2119" s="104"/>
      <c r="F2119" s="104"/>
      <c r="G2119" s="104"/>
      <c r="H2119" s="104"/>
      <c r="I2119" s="104"/>
      <c r="J2119" s="104"/>
      <c r="K2119" s="32"/>
      <c r="L2119" s="32"/>
      <c r="M2119" s="32"/>
      <c r="N2119" s="32"/>
      <c r="O2119" s="106"/>
      <c r="P2119" s="91">
        <f>IFERROR(__xludf.DUMMYFUNCTION("IFERROR(sum(FILTER($D:$N,$C:$C = $C2119,$A:$A &lt; $A2119,$B:$B = 12)),0) + sum($D2119:$N2119)"),0.0)</f>
        <v>0</v>
      </c>
      <c r="Q2119" s="92">
        <f t="shared" si="1"/>
        <v>0</v>
      </c>
      <c r="R2119" s="91">
        <f t="array" ref="R2119">IFERROR(INDEX('Fund YTD Target Values'!$1:$1000, MATCH($C2119,'Fund YTD Target Values'!$A:$A,0), MATCH($A2119,'Fund YTD Target Values'!$1:$1,0)),0)</f>
        <v>0</v>
      </c>
      <c r="S2119" s="91">
        <f>IFERROR(__xludf.DUMMYFUNCTION("IFERROR(sum(FILTER('Fund Investment Data'!$V:$V, 'Fund Investment Data'!$C:$C = $C2119, 'Fund Investment Data'!$A:$A &lt; $A2119)),0) + IFERROR(sum(FILTER('Fund Investment Data'!$V:$V, 'Fund Investment Data'!$C:$C = $C2119, 'Fund Investment Data'!$A:$A = $A2"&amp;"119, 'Fund Investment Data'!$B:$B &lt;= $B2119)),0)"),0.0)</f>
        <v>0</v>
      </c>
      <c r="T2119" s="32"/>
      <c r="U2119" s="32"/>
      <c r="V2119" s="32">
        <f>IFERROR(__xludf.DUMMYFUNCTION("$D2119 - IFERROR(FILTER($D:$D,$C:$C = $C2119, $A:$A = $A2119, $B:$B = $B2119 - 1),0)"),0.0)</f>
        <v>0</v>
      </c>
      <c r="W2119" s="93">
        <f>IFERROR(__xludf.DUMMYFUNCTION("$E2119 - IFERROR(FILTER($E:$E,$C:$C = $C2119, $A:$A = $A2119, $B:$B = $B2119 - 1),0)"),0.0)</f>
        <v>0</v>
      </c>
      <c r="X2119" s="91">
        <f>IFERROR(__xludf.DUMMYFUNCTION("iFERROR((FILTER('Fund Investment Data'!$Z:$Z, 'Fund Investment Data'!$C:$C = $C2119, 'Fund Investment Data'!$A:$A = $A2119 - 1, 'Fund Investment Data'!$B:$B = 12) + FILTER('Fund Investment Data'!$AB:$AB, 'Fund Investment Data'!$C:$C = $C2119, 'Fund Invest"&amp;"ment Data'!$A:$A = $A2119 - 1, 'Fund Investment Data'!$B:$B = 12)) * (1 + AVERAGE(FILTER('Inflation Data'!$C:$C,'Inflation Data'!$A:$A = ($A2119 - 2)))) * Parameters!$A$4,0)"),0.0)</f>
        <v>0</v>
      </c>
      <c r="Y2119" s="91">
        <f>IFERROR(__xludf.DUMMYFUNCTION("IFERROR((IFERROR(FILTER('Fund Investment Data'!$P:$P,'Fund Investment Data'!$C:$C = $C2119,'Fund Investment Data'!$A:$A = ($A2119 - 2), 'Fund Investment Data'!$B:$B = 12),0) - SUM(FILTER('Fund Investment Data'!$V:$V, 'Fund Investment Data'!$C:$C = $C2119,"&amp;" 'Fund Investment Data'!$A:$A = ($A2119 - 2), 'Fund Investment Data'!$B:$B &gt; 3)))  * Parameters!$B$4 * (1 - Parameters!$A$4),0)"),0.0)</f>
        <v>0</v>
      </c>
      <c r="Z2119" s="91">
        <f t="shared" si="24"/>
        <v>0</v>
      </c>
      <c r="AA2119" s="91">
        <f>IFERROR(__xludf.DUMMYFUNCTION("((IFERROR((SUM(FILTER('Fund Investment Data'!$V:$V, 'Fund Investment Data'!$C:$C = $C2119, 'Fund Investment Data'!$A:$A = $A2119 - 1, 'Fund Investment Data'!$B:$B &gt;= 4, 'Fund Investment Data'!$B:$B &lt;= ($B2119 + 5))) / 12) * ($B2119 - 3) * Parameters!$B$4,"&amp;" 0) + IF($B2119 &gt;= 9, IFERROR(SUM(FILTER('Fund Investment Data'!$V:$V, 'Fund Investment Data'!$C:$C = $C2119, 'Fund Investment Data'!$A:$A = $A2119, 'Fund Investment Data'!$B:$B &lt;= 3)) * Parameters!$B$4, 0),0)))"),0.0)</f>
        <v>0</v>
      </c>
      <c r="AB2119" s="32">
        <f>IFERROR(__xludf.DUMMYFUNCTION("IFERROR(((IFERROR(SUM(FILTER('Fund Investment Data'!$V:$V, 'Fund Investment Data'!$C:$C = $C2119, 'Fund Investment Data'!$A:$A = $A2119 - 2, 'Fund Investment Data'!$B:$B &gt;= 4)) * Parameters!$B$4,0) + IFERROR(SUM(FILTER('Fund Investment Data'!$V:$V, 'Fund "&amp;"Investment Data'!$C:$C = $C2119, 'Fund Investment Data'!$A:$A = $A2119 - 1, 'Fund Investment Data'!$B:$B &lt;= 3)) * Parameters!$B$4,0))),0)"),0.0)</f>
        <v>0</v>
      </c>
      <c r="AC2119" s="32">
        <f>IFERROR(__xludf.DUMMYFUNCTION("IFERROR(FILTER($AF:$AF,$C:$C = $C2119,$A:$A = $A2119 - 1,$B:$B = 12),0)"),0.0)</f>
        <v>0</v>
      </c>
      <c r="AD2119" s="32">
        <f t="shared" si="23"/>
        <v>0</v>
      </c>
      <c r="AE2119" s="32">
        <f t="shared" si="2"/>
        <v>0</v>
      </c>
      <c r="AF2119" s="32"/>
    </row>
    <row r="2120">
      <c r="A2120" s="86"/>
      <c r="B2120" s="87"/>
      <c r="C2120" s="88"/>
      <c r="D2120" s="104"/>
      <c r="E2120" s="104"/>
      <c r="F2120" s="104"/>
      <c r="G2120" s="104"/>
      <c r="H2120" s="104"/>
      <c r="I2120" s="104"/>
      <c r="J2120" s="104"/>
      <c r="K2120" s="32"/>
      <c r="L2120" s="32"/>
      <c r="M2120" s="32"/>
      <c r="N2120" s="32"/>
      <c r="O2120" s="106"/>
      <c r="P2120" s="91">
        <f>IFERROR(__xludf.DUMMYFUNCTION("IFERROR(sum(FILTER($D:$N,$C:$C = $C2120,$A:$A &lt; $A2120,$B:$B = 12)),0) + sum($D2120:$N2120)"),0.0)</f>
        <v>0</v>
      </c>
      <c r="Q2120" s="92">
        <f t="shared" si="1"/>
        <v>0</v>
      </c>
      <c r="R2120" s="91">
        <f t="array" ref="R2120">IFERROR(INDEX('Fund YTD Target Values'!$1:$1000, MATCH($C2120,'Fund YTD Target Values'!$A:$A,0), MATCH($A2120,'Fund YTD Target Values'!$1:$1,0)),0)</f>
        <v>0</v>
      </c>
      <c r="S2120" s="91">
        <f>IFERROR(__xludf.DUMMYFUNCTION("IFERROR(sum(FILTER('Fund Investment Data'!$V:$V, 'Fund Investment Data'!$C:$C = $C2120, 'Fund Investment Data'!$A:$A &lt; $A2120)),0) + IFERROR(sum(FILTER('Fund Investment Data'!$V:$V, 'Fund Investment Data'!$C:$C = $C2120, 'Fund Investment Data'!$A:$A = $A2"&amp;"120, 'Fund Investment Data'!$B:$B &lt;= $B2120)),0)"),0.0)</f>
        <v>0</v>
      </c>
      <c r="T2120" s="32"/>
      <c r="U2120" s="32"/>
      <c r="V2120" s="32">
        <f>IFERROR(__xludf.DUMMYFUNCTION("$D2120 - IFERROR(FILTER($D:$D,$C:$C = $C2120, $A:$A = $A2120, $B:$B = $B2120 - 1),0)"),0.0)</f>
        <v>0</v>
      </c>
      <c r="W2120" s="93">
        <f>IFERROR(__xludf.DUMMYFUNCTION("$E2120 - IFERROR(FILTER($E:$E,$C:$C = $C2120, $A:$A = $A2120, $B:$B = $B2120 - 1),0)"),0.0)</f>
        <v>0</v>
      </c>
      <c r="X2120" s="91">
        <f>IFERROR(__xludf.DUMMYFUNCTION("iFERROR((FILTER('Fund Investment Data'!$Z:$Z, 'Fund Investment Data'!$C:$C = $C2120, 'Fund Investment Data'!$A:$A = $A2120 - 1, 'Fund Investment Data'!$B:$B = 12) + FILTER('Fund Investment Data'!$AB:$AB, 'Fund Investment Data'!$C:$C = $C2120, 'Fund Invest"&amp;"ment Data'!$A:$A = $A2120 - 1, 'Fund Investment Data'!$B:$B = 12)) * (1 + AVERAGE(FILTER('Inflation Data'!$C:$C,'Inflation Data'!$A:$A = ($A2120 - 2)))) * Parameters!$A$4,0)"),0.0)</f>
        <v>0</v>
      </c>
      <c r="Y2120" s="91">
        <f>IFERROR(__xludf.DUMMYFUNCTION("IFERROR((IFERROR(FILTER('Fund Investment Data'!$P:$P,'Fund Investment Data'!$C:$C = $C2120,'Fund Investment Data'!$A:$A = ($A2120 - 2), 'Fund Investment Data'!$B:$B = 12),0) - SUM(FILTER('Fund Investment Data'!$V:$V, 'Fund Investment Data'!$C:$C = $C2120,"&amp;" 'Fund Investment Data'!$A:$A = ($A2120 - 2), 'Fund Investment Data'!$B:$B &gt; 3)))  * Parameters!$B$4 * (1 - Parameters!$A$4),0)"),0.0)</f>
        <v>0</v>
      </c>
      <c r="Z2120" s="91">
        <f t="shared" si="24"/>
        <v>0</v>
      </c>
      <c r="AA2120" s="91">
        <f>IFERROR(__xludf.DUMMYFUNCTION("((IFERROR((SUM(FILTER('Fund Investment Data'!$V:$V, 'Fund Investment Data'!$C:$C = $C2120, 'Fund Investment Data'!$A:$A = $A2120 - 1, 'Fund Investment Data'!$B:$B &gt;= 4, 'Fund Investment Data'!$B:$B &lt;= ($B2120 + 5))) / 12) * ($B2120 - 3) * Parameters!$B$4,"&amp;" 0) + IF($B2120 &gt;= 9, IFERROR(SUM(FILTER('Fund Investment Data'!$V:$V, 'Fund Investment Data'!$C:$C = $C2120, 'Fund Investment Data'!$A:$A = $A2120, 'Fund Investment Data'!$B:$B &lt;= 3)) * Parameters!$B$4, 0),0)))"),0.0)</f>
        <v>0</v>
      </c>
      <c r="AB2120" s="32">
        <f>IFERROR(__xludf.DUMMYFUNCTION("IFERROR(((IFERROR(SUM(FILTER('Fund Investment Data'!$V:$V, 'Fund Investment Data'!$C:$C = $C2120, 'Fund Investment Data'!$A:$A = $A2120 - 2, 'Fund Investment Data'!$B:$B &gt;= 4)) * Parameters!$B$4,0) + IFERROR(SUM(FILTER('Fund Investment Data'!$V:$V, 'Fund "&amp;"Investment Data'!$C:$C = $C2120, 'Fund Investment Data'!$A:$A = $A2120 - 1, 'Fund Investment Data'!$B:$B &lt;= 3)) * Parameters!$B$4,0))),0)"),0.0)</f>
        <v>0</v>
      </c>
      <c r="AC2120" s="32">
        <f>IFERROR(__xludf.DUMMYFUNCTION("IFERROR(FILTER($AF:$AF,$C:$C = $C2120,$A:$A = $A2120 - 1,$B:$B = 12),0)"),0.0)</f>
        <v>0</v>
      </c>
      <c r="AD2120" s="32">
        <f t="shared" si="23"/>
        <v>0</v>
      </c>
      <c r="AE2120" s="32">
        <f t="shared" si="2"/>
        <v>0</v>
      </c>
      <c r="AF2120" s="32"/>
    </row>
    <row r="2121">
      <c r="A2121" s="86"/>
      <c r="B2121" s="87"/>
      <c r="C2121" s="88"/>
      <c r="D2121" s="104"/>
      <c r="E2121" s="104"/>
      <c r="F2121" s="104"/>
      <c r="G2121" s="104"/>
      <c r="H2121" s="104"/>
      <c r="I2121" s="104"/>
      <c r="J2121" s="104"/>
      <c r="K2121" s="32"/>
      <c r="L2121" s="32"/>
      <c r="M2121" s="32"/>
      <c r="N2121" s="32"/>
      <c r="O2121" s="106"/>
      <c r="P2121" s="91">
        <f>IFERROR(__xludf.DUMMYFUNCTION("IFERROR(sum(FILTER($D:$N,$C:$C = $C2121,$A:$A &lt; $A2121,$B:$B = 12)),0) + sum($D2121:$N2121)"),0.0)</f>
        <v>0</v>
      </c>
      <c r="Q2121" s="92">
        <f t="shared" si="1"/>
        <v>0</v>
      </c>
      <c r="R2121" s="91">
        <f t="array" ref="R2121">IFERROR(INDEX('Fund YTD Target Values'!$1:$1000, MATCH($C2121,'Fund YTD Target Values'!$A:$A,0), MATCH($A2121,'Fund YTD Target Values'!$1:$1,0)),0)</f>
        <v>0</v>
      </c>
      <c r="S2121" s="91">
        <f>IFERROR(__xludf.DUMMYFUNCTION("IFERROR(sum(FILTER('Fund Investment Data'!$V:$V, 'Fund Investment Data'!$C:$C = $C2121, 'Fund Investment Data'!$A:$A &lt; $A2121)),0) + IFERROR(sum(FILTER('Fund Investment Data'!$V:$V, 'Fund Investment Data'!$C:$C = $C2121, 'Fund Investment Data'!$A:$A = $A2"&amp;"121, 'Fund Investment Data'!$B:$B &lt;= $B2121)),0)"),0.0)</f>
        <v>0</v>
      </c>
      <c r="T2121" s="32"/>
      <c r="U2121" s="32"/>
      <c r="V2121" s="32">
        <f>IFERROR(__xludf.DUMMYFUNCTION("$D2121 - IFERROR(FILTER($D:$D,$C:$C = $C2121, $A:$A = $A2121, $B:$B = $B2121 - 1),0)"),0.0)</f>
        <v>0</v>
      </c>
      <c r="W2121" s="93">
        <f>IFERROR(__xludf.DUMMYFUNCTION("$E2121 - IFERROR(FILTER($E:$E,$C:$C = $C2121, $A:$A = $A2121, $B:$B = $B2121 - 1),0)"),0.0)</f>
        <v>0</v>
      </c>
      <c r="X2121" s="91">
        <f>IFERROR(__xludf.DUMMYFUNCTION("iFERROR((FILTER('Fund Investment Data'!$Z:$Z, 'Fund Investment Data'!$C:$C = $C2121, 'Fund Investment Data'!$A:$A = $A2121 - 1, 'Fund Investment Data'!$B:$B = 12) + FILTER('Fund Investment Data'!$AB:$AB, 'Fund Investment Data'!$C:$C = $C2121, 'Fund Invest"&amp;"ment Data'!$A:$A = $A2121 - 1, 'Fund Investment Data'!$B:$B = 12)) * (1 + AVERAGE(FILTER('Inflation Data'!$C:$C,'Inflation Data'!$A:$A = ($A2121 - 2)))) * Parameters!$A$4,0)"),0.0)</f>
        <v>0</v>
      </c>
      <c r="Y2121" s="91">
        <f>IFERROR(__xludf.DUMMYFUNCTION("IFERROR((IFERROR(FILTER('Fund Investment Data'!$P:$P,'Fund Investment Data'!$C:$C = $C2121,'Fund Investment Data'!$A:$A = ($A2121 - 2), 'Fund Investment Data'!$B:$B = 12),0) - SUM(FILTER('Fund Investment Data'!$V:$V, 'Fund Investment Data'!$C:$C = $C2121,"&amp;" 'Fund Investment Data'!$A:$A = ($A2121 - 2), 'Fund Investment Data'!$B:$B &gt; 3)))  * Parameters!$B$4 * (1 - Parameters!$A$4),0)"),0.0)</f>
        <v>0</v>
      </c>
      <c r="Z2121" s="91">
        <f t="shared" si="24"/>
        <v>0</v>
      </c>
      <c r="AA2121" s="91">
        <f>IFERROR(__xludf.DUMMYFUNCTION("((IFERROR((SUM(FILTER('Fund Investment Data'!$V:$V, 'Fund Investment Data'!$C:$C = $C2121, 'Fund Investment Data'!$A:$A = $A2121 - 1, 'Fund Investment Data'!$B:$B &gt;= 4, 'Fund Investment Data'!$B:$B &lt;= ($B2121 + 5))) / 12) * ($B2121 - 3) * Parameters!$B$4,"&amp;" 0) + IF($B2121 &gt;= 9, IFERROR(SUM(FILTER('Fund Investment Data'!$V:$V, 'Fund Investment Data'!$C:$C = $C2121, 'Fund Investment Data'!$A:$A = $A2121, 'Fund Investment Data'!$B:$B &lt;= 3)) * Parameters!$B$4, 0),0)))"),0.0)</f>
        <v>0</v>
      </c>
      <c r="AB2121" s="32">
        <f>IFERROR(__xludf.DUMMYFUNCTION("IFERROR(((IFERROR(SUM(FILTER('Fund Investment Data'!$V:$V, 'Fund Investment Data'!$C:$C = $C2121, 'Fund Investment Data'!$A:$A = $A2121 - 2, 'Fund Investment Data'!$B:$B &gt;= 4)) * Parameters!$B$4,0) + IFERROR(SUM(FILTER('Fund Investment Data'!$V:$V, 'Fund "&amp;"Investment Data'!$C:$C = $C2121, 'Fund Investment Data'!$A:$A = $A2121 - 1, 'Fund Investment Data'!$B:$B &lt;= 3)) * Parameters!$B$4,0))),0)"),0.0)</f>
        <v>0</v>
      </c>
      <c r="AC2121" s="32">
        <f>IFERROR(__xludf.DUMMYFUNCTION("IFERROR(FILTER($AF:$AF,$C:$C = $C2121,$A:$A = $A2121 - 1,$B:$B = 12),0)"),0.0)</f>
        <v>0</v>
      </c>
      <c r="AD2121" s="32">
        <f t="shared" si="23"/>
        <v>0</v>
      </c>
      <c r="AE2121" s="32">
        <f t="shared" si="2"/>
        <v>0</v>
      </c>
      <c r="AF2121" s="32"/>
    </row>
    <row r="2122">
      <c r="A2122" s="86"/>
      <c r="B2122" s="87"/>
      <c r="C2122" s="88"/>
      <c r="D2122" s="104"/>
      <c r="E2122" s="104"/>
      <c r="F2122" s="104"/>
      <c r="G2122" s="104"/>
      <c r="H2122" s="104"/>
      <c r="I2122" s="104"/>
      <c r="J2122" s="104"/>
      <c r="K2122" s="32"/>
      <c r="L2122" s="32"/>
      <c r="M2122" s="32"/>
      <c r="N2122" s="32"/>
      <c r="O2122" s="106"/>
      <c r="P2122" s="91">
        <f>IFERROR(__xludf.DUMMYFUNCTION("IFERROR(sum(FILTER($D:$N,$C:$C = $C2122,$A:$A &lt; $A2122,$B:$B = 12)),0) + sum($D2122:$N2122)"),0.0)</f>
        <v>0</v>
      </c>
      <c r="Q2122" s="92">
        <f t="shared" si="1"/>
        <v>0</v>
      </c>
      <c r="R2122" s="91">
        <f t="array" ref="R2122">IFERROR(INDEX('Fund YTD Target Values'!$1:$1000, MATCH($C2122,'Fund YTD Target Values'!$A:$A,0), MATCH($A2122,'Fund YTD Target Values'!$1:$1,0)),0)</f>
        <v>0</v>
      </c>
      <c r="S2122" s="91">
        <f>IFERROR(__xludf.DUMMYFUNCTION("IFERROR(sum(FILTER('Fund Investment Data'!$V:$V, 'Fund Investment Data'!$C:$C = $C2122, 'Fund Investment Data'!$A:$A &lt; $A2122)),0) + IFERROR(sum(FILTER('Fund Investment Data'!$V:$V, 'Fund Investment Data'!$C:$C = $C2122, 'Fund Investment Data'!$A:$A = $A2"&amp;"122, 'Fund Investment Data'!$B:$B &lt;= $B2122)),0)"),0.0)</f>
        <v>0</v>
      </c>
      <c r="T2122" s="32"/>
      <c r="U2122" s="32"/>
      <c r="V2122" s="32">
        <f>IFERROR(__xludf.DUMMYFUNCTION("$D2122 - IFERROR(FILTER($D:$D,$C:$C = $C2122, $A:$A = $A2122, $B:$B = $B2122 - 1),0)"),0.0)</f>
        <v>0</v>
      </c>
      <c r="W2122" s="93">
        <f>IFERROR(__xludf.DUMMYFUNCTION("$E2122 - IFERROR(FILTER($E:$E,$C:$C = $C2122, $A:$A = $A2122, $B:$B = $B2122 - 1),0)"),0.0)</f>
        <v>0</v>
      </c>
      <c r="X2122" s="91">
        <f>IFERROR(__xludf.DUMMYFUNCTION("iFERROR((FILTER('Fund Investment Data'!$Z:$Z, 'Fund Investment Data'!$C:$C = $C2122, 'Fund Investment Data'!$A:$A = $A2122 - 1, 'Fund Investment Data'!$B:$B = 12) + FILTER('Fund Investment Data'!$AB:$AB, 'Fund Investment Data'!$C:$C = $C2122, 'Fund Invest"&amp;"ment Data'!$A:$A = $A2122 - 1, 'Fund Investment Data'!$B:$B = 12)) * (1 + AVERAGE(FILTER('Inflation Data'!$C:$C,'Inflation Data'!$A:$A = ($A2122 - 2)))) * Parameters!$A$4,0)"),0.0)</f>
        <v>0</v>
      </c>
      <c r="Y2122" s="91">
        <f>IFERROR(__xludf.DUMMYFUNCTION("IFERROR((IFERROR(FILTER('Fund Investment Data'!$P:$P,'Fund Investment Data'!$C:$C = $C2122,'Fund Investment Data'!$A:$A = ($A2122 - 2), 'Fund Investment Data'!$B:$B = 12),0) - SUM(FILTER('Fund Investment Data'!$V:$V, 'Fund Investment Data'!$C:$C = $C2122,"&amp;" 'Fund Investment Data'!$A:$A = ($A2122 - 2), 'Fund Investment Data'!$B:$B &gt; 3)))  * Parameters!$B$4 * (1 - Parameters!$A$4),0)"),0.0)</f>
        <v>0</v>
      </c>
      <c r="Z2122" s="91">
        <f t="shared" si="24"/>
        <v>0</v>
      </c>
      <c r="AA2122" s="91">
        <f>IFERROR(__xludf.DUMMYFUNCTION("((IFERROR((SUM(FILTER('Fund Investment Data'!$V:$V, 'Fund Investment Data'!$C:$C = $C2122, 'Fund Investment Data'!$A:$A = $A2122 - 1, 'Fund Investment Data'!$B:$B &gt;= 4, 'Fund Investment Data'!$B:$B &lt;= ($B2122 + 5))) / 12) * ($B2122 - 3) * Parameters!$B$4,"&amp;" 0) + IF($B2122 &gt;= 9, IFERROR(SUM(FILTER('Fund Investment Data'!$V:$V, 'Fund Investment Data'!$C:$C = $C2122, 'Fund Investment Data'!$A:$A = $A2122, 'Fund Investment Data'!$B:$B &lt;= 3)) * Parameters!$B$4, 0),0)))"),0.0)</f>
        <v>0</v>
      </c>
      <c r="AB2122" s="32">
        <f>IFERROR(__xludf.DUMMYFUNCTION("IFERROR(((IFERROR(SUM(FILTER('Fund Investment Data'!$V:$V, 'Fund Investment Data'!$C:$C = $C2122, 'Fund Investment Data'!$A:$A = $A2122 - 2, 'Fund Investment Data'!$B:$B &gt;= 4)) * Parameters!$B$4,0) + IFERROR(SUM(FILTER('Fund Investment Data'!$V:$V, 'Fund "&amp;"Investment Data'!$C:$C = $C2122, 'Fund Investment Data'!$A:$A = $A2122 - 1, 'Fund Investment Data'!$B:$B &lt;= 3)) * Parameters!$B$4,0))),0)"),0.0)</f>
        <v>0</v>
      </c>
      <c r="AC2122" s="32">
        <f>IFERROR(__xludf.DUMMYFUNCTION("IFERROR(FILTER($AF:$AF,$C:$C = $C2122,$A:$A = $A2122 - 1,$B:$B = 12),0)"),0.0)</f>
        <v>0</v>
      </c>
      <c r="AD2122" s="32">
        <f t="shared" si="23"/>
        <v>0</v>
      </c>
      <c r="AE2122" s="32">
        <f t="shared" si="2"/>
        <v>0</v>
      </c>
      <c r="AF2122" s="32"/>
    </row>
    <row r="2123">
      <c r="A2123" s="86"/>
      <c r="B2123" s="87"/>
      <c r="C2123" s="88"/>
      <c r="D2123" s="104"/>
      <c r="E2123" s="104"/>
      <c r="F2123" s="104"/>
      <c r="G2123" s="104"/>
      <c r="H2123" s="104"/>
      <c r="I2123" s="104"/>
      <c r="J2123" s="104"/>
      <c r="K2123" s="32"/>
      <c r="L2123" s="32"/>
      <c r="M2123" s="32"/>
      <c r="N2123" s="32"/>
      <c r="O2123" s="106"/>
      <c r="P2123" s="91">
        <f>IFERROR(__xludf.DUMMYFUNCTION("IFERROR(sum(FILTER($D:$N,$C:$C = $C2123,$A:$A &lt; $A2123,$B:$B = 12)),0) + sum($D2123:$N2123)"),0.0)</f>
        <v>0</v>
      </c>
      <c r="Q2123" s="92">
        <f t="shared" si="1"/>
        <v>0</v>
      </c>
      <c r="R2123" s="91">
        <f t="array" ref="R2123">IFERROR(INDEX('Fund YTD Target Values'!$1:$1000, MATCH($C2123,'Fund YTD Target Values'!$A:$A,0), MATCH($A2123,'Fund YTD Target Values'!$1:$1,0)),0)</f>
        <v>0</v>
      </c>
      <c r="S2123" s="91">
        <f>IFERROR(__xludf.DUMMYFUNCTION("IFERROR(sum(FILTER('Fund Investment Data'!$V:$V, 'Fund Investment Data'!$C:$C = $C2123, 'Fund Investment Data'!$A:$A &lt; $A2123)),0) + IFERROR(sum(FILTER('Fund Investment Data'!$V:$V, 'Fund Investment Data'!$C:$C = $C2123, 'Fund Investment Data'!$A:$A = $A2"&amp;"123, 'Fund Investment Data'!$B:$B &lt;= $B2123)),0)"),0.0)</f>
        <v>0</v>
      </c>
      <c r="T2123" s="32"/>
      <c r="U2123" s="32"/>
      <c r="V2123" s="32">
        <f>IFERROR(__xludf.DUMMYFUNCTION("$D2123 - IFERROR(FILTER($D:$D,$C:$C = $C2123, $A:$A = $A2123, $B:$B = $B2123 - 1),0)"),0.0)</f>
        <v>0</v>
      </c>
      <c r="W2123" s="93">
        <f>IFERROR(__xludf.DUMMYFUNCTION("$E2123 - IFERROR(FILTER($E:$E,$C:$C = $C2123, $A:$A = $A2123, $B:$B = $B2123 - 1),0)"),0.0)</f>
        <v>0</v>
      </c>
      <c r="X2123" s="91">
        <f>IFERROR(__xludf.DUMMYFUNCTION("iFERROR((FILTER('Fund Investment Data'!$Z:$Z, 'Fund Investment Data'!$C:$C = $C2123, 'Fund Investment Data'!$A:$A = $A2123 - 1, 'Fund Investment Data'!$B:$B = 12) + FILTER('Fund Investment Data'!$AB:$AB, 'Fund Investment Data'!$C:$C = $C2123, 'Fund Invest"&amp;"ment Data'!$A:$A = $A2123 - 1, 'Fund Investment Data'!$B:$B = 12)) * (1 + AVERAGE(FILTER('Inflation Data'!$C:$C,'Inflation Data'!$A:$A = ($A2123 - 2)))) * Parameters!$A$4,0)"),0.0)</f>
        <v>0</v>
      </c>
      <c r="Y2123" s="91">
        <f>IFERROR(__xludf.DUMMYFUNCTION("IFERROR((IFERROR(FILTER('Fund Investment Data'!$P:$P,'Fund Investment Data'!$C:$C = $C2123,'Fund Investment Data'!$A:$A = ($A2123 - 2), 'Fund Investment Data'!$B:$B = 12),0) - SUM(FILTER('Fund Investment Data'!$V:$V, 'Fund Investment Data'!$C:$C = $C2123,"&amp;" 'Fund Investment Data'!$A:$A = ($A2123 - 2), 'Fund Investment Data'!$B:$B &gt; 3)))  * Parameters!$B$4 * (1 - Parameters!$A$4),0)"),0.0)</f>
        <v>0</v>
      </c>
      <c r="Z2123" s="91">
        <f t="shared" si="24"/>
        <v>0</v>
      </c>
      <c r="AA2123" s="91">
        <f>IFERROR(__xludf.DUMMYFUNCTION("((IFERROR((SUM(FILTER('Fund Investment Data'!$V:$V, 'Fund Investment Data'!$C:$C = $C2123, 'Fund Investment Data'!$A:$A = $A2123 - 1, 'Fund Investment Data'!$B:$B &gt;= 4, 'Fund Investment Data'!$B:$B &lt;= ($B2123 + 5))) / 12) * ($B2123 - 3) * Parameters!$B$4,"&amp;" 0) + IF($B2123 &gt;= 9, IFERROR(SUM(FILTER('Fund Investment Data'!$V:$V, 'Fund Investment Data'!$C:$C = $C2123, 'Fund Investment Data'!$A:$A = $A2123, 'Fund Investment Data'!$B:$B &lt;= 3)) * Parameters!$B$4, 0),0)))"),0.0)</f>
        <v>0</v>
      </c>
      <c r="AB2123" s="32">
        <f>IFERROR(__xludf.DUMMYFUNCTION("IFERROR(((IFERROR(SUM(FILTER('Fund Investment Data'!$V:$V, 'Fund Investment Data'!$C:$C = $C2123, 'Fund Investment Data'!$A:$A = $A2123 - 2, 'Fund Investment Data'!$B:$B &gt;= 4)) * Parameters!$B$4,0) + IFERROR(SUM(FILTER('Fund Investment Data'!$V:$V, 'Fund "&amp;"Investment Data'!$C:$C = $C2123, 'Fund Investment Data'!$A:$A = $A2123 - 1, 'Fund Investment Data'!$B:$B &lt;= 3)) * Parameters!$B$4,0))),0)"),0.0)</f>
        <v>0</v>
      </c>
      <c r="AC2123" s="32">
        <f>IFERROR(__xludf.DUMMYFUNCTION("IFERROR(FILTER($AF:$AF,$C:$C = $C2123,$A:$A = $A2123 - 1,$B:$B = 12),0)"),0.0)</f>
        <v>0</v>
      </c>
      <c r="AD2123" s="32">
        <f t="shared" si="23"/>
        <v>0</v>
      </c>
      <c r="AE2123" s="32">
        <f t="shared" si="2"/>
        <v>0</v>
      </c>
      <c r="AF2123" s="32"/>
    </row>
    <row r="2124">
      <c r="A2124" s="86"/>
      <c r="B2124" s="87"/>
      <c r="C2124" s="88"/>
      <c r="D2124" s="104"/>
      <c r="E2124" s="104"/>
      <c r="F2124" s="104"/>
      <c r="G2124" s="104"/>
      <c r="H2124" s="104"/>
      <c r="I2124" s="104"/>
      <c r="J2124" s="104"/>
      <c r="K2124" s="32"/>
      <c r="L2124" s="32"/>
      <c r="M2124" s="32"/>
      <c r="N2124" s="32"/>
      <c r="O2124" s="106"/>
      <c r="P2124" s="91">
        <f>IFERROR(__xludf.DUMMYFUNCTION("IFERROR(sum(FILTER($D:$N,$C:$C = $C2124,$A:$A &lt; $A2124,$B:$B = 12)),0) + sum($D2124:$N2124)"),0.0)</f>
        <v>0</v>
      </c>
      <c r="Q2124" s="92">
        <f t="shared" si="1"/>
        <v>0</v>
      </c>
      <c r="R2124" s="91">
        <f t="array" ref="R2124">IFERROR(INDEX('Fund YTD Target Values'!$1:$1000, MATCH($C2124,'Fund YTD Target Values'!$A:$A,0), MATCH($A2124,'Fund YTD Target Values'!$1:$1,0)),0)</f>
        <v>0</v>
      </c>
      <c r="S2124" s="91">
        <f>IFERROR(__xludf.DUMMYFUNCTION("IFERROR(sum(FILTER('Fund Investment Data'!$V:$V, 'Fund Investment Data'!$C:$C = $C2124, 'Fund Investment Data'!$A:$A &lt; $A2124)),0) + IFERROR(sum(FILTER('Fund Investment Data'!$V:$V, 'Fund Investment Data'!$C:$C = $C2124, 'Fund Investment Data'!$A:$A = $A2"&amp;"124, 'Fund Investment Data'!$B:$B &lt;= $B2124)),0)"),0.0)</f>
        <v>0</v>
      </c>
      <c r="T2124" s="32"/>
      <c r="U2124" s="32"/>
      <c r="V2124" s="32">
        <f>IFERROR(__xludf.DUMMYFUNCTION("$D2124 - IFERROR(FILTER($D:$D,$C:$C = $C2124, $A:$A = $A2124, $B:$B = $B2124 - 1),0)"),0.0)</f>
        <v>0</v>
      </c>
      <c r="W2124" s="93">
        <f>IFERROR(__xludf.DUMMYFUNCTION("$E2124 - IFERROR(FILTER($E:$E,$C:$C = $C2124, $A:$A = $A2124, $B:$B = $B2124 - 1),0)"),0.0)</f>
        <v>0</v>
      </c>
      <c r="X2124" s="91">
        <f>IFERROR(__xludf.DUMMYFUNCTION("iFERROR((FILTER('Fund Investment Data'!$Z:$Z, 'Fund Investment Data'!$C:$C = $C2124, 'Fund Investment Data'!$A:$A = $A2124 - 1, 'Fund Investment Data'!$B:$B = 12) + FILTER('Fund Investment Data'!$AB:$AB, 'Fund Investment Data'!$C:$C = $C2124, 'Fund Invest"&amp;"ment Data'!$A:$A = $A2124 - 1, 'Fund Investment Data'!$B:$B = 12)) * (1 + AVERAGE(FILTER('Inflation Data'!$C:$C,'Inflation Data'!$A:$A = ($A2124 - 2)))) * Parameters!$A$4,0)"),0.0)</f>
        <v>0</v>
      </c>
      <c r="Y2124" s="91">
        <f>IFERROR(__xludf.DUMMYFUNCTION("IFERROR((IFERROR(FILTER('Fund Investment Data'!$P:$P,'Fund Investment Data'!$C:$C = $C2124,'Fund Investment Data'!$A:$A = ($A2124 - 2), 'Fund Investment Data'!$B:$B = 12),0) - SUM(FILTER('Fund Investment Data'!$V:$V, 'Fund Investment Data'!$C:$C = $C2124,"&amp;" 'Fund Investment Data'!$A:$A = ($A2124 - 2), 'Fund Investment Data'!$B:$B &gt; 3)))  * Parameters!$B$4 * (1 - Parameters!$A$4),0)"),0.0)</f>
        <v>0</v>
      </c>
      <c r="Z2124" s="91">
        <f t="shared" si="24"/>
        <v>0</v>
      </c>
      <c r="AA2124" s="91">
        <f>IFERROR(__xludf.DUMMYFUNCTION("((IFERROR((SUM(FILTER('Fund Investment Data'!$V:$V, 'Fund Investment Data'!$C:$C = $C2124, 'Fund Investment Data'!$A:$A = $A2124 - 1, 'Fund Investment Data'!$B:$B &gt;= 4, 'Fund Investment Data'!$B:$B &lt;= ($B2124 + 5))) / 12) * ($B2124 - 3) * Parameters!$B$4,"&amp;" 0) + IF($B2124 &gt;= 9, IFERROR(SUM(FILTER('Fund Investment Data'!$V:$V, 'Fund Investment Data'!$C:$C = $C2124, 'Fund Investment Data'!$A:$A = $A2124, 'Fund Investment Data'!$B:$B &lt;= 3)) * Parameters!$B$4, 0),0)))"),0.0)</f>
        <v>0</v>
      </c>
      <c r="AB2124" s="32">
        <f>IFERROR(__xludf.DUMMYFUNCTION("IFERROR(((IFERROR(SUM(FILTER('Fund Investment Data'!$V:$V, 'Fund Investment Data'!$C:$C = $C2124, 'Fund Investment Data'!$A:$A = $A2124 - 2, 'Fund Investment Data'!$B:$B &gt;= 4)) * Parameters!$B$4,0) + IFERROR(SUM(FILTER('Fund Investment Data'!$V:$V, 'Fund "&amp;"Investment Data'!$C:$C = $C2124, 'Fund Investment Data'!$A:$A = $A2124 - 1, 'Fund Investment Data'!$B:$B &lt;= 3)) * Parameters!$B$4,0))),0)"),0.0)</f>
        <v>0</v>
      </c>
      <c r="AC2124" s="32">
        <f>IFERROR(__xludf.DUMMYFUNCTION("IFERROR(FILTER($AF:$AF,$C:$C = $C2124,$A:$A = $A2124 - 1,$B:$B = 12),0)"),0.0)</f>
        <v>0</v>
      </c>
      <c r="AD2124" s="32">
        <f t="shared" si="23"/>
        <v>0</v>
      </c>
      <c r="AE2124" s="32">
        <f t="shared" si="2"/>
        <v>0</v>
      </c>
      <c r="AF2124" s="32"/>
    </row>
    <row r="2125">
      <c r="A2125" s="86"/>
      <c r="B2125" s="87"/>
      <c r="C2125" s="88"/>
      <c r="D2125" s="104"/>
      <c r="E2125" s="104"/>
      <c r="F2125" s="104"/>
      <c r="G2125" s="104"/>
      <c r="H2125" s="104"/>
      <c r="I2125" s="104"/>
      <c r="J2125" s="104"/>
      <c r="K2125" s="32"/>
      <c r="L2125" s="32"/>
      <c r="M2125" s="32"/>
      <c r="N2125" s="32"/>
      <c r="O2125" s="106"/>
      <c r="P2125" s="91">
        <f>IFERROR(__xludf.DUMMYFUNCTION("IFERROR(sum(FILTER($D:$N,$C:$C = $C2125,$A:$A &lt; $A2125,$B:$B = 12)),0) + sum($D2125:$N2125)"),0.0)</f>
        <v>0</v>
      </c>
      <c r="Q2125" s="92">
        <f t="shared" si="1"/>
        <v>0</v>
      </c>
      <c r="R2125" s="91">
        <f t="array" ref="R2125">IFERROR(INDEX('Fund YTD Target Values'!$1:$1000, MATCH($C2125,'Fund YTD Target Values'!$A:$A,0), MATCH($A2125,'Fund YTD Target Values'!$1:$1,0)),0)</f>
        <v>0</v>
      </c>
      <c r="S2125" s="91">
        <f>IFERROR(__xludf.DUMMYFUNCTION("IFERROR(sum(FILTER('Fund Investment Data'!$V:$V, 'Fund Investment Data'!$C:$C = $C2125, 'Fund Investment Data'!$A:$A &lt; $A2125)),0) + IFERROR(sum(FILTER('Fund Investment Data'!$V:$V, 'Fund Investment Data'!$C:$C = $C2125, 'Fund Investment Data'!$A:$A = $A2"&amp;"125, 'Fund Investment Data'!$B:$B &lt;= $B2125)),0)"),0.0)</f>
        <v>0</v>
      </c>
      <c r="T2125" s="32"/>
      <c r="U2125" s="32"/>
      <c r="V2125" s="32">
        <f>IFERROR(__xludf.DUMMYFUNCTION("$D2125 - IFERROR(FILTER($D:$D,$C:$C = $C2125, $A:$A = $A2125, $B:$B = $B2125 - 1),0)"),0.0)</f>
        <v>0</v>
      </c>
      <c r="W2125" s="93">
        <f>IFERROR(__xludf.DUMMYFUNCTION("$E2125 - IFERROR(FILTER($E:$E,$C:$C = $C2125, $A:$A = $A2125, $B:$B = $B2125 - 1),0)"),0.0)</f>
        <v>0</v>
      </c>
      <c r="X2125" s="91">
        <f>IFERROR(__xludf.DUMMYFUNCTION("iFERROR((FILTER('Fund Investment Data'!$Z:$Z, 'Fund Investment Data'!$C:$C = $C2125, 'Fund Investment Data'!$A:$A = $A2125 - 1, 'Fund Investment Data'!$B:$B = 12) + FILTER('Fund Investment Data'!$AB:$AB, 'Fund Investment Data'!$C:$C = $C2125, 'Fund Invest"&amp;"ment Data'!$A:$A = $A2125 - 1, 'Fund Investment Data'!$B:$B = 12)) * (1 + AVERAGE(FILTER('Inflation Data'!$C:$C,'Inflation Data'!$A:$A = ($A2125 - 2)))) * Parameters!$A$4,0)"),0.0)</f>
        <v>0</v>
      </c>
      <c r="Y2125" s="91">
        <f>IFERROR(__xludf.DUMMYFUNCTION("IFERROR((IFERROR(FILTER('Fund Investment Data'!$P:$P,'Fund Investment Data'!$C:$C = $C2125,'Fund Investment Data'!$A:$A = ($A2125 - 2), 'Fund Investment Data'!$B:$B = 12),0) - SUM(FILTER('Fund Investment Data'!$V:$V, 'Fund Investment Data'!$C:$C = $C2125,"&amp;" 'Fund Investment Data'!$A:$A = ($A2125 - 2), 'Fund Investment Data'!$B:$B &gt; 3)))  * Parameters!$B$4 * (1 - Parameters!$A$4),0)"),0.0)</f>
        <v>0</v>
      </c>
      <c r="Z2125" s="91">
        <f t="shared" si="24"/>
        <v>0</v>
      </c>
      <c r="AA2125" s="91">
        <f>IFERROR(__xludf.DUMMYFUNCTION("((IFERROR((SUM(FILTER('Fund Investment Data'!$V:$V, 'Fund Investment Data'!$C:$C = $C2125, 'Fund Investment Data'!$A:$A = $A2125 - 1, 'Fund Investment Data'!$B:$B &gt;= 4, 'Fund Investment Data'!$B:$B &lt;= ($B2125 + 5))) / 12) * ($B2125 - 3) * Parameters!$B$4,"&amp;" 0) + IF($B2125 &gt;= 9, IFERROR(SUM(FILTER('Fund Investment Data'!$V:$V, 'Fund Investment Data'!$C:$C = $C2125, 'Fund Investment Data'!$A:$A = $A2125, 'Fund Investment Data'!$B:$B &lt;= 3)) * Parameters!$B$4, 0),0)))"),0.0)</f>
        <v>0</v>
      </c>
      <c r="AB2125" s="32">
        <f>IFERROR(__xludf.DUMMYFUNCTION("IFERROR(((IFERROR(SUM(FILTER('Fund Investment Data'!$V:$V, 'Fund Investment Data'!$C:$C = $C2125, 'Fund Investment Data'!$A:$A = $A2125 - 2, 'Fund Investment Data'!$B:$B &gt;= 4)) * Parameters!$B$4,0) + IFERROR(SUM(FILTER('Fund Investment Data'!$V:$V, 'Fund "&amp;"Investment Data'!$C:$C = $C2125, 'Fund Investment Data'!$A:$A = $A2125 - 1, 'Fund Investment Data'!$B:$B &lt;= 3)) * Parameters!$B$4,0))),0)"),0.0)</f>
        <v>0</v>
      </c>
      <c r="AC2125" s="32">
        <f>IFERROR(__xludf.DUMMYFUNCTION("IFERROR(FILTER($AF:$AF,$C:$C = $C2125,$A:$A = $A2125 - 1,$B:$B = 12),0)"),0.0)</f>
        <v>0</v>
      </c>
      <c r="AD2125" s="32">
        <f t="shared" si="23"/>
        <v>0</v>
      </c>
      <c r="AE2125" s="32">
        <f t="shared" si="2"/>
        <v>0</v>
      </c>
      <c r="AF2125" s="32"/>
    </row>
    <row r="2126">
      <c r="A2126" s="86"/>
      <c r="B2126" s="87"/>
      <c r="C2126" s="88"/>
      <c r="D2126" s="104"/>
      <c r="E2126" s="104"/>
      <c r="F2126" s="104"/>
      <c r="G2126" s="104"/>
      <c r="H2126" s="104"/>
      <c r="I2126" s="104"/>
      <c r="J2126" s="104"/>
      <c r="K2126" s="32"/>
      <c r="L2126" s="32"/>
      <c r="M2126" s="32"/>
      <c r="N2126" s="32"/>
      <c r="O2126" s="106"/>
      <c r="P2126" s="91">
        <f>IFERROR(__xludf.DUMMYFUNCTION("IFERROR(sum(FILTER($D:$N,$C:$C = $C2126,$A:$A &lt; $A2126,$B:$B = 12)),0) + sum($D2126:$N2126)"),0.0)</f>
        <v>0</v>
      </c>
      <c r="Q2126" s="92">
        <f t="shared" si="1"/>
        <v>0</v>
      </c>
      <c r="R2126" s="91">
        <f t="array" ref="R2126">IFERROR(INDEX('Fund YTD Target Values'!$1:$1000, MATCH($C2126,'Fund YTD Target Values'!$A:$A,0), MATCH($A2126,'Fund YTD Target Values'!$1:$1,0)),0)</f>
        <v>0</v>
      </c>
      <c r="S2126" s="91">
        <f>IFERROR(__xludf.DUMMYFUNCTION("IFERROR(sum(FILTER('Fund Investment Data'!$V:$V, 'Fund Investment Data'!$C:$C = $C2126, 'Fund Investment Data'!$A:$A &lt; $A2126)),0) + IFERROR(sum(FILTER('Fund Investment Data'!$V:$V, 'Fund Investment Data'!$C:$C = $C2126, 'Fund Investment Data'!$A:$A = $A2"&amp;"126, 'Fund Investment Data'!$B:$B &lt;= $B2126)),0)"),0.0)</f>
        <v>0</v>
      </c>
      <c r="T2126" s="32"/>
      <c r="U2126" s="32"/>
      <c r="V2126" s="32">
        <f>IFERROR(__xludf.DUMMYFUNCTION("$D2126 - IFERROR(FILTER($D:$D,$C:$C = $C2126, $A:$A = $A2126, $B:$B = $B2126 - 1),0)"),0.0)</f>
        <v>0</v>
      </c>
      <c r="W2126" s="93">
        <f>IFERROR(__xludf.DUMMYFUNCTION("$E2126 - IFERROR(FILTER($E:$E,$C:$C = $C2126, $A:$A = $A2126, $B:$B = $B2126 - 1),0)"),0.0)</f>
        <v>0</v>
      </c>
      <c r="X2126" s="91">
        <f>IFERROR(__xludf.DUMMYFUNCTION("iFERROR((FILTER('Fund Investment Data'!$Z:$Z, 'Fund Investment Data'!$C:$C = $C2126, 'Fund Investment Data'!$A:$A = $A2126 - 1, 'Fund Investment Data'!$B:$B = 12) + FILTER('Fund Investment Data'!$AB:$AB, 'Fund Investment Data'!$C:$C = $C2126, 'Fund Invest"&amp;"ment Data'!$A:$A = $A2126 - 1, 'Fund Investment Data'!$B:$B = 12)) * (1 + AVERAGE(FILTER('Inflation Data'!$C:$C,'Inflation Data'!$A:$A = ($A2126 - 2)))) * Parameters!$A$4,0)"),0.0)</f>
        <v>0</v>
      </c>
      <c r="Y2126" s="91">
        <f>IFERROR(__xludf.DUMMYFUNCTION("IFERROR((IFERROR(FILTER('Fund Investment Data'!$P:$P,'Fund Investment Data'!$C:$C = $C2126,'Fund Investment Data'!$A:$A = ($A2126 - 2), 'Fund Investment Data'!$B:$B = 12),0) - SUM(FILTER('Fund Investment Data'!$V:$V, 'Fund Investment Data'!$C:$C = $C2126,"&amp;" 'Fund Investment Data'!$A:$A = ($A2126 - 2), 'Fund Investment Data'!$B:$B &gt; 3)))  * Parameters!$B$4 * (1 - Parameters!$A$4),0)"),0.0)</f>
        <v>0</v>
      </c>
      <c r="Z2126" s="91">
        <f t="shared" si="24"/>
        <v>0</v>
      </c>
      <c r="AA2126" s="91">
        <f>IFERROR(__xludf.DUMMYFUNCTION("((IFERROR((SUM(FILTER('Fund Investment Data'!$V:$V, 'Fund Investment Data'!$C:$C = $C2126, 'Fund Investment Data'!$A:$A = $A2126 - 1, 'Fund Investment Data'!$B:$B &gt;= 4, 'Fund Investment Data'!$B:$B &lt;= ($B2126 + 5))) / 12) * ($B2126 - 3) * Parameters!$B$4,"&amp;" 0) + IF($B2126 &gt;= 9, IFERROR(SUM(FILTER('Fund Investment Data'!$V:$V, 'Fund Investment Data'!$C:$C = $C2126, 'Fund Investment Data'!$A:$A = $A2126, 'Fund Investment Data'!$B:$B &lt;= 3)) * Parameters!$B$4, 0),0)))"),0.0)</f>
        <v>0</v>
      </c>
      <c r="AB2126" s="32">
        <f>IFERROR(__xludf.DUMMYFUNCTION("IFERROR(((IFERROR(SUM(FILTER('Fund Investment Data'!$V:$V, 'Fund Investment Data'!$C:$C = $C2126, 'Fund Investment Data'!$A:$A = $A2126 - 2, 'Fund Investment Data'!$B:$B &gt;= 4)) * Parameters!$B$4,0) + IFERROR(SUM(FILTER('Fund Investment Data'!$V:$V, 'Fund "&amp;"Investment Data'!$C:$C = $C2126, 'Fund Investment Data'!$A:$A = $A2126 - 1, 'Fund Investment Data'!$B:$B &lt;= 3)) * Parameters!$B$4,0))),0)"),0.0)</f>
        <v>0</v>
      </c>
      <c r="AC2126" s="32">
        <f>IFERROR(__xludf.DUMMYFUNCTION("IFERROR(FILTER($AF:$AF,$C:$C = $C2126,$A:$A = $A2126 - 1,$B:$B = 12),0)"),0.0)</f>
        <v>0</v>
      </c>
      <c r="AD2126" s="32">
        <f t="shared" si="23"/>
        <v>0</v>
      </c>
      <c r="AE2126" s="32">
        <f t="shared" si="2"/>
        <v>0</v>
      </c>
      <c r="AF2126" s="32"/>
    </row>
    <row r="2127">
      <c r="A2127" s="86"/>
      <c r="B2127" s="87"/>
      <c r="C2127" s="88"/>
      <c r="D2127" s="104"/>
      <c r="E2127" s="104"/>
      <c r="F2127" s="104"/>
      <c r="G2127" s="104"/>
      <c r="H2127" s="104"/>
      <c r="I2127" s="104"/>
      <c r="J2127" s="104"/>
      <c r="K2127" s="32"/>
      <c r="L2127" s="32"/>
      <c r="M2127" s="32"/>
      <c r="N2127" s="32"/>
      <c r="O2127" s="106"/>
      <c r="P2127" s="91">
        <f>IFERROR(__xludf.DUMMYFUNCTION("IFERROR(sum(FILTER($D:$N,$C:$C = $C2127,$A:$A &lt; $A2127,$B:$B = 12)),0) + sum($D2127:$N2127)"),0.0)</f>
        <v>0</v>
      </c>
      <c r="Q2127" s="92">
        <f t="shared" si="1"/>
        <v>0</v>
      </c>
      <c r="R2127" s="91">
        <f t="array" ref="R2127">IFERROR(INDEX('Fund YTD Target Values'!$1:$1000, MATCH($C2127,'Fund YTD Target Values'!$A:$A,0), MATCH($A2127,'Fund YTD Target Values'!$1:$1,0)),0)</f>
        <v>0</v>
      </c>
      <c r="S2127" s="91">
        <f>IFERROR(__xludf.DUMMYFUNCTION("IFERROR(sum(FILTER('Fund Investment Data'!$V:$V, 'Fund Investment Data'!$C:$C = $C2127, 'Fund Investment Data'!$A:$A &lt; $A2127)),0) + IFERROR(sum(FILTER('Fund Investment Data'!$V:$V, 'Fund Investment Data'!$C:$C = $C2127, 'Fund Investment Data'!$A:$A = $A2"&amp;"127, 'Fund Investment Data'!$B:$B &lt;= $B2127)),0)"),0.0)</f>
        <v>0</v>
      </c>
      <c r="T2127" s="32"/>
      <c r="U2127" s="32"/>
      <c r="V2127" s="32">
        <f>IFERROR(__xludf.DUMMYFUNCTION("$D2127 - IFERROR(FILTER($D:$D,$C:$C = $C2127, $A:$A = $A2127, $B:$B = $B2127 - 1),0)"),0.0)</f>
        <v>0</v>
      </c>
      <c r="W2127" s="93">
        <f>IFERROR(__xludf.DUMMYFUNCTION("$E2127 - IFERROR(FILTER($E:$E,$C:$C = $C2127, $A:$A = $A2127, $B:$B = $B2127 - 1),0)"),0.0)</f>
        <v>0</v>
      </c>
      <c r="X2127" s="91">
        <f>IFERROR(__xludf.DUMMYFUNCTION("iFERROR((FILTER('Fund Investment Data'!$Z:$Z, 'Fund Investment Data'!$C:$C = $C2127, 'Fund Investment Data'!$A:$A = $A2127 - 1, 'Fund Investment Data'!$B:$B = 12) + FILTER('Fund Investment Data'!$AB:$AB, 'Fund Investment Data'!$C:$C = $C2127, 'Fund Invest"&amp;"ment Data'!$A:$A = $A2127 - 1, 'Fund Investment Data'!$B:$B = 12)) * (1 + AVERAGE(FILTER('Inflation Data'!$C:$C,'Inflation Data'!$A:$A = ($A2127 - 2)))) * Parameters!$A$4,0)"),0.0)</f>
        <v>0</v>
      </c>
      <c r="Y2127" s="91">
        <f>IFERROR(__xludf.DUMMYFUNCTION("IFERROR((IFERROR(FILTER('Fund Investment Data'!$P:$P,'Fund Investment Data'!$C:$C = $C2127,'Fund Investment Data'!$A:$A = ($A2127 - 2), 'Fund Investment Data'!$B:$B = 12),0) - SUM(FILTER('Fund Investment Data'!$V:$V, 'Fund Investment Data'!$C:$C = $C2127,"&amp;" 'Fund Investment Data'!$A:$A = ($A2127 - 2), 'Fund Investment Data'!$B:$B &gt; 3)))  * Parameters!$B$4 * (1 - Parameters!$A$4),0)"),0.0)</f>
        <v>0</v>
      </c>
      <c r="Z2127" s="91">
        <f t="shared" si="24"/>
        <v>0</v>
      </c>
      <c r="AA2127" s="91">
        <f>IFERROR(__xludf.DUMMYFUNCTION("((IFERROR((SUM(FILTER('Fund Investment Data'!$V:$V, 'Fund Investment Data'!$C:$C = $C2127, 'Fund Investment Data'!$A:$A = $A2127 - 1, 'Fund Investment Data'!$B:$B &gt;= 4, 'Fund Investment Data'!$B:$B &lt;= ($B2127 + 5))) / 12) * ($B2127 - 3) * Parameters!$B$4,"&amp;" 0) + IF($B2127 &gt;= 9, IFERROR(SUM(FILTER('Fund Investment Data'!$V:$V, 'Fund Investment Data'!$C:$C = $C2127, 'Fund Investment Data'!$A:$A = $A2127, 'Fund Investment Data'!$B:$B &lt;= 3)) * Parameters!$B$4, 0),0)))"),0.0)</f>
        <v>0</v>
      </c>
      <c r="AB2127" s="32">
        <f>IFERROR(__xludf.DUMMYFUNCTION("IFERROR(((IFERROR(SUM(FILTER('Fund Investment Data'!$V:$V, 'Fund Investment Data'!$C:$C = $C2127, 'Fund Investment Data'!$A:$A = $A2127 - 2, 'Fund Investment Data'!$B:$B &gt;= 4)) * Parameters!$B$4,0) + IFERROR(SUM(FILTER('Fund Investment Data'!$V:$V, 'Fund "&amp;"Investment Data'!$C:$C = $C2127, 'Fund Investment Data'!$A:$A = $A2127 - 1, 'Fund Investment Data'!$B:$B &lt;= 3)) * Parameters!$B$4,0))),0)"),0.0)</f>
        <v>0</v>
      </c>
      <c r="AC2127" s="32">
        <f>IFERROR(__xludf.DUMMYFUNCTION("IFERROR(FILTER($AF:$AF,$C:$C = $C2127,$A:$A = $A2127 - 1,$B:$B = 12),0)"),0.0)</f>
        <v>0</v>
      </c>
      <c r="AD2127" s="32">
        <f t="shared" si="23"/>
        <v>0</v>
      </c>
      <c r="AE2127" s="32">
        <f t="shared" si="2"/>
        <v>0</v>
      </c>
      <c r="AF2127" s="32"/>
    </row>
    <row r="2128">
      <c r="A2128" s="86"/>
      <c r="B2128" s="87"/>
      <c r="C2128" s="88"/>
      <c r="D2128" s="104"/>
      <c r="E2128" s="104"/>
      <c r="F2128" s="104"/>
      <c r="G2128" s="104"/>
      <c r="H2128" s="104"/>
      <c r="I2128" s="104"/>
      <c r="J2128" s="104"/>
      <c r="K2128" s="32"/>
      <c r="L2128" s="32"/>
      <c r="M2128" s="32"/>
      <c r="N2128" s="32"/>
      <c r="O2128" s="106"/>
      <c r="P2128" s="91">
        <f>IFERROR(__xludf.DUMMYFUNCTION("IFERROR(sum(FILTER($D:$N,$C:$C = $C2128,$A:$A &lt; $A2128,$B:$B = 12)),0) + sum($D2128:$N2128)"),0.0)</f>
        <v>0</v>
      </c>
      <c r="Q2128" s="92">
        <f t="shared" si="1"/>
        <v>0</v>
      </c>
      <c r="R2128" s="91">
        <f t="array" ref="R2128">IFERROR(INDEX('Fund YTD Target Values'!$1:$1000, MATCH($C2128,'Fund YTD Target Values'!$A:$A,0), MATCH($A2128,'Fund YTD Target Values'!$1:$1,0)),0)</f>
        <v>0</v>
      </c>
      <c r="S2128" s="91">
        <f>IFERROR(__xludf.DUMMYFUNCTION("IFERROR(sum(FILTER('Fund Investment Data'!$V:$V, 'Fund Investment Data'!$C:$C = $C2128, 'Fund Investment Data'!$A:$A &lt; $A2128)),0) + IFERROR(sum(FILTER('Fund Investment Data'!$V:$V, 'Fund Investment Data'!$C:$C = $C2128, 'Fund Investment Data'!$A:$A = $A2"&amp;"128, 'Fund Investment Data'!$B:$B &lt;= $B2128)),0)"),0.0)</f>
        <v>0</v>
      </c>
      <c r="T2128" s="32"/>
      <c r="U2128" s="32"/>
      <c r="V2128" s="32">
        <f>IFERROR(__xludf.DUMMYFUNCTION("$D2128 - IFERROR(FILTER($D:$D,$C:$C = $C2128, $A:$A = $A2128, $B:$B = $B2128 - 1),0)"),0.0)</f>
        <v>0</v>
      </c>
      <c r="W2128" s="93">
        <f>IFERROR(__xludf.DUMMYFUNCTION("$E2128 - IFERROR(FILTER($E:$E,$C:$C = $C2128, $A:$A = $A2128, $B:$B = $B2128 - 1),0)"),0.0)</f>
        <v>0</v>
      </c>
      <c r="X2128" s="91">
        <f>IFERROR(__xludf.DUMMYFUNCTION("iFERROR((FILTER('Fund Investment Data'!$Z:$Z, 'Fund Investment Data'!$C:$C = $C2128, 'Fund Investment Data'!$A:$A = $A2128 - 1, 'Fund Investment Data'!$B:$B = 12) + FILTER('Fund Investment Data'!$AB:$AB, 'Fund Investment Data'!$C:$C = $C2128, 'Fund Invest"&amp;"ment Data'!$A:$A = $A2128 - 1, 'Fund Investment Data'!$B:$B = 12)) * (1 + AVERAGE(FILTER('Inflation Data'!$C:$C,'Inflation Data'!$A:$A = ($A2128 - 2)))) * Parameters!$A$4,0)"),0.0)</f>
        <v>0</v>
      </c>
      <c r="Y2128" s="91">
        <f>IFERROR(__xludf.DUMMYFUNCTION("IFERROR((IFERROR(FILTER('Fund Investment Data'!$P:$P,'Fund Investment Data'!$C:$C = $C2128,'Fund Investment Data'!$A:$A = ($A2128 - 2), 'Fund Investment Data'!$B:$B = 12),0) - SUM(FILTER('Fund Investment Data'!$V:$V, 'Fund Investment Data'!$C:$C = $C2128,"&amp;" 'Fund Investment Data'!$A:$A = ($A2128 - 2), 'Fund Investment Data'!$B:$B &gt; 3)))  * Parameters!$B$4 * (1 - Parameters!$A$4),0)"),0.0)</f>
        <v>0</v>
      </c>
      <c r="Z2128" s="91">
        <f t="shared" si="24"/>
        <v>0</v>
      </c>
      <c r="AA2128" s="91">
        <f>IFERROR(__xludf.DUMMYFUNCTION("((IFERROR((SUM(FILTER('Fund Investment Data'!$V:$V, 'Fund Investment Data'!$C:$C = $C2128, 'Fund Investment Data'!$A:$A = $A2128 - 1, 'Fund Investment Data'!$B:$B &gt;= 4, 'Fund Investment Data'!$B:$B &lt;= ($B2128 + 5))) / 12) * ($B2128 - 3) * Parameters!$B$4,"&amp;" 0) + IF($B2128 &gt;= 9, IFERROR(SUM(FILTER('Fund Investment Data'!$V:$V, 'Fund Investment Data'!$C:$C = $C2128, 'Fund Investment Data'!$A:$A = $A2128, 'Fund Investment Data'!$B:$B &lt;= 3)) * Parameters!$B$4, 0),0)))"),0.0)</f>
        <v>0</v>
      </c>
      <c r="AB2128" s="32">
        <f>IFERROR(__xludf.DUMMYFUNCTION("IFERROR(((IFERROR(SUM(FILTER('Fund Investment Data'!$V:$V, 'Fund Investment Data'!$C:$C = $C2128, 'Fund Investment Data'!$A:$A = $A2128 - 2, 'Fund Investment Data'!$B:$B &gt;= 4)) * Parameters!$B$4,0) + IFERROR(SUM(FILTER('Fund Investment Data'!$V:$V, 'Fund "&amp;"Investment Data'!$C:$C = $C2128, 'Fund Investment Data'!$A:$A = $A2128 - 1, 'Fund Investment Data'!$B:$B &lt;= 3)) * Parameters!$B$4,0))),0)"),0.0)</f>
        <v>0</v>
      </c>
      <c r="AC2128" s="32">
        <f>IFERROR(__xludf.DUMMYFUNCTION("IFERROR(FILTER($AF:$AF,$C:$C = $C2128,$A:$A = $A2128 - 1,$B:$B = 12),0)"),0.0)</f>
        <v>0</v>
      </c>
      <c r="AD2128" s="32">
        <f t="shared" si="23"/>
        <v>0</v>
      </c>
      <c r="AE2128" s="32">
        <f t="shared" si="2"/>
        <v>0</v>
      </c>
      <c r="AF2128" s="32"/>
    </row>
    <row r="2129">
      <c r="A2129" s="86"/>
      <c r="B2129" s="87"/>
      <c r="C2129" s="88"/>
      <c r="D2129" s="104"/>
      <c r="E2129" s="104"/>
      <c r="F2129" s="104"/>
      <c r="G2129" s="104"/>
      <c r="H2129" s="104"/>
      <c r="I2129" s="104"/>
      <c r="J2129" s="104"/>
      <c r="K2129" s="32"/>
      <c r="L2129" s="32"/>
      <c r="M2129" s="32"/>
      <c r="N2129" s="32"/>
      <c r="O2129" s="106"/>
      <c r="P2129" s="91">
        <f>IFERROR(__xludf.DUMMYFUNCTION("IFERROR(sum(FILTER($D:$N,$C:$C = $C2129,$A:$A &lt; $A2129,$B:$B = 12)),0) + sum($D2129:$N2129)"),0.0)</f>
        <v>0</v>
      </c>
      <c r="Q2129" s="92">
        <f t="shared" si="1"/>
        <v>0</v>
      </c>
      <c r="R2129" s="91">
        <f t="array" ref="R2129">IFERROR(INDEX('Fund YTD Target Values'!$1:$1000, MATCH($C2129,'Fund YTD Target Values'!$A:$A,0), MATCH($A2129,'Fund YTD Target Values'!$1:$1,0)),0)</f>
        <v>0</v>
      </c>
      <c r="S2129" s="91">
        <f>IFERROR(__xludf.DUMMYFUNCTION("IFERROR(sum(FILTER('Fund Investment Data'!$V:$V, 'Fund Investment Data'!$C:$C = $C2129, 'Fund Investment Data'!$A:$A &lt; $A2129)),0) + IFERROR(sum(FILTER('Fund Investment Data'!$V:$V, 'Fund Investment Data'!$C:$C = $C2129, 'Fund Investment Data'!$A:$A = $A2"&amp;"129, 'Fund Investment Data'!$B:$B &lt;= $B2129)),0)"),0.0)</f>
        <v>0</v>
      </c>
      <c r="T2129" s="32"/>
      <c r="U2129" s="32"/>
      <c r="V2129" s="32">
        <f>IFERROR(__xludf.DUMMYFUNCTION("$D2129 - IFERROR(FILTER($D:$D,$C:$C = $C2129, $A:$A = $A2129, $B:$B = $B2129 - 1),0)"),0.0)</f>
        <v>0</v>
      </c>
      <c r="W2129" s="93">
        <f>IFERROR(__xludf.DUMMYFUNCTION("$E2129 - IFERROR(FILTER($E:$E,$C:$C = $C2129, $A:$A = $A2129, $B:$B = $B2129 - 1),0)"),0.0)</f>
        <v>0</v>
      </c>
      <c r="X2129" s="91">
        <f>IFERROR(__xludf.DUMMYFUNCTION("iFERROR((FILTER('Fund Investment Data'!$Z:$Z, 'Fund Investment Data'!$C:$C = $C2129, 'Fund Investment Data'!$A:$A = $A2129 - 1, 'Fund Investment Data'!$B:$B = 12) + FILTER('Fund Investment Data'!$AB:$AB, 'Fund Investment Data'!$C:$C = $C2129, 'Fund Invest"&amp;"ment Data'!$A:$A = $A2129 - 1, 'Fund Investment Data'!$B:$B = 12)) * (1 + AVERAGE(FILTER('Inflation Data'!$C:$C,'Inflation Data'!$A:$A = ($A2129 - 2)))) * Parameters!$A$4,0)"),0.0)</f>
        <v>0</v>
      </c>
      <c r="Y2129" s="91">
        <f>IFERROR(__xludf.DUMMYFUNCTION("IFERROR((IFERROR(FILTER('Fund Investment Data'!$P:$P,'Fund Investment Data'!$C:$C = $C2129,'Fund Investment Data'!$A:$A = ($A2129 - 2), 'Fund Investment Data'!$B:$B = 12),0) - SUM(FILTER('Fund Investment Data'!$V:$V, 'Fund Investment Data'!$C:$C = $C2129,"&amp;" 'Fund Investment Data'!$A:$A = ($A2129 - 2), 'Fund Investment Data'!$B:$B &gt; 3)))  * Parameters!$B$4 * (1 - Parameters!$A$4),0)"),0.0)</f>
        <v>0</v>
      </c>
      <c r="Z2129" s="91">
        <f t="shared" si="24"/>
        <v>0</v>
      </c>
      <c r="AA2129" s="91">
        <f>IFERROR(__xludf.DUMMYFUNCTION("((IFERROR((SUM(FILTER('Fund Investment Data'!$V:$V, 'Fund Investment Data'!$C:$C = $C2129, 'Fund Investment Data'!$A:$A = $A2129 - 1, 'Fund Investment Data'!$B:$B &gt;= 4, 'Fund Investment Data'!$B:$B &lt;= ($B2129 + 5))) / 12) * ($B2129 - 3) * Parameters!$B$4,"&amp;" 0) + IF($B2129 &gt;= 9, IFERROR(SUM(FILTER('Fund Investment Data'!$V:$V, 'Fund Investment Data'!$C:$C = $C2129, 'Fund Investment Data'!$A:$A = $A2129, 'Fund Investment Data'!$B:$B &lt;= 3)) * Parameters!$B$4, 0),0)))"),0.0)</f>
        <v>0</v>
      </c>
      <c r="AB2129" s="32">
        <f>IFERROR(__xludf.DUMMYFUNCTION("IFERROR(((IFERROR(SUM(FILTER('Fund Investment Data'!$V:$V, 'Fund Investment Data'!$C:$C = $C2129, 'Fund Investment Data'!$A:$A = $A2129 - 2, 'Fund Investment Data'!$B:$B &gt;= 4)) * Parameters!$B$4,0) + IFERROR(SUM(FILTER('Fund Investment Data'!$V:$V, 'Fund "&amp;"Investment Data'!$C:$C = $C2129, 'Fund Investment Data'!$A:$A = $A2129 - 1, 'Fund Investment Data'!$B:$B &lt;= 3)) * Parameters!$B$4,0))),0)"),0.0)</f>
        <v>0</v>
      </c>
      <c r="AC2129" s="32">
        <f>IFERROR(__xludf.DUMMYFUNCTION("IFERROR(FILTER($AF:$AF,$C:$C = $C2129,$A:$A = $A2129 - 1,$B:$B = 12),0)"),0.0)</f>
        <v>0</v>
      </c>
      <c r="AD2129" s="32">
        <f t="shared" si="23"/>
        <v>0</v>
      </c>
      <c r="AE2129" s="32">
        <f t="shared" si="2"/>
        <v>0</v>
      </c>
      <c r="AF2129" s="32"/>
    </row>
    <row r="2130">
      <c r="A2130" s="86"/>
      <c r="B2130" s="87"/>
      <c r="C2130" s="88"/>
      <c r="D2130" s="104"/>
      <c r="E2130" s="104"/>
      <c r="F2130" s="104"/>
      <c r="G2130" s="104"/>
      <c r="H2130" s="104"/>
      <c r="I2130" s="104"/>
      <c r="J2130" s="104"/>
      <c r="K2130" s="32"/>
      <c r="L2130" s="32"/>
      <c r="M2130" s="32"/>
      <c r="N2130" s="32"/>
      <c r="O2130" s="106"/>
      <c r="P2130" s="91">
        <f>IFERROR(__xludf.DUMMYFUNCTION("IFERROR(sum(FILTER($D:$N,$C:$C = $C2130,$A:$A &lt; $A2130,$B:$B = 12)),0) + sum($D2130:$N2130)"),0.0)</f>
        <v>0</v>
      </c>
      <c r="Q2130" s="92">
        <f t="shared" si="1"/>
        <v>0</v>
      </c>
      <c r="R2130" s="91">
        <f t="array" ref="R2130">IFERROR(INDEX('Fund YTD Target Values'!$1:$1000, MATCH($C2130,'Fund YTD Target Values'!$A:$A,0), MATCH($A2130,'Fund YTD Target Values'!$1:$1,0)),0)</f>
        <v>0</v>
      </c>
      <c r="S2130" s="91">
        <f>IFERROR(__xludf.DUMMYFUNCTION("IFERROR(sum(FILTER('Fund Investment Data'!$V:$V, 'Fund Investment Data'!$C:$C = $C2130, 'Fund Investment Data'!$A:$A &lt; $A2130)),0) + IFERROR(sum(FILTER('Fund Investment Data'!$V:$V, 'Fund Investment Data'!$C:$C = $C2130, 'Fund Investment Data'!$A:$A = $A2"&amp;"130, 'Fund Investment Data'!$B:$B &lt;= $B2130)),0)"),0.0)</f>
        <v>0</v>
      </c>
      <c r="T2130" s="32"/>
      <c r="U2130" s="32"/>
      <c r="V2130" s="32">
        <f>IFERROR(__xludf.DUMMYFUNCTION("$D2130 - IFERROR(FILTER($D:$D,$C:$C = $C2130, $A:$A = $A2130, $B:$B = $B2130 - 1),0)"),0.0)</f>
        <v>0</v>
      </c>
      <c r="W2130" s="93">
        <f>IFERROR(__xludf.DUMMYFUNCTION("$E2130 - IFERROR(FILTER($E:$E,$C:$C = $C2130, $A:$A = $A2130, $B:$B = $B2130 - 1),0)"),0.0)</f>
        <v>0</v>
      </c>
      <c r="X2130" s="91">
        <f>IFERROR(__xludf.DUMMYFUNCTION("iFERROR((FILTER('Fund Investment Data'!$Z:$Z, 'Fund Investment Data'!$C:$C = $C2130, 'Fund Investment Data'!$A:$A = $A2130 - 1, 'Fund Investment Data'!$B:$B = 12) + FILTER('Fund Investment Data'!$AB:$AB, 'Fund Investment Data'!$C:$C = $C2130, 'Fund Invest"&amp;"ment Data'!$A:$A = $A2130 - 1, 'Fund Investment Data'!$B:$B = 12)) * (1 + AVERAGE(FILTER('Inflation Data'!$C:$C,'Inflation Data'!$A:$A = ($A2130 - 2)))) * Parameters!$A$4,0)"),0.0)</f>
        <v>0</v>
      </c>
      <c r="Y2130" s="91">
        <f>IFERROR(__xludf.DUMMYFUNCTION("IFERROR((IFERROR(FILTER('Fund Investment Data'!$P:$P,'Fund Investment Data'!$C:$C = $C2130,'Fund Investment Data'!$A:$A = ($A2130 - 2), 'Fund Investment Data'!$B:$B = 12),0) - SUM(FILTER('Fund Investment Data'!$V:$V, 'Fund Investment Data'!$C:$C = $C2130,"&amp;" 'Fund Investment Data'!$A:$A = ($A2130 - 2), 'Fund Investment Data'!$B:$B &gt; 3)))  * Parameters!$B$4 * (1 - Parameters!$A$4),0)"),0.0)</f>
        <v>0</v>
      </c>
      <c r="Z2130" s="91">
        <f t="shared" si="24"/>
        <v>0</v>
      </c>
      <c r="AA2130" s="91">
        <f>IFERROR(__xludf.DUMMYFUNCTION("((IFERROR((SUM(FILTER('Fund Investment Data'!$V:$V, 'Fund Investment Data'!$C:$C = $C2130, 'Fund Investment Data'!$A:$A = $A2130 - 1, 'Fund Investment Data'!$B:$B &gt;= 4, 'Fund Investment Data'!$B:$B &lt;= ($B2130 + 5))) / 12) * ($B2130 - 3) * Parameters!$B$4,"&amp;" 0) + IF($B2130 &gt;= 9, IFERROR(SUM(FILTER('Fund Investment Data'!$V:$V, 'Fund Investment Data'!$C:$C = $C2130, 'Fund Investment Data'!$A:$A = $A2130, 'Fund Investment Data'!$B:$B &lt;= 3)) * Parameters!$B$4, 0),0)))"),0.0)</f>
        <v>0</v>
      </c>
      <c r="AB2130" s="32">
        <f>IFERROR(__xludf.DUMMYFUNCTION("IFERROR(((IFERROR(SUM(FILTER('Fund Investment Data'!$V:$V, 'Fund Investment Data'!$C:$C = $C2130, 'Fund Investment Data'!$A:$A = $A2130 - 2, 'Fund Investment Data'!$B:$B &gt;= 4)) * Parameters!$B$4,0) + IFERROR(SUM(FILTER('Fund Investment Data'!$V:$V, 'Fund "&amp;"Investment Data'!$C:$C = $C2130, 'Fund Investment Data'!$A:$A = $A2130 - 1, 'Fund Investment Data'!$B:$B &lt;= 3)) * Parameters!$B$4,0))),0)"),0.0)</f>
        <v>0</v>
      </c>
      <c r="AC2130" s="32">
        <f>IFERROR(__xludf.DUMMYFUNCTION("IFERROR(FILTER($AF:$AF,$C:$C = $C2130,$A:$A = $A2130 - 1,$B:$B = 12),0)"),0.0)</f>
        <v>0</v>
      </c>
      <c r="AD2130" s="32">
        <f t="shared" si="23"/>
        <v>0</v>
      </c>
      <c r="AE2130" s="32">
        <f t="shared" si="2"/>
        <v>0</v>
      </c>
      <c r="AF2130" s="32"/>
    </row>
    <row r="2131">
      <c r="A2131" s="86"/>
      <c r="B2131" s="87"/>
      <c r="C2131" s="88"/>
      <c r="D2131" s="104"/>
      <c r="E2131" s="104"/>
      <c r="F2131" s="104"/>
      <c r="G2131" s="104"/>
      <c r="H2131" s="104"/>
      <c r="I2131" s="104"/>
      <c r="J2131" s="104"/>
      <c r="K2131" s="32"/>
      <c r="L2131" s="32"/>
      <c r="M2131" s="32"/>
      <c r="N2131" s="32"/>
      <c r="O2131" s="106"/>
      <c r="P2131" s="91">
        <f>IFERROR(__xludf.DUMMYFUNCTION("IFERROR(sum(FILTER($D:$N,$C:$C = $C2131,$A:$A &lt; $A2131,$B:$B = 12)),0) + sum($D2131:$N2131)"),0.0)</f>
        <v>0</v>
      </c>
      <c r="Q2131" s="92">
        <f t="shared" si="1"/>
        <v>0</v>
      </c>
      <c r="R2131" s="91">
        <f t="array" ref="R2131">IFERROR(INDEX('Fund YTD Target Values'!$1:$1000, MATCH($C2131,'Fund YTD Target Values'!$A:$A,0), MATCH($A2131,'Fund YTD Target Values'!$1:$1,0)),0)</f>
        <v>0</v>
      </c>
      <c r="S2131" s="91">
        <f>IFERROR(__xludf.DUMMYFUNCTION("IFERROR(sum(FILTER('Fund Investment Data'!$V:$V, 'Fund Investment Data'!$C:$C = $C2131, 'Fund Investment Data'!$A:$A &lt; $A2131)),0) + IFERROR(sum(FILTER('Fund Investment Data'!$V:$V, 'Fund Investment Data'!$C:$C = $C2131, 'Fund Investment Data'!$A:$A = $A2"&amp;"131, 'Fund Investment Data'!$B:$B &lt;= $B2131)),0)"),0.0)</f>
        <v>0</v>
      </c>
      <c r="T2131" s="32"/>
      <c r="U2131" s="32"/>
      <c r="V2131" s="32">
        <f>IFERROR(__xludf.DUMMYFUNCTION("$D2131 - IFERROR(FILTER($D:$D,$C:$C = $C2131, $A:$A = $A2131, $B:$B = $B2131 - 1),0)"),0.0)</f>
        <v>0</v>
      </c>
      <c r="W2131" s="93">
        <f>IFERROR(__xludf.DUMMYFUNCTION("$E2131 - IFERROR(FILTER($E:$E,$C:$C = $C2131, $A:$A = $A2131, $B:$B = $B2131 - 1),0)"),0.0)</f>
        <v>0</v>
      </c>
      <c r="X2131" s="91">
        <f>IFERROR(__xludf.DUMMYFUNCTION("iFERROR((FILTER('Fund Investment Data'!$Z:$Z, 'Fund Investment Data'!$C:$C = $C2131, 'Fund Investment Data'!$A:$A = $A2131 - 1, 'Fund Investment Data'!$B:$B = 12) + FILTER('Fund Investment Data'!$AB:$AB, 'Fund Investment Data'!$C:$C = $C2131, 'Fund Invest"&amp;"ment Data'!$A:$A = $A2131 - 1, 'Fund Investment Data'!$B:$B = 12)) * (1 + AVERAGE(FILTER('Inflation Data'!$C:$C,'Inflation Data'!$A:$A = ($A2131 - 2)))) * Parameters!$A$4,0)"),0.0)</f>
        <v>0</v>
      </c>
      <c r="Y2131" s="91">
        <f>IFERROR(__xludf.DUMMYFUNCTION("IFERROR((IFERROR(FILTER('Fund Investment Data'!$P:$P,'Fund Investment Data'!$C:$C = $C2131,'Fund Investment Data'!$A:$A = ($A2131 - 2), 'Fund Investment Data'!$B:$B = 12),0) - SUM(FILTER('Fund Investment Data'!$V:$V, 'Fund Investment Data'!$C:$C = $C2131,"&amp;" 'Fund Investment Data'!$A:$A = ($A2131 - 2), 'Fund Investment Data'!$B:$B &gt; 3)))  * Parameters!$B$4 * (1 - Parameters!$A$4),0)"),0.0)</f>
        <v>0</v>
      </c>
      <c r="Z2131" s="91">
        <f t="shared" si="24"/>
        <v>0</v>
      </c>
      <c r="AA2131" s="91">
        <f>IFERROR(__xludf.DUMMYFUNCTION("((IFERROR((SUM(FILTER('Fund Investment Data'!$V:$V, 'Fund Investment Data'!$C:$C = $C2131, 'Fund Investment Data'!$A:$A = $A2131 - 1, 'Fund Investment Data'!$B:$B &gt;= 4, 'Fund Investment Data'!$B:$B &lt;= ($B2131 + 5))) / 12) * ($B2131 - 3) * Parameters!$B$4,"&amp;" 0) + IF($B2131 &gt;= 9, IFERROR(SUM(FILTER('Fund Investment Data'!$V:$V, 'Fund Investment Data'!$C:$C = $C2131, 'Fund Investment Data'!$A:$A = $A2131, 'Fund Investment Data'!$B:$B &lt;= 3)) * Parameters!$B$4, 0),0)))"),0.0)</f>
        <v>0</v>
      </c>
      <c r="AB2131" s="32">
        <f>IFERROR(__xludf.DUMMYFUNCTION("IFERROR(((IFERROR(SUM(FILTER('Fund Investment Data'!$V:$V, 'Fund Investment Data'!$C:$C = $C2131, 'Fund Investment Data'!$A:$A = $A2131 - 2, 'Fund Investment Data'!$B:$B &gt;= 4)) * Parameters!$B$4,0) + IFERROR(SUM(FILTER('Fund Investment Data'!$V:$V, 'Fund "&amp;"Investment Data'!$C:$C = $C2131, 'Fund Investment Data'!$A:$A = $A2131 - 1, 'Fund Investment Data'!$B:$B &lt;= 3)) * Parameters!$B$4,0))),0)"),0.0)</f>
        <v>0</v>
      </c>
      <c r="AC2131" s="32">
        <f>IFERROR(__xludf.DUMMYFUNCTION("IFERROR(FILTER($AF:$AF,$C:$C = $C2131,$A:$A = $A2131 - 1,$B:$B = 12),0)"),0.0)</f>
        <v>0</v>
      </c>
      <c r="AD2131" s="32">
        <f t="shared" si="23"/>
        <v>0</v>
      </c>
      <c r="AE2131" s="32">
        <f t="shared" si="2"/>
        <v>0</v>
      </c>
      <c r="AF2131" s="32"/>
    </row>
    <row r="2132">
      <c r="A2132" s="86"/>
      <c r="B2132" s="87"/>
      <c r="C2132" s="88"/>
      <c r="D2132" s="104"/>
      <c r="E2132" s="104"/>
      <c r="F2132" s="104"/>
      <c r="G2132" s="104"/>
      <c r="H2132" s="104"/>
      <c r="I2132" s="104"/>
      <c r="J2132" s="104"/>
      <c r="K2132" s="32"/>
      <c r="L2132" s="32"/>
      <c r="M2132" s="32"/>
      <c r="N2132" s="32"/>
      <c r="O2132" s="106"/>
      <c r="P2132" s="91">
        <f>IFERROR(__xludf.DUMMYFUNCTION("IFERROR(sum(FILTER($D:$N,$C:$C = $C2132,$A:$A &lt; $A2132,$B:$B = 12)),0) + sum($D2132:$N2132)"),0.0)</f>
        <v>0</v>
      </c>
      <c r="Q2132" s="92">
        <f t="shared" si="1"/>
        <v>0</v>
      </c>
      <c r="R2132" s="91">
        <f t="array" ref="R2132">IFERROR(INDEX('Fund YTD Target Values'!$1:$1000, MATCH($C2132,'Fund YTD Target Values'!$A:$A,0), MATCH($A2132,'Fund YTD Target Values'!$1:$1,0)),0)</f>
        <v>0</v>
      </c>
      <c r="S2132" s="91">
        <f>IFERROR(__xludf.DUMMYFUNCTION("IFERROR(sum(FILTER('Fund Investment Data'!$V:$V, 'Fund Investment Data'!$C:$C = $C2132, 'Fund Investment Data'!$A:$A &lt; $A2132)),0) + IFERROR(sum(FILTER('Fund Investment Data'!$V:$V, 'Fund Investment Data'!$C:$C = $C2132, 'Fund Investment Data'!$A:$A = $A2"&amp;"132, 'Fund Investment Data'!$B:$B &lt;= $B2132)),0)"),0.0)</f>
        <v>0</v>
      </c>
      <c r="T2132" s="32"/>
      <c r="U2132" s="32"/>
      <c r="V2132" s="32">
        <f>IFERROR(__xludf.DUMMYFUNCTION("$D2132 - IFERROR(FILTER($D:$D,$C:$C = $C2132, $A:$A = $A2132, $B:$B = $B2132 - 1),0)"),0.0)</f>
        <v>0</v>
      </c>
      <c r="W2132" s="93">
        <f>IFERROR(__xludf.DUMMYFUNCTION("$E2132 - IFERROR(FILTER($E:$E,$C:$C = $C2132, $A:$A = $A2132, $B:$B = $B2132 - 1),0)"),0.0)</f>
        <v>0</v>
      </c>
      <c r="X2132" s="91">
        <f>IFERROR(__xludf.DUMMYFUNCTION("iFERROR((FILTER('Fund Investment Data'!$Z:$Z, 'Fund Investment Data'!$C:$C = $C2132, 'Fund Investment Data'!$A:$A = $A2132 - 1, 'Fund Investment Data'!$B:$B = 12) + FILTER('Fund Investment Data'!$AB:$AB, 'Fund Investment Data'!$C:$C = $C2132, 'Fund Invest"&amp;"ment Data'!$A:$A = $A2132 - 1, 'Fund Investment Data'!$B:$B = 12)) * (1 + AVERAGE(FILTER('Inflation Data'!$C:$C,'Inflation Data'!$A:$A = ($A2132 - 2)))) * Parameters!$A$4,0)"),0.0)</f>
        <v>0</v>
      </c>
      <c r="Y2132" s="91">
        <f>IFERROR(__xludf.DUMMYFUNCTION("IFERROR((IFERROR(FILTER('Fund Investment Data'!$P:$P,'Fund Investment Data'!$C:$C = $C2132,'Fund Investment Data'!$A:$A = ($A2132 - 2), 'Fund Investment Data'!$B:$B = 12),0) - SUM(FILTER('Fund Investment Data'!$V:$V, 'Fund Investment Data'!$C:$C = $C2132,"&amp;" 'Fund Investment Data'!$A:$A = ($A2132 - 2), 'Fund Investment Data'!$B:$B &gt; 3)))  * Parameters!$B$4 * (1 - Parameters!$A$4),0)"),0.0)</f>
        <v>0</v>
      </c>
      <c r="Z2132" s="91">
        <f t="shared" si="24"/>
        <v>0</v>
      </c>
      <c r="AA2132" s="91">
        <f>IFERROR(__xludf.DUMMYFUNCTION("((IFERROR((SUM(FILTER('Fund Investment Data'!$V:$V, 'Fund Investment Data'!$C:$C = $C2132, 'Fund Investment Data'!$A:$A = $A2132 - 1, 'Fund Investment Data'!$B:$B &gt;= 4, 'Fund Investment Data'!$B:$B &lt;= ($B2132 + 5))) / 12) * ($B2132 - 3) * Parameters!$B$4,"&amp;" 0) + IF($B2132 &gt;= 9, IFERROR(SUM(FILTER('Fund Investment Data'!$V:$V, 'Fund Investment Data'!$C:$C = $C2132, 'Fund Investment Data'!$A:$A = $A2132, 'Fund Investment Data'!$B:$B &lt;= 3)) * Parameters!$B$4, 0),0)))"),0.0)</f>
        <v>0</v>
      </c>
      <c r="AB2132" s="32">
        <f>IFERROR(__xludf.DUMMYFUNCTION("IFERROR(((IFERROR(SUM(FILTER('Fund Investment Data'!$V:$V, 'Fund Investment Data'!$C:$C = $C2132, 'Fund Investment Data'!$A:$A = $A2132 - 2, 'Fund Investment Data'!$B:$B &gt;= 4)) * Parameters!$B$4,0) + IFERROR(SUM(FILTER('Fund Investment Data'!$V:$V, 'Fund "&amp;"Investment Data'!$C:$C = $C2132, 'Fund Investment Data'!$A:$A = $A2132 - 1, 'Fund Investment Data'!$B:$B &lt;= 3)) * Parameters!$B$4,0))),0)"),0.0)</f>
        <v>0</v>
      </c>
      <c r="AC2132" s="32">
        <f>IFERROR(__xludf.DUMMYFUNCTION("IFERROR(FILTER($AF:$AF,$C:$C = $C2132,$A:$A = $A2132 - 1,$B:$B = 12),0)"),0.0)</f>
        <v>0</v>
      </c>
      <c r="AD2132" s="32">
        <f t="shared" si="23"/>
        <v>0</v>
      </c>
      <c r="AE2132" s="32">
        <f t="shared" si="2"/>
        <v>0</v>
      </c>
      <c r="AF2132" s="32"/>
    </row>
    <row r="2133">
      <c r="A2133" s="86"/>
      <c r="B2133" s="87"/>
      <c r="C2133" s="88"/>
      <c r="D2133" s="104"/>
      <c r="E2133" s="104"/>
      <c r="F2133" s="104"/>
      <c r="G2133" s="104"/>
      <c r="H2133" s="104"/>
      <c r="I2133" s="104"/>
      <c r="J2133" s="104"/>
      <c r="K2133" s="32"/>
      <c r="L2133" s="32"/>
      <c r="M2133" s="32"/>
      <c r="N2133" s="32"/>
      <c r="O2133" s="106"/>
      <c r="P2133" s="91">
        <f>IFERROR(__xludf.DUMMYFUNCTION("IFERROR(sum(FILTER($D:$N,$C:$C = $C2133,$A:$A &lt; $A2133,$B:$B = 12)),0) + sum($D2133:$N2133)"),0.0)</f>
        <v>0</v>
      </c>
      <c r="Q2133" s="92">
        <f t="shared" si="1"/>
        <v>0</v>
      </c>
      <c r="R2133" s="91">
        <f t="array" ref="R2133">IFERROR(INDEX('Fund YTD Target Values'!$1:$1000, MATCH($C2133,'Fund YTD Target Values'!$A:$A,0), MATCH($A2133,'Fund YTD Target Values'!$1:$1,0)),0)</f>
        <v>0</v>
      </c>
      <c r="S2133" s="91">
        <f>IFERROR(__xludf.DUMMYFUNCTION("IFERROR(sum(FILTER('Fund Investment Data'!$V:$V, 'Fund Investment Data'!$C:$C = $C2133, 'Fund Investment Data'!$A:$A &lt; $A2133)),0) + IFERROR(sum(FILTER('Fund Investment Data'!$V:$V, 'Fund Investment Data'!$C:$C = $C2133, 'Fund Investment Data'!$A:$A = $A2"&amp;"133, 'Fund Investment Data'!$B:$B &lt;= $B2133)),0)"),0.0)</f>
        <v>0</v>
      </c>
      <c r="T2133" s="32"/>
      <c r="U2133" s="32"/>
      <c r="V2133" s="32">
        <f>IFERROR(__xludf.DUMMYFUNCTION("$D2133 - IFERROR(FILTER($D:$D,$C:$C = $C2133, $A:$A = $A2133, $B:$B = $B2133 - 1),0)"),0.0)</f>
        <v>0</v>
      </c>
      <c r="W2133" s="93">
        <f>IFERROR(__xludf.DUMMYFUNCTION("$E2133 - IFERROR(FILTER($E:$E,$C:$C = $C2133, $A:$A = $A2133, $B:$B = $B2133 - 1),0)"),0.0)</f>
        <v>0</v>
      </c>
      <c r="X2133" s="91">
        <f>IFERROR(__xludf.DUMMYFUNCTION("iFERROR((FILTER('Fund Investment Data'!$Z:$Z, 'Fund Investment Data'!$C:$C = $C2133, 'Fund Investment Data'!$A:$A = $A2133 - 1, 'Fund Investment Data'!$B:$B = 12) + FILTER('Fund Investment Data'!$AB:$AB, 'Fund Investment Data'!$C:$C = $C2133, 'Fund Invest"&amp;"ment Data'!$A:$A = $A2133 - 1, 'Fund Investment Data'!$B:$B = 12)) * (1 + AVERAGE(FILTER('Inflation Data'!$C:$C,'Inflation Data'!$A:$A = ($A2133 - 2)))) * Parameters!$A$4,0)"),0.0)</f>
        <v>0</v>
      </c>
      <c r="Y2133" s="91">
        <f>IFERROR(__xludf.DUMMYFUNCTION("IFERROR((IFERROR(FILTER('Fund Investment Data'!$P:$P,'Fund Investment Data'!$C:$C = $C2133,'Fund Investment Data'!$A:$A = ($A2133 - 2), 'Fund Investment Data'!$B:$B = 12),0) - SUM(FILTER('Fund Investment Data'!$V:$V, 'Fund Investment Data'!$C:$C = $C2133,"&amp;" 'Fund Investment Data'!$A:$A = ($A2133 - 2), 'Fund Investment Data'!$B:$B &gt; 3)))  * Parameters!$B$4 * (1 - Parameters!$A$4),0)"),0.0)</f>
        <v>0</v>
      </c>
      <c r="Z2133" s="91">
        <f t="shared" si="24"/>
        <v>0</v>
      </c>
      <c r="AA2133" s="91">
        <f>IFERROR(__xludf.DUMMYFUNCTION("((IFERROR((SUM(FILTER('Fund Investment Data'!$V:$V, 'Fund Investment Data'!$C:$C = $C2133, 'Fund Investment Data'!$A:$A = $A2133 - 1, 'Fund Investment Data'!$B:$B &gt;= 4, 'Fund Investment Data'!$B:$B &lt;= ($B2133 + 5))) / 12) * ($B2133 - 3) * Parameters!$B$4,"&amp;" 0) + IF($B2133 &gt;= 9, IFERROR(SUM(FILTER('Fund Investment Data'!$V:$V, 'Fund Investment Data'!$C:$C = $C2133, 'Fund Investment Data'!$A:$A = $A2133, 'Fund Investment Data'!$B:$B &lt;= 3)) * Parameters!$B$4, 0),0)))"),0.0)</f>
        <v>0</v>
      </c>
      <c r="AB2133" s="32">
        <f>IFERROR(__xludf.DUMMYFUNCTION("IFERROR(((IFERROR(SUM(FILTER('Fund Investment Data'!$V:$V, 'Fund Investment Data'!$C:$C = $C2133, 'Fund Investment Data'!$A:$A = $A2133 - 2, 'Fund Investment Data'!$B:$B &gt;= 4)) * Parameters!$B$4,0) + IFERROR(SUM(FILTER('Fund Investment Data'!$V:$V, 'Fund "&amp;"Investment Data'!$C:$C = $C2133, 'Fund Investment Data'!$A:$A = $A2133 - 1, 'Fund Investment Data'!$B:$B &lt;= 3)) * Parameters!$B$4,0))),0)"),0.0)</f>
        <v>0</v>
      </c>
      <c r="AC2133" s="32">
        <f>IFERROR(__xludf.DUMMYFUNCTION("IFERROR(FILTER($AF:$AF,$C:$C = $C2133,$A:$A = $A2133 - 1,$B:$B = 12),0)"),0.0)</f>
        <v>0</v>
      </c>
      <c r="AD2133" s="32">
        <f t="shared" si="23"/>
        <v>0</v>
      </c>
      <c r="AE2133" s="32">
        <f t="shared" si="2"/>
        <v>0</v>
      </c>
      <c r="AF2133" s="32"/>
    </row>
    <row r="2134">
      <c r="A2134" s="86"/>
      <c r="B2134" s="87"/>
      <c r="C2134" s="88"/>
      <c r="D2134" s="104"/>
      <c r="E2134" s="104"/>
      <c r="F2134" s="104"/>
      <c r="G2134" s="104"/>
      <c r="H2134" s="104"/>
      <c r="I2134" s="104"/>
      <c r="J2134" s="104"/>
      <c r="K2134" s="32"/>
      <c r="L2134" s="32"/>
      <c r="M2134" s="32"/>
      <c r="N2134" s="32"/>
      <c r="O2134" s="106"/>
      <c r="P2134" s="91">
        <f>IFERROR(__xludf.DUMMYFUNCTION("IFERROR(sum(FILTER($D:$N,$C:$C = $C2134,$A:$A &lt; $A2134,$B:$B = 12)),0) + sum($D2134:$N2134)"),0.0)</f>
        <v>0</v>
      </c>
      <c r="Q2134" s="92">
        <f t="shared" si="1"/>
        <v>0</v>
      </c>
      <c r="R2134" s="91">
        <f t="array" ref="R2134">IFERROR(INDEX('Fund YTD Target Values'!$1:$1000, MATCH($C2134,'Fund YTD Target Values'!$A:$A,0), MATCH($A2134,'Fund YTD Target Values'!$1:$1,0)),0)</f>
        <v>0</v>
      </c>
      <c r="S2134" s="91">
        <f>IFERROR(__xludf.DUMMYFUNCTION("IFERROR(sum(FILTER('Fund Investment Data'!$V:$V, 'Fund Investment Data'!$C:$C = $C2134, 'Fund Investment Data'!$A:$A &lt; $A2134)),0) + IFERROR(sum(FILTER('Fund Investment Data'!$V:$V, 'Fund Investment Data'!$C:$C = $C2134, 'Fund Investment Data'!$A:$A = $A2"&amp;"134, 'Fund Investment Data'!$B:$B &lt;= $B2134)),0)"),0.0)</f>
        <v>0</v>
      </c>
      <c r="T2134" s="32"/>
      <c r="U2134" s="32"/>
      <c r="V2134" s="32">
        <f>IFERROR(__xludf.DUMMYFUNCTION("$D2134 - IFERROR(FILTER($D:$D,$C:$C = $C2134, $A:$A = $A2134, $B:$B = $B2134 - 1),0)"),0.0)</f>
        <v>0</v>
      </c>
      <c r="W2134" s="93">
        <f>IFERROR(__xludf.DUMMYFUNCTION("$E2134 - IFERROR(FILTER($E:$E,$C:$C = $C2134, $A:$A = $A2134, $B:$B = $B2134 - 1),0)"),0.0)</f>
        <v>0</v>
      </c>
      <c r="X2134" s="91">
        <f>IFERROR(__xludf.DUMMYFUNCTION("iFERROR((FILTER('Fund Investment Data'!$Z:$Z, 'Fund Investment Data'!$C:$C = $C2134, 'Fund Investment Data'!$A:$A = $A2134 - 1, 'Fund Investment Data'!$B:$B = 12) + FILTER('Fund Investment Data'!$AB:$AB, 'Fund Investment Data'!$C:$C = $C2134, 'Fund Invest"&amp;"ment Data'!$A:$A = $A2134 - 1, 'Fund Investment Data'!$B:$B = 12)) * (1 + AVERAGE(FILTER('Inflation Data'!$C:$C,'Inflation Data'!$A:$A = ($A2134 - 2)))) * Parameters!$A$4,0)"),0.0)</f>
        <v>0</v>
      </c>
      <c r="Y2134" s="91">
        <f>IFERROR(__xludf.DUMMYFUNCTION("IFERROR((IFERROR(FILTER('Fund Investment Data'!$P:$P,'Fund Investment Data'!$C:$C = $C2134,'Fund Investment Data'!$A:$A = ($A2134 - 2), 'Fund Investment Data'!$B:$B = 12),0) - SUM(FILTER('Fund Investment Data'!$V:$V, 'Fund Investment Data'!$C:$C = $C2134,"&amp;" 'Fund Investment Data'!$A:$A = ($A2134 - 2), 'Fund Investment Data'!$B:$B &gt; 3)))  * Parameters!$B$4 * (1 - Parameters!$A$4),0)"),0.0)</f>
        <v>0</v>
      </c>
      <c r="Z2134" s="91">
        <f t="shared" si="24"/>
        <v>0</v>
      </c>
      <c r="AA2134" s="91">
        <f>IFERROR(__xludf.DUMMYFUNCTION("((IFERROR((SUM(FILTER('Fund Investment Data'!$V:$V, 'Fund Investment Data'!$C:$C = $C2134, 'Fund Investment Data'!$A:$A = $A2134 - 1, 'Fund Investment Data'!$B:$B &gt;= 4, 'Fund Investment Data'!$B:$B &lt;= ($B2134 + 5))) / 12) * ($B2134 - 3) * Parameters!$B$4,"&amp;" 0) + IF($B2134 &gt;= 9, IFERROR(SUM(FILTER('Fund Investment Data'!$V:$V, 'Fund Investment Data'!$C:$C = $C2134, 'Fund Investment Data'!$A:$A = $A2134, 'Fund Investment Data'!$B:$B &lt;= 3)) * Parameters!$B$4, 0),0)))"),0.0)</f>
        <v>0</v>
      </c>
      <c r="AB2134" s="32">
        <f>IFERROR(__xludf.DUMMYFUNCTION("IFERROR(((IFERROR(SUM(FILTER('Fund Investment Data'!$V:$V, 'Fund Investment Data'!$C:$C = $C2134, 'Fund Investment Data'!$A:$A = $A2134 - 2, 'Fund Investment Data'!$B:$B &gt;= 4)) * Parameters!$B$4,0) + IFERROR(SUM(FILTER('Fund Investment Data'!$V:$V, 'Fund "&amp;"Investment Data'!$C:$C = $C2134, 'Fund Investment Data'!$A:$A = $A2134 - 1, 'Fund Investment Data'!$B:$B &lt;= 3)) * Parameters!$B$4,0))),0)"),0.0)</f>
        <v>0</v>
      </c>
      <c r="AC2134" s="32">
        <f>IFERROR(__xludf.DUMMYFUNCTION("IFERROR(FILTER($AF:$AF,$C:$C = $C2134,$A:$A = $A2134 - 1,$B:$B = 12),0)"),0.0)</f>
        <v>0</v>
      </c>
      <c r="AD2134" s="32">
        <f t="shared" si="23"/>
        <v>0</v>
      </c>
      <c r="AE2134" s="32">
        <f t="shared" si="2"/>
        <v>0</v>
      </c>
      <c r="AF2134" s="32"/>
    </row>
    <row r="2135">
      <c r="A2135" s="86"/>
      <c r="B2135" s="87"/>
      <c r="C2135" s="88"/>
      <c r="D2135" s="104"/>
      <c r="E2135" s="104"/>
      <c r="F2135" s="104"/>
      <c r="G2135" s="104"/>
      <c r="H2135" s="104"/>
      <c r="I2135" s="104"/>
      <c r="J2135" s="104"/>
      <c r="K2135" s="32"/>
      <c r="L2135" s="32"/>
      <c r="M2135" s="32"/>
      <c r="N2135" s="32"/>
      <c r="O2135" s="106"/>
      <c r="P2135" s="91">
        <f>IFERROR(__xludf.DUMMYFUNCTION("IFERROR(sum(FILTER($D:$N,$C:$C = $C2135,$A:$A &lt; $A2135,$B:$B = 12)),0) + sum($D2135:$N2135)"),0.0)</f>
        <v>0</v>
      </c>
      <c r="Q2135" s="92">
        <f t="shared" si="1"/>
        <v>0</v>
      </c>
      <c r="R2135" s="91">
        <f t="array" ref="R2135">IFERROR(INDEX('Fund YTD Target Values'!$1:$1000, MATCH($C2135,'Fund YTD Target Values'!$A:$A,0), MATCH($A2135,'Fund YTD Target Values'!$1:$1,0)),0)</f>
        <v>0</v>
      </c>
      <c r="S2135" s="91">
        <f>IFERROR(__xludf.DUMMYFUNCTION("IFERROR(sum(FILTER('Fund Investment Data'!$V:$V, 'Fund Investment Data'!$C:$C = $C2135, 'Fund Investment Data'!$A:$A &lt; $A2135)),0) + IFERROR(sum(FILTER('Fund Investment Data'!$V:$V, 'Fund Investment Data'!$C:$C = $C2135, 'Fund Investment Data'!$A:$A = $A2"&amp;"135, 'Fund Investment Data'!$B:$B &lt;= $B2135)),0)"),0.0)</f>
        <v>0</v>
      </c>
      <c r="T2135" s="32"/>
      <c r="U2135" s="32"/>
      <c r="V2135" s="32">
        <f>IFERROR(__xludf.DUMMYFUNCTION("$D2135 - IFERROR(FILTER($D:$D,$C:$C = $C2135, $A:$A = $A2135, $B:$B = $B2135 - 1),0)"),0.0)</f>
        <v>0</v>
      </c>
      <c r="W2135" s="93">
        <f>IFERROR(__xludf.DUMMYFUNCTION("$E2135 - IFERROR(FILTER($E:$E,$C:$C = $C2135, $A:$A = $A2135, $B:$B = $B2135 - 1),0)"),0.0)</f>
        <v>0</v>
      </c>
      <c r="X2135" s="91">
        <f>IFERROR(__xludf.DUMMYFUNCTION("iFERROR((FILTER('Fund Investment Data'!$Z:$Z, 'Fund Investment Data'!$C:$C = $C2135, 'Fund Investment Data'!$A:$A = $A2135 - 1, 'Fund Investment Data'!$B:$B = 12) + FILTER('Fund Investment Data'!$AB:$AB, 'Fund Investment Data'!$C:$C = $C2135, 'Fund Invest"&amp;"ment Data'!$A:$A = $A2135 - 1, 'Fund Investment Data'!$B:$B = 12)) * (1 + AVERAGE(FILTER('Inflation Data'!$C:$C,'Inflation Data'!$A:$A = ($A2135 - 2)))) * Parameters!$A$4,0)"),0.0)</f>
        <v>0</v>
      </c>
      <c r="Y2135" s="91">
        <f>IFERROR(__xludf.DUMMYFUNCTION("IFERROR((IFERROR(FILTER('Fund Investment Data'!$P:$P,'Fund Investment Data'!$C:$C = $C2135,'Fund Investment Data'!$A:$A = ($A2135 - 2), 'Fund Investment Data'!$B:$B = 12),0) - SUM(FILTER('Fund Investment Data'!$V:$V, 'Fund Investment Data'!$C:$C = $C2135,"&amp;" 'Fund Investment Data'!$A:$A = ($A2135 - 2), 'Fund Investment Data'!$B:$B &gt; 3)))  * Parameters!$B$4 * (1 - Parameters!$A$4),0)"),0.0)</f>
        <v>0</v>
      </c>
      <c r="Z2135" s="91">
        <f t="shared" si="24"/>
        <v>0</v>
      </c>
      <c r="AA2135" s="91">
        <f>IFERROR(__xludf.DUMMYFUNCTION("((IFERROR((SUM(FILTER('Fund Investment Data'!$V:$V, 'Fund Investment Data'!$C:$C = $C2135, 'Fund Investment Data'!$A:$A = $A2135 - 1, 'Fund Investment Data'!$B:$B &gt;= 4, 'Fund Investment Data'!$B:$B &lt;= ($B2135 + 5))) / 12) * ($B2135 - 3) * Parameters!$B$4,"&amp;" 0) + IF($B2135 &gt;= 9, IFERROR(SUM(FILTER('Fund Investment Data'!$V:$V, 'Fund Investment Data'!$C:$C = $C2135, 'Fund Investment Data'!$A:$A = $A2135, 'Fund Investment Data'!$B:$B &lt;= 3)) * Parameters!$B$4, 0),0)))"),0.0)</f>
        <v>0</v>
      </c>
      <c r="AB2135" s="32">
        <f>IFERROR(__xludf.DUMMYFUNCTION("IFERROR(((IFERROR(SUM(FILTER('Fund Investment Data'!$V:$V, 'Fund Investment Data'!$C:$C = $C2135, 'Fund Investment Data'!$A:$A = $A2135 - 2, 'Fund Investment Data'!$B:$B &gt;= 4)) * Parameters!$B$4,0) + IFERROR(SUM(FILTER('Fund Investment Data'!$V:$V, 'Fund "&amp;"Investment Data'!$C:$C = $C2135, 'Fund Investment Data'!$A:$A = $A2135 - 1, 'Fund Investment Data'!$B:$B &lt;= 3)) * Parameters!$B$4,0))),0)"),0.0)</f>
        <v>0</v>
      </c>
      <c r="AC2135" s="32">
        <f>IFERROR(__xludf.DUMMYFUNCTION("IFERROR(FILTER($AF:$AF,$C:$C = $C2135,$A:$A = $A2135 - 1,$B:$B = 12),0)"),0.0)</f>
        <v>0</v>
      </c>
      <c r="AD2135" s="32">
        <f t="shared" si="23"/>
        <v>0</v>
      </c>
      <c r="AE2135" s="32">
        <f t="shared" si="2"/>
        <v>0</v>
      </c>
      <c r="AF2135" s="32"/>
    </row>
    <row r="2136">
      <c r="A2136" s="86"/>
      <c r="B2136" s="87"/>
      <c r="C2136" s="88"/>
      <c r="D2136" s="104"/>
      <c r="E2136" s="104"/>
      <c r="F2136" s="104"/>
      <c r="G2136" s="104"/>
      <c r="H2136" s="104"/>
      <c r="I2136" s="104"/>
      <c r="J2136" s="104"/>
      <c r="K2136" s="32"/>
      <c r="L2136" s="32"/>
      <c r="M2136" s="32"/>
      <c r="N2136" s="32"/>
      <c r="O2136" s="106"/>
      <c r="P2136" s="91">
        <f>IFERROR(__xludf.DUMMYFUNCTION("IFERROR(sum(FILTER($D:$N,$C:$C = $C2136,$A:$A &lt; $A2136,$B:$B = 12)),0) + sum($D2136:$N2136)"),0.0)</f>
        <v>0</v>
      </c>
      <c r="Q2136" s="92">
        <f t="shared" si="1"/>
        <v>0</v>
      </c>
      <c r="R2136" s="91">
        <f t="array" ref="R2136">IFERROR(INDEX('Fund YTD Target Values'!$1:$1000, MATCH($C2136,'Fund YTD Target Values'!$A:$A,0), MATCH($A2136,'Fund YTD Target Values'!$1:$1,0)),0)</f>
        <v>0</v>
      </c>
      <c r="S2136" s="91">
        <f>IFERROR(__xludf.DUMMYFUNCTION("IFERROR(sum(FILTER('Fund Investment Data'!$V:$V, 'Fund Investment Data'!$C:$C = $C2136, 'Fund Investment Data'!$A:$A &lt; $A2136)),0) + IFERROR(sum(FILTER('Fund Investment Data'!$V:$V, 'Fund Investment Data'!$C:$C = $C2136, 'Fund Investment Data'!$A:$A = $A2"&amp;"136, 'Fund Investment Data'!$B:$B &lt;= $B2136)),0)"),0.0)</f>
        <v>0</v>
      </c>
      <c r="T2136" s="32"/>
      <c r="U2136" s="32"/>
      <c r="V2136" s="32">
        <f>IFERROR(__xludf.DUMMYFUNCTION("$D2136 - IFERROR(FILTER($D:$D,$C:$C = $C2136, $A:$A = $A2136, $B:$B = $B2136 - 1),0)"),0.0)</f>
        <v>0</v>
      </c>
      <c r="W2136" s="93">
        <f>IFERROR(__xludf.DUMMYFUNCTION("$E2136 - IFERROR(FILTER($E:$E,$C:$C = $C2136, $A:$A = $A2136, $B:$B = $B2136 - 1),0)"),0.0)</f>
        <v>0</v>
      </c>
      <c r="X2136" s="91">
        <f>IFERROR(__xludf.DUMMYFUNCTION("iFERROR((FILTER('Fund Investment Data'!$Z:$Z, 'Fund Investment Data'!$C:$C = $C2136, 'Fund Investment Data'!$A:$A = $A2136 - 1, 'Fund Investment Data'!$B:$B = 12) + FILTER('Fund Investment Data'!$AB:$AB, 'Fund Investment Data'!$C:$C = $C2136, 'Fund Invest"&amp;"ment Data'!$A:$A = $A2136 - 1, 'Fund Investment Data'!$B:$B = 12)) * (1 + AVERAGE(FILTER('Inflation Data'!$C:$C,'Inflation Data'!$A:$A = ($A2136 - 2)))) * Parameters!$A$4,0)"),0.0)</f>
        <v>0</v>
      </c>
      <c r="Y2136" s="91">
        <f>IFERROR(__xludf.DUMMYFUNCTION("IFERROR((IFERROR(FILTER('Fund Investment Data'!$P:$P,'Fund Investment Data'!$C:$C = $C2136,'Fund Investment Data'!$A:$A = ($A2136 - 2), 'Fund Investment Data'!$B:$B = 12),0) - SUM(FILTER('Fund Investment Data'!$V:$V, 'Fund Investment Data'!$C:$C = $C2136,"&amp;" 'Fund Investment Data'!$A:$A = ($A2136 - 2), 'Fund Investment Data'!$B:$B &gt; 3)))  * Parameters!$B$4 * (1 - Parameters!$A$4),0)"),0.0)</f>
        <v>0</v>
      </c>
      <c r="Z2136" s="91">
        <f t="shared" si="24"/>
        <v>0</v>
      </c>
      <c r="AA2136" s="91">
        <f>IFERROR(__xludf.DUMMYFUNCTION("((IFERROR((SUM(FILTER('Fund Investment Data'!$V:$V, 'Fund Investment Data'!$C:$C = $C2136, 'Fund Investment Data'!$A:$A = $A2136 - 1, 'Fund Investment Data'!$B:$B &gt;= 4, 'Fund Investment Data'!$B:$B &lt;= ($B2136 + 5))) / 12) * ($B2136 - 3) * Parameters!$B$4,"&amp;" 0) + IF($B2136 &gt;= 9, IFERROR(SUM(FILTER('Fund Investment Data'!$V:$V, 'Fund Investment Data'!$C:$C = $C2136, 'Fund Investment Data'!$A:$A = $A2136, 'Fund Investment Data'!$B:$B &lt;= 3)) * Parameters!$B$4, 0),0)))"),0.0)</f>
        <v>0</v>
      </c>
      <c r="AB2136" s="32">
        <f>IFERROR(__xludf.DUMMYFUNCTION("IFERROR(((IFERROR(SUM(FILTER('Fund Investment Data'!$V:$V, 'Fund Investment Data'!$C:$C = $C2136, 'Fund Investment Data'!$A:$A = $A2136 - 2, 'Fund Investment Data'!$B:$B &gt;= 4)) * Parameters!$B$4,0) + IFERROR(SUM(FILTER('Fund Investment Data'!$V:$V, 'Fund "&amp;"Investment Data'!$C:$C = $C2136, 'Fund Investment Data'!$A:$A = $A2136 - 1, 'Fund Investment Data'!$B:$B &lt;= 3)) * Parameters!$B$4,0))),0)"),0.0)</f>
        <v>0</v>
      </c>
      <c r="AC2136" s="32">
        <f>IFERROR(__xludf.DUMMYFUNCTION("IFERROR(FILTER($AF:$AF,$C:$C = $C2136,$A:$A = $A2136 - 1,$B:$B = 12),0)"),0.0)</f>
        <v>0</v>
      </c>
      <c r="AD2136" s="32">
        <f t="shared" si="23"/>
        <v>0</v>
      </c>
      <c r="AE2136" s="32">
        <f t="shared" si="2"/>
        <v>0</v>
      </c>
      <c r="AF2136" s="32"/>
    </row>
    <row r="2137">
      <c r="A2137" s="86"/>
      <c r="B2137" s="87"/>
      <c r="C2137" s="88"/>
      <c r="D2137" s="104"/>
      <c r="E2137" s="104"/>
      <c r="F2137" s="104"/>
      <c r="G2137" s="104"/>
      <c r="H2137" s="104"/>
      <c r="I2137" s="104"/>
      <c r="J2137" s="104"/>
      <c r="K2137" s="32"/>
      <c r="L2137" s="32"/>
      <c r="M2137" s="32"/>
      <c r="N2137" s="32"/>
      <c r="O2137" s="106"/>
      <c r="P2137" s="91">
        <f>IFERROR(__xludf.DUMMYFUNCTION("IFERROR(sum(FILTER($D:$N,$C:$C = $C2137,$A:$A &lt; $A2137,$B:$B = 12)),0) + sum($D2137:$N2137)"),0.0)</f>
        <v>0</v>
      </c>
      <c r="Q2137" s="92">
        <f t="shared" si="1"/>
        <v>0</v>
      </c>
      <c r="R2137" s="91">
        <f t="array" ref="R2137">IFERROR(INDEX('Fund YTD Target Values'!$1:$1000, MATCH($C2137,'Fund YTD Target Values'!$A:$A,0), MATCH($A2137,'Fund YTD Target Values'!$1:$1,0)),0)</f>
        <v>0</v>
      </c>
      <c r="S2137" s="91">
        <f>IFERROR(__xludf.DUMMYFUNCTION("IFERROR(sum(FILTER('Fund Investment Data'!$V:$V, 'Fund Investment Data'!$C:$C = $C2137, 'Fund Investment Data'!$A:$A &lt; $A2137)),0) + IFERROR(sum(FILTER('Fund Investment Data'!$V:$V, 'Fund Investment Data'!$C:$C = $C2137, 'Fund Investment Data'!$A:$A = $A2"&amp;"137, 'Fund Investment Data'!$B:$B &lt;= $B2137)),0)"),0.0)</f>
        <v>0</v>
      </c>
      <c r="T2137" s="32"/>
      <c r="U2137" s="32"/>
      <c r="V2137" s="32">
        <f>IFERROR(__xludf.DUMMYFUNCTION("$D2137 - IFERROR(FILTER($D:$D,$C:$C = $C2137, $A:$A = $A2137, $B:$B = $B2137 - 1),0)"),0.0)</f>
        <v>0</v>
      </c>
      <c r="W2137" s="93">
        <f>IFERROR(__xludf.DUMMYFUNCTION("$E2137 - IFERROR(FILTER($E:$E,$C:$C = $C2137, $A:$A = $A2137, $B:$B = $B2137 - 1),0)"),0.0)</f>
        <v>0</v>
      </c>
      <c r="X2137" s="91">
        <f>IFERROR(__xludf.DUMMYFUNCTION("iFERROR((FILTER('Fund Investment Data'!$Z:$Z, 'Fund Investment Data'!$C:$C = $C2137, 'Fund Investment Data'!$A:$A = $A2137 - 1, 'Fund Investment Data'!$B:$B = 12) + FILTER('Fund Investment Data'!$AB:$AB, 'Fund Investment Data'!$C:$C = $C2137, 'Fund Invest"&amp;"ment Data'!$A:$A = $A2137 - 1, 'Fund Investment Data'!$B:$B = 12)) * (1 + AVERAGE(FILTER('Inflation Data'!$C:$C,'Inflation Data'!$A:$A = ($A2137 - 2)))) * Parameters!$A$4,0)"),0.0)</f>
        <v>0</v>
      </c>
      <c r="Y2137" s="91">
        <f>IFERROR(__xludf.DUMMYFUNCTION("IFERROR((IFERROR(FILTER('Fund Investment Data'!$P:$P,'Fund Investment Data'!$C:$C = $C2137,'Fund Investment Data'!$A:$A = ($A2137 - 2), 'Fund Investment Data'!$B:$B = 12),0) - SUM(FILTER('Fund Investment Data'!$V:$V, 'Fund Investment Data'!$C:$C = $C2137,"&amp;" 'Fund Investment Data'!$A:$A = ($A2137 - 2), 'Fund Investment Data'!$B:$B &gt; 3)))  * Parameters!$B$4 * (1 - Parameters!$A$4),0)"),0.0)</f>
        <v>0</v>
      </c>
      <c r="Z2137" s="91">
        <f t="shared" si="24"/>
        <v>0</v>
      </c>
      <c r="AA2137" s="91">
        <f>IFERROR(__xludf.DUMMYFUNCTION("((IFERROR((SUM(FILTER('Fund Investment Data'!$V:$V, 'Fund Investment Data'!$C:$C = $C2137, 'Fund Investment Data'!$A:$A = $A2137 - 1, 'Fund Investment Data'!$B:$B &gt;= 4, 'Fund Investment Data'!$B:$B &lt;= ($B2137 + 5))) / 12) * ($B2137 - 3) * Parameters!$B$4,"&amp;" 0) + IF($B2137 &gt;= 9, IFERROR(SUM(FILTER('Fund Investment Data'!$V:$V, 'Fund Investment Data'!$C:$C = $C2137, 'Fund Investment Data'!$A:$A = $A2137, 'Fund Investment Data'!$B:$B &lt;= 3)) * Parameters!$B$4, 0),0)))"),0.0)</f>
        <v>0</v>
      </c>
      <c r="AB2137" s="32">
        <f>IFERROR(__xludf.DUMMYFUNCTION("IFERROR(((IFERROR(SUM(FILTER('Fund Investment Data'!$V:$V, 'Fund Investment Data'!$C:$C = $C2137, 'Fund Investment Data'!$A:$A = $A2137 - 2, 'Fund Investment Data'!$B:$B &gt;= 4)) * Parameters!$B$4,0) + IFERROR(SUM(FILTER('Fund Investment Data'!$V:$V, 'Fund "&amp;"Investment Data'!$C:$C = $C2137, 'Fund Investment Data'!$A:$A = $A2137 - 1, 'Fund Investment Data'!$B:$B &lt;= 3)) * Parameters!$B$4,0))),0)"),0.0)</f>
        <v>0</v>
      </c>
      <c r="AC2137" s="32">
        <f>IFERROR(__xludf.DUMMYFUNCTION("IFERROR(FILTER($AF:$AF,$C:$C = $C2137,$A:$A = $A2137 - 1,$B:$B = 12),0)"),0.0)</f>
        <v>0</v>
      </c>
      <c r="AD2137" s="32">
        <f t="shared" si="23"/>
        <v>0</v>
      </c>
      <c r="AE2137" s="32">
        <f t="shared" si="2"/>
        <v>0</v>
      </c>
      <c r="AF2137" s="32"/>
    </row>
    <row r="2138">
      <c r="A2138" s="86"/>
      <c r="B2138" s="87"/>
      <c r="C2138" s="88"/>
      <c r="D2138" s="104"/>
      <c r="E2138" s="104"/>
      <c r="F2138" s="104"/>
      <c r="G2138" s="104"/>
      <c r="H2138" s="104"/>
      <c r="I2138" s="104"/>
      <c r="J2138" s="104"/>
      <c r="K2138" s="32"/>
      <c r="L2138" s="32"/>
      <c r="M2138" s="32"/>
      <c r="N2138" s="32"/>
      <c r="O2138" s="106"/>
      <c r="P2138" s="91">
        <f>IFERROR(__xludf.DUMMYFUNCTION("IFERROR(sum(FILTER($D:$N,$C:$C = $C2138,$A:$A &lt; $A2138,$B:$B = 12)),0) + sum($D2138:$N2138)"),0.0)</f>
        <v>0</v>
      </c>
      <c r="Q2138" s="92">
        <f t="shared" si="1"/>
        <v>0</v>
      </c>
      <c r="R2138" s="91">
        <f t="array" ref="R2138">IFERROR(INDEX('Fund YTD Target Values'!$1:$1000, MATCH($C2138,'Fund YTD Target Values'!$A:$A,0), MATCH($A2138,'Fund YTD Target Values'!$1:$1,0)),0)</f>
        <v>0</v>
      </c>
      <c r="S2138" s="91">
        <f>IFERROR(__xludf.DUMMYFUNCTION("IFERROR(sum(FILTER('Fund Investment Data'!$V:$V, 'Fund Investment Data'!$C:$C = $C2138, 'Fund Investment Data'!$A:$A &lt; $A2138)),0) + IFERROR(sum(FILTER('Fund Investment Data'!$V:$V, 'Fund Investment Data'!$C:$C = $C2138, 'Fund Investment Data'!$A:$A = $A2"&amp;"138, 'Fund Investment Data'!$B:$B &lt;= $B2138)),0)"),0.0)</f>
        <v>0</v>
      </c>
      <c r="T2138" s="32"/>
      <c r="U2138" s="32"/>
      <c r="V2138" s="32">
        <f>IFERROR(__xludf.DUMMYFUNCTION("$D2138 - IFERROR(FILTER($D:$D,$C:$C = $C2138, $A:$A = $A2138, $B:$B = $B2138 - 1),0)"),0.0)</f>
        <v>0</v>
      </c>
      <c r="W2138" s="93">
        <f>IFERROR(__xludf.DUMMYFUNCTION("$E2138 - IFERROR(FILTER($E:$E,$C:$C = $C2138, $A:$A = $A2138, $B:$B = $B2138 - 1),0)"),0.0)</f>
        <v>0</v>
      </c>
      <c r="X2138" s="91">
        <f>IFERROR(__xludf.DUMMYFUNCTION("iFERROR((FILTER('Fund Investment Data'!$Z:$Z, 'Fund Investment Data'!$C:$C = $C2138, 'Fund Investment Data'!$A:$A = $A2138 - 1, 'Fund Investment Data'!$B:$B = 12) + FILTER('Fund Investment Data'!$AB:$AB, 'Fund Investment Data'!$C:$C = $C2138, 'Fund Invest"&amp;"ment Data'!$A:$A = $A2138 - 1, 'Fund Investment Data'!$B:$B = 12)) * (1 + AVERAGE(FILTER('Inflation Data'!$C:$C,'Inflation Data'!$A:$A = ($A2138 - 2)))) * Parameters!$A$4,0)"),0.0)</f>
        <v>0</v>
      </c>
      <c r="Y2138" s="91">
        <f>IFERROR(__xludf.DUMMYFUNCTION("IFERROR((IFERROR(FILTER('Fund Investment Data'!$P:$P,'Fund Investment Data'!$C:$C = $C2138,'Fund Investment Data'!$A:$A = ($A2138 - 2), 'Fund Investment Data'!$B:$B = 12),0) - SUM(FILTER('Fund Investment Data'!$V:$V, 'Fund Investment Data'!$C:$C = $C2138,"&amp;" 'Fund Investment Data'!$A:$A = ($A2138 - 2), 'Fund Investment Data'!$B:$B &gt; 3)))  * Parameters!$B$4 * (1 - Parameters!$A$4),0)"),0.0)</f>
        <v>0</v>
      </c>
      <c r="Z2138" s="91">
        <f t="shared" si="24"/>
        <v>0</v>
      </c>
      <c r="AA2138" s="91">
        <f>IFERROR(__xludf.DUMMYFUNCTION("((IFERROR((SUM(FILTER('Fund Investment Data'!$V:$V, 'Fund Investment Data'!$C:$C = $C2138, 'Fund Investment Data'!$A:$A = $A2138 - 1, 'Fund Investment Data'!$B:$B &gt;= 4, 'Fund Investment Data'!$B:$B &lt;= ($B2138 + 5))) / 12) * ($B2138 - 3) * Parameters!$B$4,"&amp;" 0) + IF($B2138 &gt;= 9, IFERROR(SUM(FILTER('Fund Investment Data'!$V:$V, 'Fund Investment Data'!$C:$C = $C2138, 'Fund Investment Data'!$A:$A = $A2138, 'Fund Investment Data'!$B:$B &lt;= 3)) * Parameters!$B$4, 0),0)))"),0.0)</f>
        <v>0</v>
      </c>
      <c r="AB2138" s="32">
        <f>IFERROR(__xludf.DUMMYFUNCTION("IFERROR(((IFERROR(SUM(FILTER('Fund Investment Data'!$V:$V, 'Fund Investment Data'!$C:$C = $C2138, 'Fund Investment Data'!$A:$A = $A2138 - 2, 'Fund Investment Data'!$B:$B &gt;= 4)) * Parameters!$B$4,0) + IFERROR(SUM(FILTER('Fund Investment Data'!$V:$V, 'Fund "&amp;"Investment Data'!$C:$C = $C2138, 'Fund Investment Data'!$A:$A = $A2138 - 1, 'Fund Investment Data'!$B:$B &lt;= 3)) * Parameters!$B$4,0))),0)"),0.0)</f>
        <v>0</v>
      </c>
      <c r="AC2138" s="32">
        <f>IFERROR(__xludf.DUMMYFUNCTION("IFERROR(FILTER($AF:$AF,$C:$C = $C2138,$A:$A = $A2138 - 1,$B:$B = 12),0)"),0.0)</f>
        <v>0</v>
      </c>
      <c r="AD2138" s="32">
        <f t="shared" si="23"/>
        <v>0</v>
      </c>
      <c r="AE2138" s="32">
        <f t="shared" si="2"/>
        <v>0</v>
      </c>
      <c r="AF2138" s="32"/>
    </row>
    <row r="2139">
      <c r="A2139" s="86"/>
      <c r="B2139" s="87"/>
      <c r="C2139" s="88"/>
      <c r="D2139" s="104"/>
      <c r="E2139" s="104"/>
      <c r="F2139" s="104"/>
      <c r="G2139" s="104"/>
      <c r="H2139" s="104"/>
      <c r="I2139" s="104"/>
      <c r="J2139" s="104"/>
      <c r="K2139" s="32"/>
      <c r="L2139" s="32"/>
      <c r="M2139" s="32"/>
      <c r="N2139" s="32"/>
      <c r="O2139" s="106"/>
      <c r="P2139" s="91">
        <f>IFERROR(__xludf.DUMMYFUNCTION("IFERROR(sum(FILTER($D:$N,$C:$C = $C2139,$A:$A &lt; $A2139,$B:$B = 12)),0) + sum($D2139:$N2139)"),0.0)</f>
        <v>0</v>
      </c>
      <c r="Q2139" s="92">
        <f t="shared" si="1"/>
        <v>0</v>
      </c>
      <c r="R2139" s="91">
        <f t="array" ref="R2139">IFERROR(INDEX('Fund YTD Target Values'!$1:$1000, MATCH($C2139,'Fund YTD Target Values'!$A:$A,0), MATCH($A2139,'Fund YTD Target Values'!$1:$1,0)),0)</f>
        <v>0</v>
      </c>
      <c r="S2139" s="91">
        <f>IFERROR(__xludf.DUMMYFUNCTION("IFERROR(sum(FILTER('Fund Investment Data'!$V:$V, 'Fund Investment Data'!$C:$C = $C2139, 'Fund Investment Data'!$A:$A &lt; $A2139)),0) + IFERROR(sum(FILTER('Fund Investment Data'!$V:$V, 'Fund Investment Data'!$C:$C = $C2139, 'Fund Investment Data'!$A:$A = $A2"&amp;"139, 'Fund Investment Data'!$B:$B &lt;= $B2139)),0)"),0.0)</f>
        <v>0</v>
      </c>
      <c r="T2139" s="32"/>
      <c r="U2139" s="32"/>
      <c r="V2139" s="32">
        <f>IFERROR(__xludf.DUMMYFUNCTION("$D2139 - IFERROR(FILTER($D:$D,$C:$C = $C2139, $A:$A = $A2139, $B:$B = $B2139 - 1),0)"),0.0)</f>
        <v>0</v>
      </c>
      <c r="W2139" s="93">
        <f>IFERROR(__xludf.DUMMYFUNCTION("$E2139 - IFERROR(FILTER($E:$E,$C:$C = $C2139, $A:$A = $A2139, $B:$B = $B2139 - 1),0)"),0.0)</f>
        <v>0</v>
      </c>
      <c r="X2139" s="91">
        <f>IFERROR(__xludf.DUMMYFUNCTION("iFERROR((FILTER('Fund Investment Data'!$Z:$Z, 'Fund Investment Data'!$C:$C = $C2139, 'Fund Investment Data'!$A:$A = $A2139 - 1, 'Fund Investment Data'!$B:$B = 12) + FILTER('Fund Investment Data'!$AB:$AB, 'Fund Investment Data'!$C:$C = $C2139, 'Fund Invest"&amp;"ment Data'!$A:$A = $A2139 - 1, 'Fund Investment Data'!$B:$B = 12)) * (1 + AVERAGE(FILTER('Inflation Data'!$C:$C,'Inflation Data'!$A:$A = ($A2139 - 2)))) * Parameters!$A$4,0)"),0.0)</f>
        <v>0</v>
      </c>
      <c r="Y2139" s="91">
        <f>IFERROR(__xludf.DUMMYFUNCTION("IFERROR((IFERROR(FILTER('Fund Investment Data'!$P:$P,'Fund Investment Data'!$C:$C = $C2139,'Fund Investment Data'!$A:$A = ($A2139 - 2), 'Fund Investment Data'!$B:$B = 12),0) - SUM(FILTER('Fund Investment Data'!$V:$V, 'Fund Investment Data'!$C:$C = $C2139,"&amp;" 'Fund Investment Data'!$A:$A = ($A2139 - 2), 'Fund Investment Data'!$B:$B &gt; 3)))  * Parameters!$B$4 * (1 - Parameters!$A$4),0)"),0.0)</f>
        <v>0</v>
      </c>
      <c r="Z2139" s="91">
        <f t="shared" si="24"/>
        <v>0</v>
      </c>
      <c r="AA2139" s="91">
        <f>IFERROR(__xludf.DUMMYFUNCTION("((IFERROR((SUM(FILTER('Fund Investment Data'!$V:$V, 'Fund Investment Data'!$C:$C = $C2139, 'Fund Investment Data'!$A:$A = $A2139 - 1, 'Fund Investment Data'!$B:$B &gt;= 4, 'Fund Investment Data'!$B:$B &lt;= ($B2139 + 5))) / 12) * ($B2139 - 3) * Parameters!$B$4,"&amp;" 0) + IF($B2139 &gt;= 9, IFERROR(SUM(FILTER('Fund Investment Data'!$V:$V, 'Fund Investment Data'!$C:$C = $C2139, 'Fund Investment Data'!$A:$A = $A2139, 'Fund Investment Data'!$B:$B &lt;= 3)) * Parameters!$B$4, 0),0)))"),0.0)</f>
        <v>0</v>
      </c>
      <c r="AB2139" s="32">
        <f>IFERROR(__xludf.DUMMYFUNCTION("IFERROR(((IFERROR(SUM(FILTER('Fund Investment Data'!$V:$V, 'Fund Investment Data'!$C:$C = $C2139, 'Fund Investment Data'!$A:$A = $A2139 - 2, 'Fund Investment Data'!$B:$B &gt;= 4)) * Parameters!$B$4,0) + IFERROR(SUM(FILTER('Fund Investment Data'!$V:$V, 'Fund "&amp;"Investment Data'!$C:$C = $C2139, 'Fund Investment Data'!$A:$A = $A2139 - 1, 'Fund Investment Data'!$B:$B &lt;= 3)) * Parameters!$B$4,0))),0)"),0.0)</f>
        <v>0</v>
      </c>
      <c r="AC2139" s="32">
        <f>IFERROR(__xludf.DUMMYFUNCTION("IFERROR(FILTER($AF:$AF,$C:$C = $C2139,$A:$A = $A2139 - 1,$B:$B = 12),0)"),0.0)</f>
        <v>0</v>
      </c>
      <c r="AD2139" s="32">
        <f t="shared" si="23"/>
        <v>0</v>
      </c>
      <c r="AE2139" s="32">
        <f t="shared" si="2"/>
        <v>0</v>
      </c>
      <c r="AF2139" s="32"/>
    </row>
    <row r="2140">
      <c r="A2140" s="86"/>
      <c r="B2140" s="87"/>
      <c r="C2140" s="88"/>
      <c r="D2140" s="104"/>
      <c r="E2140" s="104"/>
      <c r="F2140" s="104"/>
      <c r="G2140" s="104"/>
      <c r="H2140" s="104"/>
      <c r="I2140" s="104"/>
      <c r="J2140" s="104"/>
      <c r="K2140" s="32"/>
      <c r="L2140" s="32"/>
      <c r="M2140" s="32"/>
      <c r="N2140" s="32"/>
      <c r="O2140" s="106"/>
      <c r="P2140" s="91">
        <f>IFERROR(__xludf.DUMMYFUNCTION("IFERROR(sum(FILTER($D:$N,$C:$C = $C2140,$A:$A &lt; $A2140,$B:$B = 12)),0) + sum($D2140:$N2140)"),0.0)</f>
        <v>0</v>
      </c>
      <c r="Q2140" s="92">
        <f t="shared" si="1"/>
        <v>0</v>
      </c>
      <c r="R2140" s="91">
        <f t="array" ref="R2140">IFERROR(INDEX('Fund YTD Target Values'!$1:$1000, MATCH($C2140,'Fund YTD Target Values'!$A:$A,0), MATCH($A2140,'Fund YTD Target Values'!$1:$1,0)),0)</f>
        <v>0</v>
      </c>
      <c r="S2140" s="91">
        <f>IFERROR(__xludf.DUMMYFUNCTION("IFERROR(sum(FILTER('Fund Investment Data'!$V:$V, 'Fund Investment Data'!$C:$C = $C2140, 'Fund Investment Data'!$A:$A &lt; $A2140)),0) + IFERROR(sum(FILTER('Fund Investment Data'!$V:$V, 'Fund Investment Data'!$C:$C = $C2140, 'Fund Investment Data'!$A:$A = $A2"&amp;"140, 'Fund Investment Data'!$B:$B &lt;= $B2140)),0)"),0.0)</f>
        <v>0</v>
      </c>
      <c r="T2140" s="32"/>
      <c r="U2140" s="32"/>
      <c r="V2140" s="32">
        <f>IFERROR(__xludf.DUMMYFUNCTION("$D2140 - IFERROR(FILTER($D:$D,$C:$C = $C2140, $A:$A = $A2140, $B:$B = $B2140 - 1),0)"),0.0)</f>
        <v>0</v>
      </c>
      <c r="W2140" s="93">
        <f>IFERROR(__xludf.DUMMYFUNCTION("$E2140 - IFERROR(FILTER($E:$E,$C:$C = $C2140, $A:$A = $A2140, $B:$B = $B2140 - 1),0)"),0.0)</f>
        <v>0</v>
      </c>
      <c r="X2140" s="91">
        <f>IFERROR(__xludf.DUMMYFUNCTION("iFERROR((FILTER('Fund Investment Data'!$Z:$Z, 'Fund Investment Data'!$C:$C = $C2140, 'Fund Investment Data'!$A:$A = $A2140 - 1, 'Fund Investment Data'!$B:$B = 12) + FILTER('Fund Investment Data'!$AB:$AB, 'Fund Investment Data'!$C:$C = $C2140, 'Fund Invest"&amp;"ment Data'!$A:$A = $A2140 - 1, 'Fund Investment Data'!$B:$B = 12)) * (1 + AVERAGE(FILTER('Inflation Data'!$C:$C,'Inflation Data'!$A:$A = ($A2140 - 2)))) * Parameters!$A$4,0)"),0.0)</f>
        <v>0</v>
      </c>
      <c r="Y2140" s="91">
        <f>IFERROR(__xludf.DUMMYFUNCTION("IFERROR((IFERROR(FILTER('Fund Investment Data'!$P:$P,'Fund Investment Data'!$C:$C = $C2140,'Fund Investment Data'!$A:$A = ($A2140 - 2), 'Fund Investment Data'!$B:$B = 12),0) - SUM(FILTER('Fund Investment Data'!$V:$V, 'Fund Investment Data'!$C:$C = $C2140,"&amp;" 'Fund Investment Data'!$A:$A = ($A2140 - 2), 'Fund Investment Data'!$B:$B &gt; 3)))  * Parameters!$B$4 * (1 - Parameters!$A$4),0)"),0.0)</f>
        <v>0</v>
      </c>
      <c r="Z2140" s="91">
        <f t="shared" si="24"/>
        <v>0</v>
      </c>
      <c r="AA2140" s="91">
        <f>IFERROR(__xludf.DUMMYFUNCTION("((IFERROR((SUM(FILTER('Fund Investment Data'!$V:$V, 'Fund Investment Data'!$C:$C = $C2140, 'Fund Investment Data'!$A:$A = $A2140 - 1, 'Fund Investment Data'!$B:$B &gt;= 4, 'Fund Investment Data'!$B:$B &lt;= ($B2140 + 5))) / 12) * ($B2140 - 3) * Parameters!$B$4,"&amp;" 0) + IF($B2140 &gt;= 9, IFERROR(SUM(FILTER('Fund Investment Data'!$V:$V, 'Fund Investment Data'!$C:$C = $C2140, 'Fund Investment Data'!$A:$A = $A2140, 'Fund Investment Data'!$B:$B &lt;= 3)) * Parameters!$B$4, 0),0)))"),0.0)</f>
        <v>0</v>
      </c>
      <c r="AB2140" s="32">
        <f>IFERROR(__xludf.DUMMYFUNCTION("IFERROR(((IFERROR(SUM(FILTER('Fund Investment Data'!$V:$V, 'Fund Investment Data'!$C:$C = $C2140, 'Fund Investment Data'!$A:$A = $A2140 - 2, 'Fund Investment Data'!$B:$B &gt;= 4)) * Parameters!$B$4,0) + IFERROR(SUM(FILTER('Fund Investment Data'!$V:$V, 'Fund "&amp;"Investment Data'!$C:$C = $C2140, 'Fund Investment Data'!$A:$A = $A2140 - 1, 'Fund Investment Data'!$B:$B &lt;= 3)) * Parameters!$B$4,0))),0)"),0.0)</f>
        <v>0</v>
      </c>
      <c r="AC2140" s="32">
        <f>IFERROR(__xludf.DUMMYFUNCTION("IFERROR(FILTER($AF:$AF,$C:$C = $C2140,$A:$A = $A2140 - 1,$B:$B = 12),0)"),0.0)</f>
        <v>0</v>
      </c>
      <c r="AD2140" s="32">
        <f t="shared" si="23"/>
        <v>0</v>
      </c>
      <c r="AE2140" s="32">
        <f t="shared" si="2"/>
        <v>0</v>
      </c>
      <c r="AF2140" s="32"/>
    </row>
    <row r="2141">
      <c r="A2141" s="86"/>
      <c r="B2141" s="87"/>
      <c r="C2141" s="88"/>
      <c r="D2141" s="104"/>
      <c r="E2141" s="104"/>
      <c r="F2141" s="104"/>
      <c r="G2141" s="104"/>
      <c r="H2141" s="104"/>
      <c r="I2141" s="104"/>
      <c r="J2141" s="104"/>
      <c r="K2141" s="32"/>
      <c r="L2141" s="32"/>
      <c r="M2141" s="32"/>
      <c r="N2141" s="32"/>
      <c r="O2141" s="106"/>
      <c r="P2141" s="91">
        <f>IFERROR(__xludf.DUMMYFUNCTION("IFERROR(sum(FILTER($D:$N,$C:$C = $C2141,$A:$A &lt; $A2141,$B:$B = 12)),0) + sum($D2141:$N2141)"),0.0)</f>
        <v>0</v>
      </c>
      <c r="Q2141" s="92">
        <f t="shared" si="1"/>
        <v>0</v>
      </c>
      <c r="R2141" s="91">
        <f t="array" ref="R2141">IFERROR(INDEX('Fund YTD Target Values'!$1:$1000, MATCH($C2141,'Fund YTD Target Values'!$A:$A,0), MATCH($A2141,'Fund YTD Target Values'!$1:$1,0)),0)</f>
        <v>0</v>
      </c>
      <c r="S2141" s="91">
        <f>IFERROR(__xludf.DUMMYFUNCTION("IFERROR(sum(FILTER('Fund Investment Data'!$V:$V, 'Fund Investment Data'!$C:$C = $C2141, 'Fund Investment Data'!$A:$A &lt; $A2141)),0) + IFERROR(sum(FILTER('Fund Investment Data'!$V:$V, 'Fund Investment Data'!$C:$C = $C2141, 'Fund Investment Data'!$A:$A = $A2"&amp;"141, 'Fund Investment Data'!$B:$B &lt;= $B2141)),0)"),0.0)</f>
        <v>0</v>
      </c>
      <c r="T2141" s="32"/>
      <c r="U2141" s="32"/>
      <c r="V2141" s="32">
        <f>IFERROR(__xludf.DUMMYFUNCTION("$D2141 - IFERROR(FILTER($D:$D,$C:$C = $C2141, $A:$A = $A2141, $B:$B = $B2141 - 1),0)"),0.0)</f>
        <v>0</v>
      </c>
      <c r="W2141" s="93">
        <f>IFERROR(__xludf.DUMMYFUNCTION("$E2141 - IFERROR(FILTER($E:$E,$C:$C = $C2141, $A:$A = $A2141, $B:$B = $B2141 - 1),0)"),0.0)</f>
        <v>0</v>
      </c>
      <c r="X2141" s="91">
        <f>IFERROR(__xludf.DUMMYFUNCTION("iFERROR((FILTER('Fund Investment Data'!$Z:$Z, 'Fund Investment Data'!$C:$C = $C2141, 'Fund Investment Data'!$A:$A = $A2141 - 1, 'Fund Investment Data'!$B:$B = 12) + FILTER('Fund Investment Data'!$AB:$AB, 'Fund Investment Data'!$C:$C = $C2141, 'Fund Invest"&amp;"ment Data'!$A:$A = $A2141 - 1, 'Fund Investment Data'!$B:$B = 12)) * (1 + AVERAGE(FILTER('Inflation Data'!$C:$C,'Inflation Data'!$A:$A = ($A2141 - 2)))) * Parameters!$A$4,0)"),0.0)</f>
        <v>0</v>
      </c>
      <c r="Y2141" s="91">
        <f>IFERROR(__xludf.DUMMYFUNCTION("IFERROR((IFERROR(FILTER('Fund Investment Data'!$P:$P,'Fund Investment Data'!$C:$C = $C2141,'Fund Investment Data'!$A:$A = ($A2141 - 2), 'Fund Investment Data'!$B:$B = 12),0) - SUM(FILTER('Fund Investment Data'!$V:$V, 'Fund Investment Data'!$C:$C = $C2141,"&amp;" 'Fund Investment Data'!$A:$A = ($A2141 - 2), 'Fund Investment Data'!$B:$B &gt; 3)))  * Parameters!$B$4 * (1 - Parameters!$A$4),0)"),0.0)</f>
        <v>0</v>
      </c>
      <c r="Z2141" s="91">
        <f t="shared" si="24"/>
        <v>0</v>
      </c>
      <c r="AA2141" s="91">
        <f>IFERROR(__xludf.DUMMYFUNCTION("((IFERROR((SUM(FILTER('Fund Investment Data'!$V:$V, 'Fund Investment Data'!$C:$C = $C2141, 'Fund Investment Data'!$A:$A = $A2141 - 1, 'Fund Investment Data'!$B:$B &gt;= 4, 'Fund Investment Data'!$B:$B &lt;= ($B2141 + 5))) / 12) * ($B2141 - 3) * Parameters!$B$4,"&amp;" 0) + IF($B2141 &gt;= 9, IFERROR(SUM(FILTER('Fund Investment Data'!$V:$V, 'Fund Investment Data'!$C:$C = $C2141, 'Fund Investment Data'!$A:$A = $A2141, 'Fund Investment Data'!$B:$B &lt;= 3)) * Parameters!$B$4, 0),0)))"),0.0)</f>
        <v>0</v>
      </c>
      <c r="AB2141" s="32">
        <f>IFERROR(__xludf.DUMMYFUNCTION("IFERROR(((IFERROR(SUM(FILTER('Fund Investment Data'!$V:$V, 'Fund Investment Data'!$C:$C = $C2141, 'Fund Investment Data'!$A:$A = $A2141 - 2, 'Fund Investment Data'!$B:$B &gt;= 4)) * Parameters!$B$4,0) + IFERROR(SUM(FILTER('Fund Investment Data'!$V:$V, 'Fund "&amp;"Investment Data'!$C:$C = $C2141, 'Fund Investment Data'!$A:$A = $A2141 - 1, 'Fund Investment Data'!$B:$B &lt;= 3)) * Parameters!$B$4,0))),0)"),0.0)</f>
        <v>0</v>
      </c>
      <c r="AC2141" s="32">
        <f>IFERROR(__xludf.DUMMYFUNCTION("IFERROR(FILTER($AF:$AF,$C:$C = $C2141,$A:$A = $A2141 - 1,$B:$B = 12),0)"),0.0)</f>
        <v>0</v>
      </c>
      <c r="AD2141" s="32">
        <f t="shared" si="23"/>
        <v>0</v>
      </c>
      <c r="AE2141" s="32">
        <f t="shared" si="2"/>
        <v>0</v>
      </c>
      <c r="AF2141" s="32"/>
    </row>
    <row r="2142">
      <c r="A2142" s="86"/>
      <c r="B2142" s="87"/>
      <c r="C2142" s="88"/>
      <c r="D2142" s="104"/>
      <c r="E2142" s="104"/>
      <c r="F2142" s="104"/>
      <c r="G2142" s="104"/>
      <c r="H2142" s="104"/>
      <c r="I2142" s="104"/>
      <c r="J2142" s="104"/>
      <c r="K2142" s="32"/>
      <c r="L2142" s="32"/>
      <c r="M2142" s="32"/>
      <c r="N2142" s="32"/>
      <c r="O2142" s="106"/>
      <c r="P2142" s="91">
        <f>IFERROR(__xludf.DUMMYFUNCTION("IFERROR(sum(FILTER($D:$N,$C:$C = $C2142,$A:$A &lt; $A2142,$B:$B = 12)),0) + sum($D2142:$N2142)"),0.0)</f>
        <v>0</v>
      </c>
      <c r="Q2142" s="92">
        <f t="shared" si="1"/>
        <v>0</v>
      </c>
      <c r="R2142" s="91">
        <f t="array" ref="R2142">IFERROR(INDEX('Fund YTD Target Values'!$1:$1000, MATCH($C2142,'Fund YTD Target Values'!$A:$A,0), MATCH($A2142,'Fund YTD Target Values'!$1:$1,0)),0)</f>
        <v>0</v>
      </c>
      <c r="S2142" s="91">
        <f>IFERROR(__xludf.DUMMYFUNCTION("IFERROR(sum(FILTER('Fund Investment Data'!$V:$V, 'Fund Investment Data'!$C:$C = $C2142, 'Fund Investment Data'!$A:$A &lt; $A2142)),0) + IFERROR(sum(FILTER('Fund Investment Data'!$V:$V, 'Fund Investment Data'!$C:$C = $C2142, 'Fund Investment Data'!$A:$A = $A2"&amp;"142, 'Fund Investment Data'!$B:$B &lt;= $B2142)),0)"),0.0)</f>
        <v>0</v>
      </c>
      <c r="T2142" s="32"/>
      <c r="U2142" s="32"/>
      <c r="V2142" s="32">
        <f>IFERROR(__xludf.DUMMYFUNCTION("$D2142 - IFERROR(FILTER($D:$D,$C:$C = $C2142, $A:$A = $A2142, $B:$B = $B2142 - 1),0)"),0.0)</f>
        <v>0</v>
      </c>
      <c r="W2142" s="93">
        <f>IFERROR(__xludf.DUMMYFUNCTION("$E2142 - IFERROR(FILTER($E:$E,$C:$C = $C2142, $A:$A = $A2142, $B:$B = $B2142 - 1),0)"),0.0)</f>
        <v>0</v>
      </c>
      <c r="X2142" s="91">
        <f>IFERROR(__xludf.DUMMYFUNCTION("iFERROR((FILTER('Fund Investment Data'!$Z:$Z, 'Fund Investment Data'!$C:$C = $C2142, 'Fund Investment Data'!$A:$A = $A2142 - 1, 'Fund Investment Data'!$B:$B = 12) + FILTER('Fund Investment Data'!$AB:$AB, 'Fund Investment Data'!$C:$C = $C2142, 'Fund Invest"&amp;"ment Data'!$A:$A = $A2142 - 1, 'Fund Investment Data'!$B:$B = 12)) * (1 + AVERAGE(FILTER('Inflation Data'!$C:$C,'Inflation Data'!$A:$A = ($A2142 - 2)))) * Parameters!$A$4,0)"),0.0)</f>
        <v>0</v>
      </c>
      <c r="Y2142" s="91">
        <f>IFERROR(__xludf.DUMMYFUNCTION("IFERROR((IFERROR(FILTER('Fund Investment Data'!$P:$P,'Fund Investment Data'!$C:$C = $C2142,'Fund Investment Data'!$A:$A = ($A2142 - 2), 'Fund Investment Data'!$B:$B = 12),0) - SUM(FILTER('Fund Investment Data'!$V:$V, 'Fund Investment Data'!$C:$C = $C2142,"&amp;" 'Fund Investment Data'!$A:$A = ($A2142 - 2), 'Fund Investment Data'!$B:$B &gt; 3)))  * Parameters!$B$4 * (1 - Parameters!$A$4),0)"),0.0)</f>
        <v>0</v>
      </c>
      <c r="Z2142" s="91">
        <f t="shared" si="24"/>
        <v>0</v>
      </c>
      <c r="AA2142" s="91">
        <f>IFERROR(__xludf.DUMMYFUNCTION("((IFERROR((SUM(FILTER('Fund Investment Data'!$V:$V, 'Fund Investment Data'!$C:$C = $C2142, 'Fund Investment Data'!$A:$A = $A2142 - 1, 'Fund Investment Data'!$B:$B &gt;= 4, 'Fund Investment Data'!$B:$B &lt;= ($B2142 + 5))) / 12) * ($B2142 - 3) * Parameters!$B$4,"&amp;" 0) + IF($B2142 &gt;= 9, IFERROR(SUM(FILTER('Fund Investment Data'!$V:$V, 'Fund Investment Data'!$C:$C = $C2142, 'Fund Investment Data'!$A:$A = $A2142, 'Fund Investment Data'!$B:$B &lt;= 3)) * Parameters!$B$4, 0),0)))"),0.0)</f>
        <v>0</v>
      </c>
      <c r="AB2142" s="32">
        <f>IFERROR(__xludf.DUMMYFUNCTION("IFERROR(((IFERROR(SUM(FILTER('Fund Investment Data'!$V:$V, 'Fund Investment Data'!$C:$C = $C2142, 'Fund Investment Data'!$A:$A = $A2142 - 2, 'Fund Investment Data'!$B:$B &gt;= 4)) * Parameters!$B$4,0) + IFERROR(SUM(FILTER('Fund Investment Data'!$V:$V, 'Fund "&amp;"Investment Data'!$C:$C = $C2142, 'Fund Investment Data'!$A:$A = $A2142 - 1, 'Fund Investment Data'!$B:$B &lt;= 3)) * Parameters!$B$4,0))),0)"),0.0)</f>
        <v>0</v>
      </c>
      <c r="AC2142" s="32">
        <f>IFERROR(__xludf.DUMMYFUNCTION("IFERROR(FILTER($AF:$AF,$C:$C = $C2142,$A:$A = $A2142 - 1,$B:$B = 12),0)"),0.0)</f>
        <v>0</v>
      </c>
      <c r="AD2142" s="32">
        <f t="shared" si="23"/>
        <v>0</v>
      </c>
      <c r="AE2142" s="32">
        <f t="shared" si="2"/>
        <v>0</v>
      </c>
      <c r="AF2142" s="32"/>
    </row>
    <row r="2143">
      <c r="A2143" s="86"/>
      <c r="B2143" s="87"/>
      <c r="C2143" s="88"/>
      <c r="D2143" s="104"/>
      <c r="E2143" s="104"/>
      <c r="F2143" s="104"/>
      <c r="G2143" s="104"/>
      <c r="H2143" s="104"/>
      <c r="I2143" s="104"/>
      <c r="J2143" s="104"/>
      <c r="K2143" s="32"/>
      <c r="L2143" s="32"/>
      <c r="M2143" s="32"/>
      <c r="N2143" s="32"/>
      <c r="O2143" s="106"/>
      <c r="P2143" s="91">
        <f>IFERROR(__xludf.DUMMYFUNCTION("IFERROR(sum(FILTER($D:$N,$C:$C = $C2143,$A:$A &lt; $A2143,$B:$B = 12)),0) + sum($D2143:$N2143)"),0.0)</f>
        <v>0</v>
      </c>
      <c r="Q2143" s="92">
        <f t="shared" si="1"/>
        <v>0</v>
      </c>
      <c r="R2143" s="91">
        <f t="array" ref="R2143">IFERROR(INDEX('Fund YTD Target Values'!$1:$1000, MATCH($C2143,'Fund YTD Target Values'!$A:$A,0), MATCH($A2143,'Fund YTD Target Values'!$1:$1,0)),0)</f>
        <v>0</v>
      </c>
      <c r="S2143" s="91">
        <f>IFERROR(__xludf.DUMMYFUNCTION("IFERROR(sum(FILTER('Fund Investment Data'!$V:$V, 'Fund Investment Data'!$C:$C = $C2143, 'Fund Investment Data'!$A:$A &lt; $A2143)),0) + IFERROR(sum(FILTER('Fund Investment Data'!$V:$V, 'Fund Investment Data'!$C:$C = $C2143, 'Fund Investment Data'!$A:$A = $A2"&amp;"143, 'Fund Investment Data'!$B:$B &lt;= $B2143)),0)"),0.0)</f>
        <v>0</v>
      </c>
      <c r="T2143" s="32"/>
      <c r="U2143" s="32"/>
      <c r="V2143" s="32">
        <f>IFERROR(__xludf.DUMMYFUNCTION("$D2143 - IFERROR(FILTER($D:$D,$C:$C = $C2143, $A:$A = $A2143, $B:$B = $B2143 - 1),0)"),0.0)</f>
        <v>0</v>
      </c>
      <c r="W2143" s="93">
        <f>IFERROR(__xludf.DUMMYFUNCTION("$E2143 - IFERROR(FILTER($E:$E,$C:$C = $C2143, $A:$A = $A2143, $B:$B = $B2143 - 1),0)"),0.0)</f>
        <v>0</v>
      </c>
      <c r="X2143" s="91">
        <f>IFERROR(__xludf.DUMMYFUNCTION("iFERROR((FILTER('Fund Investment Data'!$Z:$Z, 'Fund Investment Data'!$C:$C = $C2143, 'Fund Investment Data'!$A:$A = $A2143 - 1, 'Fund Investment Data'!$B:$B = 12) + FILTER('Fund Investment Data'!$AB:$AB, 'Fund Investment Data'!$C:$C = $C2143, 'Fund Invest"&amp;"ment Data'!$A:$A = $A2143 - 1, 'Fund Investment Data'!$B:$B = 12)) * (1 + AVERAGE(FILTER('Inflation Data'!$C:$C,'Inflation Data'!$A:$A = ($A2143 - 2)))) * Parameters!$A$4,0)"),0.0)</f>
        <v>0</v>
      </c>
      <c r="Y2143" s="91">
        <f>IFERROR(__xludf.DUMMYFUNCTION("IFERROR((IFERROR(FILTER('Fund Investment Data'!$P:$P,'Fund Investment Data'!$C:$C = $C2143,'Fund Investment Data'!$A:$A = ($A2143 - 2), 'Fund Investment Data'!$B:$B = 12),0) - SUM(FILTER('Fund Investment Data'!$V:$V, 'Fund Investment Data'!$C:$C = $C2143,"&amp;" 'Fund Investment Data'!$A:$A = ($A2143 - 2), 'Fund Investment Data'!$B:$B &gt; 3)))  * Parameters!$B$4 * (1 - Parameters!$A$4),0)"),0.0)</f>
        <v>0</v>
      </c>
      <c r="Z2143" s="91">
        <f t="shared" si="24"/>
        <v>0</v>
      </c>
      <c r="AA2143" s="91">
        <f>IFERROR(__xludf.DUMMYFUNCTION("((IFERROR((SUM(FILTER('Fund Investment Data'!$V:$V, 'Fund Investment Data'!$C:$C = $C2143, 'Fund Investment Data'!$A:$A = $A2143 - 1, 'Fund Investment Data'!$B:$B &gt;= 4, 'Fund Investment Data'!$B:$B &lt;= ($B2143 + 5))) / 12) * ($B2143 - 3) * Parameters!$B$4,"&amp;" 0) + IF($B2143 &gt;= 9, IFERROR(SUM(FILTER('Fund Investment Data'!$V:$V, 'Fund Investment Data'!$C:$C = $C2143, 'Fund Investment Data'!$A:$A = $A2143, 'Fund Investment Data'!$B:$B &lt;= 3)) * Parameters!$B$4, 0),0)))"),0.0)</f>
        <v>0</v>
      </c>
      <c r="AB2143" s="32">
        <f>IFERROR(__xludf.DUMMYFUNCTION("IFERROR(((IFERROR(SUM(FILTER('Fund Investment Data'!$V:$V, 'Fund Investment Data'!$C:$C = $C2143, 'Fund Investment Data'!$A:$A = $A2143 - 2, 'Fund Investment Data'!$B:$B &gt;= 4)) * Parameters!$B$4,0) + IFERROR(SUM(FILTER('Fund Investment Data'!$V:$V, 'Fund "&amp;"Investment Data'!$C:$C = $C2143, 'Fund Investment Data'!$A:$A = $A2143 - 1, 'Fund Investment Data'!$B:$B &lt;= 3)) * Parameters!$B$4,0))),0)"),0.0)</f>
        <v>0</v>
      </c>
      <c r="AC2143" s="32">
        <f>IFERROR(__xludf.DUMMYFUNCTION("IFERROR(FILTER($AF:$AF,$C:$C = $C2143,$A:$A = $A2143 - 1,$B:$B = 12),0)"),0.0)</f>
        <v>0</v>
      </c>
      <c r="AD2143" s="32">
        <f t="shared" si="23"/>
        <v>0</v>
      </c>
      <c r="AE2143" s="32">
        <f t="shared" si="2"/>
        <v>0</v>
      </c>
      <c r="AF2143" s="32"/>
    </row>
    <row r="2144">
      <c r="A2144" s="86"/>
      <c r="B2144" s="87"/>
      <c r="C2144" s="88"/>
      <c r="D2144" s="104"/>
      <c r="E2144" s="104"/>
      <c r="F2144" s="104"/>
      <c r="G2144" s="104"/>
      <c r="H2144" s="104"/>
      <c r="I2144" s="104"/>
      <c r="J2144" s="104"/>
      <c r="K2144" s="32"/>
      <c r="L2144" s="32"/>
      <c r="M2144" s="32"/>
      <c r="N2144" s="32"/>
      <c r="O2144" s="106"/>
      <c r="P2144" s="91">
        <f>IFERROR(__xludf.DUMMYFUNCTION("IFERROR(sum(FILTER($D:$N,$C:$C = $C2144,$A:$A &lt; $A2144,$B:$B = 12)),0) + sum($D2144:$N2144)"),0.0)</f>
        <v>0</v>
      </c>
      <c r="Q2144" s="92">
        <f t="shared" si="1"/>
        <v>0</v>
      </c>
      <c r="R2144" s="91">
        <f t="array" ref="R2144">IFERROR(INDEX('Fund YTD Target Values'!$1:$1000, MATCH($C2144,'Fund YTD Target Values'!$A:$A,0), MATCH($A2144,'Fund YTD Target Values'!$1:$1,0)),0)</f>
        <v>0</v>
      </c>
      <c r="S2144" s="91">
        <f>IFERROR(__xludf.DUMMYFUNCTION("IFERROR(sum(FILTER('Fund Investment Data'!$V:$V, 'Fund Investment Data'!$C:$C = $C2144, 'Fund Investment Data'!$A:$A &lt; $A2144)),0) + IFERROR(sum(FILTER('Fund Investment Data'!$V:$V, 'Fund Investment Data'!$C:$C = $C2144, 'Fund Investment Data'!$A:$A = $A2"&amp;"144, 'Fund Investment Data'!$B:$B &lt;= $B2144)),0)"),0.0)</f>
        <v>0</v>
      </c>
      <c r="T2144" s="32"/>
      <c r="U2144" s="32"/>
      <c r="V2144" s="32">
        <f>IFERROR(__xludf.DUMMYFUNCTION("$D2144 - IFERROR(FILTER($D:$D,$C:$C = $C2144, $A:$A = $A2144, $B:$B = $B2144 - 1),0)"),0.0)</f>
        <v>0</v>
      </c>
      <c r="W2144" s="93">
        <f>IFERROR(__xludf.DUMMYFUNCTION("$E2144 - IFERROR(FILTER($E:$E,$C:$C = $C2144, $A:$A = $A2144, $B:$B = $B2144 - 1),0)"),0.0)</f>
        <v>0</v>
      </c>
      <c r="X2144" s="91">
        <f>IFERROR(__xludf.DUMMYFUNCTION("iFERROR((FILTER('Fund Investment Data'!$Z:$Z, 'Fund Investment Data'!$C:$C = $C2144, 'Fund Investment Data'!$A:$A = $A2144 - 1, 'Fund Investment Data'!$B:$B = 12) + FILTER('Fund Investment Data'!$AB:$AB, 'Fund Investment Data'!$C:$C = $C2144, 'Fund Invest"&amp;"ment Data'!$A:$A = $A2144 - 1, 'Fund Investment Data'!$B:$B = 12)) * (1 + AVERAGE(FILTER('Inflation Data'!$C:$C,'Inflation Data'!$A:$A = ($A2144 - 2)))) * Parameters!$A$4,0)"),0.0)</f>
        <v>0</v>
      </c>
      <c r="Y2144" s="91">
        <f>IFERROR(__xludf.DUMMYFUNCTION("IFERROR((IFERROR(FILTER('Fund Investment Data'!$P:$P,'Fund Investment Data'!$C:$C = $C2144,'Fund Investment Data'!$A:$A = ($A2144 - 2), 'Fund Investment Data'!$B:$B = 12),0) - SUM(FILTER('Fund Investment Data'!$V:$V, 'Fund Investment Data'!$C:$C = $C2144,"&amp;" 'Fund Investment Data'!$A:$A = ($A2144 - 2), 'Fund Investment Data'!$B:$B &gt; 3)))  * Parameters!$B$4 * (1 - Parameters!$A$4),0)"),0.0)</f>
        <v>0</v>
      </c>
      <c r="Z2144" s="91">
        <f t="shared" si="24"/>
        <v>0</v>
      </c>
      <c r="AA2144" s="91">
        <f>IFERROR(__xludf.DUMMYFUNCTION("((IFERROR((SUM(FILTER('Fund Investment Data'!$V:$V, 'Fund Investment Data'!$C:$C = $C2144, 'Fund Investment Data'!$A:$A = $A2144 - 1, 'Fund Investment Data'!$B:$B &gt;= 4, 'Fund Investment Data'!$B:$B &lt;= ($B2144 + 5))) / 12) * ($B2144 - 3) * Parameters!$B$4,"&amp;" 0) + IF($B2144 &gt;= 9, IFERROR(SUM(FILTER('Fund Investment Data'!$V:$V, 'Fund Investment Data'!$C:$C = $C2144, 'Fund Investment Data'!$A:$A = $A2144, 'Fund Investment Data'!$B:$B &lt;= 3)) * Parameters!$B$4, 0),0)))"),0.0)</f>
        <v>0</v>
      </c>
      <c r="AB2144" s="32">
        <f>IFERROR(__xludf.DUMMYFUNCTION("IFERROR(((IFERROR(SUM(FILTER('Fund Investment Data'!$V:$V, 'Fund Investment Data'!$C:$C = $C2144, 'Fund Investment Data'!$A:$A = $A2144 - 2, 'Fund Investment Data'!$B:$B &gt;= 4)) * Parameters!$B$4,0) + IFERROR(SUM(FILTER('Fund Investment Data'!$V:$V, 'Fund "&amp;"Investment Data'!$C:$C = $C2144, 'Fund Investment Data'!$A:$A = $A2144 - 1, 'Fund Investment Data'!$B:$B &lt;= 3)) * Parameters!$B$4,0))),0)"),0.0)</f>
        <v>0</v>
      </c>
      <c r="AC2144" s="32">
        <f>IFERROR(__xludf.DUMMYFUNCTION("IFERROR(FILTER($AF:$AF,$C:$C = $C2144,$A:$A = $A2144 - 1,$B:$B = 12),0)"),0.0)</f>
        <v>0</v>
      </c>
      <c r="AD2144" s="32">
        <f t="shared" si="23"/>
        <v>0</v>
      </c>
      <c r="AE2144" s="32">
        <f t="shared" si="2"/>
        <v>0</v>
      </c>
      <c r="AF2144" s="32"/>
    </row>
    <row r="2145">
      <c r="A2145" s="86"/>
      <c r="B2145" s="87"/>
      <c r="C2145" s="88"/>
      <c r="D2145" s="104"/>
      <c r="E2145" s="104"/>
      <c r="F2145" s="104"/>
      <c r="G2145" s="104"/>
      <c r="H2145" s="104"/>
      <c r="I2145" s="104"/>
      <c r="J2145" s="104"/>
      <c r="K2145" s="32"/>
      <c r="L2145" s="32"/>
      <c r="M2145" s="32"/>
      <c r="N2145" s="32"/>
      <c r="O2145" s="106"/>
      <c r="P2145" s="91">
        <f>IFERROR(__xludf.DUMMYFUNCTION("IFERROR(sum(FILTER($D:$N,$C:$C = $C2145,$A:$A &lt; $A2145,$B:$B = 12)),0) + sum($D2145:$N2145)"),0.0)</f>
        <v>0</v>
      </c>
      <c r="Q2145" s="92">
        <f t="shared" si="1"/>
        <v>0</v>
      </c>
      <c r="R2145" s="91">
        <f t="array" ref="R2145">IFERROR(INDEX('Fund YTD Target Values'!$1:$1000, MATCH($C2145,'Fund YTD Target Values'!$A:$A,0), MATCH($A2145,'Fund YTD Target Values'!$1:$1,0)),0)</f>
        <v>0</v>
      </c>
      <c r="S2145" s="91">
        <f>IFERROR(__xludf.DUMMYFUNCTION("IFERROR(sum(FILTER('Fund Investment Data'!$V:$V, 'Fund Investment Data'!$C:$C = $C2145, 'Fund Investment Data'!$A:$A &lt; $A2145)),0) + IFERROR(sum(FILTER('Fund Investment Data'!$V:$V, 'Fund Investment Data'!$C:$C = $C2145, 'Fund Investment Data'!$A:$A = $A2"&amp;"145, 'Fund Investment Data'!$B:$B &lt;= $B2145)),0)"),0.0)</f>
        <v>0</v>
      </c>
      <c r="T2145" s="32"/>
      <c r="U2145" s="32"/>
      <c r="V2145" s="32">
        <f>IFERROR(__xludf.DUMMYFUNCTION("$D2145 - IFERROR(FILTER($D:$D,$C:$C = $C2145, $A:$A = $A2145, $B:$B = $B2145 - 1),0)"),0.0)</f>
        <v>0</v>
      </c>
      <c r="W2145" s="93">
        <f>IFERROR(__xludf.DUMMYFUNCTION("$E2145 - IFERROR(FILTER($E:$E,$C:$C = $C2145, $A:$A = $A2145, $B:$B = $B2145 - 1),0)"),0.0)</f>
        <v>0</v>
      </c>
      <c r="X2145" s="91">
        <f>IFERROR(__xludf.DUMMYFUNCTION("iFERROR((FILTER('Fund Investment Data'!$Z:$Z, 'Fund Investment Data'!$C:$C = $C2145, 'Fund Investment Data'!$A:$A = $A2145 - 1, 'Fund Investment Data'!$B:$B = 12) + FILTER('Fund Investment Data'!$AB:$AB, 'Fund Investment Data'!$C:$C = $C2145, 'Fund Invest"&amp;"ment Data'!$A:$A = $A2145 - 1, 'Fund Investment Data'!$B:$B = 12)) * (1 + AVERAGE(FILTER('Inflation Data'!$C:$C,'Inflation Data'!$A:$A = ($A2145 - 2)))) * Parameters!$A$4,0)"),0.0)</f>
        <v>0</v>
      </c>
      <c r="Y2145" s="91">
        <f>IFERROR(__xludf.DUMMYFUNCTION("IFERROR((IFERROR(FILTER('Fund Investment Data'!$P:$P,'Fund Investment Data'!$C:$C = $C2145,'Fund Investment Data'!$A:$A = ($A2145 - 2), 'Fund Investment Data'!$B:$B = 12),0) - SUM(FILTER('Fund Investment Data'!$V:$V, 'Fund Investment Data'!$C:$C = $C2145,"&amp;" 'Fund Investment Data'!$A:$A = ($A2145 - 2), 'Fund Investment Data'!$B:$B &gt; 3)))  * Parameters!$B$4 * (1 - Parameters!$A$4),0)"),0.0)</f>
        <v>0</v>
      </c>
      <c r="Z2145" s="91">
        <f t="shared" si="24"/>
        <v>0</v>
      </c>
      <c r="AA2145" s="91">
        <f>IFERROR(__xludf.DUMMYFUNCTION("((IFERROR((SUM(FILTER('Fund Investment Data'!$V:$V, 'Fund Investment Data'!$C:$C = $C2145, 'Fund Investment Data'!$A:$A = $A2145 - 1, 'Fund Investment Data'!$B:$B &gt;= 4, 'Fund Investment Data'!$B:$B &lt;= ($B2145 + 5))) / 12) * ($B2145 - 3) * Parameters!$B$4,"&amp;" 0) + IF($B2145 &gt;= 9, IFERROR(SUM(FILTER('Fund Investment Data'!$V:$V, 'Fund Investment Data'!$C:$C = $C2145, 'Fund Investment Data'!$A:$A = $A2145, 'Fund Investment Data'!$B:$B &lt;= 3)) * Parameters!$B$4, 0),0)))"),0.0)</f>
        <v>0</v>
      </c>
      <c r="AB2145" s="32">
        <f>IFERROR(__xludf.DUMMYFUNCTION("IFERROR(((IFERROR(SUM(FILTER('Fund Investment Data'!$V:$V, 'Fund Investment Data'!$C:$C = $C2145, 'Fund Investment Data'!$A:$A = $A2145 - 2, 'Fund Investment Data'!$B:$B &gt;= 4)) * Parameters!$B$4,0) + IFERROR(SUM(FILTER('Fund Investment Data'!$V:$V, 'Fund "&amp;"Investment Data'!$C:$C = $C2145, 'Fund Investment Data'!$A:$A = $A2145 - 1, 'Fund Investment Data'!$B:$B &lt;= 3)) * Parameters!$B$4,0))),0)"),0.0)</f>
        <v>0</v>
      </c>
      <c r="AC2145" s="32">
        <f>IFERROR(__xludf.DUMMYFUNCTION("IFERROR(FILTER($AF:$AF,$C:$C = $C2145,$A:$A = $A2145 - 1,$B:$B = 12),0)"),0.0)</f>
        <v>0</v>
      </c>
      <c r="AD2145" s="32">
        <f t="shared" si="23"/>
        <v>0</v>
      </c>
      <c r="AE2145" s="32">
        <f t="shared" si="2"/>
        <v>0</v>
      </c>
      <c r="AF2145" s="32"/>
    </row>
    <row r="2146">
      <c r="A2146" s="86"/>
      <c r="B2146" s="87"/>
      <c r="C2146" s="88"/>
      <c r="D2146" s="104"/>
      <c r="E2146" s="104"/>
      <c r="F2146" s="104"/>
      <c r="G2146" s="104"/>
      <c r="H2146" s="104"/>
      <c r="I2146" s="104"/>
      <c r="J2146" s="104"/>
      <c r="K2146" s="32"/>
      <c r="L2146" s="32"/>
      <c r="M2146" s="32"/>
      <c r="N2146" s="32"/>
      <c r="O2146" s="106"/>
      <c r="P2146" s="91">
        <f>IFERROR(__xludf.DUMMYFUNCTION("IFERROR(sum(FILTER($D:$N,$C:$C = $C2146,$A:$A &lt; $A2146,$B:$B = 12)),0) + sum($D2146:$N2146)"),0.0)</f>
        <v>0</v>
      </c>
      <c r="Q2146" s="92">
        <f t="shared" si="1"/>
        <v>0</v>
      </c>
      <c r="R2146" s="91">
        <f t="array" ref="R2146">IFERROR(INDEX('Fund YTD Target Values'!$1:$1000, MATCH($C2146,'Fund YTD Target Values'!$A:$A,0), MATCH($A2146,'Fund YTD Target Values'!$1:$1,0)),0)</f>
        <v>0</v>
      </c>
      <c r="S2146" s="91">
        <f>IFERROR(__xludf.DUMMYFUNCTION("IFERROR(sum(FILTER('Fund Investment Data'!$V:$V, 'Fund Investment Data'!$C:$C = $C2146, 'Fund Investment Data'!$A:$A &lt; $A2146)),0) + IFERROR(sum(FILTER('Fund Investment Data'!$V:$V, 'Fund Investment Data'!$C:$C = $C2146, 'Fund Investment Data'!$A:$A = $A2"&amp;"146, 'Fund Investment Data'!$B:$B &lt;= $B2146)),0)"),0.0)</f>
        <v>0</v>
      </c>
      <c r="T2146" s="32"/>
      <c r="U2146" s="32"/>
      <c r="V2146" s="32">
        <f>IFERROR(__xludf.DUMMYFUNCTION("$D2146 - IFERROR(FILTER($D:$D,$C:$C = $C2146, $A:$A = $A2146, $B:$B = $B2146 - 1),0)"),0.0)</f>
        <v>0</v>
      </c>
      <c r="W2146" s="93">
        <f>IFERROR(__xludf.DUMMYFUNCTION("$E2146 - IFERROR(FILTER($E:$E,$C:$C = $C2146, $A:$A = $A2146, $B:$B = $B2146 - 1),0)"),0.0)</f>
        <v>0</v>
      </c>
      <c r="X2146" s="91">
        <f>IFERROR(__xludf.DUMMYFUNCTION("iFERROR((FILTER('Fund Investment Data'!$Z:$Z, 'Fund Investment Data'!$C:$C = $C2146, 'Fund Investment Data'!$A:$A = $A2146 - 1, 'Fund Investment Data'!$B:$B = 12) + FILTER('Fund Investment Data'!$AB:$AB, 'Fund Investment Data'!$C:$C = $C2146, 'Fund Invest"&amp;"ment Data'!$A:$A = $A2146 - 1, 'Fund Investment Data'!$B:$B = 12)) * (1 + AVERAGE(FILTER('Inflation Data'!$C:$C,'Inflation Data'!$A:$A = ($A2146 - 2)))) * Parameters!$A$4,0)"),0.0)</f>
        <v>0</v>
      </c>
      <c r="Y2146" s="91">
        <f>IFERROR(__xludf.DUMMYFUNCTION("IFERROR((IFERROR(FILTER('Fund Investment Data'!$P:$P,'Fund Investment Data'!$C:$C = $C2146,'Fund Investment Data'!$A:$A = ($A2146 - 2), 'Fund Investment Data'!$B:$B = 12),0) - SUM(FILTER('Fund Investment Data'!$V:$V, 'Fund Investment Data'!$C:$C = $C2146,"&amp;" 'Fund Investment Data'!$A:$A = ($A2146 - 2), 'Fund Investment Data'!$B:$B &gt; 3)))  * Parameters!$B$4 * (1 - Parameters!$A$4),0)"),0.0)</f>
        <v>0</v>
      </c>
      <c r="Z2146" s="91">
        <f t="shared" si="24"/>
        <v>0</v>
      </c>
      <c r="AA2146" s="91">
        <f>IFERROR(__xludf.DUMMYFUNCTION("((IFERROR((SUM(FILTER('Fund Investment Data'!$V:$V, 'Fund Investment Data'!$C:$C = $C2146, 'Fund Investment Data'!$A:$A = $A2146 - 1, 'Fund Investment Data'!$B:$B &gt;= 4, 'Fund Investment Data'!$B:$B &lt;= ($B2146 + 5))) / 12) * ($B2146 - 3) * Parameters!$B$4,"&amp;" 0) + IF($B2146 &gt;= 9, IFERROR(SUM(FILTER('Fund Investment Data'!$V:$V, 'Fund Investment Data'!$C:$C = $C2146, 'Fund Investment Data'!$A:$A = $A2146, 'Fund Investment Data'!$B:$B &lt;= 3)) * Parameters!$B$4, 0),0)))"),0.0)</f>
        <v>0</v>
      </c>
      <c r="AB2146" s="32">
        <f>IFERROR(__xludf.DUMMYFUNCTION("IFERROR(((IFERROR(SUM(FILTER('Fund Investment Data'!$V:$V, 'Fund Investment Data'!$C:$C = $C2146, 'Fund Investment Data'!$A:$A = $A2146 - 2, 'Fund Investment Data'!$B:$B &gt;= 4)) * Parameters!$B$4,0) + IFERROR(SUM(FILTER('Fund Investment Data'!$V:$V, 'Fund "&amp;"Investment Data'!$C:$C = $C2146, 'Fund Investment Data'!$A:$A = $A2146 - 1, 'Fund Investment Data'!$B:$B &lt;= 3)) * Parameters!$B$4,0))),0)"),0.0)</f>
        <v>0</v>
      </c>
      <c r="AC2146" s="32">
        <f>IFERROR(__xludf.DUMMYFUNCTION("IFERROR(FILTER($AF:$AF,$C:$C = $C2146,$A:$A = $A2146 - 1,$B:$B = 12),0)"),0.0)</f>
        <v>0</v>
      </c>
      <c r="AD2146" s="32">
        <f t="shared" si="23"/>
        <v>0</v>
      </c>
      <c r="AE2146" s="32">
        <f t="shared" si="2"/>
        <v>0</v>
      </c>
      <c r="AF2146" s="32"/>
    </row>
    <row r="2147">
      <c r="A2147" s="86"/>
      <c r="B2147" s="87"/>
      <c r="C2147" s="88"/>
      <c r="D2147" s="104"/>
      <c r="E2147" s="104"/>
      <c r="F2147" s="104"/>
      <c r="G2147" s="104"/>
      <c r="H2147" s="104"/>
      <c r="I2147" s="104"/>
      <c r="J2147" s="104"/>
      <c r="K2147" s="32"/>
      <c r="L2147" s="32"/>
      <c r="M2147" s="32"/>
      <c r="N2147" s="32"/>
      <c r="O2147" s="106"/>
      <c r="P2147" s="91">
        <f>IFERROR(__xludf.DUMMYFUNCTION("IFERROR(sum(FILTER($D:$N,$C:$C = $C2147,$A:$A &lt; $A2147,$B:$B = 12)),0) + sum($D2147:$N2147)"),0.0)</f>
        <v>0</v>
      </c>
      <c r="Q2147" s="92">
        <f t="shared" si="1"/>
        <v>0</v>
      </c>
      <c r="R2147" s="91">
        <f t="array" ref="R2147">IFERROR(INDEX('Fund YTD Target Values'!$1:$1000, MATCH($C2147,'Fund YTD Target Values'!$A:$A,0), MATCH($A2147,'Fund YTD Target Values'!$1:$1,0)),0)</f>
        <v>0</v>
      </c>
      <c r="S2147" s="91">
        <f>IFERROR(__xludf.DUMMYFUNCTION("IFERROR(sum(FILTER('Fund Investment Data'!$V:$V, 'Fund Investment Data'!$C:$C = $C2147, 'Fund Investment Data'!$A:$A &lt; $A2147)),0) + IFERROR(sum(FILTER('Fund Investment Data'!$V:$V, 'Fund Investment Data'!$C:$C = $C2147, 'Fund Investment Data'!$A:$A = $A2"&amp;"147, 'Fund Investment Data'!$B:$B &lt;= $B2147)),0)"),0.0)</f>
        <v>0</v>
      </c>
      <c r="T2147" s="32"/>
      <c r="U2147" s="32"/>
      <c r="V2147" s="32">
        <f>IFERROR(__xludf.DUMMYFUNCTION("$D2147 - IFERROR(FILTER($D:$D,$C:$C = $C2147, $A:$A = $A2147, $B:$B = $B2147 - 1),0)"),0.0)</f>
        <v>0</v>
      </c>
      <c r="W2147" s="93">
        <f>IFERROR(__xludf.DUMMYFUNCTION("$E2147 - IFERROR(FILTER($E:$E,$C:$C = $C2147, $A:$A = $A2147, $B:$B = $B2147 - 1),0)"),0.0)</f>
        <v>0</v>
      </c>
      <c r="X2147" s="91">
        <f>IFERROR(__xludf.DUMMYFUNCTION("iFERROR((FILTER('Fund Investment Data'!$Z:$Z, 'Fund Investment Data'!$C:$C = $C2147, 'Fund Investment Data'!$A:$A = $A2147 - 1, 'Fund Investment Data'!$B:$B = 12) + FILTER('Fund Investment Data'!$AB:$AB, 'Fund Investment Data'!$C:$C = $C2147, 'Fund Invest"&amp;"ment Data'!$A:$A = $A2147 - 1, 'Fund Investment Data'!$B:$B = 12)) * (1 + AVERAGE(FILTER('Inflation Data'!$C:$C,'Inflation Data'!$A:$A = ($A2147 - 2)))) * Parameters!$A$4,0)"),0.0)</f>
        <v>0</v>
      </c>
      <c r="Y2147" s="91">
        <f>IFERROR(__xludf.DUMMYFUNCTION("IFERROR((IFERROR(FILTER('Fund Investment Data'!$P:$P,'Fund Investment Data'!$C:$C = $C2147,'Fund Investment Data'!$A:$A = ($A2147 - 2), 'Fund Investment Data'!$B:$B = 12),0) - SUM(FILTER('Fund Investment Data'!$V:$V, 'Fund Investment Data'!$C:$C = $C2147,"&amp;" 'Fund Investment Data'!$A:$A = ($A2147 - 2), 'Fund Investment Data'!$B:$B &gt; 3)))  * Parameters!$B$4 * (1 - Parameters!$A$4),0)"),0.0)</f>
        <v>0</v>
      </c>
      <c r="Z2147" s="91">
        <f t="shared" si="24"/>
        <v>0</v>
      </c>
      <c r="AA2147" s="91">
        <f>IFERROR(__xludf.DUMMYFUNCTION("((IFERROR((SUM(FILTER('Fund Investment Data'!$V:$V, 'Fund Investment Data'!$C:$C = $C2147, 'Fund Investment Data'!$A:$A = $A2147 - 1, 'Fund Investment Data'!$B:$B &gt;= 4, 'Fund Investment Data'!$B:$B &lt;= ($B2147 + 5))) / 12) * ($B2147 - 3) * Parameters!$B$4,"&amp;" 0) + IF($B2147 &gt;= 9, IFERROR(SUM(FILTER('Fund Investment Data'!$V:$V, 'Fund Investment Data'!$C:$C = $C2147, 'Fund Investment Data'!$A:$A = $A2147, 'Fund Investment Data'!$B:$B &lt;= 3)) * Parameters!$B$4, 0),0)))"),0.0)</f>
        <v>0</v>
      </c>
      <c r="AB2147" s="32">
        <f>IFERROR(__xludf.DUMMYFUNCTION("IFERROR(((IFERROR(SUM(FILTER('Fund Investment Data'!$V:$V, 'Fund Investment Data'!$C:$C = $C2147, 'Fund Investment Data'!$A:$A = $A2147 - 2, 'Fund Investment Data'!$B:$B &gt;= 4)) * Parameters!$B$4,0) + IFERROR(SUM(FILTER('Fund Investment Data'!$V:$V, 'Fund "&amp;"Investment Data'!$C:$C = $C2147, 'Fund Investment Data'!$A:$A = $A2147 - 1, 'Fund Investment Data'!$B:$B &lt;= 3)) * Parameters!$B$4,0))),0)"),0.0)</f>
        <v>0</v>
      </c>
      <c r="AC2147" s="32">
        <f>IFERROR(__xludf.DUMMYFUNCTION("IFERROR(FILTER($AF:$AF,$C:$C = $C2147,$A:$A = $A2147 - 1,$B:$B = 12),0)"),0.0)</f>
        <v>0</v>
      </c>
      <c r="AD2147" s="32">
        <f t="shared" si="23"/>
        <v>0</v>
      </c>
      <c r="AE2147" s="32">
        <f t="shared" si="2"/>
        <v>0</v>
      </c>
      <c r="AF2147" s="32"/>
    </row>
    <row r="2148">
      <c r="A2148" s="86"/>
      <c r="B2148" s="87"/>
      <c r="C2148" s="88"/>
      <c r="D2148" s="104"/>
      <c r="E2148" s="104"/>
      <c r="F2148" s="104"/>
      <c r="G2148" s="104"/>
      <c r="H2148" s="104"/>
      <c r="I2148" s="104"/>
      <c r="J2148" s="104"/>
      <c r="K2148" s="32"/>
      <c r="L2148" s="32"/>
      <c r="M2148" s="32"/>
      <c r="N2148" s="32"/>
      <c r="O2148" s="106"/>
      <c r="P2148" s="91">
        <f>IFERROR(__xludf.DUMMYFUNCTION("IFERROR(sum(FILTER($D:$N,$C:$C = $C2148,$A:$A &lt; $A2148,$B:$B = 12)),0) + sum($D2148:$N2148)"),0.0)</f>
        <v>0</v>
      </c>
      <c r="Q2148" s="92">
        <f t="shared" si="1"/>
        <v>0</v>
      </c>
      <c r="R2148" s="91">
        <f t="array" ref="R2148">IFERROR(INDEX('Fund YTD Target Values'!$1:$1000, MATCH($C2148,'Fund YTD Target Values'!$A:$A,0), MATCH($A2148,'Fund YTD Target Values'!$1:$1,0)),0)</f>
        <v>0</v>
      </c>
      <c r="S2148" s="91">
        <f>IFERROR(__xludf.DUMMYFUNCTION("IFERROR(sum(FILTER('Fund Investment Data'!$V:$V, 'Fund Investment Data'!$C:$C = $C2148, 'Fund Investment Data'!$A:$A &lt; $A2148)),0) + IFERROR(sum(FILTER('Fund Investment Data'!$V:$V, 'Fund Investment Data'!$C:$C = $C2148, 'Fund Investment Data'!$A:$A = $A2"&amp;"148, 'Fund Investment Data'!$B:$B &lt;= $B2148)),0)"),0.0)</f>
        <v>0</v>
      </c>
      <c r="T2148" s="32"/>
      <c r="U2148" s="32"/>
      <c r="V2148" s="32">
        <f>IFERROR(__xludf.DUMMYFUNCTION("$D2148 - IFERROR(FILTER($D:$D,$C:$C = $C2148, $A:$A = $A2148, $B:$B = $B2148 - 1),0)"),0.0)</f>
        <v>0</v>
      </c>
      <c r="W2148" s="93">
        <f>IFERROR(__xludf.DUMMYFUNCTION("$E2148 - IFERROR(FILTER($E:$E,$C:$C = $C2148, $A:$A = $A2148, $B:$B = $B2148 - 1),0)"),0.0)</f>
        <v>0</v>
      </c>
      <c r="X2148" s="91">
        <f>IFERROR(__xludf.DUMMYFUNCTION("iFERROR((FILTER('Fund Investment Data'!$Z:$Z, 'Fund Investment Data'!$C:$C = $C2148, 'Fund Investment Data'!$A:$A = $A2148 - 1, 'Fund Investment Data'!$B:$B = 12) + FILTER('Fund Investment Data'!$AB:$AB, 'Fund Investment Data'!$C:$C = $C2148, 'Fund Invest"&amp;"ment Data'!$A:$A = $A2148 - 1, 'Fund Investment Data'!$B:$B = 12)) * (1 + AVERAGE(FILTER('Inflation Data'!$C:$C,'Inflation Data'!$A:$A = ($A2148 - 2)))) * Parameters!$A$4,0)"),0.0)</f>
        <v>0</v>
      </c>
      <c r="Y2148" s="91">
        <f>IFERROR(__xludf.DUMMYFUNCTION("IFERROR((IFERROR(FILTER('Fund Investment Data'!$P:$P,'Fund Investment Data'!$C:$C = $C2148,'Fund Investment Data'!$A:$A = ($A2148 - 2), 'Fund Investment Data'!$B:$B = 12),0) - SUM(FILTER('Fund Investment Data'!$V:$V, 'Fund Investment Data'!$C:$C = $C2148,"&amp;" 'Fund Investment Data'!$A:$A = ($A2148 - 2), 'Fund Investment Data'!$B:$B &gt; 3)))  * Parameters!$B$4 * (1 - Parameters!$A$4),0)"),0.0)</f>
        <v>0</v>
      </c>
      <c r="Z2148" s="91">
        <f t="shared" si="24"/>
        <v>0</v>
      </c>
      <c r="AA2148" s="91">
        <f>IFERROR(__xludf.DUMMYFUNCTION("((IFERROR((SUM(FILTER('Fund Investment Data'!$V:$V, 'Fund Investment Data'!$C:$C = $C2148, 'Fund Investment Data'!$A:$A = $A2148 - 1, 'Fund Investment Data'!$B:$B &gt;= 4, 'Fund Investment Data'!$B:$B &lt;= ($B2148 + 5))) / 12) * ($B2148 - 3) * Parameters!$B$4,"&amp;" 0) + IF($B2148 &gt;= 9, IFERROR(SUM(FILTER('Fund Investment Data'!$V:$V, 'Fund Investment Data'!$C:$C = $C2148, 'Fund Investment Data'!$A:$A = $A2148, 'Fund Investment Data'!$B:$B &lt;= 3)) * Parameters!$B$4, 0),0)))"),0.0)</f>
        <v>0</v>
      </c>
      <c r="AB2148" s="32">
        <f>IFERROR(__xludf.DUMMYFUNCTION("IFERROR(((IFERROR(SUM(FILTER('Fund Investment Data'!$V:$V, 'Fund Investment Data'!$C:$C = $C2148, 'Fund Investment Data'!$A:$A = $A2148 - 2, 'Fund Investment Data'!$B:$B &gt;= 4)) * Parameters!$B$4,0) + IFERROR(SUM(FILTER('Fund Investment Data'!$V:$V, 'Fund "&amp;"Investment Data'!$C:$C = $C2148, 'Fund Investment Data'!$A:$A = $A2148 - 1, 'Fund Investment Data'!$B:$B &lt;= 3)) * Parameters!$B$4,0))),0)"),0.0)</f>
        <v>0</v>
      </c>
      <c r="AC2148" s="32">
        <f>IFERROR(__xludf.DUMMYFUNCTION("IFERROR(FILTER($AF:$AF,$C:$C = $C2148,$A:$A = $A2148 - 1,$B:$B = 12),0)"),0.0)</f>
        <v>0</v>
      </c>
      <c r="AD2148" s="32">
        <f t="shared" si="23"/>
        <v>0</v>
      </c>
      <c r="AE2148" s="32">
        <f t="shared" si="2"/>
        <v>0</v>
      </c>
      <c r="AF2148" s="32"/>
    </row>
    <row r="2149">
      <c r="A2149" s="86"/>
      <c r="B2149" s="87"/>
      <c r="C2149" s="88"/>
      <c r="D2149" s="104"/>
      <c r="E2149" s="104"/>
      <c r="F2149" s="104"/>
      <c r="G2149" s="104"/>
      <c r="H2149" s="104"/>
      <c r="I2149" s="104"/>
      <c r="J2149" s="104"/>
      <c r="K2149" s="32"/>
      <c r="L2149" s="32"/>
      <c r="M2149" s="32"/>
      <c r="N2149" s="32"/>
      <c r="O2149" s="106"/>
      <c r="P2149" s="91">
        <f>IFERROR(__xludf.DUMMYFUNCTION("IFERROR(sum(FILTER($D:$N,$C:$C = $C2149,$A:$A &lt; $A2149,$B:$B = 12)),0) + sum($D2149:$N2149)"),0.0)</f>
        <v>0</v>
      </c>
      <c r="Q2149" s="92">
        <f t="shared" si="1"/>
        <v>0</v>
      </c>
      <c r="R2149" s="91">
        <f t="array" ref="R2149">IFERROR(INDEX('Fund YTD Target Values'!$1:$1000, MATCH($C2149,'Fund YTD Target Values'!$A:$A,0), MATCH($A2149,'Fund YTD Target Values'!$1:$1,0)),0)</f>
        <v>0</v>
      </c>
      <c r="S2149" s="91">
        <f>IFERROR(__xludf.DUMMYFUNCTION("IFERROR(sum(FILTER('Fund Investment Data'!$V:$V, 'Fund Investment Data'!$C:$C = $C2149, 'Fund Investment Data'!$A:$A &lt; $A2149)),0) + IFERROR(sum(FILTER('Fund Investment Data'!$V:$V, 'Fund Investment Data'!$C:$C = $C2149, 'Fund Investment Data'!$A:$A = $A2"&amp;"149, 'Fund Investment Data'!$B:$B &lt;= $B2149)),0)"),0.0)</f>
        <v>0</v>
      </c>
      <c r="T2149" s="32"/>
      <c r="U2149" s="32"/>
      <c r="V2149" s="32">
        <f>IFERROR(__xludf.DUMMYFUNCTION("$D2149 - IFERROR(FILTER($D:$D,$C:$C = $C2149, $A:$A = $A2149, $B:$B = $B2149 - 1),0)"),0.0)</f>
        <v>0</v>
      </c>
      <c r="W2149" s="93">
        <f>IFERROR(__xludf.DUMMYFUNCTION("$E2149 - IFERROR(FILTER($E:$E,$C:$C = $C2149, $A:$A = $A2149, $B:$B = $B2149 - 1),0)"),0.0)</f>
        <v>0</v>
      </c>
      <c r="X2149" s="91">
        <f>IFERROR(__xludf.DUMMYFUNCTION("iFERROR((FILTER('Fund Investment Data'!$Z:$Z, 'Fund Investment Data'!$C:$C = $C2149, 'Fund Investment Data'!$A:$A = $A2149 - 1, 'Fund Investment Data'!$B:$B = 12) + FILTER('Fund Investment Data'!$AB:$AB, 'Fund Investment Data'!$C:$C = $C2149, 'Fund Invest"&amp;"ment Data'!$A:$A = $A2149 - 1, 'Fund Investment Data'!$B:$B = 12)) * (1 + AVERAGE(FILTER('Inflation Data'!$C:$C,'Inflation Data'!$A:$A = ($A2149 - 2)))) * Parameters!$A$4,0)"),0.0)</f>
        <v>0</v>
      </c>
      <c r="Y2149" s="91">
        <f>IFERROR(__xludf.DUMMYFUNCTION("IFERROR((IFERROR(FILTER('Fund Investment Data'!$P:$P,'Fund Investment Data'!$C:$C = $C2149,'Fund Investment Data'!$A:$A = ($A2149 - 2), 'Fund Investment Data'!$B:$B = 12),0) - SUM(FILTER('Fund Investment Data'!$V:$V, 'Fund Investment Data'!$C:$C = $C2149,"&amp;" 'Fund Investment Data'!$A:$A = ($A2149 - 2), 'Fund Investment Data'!$B:$B &gt; 3)))  * Parameters!$B$4 * (1 - Parameters!$A$4),0)"),0.0)</f>
        <v>0</v>
      </c>
      <c r="Z2149" s="91">
        <f t="shared" si="24"/>
        <v>0</v>
      </c>
      <c r="AA2149" s="91">
        <f>IFERROR(__xludf.DUMMYFUNCTION("((IFERROR((SUM(FILTER('Fund Investment Data'!$V:$V, 'Fund Investment Data'!$C:$C = $C2149, 'Fund Investment Data'!$A:$A = $A2149 - 1, 'Fund Investment Data'!$B:$B &gt;= 4, 'Fund Investment Data'!$B:$B &lt;= ($B2149 + 5))) / 12) * ($B2149 - 3) * Parameters!$B$4,"&amp;" 0) + IF($B2149 &gt;= 9, IFERROR(SUM(FILTER('Fund Investment Data'!$V:$V, 'Fund Investment Data'!$C:$C = $C2149, 'Fund Investment Data'!$A:$A = $A2149, 'Fund Investment Data'!$B:$B &lt;= 3)) * Parameters!$B$4, 0),0)))"),0.0)</f>
        <v>0</v>
      </c>
      <c r="AB2149" s="32">
        <f>IFERROR(__xludf.DUMMYFUNCTION("IFERROR(((IFERROR(SUM(FILTER('Fund Investment Data'!$V:$V, 'Fund Investment Data'!$C:$C = $C2149, 'Fund Investment Data'!$A:$A = $A2149 - 2, 'Fund Investment Data'!$B:$B &gt;= 4)) * Parameters!$B$4,0) + IFERROR(SUM(FILTER('Fund Investment Data'!$V:$V, 'Fund "&amp;"Investment Data'!$C:$C = $C2149, 'Fund Investment Data'!$A:$A = $A2149 - 1, 'Fund Investment Data'!$B:$B &lt;= 3)) * Parameters!$B$4,0))),0)"),0.0)</f>
        <v>0</v>
      </c>
      <c r="AC2149" s="32">
        <f>IFERROR(__xludf.DUMMYFUNCTION("IFERROR(FILTER($AF:$AF,$C:$C = $C2149,$A:$A = $A2149 - 1,$B:$B = 12),0)"),0.0)</f>
        <v>0</v>
      </c>
      <c r="AD2149" s="32">
        <f t="shared" si="23"/>
        <v>0</v>
      </c>
      <c r="AE2149" s="32">
        <f t="shared" si="2"/>
        <v>0</v>
      </c>
      <c r="AF2149" s="32"/>
    </row>
    <row r="2150">
      <c r="A2150" s="86"/>
      <c r="B2150" s="87"/>
      <c r="C2150" s="88"/>
      <c r="D2150" s="104"/>
      <c r="E2150" s="104"/>
      <c r="F2150" s="104"/>
      <c r="G2150" s="104"/>
      <c r="H2150" s="104"/>
      <c r="I2150" s="104"/>
      <c r="J2150" s="104"/>
      <c r="K2150" s="32"/>
      <c r="L2150" s="32"/>
      <c r="M2150" s="32"/>
      <c r="N2150" s="32"/>
      <c r="O2150" s="106"/>
      <c r="P2150" s="91">
        <f>IFERROR(__xludf.DUMMYFUNCTION("IFERROR(sum(FILTER($D:$N,$C:$C = $C2150,$A:$A &lt; $A2150,$B:$B = 12)),0) + sum($D2150:$N2150)"),0.0)</f>
        <v>0</v>
      </c>
      <c r="Q2150" s="92">
        <f t="shared" si="1"/>
        <v>0</v>
      </c>
      <c r="R2150" s="91">
        <f t="array" ref="R2150">IFERROR(INDEX('Fund YTD Target Values'!$1:$1000, MATCH($C2150,'Fund YTD Target Values'!$A:$A,0), MATCH($A2150,'Fund YTD Target Values'!$1:$1,0)),0)</f>
        <v>0</v>
      </c>
      <c r="S2150" s="91">
        <f>IFERROR(__xludf.DUMMYFUNCTION("IFERROR(sum(FILTER('Fund Investment Data'!$V:$V, 'Fund Investment Data'!$C:$C = $C2150, 'Fund Investment Data'!$A:$A &lt; $A2150)),0) + IFERROR(sum(FILTER('Fund Investment Data'!$V:$V, 'Fund Investment Data'!$C:$C = $C2150, 'Fund Investment Data'!$A:$A = $A2"&amp;"150, 'Fund Investment Data'!$B:$B &lt;= $B2150)),0)"),0.0)</f>
        <v>0</v>
      </c>
      <c r="T2150" s="32"/>
      <c r="U2150" s="32"/>
      <c r="V2150" s="32">
        <f>IFERROR(__xludf.DUMMYFUNCTION("$D2150 - IFERROR(FILTER($D:$D,$C:$C = $C2150, $A:$A = $A2150, $B:$B = $B2150 - 1),0)"),0.0)</f>
        <v>0</v>
      </c>
      <c r="W2150" s="93">
        <f>IFERROR(__xludf.DUMMYFUNCTION("$E2150 - IFERROR(FILTER($E:$E,$C:$C = $C2150, $A:$A = $A2150, $B:$B = $B2150 - 1),0)"),0.0)</f>
        <v>0</v>
      </c>
      <c r="X2150" s="91">
        <f>IFERROR(__xludf.DUMMYFUNCTION("iFERROR((FILTER('Fund Investment Data'!$Z:$Z, 'Fund Investment Data'!$C:$C = $C2150, 'Fund Investment Data'!$A:$A = $A2150 - 1, 'Fund Investment Data'!$B:$B = 12) + FILTER('Fund Investment Data'!$AB:$AB, 'Fund Investment Data'!$C:$C = $C2150, 'Fund Invest"&amp;"ment Data'!$A:$A = $A2150 - 1, 'Fund Investment Data'!$B:$B = 12)) * (1 + AVERAGE(FILTER('Inflation Data'!$C:$C,'Inflation Data'!$A:$A = ($A2150 - 2)))) * Parameters!$A$4,0)"),0.0)</f>
        <v>0</v>
      </c>
      <c r="Y2150" s="91">
        <f>IFERROR(__xludf.DUMMYFUNCTION("IFERROR((IFERROR(FILTER('Fund Investment Data'!$P:$P,'Fund Investment Data'!$C:$C = $C2150,'Fund Investment Data'!$A:$A = ($A2150 - 2), 'Fund Investment Data'!$B:$B = 12),0) - SUM(FILTER('Fund Investment Data'!$V:$V, 'Fund Investment Data'!$C:$C = $C2150,"&amp;" 'Fund Investment Data'!$A:$A = ($A2150 - 2), 'Fund Investment Data'!$B:$B &gt; 3)))  * Parameters!$B$4 * (1 - Parameters!$A$4),0)"),0.0)</f>
        <v>0</v>
      </c>
      <c r="Z2150" s="91">
        <f t="shared" si="24"/>
        <v>0</v>
      </c>
      <c r="AA2150" s="91">
        <f>IFERROR(__xludf.DUMMYFUNCTION("((IFERROR((SUM(FILTER('Fund Investment Data'!$V:$V, 'Fund Investment Data'!$C:$C = $C2150, 'Fund Investment Data'!$A:$A = $A2150 - 1, 'Fund Investment Data'!$B:$B &gt;= 4, 'Fund Investment Data'!$B:$B &lt;= ($B2150 + 5))) / 12) * ($B2150 - 3) * Parameters!$B$4,"&amp;" 0) + IF($B2150 &gt;= 9, IFERROR(SUM(FILTER('Fund Investment Data'!$V:$V, 'Fund Investment Data'!$C:$C = $C2150, 'Fund Investment Data'!$A:$A = $A2150, 'Fund Investment Data'!$B:$B &lt;= 3)) * Parameters!$B$4, 0),0)))"),0.0)</f>
        <v>0</v>
      </c>
      <c r="AB2150" s="32">
        <f>IFERROR(__xludf.DUMMYFUNCTION("IFERROR(((IFERROR(SUM(FILTER('Fund Investment Data'!$V:$V, 'Fund Investment Data'!$C:$C = $C2150, 'Fund Investment Data'!$A:$A = $A2150 - 2, 'Fund Investment Data'!$B:$B &gt;= 4)) * Parameters!$B$4,0) + IFERROR(SUM(FILTER('Fund Investment Data'!$V:$V, 'Fund "&amp;"Investment Data'!$C:$C = $C2150, 'Fund Investment Data'!$A:$A = $A2150 - 1, 'Fund Investment Data'!$B:$B &lt;= 3)) * Parameters!$B$4,0))),0)"),0.0)</f>
        <v>0</v>
      </c>
      <c r="AC2150" s="32">
        <f>IFERROR(__xludf.DUMMYFUNCTION("IFERROR(FILTER($AF:$AF,$C:$C = $C2150,$A:$A = $A2150 - 1,$B:$B = 12),0)"),0.0)</f>
        <v>0</v>
      </c>
      <c r="AD2150" s="32">
        <f t="shared" si="23"/>
        <v>0</v>
      </c>
      <c r="AE2150" s="32">
        <f t="shared" si="2"/>
        <v>0</v>
      </c>
      <c r="AF2150" s="32"/>
    </row>
    <row r="2151">
      <c r="A2151" s="86"/>
      <c r="B2151" s="87"/>
      <c r="C2151" s="88"/>
      <c r="D2151" s="104"/>
      <c r="E2151" s="104"/>
      <c r="F2151" s="104"/>
      <c r="G2151" s="104"/>
      <c r="H2151" s="104"/>
      <c r="I2151" s="104"/>
      <c r="J2151" s="104"/>
      <c r="K2151" s="32"/>
      <c r="L2151" s="32"/>
      <c r="M2151" s="32"/>
      <c r="N2151" s="32"/>
      <c r="O2151" s="106"/>
      <c r="P2151" s="91">
        <f>IFERROR(__xludf.DUMMYFUNCTION("IFERROR(sum(FILTER($D:$N,$C:$C = $C2151,$A:$A &lt; $A2151,$B:$B = 12)),0) + sum($D2151:$N2151)"),0.0)</f>
        <v>0</v>
      </c>
      <c r="Q2151" s="92">
        <f t="shared" si="1"/>
        <v>0</v>
      </c>
      <c r="R2151" s="91">
        <f t="array" ref="R2151">IFERROR(INDEX('Fund YTD Target Values'!$1:$1000, MATCH($C2151,'Fund YTD Target Values'!$A:$A,0), MATCH($A2151,'Fund YTD Target Values'!$1:$1,0)),0)</f>
        <v>0</v>
      </c>
      <c r="S2151" s="91">
        <f>IFERROR(__xludf.DUMMYFUNCTION("IFERROR(sum(FILTER('Fund Investment Data'!$V:$V, 'Fund Investment Data'!$C:$C = $C2151, 'Fund Investment Data'!$A:$A &lt; $A2151)),0) + IFERROR(sum(FILTER('Fund Investment Data'!$V:$V, 'Fund Investment Data'!$C:$C = $C2151, 'Fund Investment Data'!$A:$A = $A2"&amp;"151, 'Fund Investment Data'!$B:$B &lt;= $B2151)),0)"),0.0)</f>
        <v>0</v>
      </c>
      <c r="T2151" s="32"/>
      <c r="U2151" s="32"/>
      <c r="V2151" s="32">
        <f>IFERROR(__xludf.DUMMYFUNCTION("$D2151 - IFERROR(FILTER($D:$D,$C:$C = $C2151, $A:$A = $A2151, $B:$B = $B2151 - 1),0)"),0.0)</f>
        <v>0</v>
      </c>
      <c r="W2151" s="93">
        <f>IFERROR(__xludf.DUMMYFUNCTION("$E2151 - IFERROR(FILTER($E:$E,$C:$C = $C2151, $A:$A = $A2151, $B:$B = $B2151 - 1),0)"),0.0)</f>
        <v>0</v>
      </c>
      <c r="X2151" s="91">
        <f>IFERROR(__xludf.DUMMYFUNCTION("iFERROR((FILTER('Fund Investment Data'!$Z:$Z, 'Fund Investment Data'!$C:$C = $C2151, 'Fund Investment Data'!$A:$A = $A2151 - 1, 'Fund Investment Data'!$B:$B = 12) + FILTER('Fund Investment Data'!$AB:$AB, 'Fund Investment Data'!$C:$C = $C2151, 'Fund Invest"&amp;"ment Data'!$A:$A = $A2151 - 1, 'Fund Investment Data'!$B:$B = 12)) * (1 + AVERAGE(FILTER('Inflation Data'!$C:$C,'Inflation Data'!$A:$A = ($A2151 - 2)))) * Parameters!$A$4,0)"),0.0)</f>
        <v>0</v>
      </c>
      <c r="Y2151" s="91">
        <f>IFERROR(__xludf.DUMMYFUNCTION("IFERROR((IFERROR(FILTER('Fund Investment Data'!$P:$P,'Fund Investment Data'!$C:$C = $C2151,'Fund Investment Data'!$A:$A = ($A2151 - 2), 'Fund Investment Data'!$B:$B = 12),0) - SUM(FILTER('Fund Investment Data'!$V:$V, 'Fund Investment Data'!$C:$C = $C2151,"&amp;" 'Fund Investment Data'!$A:$A = ($A2151 - 2), 'Fund Investment Data'!$B:$B &gt; 3)))  * Parameters!$B$4 * (1 - Parameters!$A$4),0)"),0.0)</f>
        <v>0</v>
      </c>
      <c r="Z2151" s="91">
        <f t="shared" si="24"/>
        <v>0</v>
      </c>
      <c r="AA2151" s="91">
        <f>IFERROR(__xludf.DUMMYFUNCTION("((IFERROR((SUM(FILTER('Fund Investment Data'!$V:$V, 'Fund Investment Data'!$C:$C = $C2151, 'Fund Investment Data'!$A:$A = $A2151 - 1, 'Fund Investment Data'!$B:$B &gt;= 4, 'Fund Investment Data'!$B:$B &lt;= ($B2151 + 5))) / 12) * ($B2151 - 3) * Parameters!$B$4,"&amp;" 0) + IF($B2151 &gt;= 9, IFERROR(SUM(FILTER('Fund Investment Data'!$V:$V, 'Fund Investment Data'!$C:$C = $C2151, 'Fund Investment Data'!$A:$A = $A2151, 'Fund Investment Data'!$B:$B &lt;= 3)) * Parameters!$B$4, 0),0)))"),0.0)</f>
        <v>0</v>
      </c>
      <c r="AB2151" s="32">
        <f>IFERROR(__xludf.DUMMYFUNCTION("IFERROR(((IFERROR(SUM(FILTER('Fund Investment Data'!$V:$V, 'Fund Investment Data'!$C:$C = $C2151, 'Fund Investment Data'!$A:$A = $A2151 - 2, 'Fund Investment Data'!$B:$B &gt;= 4)) * Parameters!$B$4,0) + IFERROR(SUM(FILTER('Fund Investment Data'!$V:$V, 'Fund "&amp;"Investment Data'!$C:$C = $C2151, 'Fund Investment Data'!$A:$A = $A2151 - 1, 'Fund Investment Data'!$B:$B &lt;= 3)) * Parameters!$B$4,0))),0)"),0.0)</f>
        <v>0</v>
      </c>
      <c r="AC2151" s="32">
        <f>IFERROR(__xludf.DUMMYFUNCTION("IFERROR(FILTER($AF:$AF,$C:$C = $C2151,$A:$A = $A2151 - 1,$B:$B = 12),0)"),0.0)</f>
        <v>0</v>
      </c>
      <c r="AD2151" s="32">
        <f t="shared" si="23"/>
        <v>0</v>
      </c>
      <c r="AE2151" s="32">
        <f t="shared" si="2"/>
        <v>0</v>
      </c>
      <c r="AF2151" s="32"/>
    </row>
    <row r="2152">
      <c r="A2152" s="86"/>
      <c r="B2152" s="87"/>
      <c r="C2152" s="88"/>
      <c r="D2152" s="104"/>
      <c r="E2152" s="104"/>
      <c r="F2152" s="104"/>
      <c r="G2152" s="104"/>
      <c r="H2152" s="104"/>
      <c r="I2152" s="104"/>
      <c r="J2152" s="104"/>
      <c r="K2152" s="32"/>
      <c r="L2152" s="32"/>
      <c r="M2152" s="32"/>
      <c r="N2152" s="32"/>
      <c r="O2152" s="106"/>
      <c r="P2152" s="91">
        <f>IFERROR(__xludf.DUMMYFUNCTION("IFERROR(sum(FILTER($D:$N,$C:$C = $C2152,$A:$A &lt; $A2152,$B:$B = 12)),0) + sum($D2152:$N2152)"),0.0)</f>
        <v>0</v>
      </c>
      <c r="Q2152" s="92">
        <f t="shared" si="1"/>
        <v>0</v>
      </c>
      <c r="R2152" s="91">
        <f t="array" ref="R2152">IFERROR(INDEX('Fund YTD Target Values'!$1:$1000, MATCH($C2152,'Fund YTD Target Values'!$A:$A,0), MATCH($A2152,'Fund YTD Target Values'!$1:$1,0)),0)</f>
        <v>0</v>
      </c>
      <c r="S2152" s="91">
        <f>IFERROR(__xludf.DUMMYFUNCTION("IFERROR(sum(FILTER('Fund Investment Data'!$V:$V, 'Fund Investment Data'!$C:$C = $C2152, 'Fund Investment Data'!$A:$A &lt; $A2152)),0) + IFERROR(sum(FILTER('Fund Investment Data'!$V:$V, 'Fund Investment Data'!$C:$C = $C2152, 'Fund Investment Data'!$A:$A = $A2"&amp;"152, 'Fund Investment Data'!$B:$B &lt;= $B2152)),0)"),0.0)</f>
        <v>0</v>
      </c>
      <c r="T2152" s="32"/>
      <c r="U2152" s="32"/>
      <c r="V2152" s="32">
        <f>IFERROR(__xludf.DUMMYFUNCTION("$D2152 - IFERROR(FILTER($D:$D,$C:$C = $C2152, $A:$A = $A2152, $B:$B = $B2152 - 1),0)"),0.0)</f>
        <v>0</v>
      </c>
      <c r="W2152" s="93">
        <f>IFERROR(__xludf.DUMMYFUNCTION("$E2152 - IFERROR(FILTER($E:$E,$C:$C = $C2152, $A:$A = $A2152, $B:$B = $B2152 - 1),0)"),0.0)</f>
        <v>0</v>
      </c>
      <c r="X2152" s="91">
        <f>IFERROR(__xludf.DUMMYFUNCTION("iFERROR((FILTER('Fund Investment Data'!$Z:$Z, 'Fund Investment Data'!$C:$C = $C2152, 'Fund Investment Data'!$A:$A = $A2152 - 1, 'Fund Investment Data'!$B:$B = 12) + FILTER('Fund Investment Data'!$AB:$AB, 'Fund Investment Data'!$C:$C = $C2152, 'Fund Invest"&amp;"ment Data'!$A:$A = $A2152 - 1, 'Fund Investment Data'!$B:$B = 12)) * (1 + AVERAGE(FILTER('Inflation Data'!$C:$C,'Inflation Data'!$A:$A = ($A2152 - 2)))) * Parameters!$A$4,0)"),0.0)</f>
        <v>0</v>
      </c>
      <c r="Y2152" s="91">
        <f>IFERROR(__xludf.DUMMYFUNCTION("IFERROR((IFERROR(FILTER('Fund Investment Data'!$P:$P,'Fund Investment Data'!$C:$C = $C2152,'Fund Investment Data'!$A:$A = ($A2152 - 2), 'Fund Investment Data'!$B:$B = 12),0) - SUM(FILTER('Fund Investment Data'!$V:$V, 'Fund Investment Data'!$C:$C = $C2152,"&amp;" 'Fund Investment Data'!$A:$A = ($A2152 - 2), 'Fund Investment Data'!$B:$B &gt; 3)))  * Parameters!$B$4 * (1 - Parameters!$A$4),0)"),0.0)</f>
        <v>0</v>
      </c>
      <c r="Z2152" s="91">
        <f t="shared" si="24"/>
        <v>0</v>
      </c>
      <c r="AA2152" s="91">
        <f>IFERROR(__xludf.DUMMYFUNCTION("((IFERROR((SUM(FILTER('Fund Investment Data'!$V:$V, 'Fund Investment Data'!$C:$C = $C2152, 'Fund Investment Data'!$A:$A = $A2152 - 1, 'Fund Investment Data'!$B:$B &gt;= 4, 'Fund Investment Data'!$B:$B &lt;= ($B2152 + 5))) / 12) * ($B2152 - 3) * Parameters!$B$4,"&amp;" 0) + IF($B2152 &gt;= 9, IFERROR(SUM(FILTER('Fund Investment Data'!$V:$V, 'Fund Investment Data'!$C:$C = $C2152, 'Fund Investment Data'!$A:$A = $A2152, 'Fund Investment Data'!$B:$B &lt;= 3)) * Parameters!$B$4, 0),0)))"),0.0)</f>
        <v>0</v>
      </c>
      <c r="AB2152" s="32">
        <f>IFERROR(__xludf.DUMMYFUNCTION("IFERROR(((IFERROR(SUM(FILTER('Fund Investment Data'!$V:$V, 'Fund Investment Data'!$C:$C = $C2152, 'Fund Investment Data'!$A:$A = $A2152 - 2, 'Fund Investment Data'!$B:$B &gt;= 4)) * Parameters!$B$4,0) + IFERROR(SUM(FILTER('Fund Investment Data'!$V:$V, 'Fund "&amp;"Investment Data'!$C:$C = $C2152, 'Fund Investment Data'!$A:$A = $A2152 - 1, 'Fund Investment Data'!$B:$B &lt;= 3)) * Parameters!$B$4,0))),0)"),0.0)</f>
        <v>0</v>
      </c>
      <c r="AC2152" s="32">
        <f>IFERROR(__xludf.DUMMYFUNCTION("IFERROR(FILTER($AF:$AF,$C:$C = $C2152,$A:$A = $A2152 - 1,$B:$B = 12),0)"),0.0)</f>
        <v>0</v>
      </c>
      <c r="AD2152" s="32">
        <f t="shared" si="23"/>
        <v>0</v>
      </c>
      <c r="AE2152" s="32">
        <f t="shared" si="2"/>
        <v>0</v>
      </c>
      <c r="AF2152" s="32"/>
    </row>
    <row r="2153">
      <c r="A2153" s="86"/>
      <c r="B2153" s="87"/>
      <c r="C2153" s="88"/>
      <c r="D2153" s="104"/>
      <c r="E2153" s="104"/>
      <c r="F2153" s="104"/>
      <c r="G2153" s="104"/>
      <c r="H2153" s="104"/>
      <c r="I2153" s="104"/>
      <c r="J2153" s="104"/>
      <c r="K2153" s="32"/>
      <c r="L2153" s="32"/>
      <c r="M2153" s="32"/>
      <c r="N2153" s="32"/>
      <c r="O2153" s="106"/>
      <c r="P2153" s="91">
        <f>IFERROR(__xludf.DUMMYFUNCTION("IFERROR(sum(FILTER($D:$N,$C:$C = $C2153,$A:$A &lt; $A2153,$B:$B = 12)),0) + sum($D2153:$N2153)"),0.0)</f>
        <v>0</v>
      </c>
      <c r="Q2153" s="92">
        <f t="shared" si="1"/>
        <v>0</v>
      </c>
      <c r="R2153" s="91">
        <f t="array" ref="R2153">IFERROR(INDEX('Fund YTD Target Values'!$1:$1000, MATCH($C2153,'Fund YTD Target Values'!$A:$A,0), MATCH($A2153,'Fund YTD Target Values'!$1:$1,0)),0)</f>
        <v>0</v>
      </c>
      <c r="S2153" s="91">
        <f>IFERROR(__xludf.DUMMYFUNCTION("IFERROR(sum(FILTER('Fund Investment Data'!$V:$V, 'Fund Investment Data'!$C:$C = $C2153, 'Fund Investment Data'!$A:$A &lt; $A2153)),0) + IFERROR(sum(FILTER('Fund Investment Data'!$V:$V, 'Fund Investment Data'!$C:$C = $C2153, 'Fund Investment Data'!$A:$A = $A2"&amp;"153, 'Fund Investment Data'!$B:$B &lt;= $B2153)),0)"),0.0)</f>
        <v>0</v>
      </c>
      <c r="T2153" s="32"/>
      <c r="U2153" s="32"/>
      <c r="V2153" s="32">
        <f>IFERROR(__xludf.DUMMYFUNCTION("$D2153 - IFERROR(FILTER($D:$D,$C:$C = $C2153, $A:$A = $A2153, $B:$B = $B2153 - 1),0)"),0.0)</f>
        <v>0</v>
      </c>
      <c r="W2153" s="93">
        <f>IFERROR(__xludf.DUMMYFUNCTION("$E2153 - IFERROR(FILTER($E:$E,$C:$C = $C2153, $A:$A = $A2153, $B:$B = $B2153 - 1),0)"),0.0)</f>
        <v>0</v>
      </c>
      <c r="X2153" s="91">
        <f>IFERROR(__xludf.DUMMYFUNCTION("iFERROR((FILTER('Fund Investment Data'!$Z:$Z, 'Fund Investment Data'!$C:$C = $C2153, 'Fund Investment Data'!$A:$A = $A2153 - 1, 'Fund Investment Data'!$B:$B = 12) + FILTER('Fund Investment Data'!$AB:$AB, 'Fund Investment Data'!$C:$C = $C2153, 'Fund Invest"&amp;"ment Data'!$A:$A = $A2153 - 1, 'Fund Investment Data'!$B:$B = 12)) * (1 + AVERAGE(FILTER('Inflation Data'!$C:$C,'Inflation Data'!$A:$A = ($A2153 - 2)))) * Parameters!$A$4,0)"),0.0)</f>
        <v>0</v>
      </c>
      <c r="Y2153" s="91">
        <f>IFERROR(__xludf.DUMMYFUNCTION("IFERROR((IFERROR(FILTER('Fund Investment Data'!$P:$P,'Fund Investment Data'!$C:$C = $C2153,'Fund Investment Data'!$A:$A = ($A2153 - 2), 'Fund Investment Data'!$B:$B = 12),0) - SUM(FILTER('Fund Investment Data'!$V:$V, 'Fund Investment Data'!$C:$C = $C2153,"&amp;" 'Fund Investment Data'!$A:$A = ($A2153 - 2), 'Fund Investment Data'!$B:$B &gt; 3)))  * Parameters!$B$4 * (1 - Parameters!$A$4),0)"),0.0)</f>
        <v>0</v>
      </c>
      <c r="Z2153" s="91">
        <f t="shared" si="24"/>
        <v>0</v>
      </c>
      <c r="AA2153" s="91">
        <f>IFERROR(__xludf.DUMMYFUNCTION("((IFERROR((SUM(FILTER('Fund Investment Data'!$V:$V, 'Fund Investment Data'!$C:$C = $C2153, 'Fund Investment Data'!$A:$A = $A2153 - 1, 'Fund Investment Data'!$B:$B &gt;= 4, 'Fund Investment Data'!$B:$B &lt;= ($B2153 + 5))) / 12) * ($B2153 - 3) * Parameters!$B$4,"&amp;" 0) + IF($B2153 &gt;= 9, IFERROR(SUM(FILTER('Fund Investment Data'!$V:$V, 'Fund Investment Data'!$C:$C = $C2153, 'Fund Investment Data'!$A:$A = $A2153, 'Fund Investment Data'!$B:$B &lt;= 3)) * Parameters!$B$4, 0),0)))"),0.0)</f>
        <v>0</v>
      </c>
      <c r="AB2153" s="32">
        <f>IFERROR(__xludf.DUMMYFUNCTION("IFERROR(((IFERROR(SUM(FILTER('Fund Investment Data'!$V:$V, 'Fund Investment Data'!$C:$C = $C2153, 'Fund Investment Data'!$A:$A = $A2153 - 2, 'Fund Investment Data'!$B:$B &gt;= 4)) * Parameters!$B$4,0) + IFERROR(SUM(FILTER('Fund Investment Data'!$V:$V, 'Fund "&amp;"Investment Data'!$C:$C = $C2153, 'Fund Investment Data'!$A:$A = $A2153 - 1, 'Fund Investment Data'!$B:$B &lt;= 3)) * Parameters!$B$4,0))),0)"),0.0)</f>
        <v>0</v>
      </c>
      <c r="AC2153" s="32">
        <f>IFERROR(__xludf.DUMMYFUNCTION("IFERROR(FILTER($AF:$AF,$C:$C = $C2153,$A:$A = $A2153 - 1,$B:$B = 12),0)"),0.0)</f>
        <v>0</v>
      </c>
      <c r="AD2153" s="32">
        <f t="shared" si="23"/>
        <v>0</v>
      </c>
      <c r="AE2153" s="32">
        <f t="shared" si="2"/>
        <v>0</v>
      </c>
      <c r="AF2153" s="32"/>
    </row>
    <row r="2154">
      <c r="A2154" s="86"/>
      <c r="B2154" s="87"/>
      <c r="C2154" s="88"/>
      <c r="D2154" s="104"/>
      <c r="E2154" s="104"/>
      <c r="F2154" s="104"/>
      <c r="G2154" s="104"/>
      <c r="H2154" s="104"/>
      <c r="I2154" s="104"/>
      <c r="J2154" s="104"/>
      <c r="K2154" s="32"/>
      <c r="L2154" s="32"/>
      <c r="M2154" s="32"/>
      <c r="N2154" s="32"/>
      <c r="O2154" s="106"/>
      <c r="P2154" s="91">
        <f>IFERROR(__xludf.DUMMYFUNCTION("IFERROR(sum(FILTER($D:$N,$C:$C = $C2154,$A:$A &lt; $A2154,$B:$B = 12)),0) + sum($D2154:$N2154)"),0.0)</f>
        <v>0</v>
      </c>
      <c r="Q2154" s="92">
        <f t="shared" si="1"/>
        <v>0</v>
      </c>
      <c r="R2154" s="91">
        <f t="array" ref="R2154">IFERROR(INDEX('Fund YTD Target Values'!$1:$1000, MATCH($C2154,'Fund YTD Target Values'!$A:$A,0), MATCH($A2154,'Fund YTD Target Values'!$1:$1,0)),0)</f>
        <v>0</v>
      </c>
      <c r="S2154" s="91">
        <f>IFERROR(__xludf.DUMMYFUNCTION("IFERROR(sum(FILTER('Fund Investment Data'!$V:$V, 'Fund Investment Data'!$C:$C = $C2154, 'Fund Investment Data'!$A:$A &lt; $A2154)),0) + IFERROR(sum(FILTER('Fund Investment Data'!$V:$V, 'Fund Investment Data'!$C:$C = $C2154, 'Fund Investment Data'!$A:$A = $A2"&amp;"154, 'Fund Investment Data'!$B:$B &lt;= $B2154)),0)"),0.0)</f>
        <v>0</v>
      </c>
      <c r="T2154" s="32"/>
      <c r="U2154" s="32"/>
      <c r="V2154" s="32">
        <f>IFERROR(__xludf.DUMMYFUNCTION("$D2154 - IFERROR(FILTER($D:$D,$C:$C = $C2154, $A:$A = $A2154, $B:$B = $B2154 - 1),0)"),0.0)</f>
        <v>0</v>
      </c>
      <c r="W2154" s="93">
        <f>IFERROR(__xludf.DUMMYFUNCTION("$E2154 - IFERROR(FILTER($E:$E,$C:$C = $C2154, $A:$A = $A2154, $B:$B = $B2154 - 1),0)"),0.0)</f>
        <v>0</v>
      </c>
      <c r="X2154" s="91">
        <f>IFERROR(__xludf.DUMMYFUNCTION("iFERROR((FILTER('Fund Investment Data'!$Z:$Z, 'Fund Investment Data'!$C:$C = $C2154, 'Fund Investment Data'!$A:$A = $A2154 - 1, 'Fund Investment Data'!$B:$B = 12) + FILTER('Fund Investment Data'!$AB:$AB, 'Fund Investment Data'!$C:$C = $C2154, 'Fund Invest"&amp;"ment Data'!$A:$A = $A2154 - 1, 'Fund Investment Data'!$B:$B = 12)) * (1 + AVERAGE(FILTER('Inflation Data'!$C:$C,'Inflation Data'!$A:$A = ($A2154 - 2)))) * Parameters!$A$4,0)"),0.0)</f>
        <v>0</v>
      </c>
      <c r="Y2154" s="91">
        <f>IFERROR(__xludf.DUMMYFUNCTION("IFERROR((IFERROR(FILTER('Fund Investment Data'!$P:$P,'Fund Investment Data'!$C:$C = $C2154,'Fund Investment Data'!$A:$A = ($A2154 - 2), 'Fund Investment Data'!$B:$B = 12),0) - SUM(FILTER('Fund Investment Data'!$V:$V, 'Fund Investment Data'!$C:$C = $C2154,"&amp;" 'Fund Investment Data'!$A:$A = ($A2154 - 2), 'Fund Investment Data'!$B:$B &gt; 3)))  * Parameters!$B$4 * (1 - Parameters!$A$4),0)"),0.0)</f>
        <v>0</v>
      </c>
      <c r="Z2154" s="91">
        <f t="shared" si="24"/>
        <v>0</v>
      </c>
      <c r="AA2154" s="91">
        <f>IFERROR(__xludf.DUMMYFUNCTION("((IFERROR((SUM(FILTER('Fund Investment Data'!$V:$V, 'Fund Investment Data'!$C:$C = $C2154, 'Fund Investment Data'!$A:$A = $A2154 - 1, 'Fund Investment Data'!$B:$B &gt;= 4, 'Fund Investment Data'!$B:$B &lt;= ($B2154 + 5))) / 12) * ($B2154 - 3) * Parameters!$B$4,"&amp;" 0) + IF($B2154 &gt;= 9, IFERROR(SUM(FILTER('Fund Investment Data'!$V:$V, 'Fund Investment Data'!$C:$C = $C2154, 'Fund Investment Data'!$A:$A = $A2154, 'Fund Investment Data'!$B:$B &lt;= 3)) * Parameters!$B$4, 0),0)))"),0.0)</f>
        <v>0</v>
      </c>
      <c r="AB2154" s="32">
        <f>IFERROR(__xludf.DUMMYFUNCTION("IFERROR(((IFERROR(SUM(FILTER('Fund Investment Data'!$V:$V, 'Fund Investment Data'!$C:$C = $C2154, 'Fund Investment Data'!$A:$A = $A2154 - 2, 'Fund Investment Data'!$B:$B &gt;= 4)) * Parameters!$B$4,0) + IFERROR(SUM(FILTER('Fund Investment Data'!$V:$V, 'Fund "&amp;"Investment Data'!$C:$C = $C2154, 'Fund Investment Data'!$A:$A = $A2154 - 1, 'Fund Investment Data'!$B:$B &lt;= 3)) * Parameters!$B$4,0))),0)"),0.0)</f>
        <v>0</v>
      </c>
      <c r="AC2154" s="32">
        <f>IFERROR(__xludf.DUMMYFUNCTION("IFERROR(FILTER($AF:$AF,$C:$C = $C2154,$A:$A = $A2154 - 1,$B:$B = 12),0)"),0.0)</f>
        <v>0</v>
      </c>
      <c r="AD2154" s="32">
        <f t="shared" si="23"/>
        <v>0</v>
      </c>
      <c r="AE2154" s="32">
        <f t="shared" si="2"/>
        <v>0</v>
      </c>
      <c r="AF2154" s="32"/>
    </row>
    <row r="2155">
      <c r="A2155" s="86"/>
      <c r="B2155" s="87"/>
      <c r="C2155" s="88"/>
      <c r="D2155" s="104"/>
      <c r="E2155" s="104"/>
      <c r="F2155" s="104"/>
      <c r="G2155" s="104"/>
      <c r="H2155" s="104"/>
      <c r="I2155" s="104"/>
      <c r="J2155" s="104"/>
      <c r="K2155" s="32"/>
      <c r="L2155" s="32"/>
      <c r="M2155" s="32"/>
      <c r="N2155" s="32"/>
      <c r="O2155" s="106"/>
      <c r="P2155" s="91">
        <f>IFERROR(__xludf.DUMMYFUNCTION("IFERROR(sum(FILTER($D:$N,$C:$C = $C2155,$A:$A &lt; $A2155,$B:$B = 12)),0) + sum($D2155:$N2155)"),0.0)</f>
        <v>0</v>
      </c>
      <c r="Q2155" s="92">
        <f t="shared" si="1"/>
        <v>0</v>
      </c>
      <c r="R2155" s="91">
        <f t="array" ref="R2155">IFERROR(INDEX('Fund YTD Target Values'!$1:$1000, MATCH($C2155,'Fund YTD Target Values'!$A:$A,0), MATCH($A2155,'Fund YTD Target Values'!$1:$1,0)),0)</f>
        <v>0</v>
      </c>
      <c r="S2155" s="91">
        <f>IFERROR(__xludf.DUMMYFUNCTION("IFERROR(sum(FILTER('Fund Investment Data'!$V:$V, 'Fund Investment Data'!$C:$C = $C2155, 'Fund Investment Data'!$A:$A &lt; $A2155)),0) + IFERROR(sum(FILTER('Fund Investment Data'!$V:$V, 'Fund Investment Data'!$C:$C = $C2155, 'Fund Investment Data'!$A:$A = $A2"&amp;"155, 'Fund Investment Data'!$B:$B &lt;= $B2155)),0)"),0.0)</f>
        <v>0</v>
      </c>
      <c r="T2155" s="32"/>
      <c r="U2155" s="32"/>
      <c r="V2155" s="32">
        <f>IFERROR(__xludf.DUMMYFUNCTION("$D2155 - IFERROR(FILTER($D:$D,$C:$C = $C2155, $A:$A = $A2155, $B:$B = $B2155 - 1),0)"),0.0)</f>
        <v>0</v>
      </c>
      <c r="W2155" s="93">
        <f>IFERROR(__xludf.DUMMYFUNCTION("$E2155 - IFERROR(FILTER($E:$E,$C:$C = $C2155, $A:$A = $A2155, $B:$B = $B2155 - 1),0)"),0.0)</f>
        <v>0</v>
      </c>
      <c r="X2155" s="91">
        <f>IFERROR(__xludf.DUMMYFUNCTION("iFERROR((FILTER('Fund Investment Data'!$Z:$Z, 'Fund Investment Data'!$C:$C = $C2155, 'Fund Investment Data'!$A:$A = $A2155 - 1, 'Fund Investment Data'!$B:$B = 12) + FILTER('Fund Investment Data'!$AB:$AB, 'Fund Investment Data'!$C:$C = $C2155, 'Fund Invest"&amp;"ment Data'!$A:$A = $A2155 - 1, 'Fund Investment Data'!$B:$B = 12)) * (1 + AVERAGE(FILTER('Inflation Data'!$C:$C,'Inflation Data'!$A:$A = ($A2155 - 2)))) * Parameters!$A$4,0)"),0.0)</f>
        <v>0</v>
      </c>
      <c r="Y2155" s="91">
        <f>IFERROR(__xludf.DUMMYFUNCTION("IFERROR((IFERROR(FILTER('Fund Investment Data'!$P:$P,'Fund Investment Data'!$C:$C = $C2155,'Fund Investment Data'!$A:$A = ($A2155 - 2), 'Fund Investment Data'!$B:$B = 12),0) - SUM(FILTER('Fund Investment Data'!$V:$V, 'Fund Investment Data'!$C:$C = $C2155,"&amp;" 'Fund Investment Data'!$A:$A = ($A2155 - 2), 'Fund Investment Data'!$B:$B &gt; 3)))  * Parameters!$B$4 * (1 - Parameters!$A$4),0)"),0.0)</f>
        <v>0</v>
      </c>
      <c r="Z2155" s="91">
        <f t="shared" si="24"/>
        <v>0</v>
      </c>
      <c r="AA2155" s="91">
        <f>IFERROR(__xludf.DUMMYFUNCTION("((IFERROR((SUM(FILTER('Fund Investment Data'!$V:$V, 'Fund Investment Data'!$C:$C = $C2155, 'Fund Investment Data'!$A:$A = $A2155 - 1, 'Fund Investment Data'!$B:$B &gt;= 4, 'Fund Investment Data'!$B:$B &lt;= ($B2155 + 5))) / 12) * ($B2155 - 3) * Parameters!$B$4,"&amp;" 0) + IF($B2155 &gt;= 9, IFERROR(SUM(FILTER('Fund Investment Data'!$V:$V, 'Fund Investment Data'!$C:$C = $C2155, 'Fund Investment Data'!$A:$A = $A2155, 'Fund Investment Data'!$B:$B &lt;= 3)) * Parameters!$B$4, 0),0)))"),0.0)</f>
        <v>0</v>
      </c>
      <c r="AB2155" s="32">
        <f>IFERROR(__xludf.DUMMYFUNCTION("IFERROR(((IFERROR(SUM(FILTER('Fund Investment Data'!$V:$V, 'Fund Investment Data'!$C:$C = $C2155, 'Fund Investment Data'!$A:$A = $A2155 - 2, 'Fund Investment Data'!$B:$B &gt;= 4)) * Parameters!$B$4,0) + IFERROR(SUM(FILTER('Fund Investment Data'!$V:$V, 'Fund "&amp;"Investment Data'!$C:$C = $C2155, 'Fund Investment Data'!$A:$A = $A2155 - 1, 'Fund Investment Data'!$B:$B &lt;= 3)) * Parameters!$B$4,0))),0)"),0.0)</f>
        <v>0</v>
      </c>
      <c r="AC2155" s="32">
        <f>IFERROR(__xludf.DUMMYFUNCTION("IFERROR(FILTER($AF:$AF,$C:$C = $C2155,$A:$A = $A2155 - 1,$B:$B = 12),0)"),0.0)</f>
        <v>0</v>
      </c>
      <c r="AD2155" s="32">
        <f t="shared" si="23"/>
        <v>0</v>
      </c>
      <c r="AE2155" s="32">
        <f t="shared" si="2"/>
        <v>0</v>
      </c>
      <c r="AF2155" s="32"/>
    </row>
    <row r="2156">
      <c r="A2156" s="86"/>
      <c r="B2156" s="87"/>
      <c r="C2156" s="88"/>
      <c r="D2156" s="104"/>
      <c r="E2156" s="104"/>
      <c r="F2156" s="104"/>
      <c r="G2156" s="104"/>
      <c r="H2156" s="104"/>
      <c r="I2156" s="104"/>
      <c r="J2156" s="104"/>
      <c r="K2156" s="32"/>
      <c r="L2156" s="32"/>
      <c r="M2156" s="32"/>
      <c r="N2156" s="32"/>
      <c r="O2156" s="106"/>
      <c r="P2156" s="91">
        <f>IFERROR(__xludf.DUMMYFUNCTION("IFERROR(sum(FILTER($D:$N,$C:$C = $C2156,$A:$A &lt; $A2156,$B:$B = 12)),0) + sum($D2156:$N2156)"),0.0)</f>
        <v>0</v>
      </c>
      <c r="Q2156" s="92">
        <f t="shared" si="1"/>
        <v>0</v>
      </c>
      <c r="R2156" s="91">
        <f t="array" ref="R2156">IFERROR(INDEX('Fund YTD Target Values'!$1:$1000, MATCH($C2156,'Fund YTD Target Values'!$A:$A,0), MATCH($A2156,'Fund YTD Target Values'!$1:$1,0)),0)</f>
        <v>0</v>
      </c>
      <c r="S2156" s="91">
        <f>IFERROR(__xludf.DUMMYFUNCTION("IFERROR(sum(FILTER('Fund Investment Data'!$V:$V, 'Fund Investment Data'!$C:$C = $C2156, 'Fund Investment Data'!$A:$A &lt; $A2156)),0) + IFERROR(sum(FILTER('Fund Investment Data'!$V:$V, 'Fund Investment Data'!$C:$C = $C2156, 'Fund Investment Data'!$A:$A = $A2"&amp;"156, 'Fund Investment Data'!$B:$B &lt;= $B2156)),0)"),0.0)</f>
        <v>0</v>
      </c>
      <c r="T2156" s="32"/>
      <c r="U2156" s="32"/>
      <c r="V2156" s="32">
        <f>IFERROR(__xludf.DUMMYFUNCTION("$D2156 - IFERROR(FILTER($D:$D,$C:$C = $C2156, $A:$A = $A2156, $B:$B = $B2156 - 1),0)"),0.0)</f>
        <v>0</v>
      </c>
      <c r="W2156" s="93">
        <f>IFERROR(__xludf.DUMMYFUNCTION("$E2156 - IFERROR(FILTER($E:$E,$C:$C = $C2156, $A:$A = $A2156, $B:$B = $B2156 - 1),0)"),0.0)</f>
        <v>0</v>
      </c>
      <c r="X2156" s="91">
        <f>IFERROR(__xludf.DUMMYFUNCTION("iFERROR((FILTER('Fund Investment Data'!$Z:$Z, 'Fund Investment Data'!$C:$C = $C2156, 'Fund Investment Data'!$A:$A = $A2156 - 1, 'Fund Investment Data'!$B:$B = 12) + FILTER('Fund Investment Data'!$AB:$AB, 'Fund Investment Data'!$C:$C = $C2156, 'Fund Invest"&amp;"ment Data'!$A:$A = $A2156 - 1, 'Fund Investment Data'!$B:$B = 12)) * (1 + AVERAGE(FILTER('Inflation Data'!$C:$C,'Inflation Data'!$A:$A = ($A2156 - 2)))) * Parameters!$A$4,0)"),0.0)</f>
        <v>0</v>
      </c>
      <c r="Y2156" s="91">
        <f>IFERROR(__xludf.DUMMYFUNCTION("IFERROR((IFERROR(FILTER('Fund Investment Data'!$P:$P,'Fund Investment Data'!$C:$C = $C2156,'Fund Investment Data'!$A:$A = ($A2156 - 2), 'Fund Investment Data'!$B:$B = 12),0) - SUM(FILTER('Fund Investment Data'!$V:$V, 'Fund Investment Data'!$C:$C = $C2156,"&amp;" 'Fund Investment Data'!$A:$A = ($A2156 - 2), 'Fund Investment Data'!$B:$B &gt; 3)))  * Parameters!$B$4 * (1 - Parameters!$A$4),0)"),0.0)</f>
        <v>0</v>
      </c>
      <c r="Z2156" s="91">
        <f t="shared" si="24"/>
        <v>0</v>
      </c>
      <c r="AA2156" s="91">
        <f>IFERROR(__xludf.DUMMYFUNCTION("((IFERROR((SUM(FILTER('Fund Investment Data'!$V:$V, 'Fund Investment Data'!$C:$C = $C2156, 'Fund Investment Data'!$A:$A = $A2156 - 1, 'Fund Investment Data'!$B:$B &gt;= 4, 'Fund Investment Data'!$B:$B &lt;= ($B2156 + 5))) / 12) * ($B2156 - 3) * Parameters!$B$4,"&amp;" 0) + IF($B2156 &gt;= 9, IFERROR(SUM(FILTER('Fund Investment Data'!$V:$V, 'Fund Investment Data'!$C:$C = $C2156, 'Fund Investment Data'!$A:$A = $A2156, 'Fund Investment Data'!$B:$B &lt;= 3)) * Parameters!$B$4, 0),0)))"),0.0)</f>
        <v>0</v>
      </c>
      <c r="AB2156" s="32">
        <f>IFERROR(__xludf.DUMMYFUNCTION("IFERROR(((IFERROR(SUM(FILTER('Fund Investment Data'!$V:$V, 'Fund Investment Data'!$C:$C = $C2156, 'Fund Investment Data'!$A:$A = $A2156 - 2, 'Fund Investment Data'!$B:$B &gt;= 4)) * Parameters!$B$4,0) + IFERROR(SUM(FILTER('Fund Investment Data'!$V:$V, 'Fund "&amp;"Investment Data'!$C:$C = $C2156, 'Fund Investment Data'!$A:$A = $A2156 - 1, 'Fund Investment Data'!$B:$B &lt;= 3)) * Parameters!$B$4,0))),0)"),0.0)</f>
        <v>0</v>
      </c>
      <c r="AC2156" s="32">
        <f>IFERROR(__xludf.DUMMYFUNCTION("IFERROR(FILTER($AF:$AF,$C:$C = $C2156,$A:$A = $A2156 - 1,$B:$B = 12),0)"),0.0)</f>
        <v>0</v>
      </c>
      <c r="AD2156" s="32">
        <f t="shared" si="23"/>
        <v>0</v>
      </c>
      <c r="AE2156" s="32">
        <f t="shared" si="2"/>
        <v>0</v>
      </c>
      <c r="AF2156" s="32"/>
    </row>
    <row r="2157">
      <c r="A2157" s="86"/>
      <c r="B2157" s="87"/>
      <c r="C2157" s="88"/>
      <c r="D2157" s="104"/>
      <c r="E2157" s="104"/>
      <c r="F2157" s="104"/>
      <c r="G2157" s="104"/>
      <c r="H2157" s="104"/>
      <c r="I2157" s="104"/>
      <c r="J2157" s="104"/>
      <c r="K2157" s="32"/>
      <c r="L2157" s="32"/>
      <c r="M2157" s="32"/>
      <c r="N2157" s="32"/>
      <c r="O2157" s="106"/>
      <c r="P2157" s="91">
        <f>IFERROR(__xludf.DUMMYFUNCTION("IFERROR(sum(FILTER($D:$N,$C:$C = $C2157,$A:$A &lt; $A2157,$B:$B = 12)),0) + sum($D2157:$N2157)"),0.0)</f>
        <v>0</v>
      </c>
      <c r="Q2157" s="92">
        <f t="shared" si="1"/>
        <v>0</v>
      </c>
      <c r="R2157" s="91">
        <f t="array" ref="R2157">IFERROR(INDEX('Fund YTD Target Values'!$1:$1000, MATCH($C2157,'Fund YTD Target Values'!$A:$A,0), MATCH($A2157,'Fund YTD Target Values'!$1:$1,0)),0)</f>
        <v>0</v>
      </c>
      <c r="S2157" s="91">
        <f>IFERROR(__xludf.DUMMYFUNCTION("IFERROR(sum(FILTER('Fund Investment Data'!$V:$V, 'Fund Investment Data'!$C:$C = $C2157, 'Fund Investment Data'!$A:$A &lt; $A2157)),0) + IFERROR(sum(FILTER('Fund Investment Data'!$V:$V, 'Fund Investment Data'!$C:$C = $C2157, 'Fund Investment Data'!$A:$A = $A2"&amp;"157, 'Fund Investment Data'!$B:$B &lt;= $B2157)),0)"),0.0)</f>
        <v>0</v>
      </c>
      <c r="T2157" s="32"/>
      <c r="U2157" s="32"/>
      <c r="V2157" s="32">
        <f>IFERROR(__xludf.DUMMYFUNCTION("$D2157 - IFERROR(FILTER($D:$D,$C:$C = $C2157, $A:$A = $A2157, $B:$B = $B2157 - 1),0)"),0.0)</f>
        <v>0</v>
      </c>
      <c r="W2157" s="93">
        <f>IFERROR(__xludf.DUMMYFUNCTION("$E2157 - IFERROR(FILTER($E:$E,$C:$C = $C2157, $A:$A = $A2157, $B:$B = $B2157 - 1),0)"),0.0)</f>
        <v>0</v>
      </c>
      <c r="X2157" s="91">
        <f>IFERROR(__xludf.DUMMYFUNCTION("iFERROR((FILTER('Fund Investment Data'!$Z:$Z, 'Fund Investment Data'!$C:$C = $C2157, 'Fund Investment Data'!$A:$A = $A2157 - 1, 'Fund Investment Data'!$B:$B = 12) + FILTER('Fund Investment Data'!$AB:$AB, 'Fund Investment Data'!$C:$C = $C2157, 'Fund Invest"&amp;"ment Data'!$A:$A = $A2157 - 1, 'Fund Investment Data'!$B:$B = 12)) * (1 + AVERAGE(FILTER('Inflation Data'!$C:$C,'Inflation Data'!$A:$A = ($A2157 - 2)))) * Parameters!$A$4,0)"),0.0)</f>
        <v>0</v>
      </c>
      <c r="Y2157" s="91">
        <f>IFERROR(__xludf.DUMMYFUNCTION("IFERROR((IFERROR(FILTER('Fund Investment Data'!$P:$P,'Fund Investment Data'!$C:$C = $C2157,'Fund Investment Data'!$A:$A = ($A2157 - 2), 'Fund Investment Data'!$B:$B = 12),0) - SUM(FILTER('Fund Investment Data'!$V:$V, 'Fund Investment Data'!$C:$C = $C2157,"&amp;" 'Fund Investment Data'!$A:$A = ($A2157 - 2), 'Fund Investment Data'!$B:$B &gt; 3)))  * Parameters!$B$4 * (1 - Parameters!$A$4),0)"),0.0)</f>
        <v>0</v>
      </c>
      <c r="Z2157" s="91">
        <f t="shared" si="24"/>
        <v>0</v>
      </c>
      <c r="AA2157" s="91">
        <f>IFERROR(__xludf.DUMMYFUNCTION("((IFERROR((SUM(FILTER('Fund Investment Data'!$V:$V, 'Fund Investment Data'!$C:$C = $C2157, 'Fund Investment Data'!$A:$A = $A2157 - 1, 'Fund Investment Data'!$B:$B &gt;= 4, 'Fund Investment Data'!$B:$B &lt;= ($B2157 + 5))) / 12) * ($B2157 - 3) * Parameters!$B$4,"&amp;" 0) + IF($B2157 &gt;= 9, IFERROR(SUM(FILTER('Fund Investment Data'!$V:$V, 'Fund Investment Data'!$C:$C = $C2157, 'Fund Investment Data'!$A:$A = $A2157, 'Fund Investment Data'!$B:$B &lt;= 3)) * Parameters!$B$4, 0),0)))"),0.0)</f>
        <v>0</v>
      </c>
      <c r="AB2157" s="32">
        <f>IFERROR(__xludf.DUMMYFUNCTION("IFERROR(((IFERROR(SUM(FILTER('Fund Investment Data'!$V:$V, 'Fund Investment Data'!$C:$C = $C2157, 'Fund Investment Data'!$A:$A = $A2157 - 2, 'Fund Investment Data'!$B:$B &gt;= 4)) * Parameters!$B$4,0) + IFERROR(SUM(FILTER('Fund Investment Data'!$V:$V, 'Fund "&amp;"Investment Data'!$C:$C = $C2157, 'Fund Investment Data'!$A:$A = $A2157 - 1, 'Fund Investment Data'!$B:$B &lt;= 3)) * Parameters!$B$4,0))),0)"),0.0)</f>
        <v>0</v>
      </c>
      <c r="AC2157" s="32">
        <f>IFERROR(__xludf.DUMMYFUNCTION("IFERROR(FILTER($AF:$AF,$C:$C = $C2157,$A:$A = $A2157 - 1,$B:$B = 12),0)"),0.0)</f>
        <v>0</v>
      </c>
      <c r="AD2157" s="32">
        <f t="shared" si="23"/>
        <v>0</v>
      </c>
      <c r="AE2157" s="32">
        <f t="shared" si="2"/>
        <v>0</v>
      </c>
      <c r="AF2157" s="32"/>
    </row>
    <row r="2158">
      <c r="A2158" s="86"/>
      <c r="B2158" s="87"/>
      <c r="C2158" s="88"/>
      <c r="D2158" s="104"/>
      <c r="E2158" s="104"/>
      <c r="F2158" s="104"/>
      <c r="G2158" s="104"/>
      <c r="H2158" s="104"/>
      <c r="I2158" s="104"/>
      <c r="J2158" s="104"/>
      <c r="K2158" s="32"/>
      <c r="L2158" s="32"/>
      <c r="M2158" s="32"/>
      <c r="N2158" s="32"/>
      <c r="O2158" s="106"/>
      <c r="P2158" s="91">
        <f>IFERROR(__xludf.DUMMYFUNCTION("IFERROR(sum(FILTER($D:$N,$C:$C = $C2158,$A:$A &lt; $A2158,$B:$B = 12)),0) + sum($D2158:$N2158)"),0.0)</f>
        <v>0</v>
      </c>
      <c r="Q2158" s="92">
        <f t="shared" si="1"/>
        <v>0</v>
      </c>
      <c r="R2158" s="91">
        <f t="array" ref="R2158">IFERROR(INDEX('Fund YTD Target Values'!$1:$1000, MATCH($C2158,'Fund YTD Target Values'!$A:$A,0), MATCH($A2158,'Fund YTD Target Values'!$1:$1,0)),0)</f>
        <v>0</v>
      </c>
      <c r="S2158" s="91">
        <f>IFERROR(__xludf.DUMMYFUNCTION("IFERROR(sum(FILTER('Fund Investment Data'!$V:$V, 'Fund Investment Data'!$C:$C = $C2158, 'Fund Investment Data'!$A:$A &lt; $A2158)),0) + IFERROR(sum(FILTER('Fund Investment Data'!$V:$V, 'Fund Investment Data'!$C:$C = $C2158, 'Fund Investment Data'!$A:$A = $A2"&amp;"158, 'Fund Investment Data'!$B:$B &lt;= $B2158)),0)"),0.0)</f>
        <v>0</v>
      </c>
      <c r="T2158" s="32"/>
      <c r="U2158" s="32"/>
      <c r="V2158" s="32">
        <f>IFERROR(__xludf.DUMMYFUNCTION("$D2158 - IFERROR(FILTER($D:$D,$C:$C = $C2158, $A:$A = $A2158, $B:$B = $B2158 - 1),0)"),0.0)</f>
        <v>0</v>
      </c>
      <c r="W2158" s="93">
        <f>IFERROR(__xludf.DUMMYFUNCTION("$E2158 - IFERROR(FILTER($E:$E,$C:$C = $C2158, $A:$A = $A2158, $B:$B = $B2158 - 1),0)"),0.0)</f>
        <v>0</v>
      </c>
      <c r="X2158" s="91">
        <f>IFERROR(__xludf.DUMMYFUNCTION("iFERROR((FILTER('Fund Investment Data'!$Z:$Z, 'Fund Investment Data'!$C:$C = $C2158, 'Fund Investment Data'!$A:$A = $A2158 - 1, 'Fund Investment Data'!$B:$B = 12) + FILTER('Fund Investment Data'!$AB:$AB, 'Fund Investment Data'!$C:$C = $C2158, 'Fund Invest"&amp;"ment Data'!$A:$A = $A2158 - 1, 'Fund Investment Data'!$B:$B = 12)) * (1 + AVERAGE(FILTER('Inflation Data'!$C:$C,'Inflation Data'!$A:$A = ($A2158 - 2)))) * Parameters!$A$4,0)"),0.0)</f>
        <v>0</v>
      </c>
      <c r="Y2158" s="91">
        <f>IFERROR(__xludf.DUMMYFUNCTION("IFERROR((IFERROR(FILTER('Fund Investment Data'!$P:$P,'Fund Investment Data'!$C:$C = $C2158,'Fund Investment Data'!$A:$A = ($A2158 - 2), 'Fund Investment Data'!$B:$B = 12),0) - SUM(FILTER('Fund Investment Data'!$V:$V, 'Fund Investment Data'!$C:$C = $C2158,"&amp;" 'Fund Investment Data'!$A:$A = ($A2158 - 2), 'Fund Investment Data'!$B:$B &gt; 3)))  * Parameters!$B$4 * (1 - Parameters!$A$4),0)"),0.0)</f>
        <v>0</v>
      </c>
      <c r="Z2158" s="91">
        <f t="shared" si="24"/>
        <v>0</v>
      </c>
      <c r="AA2158" s="91">
        <f>IFERROR(__xludf.DUMMYFUNCTION("((IFERROR((SUM(FILTER('Fund Investment Data'!$V:$V, 'Fund Investment Data'!$C:$C = $C2158, 'Fund Investment Data'!$A:$A = $A2158 - 1, 'Fund Investment Data'!$B:$B &gt;= 4, 'Fund Investment Data'!$B:$B &lt;= ($B2158 + 5))) / 12) * ($B2158 - 3) * Parameters!$B$4,"&amp;" 0) + IF($B2158 &gt;= 9, IFERROR(SUM(FILTER('Fund Investment Data'!$V:$V, 'Fund Investment Data'!$C:$C = $C2158, 'Fund Investment Data'!$A:$A = $A2158, 'Fund Investment Data'!$B:$B &lt;= 3)) * Parameters!$B$4, 0),0)))"),0.0)</f>
        <v>0</v>
      </c>
      <c r="AB2158" s="32">
        <f>IFERROR(__xludf.DUMMYFUNCTION("IFERROR(((IFERROR(SUM(FILTER('Fund Investment Data'!$V:$V, 'Fund Investment Data'!$C:$C = $C2158, 'Fund Investment Data'!$A:$A = $A2158 - 2, 'Fund Investment Data'!$B:$B &gt;= 4)) * Parameters!$B$4,0) + IFERROR(SUM(FILTER('Fund Investment Data'!$V:$V, 'Fund "&amp;"Investment Data'!$C:$C = $C2158, 'Fund Investment Data'!$A:$A = $A2158 - 1, 'Fund Investment Data'!$B:$B &lt;= 3)) * Parameters!$B$4,0))),0)"),0.0)</f>
        <v>0</v>
      </c>
      <c r="AC2158" s="32">
        <f>IFERROR(__xludf.DUMMYFUNCTION("IFERROR(FILTER($AF:$AF,$C:$C = $C2158,$A:$A = $A2158 - 1,$B:$B = 12),0)"),0.0)</f>
        <v>0</v>
      </c>
      <c r="AD2158" s="32">
        <f t="shared" si="23"/>
        <v>0</v>
      </c>
      <c r="AE2158" s="32">
        <f t="shared" si="2"/>
        <v>0</v>
      </c>
      <c r="AF2158" s="32"/>
    </row>
    <row r="2159">
      <c r="A2159" s="86"/>
      <c r="B2159" s="87"/>
      <c r="C2159" s="88"/>
      <c r="D2159" s="104"/>
      <c r="E2159" s="104"/>
      <c r="F2159" s="104"/>
      <c r="G2159" s="104"/>
      <c r="H2159" s="104"/>
      <c r="I2159" s="104"/>
      <c r="J2159" s="104"/>
      <c r="K2159" s="32"/>
      <c r="L2159" s="32"/>
      <c r="M2159" s="32"/>
      <c r="N2159" s="32"/>
      <c r="O2159" s="106"/>
      <c r="P2159" s="91">
        <f>IFERROR(__xludf.DUMMYFUNCTION("IFERROR(sum(FILTER($D:$N,$C:$C = $C2159,$A:$A &lt; $A2159,$B:$B = 12)),0) + sum($D2159:$N2159)"),0.0)</f>
        <v>0</v>
      </c>
      <c r="Q2159" s="92">
        <f t="shared" si="1"/>
        <v>0</v>
      </c>
      <c r="R2159" s="91">
        <f t="array" ref="R2159">IFERROR(INDEX('Fund YTD Target Values'!$1:$1000, MATCH($C2159,'Fund YTD Target Values'!$A:$A,0), MATCH($A2159,'Fund YTD Target Values'!$1:$1,0)),0)</f>
        <v>0</v>
      </c>
      <c r="S2159" s="91">
        <f>IFERROR(__xludf.DUMMYFUNCTION("IFERROR(sum(FILTER('Fund Investment Data'!$V:$V, 'Fund Investment Data'!$C:$C = $C2159, 'Fund Investment Data'!$A:$A &lt; $A2159)),0) + IFERROR(sum(FILTER('Fund Investment Data'!$V:$V, 'Fund Investment Data'!$C:$C = $C2159, 'Fund Investment Data'!$A:$A = $A2"&amp;"159, 'Fund Investment Data'!$B:$B &lt;= $B2159)),0)"),0.0)</f>
        <v>0</v>
      </c>
      <c r="T2159" s="32"/>
      <c r="U2159" s="32"/>
      <c r="V2159" s="32">
        <f>IFERROR(__xludf.DUMMYFUNCTION("$D2159 - IFERROR(FILTER($D:$D,$C:$C = $C2159, $A:$A = $A2159, $B:$B = $B2159 - 1),0)"),0.0)</f>
        <v>0</v>
      </c>
      <c r="W2159" s="93">
        <f>IFERROR(__xludf.DUMMYFUNCTION("$E2159 - IFERROR(FILTER($E:$E,$C:$C = $C2159, $A:$A = $A2159, $B:$B = $B2159 - 1),0)"),0.0)</f>
        <v>0</v>
      </c>
      <c r="X2159" s="91">
        <f>IFERROR(__xludf.DUMMYFUNCTION("iFERROR((FILTER('Fund Investment Data'!$Z:$Z, 'Fund Investment Data'!$C:$C = $C2159, 'Fund Investment Data'!$A:$A = $A2159 - 1, 'Fund Investment Data'!$B:$B = 12) + FILTER('Fund Investment Data'!$AB:$AB, 'Fund Investment Data'!$C:$C = $C2159, 'Fund Invest"&amp;"ment Data'!$A:$A = $A2159 - 1, 'Fund Investment Data'!$B:$B = 12)) * (1 + AVERAGE(FILTER('Inflation Data'!$C:$C,'Inflation Data'!$A:$A = ($A2159 - 2)))) * Parameters!$A$4,0)"),0.0)</f>
        <v>0</v>
      </c>
      <c r="Y2159" s="91">
        <f>IFERROR(__xludf.DUMMYFUNCTION("IFERROR((IFERROR(FILTER('Fund Investment Data'!$P:$P,'Fund Investment Data'!$C:$C = $C2159,'Fund Investment Data'!$A:$A = ($A2159 - 2), 'Fund Investment Data'!$B:$B = 12),0) - SUM(FILTER('Fund Investment Data'!$V:$V, 'Fund Investment Data'!$C:$C = $C2159,"&amp;" 'Fund Investment Data'!$A:$A = ($A2159 - 2), 'Fund Investment Data'!$B:$B &gt; 3)))  * Parameters!$B$4 * (1 - Parameters!$A$4),0)"),0.0)</f>
        <v>0</v>
      </c>
      <c r="Z2159" s="91">
        <f t="shared" si="24"/>
        <v>0</v>
      </c>
      <c r="AA2159" s="91">
        <f>IFERROR(__xludf.DUMMYFUNCTION("((IFERROR((SUM(FILTER('Fund Investment Data'!$V:$V, 'Fund Investment Data'!$C:$C = $C2159, 'Fund Investment Data'!$A:$A = $A2159 - 1, 'Fund Investment Data'!$B:$B &gt;= 4, 'Fund Investment Data'!$B:$B &lt;= ($B2159 + 5))) / 12) * ($B2159 - 3) * Parameters!$B$4,"&amp;" 0) + IF($B2159 &gt;= 9, IFERROR(SUM(FILTER('Fund Investment Data'!$V:$V, 'Fund Investment Data'!$C:$C = $C2159, 'Fund Investment Data'!$A:$A = $A2159, 'Fund Investment Data'!$B:$B &lt;= 3)) * Parameters!$B$4, 0),0)))"),0.0)</f>
        <v>0</v>
      </c>
      <c r="AB2159" s="32">
        <f>IFERROR(__xludf.DUMMYFUNCTION("IFERROR(((IFERROR(SUM(FILTER('Fund Investment Data'!$V:$V, 'Fund Investment Data'!$C:$C = $C2159, 'Fund Investment Data'!$A:$A = $A2159 - 2, 'Fund Investment Data'!$B:$B &gt;= 4)) * Parameters!$B$4,0) + IFERROR(SUM(FILTER('Fund Investment Data'!$V:$V, 'Fund "&amp;"Investment Data'!$C:$C = $C2159, 'Fund Investment Data'!$A:$A = $A2159 - 1, 'Fund Investment Data'!$B:$B &lt;= 3)) * Parameters!$B$4,0))),0)"),0.0)</f>
        <v>0</v>
      </c>
      <c r="AC2159" s="32">
        <f>IFERROR(__xludf.DUMMYFUNCTION("IFERROR(FILTER($AF:$AF,$C:$C = $C2159,$A:$A = $A2159 - 1,$B:$B = 12),0)"),0.0)</f>
        <v>0</v>
      </c>
      <c r="AD2159" s="32">
        <f t="shared" si="23"/>
        <v>0</v>
      </c>
      <c r="AE2159" s="32">
        <f t="shared" si="2"/>
        <v>0</v>
      </c>
      <c r="AF2159" s="32"/>
    </row>
    <row r="2160">
      <c r="A2160" s="86"/>
      <c r="B2160" s="87"/>
      <c r="C2160" s="88"/>
      <c r="D2160" s="104"/>
      <c r="E2160" s="104"/>
      <c r="F2160" s="104"/>
      <c r="G2160" s="104"/>
      <c r="H2160" s="104"/>
      <c r="I2160" s="104"/>
      <c r="J2160" s="104"/>
      <c r="K2160" s="32"/>
      <c r="L2160" s="32"/>
      <c r="M2160" s="32"/>
      <c r="N2160" s="32"/>
      <c r="O2160" s="106"/>
      <c r="P2160" s="91">
        <f>IFERROR(__xludf.DUMMYFUNCTION("IFERROR(sum(FILTER($D:$N,$C:$C = $C2160,$A:$A &lt; $A2160,$B:$B = 12)),0) + sum($D2160:$N2160)"),0.0)</f>
        <v>0</v>
      </c>
      <c r="Q2160" s="92">
        <f t="shared" si="1"/>
        <v>0</v>
      </c>
      <c r="R2160" s="91">
        <f t="array" ref="R2160">IFERROR(INDEX('Fund YTD Target Values'!$1:$1000, MATCH($C2160,'Fund YTD Target Values'!$A:$A,0), MATCH($A2160,'Fund YTD Target Values'!$1:$1,0)),0)</f>
        <v>0</v>
      </c>
      <c r="S2160" s="91">
        <f>IFERROR(__xludf.DUMMYFUNCTION("IFERROR(sum(FILTER('Fund Investment Data'!$V:$V, 'Fund Investment Data'!$C:$C = $C2160, 'Fund Investment Data'!$A:$A &lt; $A2160)),0) + IFERROR(sum(FILTER('Fund Investment Data'!$V:$V, 'Fund Investment Data'!$C:$C = $C2160, 'Fund Investment Data'!$A:$A = $A2"&amp;"160, 'Fund Investment Data'!$B:$B &lt;= $B2160)),0)"),0.0)</f>
        <v>0</v>
      </c>
      <c r="T2160" s="32"/>
      <c r="U2160" s="32"/>
      <c r="V2160" s="32">
        <f>IFERROR(__xludf.DUMMYFUNCTION("$D2160 - IFERROR(FILTER($D:$D,$C:$C = $C2160, $A:$A = $A2160, $B:$B = $B2160 - 1),0)"),0.0)</f>
        <v>0</v>
      </c>
      <c r="W2160" s="93">
        <f>IFERROR(__xludf.DUMMYFUNCTION("$E2160 - IFERROR(FILTER($E:$E,$C:$C = $C2160, $A:$A = $A2160, $B:$B = $B2160 - 1),0)"),0.0)</f>
        <v>0</v>
      </c>
      <c r="X2160" s="91">
        <f>IFERROR(__xludf.DUMMYFUNCTION("iFERROR((FILTER('Fund Investment Data'!$Z:$Z, 'Fund Investment Data'!$C:$C = $C2160, 'Fund Investment Data'!$A:$A = $A2160 - 1, 'Fund Investment Data'!$B:$B = 12) + FILTER('Fund Investment Data'!$AB:$AB, 'Fund Investment Data'!$C:$C = $C2160, 'Fund Invest"&amp;"ment Data'!$A:$A = $A2160 - 1, 'Fund Investment Data'!$B:$B = 12)) * (1 + AVERAGE(FILTER('Inflation Data'!$C:$C,'Inflation Data'!$A:$A = ($A2160 - 2)))) * Parameters!$A$4,0)"),0.0)</f>
        <v>0</v>
      </c>
      <c r="Y2160" s="91">
        <f>IFERROR(__xludf.DUMMYFUNCTION("IFERROR((IFERROR(FILTER('Fund Investment Data'!$P:$P,'Fund Investment Data'!$C:$C = $C2160,'Fund Investment Data'!$A:$A = ($A2160 - 2), 'Fund Investment Data'!$B:$B = 12),0) - SUM(FILTER('Fund Investment Data'!$V:$V, 'Fund Investment Data'!$C:$C = $C2160,"&amp;" 'Fund Investment Data'!$A:$A = ($A2160 - 2), 'Fund Investment Data'!$B:$B &gt; 3)))  * Parameters!$B$4 * (1 - Parameters!$A$4),0)"),0.0)</f>
        <v>0</v>
      </c>
      <c r="Z2160" s="91">
        <f t="shared" si="24"/>
        <v>0</v>
      </c>
      <c r="AA2160" s="91">
        <f>IFERROR(__xludf.DUMMYFUNCTION("((IFERROR((SUM(FILTER('Fund Investment Data'!$V:$V, 'Fund Investment Data'!$C:$C = $C2160, 'Fund Investment Data'!$A:$A = $A2160 - 1, 'Fund Investment Data'!$B:$B &gt;= 4, 'Fund Investment Data'!$B:$B &lt;= ($B2160 + 5))) / 12) * ($B2160 - 3) * Parameters!$B$4,"&amp;" 0) + IF($B2160 &gt;= 9, IFERROR(SUM(FILTER('Fund Investment Data'!$V:$V, 'Fund Investment Data'!$C:$C = $C2160, 'Fund Investment Data'!$A:$A = $A2160, 'Fund Investment Data'!$B:$B &lt;= 3)) * Parameters!$B$4, 0),0)))"),0.0)</f>
        <v>0</v>
      </c>
      <c r="AB2160" s="32">
        <f>IFERROR(__xludf.DUMMYFUNCTION("IFERROR(((IFERROR(SUM(FILTER('Fund Investment Data'!$V:$V, 'Fund Investment Data'!$C:$C = $C2160, 'Fund Investment Data'!$A:$A = $A2160 - 2, 'Fund Investment Data'!$B:$B &gt;= 4)) * Parameters!$B$4,0) + IFERROR(SUM(FILTER('Fund Investment Data'!$V:$V, 'Fund "&amp;"Investment Data'!$C:$C = $C2160, 'Fund Investment Data'!$A:$A = $A2160 - 1, 'Fund Investment Data'!$B:$B &lt;= 3)) * Parameters!$B$4,0))),0)"),0.0)</f>
        <v>0</v>
      </c>
      <c r="AC2160" s="32">
        <f>IFERROR(__xludf.DUMMYFUNCTION("IFERROR(FILTER($AF:$AF,$C:$C = $C2160,$A:$A = $A2160 - 1,$B:$B = 12),0)"),0.0)</f>
        <v>0</v>
      </c>
      <c r="AD2160" s="32">
        <f t="shared" si="23"/>
        <v>0</v>
      </c>
      <c r="AE2160" s="32">
        <f t="shared" si="2"/>
        <v>0</v>
      </c>
      <c r="AF2160" s="32"/>
    </row>
    <row r="2161">
      <c r="A2161" s="86"/>
      <c r="B2161" s="87"/>
      <c r="C2161" s="88"/>
      <c r="D2161" s="104"/>
      <c r="E2161" s="104"/>
      <c r="F2161" s="104"/>
      <c r="G2161" s="104"/>
      <c r="H2161" s="104"/>
      <c r="I2161" s="104"/>
      <c r="J2161" s="104"/>
      <c r="K2161" s="32"/>
      <c r="L2161" s="32"/>
      <c r="M2161" s="32"/>
      <c r="N2161" s="32"/>
      <c r="O2161" s="106"/>
      <c r="P2161" s="91">
        <f>IFERROR(__xludf.DUMMYFUNCTION("IFERROR(sum(FILTER($D:$N,$C:$C = $C2161,$A:$A &lt; $A2161,$B:$B = 12)),0) + sum($D2161:$N2161)"),0.0)</f>
        <v>0</v>
      </c>
      <c r="Q2161" s="92">
        <f t="shared" si="1"/>
        <v>0</v>
      </c>
      <c r="R2161" s="91">
        <f t="array" ref="R2161">IFERROR(INDEX('Fund YTD Target Values'!$1:$1000, MATCH($C2161,'Fund YTD Target Values'!$A:$A,0), MATCH($A2161,'Fund YTD Target Values'!$1:$1,0)),0)</f>
        <v>0</v>
      </c>
      <c r="S2161" s="91">
        <f>IFERROR(__xludf.DUMMYFUNCTION("IFERROR(sum(FILTER('Fund Investment Data'!$V:$V, 'Fund Investment Data'!$C:$C = $C2161, 'Fund Investment Data'!$A:$A &lt; $A2161)),0) + IFERROR(sum(FILTER('Fund Investment Data'!$V:$V, 'Fund Investment Data'!$C:$C = $C2161, 'Fund Investment Data'!$A:$A = $A2"&amp;"161, 'Fund Investment Data'!$B:$B &lt;= $B2161)),0)"),0.0)</f>
        <v>0</v>
      </c>
      <c r="T2161" s="32"/>
      <c r="U2161" s="32"/>
      <c r="V2161" s="32">
        <f>IFERROR(__xludf.DUMMYFUNCTION("$D2161 - IFERROR(FILTER($D:$D,$C:$C = $C2161, $A:$A = $A2161, $B:$B = $B2161 - 1),0)"),0.0)</f>
        <v>0</v>
      </c>
      <c r="W2161" s="93">
        <f>IFERROR(__xludf.DUMMYFUNCTION("$E2161 - IFERROR(FILTER($E:$E,$C:$C = $C2161, $A:$A = $A2161, $B:$B = $B2161 - 1),0)"),0.0)</f>
        <v>0</v>
      </c>
      <c r="X2161" s="91">
        <f>IFERROR(__xludf.DUMMYFUNCTION("iFERROR((FILTER('Fund Investment Data'!$Z:$Z, 'Fund Investment Data'!$C:$C = $C2161, 'Fund Investment Data'!$A:$A = $A2161 - 1, 'Fund Investment Data'!$B:$B = 12) + FILTER('Fund Investment Data'!$AB:$AB, 'Fund Investment Data'!$C:$C = $C2161, 'Fund Invest"&amp;"ment Data'!$A:$A = $A2161 - 1, 'Fund Investment Data'!$B:$B = 12)) * (1 + AVERAGE(FILTER('Inflation Data'!$C:$C,'Inflation Data'!$A:$A = ($A2161 - 2)))) * Parameters!$A$4,0)"),0.0)</f>
        <v>0</v>
      </c>
      <c r="Y2161" s="91">
        <f>IFERROR(__xludf.DUMMYFUNCTION("IFERROR((IFERROR(FILTER('Fund Investment Data'!$P:$P,'Fund Investment Data'!$C:$C = $C2161,'Fund Investment Data'!$A:$A = ($A2161 - 2), 'Fund Investment Data'!$B:$B = 12),0) - SUM(FILTER('Fund Investment Data'!$V:$V, 'Fund Investment Data'!$C:$C = $C2161,"&amp;" 'Fund Investment Data'!$A:$A = ($A2161 - 2), 'Fund Investment Data'!$B:$B &gt; 3)))  * Parameters!$B$4 * (1 - Parameters!$A$4),0)"),0.0)</f>
        <v>0</v>
      </c>
      <c r="Z2161" s="91">
        <f t="shared" si="24"/>
        <v>0</v>
      </c>
      <c r="AA2161" s="91">
        <f>IFERROR(__xludf.DUMMYFUNCTION("((IFERROR((SUM(FILTER('Fund Investment Data'!$V:$V, 'Fund Investment Data'!$C:$C = $C2161, 'Fund Investment Data'!$A:$A = $A2161 - 1, 'Fund Investment Data'!$B:$B &gt;= 4, 'Fund Investment Data'!$B:$B &lt;= ($B2161 + 5))) / 12) * ($B2161 - 3) * Parameters!$B$4,"&amp;" 0) + IF($B2161 &gt;= 9, IFERROR(SUM(FILTER('Fund Investment Data'!$V:$V, 'Fund Investment Data'!$C:$C = $C2161, 'Fund Investment Data'!$A:$A = $A2161, 'Fund Investment Data'!$B:$B &lt;= 3)) * Parameters!$B$4, 0),0)))"),0.0)</f>
        <v>0</v>
      </c>
      <c r="AB2161" s="32">
        <f>IFERROR(__xludf.DUMMYFUNCTION("IFERROR(((IFERROR(SUM(FILTER('Fund Investment Data'!$V:$V, 'Fund Investment Data'!$C:$C = $C2161, 'Fund Investment Data'!$A:$A = $A2161 - 2, 'Fund Investment Data'!$B:$B &gt;= 4)) * Parameters!$B$4,0) + IFERROR(SUM(FILTER('Fund Investment Data'!$V:$V, 'Fund "&amp;"Investment Data'!$C:$C = $C2161, 'Fund Investment Data'!$A:$A = $A2161 - 1, 'Fund Investment Data'!$B:$B &lt;= 3)) * Parameters!$B$4,0))),0)"),0.0)</f>
        <v>0</v>
      </c>
      <c r="AC2161" s="32">
        <f>IFERROR(__xludf.DUMMYFUNCTION("IFERROR(FILTER($AF:$AF,$C:$C = $C2161,$A:$A = $A2161 - 1,$B:$B = 12),0)"),0.0)</f>
        <v>0</v>
      </c>
      <c r="AD2161" s="32">
        <f t="shared" si="23"/>
        <v>0</v>
      </c>
      <c r="AE2161" s="32">
        <f t="shared" si="2"/>
        <v>0</v>
      </c>
      <c r="AF2161" s="32"/>
    </row>
    <row r="2162">
      <c r="A2162" s="86"/>
      <c r="B2162" s="87"/>
      <c r="C2162" s="88"/>
      <c r="D2162" s="104"/>
      <c r="E2162" s="104"/>
      <c r="F2162" s="104"/>
      <c r="G2162" s="104"/>
      <c r="H2162" s="104"/>
      <c r="I2162" s="104"/>
      <c r="J2162" s="104"/>
      <c r="K2162" s="32"/>
      <c r="L2162" s="32"/>
      <c r="M2162" s="32"/>
      <c r="N2162" s="32"/>
      <c r="O2162" s="106"/>
      <c r="P2162" s="91">
        <f>IFERROR(__xludf.DUMMYFUNCTION("IFERROR(sum(FILTER($D:$N,$C:$C = $C2162,$A:$A &lt; $A2162,$B:$B = 12)),0) + sum($D2162:$N2162)"),0.0)</f>
        <v>0</v>
      </c>
      <c r="Q2162" s="92">
        <f t="shared" si="1"/>
        <v>0</v>
      </c>
      <c r="R2162" s="91">
        <f t="array" ref="R2162">IFERROR(INDEX('Fund YTD Target Values'!$1:$1000, MATCH($C2162,'Fund YTD Target Values'!$A:$A,0), MATCH($A2162,'Fund YTD Target Values'!$1:$1,0)),0)</f>
        <v>0</v>
      </c>
      <c r="S2162" s="91">
        <f>IFERROR(__xludf.DUMMYFUNCTION("IFERROR(sum(FILTER('Fund Investment Data'!$V:$V, 'Fund Investment Data'!$C:$C = $C2162, 'Fund Investment Data'!$A:$A &lt; $A2162)),0) + IFERROR(sum(FILTER('Fund Investment Data'!$V:$V, 'Fund Investment Data'!$C:$C = $C2162, 'Fund Investment Data'!$A:$A = $A2"&amp;"162, 'Fund Investment Data'!$B:$B &lt;= $B2162)),0)"),0.0)</f>
        <v>0</v>
      </c>
      <c r="T2162" s="32"/>
      <c r="U2162" s="32"/>
      <c r="V2162" s="32">
        <f>IFERROR(__xludf.DUMMYFUNCTION("$D2162 - IFERROR(FILTER($D:$D,$C:$C = $C2162, $A:$A = $A2162, $B:$B = $B2162 - 1),0)"),0.0)</f>
        <v>0</v>
      </c>
      <c r="W2162" s="93">
        <f>IFERROR(__xludf.DUMMYFUNCTION("$E2162 - IFERROR(FILTER($E:$E,$C:$C = $C2162, $A:$A = $A2162, $B:$B = $B2162 - 1),0)"),0.0)</f>
        <v>0</v>
      </c>
      <c r="X2162" s="91">
        <f>IFERROR(__xludf.DUMMYFUNCTION("iFERROR((FILTER('Fund Investment Data'!$Z:$Z, 'Fund Investment Data'!$C:$C = $C2162, 'Fund Investment Data'!$A:$A = $A2162 - 1, 'Fund Investment Data'!$B:$B = 12) + FILTER('Fund Investment Data'!$AB:$AB, 'Fund Investment Data'!$C:$C = $C2162, 'Fund Invest"&amp;"ment Data'!$A:$A = $A2162 - 1, 'Fund Investment Data'!$B:$B = 12)) * (1 + AVERAGE(FILTER('Inflation Data'!$C:$C,'Inflation Data'!$A:$A = ($A2162 - 2)))) * Parameters!$A$4,0)"),0.0)</f>
        <v>0</v>
      </c>
      <c r="Y2162" s="91">
        <f>IFERROR(__xludf.DUMMYFUNCTION("IFERROR((IFERROR(FILTER('Fund Investment Data'!$P:$P,'Fund Investment Data'!$C:$C = $C2162,'Fund Investment Data'!$A:$A = ($A2162 - 2), 'Fund Investment Data'!$B:$B = 12),0) - SUM(FILTER('Fund Investment Data'!$V:$V, 'Fund Investment Data'!$C:$C = $C2162,"&amp;" 'Fund Investment Data'!$A:$A = ($A2162 - 2), 'Fund Investment Data'!$B:$B &gt; 3)))  * Parameters!$B$4 * (1 - Parameters!$A$4),0)"),0.0)</f>
        <v>0</v>
      </c>
      <c r="Z2162" s="91">
        <f t="shared" si="24"/>
        <v>0</v>
      </c>
      <c r="AA2162" s="91">
        <f>IFERROR(__xludf.DUMMYFUNCTION("((IFERROR((SUM(FILTER('Fund Investment Data'!$V:$V, 'Fund Investment Data'!$C:$C = $C2162, 'Fund Investment Data'!$A:$A = $A2162 - 1, 'Fund Investment Data'!$B:$B &gt;= 4, 'Fund Investment Data'!$B:$B &lt;= ($B2162 + 5))) / 12) * ($B2162 - 3) * Parameters!$B$4,"&amp;" 0) + IF($B2162 &gt;= 9, IFERROR(SUM(FILTER('Fund Investment Data'!$V:$V, 'Fund Investment Data'!$C:$C = $C2162, 'Fund Investment Data'!$A:$A = $A2162, 'Fund Investment Data'!$B:$B &lt;= 3)) * Parameters!$B$4, 0),0)))"),0.0)</f>
        <v>0</v>
      </c>
      <c r="AB2162" s="32">
        <f>IFERROR(__xludf.DUMMYFUNCTION("IFERROR(((IFERROR(SUM(FILTER('Fund Investment Data'!$V:$V, 'Fund Investment Data'!$C:$C = $C2162, 'Fund Investment Data'!$A:$A = $A2162 - 2, 'Fund Investment Data'!$B:$B &gt;= 4)) * Parameters!$B$4,0) + IFERROR(SUM(FILTER('Fund Investment Data'!$V:$V, 'Fund "&amp;"Investment Data'!$C:$C = $C2162, 'Fund Investment Data'!$A:$A = $A2162 - 1, 'Fund Investment Data'!$B:$B &lt;= 3)) * Parameters!$B$4,0))),0)"),0.0)</f>
        <v>0</v>
      </c>
      <c r="AC2162" s="32">
        <f>IFERROR(__xludf.DUMMYFUNCTION("IFERROR(FILTER($AF:$AF,$C:$C = $C2162,$A:$A = $A2162 - 1,$B:$B = 12),0)"),0.0)</f>
        <v>0</v>
      </c>
      <c r="AD2162" s="32">
        <f t="shared" si="23"/>
        <v>0</v>
      </c>
      <c r="AE2162" s="32">
        <f t="shared" si="2"/>
        <v>0</v>
      </c>
      <c r="AF2162" s="32"/>
    </row>
    <row r="2163">
      <c r="A2163" s="86"/>
      <c r="B2163" s="87"/>
      <c r="C2163" s="88"/>
      <c r="D2163" s="104"/>
      <c r="E2163" s="104"/>
      <c r="F2163" s="104"/>
      <c r="G2163" s="104"/>
      <c r="H2163" s="104"/>
      <c r="I2163" s="104"/>
      <c r="J2163" s="104"/>
      <c r="K2163" s="32"/>
      <c r="L2163" s="32"/>
      <c r="M2163" s="32"/>
      <c r="N2163" s="32"/>
      <c r="O2163" s="106"/>
      <c r="P2163" s="91">
        <f>IFERROR(__xludf.DUMMYFUNCTION("IFERROR(sum(FILTER($D:$N,$C:$C = $C2163,$A:$A &lt; $A2163,$B:$B = 12)),0) + sum($D2163:$N2163)"),0.0)</f>
        <v>0</v>
      </c>
      <c r="Q2163" s="92">
        <f t="shared" si="1"/>
        <v>0</v>
      </c>
      <c r="R2163" s="91">
        <f t="array" ref="R2163">IFERROR(INDEX('Fund YTD Target Values'!$1:$1000, MATCH($C2163,'Fund YTD Target Values'!$A:$A,0), MATCH($A2163,'Fund YTD Target Values'!$1:$1,0)),0)</f>
        <v>0</v>
      </c>
      <c r="S2163" s="91">
        <f>IFERROR(__xludf.DUMMYFUNCTION("IFERROR(sum(FILTER('Fund Investment Data'!$V:$V, 'Fund Investment Data'!$C:$C = $C2163, 'Fund Investment Data'!$A:$A &lt; $A2163)),0) + IFERROR(sum(FILTER('Fund Investment Data'!$V:$V, 'Fund Investment Data'!$C:$C = $C2163, 'Fund Investment Data'!$A:$A = $A2"&amp;"163, 'Fund Investment Data'!$B:$B &lt;= $B2163)),0)"),0.0)</f>
        <v>0</v>
      </c>
      <c r="T2163" s="32"/>
      <c r="U2163" s="32"/>
      <c r="V2163" s="32">
        <f>IFERROR(__xludf.DUMMYFUNCTION("$D2163 - IFERROR(FILTER($D:$D,$C:$C = $C2163, $A:$A = $A2163, $B:$B = $B2163 - 1),0)"),0.0)</f>
        <v>0</v>
      </c>
      <c r="W2163" s="93">
        <f>IFERROR(__xludf.DUMMYFUNCTION("$E2163 - IFERROR(FILTER($E:$E,$C:$C = $C2163, $A:$A = $A2163, $B:$B = $B2163 - 1),0)"),0.0)</f>
        <v>0</v>
      </c>
      <c r="X2163" s="91">
        <f>IFERROR(__xludf.DUMMYFUNCTION("iFERROR((FILTER('Fund Investment Data'!$Z:$Z, 'Fund Investment Data'!$C:$C = $C2163, 'Fund Investment Data'!$A:$A = $A2163 - 1, 'Fund Investment Data'!$B:$B = 12) + FILTER('Fund Investment Data'!$AB:$AB, 'Fund Investment Data'!$C:$C = $C2163, 'Fund Invest"&amp;"ment Data'!$A:$A = $A2163 - 1, 'Fund Investment Data'!$B:$B = 12)) * (1 + AVERAGE(FILTER('Inflation Data'!$C:$C,'Inflation Data'!$A:$A = ($A2163 - 2)))) * Parameters!$A$4,0)"),0.0)</f>
        <v>0</v>
      </c>
      <c r="Y2163" s="91">
        <f>IFERROR(__xludf.DUMMYFUNCTION("IFERROR((IFERROR(FILTER('Fund Investment Data'!$P:$P,'Fund Investment Data'!$C:$C = $C2163,'Fund Investment Data'!$A:$A = ($A2163 - 2), 'Fund Investment Data'!$B:$B = 12),0) - SUM(FILTER('Fund Investment Data'!$V:$V, 'Fund Investment Data'!$C:$C = $C2163,"&amp;" 'Fund Investment Data'!$A:$A = ($A2163 - 2), 'Fund Investment Data'!$B:$B &gt; 3)))  * Parameters!$B$4 * (1 - Parameters!$A$4),0)"),0.0)</f>
        <v>0</v>
      </c>
      <c r="Z2163" s="91">
        <f t="shared" si="24"/>
        <v>0</v>
      </c>
      <c r="AA2163" s="91">
        <f>IFERROR(__xludf.DUMMYFUNCTION("((IFERROR((SUM(FILTER('Fund Investment Data'!$V:$V, 'Fund Investment Data'!$C:$C = $C2163, 'Fund Investment Data'!$A:$A = $A2163 - 1, 'Fund Investment Data'!$B:$B &gt;= 4, 'Fund Investment Data'!$B:$B &lt;= ($B2163 + 5))) / 12) * ($B2163 - 3) * Parameters!$B$4,"&amp;" 0) + IF($B2163 &gt;= 9, IFERROR(SUM(FILTER('Fund Investment Data'!$V:$V, 'Fund Investment Data'!$C:$C = $C2163, 'Fund Investment Data'!$A:$A = $A2163, 'Fund Investment Data'!$B:$B &lt;= 3)) * Parameters!$B$4, 0),0)))"),0.0)</f>
        <v>0</v>
      </c>
      <c r="AB2163" s="32">
        <f>IFERROR(__xludf.DUMMYFUNCTION("IFERROR(((IFERROR(SUM(FILTER('Fund Investment Data'!$V:$V, 'Fund Investment Data'!$C:$C = $C2163, 'Fund Investment Data'!$A:$A = $A2163 - 2, 'Fund Investment Data'!$B:$B &gt;= 4)) * Parameters!$B$4,0) + IFERROR(SUM(FILTER('Fund Investment Data'!$V:$V, 'Fund "&amp;"Investment Data'!$C:$C = $C2163, 'Fund Investment Data'!$A:$A = $A2163 - 1, 'Fund Investment Data'!$B:$B &lt;= 3)) * Parameters!$B$4,0))),0)"),0.0)</f>
        <v>0</v>
      </c>
      <c r="AC2163" s="32">
        <f>IFERROR(__xludf.DUMMYFUNCTION("IFERROR(FILTER($AF:$AF,$C:$C = $C2163,$A:$A = $A2163 - 1,$B:$B = 12),0)"),0.0)</f>
        <v>0</v>
      </c>
      <c r="AD2163" s="32">
        <f t="shared" si="23"/>
        <v>0</v>
      </c>
      <c r="AE2163" s="32">
        <f t="shared" si="2"/>
        <v>0</v>
      </c>
      <c r="AF2163" s="32"/>
    </row>
    <row r="2164">
      <c r="A2164" s="86"/>
      <c r="B2164" s="87"/>
      <c r="C2164" s="88"/>
      <c r="D2164" s="104"/>
      <c r="E2164" s="104"/>
      <c r="F2164" s="104"/>
      <c r="G2164" s="104"/>
      <c r="H2164" s="104"/>
      <c r="I2164" s="104"/>
      <c r="J2164" s="104"/>
      <c r="K2164" s="32"/>
      <c r="L2164" s="32"/>
      <c r="M2164" s="32"/>
      <c r="N2164" s="32"/>
      <c r="O2164" s="106"/>
      <c r="P2164" s="91">
        <f>IFERROR(__xludf.DUMMYFUNCTION("IFERROR(sum(FILTER($D:$N,$C:$C = $C2164,$A:$A &lt; $A2164,$B:$B = 12)),0) + sum($D2164:$N2164)"),0.0)</f>
        <v>0</v>
      </c>
      <c r="Q2164" s="92">
        <f t="shared" si="1"/>
        <v>0</v>
      </c>
      <c r="R2164" s="91">
        <f t="array" ref="R2164">IFERROR(INDEX('Fund YTD Target Values'!$1:$1000, MATCH($C2164,'Fund YTD Target Values'!$A:$A,0), MATCH($A2164,'Fund YTD Target Values'!$1:$1,0)),0)</f>
        <v>0</v>
      </c>
      <c r="S2164" s="91">
        <f>IFERROR(__xludf.DUMMYFUNCTION("IFERROR(sum(FILTER('Fund Investment Data'!$V:$V, 'Fund Investment Data'!$C:$C = $C2164, 'Fund Investment Data'!$A:$A &lt; $A2164)),0) + IFERROR(sum(FILTER('Fund Investment Data'!$V:$V, 'Fund Investment Data'!$C:$C = $C2164, 'Fund Investment Data'!$A:$A = $A2"&amp;"164, 'Fund Investment Data'!$B:$B &lt;= $B2164)),0)"),0.0)</f>
        <v>0</v>
      </c>
      <c r="T2164" s="32"/>
      <c r="U2164" s="32"/>
      <c r="V2164" s="32">
        <f>IFERROR(__xludf.DUMMYFUNCTION("$D2164 - IFERROR(FILTER($D:$D,$C:$C = $C2164, $A:$A = $A2164, $B:$B = $B2164 - 1),0)"),0.0)</f>
        <v>0</v>
      </c>
      <c r="W2164" s="93">
        <f>IFERROR(__xludf.DUMMYFUNCTION("$E2164 - IFERROR(FILTER($E:$E,$C:$C = $C2164, $A:$A = $A2164, $B:$B = $B2164 - 1),0)"),0.0)</f>
        <v>0</v>
      </c>
      <c r="X2164" s="91">
        <f>IFERROR(__xludf.DUMMYFUNCTION("iFERROR((FILTER('Fund Investment Data'!$Z:$Z, 'Fund Investment Data'!$C:$C = $C2164, 'Fund Investment Data'!$A:$A = $A2164 - 1, 'Fund Investment Data'!$B:$B = 12) + FILTER('Fund Investment Data'!$AB:$AB, 'Fund Investment Data'!$C:$C = $C2164, 'Fund Invest"&amp;"ment Data'!$A:$A = $A2164 - 1, 'Fund Investment Data'!$B:$B = 12)) * (1 + AVERAGE(FILTER('Inflation Data'!$C:$C,'Inflation Data'!$A:$A = ($A2164 - 2)))) * Parameters!$A$4,0)"),0.0)</f>
        <v>0</v>
      </c>
      <c r="Y2164" s="91">
        <f>IFERROR(__xludf.DUMMYFUNCTION("IFERROR((IFERROR(FILTER('Fund Investment Data'!$P:$P,'Fund Investment Data'!$C:$C = $C2164,'Fund Investment Data'!$A:$A = ($A2164 - 2), 'Fund Investment Data'!$B:$B = 12),0) - SUM(FILTER('Fund Investment Data'!$V:$V, 'Fund Investment Data'!$C:$C = $C2164,"&amp;" 'Fund Investment Data'!$A:$A = ($A2164 - 2), 'Fund Investment Data'!$B:$B &gt; 3)))  * Parameters!$B$4 * (1 - Parameters!$A$4),0)"),0.0)</f>
        <v>0</v>
      </c>
      <c r="Z2164" s="91">
        <f t="shared" si="24"/>
        <v>0</v>
      </c>
      <c r="AA2164" s="91">
        <f>IFERROR(__xludf.DUMMYFUNCTION("((IFERROR((SUM(FILTER('Fund Investment Data'!$V:$V, 'Fund Investment Data'!$C:$C = $C2164, 'Fund Investment Data'!$A:$A = $A2164 - 1, 'Fund Investment Data'!$B:$B &gt;= 4, 'Fund Investment Data'!$B:$B &lt;= ($B2164 + 5))) / 12) * ($B2164 - 3) * Parameters!$B$4,"&amp;" 0) + IF($B2164 &gt;= 9, IFERROR(SUM(FILTER('Fund Investment Data'!$V:$V, 'Fund Investment Data'!$C:$C = $C2164, 'Fund Investment Data'!$A:$A = $A2164, 'Fund Investment Data'!$B:$B &lt;= 3)) * Parameters!$B$4, 0),0)))"),0.0)</f>
        <v>0</v>
      </c>
      <c r="AB2164" s="32">
        <f>IFERROR(__xludf.DUMMYFUNCTION("IFERROR(((IFERROR(SUM(FILTER('Fund Investment Data'!$V:$V, 'Fund Investment Data'!$C:$C = $C2164, 'Fund Investment Data'!$A:$A = $A2164 - 2, 'Fund Investment Data'!$B:$B &gt;= 4)) * Parameters!$B$4,0) + IFERROR(SUM(FILTER('Fund Investment Data'!$V:$V, 'Fund "&amp;"Investment Data'!$C:$C = $C2164, 'Fund Investment Data'!$A:$A = $A2164 - 1, 'Fund Investment Data'!$B:$B &lt;= 3)) * Parameters!$B$4,0))),0)"),0.0)</f>
        <v>0</v>
      </c>
      <c r="AC2164" s="32">
        <f>IFERROR(__xludf.DUMMYFUNCTION("IFERROR(FILTER($AF:$AF,$C:$C = $C2164,$A:$A = $A2164 - 1,$B:$B = 12),0)"),0.0)</f>
        <v>0</v>
      </c>
      <c r="AD2164" s="32">
        <f t="shared" si="23"/>
        <v>0</v>
      </c>
      <c r="AE2164" s="32">
        <f t="shared" si="2"/>
        <v>0</v>
      </c>
      <c r="AF2164" s="32"/>
    </row>
    <row r="2165">
      <c r="A2165" s="86"/>
      <c r="B2165" s="87"/>
      <c r="C2165" s="88"/>
      <c r="D2165" s="104"/>
      <c r="E2165" s="104"/>
      <c r="F2165" s="104"/>
      <c r="G2165" s="104"/>
      <c r="H2165" s="104"/>
      <c r="I2165" s="104"/>
      <c r="J2165" s="104"/>
      <c r="K2165" s="32"/>
      <c r="L2165" s="32"/>
      <c r="M2165" s="32"/>
      <c r="N2165" s="32"/>
      <c r="O2165" s="106"/>
      <c r="P2165" s="91">
        <f>IFERROR(__xludf.DUMMYFUNCTION("IFERROR(sum(FILTER($D:$N,$C:$C = $C2165,$A:$A &lt; $A2165,$B:$B = 12)),0) + sum($D2165:$N2165)"),0.0)</f>
        <v>0</v>
      </c>
      <c r="Q2165" s="92">
        <f t="shared" si="1"/>
        <v>0</v>
      </c>
      <c r="R2165" s="91">
        <f t="array" ref="R2165">IFERROR(INDEX('Fund YTD Target Values'!$1:$1000, MATCH($C2165,'Fund YTD Target Values'!$A:$A,0), MATCH($A2165,'Fund YTD Target Values'!$1:$1,0)),0)</f>
        <v>0</v>
      </c>
      <c r="S2165" s="91">
        <f>IFERROR(__xludf.DUMMYFUNCTION("IFERROR(sum(FILTER('Fund Investment Data'!$V:$V, 'Fund Investment Data'!$C:$C = $C2165, 'Fund Investment Data'!$A:$A &lt; $A2165)),0) + IFERROR(sum(FILTER('Fund Investment Data'!$V:$V, 'Fund Investment Data'!$C:$C = $C2165, 'Fund Investment Data'!$A:$A = $A2"&amp;"165, 'Fund Investment Data'!$B:$B &lt;= $B2165)),0)"),0.0)</f>
        <v>0</v>
      </c>
      <c r="T2165" s="32"/>
      <c r="U2165" s="32"/>
      <c r="V2165" s="32">
        <f>IFERROR(__xludf.DUMMYFUNCTION("$D2165 - IFERROR(FILTER($D:$D,$C:$C = $C2165, $A:$A = $A2165, $B:$B = $B2165 - 1),0)"),0.0)</f>
        <v>0</v>
      </c>
      <c r="W2165" s="93">
        <f>IFERROR(__xludf.DUMMYFUNCTION("$E2165 - IFERROR(FILTER($E:$E,$C:$C = $C2165, $A:$A = $A2165, $B:$B = $B2165 - 1),0)"),0.0)</f>
        <v>0</v>
      </c>
      <c r="X2165" s="91">
        <f>IFERROR(__xludf.DUMMYFUNCTION("iFERROR((FILTER('Fund Investment Data'!$Z:$Z, 'Fund Investment Data'!$C:$C = $C2165, 'Fund Investment Data'!$A:$A = $A2165 - 1, 'Fund Investment Data'!$B:$B = 12) + FILTER('Fund Investment Data'!$AB:$AB, 'Fund Investment Data'!$C:$C = $C2165, 'Fund Invest"&amp;"ment Data'!$A:$A = $A2165 - 1, 'Fund Investment Data'!$B:$B = 12)) * (1 + AVERAGE(FILTER('Inflation Data'!$C:$C,'Inflation Data'!$A:$A = ($A2165 - 2)))) * Parameters!$A$4,0)"),0.0)</f>
        <v>0</v>
      </c>
      <c r="Y2165" s="91">
        <f>IFERROR(__xludf.DUMMYFUNCTION("IFERROR((IFERROR(FILTER('Fund Investment Data'!$P:$P,'Fund Investment Data'!$C:$C = $C2165,'Fund Investment Data'!$A:$A = ($A2165 - 2), 'Fund Investment Data'!$B:$B = 12),0) - SUM(FILTER('Fund Investment Data'!$V:$V, 'Fund Investment Data'!$C:$C = $C2165,"&amp;" 'Fund Investment Data'!$A:$A = ($A2165 - 2), 'Fund Investment Data'!$B:$B &gt; 3)))  * Parameters!$B$4 * (1 - Parameters!$A$4),0)"),0.0)</f>
        <v>0</v>
      </c>
      <c r="Z2165" s="91">
        <f t="shared" si="24"/>
        <v>0</v>
      </c>
      <c r="AA2165" s="91">
        <f>IFERROR(__xludf.DUMMYFUNCTION("((IFERROR((SUM(FILTER('Fund Investment Data'!$V:$V, 'Fund Investment Data'!$C:$C = $C2165, 'Fund Investment Data'!$A:$A = $A2165 - 1, 'Fund Investment Data'!$B:$B &gt;= 4, 'Fund Investment Data'!$B:$B &lt;= ($B2165 + 5))) / 12) * ($B2165 - 3) * Parameters!$B$4,"&amp;" 0) + IF($B2165 &gt;= 9, IFERROR(SUM(FILTER('Fund Investment Data'!$V:$V, 'Fund Investment Data'!$C:$C = $C2165, 'Fund Investment Data'!$A:$A = $A2165, 'Fund Investment Data'!$B:$B &lt;= 3)) * Parameters!$B$4, 0),0)))"),0.0)</f>
        <v>0</v>
      </c>
      <c r="AB2165" s="32">
        <f>IFERROR(__xludf.DUMMYFUNCTION("IFERROR(((IFERROR(SUM(FILTER('Fund Investment Data'!$V:$V, 'Fund Investment Data'!$C:$C = $C2165, 'Fund Investment Data'!$A:$A = $A2165 - 2, 'Fund Investment Data'!$B:$B &gt;= 4)) * Parameters!$B$4,0) + IFERROR(SUM(FILTER('Fund Investment Data'!$V:$V, 'Fund "&amp;"Investment Data'!$C:$C = $C2165, 'Fund Investment Data'!$A:$A = $A2165 - 1, 'Fund Investment Data'!$B:$B &lt;= 3)) * Parameters!$B$4,0))),0)"),0.0)</f>
        <v>0</v>
      </c>
      <c r="AC2165" s="32">
        <f>IFERROR(__xludf.DUMMYFUNCTION("IFERROR(FILTER($AF:$AF,$C:$C = $C2165,$A:$A = $A2165 - 1,$B:$B = 12),0)"),0.0)</f>
        <v>0</v>
      </c>
      <c r="AD2165" s="32">
        <f t="shared" si="23"/>
        <v>0</v>
      </c>
      <c r="AE2165" s="32">
        <f t="shared" si="2"/>
        <v>0</v>
      </c>
      <c r="AF2165" s="32"/>
    </row>
    <row r="2166">
      <c r="A2166" s="86"/>
      <c r="B2166" s="87"/>
      <c r="C2166" s="88"/>
      <c r="D2166" s="104"/>
      <c r="E2166" s="104"/>
      <c r="F2166" s="104"/>
      <c r="G2166" s="104"/>
      <c r="H2166" s="104"/>
      <c r="I2166" s="104"/>
      <c r="J2166" s="104"/>
      <c r="K2166" s="32"/>
      <c r="L2166" s="32"/>
      <c r="M2166" s="32"/>
      <c r="N2166" s="32"/>
      <c r="O2166" s="106"/>
      <c r="P2166" s="91">
        <f>IFERROR(__xludf.DUMMYFUNCTION("IFERROR(sum(FILTER($D:$N,$C:$C = $C2166,$A:$A &lt; $A2166,$B:$B = 12)),0) + sum($D2166:$N2166)"),0.0)</f>
        <v>0</v>
      </c>
      <c r="Q2166" s="92">
        <f t="shared" si="1"/>
        <v>0</v>
      </c>
      <c r="R2166" s="91">
        <f t="array" ref="R2166">IFERROR(INDEX('Fund YTD Target Values'!$1:$1000, MATCH($C2166,'Fund YTD Target Values'!$A:$A,0), MATCH($A2166,'Fund YTD Target Values'!$1:$1,0)),0)</f>
        <v>0</v>
      </c>
      <c r="S2166" s="91">
        <f>IFERROR(__xludf.DUMMYFUNCTION("IFERROR(sum(FILTER('Fund Investment Data'!$V:$V, 'Fund Investment Data'!$C:$C = $C2166, 'Fund Investment Data'!$A:$A &lt; $A2166)),0) + IFERROR(sum(FILTER('Fund Investment Data'!$V:$V, 'Fund Investment Data'!$C:$C = $C2166, 'Fund Investment Data'!$A:$A = $A2"&amp;"166, 'Fund Investment Data'!$B:$B &lt;= $B2166)),0)"),0.0)</f>
        <v>0</v>
      </c>
      <c r="T2166" s="32"/>
      <c r="U2166" s="32"/>
      <c r="V2166" s="32">
        <f>IFERROR(__xludf.DUMMYFUNCTION("$D2166 - IFERROR(FILTER($D:$D,$C:$C = $C2166, $A:$A = $A2166, $B:$B = $B2166 - 1),0)"),0.0)</f>
        <v>0</v>
      </c>
      <c r="W2166" s="93">
        <f>IFERROR(__xludf.DUMMYFUNCTION("$E2166 - IFERROR(FILTER($E:$E,$C:$C = $C2166, $A:$A = $A2166, $B:$B = $B2166 - 1),0)"),0.0)</f>
        <v>0</v>
      </c>
      <c r="X2166" s="91">
        <f>IFERROR(__xludf.DUMMYFUNCTION("iFERROR((FILTER('Fund Investment Data'!$Z:$Z, 'Fund Investment Data'!$C:$C = $C2166, 'Fund Investment Data'!$A:$A = $A2166 - 1, 'Fund Investment Data'!$B:$B = 12) + FILTER('Fund Investment Data'!$AB:$AB, 'Fund Investment Data'!$C:$C = $C2166, 'Fund Invest"&amp;"ment Data'!$A:$A = $A2166 - 1, 'Fund Investment Data'!$B:$B = 12)) * (1 + AVERAGE(FILTER('Inflation Data'!$C:$C,'Inflation Data'!$A:$A = ($A2166 - 2)))) * Parameters!$A$4,0)"),0.0)</f>
        <v>0</v>
      </c>
      <c r="Y2166" s="91">
        <f>IFERROR(__xludf.DUMMYFUNCTION("IFERROR((IFERROR(FILTER('Fund Investment Data'!$P:$P,'Fund Investment Data'!$C:$C = $C2166,'Fund Investment Data'!$A:$A = ($A2166 - 2), 'Fund Investment Data'!$B:$B = 12),0) - SUM(FILTER('Fund Investment Data'!$V:$V, 'Fund Investment Data'!$C:$C = $C2166,"&amp;" 'Fund Investment Data'!$A:$A = ($A2166 - 2), 'Fund Investment Data'!$B:$B &gt; 3)))  * Parameters!$B$4 * (1 - Parameters!$A$4),0)"),0.0)</f>
        <v>0</v>
      </c>
      <c r="Z2166" s="91">
        <f t="shared" si="24"/>
        <v>0</v>
      </c>
      <c r="AA2166" s="91">
        <f>IFERROR(__xludf.DUMMYFUNCTION("((IFERROR((SUM(FILTER('Fund Investment Data'!$V:$V, 'Fund Investment Data'!$C:$C = $C2166, 'Fund Investment Data'!$A:$A = $A2166 - 1, 'Fund Investment Data'!$B:$B &gt;= 4, 'Fund Investment Data'!$B:$B &lt;= ($B2166 + 5))) / 12) * ($B2166 - 3) * Parameters!$B$4,"&amp;" 0) + IF($B2166 &gt;= 9, IFERROR(SUM(FILTER('Fund Investment Data'!$V:$V, 'Fund Investment Data'!$C:$C = $C2166, 'Fund Investment Data'!$A:$A = $A2166, 'Fund Investment Data'!$B:$B &lt;= 3)) * Parameters!$B$4, 0),0)))"),0.0)</f>
        <v>0</v>
      </c>
      <c r="AB2166" s="32">
        <f>IFERROR(__xludf.DUMMYFUNCTION("IFERROR(((IFERROR(SUM(FILTER('Fund Investment Data'!$V:$V, 'Fund Investment Data'!$C:$C = $C2166, 'Fund Investment Data'!$A:$A = $A2166 - 2, 'Fund Investment Data'!$B:$B &gt;= 4)) * Parameters!$B$4,0) + IFERROR(SUM(FILTER('Fund Investment Data'!$V:$V, 'Fund "&amp;"Investment Data'!$C:$C = $C2166, 'Fund Investment Data'!$A:$A = $A2166 - 1, 'Fund Investment Data'!$B:$B &lt;= 3)) * Parameters!$B$4,0))),0)"),0.0)</f>
        <v>0</v>
      </c>
      <c r="AC2166" s="32">
        <f>IFERROR(__xludf.DUMMYFUNCTION("IFERROR(FILTER($AF:$AF,$C:$C = $C2166,$A:$A = $A2166 - 1,$B:$B = 12),0)"),0.0)</f>
        <v>0</v>
      </c>
      <c r="AD2166" s="32">
        <f t="shared" si="23"/>
        <v>0</v>
      </c>
      <c r="AE2166" s="32">
        <f t="shared" si="2"/>
        <v>0</v>
      </c>
      <c r="AF2166" s="32"/>
    </row>
    <row r="2167">
      <c r="A2167" s="86"/>
      <c r="B2167" s="87"/>
      <c r="C2167" s="88"/>
      <c r="D2167" s="104"/>
      <c r="E2167" s="104"/>
      <c r="F2167" s="104"/>
      <c r="G2167" s="104"/>
      <c r="H2167" s="104"/>
      <c r="I2167" s="104"/>
      <c r="J2167" s="104"/>
      <c r="K2167" s="32"/>
      <c r="L2167" s="32"/>
      <c r="M2167" s="32"/>
      <c r="N2167" s="32"/>
      <c r="O2167" s="106"/>
      <c r="P2167" s="91">
        <f>IFERROR(__xludf.DUMMYFUNCTION("IFERROR(sum(FILTER($D:$N,$C:$C = $C2167,$A:$A &lt; $A2167,$B:$B = 12)),0) + sum($D2167:$N2167)"),0.0)</f>
        <v>0</v>
      </c>
      <c r="Q2167" s="92">
        <f t="shared" si="1"/>
        <v>0</v>
      </c>
      <c r="R2167" s="91">
        <f t="array" ref="R2167">IFERROR(INDEX('Fund YTD Target Values'!$1:$1000, MATCH($C2167,'Fund YTD Target Values'!$A:$A,0), MATCH($A2167,'Fund YTD Target Values'!$1:$1,0)),0)</f>
        <v>0</v>
      </c>
      <c r="S2167" s="91">
        <f>IFERROR(__xludf.DUMMYFUNCTION("IFERROR(sum(FILTER('Fund Investment Data'!$V:$V, 'Fund Investment Data'!$C:$C = $C2167, 'Fund Investment Data'!$A:$A &lt; $A2167)),0) + IFERROR(sum(FILTER('Fund Investment Data'!$V:$V, 'Fund Investment Data'!$C:$C = $C2167, 'Fund Investment Data'!$A:$A = $A2"&amp;"167, 'Fund Investment Data'!$B:$B &lt;= $B2167)),0)"),0.0)</f>
        <v>0</v>
      </c>
      <c r="T2167" s="32"/>
      <c r="U2167" s="32"/>
      <c r="V2167" s="32">
        <f>IFERROR(__xludf.DUMMYFUNCTION("$D2167 - IFERROR(FILTER($D:$D,$C:$C = $C2167, $A:$A = $A2167, $B:$B = $B2167 - 1),0)"),0.0)</f>
        <v>0</v>
      </c>
      <c r="W2167" s="93">
        <f>IFERROR(__xludf.DUMMYFUNCTION("$E2167 - IFERROR(FILTER($E:$E,$C:$C = $C2167, $A:$A = $A2167, $B:$B = $B2167 - 1),0)"),0.0)</f>
        <v>0</v>
      </c>
      <c r="X2167" s="91">
        <f>IFERROR(__xludf.DUMMYFUNCTION("iFERROR((FILTER('Fund Investment Data'!$Z:$Z, 'Fund Investment Data'!$C:$C = $C2167, 'Fund Investment Data'!$A:$A = $A2167 - 1, 'Fund Investment Data'!$B:$B = 12) + FILTER('Fund Investment Data'!$AB:$AB, 'Fund Investment Data'!$C:$C = $C2167, 'Fund Invest"&amp;"ment Data'!$A:$A = $A2167 - 1, 'Fund Investment Data'!$B:$B = 12)) * (1 + AVERAGE(FILTER('Inflation Data'!$C:$C,'Inflation Data'!$A:$A = ($A2167 - 2)))) * Parameters!$A$4,0)"),0.0)</f>
        <v>0</v>
      </c>
      <c r="Y2167" s="91">
        <f>IFERROR(__xludf.DUMMYFUNCTION("IFERROR((IFERROR(FILTER('Fund Investment Data'!$P:$P,'Fund Investment Data'!$C:$C = $C2167,'Fund Investment Data'!$A:$A = ($A2167 - 2), 'Fund Investment Data'!$B:$B = 12),0) - SUM(FILTER('Fund Investment Data'!$V:$V, 'Fund Investment Data'!$C:$C = $C2167,"&amp;" 'Fund Investment Data'!$A:$A = ($A2167 - 2), 'Fund Investment Data'!$B:$B &gt; 3)))  * Parameters!$B$4 * (1 - Parameters!$A$4),0)"),0.0)</f>
        <v>0</v>
      </c>
      <c r="Z2167" s="91">
        <f t="shared" si="24"/>
        <v>0</v>
      </c>
      <c r="AA2167" s="91">
        <f>IFERROR(__xludf.DUMMYFUNCTION("((IFERROR((SUM(FILTER('Fund Investment Data'!$V:$V, 'Fund Investment Data'!$C:$C = $C2167, 'Fund Investment Data'!$A:$A = $A2167 - 1, 'Fund Investment Data'!$B:$B &gt;= 4, 'Fund Investment Data'!$B:$B &lt;= ($B2167 + 5))) / 12) * ($B2167 - 3) * Parameters!$B$4,"&amp;" 0) + IF($B2167 &gt;= 9, IFERROR(SUM(FILTER('Fund Investment Data'!$V:$V, 'Fund Investment Data'!$C:$C = $C2167, 'Fund Investment Data'!$A:$A = $A2167, 'Fund Investment Data'!$B:$B &lt;= 3)) * Parameters!$B$4, 0),0)))"),0.0)</f>
        <v>0</v>
      </c>
      <c r="AB2167" s="32">
        <f>IFERROR(__xludf.DUMMYFUNCTION("IFERROR(((IFERROR(SUM(FILTER('Fund Investment Data'!$V:$V, 'Fund Investment Data'!$C:$C = $C2167, 'Fund Investment Data'!$A:$A = $A2167 - 2, 'Fund Investment Data'!$B:$B &gt;= 4)) * Parameters!$B$4,0) + IFERROR(SUM(FILTER('Fund Investment Data'!$V:$V, 'Fund "&amp;"Investment Data'!$C:$C = $C2167, 'Fund Investment Data'!$A:$A = $A2167 - 1, 'Fund Investment Data'!$B:$B &lt;= 3)) * Parameters!$B$4,0))),0)"),0.0)</f>
        <v>0</v>
      </c>
      <c r="AC2167" s="32">
        <f>IFERROR(__xludf.DUMMYFUNCTION("IFERROR(FILTER($AF:$AF,$C:$C = $C2167,$A:$A = $A2167 - 1,$B:$B = 12),0)"),0.0)</f>
        <v>0</v>
      </c>
      <c r="AD2167" s="32">
        <f t="shared" si="23"/>
        <v>0</v>
      </c>
      <c r="AE2167" s="32">
        <f t="shared" si="2"/>
        <v>0</v>
      </c>
      <c r="AF2167" s="32"/>
    </row>
    <row r="2168">
      <c r="A2168" s="86"/>
      <c r="B2168" s="87"/>
      <c r="C2168" s="88"/>
      <c r="D2168" s="104"/>
      <c r="E2168" s="104"/>
      <c r="F2168" s="104"/>
      <c r="G2168" s="104"/>
      <c r="H2168" s="104"/>
      <c r="I2168" s="104"/>
      <c r="J2168" s="104"/>
      <c r="K2168" s="32"/>
      <c r="L2168" s="32"/>
      <c r="M2168" s="32"/>
      <c r="N2168" s="32"/>
      <c r="O2168" s="106"/>
      <c r="P2168" s="91">
        <f>IFERROR(__xludf.DUMMYFUNCTION("IFERROR(sum(FILTER($D:$N,$C:$C = $C2168,$A:$A &lt; $A2168,$B:$B = 12)),0) + sum($D2168:$N2168)"),0.0)</f>
        <v>0</v>
      </c>
      <c r="Q2168" s="92">
        <f t="shared" si="1"/>
        <v>0</v>
      </c>
      <c r="R2168" s="91">
        <f t="array" ref="R2168">IFERROR(INDEX('Fund YTD Target Values'!$1:$1000, MATCH($C2168,'Fund YTD Target Values'!$A:$A,0), MATCH($A2168,'Fund YTD Target Values'!$1:$1,0)),0)</f>
        <v>0</v>
      </c>
      <c r="S2168" s="91">
        <f>IFERROR(__xludf.DUMMYFUNCTION("IFERROR(sum(FILTER('Fund Investment Data'!$V:$V, 'Fund Investment Data'!$C:$C = $C2168, 'Fund Investment Data'!$A:$A &lt; $A2168)),0) + IFERROR(sum(FILTER('Fund Investment Data'!$V:$V, 'Fund Investment Data'!$C:$C = $C2168, 'Fund Investment Data'!$A:$A = $A2"&amp;"168, 'Fund Investment Data'!$B:$B &lt;= $B2168)),0)"),0.0)</f>
        <v>0</v>
      </c>
      <c r="T2168" s="32"/>
      <c r="U2168" s="32"/>
      <c r="V2168" s="32">
        <f>IFERROR(__xludf.DUMMYFUNCTION("$D2168 - IFERROR(FILTER($D:$D,$C:$C = $C2168, $A:$A = $A2168, $B:$B = $B2168 - 1),0)"),0.0)</f>
        <v>0</v>
      </c>
      <c r="W2168" s="93">
        <f>IFERROR(__xludf.DUMMYFUNCTION("$E2168 - IFERROR(FILTER($E:$E,$C:$C = $C2168, $A:$A = $A2168, $B:$B = $B2168 - 1),0)"),0.0)</f>
        <v>0</v>
      </c>
      <c r="X2168" s="91">
        <f>IFERROR(__xludf.DUMMYFUNCTION("iFERROR((FILTER('Fund Investment Data'!$Z:$Z, 'Fund Investment Data'!$C:$C = $C2168, 'Fund Investment Data'!$A:$A = $A2168 - 1, 'Fund Investment Data'!$B:$B = 12) + FILTER('Fund Investment Data'!$AB:$AB, 'Fund Investment Data'!$C:$C = $C2168, 'Fund Invest"&amp;"ment Data'!$A:$A = $A2168 - 1, 'Fund Investment Data'!$B:$B = 12)) * (1 + AVERAGE(FILTER('Inflation Data'!$C:$C,'Inflation Data'!$A:$A = ($A2168 - 2)))) * Parameters!$A$4,0)"),0.0)</f>
        <v>0</v>
      </c>
      <c r="Y2168" s="91">
        <f>IFERROR(__xludf.DUMMYFUNCTION("IFERROR((IFERROR(FILTER('Fund Investment Data'!$P:$P,'Fund Investment Data'!$C:$C = $C2168,'Fund Investment Data'!$A:$A = ($A2168 - 2), 'Fund Investment Data'!$B:$B = 12),0) - SUM(FILTER('Fund Investment Data'!$V:$V, 'Fund Investment Data'!$C:$C = $C2168,"&amp;" 'Fund Investment Data'!$A:$A = ($A2168 - 2), 'Fund Investment Data'!$B:$B &gt; 3)))  * Parameters!$B$4 * (1 - Parameters!$A$4),0)"),0.0)</f>
        <v>0</v>
      </c>
      <c r="Z2168" s="91">
        <f t="shared" si="24"/>
        <v>0</v>
      </c>
      <c r="AA2168" s="91">
        <f>IFERROR(__xludf.DUMMYFUNCTION("((IFERROR((SUM(FILTER('Fund Investment Data'!$V:$V, 'Fund Investment Data'!$C:$C = $C2168, 'Fund Investment Data'!$A:$A = $A2168 - 1, 'Fund Investment Data'!$B:$B &gt;= 4, 'Fund Investment Data'!$B:$B &lt;= ($B2168 + 5))) / 12) * ($B2168 - 3) * Parameters!$B$4,"&amp;" 0) + IF($B2168 &gt;= 9, IFERROR(SUM(FILTER('Fund Investment Data'!$V:$V, 'Fund Investment Data'!$C:$C = $C2168, 'Fund Investment Data'!$A:$A = $A2168, 'Fund Investment Data'!$B:$B &lt;= 3)) * Parameters!$B$4, 0),0)))"),0.0)</f>
        <v>0</v>
      </c>
      <c r="AB2168" s="32">
        <f>IFERROR(__xludf.DUMMYFUNCTION("IFERROR(((IFERROR(SUM(FILTER('Fund Investment Data'!$V:$V, 'Fund Investment Data'!$C:$C = $C2168, 'Fund Investment Data'!$A:$A = $A2168 - 2, 'Fund Investment Data'!$B:$B &gt;= 4)) * Parameters!$B$4,0) + IFERROR(SUM(FILTER('Fund Investment Data'!$V:$V, 'Fund "&amp;"Investment Data'!$C:$C = $C2168, 'Fund Investment Data'!$A:$A = $A2168 - 1, 'Fund Investment Data'!$B:$B &lt;= 3)) * Parameters!$B$4,0))),0)"),0.0)</f>
        <v>0</v>
      </c>
      <c r="AC2168" s="32">
        <f>IFERROR(__xludf.DUMMYFUNCTION("IFERROR(FILTER($AF:$AF,$C:$C = $C2168,$A:$A = $A2168 - 1,$B:$B = 12),0)"),0.0)</f>
        <v>0</v>
      </c>
      <c r="AD2168" s="32">
        <f t="shared" si="23"/>
        <v>0</v>
      </c>
      <c r="AE2168" s="32">
        <f t="shared" si="2"/>
        <v>0</v>
      </c>
      <c r="AF2168" s="32"/>
    </row>
    <row r="2169">
      <c r="A2169" s="86"/>
      <c r="B2169" s="87"/>
      <c r="C2169" s="88"/>
      <c r="D2169" s="104"/>
      <c r="E2169" s="104"/>
      <c r="F2169" s="104"/>
      <c r="G2169" s="104"/>
      <c r="H2169" s="104"/>
      <c r="I2169" s="104"/>
      <c r="J2169" s="104"/>
      <c r="K2169" s="32"/>
      <c r="L2169" s="32"/>
      <c r="M2169" s="32"/>
      <c r="N2169" s="32"/>
      <c r="O2169" s="106"/>
      <c r="P2169" s="91">
        <f>IFERROR(__xludf.DUMMYFUNCTION("IFERROR(sum(FILTER($D:$N,$C:$C = $C2169,$A:$A &lt; $A2169,$B:$B = 12)),0) + sum($D2169:$N2169)"),0.0)</f>
        <v>0</v>
      </c>
      <c r="Q2169" s="92">
        <f t="shared" si="1"/>
        <v>0</v>
      </c>
      <c r="R2169" s="91">
        <f t="array" ref="R2169">IFERROR(INDEX('Fund YTD Target Values'!$1:$1000, MATCH($C2169,'Fund YTD Target Values'!$A:$A,0), MATCH($A2169,'Fund YTD Target Values'!$1:$1,0)),0)</f>
        <v>0</v>
      </c>
      <c r="S2169" s="91">
        <f>IFERROR(__xludf.DUMMYFUNCTION("IFERROR(sum(FILTER('Fund Investment Data'!$V:$V, 'Fund Investment Data'!$C:$C = $C2169, 'Fund Investment Data'!$A:$A &lt; $A2169)),0) + IFERROR(sum(FILTER('Fund Investment Data'!$V:$V, 'Fund Investment Data'!$C:$C = $C2169, 'Fund Investment Data'!$A:$A = $A2"&amp;"169, 'Fund Investment Data'!$B:$B &lt;= $B2169)),0)"),0.0)</f>
        <v>0</v>
      </c>
      <c r="T2169" s="32"/>
      <c r="U2169" s="32"/>
      <c r="V2169" s="32">
        <f>IFERROR(__xludf.DUMMYFUNCTION("$D2169 - IFERROR(FILTER($D:$D,$C:$C = $C2169, $A:$A = $A2169, $B:$B = $B2169 - 1),0)"),0.0)</f>
        <v>0</v>
      </c>
      <c r="W2169" s="93">
        <f>IFERROR(__xludf.DUMMYFUNCTION("$E2169 - IFERROR(FILTER($E:$E,$C:$C = $C2169, $A:$A = $A2169, $B:$B = $B2169 - 1),0)"),0.0)</f>
        <v>0</v>
      </c>
      <c r="X2169" s="91">
        <f>IFERROR(__xludf.DUMMYFUNCTION("iFERROR((FILTER('Fund Investment Data'!$Z:$Z, 'Fund Investment Data'!$C:$C = $C2169, 'Fund Investment Data'!$A:$A = $A2169 - 1, 'Fund Investment Data'!$B:$B = 12) + FILTER('Fund Investment Data'!$AB:$AB, 'Fund Investment Data'!$C:$C = $C2169, 'Fund Invest"&amp;"ment Data'!$A:$A = $A2169 - 1, 'Fund Investment Data'!$B:$B = 12)) * (1 + AVERAGE(FILTER('Inflation Data'!$C:$C,'Inflation Data'!$A:$A = ($A2169 - 2)))) * Parameters!$A$4,0)"),0.0)</f>
        <v>0</v>
      </c>
      <c r="Y2169" s="91">
        <f>IFERROR(__xludf.DUMMYFUNCTION("IFERROR((IFERROR(FILTER('Fund Investment Data'!$P:$P,'Fund Investment Data'!$C:$C = $C2169,'Fund Investment Data'!$A:$A = ($A2169 - 2), 'Fund Investment Data'!$B:$B = 12),0) - SUM(FILTER('Fund Investment Data'!$V:$V, 'Fund Investment Data'!$C:$C = $C2169,"&amp;" 'Fund Investment Data'!$A:$A = ($A2169 - 2), 'Fund Investment Data'!$B:$B &gt; 3)))  * Parameters!$B$4 * (1 - Parameters!$A$4),0)"),0.0)</f>
        <v>0</v>
      </c>
      <c r="Z2169" s="91">
        <f t="shared" si="24"/>
        <v>0</v>
      </c>
      <c r="AA2169" s="91">
        <f>IFERROR(__xludf.DUMMYFUNCTION("((IFERROR((SUM(FILTER('Fund Investment Data'!$V:$V, 'Fund Investment Data'!$C:$C = $C2169, 'Fund Investment Data'!$A:$A = $A2169 - 1, 'Fund Investment Data'!$B:$B &gt;= 4, 'Fund Investment Data'!$B:$B &lt;= ($B2169 + 5))) / 12) * ($B2169 - 3) * Parameters!$B$4,"&amp;" 0) + IF($B2169 &gt;= 9, IFERROR(SUM(FILTER('Fund Investment Data'!$V:$V, 'Fund Investment Data'!$C:$C = $C2169, 'Fund Investment Data'!$A:$A = $A2169, 'Fund Investment Data'!$B:$B &lt;= 3)) * Parameters!$B$4, 0),0)))"),0.0)</f>
        <v>0</v>
      </c>
      <c r="AB2169" s="32">
        <f>IFERROR(__xludf.DUMMYFUNCTION("IFERROR(((IFERROR(SUM(FILTER('Fund Investment Data'!$V:$V, 'Fund Investment Data'!$C:$C = $C2169, 'Fund Investment Data'!$A:$A = $A2169 - 2, 'Fund Investment Data'!$B:$B &gt;= 4)) * Parameters!$B$4,0) + IFERROR(SUM(FILTER('Fund Investment Data'!$V:$V, 'Fund "&amp;"Investment Data'!$C:$C = $C2169, 'Fund Investment Data'!$A:$A = $A2169 - 1, 'Fund Investment Data'!$B:$B &lt;= 3)) * Parameters!$B$4,0))),0)"),0.0)</f>
        <v>0</v>
      </c>
      <c r="AC2169" s="32">
        <f>IFERROR(__xludf.DUMMYFUNCTION("IFERROR(FILTER($AF:$AF,$C:$C = $C2169,$A:$A = $A2169 - 1,$B:$B = 12),0)"),0.0)</f>
        <v>0</v>
      </c>
      <c r="AD2169" s="32">
        <f t="shared" si="23"/>
        <v>0</v>
      </c>
      <c r="AE2169" s="32">
        <f t="shared" si="2"/>
        <v>0</v>
      </c>
      <c r="AF2169" s="32"/>
    </row>
    <row r="2170">
      <c r="A2170" s="86"/>
      <c r="B2170" s="87"/>
      <c r="C2170" s="88"/>
      <c r="D2170" s="104"/>
      <c r="E2170" s="104"/>
      <c r="F2170" s="104"/>
      <c r="G2170" s="104"/>
      <c r="H2170" s="104"/>
      <c r="I2170" s="104"/>
      <c r="J2170" s="104"/>
      <c r="K2170" s="32"/>
      <c r="L2170" s="32"/>
      <c r="M2170" s="32"/>
      <c r="N2170" s="32"/>
      <c r="O2170" s="106"/>
      <c r="P2170" s="91">
        <f>IFERROR(__xludf.DUMMYFUNCTION("IFERROR(sum(FILTER($D:$N,$C:$C = $C2170,$A:$A &lt; $A2170,$B:$B = 12)),0) + sum($D2170:$N2170)"),0.0)</f>
        <v>0</v>
      </c>
      <c r="Q2170" s="92">
        <f t="shared" si="1"/>
        <v>0</v>
      </c>
      <c r="R2170" s="91">
        <f t="array" ref="R2170">IFERROR(INDEX('Fund YTD Target Values'!$1:$1000, MATCH($C2170,'Fund YTD Target Values'!$A:$A,0), MATCH($A2170,'Fund YTD Target Values'!$1:$1,0)),0)</f>
        <v>0</v>
      </c>
      <c r="S2170" s="91">
        <f>IFERROR(__xludf.DUMMYFUNCTION("IFERROR(sum(FILTER('Fund Investment Data'!$V:$V, 'Fund Investment Data'!$C:$C = $C2170, 'Fund Investment Data'!$A:$A &lt; $A2170)),0) + IFERROR(sum(FILTER('Fund Investment Data'!$V:$V, 'Fund Investment Data'!$C:$C = $C2170, 'Fund Investment Data'!$A:$A = $A2"&amp;"170, 'Fund Investment Data'!$B:$B &lt;= $B2170)),0)"),0.0)</f>
        <v>0</v>
      </c>
      <c r="T2170" s="32"/>
      <c r="U2170" s="32"/>
      <c r="V2170" s="32">
        <f>IFERROR(__xludf.DUMMYFUNCTION("$D2170 - IFERROR(FILTER($D:$D,$C:$C = $C2170, $A:$A = $A2170, $B:$B = $B2170 - 1),0)"),0.0)</f>
        <v>0</v>
      </c>
      <c r="W2170" s="93">
        <f>IFERROR(__xludf.DUMMYFUNCTION("$E2170 - IFERROR(FILTER($E:$E,$C:$C = $C2170, $A:$A = $A2170, $B:$B = $B2170 - 1),0)"),0.0)</f>
        <v>0</v>
      </c>
      <c r="X2170" s="91">
        <f>IFERROR(__xludf.DUMMYFUNCTION("iFERROR((FILTER('Fund Investment Data'!$Z:$Z, 'Fund Investment Data'!$C:$C = $C2170, 'Fund Investment Data'!$A:$A = $A2170 - 1, 'Fund Investment Data'!$B:$B = 12) + FILTER('Fund Investment Data'!$AB:$AB, 'Fund Investment Data'!$C:$C = $C2170, 'Fund Invest"&amp;"ment Data'!$A:$A = $A2170 - 1, 'Fund Investment Data'!$B:$B = 12)) * (1 + AVERAGE(FILTER('Inflation Data'!$C:$C,'Inflation Data'!$A:$A = ($A2170 - 2)))) * Parameters!$A$4,0)"),0.0)</f>
        <v>0</v>
      </c>
      <c r="Y2170" s="91">
        <f>IFERROR(__xludf.DUMMYFUNCTION("IFERROR((IFERROR(FILTER('Fund Investment Data'!$P:$P,'Fund Investment Data'!$C:$C = $C2170,'Fund Investment Data'!$A:$A = ($A2170 - 2), 'Fund Investment Data'!$B:$B = 12),0) - SUM(FILTER('Fund Investment Data'!$V:$V, 'Fund Investment Data'!$C:$C = $C2170,"&amp;" 'Fund Investment Data'!$A:$A = ($A2170 - 2), 'Fund Investment Data'!$B:$B &gt; 3)))  * Parameters!$B$4 * (1 - Parameters!$A$4),0)"),0.0)</f>
        <v>0</v>
      </c>
      <c r="Z2170" s="91">
        <f t="shared" si="24"/>
        <v>0</v>
      </c>
      <c r="AA2170" s="91">
        <f>IFERROR(__xludf.DUMMYFUNCTION("((IFERROR((SUM(FILTER('Fund Investment Data'!$V:$V, 'Fund Investment Data'!$C:$C = $C2170, 'Fund Investment Data'!$A:$A = $A2170 - 1, 'Fund Investment Data'!$B:$B &gt;= 4, 'Fund Investment Data'!$B:$B &lt;= ($B2170 + 5))) / 12) * ($B2170 - 3) * Parameters!$B$4,"&amp;" 0) + IF($B2170 &gt;= 9, IFERROR(SUM(FILTER('Fund Investment Data'!$V:$V, 'Fund Investment Data'!$C:$C = $C2170, 'Fund Investment Data'!$A:$A = $A2170, 'Fund Investment Data'!$B:$B &lt;= 3)) * Parameters!$B$4, 0),0)))"),0.0)</f>
        <v>0</v>
      </c>
      <c r="AB2170" s="32">
        <f>IFERROR(__xludf.DUMMYFUNCTION("IFERROR(((IFERROR(SUM(FILTER('Fund Investment Data'!$V:$V, 'Fund Investment Data'!$C:$C = $C2170, 'Fund Investment Data'!$A:$A = $A2170 - 2, 'Fund Investment Data'!$B:$B &gt;= 4)) * Parameters!$B$4,0) + IFERROR(SUM(FILTER('Fund Investment Data'!$V:$V, 'Fund "&amp;"Investment Data'!$C:$C = $C2170, 'Fund Investment Data'!$A:$A = $A2170 - 1, 'Fund Investment Data'!$B:$B &lt;= 3)) * Parameters!$B$4,0))),0)"),0.0)</f>
        <v>0</v>
      </c>
      <c r="AC2170" s="32">
        <f>IFERROR(__xludf.DUMMYFUNCTION("IFERROR(FILTER($AF:$AF,$C:$C = $C2170,$A:$A = $A2170 - 1,$B:$B = 12),0)"),0.0)</f>
        <v>0</v>
      </c>
      <c r="AD2170" s="32">
        <f t="shared" si="23"/>
        <v>0</v>
      </c>
      <c r="AE2170" s="32">
        <f t="shared" si="2"/>
        <v>0</v>
      </c>
      <c r="AF2170" s="32"/>
    </row>
    <row r="2171">
      <c r="A2171" s="86"/>
      <c r="B2171" s="87"/>
      <c r="C2171" s="88"/>
      <c r="D2171" s="104"/>
      <c r="E2171" s="104"/>
      <c r="F2171" s="104"/>
      <c r="G2171" s="104"/>
      <c r="H2171" s="104"/>
      <c r="I2171" s="104"/>
      <c r="J2171" s="104"/>
      <c r="K2171" s="32"/>
      <c r="L2171" s="32"/>
      <c r="M2171" s="32"/>
      <c r="N2171" s="32"/>
      <c r="O2171" s="106"/>
      <c r="P2171" s="91">
        <f>IFERROR(__xludf.DUMMYFUNCTION("IFERROR(sum(FILTER($D:$N,$C:$C = $C2171,$A:$A &lt; $A2171,$B:$B = 12)),0) + sum($D2171:$N2171)"),0.0)</f>
        <v>0</v>
      </c>
      <c r="Q2171" s="92">
        <f t="shared" si="1"/>
        <v>0</v>
      </c>
      <c r="R2171" s="91">
        <f t="array" ref="R2171">IFERROR(INDEX('Fund YTD Target Values'!$1:$1000, MATCH($C2171,'Fund YTD Target Values'!$A:$A,0), MATCH($A2171,'Fund YTD Target Values'!$1:$1,0)),0)</f>
        <v>0</v>
      </c>
      <c r="S2171" s="91">
        <f>IFERROR(__xludf.DUMMYFUNCTION("IFERROR(sum(FILTER('Fund Investment Data'!$V:$V, 'Fund Investment Data'!$C:$C = $C2171, 'Fund Investment Data'!$A:$A &lt; $A2171)),0) + IFERROR(sum(FILTER('Fund Investment Data'!$V:$V, 'Fund Investment Data'!$C:$C = $C2171, 'Fund Investment Data'!$A:$A = $A2"&amp;"171, 'Fund Investment Data'!$B:$B &lt;= $B2171)),0)"),0.0)</f>
        <v>0</v>
      </c>
      <c r="T2171" s="32"/>
      <c r="U2171" s="32"/>
      <c r="V2171" s="32">
        <f>IFERROR(__xludf.DUMMYFUNCTION("$D2171 - IFERROR(FILTER($D:$D,$C:$C = $C2171, $A:$A = $A2171, $B:$B = $B2171 - 1),0)"),0.0)</f>
        <v>0</v>
      </c>
      <c r="W2171" s="93">
        <f>IFERROR(__xludf.DUMMYFUNCTION("$E2171 - IFERROR(FILTER($E:$E,$C:$C = $C2171, $A:$A = $A2171, $B:$B = $B2171 - 1),0)"),0.0)</f>
        <v>0</v>
      </c>
      <c r="X2171" s="91">
        <f>IFERROR(__xludf.DUMMYFUNCTION("iFERROR((FILTER('Fund Investment Data'!$Z:$Z, 'Fund Investment Data'!$C:$C = $C2171, 'Fund Investment Data'!$A:$A = $A2171 - 1, 'Fund Investment Data'!$B:$B = 12) + FILTER('Fund Investment Data'!$AB:$AB, 'Fund Investment Data'!$C:$C = $C2171, 'Fund Invest"&amp;"ment Data'!$A:$A = $A2171 - 1, 'Fund Investment Data'!$B:$B = 12)) * (1 + AVERAGE(FILTER('Inflation Data'!$C:$C,'Inflation Data'!$A:$A = ($A2171 - 2)))) * Parameters!$A$4,0)"),0.0)</f>
        <v>0</v>
      </c>
      <c r="Y2171" s="91">
        <f>IFERROR(__xludf.DUMMYFUNCTION("IFERROR((IFERROR(FILTER('Fund Investment Data'!$P:$P,'Fund Investment Data'!$C:$C = $C2171,'Fund Investment Data'!$A:$A = ($A2171 - 2), 'Fund Investment Data'!$B:$B = 12),0) - SUM(FILTER('Fund Investment Data'!$V:$V, 'Fund Investment Data'!$C:$C = $C2171,"&amp;" 'Fund Investment Data'!$A:$A = ($A2171 - 2), 'Fund Investment Data'!$B:$B &gt; 3)))  * Parameters!$B$4 * (1 - Parameters!$A$4),0)"),0.0)</f>
        <v>0</v>
      </c>
      <c r="Z2171" s="91">
        <f t="shared" si="24"/>
        <v>0</v>
      </c>
      <c r="AA2171" s="91">
        <f>IFERROR(__xludf.DUMMYFUNCTION("((IFERROR((SUM(FILTER('Fund Investment Data'!$V:$V, 'Fund Investment Data'!$C:$C = $C2171, 'Fund Investment Data'!$A:$A = $A2171 - 1, 'Fund Investment Data'!$B:$B &gt;= 4, 'Fund Investment Data'!$B:$B &lt;= ($B2171 + 5))) / 12) * ($B2171 - 3) * Parameters!$B$4,"&amp;" 0) + IF($B2171 &gt;= 9, IFERROR(SUM(FILTER('Fund Investment Data'!$V:$V, 'Fund Investment Data'!$C:$C = $C2171, 'Fund Investment Data'!$A:$A = $A2171, 'Fund Investment Data'!$B:$B &lt;= 3)) * Parameters!$B$4, 0),0)))"),0.0)</f>
        <v>0</v>
      </c>
      <c r="AB2171" s="32">
        <f>IFERROR(__xludf.DUMMYFUNCTION("IFERROR(((IFERROR(SUM(FILTER('Fund Investment Data'!$V:$V, 'Fund Investment Data'!$C:$C = $C2171, 'Fund Investment Data'!$A:$A = $A2171 - 2, 'Fund Investment Data'!$B:$B &gt;= 4)) * Parameters!$B$4,0) + IFERROR(SUM(FILTER('Fund Investment Data'!$V:$V, 'Fund "&amp;"Investment Data'!$C:$C = $C2171, 'Fund Investment Data'!$A:$A = $A2171 - 1, 'Fund Investment Data'!$B:$B &lt;= 3)) * Parameters!$B$4,0))),0)"),0.0)</f>
        <v>0</v>
      </c>
      <c r="AC2171" s="32">
        <f>IFERROR(__xludf.DUMMYFUNCTION("IFERROR(FILTER($AF:$AF,$C:$C = $C2171,$A:$A = $A2171 - 1,$B:$B = 12),0)"),0.0)</f>
        <v>0</v>
      </c>
      <c r="AD2171" s="32">
        <f t="shared" si="23"/>
        <v>0</v>
      </c>
      <c r="AE2171" s="32">
        <f t="shared" si="2"/>
        <v>0</v>
      </c>
      <c r="AF2171" s="32"/>
    </row>
    <row r="2172">
      <c r="A2172" s="86"/>
      <c r="B2172" s="87"/>
      <c r="C2172" s="88"/>
      <c r="D2172" s="104"/>
      <c r="E2172" s="104"/>
      <c r="F2172" s="104"/>
      <c r="G2172" s="104"/>
      <c r="H2172" s="104"/>
      <c r="I2172" s="104"/>
      <c r="J2172" s="104"/>
      <c r="K2172" s="32"/>
      <c r="L2172" s="32"/>
      <c r="M2172" s="32"/>
      <c r="N2172" s="32"/>
      <c r="O2172" s="106"/>
      <c r="P2172" s="91">
        <f>IFERROR(__xludf.DUMMYFUNCTION("IFERROR(sum(FILTER($D:$N,$C:$C = $C2172,$A:$A &lt; $A2172,$B:$B = 12)),0) + sum($D2172:$N2172)"),0.0)</f>
        <v>0</v>
      </c>
      <c r="Q2172" s="92">
        <f t="shared" si="1"/>
        <v>0</v>
      </c>
      <c r="R2172" s="91">
        <f t="array" ref="R2172">IFERROR(INDEX('Fund YTD Target Values'!$1:$1000, MATCH($C2172,'Fund YTD Target Values'!$A:$A,0), MATCH($A2172,'Fund YTD Target Values'!$1:$1,0)),0)</f>
        <v>0</v>
      </c>
      <c r="S2172" s="91">
        <f>IFERROR(__xludf.DUMMYFUNCTION("IFERROR(sum(FILTER('Fund Investment Data'!$V:$V, 'Fund Investment Data'!$C:$C = $C2172, 'Fund Investment Data'!$A:$A &lt; $A2172)),0) + IFERROR(sum(FILTER('Fund Investment Data'!$V:$V, 'Fund Investment Data'!$C:$C = $C2172, 'Fund Investment Data'!$A:$A = $A2"&amp;"172, 'Fund Investment Data'!$B:$B &lt;= $B2172)),0)"),0.0)</f>
        <v>0</v>
      </c>
      <c r="T2172" s="32"/>
      <c r="U2172" s="32"/>
      <c r="V2172" s="32">
        <f>IFERROR(__xludf.DUMMYFUNCTION("$D2172 - IFERROR(FILTER($D:$D,$C:$C = $C2172, $A:$A = $A2172, $B:$B = $B2172 - 1),0)"),0.0)</f>
        <v>0</v>
      </c>
      <c r="W2172" s="93">
        <f>IFERROR(__xludf.DUMMYFUNCTION("$E2172 - IFERROR(FILTER($E:$E,$C:$C = $C2172, $A:$A = $A2172, $B:$B = $B2172 - 1),0)"),0.0)</f>
        <v>0</v>
      </c>
      <c r="X2172" s="91">
        <f>IFERROR(__xludf.DUMMYFUNCTION("iFERROR((FILTER('Fund Investment Data'!$Z:$Z, 'Fund Investment Data'!$C:$C = $C2172, 'Fund Investment Data'!$A:$A = $A2172 - 1, 'Fund Investment Data'!$B:$B = 12) + FILTER('Fund Investment Data'!$AB:$AB, 'Fund Investment Data'!$C:$C = $C2172, 'Fund Invest"&amp;"ment Data'!$A:$A = $A2172 - 1, 'Fund Investment Data'!$B:$B = 12)) * (1 + AVERAGE(FILTER('Inflation Data'!$C:$C,'Inflation Data'!$A:$A = ($A2172 - 2)))) * Parameters!$A$4,0)"),0.0)</f>
        <v>0</v>
      </c>
      <c r="Y2172" s="91">
        <f>IFERROR(__xludf.DUMMYFUNCTION("IFERROR((IFERROR(FILTER('Fund Investment Data'!$P:$P,'Fund Investment Data'!$C:$C = $C2172,'Fund Investment Data'!$A:$A = ($A2172 - 2), 'Fund Investment Data'!$B:$B = 12),0) - SUM(FILTER('Fund Investment Data'!$V:$V, 'Fund Investment Data'!$C:$C = $C2172,"&amp;" 'Fund Investment Data'!$A:$A = ($A2172 - 2), 'Fund Investment Data'!$B:$B &gt; 3)))  * Parameters!$B$4 * (1 - Parameters!$A$4),0)"),0.0)</f>
        <v>0</v>
      </c>
      <c r="Z2172" s="91">
        <f t="shared" si="24"/>
        <v>0</v>
      </c>
      <c r="AA2172" s="91">
        <f>IFERROR(__xludf.DUMMYFUNCTION("((IFERROR((SUM(FILTER('Fund Investment Data'!$V:$V, 'Fund Investment Data'!$C:$C = $C2172, 'Fund Investment Data'!$A:$A = $A2172 - 1, 'Fund Investment Data'!$B:$B &gt;= 4, 'Fund Investment Data'!$B:$B &lt;= ($B2172 + 5))) / 12) * ($B2172 - 3) * Parameters!$B$4,"&amp;" 0) + IF($B2172 &gt;= 9, IFERROR(SUM(FILTER('Fund Investment Data'!$V:$V, 'Fund Investment Data'!$C:$C = $C2172, 'Fund Investment Data'!$A:$A = $A2172, 'Fund Investment Data'!$B:$B &lt;= 3)) * Parameters!$B$4, 0),0)))"),0.0)</f>
        <v>0</v>
      </c>
      <c r="AB2172" s="32">
        <f>IFERROR(__xludf.DUMMYFUNCTION("IFERROR(((IFERROR(SUM(FILTER('Fund Investment Data'!$V:$V, 'Fund Investment Data'!$C:$C = $C2172, 'Fund Investment Data'!$A:$A = $A2172 - 2, 'Fund Investment Data'!$B:$B &gt;= 4)) * Parameters!$B$4,0) + IFERROR(SUM(FILTER('Fund Investment Data'!$V:$V, 'Fund "&amp;"Investment Data'!$C:$C = $C2172, 'Fund Investment Data'!$A:$A = $A2172 - 1, 'Fund Investment Data'!$B:$B &lt;= 3)) * Parameters!$B$4,0))),0)"),0.0)</f>
        <v>0</v>
      </c>
      <c r="AC2172" s="32">
        <f>IFERROR(__xludf.DUMMYFUNCTION("IFERROR(FILTER($AF:$AF,$C:$C = $C2172,$A:$A = $A2172 - 1,$B:$B = 12),0)"),0.0)</f>
        <v>0</v>
      </c>
      <c r="AD2172" s="32">
        <f t="shared" si="23"/>
        <v>0</v>
      </c>
      <c r="AE2172" s="32">
        <f t="shared" si="2"/>
        <v>0</v>
      </c>
      <c r="AF2172" s="32"/>
    </row>
    <row r="2173">
      <c r="A2173" s="86"/>
      <c r="B2173" s="87"/>
      <c r="C2173" s="88"/>
      <c r="D2173" s="104"/>
      <c r="E2173" s="104"/>
      <c r="F2173" s="104"/>
      <c r="G2173" s="104"/>
      <c r="H2173" s="104"/>
      <c r="I2173" s="104"/>
      <c r="J2173" s="104"/>
      <c r="K2173" s="32"/>
      <c r="L2173" s="32"/>
      <c r="M2173" s="32"/>
      <c r="N2173" s="32"/>
      <c r="O2173" s="106"/>
      <c r="P2173" s="91">
        <f>IFERROR(__xludf.DUMMYFUNCTION("IFERROR(sum(FILTER($D:$N,$C:$C = $C2173,$A:$A &lt; $A2173,$B:$B = 12)),0) + sum($D2173:$N2173)"),0.0)</f>
        <v>0</v>
      </c>
      <c r="Q2173" s="92">
        <f t="shared" si="1"/>
        <v>0</v>
      </c>
      <c r="R2173" s="91">
        <f t="array" ref="R2173">IFERROR(INDEX('Fund YTD Target Values'!$1:$1000, MATCH($C2173,'Fund YTD Target Values'!$A:$A,0), MATCH($A2173,'Fund YTD Target Values'!$1:$1,0)),0)</f>
        <v>0</v>
      </c>
      <c r="S2173" s="91">
        <f>IFERROR(__xludf.DUMMYFUNCTION("IFERROR(sum(FILTER('Fund Investment Data'!$V:$V, 'Fund Investment Data'!$C:$C = $C2173, 'Fund Investment Data'!$A:$A &lt; $A2173)),0) + IFERROR(sum(FILTER('Fund Investment Data'!$V:$V, 'Fund Investment Data'!$C:$C = $C2173, 'Fund Investment Data'!$A:$A = $A2"&amp;"173, 'Fund Investment Data'!$B:$B &lt;= $B2173)),0)"),0.0)</f>
        <v>0</v>
      </c>
      <c r="T2173" s="32"/>
      <c r="U2173" s="32"/>
      <c r="V2173" s="32">
        <f>IFERROR(__xludf.DUMMYFUNCTION("$D2173 - IFERROR(FILTER($D:$D,$C:$C = $C2173, $A:$A = $A2173, $B:$B = $B2173 - 1),0)"),0.0)</f>
        <v>0</v>
      </c>
      <c r="W2173" s="93">
        <f>IFERROR(__xludf.DUMMYFUNCTION("$E2173 - IFERROR(FILTER($E:$E,$C:$C = $C2173, $A:$A = $A2173, $B:$B = $B2173 - 1),0)"),0.0)</f>
        <v>0</v>
      </c>
      <c r="X2173" s="91">
        <f>IFERROR(__xludf.DUMMYFUNCTION("iFERROR((FILTER('Fund Investment Data'!$Z:$Z, 'Fund Investment Data'!$C:$C = $C2173, 'Fund Investment Data'!$A:$A = $A2173 - 1, 'Fund Investment Data'!$B:$B = 12) + FILTER('Fund Investment Data'!$AB:$AB, 'Fund Investment Data'!$C:$C = $C2173, 'Fund Invest"&amp;"ment Data'!$A:$A = $A2173 - 1, 'Fund Investment Data'!$B:$B = 12)) * (1 + AVERAGE(FILTER('Inflation Data'!$C:$C,'Inflation Data'!$A:$A = ($A2173 - 2)))) * Parameters!$A$4,0)"),0.0)</f>
        <v>0</v>
      </c>
      <c r="Y2173" s="91">
        <f>IFERROR(__xludf.DUMMYFUNCTION("IFERROR((IFERROR(FILTER('Fund Investment Data'!$P:$P,'Fund Investment Data'!$C:$C = $C2173,'Fund Investment Data'!$A:$A = ($A2173 - 2), 'Fund Investment Data'!$B:$B = 12),0) - SUM(FILTER('Fund Investment Data'!$V:$V, 'Fund Investment Data'!$C:$C = $C2173,"&amp;" 'Fund Investment Data'!$A:$A = ($A2173 - 2), 'Fund Investment Data'!$B:$B &gt; 3)))  * Parameters!$B$4 * (1 - Parameters!$A$4),0)"),0.0)</f>
        <v>0</v>
      </c>
      <c r="Z2173" s="91">
        <f t="shared" si="24"/>
        <v>0</v>
      </c>
      <c r="AA2173" s="91">
        <f>IFERROR(__xludf.DUMMYFUNCTION("((IFERROR((SUM(FILTER('Fund Investment Data'!$V:$V, 'Fund Investment Data'!$C:$C = $C2173, 'Fund Investment Data'!$A:$A = $A2173 - 1, 'Fund Investment Data'!$B:$B &gt;= 4, 'Fund Investment Data'!$B:$B &lt;= ($B2173 + 5))) / 12) * ($B2173 - 3) * Parameters!$B$4,"&amp;" 0) + IF($B2173 &gt;= 9, IFERROR(SUM(FILTER('Fund Investment Data'!$V:$V, 'Fund Investment Data'!$C:$C = $C2173, 'Fund Investment Data'!$A:$A = $A2173, 'Fund Investment Data'!$B:$B &lt;= 3)) * Parameters!$B$4, 0),0)))"),0.0)</f>
        <v>0</v>
      </c>
      <c r="AB2173" s="32">
        <f>IFERROR(__xludf.DUMMYFUNCTION("IFERROR(((IFERROR(SUM(FILTER('Fund Investment Data'!$V:$V, 'Fund Investment Data'!$C:$C = $C2173, 'Fund Investment Data'!$A:$A = $A2173 - 2, 'Fund Investment Data'!$B:$B &gt;= 4)) * Parameters!$B$4,0) + IFERROR(SUM(FILTER('Fund Investment Data'!$V:$V, 'Fund "&amp;"Investment Data'!$C:$C = $C2173, 'Fund Investment Data'!$A:$A = $A2173 - 1, 'Fund Investment Data'!$B:$B &lt;= 3)) * Parameters!$B$4,0))),0)"),0.0)</f>
        <v>0</v>
      </c>
      <c r="AC2173" s="32">
        <f>IFERROR(__xludf.DUMMYFUNCTION("IFERROR(FILTER($AF:$AF,$C:$C = $C2173,$A:$A = $A2173 - 1,$B:$B = 12),0)"),0.0)</f>
        <v>0</v>
      </c>
      <c r="AD2173" s="32">
        <f t="shared" si="23"/>
        <v>0</v>
      </c>
      <c r="AE2173" s="32">
        <f t="shared" si="2"/>
        <v>0</v>
      </c>
      <c r="AF2173" s="32"/>
    </row>
    <row r="2174">
      <c r="A2174" s="86"/>
      <c r="B2174" s="87"/>
      <c r="C2174" s="88"/>
      <c r="D2174" s="104"/>
      <c r="E2174" s="104"/>
      <c r="F2174" s="104"/>
      <c r="G2174" s="104"/>
      <c r="H2174" s="104"/>
      <c r="I2174" s="104"/>
      <c r="J2174" s="104"/>
      <c r="K2174" s="32"/>
      <c r="L2174" s="32"/>
      <c r="M2174" s="32"/>
      <c r="N2174" s="32"/>
      <c r="O2174" s="106"/>
      <c r="P2174" s="91">
        <f>IFERROR(__xludf.DUMMYFUNCTION("IFERROR(sum(FILTER($D:$N,$C:$C = $C2174,$A:$A &lt; $A2174,$B:$B = 12)),0) + sum($D2174:$N2174)"),0.0)</f>
        <v>0</v>
      </c>
      <c r="Q2174" s="92">
        <f t="shared" si="1"/>
        <v>0</v>
      </c>
      <c r="R2174" s="91">
        <f t="array" ref="R2174">IFERROR(INDEX('Fund YTD Target Values'!$1:$1000, MATCH($C2174,'Fund YTD Target Values'!$A:$A,0), MATCH($A2174,'Fund YTD Target Values'!$1:$1,0)),0)</f>
        <v>0</v>
      </c>
      <c r="S2174" s="91">
        <f>IFERROR(__xludf.DUMMYFUNCTION("IFERROR(sum(FILTER('Fund Investment Data'!$V:$V, 'Fund Investment Data'!$C:$C = $C2174, 'Fund Investment Data'!$A:$A &lt; $A2174)),0) + IFERROR(sum(FILTER('Fund Investment Data'!$V:$V, 'Fund Investment Data'!$C:$C = $C2174, 'Fund Investment Data'!$A:$A = $A2"&amp;"174, 'Fund Investment Data'!$B:$B &lt;= $B2174)),0)"),0.0)</f>
        <v>0</v>
      </c>
      <c r="T2174" s="32"/>
      <c r="U2174" s="32"/>
      <c r="V2174" s="32">
        <f>IFERROR(__xludf.DUMMYFUNCTION("$D2174 - IFERROR(FILTER($D:$D,$C:$C = $C2174, $A:$A = $A2174, $B:$B = $B2174 - 1),0)"),0.0)</f>
        <v>0</v>
      </c>
      <c r="W2174" s="93">
        <f>IFERROR(__xludf.DUMMYFUNCTION("$E2174 - IFERROR(FILTER($E:$E,$C:$C = $C2174, $A:$A = $A2174, $B:$B = $B2174 - 1),0)"),0.0)</f>
        <v>0</v>
      </c>
      <c r="X2174" s="91">
        <f>IFERROR(__xludf.DUMMYFUNCTION("iFERROR((FILTER('Fund Investment Data'!$Z:$Z, 'Fund Investment Data'!$C:$C = $C2174, 'Fund Investment Data'!$A:$A = $A2174 - 1, 'Fund Investment Data'!$B:$B = 12) + FILTER('Fund Investment Data'!$AB:$AB, 'Fund Investment Data'!$C:$C = $C2174, 'Fund Invest"&amp;"ment Data'!$A:$A = $A2174 - 1, 'Fund Investment Data'!$B:$B = 12)) * (1 + AVERAGE(FILTER('Inflation Data'!$C:$C,'Inflation Data'!$A:$A = ($A2174 - 2)))) * Parameters!$A$4,0)"),0.0)</f>
        <v>0</v>
      </c>
      <c r="Y2174" s="91">
        <f>IFERROR(__xludf.DUMMYFUNCTION("IFERROR((IFERROR(FILTER('Fund Investment Data'!$P:$P,'Fund Investment Data'!$C:$C = $C2174,'Fund Investment Data'!$A:$A = ($A2174 - 2), 'Fund Investment Data'!$B:$B = 12),0) - SUM(FILTER('Fund Investment Data'!$V:$V, 'Fund Investment Data'!$C:$C = $C2174,"&amp;" 'Fund Investment Data'!$A:$A = ($A2174 - 2), 'Fund Investment Data'!$B:$B &gt; 3)))  * Parameters!$B$4 * (1 - Parameters!$A$4),0)"),0.0)</f>
        <v>0</v>
      </c>
      <c r="Z2174" s="91">
        <f t="shared" si="24"/>
        <v>0</v>
      </c>
      <c r="AA2174" s="91">
        <f>IFERROR(__xludf.DUMMYFUNCTION("((IFERROR((SUM(FILTER('Fund Investment Data'!$V:$V, 'Fund Investment Data'!$C:$C = $C2174, 'Fund Investment Data'!$A:$A = $A2174 - 1, 'Fund Investment Data'!$B:$B &gt;= 4, 'Fund Investment Data'!$B:$B &lt;= ($B2174 + 5))) / 12) * ($B2174 - 3) * Parameters!$B$4,"&amp;" 0) + IF($B2174 &gt;= 9, IFERROR(SUM(FILTER('Fund Investment Data'!$V:$V, 'Fund Investment Data'!$C:$C = $C2174, 'Fund Investment Data'!$A:$A = $A2174, 'Fund Investment Data'!$B:$B &lt;= 3)) * Parameters!$B$4, 0),0)))"),0.0)</f>
        <v>0</v>
      </c>
      <c r="AB2174" s="32">
        <f>IFERROR(__xludf.DUMMYFUNCTION("IFERROR(((IFERROR(SUM(FILTER('Fund Investment Data'!$V:$V, 'Fund Investment Data'!$C:$C = $C2174, 'Fund Investment Data'!$A:$A = $A2174 - 2, 'Fund Investment Data'!$B:$B &gt;= 4)) * Parameters!$B$4,0) + IFERROR(SUM(FILTER('Fund Investment Data'!$V:$V, 'Fund "&amp;"Investment Data'!$C:$C = $C2174, 'Fund Investment Data'!$A:$A = $A2174 - 1, 'Fund Investment Data'!$B:$B &lt;= 3)) * Parameters!$B$4,0))),0)"),0.0)</f>
        <v>0</v>
      </c>
      <c r="AC2174" s="32">
        <f>IFERROR(__xludf.DUMMYFUNCTION("IFERROR(FILTER($AF:$AF,$C:$C = $C2174,$A:$A = $A2174 - 1,$B:$B = 12),0)"),0.0)</f>
        <v>0</v>
      </c>
      <c r="AD2174" s="32">
        <f t="shared" si="23"/>
        <v>0</v>
      </c>
      <c r="AE2174" s="32">
        <f t="shared" si="2"/>
        <v>0</v>
      </c>
      <c r="AF2174" s="32"/>
    </row>
    <row r="2175">
      <c r="A2175" s="86"/>
      <c r="B2175" s="87"/>
      <c r="C2175" s="88"/>
      <c r="D2175" s="104"/>
      <c r="E2175" s="104"/>
      <c r="F2175" s="104"/>
      <c r="G2175" s="104"/>
      <c r="H2175" s="104"/>
      <c r="I2175" s="104"/>
      <c r="J2175" s="104"/>
      <c r="K2175" s="32"/>
      <c r="L2175" s="32"/>
      <c r="M2175" s="32"/>
      <c r="N2175" s="32"/>
      <c r="O2175" s="106"/>
      <c r="P2175" s="91">
        <f>IFERROR(__xludf.DUMMYFUNCTION("IFERROR(sum(FILTER($D:$N,$C:$C = $C2175,$A:$A &lt; $A2175,$B:$B = 12)),0) + sum($D2175:$N2175)"),0.0)</f>
        <v>0</v>
      </c>
      <c r="Q2175" s="92">
        <f t="shared" si="1"/>
        <v>0</v>
      </c>
      <c r="R2175" s="91">
        <f t="array" ref="R2175">IFERROR(INDEX('Fund YTD Target Values'!$1:$1000, MATCH($C2175,'Fund YTD Target Values'!$A:$A,0), MATCH($A2175,'Fund YTD Target Values'!$1:$1,0)),0)</f>
        <v>0</v>
      </c>
      <c r="S2175" s="91">
        <f>IFERROR(__xludf.DUMMYFUNCTION("IFERROR(sum(FILTER('Fund Investment Data'!$V:$V, 'Fund Investment Data'!$C:$C = $C2175, 'Fund Investment Data'!$A:$A &lt; $A2175)),0) + IFERROR(sum(FILTER('Fund Investment Data'!$V:$V, 'Fund Investment Data'!$C:$C = $C2175, 'Fund Investment Data'!$A:$A = $A2"&amp;"175, 'Fund Investment Data'!$B:$B &lt;= $B2175)),0)"),0.0)</f>
        <v>0</v>
      </c>
      <c r="T2175" s="32"/>
      <c r="U2175" s="32"/>
      <c r="V2175" s="32">
        <f>IFERROR(__xludf.DUMMYFUNCTION("$D2175 - IFERROR(FILTER($D:$D,$C:$C = $C2175, $A:$A = $A2175, $B:$B = $B2175 - 1),0)"),0.0)</f>
        <v>0</v>
      </c>
      <c r="W2175" s="93">
        <f>IFERROR(__xludf.DUMMYFUNCTION("$E2175 - IFERROR(FILTER($E:$E,$C:$C = $C2175, $A:$A = $A2175, $B:$B = $B2175 - 1),0)"),0.0)</f>
        <v>0</v>
      </c>
      <c r="X2175" s="91">
        <f>IFERROR(__xludf.DUMMYFUNCTION("iFERROR((FILTER('Fund Investment Data'!$Z:$Z, 'Fund Investment Data'!$C:$C = $C2175, 'Fund Investment Data'!$A:$A = $A2175 - 1, 'Fund Investment Data'!$B:$B = 12) + FILTER('Fund Investment Data'!$AB:$AB, 'Fund Investment Data'!$C:$C = $C2175, 'Fund Invest"&amp;"ment Data'!$A:$A = $A2175 - 1, 'Fund Investment Data'!$B:$B = 12)) * (1 + AVERAGE(FILTER('Inflation Data'!$C:$C,'Inflation Data'!$A:$A = ($A2175 - 2)))) * Parameters!$A$4,0)"),0.0)</f>
        <v>0</v>
      </c>
      <c r="Y2175" s="91">
        <f>IFERROR(__xludf.DUMMYFUNCTION("IFERROR((IFERROR(FILTER('Fund Investment Data'!$P:$P,'Fund Investment Data'!$C:$C = $C2175,'Fund Investment Data'!$A:$A = ($A2175 - 2), 'Fund Investment Data'!$B:$B = 12),0) - SUM(FILTER('Fund Investment Data'!$V:$V, 'Fund Investment Data'!$C:$C = $C2175,"&amp;" 'Fund Investment Data'!$A:$A = ($A2175 - 2), 'Fund Investment Data'!$B:$B &gt; 3)))  * Parameters!$B$4 * (1 - Parameters!$A$4),0)"),0.0)</f>
        <v>0</v>
      </c>
      <c r="Z2175" s="91">
        <f t="shared" si="24"/>
        <v>0</v>
      </c>
      <c r="AA2175" s="91">
        <f>IFERROR(__xludf.DUMMYFUNCTION("((IFERROR((SUM(FILTER('Fund Investment Data'!$V:$V, 'Fund Investment Data'!$C:$C = $C2175, 'Fund Investment Data'!$A:$A = $A2175 - 1, 'Fund Investment Data'!$B:$B &gt;= 4, 'Fund Investment Data'!$B:$B &lt;= ($B2175 + 5))) / 12) * ($B2175 - 3) * Parameters!$B$4,"&amp;" 0) + IF($B2175 &gt;= 9, IFERROR(SUM(FILTER('Fund Investment Data'!$V:$V, 'Fund Investment Data'!$C:$C = $C2175, 'Fund Investment Data'!$A:$A = $A2175, 'Fund Investment Data'!$B:$B &lt;= 3)) * Parameters!$B$4, 0),0)))"),0.0)</f>
        <v>0</v>
      </c>
      <c r="AB2175" s="32">
        <f>IFERROR(__xludf.DUMMYFUNCTION("IFERROR(((IFERROR(SUM(FILTER('Fund Investment Data'!$V:$V, 'Fund Investment Data'!$C:$C = $C2175, 'Fund Investment Data'!$A:$A = $A2175 - 2, 'Fund Investment Data'!$B:$B &gt;= 4)) * Parameters!$B$4,0) + IFERROR(SUM(FILTER('Fund Investment Data'!$V:$V, 'Fund "&amp;"Investment Data'!$C:$C = $C2175, 'Fund Investment Data'!$A:$A = $A2175 - 1, 'Fund Investment Data'!$B:$B &lt;= 3)) * Parameters!$B$4,0))),0)"),0.0)</f>
        <v>0</v>
      </c>
      <c r="AC2175" s="32">
        <f>IFERROR(__xludf.DUMMYFUNCTION("IFERROR(FILTER($AF:$AF,$C:$C = $C2175,$A:$A = $A2175 - 1,$B:$B = 12),0)"),0.0)</f>
        <v>0</v>
      </c>
      <c r="AD2175" s="32">
        <f t="shared" si="23"/>
        <v>0</v>
      </c>
      <c r="AE2175" s="32">
        <f t="shared" si="2"/>
        <v>0</v>
      </c>
      <c r="AF2175" s="32"/>
    </row>
    <row r="2176">
      <c r="A2176" s="86"/>
      <c r="B2176" s="87"/>
      <c r="C2176" s="88"/>
      <c r="D2176" s="104"/>
      <c r="E2176" s="104"/>
      <c r="F2176" s="104"/>
      <c r="G2176" s="104"/>
      <c r="H2176" s="104"/>
      <c r="I2176" s="104"/>
      <c r="J2176" s="104"/>
      <c r="K2176" s="32"/>
      <c r="L2176" s="32"/>
      <c r="M2176" s="32"/>
      <c r="N2176" s="32"/>
      <c r="O2176" s="106"/>
      <c r="P2176" s="91">
        <f>IFERROR(__xludf.DUMMYFUNCTION("IFERROR(sum(FILTER($D:$N,$C:$C = $C2176,$A:$A &lt; $A2176,$B:$B = 12)),0) + sum($D2176:$N2176)"),0.0)</f>
        <v>0</v>
      </c>
      <c r="Q2176" s="92">
        <f t="shared" si="1"/>
        <v>0</v>
      </c>
      <c r="R2176" s="91">
        <f t="array" ref="R2176">IFERROR(INDEX('Fund YTD Target Values'!$1:$1000, MATCH($C2176,'Fund YTD Target Values'!$A:$A,0), MATCH($A2176,'Fund YTD Target Values'!$1:$1,0)),0)</f>
        <v>0</v>
      </c>
      <c r="S2176" s="91">
        <f>IFERROR(__xludf.DUMMYFUNCTION("IFERROR(sum(FILTER('Fund Investment Data'!$V:$V, 'Fund Investment Data'!$C:$C = $C2176, 'Fund Investment Data'!$A:$A &lt; $A2176)),0) + IFERROR(sum(FILTER('Fund Investment Data'!$V:$V, 'Fund Investment Data'!$C:$C = $C2176, 'Fund Investment Data'!$A:$A = $A2"&amp;"176, 'Fund Investment Data'!$B:$B &lt;= $B2176)),0)"),0.0)</f>
        <v>0</v>
      </c>
      <c r="T2176" s="32"/>
      <c r="U2176" s="32"/>
      <c r="V2176" s="32">
        <f>IFERROR(__xludf.DUMMYFUNCTION("$D2176 - IFERROR(FILTER($D:$D,$C:$C = $C2176, $A:$A = $A2176, $B:$B = $B2176 - 1),0)"),0.0)</f>
        <v>0</v>
      </c>
      <c r="W2176" s="93">
        <f>IFERROR(__xludf.DUMMYFUNCTION("$E2176 - IFERROR(FILTER($E:$E,$C:$C = $C2176, $A:$A = $A2176, $B:$B = $B2176 - 1),0)"),0.0)</f>
        <v>0</v>
      </c>
      <c r="X2176" s="91">
        <f>IFERROR(__xludf.DUMMYFUNCTION("iFERROR((FILTER('Fund Investment Data'!$Z:$Z, 'Fund Investment Data'!$C:$C = $C2176, 'Fund Investment Data'!$A:$A = $A2176 - 1, 'Fund Investment Data'!$B:$B = 12) + FILTER('Fund Investment Data'!$AB:$AB, 'Fund Investment Data'!$C:$C = $C2176, 'Fund Invest"&amp;"ment Data'!$A:$A = $A2176 - 1, 'Fund Investment Data'!$B:$B = 12)) * (1 + AVERAGE(FILTER('Inflation Data'!$C:$C,'Inflation Data'!$A:$A = ($A2176 - 2)))) * Parameters!$A$4,0)"),0.0)</f>
        <v>0</v>
      </c>
      <c r="Y2176" s="91">
        <f>IFERROR(__xludf.DUMMYFUNCTION("IFERROR((IFERROR(FILTER('Fund Investment Data'!$P:$P,'Fund Investment Data'!$C:$C = $C2176,'Fund Investment Data'!$A:$A = ($A2176 - 2), 'Fund Investment Data'!$B:$B = 12),0) - SUM(FILTER('Fund Investment Data'!$V:$V, 'Fund Investment Data'!$C:$C = $C2176,"&amp;" 'Fund Investment Data'!$A:$A = ($A2176 - 2), 'Fund Investment Data'!$B:$B &gt; 3)))  * Parameters!$B$4 * (1 - Parameters!$A$4),0)"),0.0)</f>
        <v>0</v>
      </c>
      <c r="Z2176" s="91">
        <f t="shared" si="24"/>
        <v>0</v>
      </c>
      <c r="AA2176" s="91">
        <f>IFERROR(__xludf.DUMMYFUNCTION("((IFERROR((SUM(FILTER('Fund Investment Data'!$V:$V, 'Fund Investment Data'!$C:$C = $C2176, 'Fund Investment Data'!$A:$A = $A2176 - 1, 'Fund Investment Data'!$B:$B &gt;= 4, 'Fund Investment Data'!$B:$B &lt;= ($B2176 + 5))) / 12) * ($B2176 - 3) * Parameters!$B$4,"&amp;" 0) + IF($B2176 &gt;= 9, IFERROR(SUM(FILTER('Fund Investment Data'!$V:$V, 'Fund Investment Data'!$C:$C = $C2176, 'Fund Investment Data'!$A:$A = $A2176, 'Fund Investment Data'!$B:$B &lt;= 3)) * Parameters!$B$4, 0),0)))"),0.0)</f>
        <v>0</v>
      </c>
      <c r="AB2176" s="32">
        <f>IFERROR(__xludf.DUMMYFUNCTION("IFERROR(((IFERROR(SUM(FILTER('Fund Investment Data'!$V:$V, 'Fund Investment Data'!$C:$C = $C2176, 'Fund Investment Data'!$A:$A = $A2176 - 2, 'Fund Investment Data'!$B:$B &gt;= 4)) * Parameters!$B$4,0) + IFERROR(SUM(FILTER('Fund Investment Data'!$V:$V, 'Fund "&amp;"Investment Data'!$C:$C = $C2176, 'Fund Investment Data'!$A:$A = $A2176 - 1, 'Fund Investment Data'!$B:$B &lt;= 3)) * Parameters!$B$4,0))),0)"),0.0)</f>
        <v>0</v>
      </c>
      <c r="AC2176" s="32">
        <f>IFERROR(__xludf.DUMMYFUNCTION("IFERROR(FILTER($AF:$AF,$C:$C = $C2176,$A:$A = $A2176 - 1,$B:$B = 12),0)"),0.0)</f>
        <v>0</v>
      </c>
      <c r="AD2176" s="32">
        <f t="shared" si="23"/>
        <v>0</v>
      </c>
      <c r="AE2176" s="32">
        <f t="shared" si="2"/>
        <v>0</v>
      </c>
      <c r="AF2176" s="32"/>
    </row>
    <row r="2177">
      <c r="A2177" s="86"/>
      <c r="B2177" s="87"/>
      <c r="C2177" s="88"/>
      <c r="D2177" s="104"/>
      <c r="E2177" s="104"/>
      <c r="F2177" s="104"/>
      <c r="G2177" s="104"/>
      <c r="H2177" s="104"/>
      <c r="I2177" s="104"/>
      <c r="J2177" s="104"/>
      <c r="K2177" s="32"/>
      <c r="L2177" s="32"/>
      <c r="M2177" s="32"/>
      <c r="N2177" s="32"/>
      <c r="O2177" s="106"/>
      <c r="P2177" s="91">
        <f>IFERROR(__xludf.DUMMYFUNCTION("IFERROR(sum(FILTER($D:$N,$C:$C = $C2177,$A:$A &lt; $A2177,$B:$B = 12)),0) + sum($D2177:$N2177)"),0.0)</f>
        <v>0</v>
      </c>
      <c r="Q2177" s="92">
        <f t="shared" si="1"/>
        <v>0</v>
      </c>
      <c r="R2177" s="91">
        <f t="array" ref="R2177">IFERROR(INDEX('Fund YTD Target Values'!$1:$1000, MATCH($C2177,'Fund YTD Target Values'!$A:$A,0), MATCH($A2177,'Fund YTD Target Values'!$1:$1,0)),0)</f>
        <v>0</v>
      </c>
      <c r="S2177" s="91">
        <f>IFERROR(__xludf.DUMMYFUNCTION("IFERROR(sum(FILTER('Fund Investment Data'!$V:$V, 'Fund Investment Data'!$C:$C = $C2177, 'Fund Investment Data'!$A:$A &lt; $A2177)),0) + IFERROR(sum(FILTER('Fund Investment Data'!$V:$V, 'Fund Investment Data'!$C:$C = $C2177, 'Fund Investment Data'!$A:$A = $A2"&amp;"177, 'Fund Investment Data'!$B:$B &lt;= $B2177)),0)"),0.0)</f>
        <v>0</v>
      </c>
      <c r="T2177" s="32"/>
      <c r="U2177" s="32"/>
      <c r="V2177" s="32">
        <f>IFERROR(__xludf.DUMMYFUNCTION("$D2177 - IFERROR(FILTER($D:$D,$C:$C = $C2177, $A:$A = $A2177, $B:$B = $B2177 - 1),0)"),0.0)</f>
        <v>0</v>
      </c>
      <c r="W2177" s="93">
        <f>IFERROR(__xludf.DUMMYFUNCTION("$E2177 - IFERROR(FILTER($E:$E,$C:$C = $C2177, $A:$A = $A2177, $B:$B = $B2177 - 1),0)"),0.0)</f>
        <v>0</v>
      </c>
      <c r="X2177" s="91">
        <f>IFERROR(__xludf.DUMMYFUNCTION("iFERROR((FILTER('Fund Investment Data'!$Z:$Z, 'Fund Investment Data'!$C:$C = $C2177, 'Fund Investment Data'!$A:$A = $A2177 - 1, 'Fund Investment Data'!$B:$B = 12) + FILTER('Fund Investment Data'!$AB:$AB, 'Fund Investment Data'!$C:$C = $C2177, 'Fund Invest"&amp;"ment Data'!$A:$A = $A2177 - 1, 'Fund Investment Data'!$B:$B = 12)) * (1 + AVERAGE(FILTER('Inflation Data'!$C:$C,'Inflation Data'!$A:$A = ($A2177 - 2)))) * Parameters!$A$4,0)"),0.0)</f>
        <v>0</v>
      </c>
      <c r="Y2177" s="91">
        <f>IFERROR(__xludf.DUMMYFUNCTION("IFERROR((IFERROR(FILTER('Fund Investment Data'!$P:$P,'Fund Investment Data'!$C:$C = $C2177,'Fund Investment Data'!$A:$A = ($A2177 - 2), 'Fund Investment Data'!$B:$B = 12),0) - SUM(FILTER('Fund Investment Data'!$V:$V, 'Fund Investment Data'!$C:$C = $C2177,"&amp;" 'Fund Investment Data'!$A:$A = ($A2177 - 2), 'Fund Investment Data'!$B:$B &gt; 3)))  * Parameters!$B$4 * (1 - Parameters!$A$4),0)"),0.0)</f>
        <v>0</v>
      </c>
      <c r="Z2177" s="91">
        <f t="shared" si="24"/>
        <v>0</v>
      </c>
      <c r="AA2177" s="91">
        <f>IFERROR(__xludf.DUMMYFUNCTION("((IFERROR((SUM(FILTER('Fund Investment Data'!$V:$V, 'Fund Investment Data'!$C:$C = $C2177, 'Fund Investment Data'!$A:$A = $A2177 - 1, 'Fund Investment Data'!$B:$B &gt;= 4, 'Fund Investment Data'!$B:$B &lt;= ($B2177 + 5))) / 12) * ($B2177 - 3) * Parameters!$B$4,"&amp;" 0) + IF($B2177 &gt;= 9, IFERROR(SUM(FILTER('Fund Investment Data'!$V:$V, 'Fund Investment Data'!$C:$C = $C2177, 'Fund Investment Data'!$A:$A = $A2177, 'Fund Investment Data'!$B:$B &lt;= 3)) * Parameters!$B$4, 0),0)))"),0.0)</f>
        <v>0</v>
      </c>
      <c r="AB2177" s="32">
        <f>IFERROR(__xludf.DUMMYFUNCTION("IFERROR(((IFERROR(SUM(FILTER('Fund Investment Data'!$V:$V, 'Fund Investment Data'!$C:$C = $C2177, 'Fund Investment Data'!$A:$A = $A2177 - 2, 'Fund Investment Data'!$B:$B &gt;= 4)) * Parameters!$B$4,0) + IFERROR(SUM(FILTER('Fund Investment Data'!$V:$V, 'Fund "&amp;"Investment Data'!$C:$C = $C2177, 'Fund Investment Data'!$A:$A = $A2177 - 1, 'Fund Investment Data'!$B:$B &lt;= 3)) * Parameters!$B$4,0))),0)"),0.0)</f>
        <v>0</v>
      </c>
      <c r="AC2177" s="32">
        <f>IFERROR(__xludf.DUMMYFUNCTION("IFERROR(FILTER($AF:$AF,$C:$C = $C2177,$A:$A = $A2177 - 1,$B:$B = 12),0)"),0.0)</f>
        <v>0</v>
      </c>
      <c r="AD2177" s="32">
        <f t="shared" si="23"/>
        <v>0</v>
      </c>
      <c r="AE2177" s="32">
        <f t="shared" si="2"/>
        <v>0</v>
      </c>
      <c r="AF2177" s="32"/>
    </row>
    <row r="2178">
      <c r="A2178" s="86"/>
      <c r="B2178" s="87"/>
      <c r="C2178" s="88"/>
      <c r="D2178" s="104"/>
      <c r="E2178" s="104"/>
      <c r="F2178" s="104"/>
      <c r="G2178" s="104"/>
      <c r="H2178" s="104"/>
      <c r="I2178" s="104"/>
      <c r="J2178" s="104"/>
      <c r="K2178" s="32"/>
      <c r="L2178" s="32"/>
      <c r="M2178" s="32"/>
      <c r="N2178" s="32"/>
      <c r="O2178" s="106"/>
      <c r="P2178" s="91">
        <f>IFERROR(__xludf.DUMMYFUNCTION("IFERROR(sum(FILTER($D:$N,$C:$C = $C2178,$A:$A &lt; $A2178,$B:$B = 12)),0) + sum($D2178:$N2178)"),0.0)</f>
        <v>0</v>
      </c>
      <c r="Q2178" s="92">
        <f t="shared" si="1"/>
        <v>0</v>
      </c>
      <c r="R2178" s="91">
        <f t="array" ref="R2178">IFERROR(INDEX('Fund YTD Target Values'!$1:$1000, MATCH($C2178,'Fund YTD Target Values'!$A:$A,0), MATCH($A2178,'Fund YTD Target Values'!$1:$1,0)),0)</f>
        <v>0</v>
      </c>
      <c r="S2178" s="91">
        <f>IFERROR(__xludf.DUMMYFUNCTION("IFERROR(sum(FILTER('Fund Investment Data'!$V:$V, 'Fund Investment Data'!$C:$C = $C2178, 'Fund Investment Data'!$A:$A &lt; $A2178)),0) + IFERROR(sum(FILTER('Fund Investment Data'!$V:$V, 'Fund Investment Data'!$C:$C = $C2178, 'Fund Investment Data'!$A:$A = $A2"&amp;"178, 'Fund Investment Data'!$B:$B &lt;= $B2178)),0)"),0.0)</f>
        <v>0</v>
      </c>
      <c r="T2178" s="32"/>
      <c r="U2178" s="32"/>
      <c r="V2178" s="32">
        <f>IFERROR(__xludf.DUMMYFUNCTION("$D2178 - IFERROR(FILTER($D:$D,$C:$C = $C2178, $A:$A = $A2178, $B:$B = $B2178 - 1),0)"),0.0)</f>
        <v>0</v>
      </c>
      <c r="W2178" s="93">
        <f>IFERROR(__xludf.DUMMYFUNCTION("$E2178 - IFERROR(FILTER($E:$E,$C:$C = $C2178, $A:$A = $A2178, $B:$B = $B2178 - 1),0)"),0.0)</f>
        <v>0</v>
      </c>
      <c r="X2178" s="91">
        <f>IFERROR(__xludf.DUMMYFUNCTION("iFERROR((FILTER('Fund Investment Data'!$Z:$Z, 'Fund Investment Data'!$C:$C = $C2178, 'Fund Investment Data'!$A:$A = $A2178 - 1, 'Fund Investment Data'!$B:$B = 12) + FILTER('Fund Investment Data'!$AB:$AB, 'Fund Investment Data'!$C:$C = $C2178, 'Fund Invest"&amp;"ment Data'!$A:$A = $A2178 - 1, 'Fund Investment Data'!$B:$B = 12)) * (1 + AVERAGE(FILTER('Inflation Data'!$C:$C,'Inflation Data'!$A:$A = ($A2178 - 2)))) * Parameters!$A$4,0)"),0.0)</f>
        <v>0</v>
      </c>
      <c r="Y2178" s="91">
        <f>IFERROR(__xludf.DUMMYFUNCTION("IFERROR((IFERROR(FILTER('Fund Investment Data'!$P:$P,'Fund Investment Data'!$C:$C = $C2178,'Fund Investment Data'!$A:$A = ($A2178 - 2), 'Fund Investment Data'!$B:$B = 12),0) - SUM(FILTER('Fund Investment Data'!$V:$V, 'Fund Investment Data'!$C:$C = $C2178,"&amp;" 'Fund Investment Data'!$A:$A = ($A2178 - 2), 'Fund Investment Data'!$B:$B &gt; 3)))  * Parameters!$B$4 * (1 - Parameters!$A$4),0)"),0.0)</f>
        <v>0</v>
      </c>
      <c r="Z2178" s="91">
        <f t="shared" si="24"/>
        <v>0</v>
      </c>
      <c r="AA2178" s="91">
        <f>IFERROR(__xludf.DUMMYFUNCTION("((IFERROR((SUM(FILTER('Fund Investment Data'!$V:$V, 'Fund Investment Data'!$C:$C = $C2178, 'Fund Investment Data'!$A:$A = $A2178 - 1, 'Fund Investment Data'!$B:$B &gt;= 4, 'Fund Investment Data'!$B:$B &lt;= ($B2178 + 5))) / 12) * ($B2178 - 3) * Parameters!$B$4,"&amp;" 0) + IF($B2178 &gt;= 9, IFERROR(SUM(FILTER('Fund Investment Data'!$V:$V, 'Fund Investment Data'!$C:$C = $C2178, 'Fund Investment Data'!$A:$A = $A2178, 'Fund Investment Data'!$B:$B &lt;= 3)) * Parameters!$B$4, 0),0)))"),0.0)</f>
        <v>0</v>
      </c>
      <c r="AB2178" s="32">
        <f>IFERROR(__xludf.DUMMYFUNCTION("IFERROR(((IFERROR(SUM(FILTER('Fund Investment Data'!$V:$V, 'Fund Investment Data'!$C:$C = $C2178, 'Fund Investment Data'!$A:$A = $A2178 - 2, 'Fund Investment Data'!$B:$B &gt;= 4)) * Parameters!$B$4,0) + IFERROR(SUM(FILTER('Fund Investment Data'!$V:$V, 'Fund "&amp;"Investment Data'!$C:$C = $C2178, 'Fund Investment Data'!$A:$A = $A2178 - 1, 'Fund Investment Data'!$B:$B &lt;= 3)) * Parameters!$B$4,0))),0)"),0.0)</f>
        <v>0</v>
      </c>
      <c r="AC2178" s="32">
        <f>IFERROR(__xludf.DUMMYFUNCTION("IFERROR(FILTER($AF:$AF,$C:$C = $C2178,$A:$A = $A2178 - 1,$B:$B = 12),0)"),0.0)</f>
        <v>0</v>
      </c>
      <c r="AD2178" s="32">
        <f t="shared" si="23"/>
        <v>0</v>
      </c>
      <c r="AE2178" s="32">
        <f t="shared" si="2"/>
        <v>0</v>
      </c>
      <c r="AF2178" s="32"/>
    </row>
    <row r="2179">
      <c r="A2179" s="86"/>
      <c r="B2179" s="87"/>
      <c r="C2179" s="88"/>
      <c r="D2179" s="104"/>
      <c r="E2179" s="104"/>
      <c r="F2179" s="104"/>
      <c r="G2179" s="104"/>
      <c r="H2179" s="104"/>
      <c r="I2179" s="104"/>
      <c r="J2179" s="104"/>
      <c r="K2179" s="32"/>
      <c r="L2179" s="32"/>
      <c r="M2179" s="32"/>
      <c r="N2179" s="32"/>
      <c r="O2179" s="106"/>
      <c r="P2179" s="91">
        <f>IFERROR(__xludf.DUMMYFUNCTION("IFERROR(sum(FILTER($D:$N,$C:$C = $C2179,$A:$A &lt; $A2179,$B:$B = 12)),0) + sum($D2179:$N2179)"),0.0)</f>
        <v>0</v>
      </c>
      <c r="Q2179" s="92">
        <f t="shared" si="1"/>
        <v>0</v>
      </c>
      <c r="R2179" s="91">
        <f t="array" ref="R2179">IFERROR(INDEX('Fund YTD Target Values'!$1:$1000, MATCH($C2179,'Fund YTD Target Values'!$A:$A,0), MATCH($A2179,'Fund YTD Target Values'!$1:$1,0)),0)</f>
        <v>0</v>
      </c>
      <c r="S2179" s="91">
        <f>IFERROR(__xludf.DUMMYFUNCTION("IFERROR(sum(FILTER('Fund Investment Data'!$V:$V, 'Fund Investment Data'!$C:$C = $C2179, 'Fund Investment Data'!$A:$A &lt; $A2179)),0) + IFERROR(sum(FILTER('Fund Investment Data'!$V:$V, 'Fund Investment Data'!$C:$C = $C2179, 'Fund Investment Data'!$A:$A = $A2"&amp;"179, 'Fund Investment Data'!$B:$B &lt;= $B2179)),0)"),0.0)</f>
        <v>0</v>
      </c>
      <c r="T2179" s="32"/>
      <c r="U2179" s="32"/>
      <c r="V2179" s="32">
        <f>IFERROR(__xludf.DUMMYFUNCTION("$D2179 - IFERROR(FILTER($D:$D,$C:$C = $C2179, $A:$A = $A2179, $B:$B = $B2179 - 1),0)"),0.0)</f>
        <v>0</v>
      </c>
      <c r="W2179" s="93">
        <f>IFERROR(__xludf.DUMMYFUNCTION("$E2179 - IFERROR(FILTER($E:$E,$C:$C = $C2179, $A:$A = $A2179, $B:$B = $B2179 - 1),0)"),0.0)</f>
        <v>0</v>
      </c>
      <c r="X2179" s="91">
        <f>IFERROR(__xludf.DUMMYFUNCTION("iFERROR((FILTER('Fund Investment Data'!$Z:$Z, 'Fund Investment Data'!$C:$C = $C2179, 'Fund Investment Data'!$A:$A = $A2179 - 1, 'Fund Investment Data'!$B:$B = 12) + FILTER('Fund Investment Data'!$AB:$AB, 'Fund Investment Data'!$C:$C = $C2179, 'Fund Invest"&amp;"ment Data'!$A:$A = $A2179 - 1, 'Fund Investment Data'!$B:$B = 12)) * (1 + AVERAGE(FILTER('Inflation Data'!$C:$C,'Inflation Data'!$A:$A = ($A2179 - 2)))) * Parameters!$A$4,0)"),0.0)</f>
        <v>0</v>
      </c>
      <c r="Y2179" s="91">
        <f>IFERROR(__xludf.DUMMYFUNCTION("IFERROR((IFERROR(FILTER('Fund Investment Data'!$P:$P,'Fund Investment Data'!$C:$C = $C2179,'Fund Investment Data'!$A:$A = ($A2179 - 2), 'Fund Investment Data'!$B:$B = 12),0) - SUM(FILTER('Fund Investment Data'!$V:$V, 'Fund Investment Data'!$C:$C = $C2179,"&amp;" 'Fund Investment Data'!$A:$A = ($A2179 - 2), 'Fund Investment Data'!$B:$B &gt; 3)))  * Parameters!$B$4 * (1 - Parameters!$A$4),0)"),0.0)</f>
        <v>0</v>
      </c>
      <c r="Z2179" s="91">
        <f t="shared" si="24"/>
        <v>0</v>
      </c>
      <c r="AA2179" s="91">
        <f>IFERROR(__xludf.DUMMYFUNCTION("((IFERROR((SUM(FILTER('Fund Investment Data'!$V:$V, 'Fund Investment Data'!$C:$C = $C2179, 'Fund Investment Data'!$A:$A = $A2179 - 1, 'Fund Investment Data'!$B:$B &gt;= 4, 'Fund Investment Data'!$B:$B &lt;= ($B2179 + 5))) / 12) * ($B2179 - 3) * Parameters!$B$4,"&amp;" 0) + IF($B2179 &gt;= 9, IFERROR(SUM(FILTER('Fund Investment Data'!$V:$V, 'Fund Investment Data'!$C:$C = $C2179, 'Fund Investment Data'!$A:$A = $A2179, 'Fund Investment Data'!$B:$B &lt;= 3)) * Parameters!$B$4, 0),0)))"),0.0)</f>
        <v>0</v>
      </c>
      <c r="AB2179" s="32">
        <f>IFERROR(__xludf.DUMMYFUNCTION("IFERROR(((IFERROR(SUM(FILTER('Fund Investment Data'!$V:$V, 'Fund Investment Data'!$C:$C = $C2179, 'Fund Investment Data'!$A:$A = $A2179 - 2, 'Fund Investment Data'!$B:$B &gt;= 4)) * Parameters!$B$4,0) + IFERROR(SUM(FILTER('Fund Investment Data'!$V:$V, 'Fund "&amp;"Investment Data'!$C:$C = $C2179, 'Fund Investment Data'!$A:$A = $A2179 - 1, 'Fund Investment Data'!$B:$B &lt;= 3)) * Parameters!$B$4,0))),0)"),0.0)</f>
        <v>0</v>
      </c>
      <c r="AC2179" s="32">
        <f>IFERROR(__xludf.DUMMYFUNCTION("IFERROR(FILTER($AF:$AF,$C:$C = $C2179,$A:$A = $A2179 - 1,$B:$B = 12),0)"),0.0)</f>
        <v>0</v>
      </c>
      <c r="AD2179" s="32">
        <f t="shared" si="23"/>
        <v>0</v>
      </c>
      <c r="AE2179" s="32">
        <f t="shared" si="2"/>
        <v>0</v>
      </c>
      <c r="AF2179" s="32"/>
    </row>
    <row r="2180">
      <c r="A2180" s="86"/>
      <c r="B2180" s="87"/>
      <c r="C2180" s="88"/>
      <c r="D2180" s="104"/>
      <c r="E2180" s="104"/>
      <c r="F2180" s="104"/>
      <c r="G2180" s="104"/>
      <c r="H2180" s="104"/>
      <c r="I2180" s="104"/>
      <c r="J2180" s="104"/>
      <c r="K2180" s="32"/>
      <c r="L2180" s="32"/>
      <c r="M2180" s="32"/>
      <c r="N2180" s="32"/>
      <c r="O2180" s="106"/>
      <c r="P2180" s="91">
        <f>IFERROR(__xludf.DUMMYFUNCTION("IFERROR(sum(FILTER($D:$N,$C:$C = $C2180,$A:$A &lt; $A2180,$B:$B = 12)),0) + sum($D2180:$N2180)"),0.0)</f>
        <v>0</v>
      </c>
      <c r="Q2180" s="92">
        <f t="shared" si="1"/>
        <v>0</v>
      </c>
      <c r="R2180" s="91">
        <f t="array" ref="R2180">IFERROR(INDEX('Fund YTD Target Values'!$1:$1000, MATCH($C2180,'Fund YTD Target Values'!$A:$A,0), MATCH($A2180,'Fund YTD Target Values'!$1:$1,0)),0)</f>
        <v>0</v>
      </c>
      <c r="S2180" s="91">
        <f>IFERROR(__xludf.DUMMYFUNCTION("IFERROR(sum(FILTER('Fund Investment Data'!$V:$V, 'Fund Investment Data'!$C:$C = $C2180, 'Fund Investment Data'!$A:$A &lt; $A2180)),0) + IFERROR(sum(FILTER('Fund Investment Data'!$V:$V, 'Fund Investment Data'!$C:$C = $C2180, 'Fund Investment Data'!$A:$A = $A2"&amp;"180, 'Fund Investment Data'!$B:$B &lt;= $B2180)),0)"),0.0)</f>
        <v>0</v>
      </c>
      <c r="T2180" s="32"/>
      <c r="U2180" s="32"/>
      <c r="V2180" s="32">
        <f>IFERROR(__xludf.DUMMYFUNCTION("$D2180 - IFERROR(FILTER($D:$D,$C:$C = $C2180, $A:$A = $A2180, $B:$B = $B2180 - 1),0)"),0.0)</f>
        <v>0</v>
      </c>
      <c r="W2180" s="93">
        <f>IFERROR(__xludf.DUMMYFUNCTION("$E2180 - IFERROR(FILTER($E:$E,$C:$C = $C2180, $A:$A = $A2180, $B:$B = $B2180 - 1),0)"),0.0)</f>
        <v>0</v>
      </c>
      <c r="X2180" s="91">
        <f>IFERROR(__xludf.DUMMYFUNCTION("iFERROR((FILTER('Fund Investment Data'!$Z:$Z, 'Fund Investment Data'!$C:$C = $C2180, 'Fund Investment Data'!$A:$A = $A2180 - 1, 'Fund Investment Data'!$B:$B = 12) + FILTER('Fund Investment Data'!$AB:$AB, 'Fund Investment Data'!$C:$C = $C2180, 'Fund Invest"&amp;"ment Data'!$A:$A = $A2180 - 1, 'Fund Investment Data'!$B:$B = 12)) * (1 + AVERAGE(FILTER('Inflation Data'!$C:$C,'Inflation Data'!$A:$A = ($A2180 - 2)))) * Parameters!$A$4,0)"),0.0)</f>
        <v>0</v>
      </c>
      <c r="Y2180" s="91">
        <f>IFERROR(__xludf.DUMMYFUNCTION("IFERROR((IFERROR(FILTER('Fund Investment Data'!$P:$P,'Fund Investment Data'!$C:$C = $C2180,'Fund Investment Data'!$A:$A = ($A2180 - 2), 'Fund Investment Data'!$B:$B = 12),0) - SUM(FILTER('Fund Investment Data'!$V:$V, 'Fund Investment Data'!$C:$C = $C2180,"&amp;" 'Fund Investment Data'!$A:$A = ($A2180 - 2), 'Fund Investment Data'!$B:$B &gt; 3)))  * Parameters!$B$4 * (1 - Parameters!$A$4),0)"),0.0)</f>
        <v>0</v>
      </c>
      <c r="Z2180" s="91">
        <f t="shared" si="24"/>
        <v>0</v>
      </c>
      <c r="AA2180" s="91">
        <f>IFERROR(__xludf.DUMMYFUNCTION("((IFERROR((SUM(FILTER('Fund Investment Data'!$V:$V, 'Fund Investment Data'!$C:$C = $C2180, 'Fund Investment Data'!$A:$A = $A2180 - 1, 'Fund Investment Data'!$B:$B &gt;= 4, 'Fund Investment Data'!$B:$B &lt;= ($B2180 + 5))) / 12) * ($B2180 - 3) * Parameters!$B$4,"&amp;" 0) + IF($B2180 &gt;= 9, IFERROR(SUM(FILTER('Fund Investment Data'!$V:$V, 'Fund Investment Data'!$C:$C = $C2180, 'Fund Investment Data'!$A:$A = $A2180, 'Fund Investment Data'!$B:$B &lt;= 3)) * Parameters!$B$4, 0),0)))"),0.0)</f>
        <v>0</v>
      </c>
      <c r="AB2180" s="32">
        <f>IFERROR(__xludf.DUMMYFUNCTION("IFERROR(((IFERROR(SUM(FILTER('Fund Investment Data'!$V:$V, 'Fund Investment Data'!$C:$C = $C2180, 'Fund Investment Data'!$A:$A = $A2180 - 2, 'Fund Investment Data'!$B:$B &gt;= 4)) * Parameters!$B$4,0) + IFERROR(SUM(FILTER('Fund Investment Data'!$V:$V, 'Fund "&amp;"Investment Data'!$C:$C = $C2180, 'Fund Investment Data'!$A:$A = $A2180 - 1, 'Fund Investment Data'!$B:$B &lt;= 3)) * Parameters!$B$4,0))),0)"),0.0)</f>
        <v>0</v>
      </c>
      <c r="AC2180" s="32">
        <f>IFERROR(__xludf.DUMMYFUNCTION("IFERROR(FILTER($AF:$AF,$C:$C = $C2180,$A:$A = $A2180 - 1,$B:$B = 12),0)"),0.0)</f>
        <v>0</v>
      </c>
      <c r="AD2180" s="32">
        <f t="shared" si="23"/>
        <v>0</v>
      </c>
      <c r="AE2180" s="32">
        <f t="shared" si="2"/>
        <v>0</v>
      </c>
      <c r="AF2180" s="32"/>
    </row>
    <row r="2181">
      <c r="A2181" s="86"/>
      <c r="B2181" s="87"/>
      <c r="C2181" s="88"/>
      <c r="D2181" s="104"/>
      <c r="E2181" s="104"/>
      <c r="F2181" s="104"/>
      <c r="G2181" s="104"/>
      <c r="H2181" s="104"/>
      <c r="I2181" s="104"/>
      <c r="J2181" s="104"/>
      <c r="K2181" s="32"/>
      <c r="L2181" s="32"/>
      <c r="M2181" s="32"/>
      <c r="N2181" s="32"/>
      <c r="O2181" s="106"/>
      <c r="P2181" s="91">
        <f>IFERROR(__xludf.DUMMYFUNCTION("IFERROR(sum(FILTER($D:$N,$C:$C = $C2181,$A:$A &lt; $A2181,$B:$B = 12)),0) + sum($D2181:$N2181)"),0.0)</f>
        <v>0</v>
      </c>
      <c r="Q2181" s="92">
        <f t="shared" si="1"/>
        <v>0</v>
      </c>
      <c r="R2181" s="91">
        <f t="array" ref="R2181">IFERROR(INDEX('Fund YTD Target Values'!$1:$1000, MATCH($C2181,'Fund YTD Target Values'!$A:$A,0), MATCH($A2181,'Fund YTD Target Values'!$1:$1,0)),0)</f>
        <v>0</v>
      </c>
      <c r="S2181" s="91">
        <f>IFERROR(__xludf.DUMMYFUNCTION("IFERROR(sum(FILTER('Fund Investment Data'!$V:$V, 'Fund Investment Data'!$C:$C = $C2181, 'Fund Investment Data'!$A:$A &lt; $A2181)),0) + IFERROR(sum(FILTER('Fund Investment Data'!$V:$V, 'Fund Investment Data'!$C:$C = $C2181, 'Fund Investment Data'!$A:$A = $A2"&amp;"181, 'Fund Investment Data'!$B:$B &lt;= $B2181)),0)"),0.0)</f>
        <v>0</v>
      </c>
      <c r="T2181" s="32"/>
      <c r="U2181" s="32"/>
      <c r="V2181" s="32">
        <f>IFERROR(__xludf.DUMMYFUNCTION("$D2181 - IFERROR(FILTER($D:$D,$C:$C = $C2181, $A:$A = $A2181, $B:$B = $B2181 - 1),0)"),0.0)</f>
        <v>0</v>
      </c>
      <c r="W2181" s="93">
        <f>IFERROR(__xludf.DUMMYFUNCTION("$E2181 - IFERROR(FILTER($E:$E,$C:$C = $C2181, $A:$A = $A2181, $B:$B = $B2181 - 1),0)"),0.0)</f>
        <v>0</v>
      </c>
      <c r="X2181" s="91">
        <f>IFERROR(__xludf.DUMMYFUNCTION("iFERROR((FILTER('Fund Investment Data'!$Z:$Z, 'Fund Investment Data'!$C:$C = $C2181, 'Fund Investment Data'!$A:$A = $A2181 - 1, 'Fund Investment Data'!$B:$B = 12) + FILTER('Fund Investment Data'!$AB:$AB, 'Fund Investment Data'!$C:$C = $C2181, 'Fund Invest"&amp;"ment Data'!$A:$A = $A2181 - 1, 'Fund Investment Data'!$B:$B = 12)) * (1 + AVERAGE(FILTER('Inflation Data'!$C:$C,'Inflation Data'!$A:$A = ($A2181 - 2)))) * Parameters!$A$4,0)"),0.0)</f>
        <v>0</v>
      </c>
      <c r="Y2181" s="91">
        <f>IFERROR(__xludf.DUMMYFUNCTION("IFERROR((IFERROR(FILTER('Fund Investment Data'!$P:$P,'Fund Investment Data'!$C:$C = $C2181,'Fund Investment Data'!$A:$A = ($A2181 - 2), 'Fund Investment Data'!$B:$B = 12),0) - SUM(FILTER('Fund Investment Data'!$V:$V, 'Fund Investment Data'!$C:$C = $C2181,"&amp;" 'Fund Investment Data'!$A:$A = ($A2181 - 2), 'Fund Investment Data'!$B:$B &gt; 3)))  * Parameters!$B$4 * (1 - Parameters!$A$4),0)"),0.0)</f>
        <v>0</v>
      </c>
      <c r="Z2181" s="91">
        <f t="shared" si="24"/>
        <v>0</v>
      </c>
      <c r="AA2181" s="91">
        <f>IFERROR(__xludf.DUMMYFUNCTION("((IFERROR((SUM(FILTER('Fund Investment Data'!$V:$V, 'Fund Investment Data'!$C:$C = $C2181, 'Fund Investment Data'!$A:$A = $A2181 - 1, 'Fund Investment Data'!$B:$B &gt;= 4, 'Fund Investment Data'!$B:$B &lt;= ($B2181 + 5))) / 12) * ($B2181 - 3) * Parameters!$B$4,"&amp;" 0) + IF($B2181 &gt;= 9, IFERROR(SUM(FILTER('Fund Investment Data'!$V:$V, 'Fund Investment Data'!$C:$C = $C2181, 'Fund Investment Data'!$A:$A = $A2181, 'Fund Investment Data'!$B:$B &lt;= 3)) * Parameters!$B$4, 0),0)))"),0.0)</f>
        <v>0</v>
      </c>
      <c r="AB2181" s="32">
        <f>IFERROR(__xludf.DUMMYFUNCTION("IFERROR(((IFERROR(SUM(FILTER('Fund Investment Data'!$V:$V, 'Fund Investment Data'!$C:$C = $C2181, 'Fund Investment Data'!$A:$A = $A2181 - 2, 'Fund Investment Data'!$B:$B &gt;= 4)) * Parameters!$B$4,0) + IFERROR(SUM(FILTER('Fund Investment Data'!$V:$V, 'Fund "&amp;"Investment Data'!$C:$C = $C2181, 'Fund Investment Data'!$A:$A = $A2181 - 1, 'Fund Investment Data'!$B:$B &lt;= 3)) * Parameters!$B$4,0))),0)"),0.0)</f>
        <v>0</v>
      </c>
      <c r="AC2181" s="32">
        <f>IFERROR(__xludf.DUMMYFUNCTION("IFERROR(FILTER($AF:$AF,$C:$C = $C2181,$A:$A = $A2181 - 1,$B:$B = 12),0)"),0.0)</f>
        <v>0</v>
      </c>
      <c r="AD2181" s="32">
        <f t="shared" si="23"/>
        <v>0</v>
      </c>
      <c r="AE2181" s="32">
        <f t="shared" si="2"/>
        <v>0</v>
      </c>
      <c r="AF2181" s="32"/>
    </row>
    <row r="2182">
      <c r="A2182" s="86"/>
      <c r="B2182" s="87"/>
      <c r="C2182" s="88"/>
      <c r="D2182" s="104"/>
      <c r="E2182" s="104"/>
      <c r="F2182" s="104"/>
      <c r="G2182" s="104"/>
      <c r="H2182" s="104"/>
      <c r="I2182" s="104"/>
      <c r="J2182" s="104"/>
      <c r="K2182" s="32"/>
      <c r="L2182" s="32"/>
      <c r="M2182" s="32"/>
      <c r="N2182" s="32"/>
      <c r="O2182" s="106"/>
      <c r="P2182" s="91">
        <f>IFERROR(__xludf.DUMMYFUNCTION("IFERROR(sum(FILTER($D:$N,$C:$C = $C2182,$A:$A &lt; $A2182,$B:$B = 12)),0) + sum($D2182:$N2182)"),0.0)</f>
        <v>0</v>
      </c>
      <c r="Q2182" s="92">
        <f t="shared" si="1"/>
        <v>0</v>
      </c>
      <c r="R2182" s="91">
        <f t="array" ref="R2182">IFERROR(INDEX('Fund YTD Target Values'!$1:$1000, MATCH($C2182,'Fund YTD Target Values'!$A:$A,0), MATCH($A2182,'Fund YTD Target Values'!$1:$1,0)),0)</f>
        <v>0</v>
      </c>
      <c r="S2182" s="91">
        <f>IFERROR(__xludf.DUMMYFUNCTION("IFERROR(sum(FILTER('Fund Investment Data'!$V:$V, 'Fund Investment Data'!$C:$C = $C2182, 'Fund Investment Data'!$A:$A &lt; $A2182)),0) + IFERROR(sum(FILTER('Fund Investment Data'!$V:$V, 'Fund Investment Data'!$C:$C = $C2182, 'Fund Investment Data'!$A:$A = $A2"&amp;"182, 'Fund Investment Data'!$B:$B &lt;= $B2182)),0)"),0.0)</f>
        <v>0</v>
      </c>
      <c r="T2182" s="32"/>
      <c r="U2182" s="32"/>
      <c r="V2182" s="32">
        <f>IFERROR(__xludf.DUMMYFUNCTION("$D2182 - IFERROR(FILTER($D:$D,$C:$C = $C2182, $A:$A = $A2182, $B:$B = $B2182 - 1),0)"),0.0)</f>
        <v>0</v>
      </c>
      <c r="W2182" s="93">
        <f>IFERROR(__xludf.DUMMYFUNCTION("$E2182 - IFERROR(FILTER($E:$E,$C:$C = $C2182, $A:$A = $A2182, $B:$B = $B2182 - 1),0)"),0.0)</f>
        <v>0</v>
      </c>
      <c r="X2182" s="91">
        <f>IFERROR(__xludf.DUMMYFUNCTION("iFERROR((FILTER('Fund Investment Data'!$Z:$Z, 'Fund Investment Data'!$C:$C = $C2182, 'Fund Investment Data'!$A:$A = $A2182 - 1, 'Fund Investment Data'!$B:$B = 12) + FILTER('Fund Investment Data'!$AB:$AB, 'Fund Investment Data'!$C:$C = $C2182, 'Fund Invest"&amp;"ment Data'!$A:$A = $A2182 - 1, 'Fund Investment Data'!$B:$B = 12)) * (1 + AVERAGE(FILTER('Inflation Data'!$C:$C,'Inflation Data'!$A:$A = ($A2182 - 2)))) * Parameters!$A$4,0)"),0.0)</f>
        <v>0</v>
      </c>
      <c r="Y2182" s="91">
        <f>IFERROR(__xludf.DUMMYFUNCTION("IFERROR((IFERROR(FILTER('Fund Investment Data'!$P:$P,'Fund Investment Data'!$C:$C = $C2182,'Fund Investment Data'!$A:$A = ($A2182 - 2), 'Fund Investment Data'!$B:$B = 12),0) - SUM(FILTER('Fund Investment Data'!$V:$V, 'Fund Investment Data'!$C:$C = $C2182,"&amp;" 'Fund Investment Data'!$A:$A = ($A2182 - 2), 'Fund Investment Data'!$B:$B &gt; 3)))  * Parameters!$B$4 * (1 - Parameters!$A$4),0)"),0.0)</f>
        <v>0</v>
      </c>
      <c r="Z2182" s="91">
        <f t="shared" si="24"/>
        <v>0</v>
      </c>
      <c r="AA2182" s="91">
        <f>IFERROR(__xludf.DUMMYFUNCTION("((IFERROR((SUM(FILTER('Fund Investment Data'!$V:$V, 'Fund Investment Data'!$C:$C = $C2182, 'Fund Investment Data'!$A:$A = $A2182 - 1, 'Fund Investment Data'!$B:$B &gt;= 4, 'Fund Investment Data'!$B:$B &lt;= ($B2182 + 5))) / 12) * ($B2182 - 3) * Parameters!$B$4,"&amp;" 0) + IF($B2182 &gt;= 9, IFERROR(SUM(FILTER('Fund Investment Data'!$V:$V, 'Fund Investment Data'!$C:$C = $C2182, 'Fund Investment Data'!$A:$A = $A2182, 'Fund Investment Data'!$B:$B &lt;= 3)) * Parameters!$B$4, 0),0)))"),0.0)</f>
        <v>0</v>
      </c>
      <c r="AB2182" s="32">
        <f>IFERROR(__xludf.DUMMYFUNCTION("IFERROR(((IFERROR(SUM(FILTER('Fund Investment Data'!$V:$V, 'Fund Investment Data'!$C:$C = $C2182, 'Fund Investment Data'!$A:$A = $A2182 - 2, 'Fund Investment Data'!$B:$B &gt;= 4)) * Parameters!$B$4,0) + IFERROR(SUM(FILTER('Fund Investment Data'!$V:$V, 'Fund "&amp;"Investment Data'!$C:$C = $C2182, 'Fund Investment Data'!$A:$A = $A2182 - 1, 'Fund Investment Data'!$B:$B &lt;= 3)) * Parameters!$B$4,0))),0)"),0.0)</f>
        <v>0</v>
      </c>
      <c r="AC2182" s="32">
        <f>IFERROR(__xludf.DUMMYFUNCTION("IFERROR(FILTER($AF:$AF,$C:$C = $C2182,$A:$A = $A2182 - 1,$B:$B = 12),0)"),0.0)</f>
        <v>0</v>
      </c>
      <c r="AD2182" s="32">
        <f t="shared" si="23"/>
        <v>0</v>
      </c>
      <c r="AE2182" s="32">
        <f t="shared" si="2"/>
        <v>0</v>
      </c>
      <c r="AF2182" s="32"/>
    </row>
    <row r="2183">
      <c r="A2183" s="86"/>
      <c r="B2183" s="87"/>
      <c r="C2183" s="88"/>
      <c r="D2183" s="104"/>
      <c r="E2183" s="104"/>
      <c r="F2183" s="104"/>
      <c r="G2183" s="104"/>
      <c r="H2183" s="104"/>
      <c r="I2183" s="104"/>
      <c r="J2183" s="104"/>
      <c r="K2183" s="32"/>
      <c r="L2183" s="32"/>
      <c r="M2183" s="32"/>
      <c r="N2183" s="32"/>
      <c r="O2183" s="106"/>
      <c r="P2183" s="91">
        <f>IFERROR(__xludf.DUMMYFUNCTION("IFERROR(sum(FILTER($D:$N,$C:$C = $C2183,$A:$A &lt; $A2183,$B:$B = 12)),0) + sum($D2183:$N2183)"),0.0)</f>
        <v>0</v>
      </c>
      <c r="Q2183" s="92">
        <f t="shared" si="1"/>
        <v>0</v>
      </c>
      <c r="R2183" s="91">
        <f t="array" ref="R2183">IFERROR(INDEX('Fund YTD Target Values'!$1:$1000, MATCH($C2183,'Fund YTD Target Values'!$A:$A,0), MATCH($A2183,'Fund YTD Target Values'!$1:$1,0)),0)</f>
        <v>0</v>
      </c>
      <c r="S2183" s="91">
        <f>IFERROR(__xludf.DUMMYFUNCTION("IFERROR(sum(FILTER('Fund Investment Data'!$V:$V, 'Fund Investment Data'!$C:$C = $C2183, 'Fund Investment Data'!$A:$A &lt; $A2183)),0) + IFERROR(sum(FILTER('Fund Investment Data'!$V:$V, 'Fund Investment Data'!$C:$C = $C2183, 'Fund Investment Data'!$A:$A = $A2"&amp;"183, 'Fund Investment Data'!$B:$B &lt;= $B2183)),0)"),0.0)</f>
        <v>0</v>
      </c>
      <c r="T2183" s="32"/>
      <c r="U2183" s="32"/>
      <c r="V2183" s="32">
        <f>IFERROR(__xludf.DUMMYFUNCTION("$D2183 - IFERROR(FILTER($D:$D,$C:$C = $C2183, $A:$A = $A2183, $B:$B = $B2183 - 1),0)"),0.0)</f>
        <v>0</v>
      </c>
      <c r="W2183" s="93">
        <f>IFERROR(__xludf.DUMMYFUNCTION("$E2183 - IFERROR(FILTER($E:$E,$C:$C = $C2183, $A:$A = $A2183, $B:$B = $B2183 - 1),0)"),0.0)</f>
        <v>0</v>
      </c>
      <c r="X2183" s="91">
        <f>IFERROR(__xludf.DUMMYFUNCTION("iFERROR((FILTER('Fund Investment Data'!$Z:$Z, 'Fund Investment Data'!$C:$C = $C2183, 'Fund Investment Data'!$A:$A = $A2183 - 1, 'Fund Investment Data'!$B:$B = 12) + FILTER('Fund Investment Data'!$AB:$AB, 'Fund Investment Data'!$C:$C = $C2183, 'Fund Invest"&amp;"ment Data'!$A:$A = $A2183 - 1, 'Fund Investment Data'!$B:$B = 12)) * (1 + AVERAGE(FILTER('Inflation Data'!$C:$C,'Inflation Data'!$A:$A = ($A2183 - 2)))) * Parameters!$A$4,0)"),0.0)</f>
        <v>0</v>
      </c>
      <c r="Y2183" s="91">
        <f>IFERROR(__xludf.DUMMYFUNCTION("IFERROR((IFERROR(FILTER('Fund Investment Data'!$P:$P,'Fund Investment Data'!$C:$C = $C2183,'Fund Investment Data'!$A:$A = ($A2183 - 2), 'Fund Investment Data'!$B:$B = 12),0) - SUM(FILTER('Fund Investment Data'!$V:$V, 'Fund Investment Data'!$C:$C = $C2183,"&amp;" 'Fund Investment Data'!$A:$A = ($A2183 - 2), 'Fund Investment Data'!$B:$B &gt; 3)))  * Parameters!$B$4 * (1 - Parameters!$A$4),0)"),0.0)</f>
        <v>0</v>
      </c>
      <c r="Z2183" s="91">
        <f t="shared" si="24"/>
        <v>0</v>
      </c>
      <c r="AA2183" s="91">
        <f>IFERROR(__xludf.DUMMYFUNCTION("((IFERROR((SUM(FILTER('Fund Investment Data'!$V:$V, 'Fund Investment Data'!$C:$C = $C2183, 'Fund Investment Data'!$A:$A = $A2183 - 1, 'Fund Investment Data'!$B:$B &gt;= 4, 'Fund Investment Data'!$B:$B &lt;= ($B2183 + 5))) / 12) * ($B2183 - 3) * Parameters!$B$4,"&amp;" 0) + IF($B2183 &gt;= 9, IFERROR(SUM(FILTER('Fund Investment Data'!$V:$V, 'Fund Investment Data'!$C:$C = $C2183, 'Fund Investment Data'!$A:$A = $A2183, 'Fund Investment Data'!$B:$B &lt;= 3)) * Parameters!$B$4, 0),0)))"),0.0)</f>
        <v>0</v>
      </c>
      <c r="AB2183" s="32">
        <f>IFERROR(__xludf.DUMMYFUNCTION("IFERROR(((IFERROR(SUM(FILTER('Fund Investment Data'!$V:$V, 'Fund Investment Data'!$C:$C = $C2183, 'Fund Investment Data'!$A:$A = $A2183 - 2, 'Fund Investment Data'!$B:$B &gt;= 4)) * Parameters!$B$4,0) + IFERROR(SUM(FILTER('Fund Investment Data'!$V:$V, 'Fund "&amp;"Investment Data'!$C:$C = $C2183, 'Fund Investment Data'!$A:$A = $A2183 - 1, 'Fund Investment Data'!$B:$B &lt;= 3)) * Parameters!$B$4,0))),0)"),0.0)</f>
        <v>0</v>
      </c>
      <c r="AC2183" s="32">
        <f>IFERROR(__xludf.DUMMYFUNCTION("IFERROR(FILTER($AF:$AF,$C:$C = $C2183,$A:$A = $A2183 - 1,$B:$B = 12),0)"),0.0)</f>
        <v>0</v>
      </c>
      <c r="AD2183" s="32">
        <f t="shared" si="23"/>
        <v>0</v>
      </c>
      <c r="AE2183" s="32">
        <f t="shared" si="2"/>
        <v>0</v>
      </c>
      <c r="AF2183" s="32"/>
    </row>
    <row r="2184">
      <c r="A2184" s="86"/>
      <c r="B2184" s="87"/>
      <c r="C2184" s="88"/>
      <c r="D2184" s="104"/>
      <c r="E2184" s="104"/>
      <c r="F2184" s="104"/>
      <c r="G2184" s="104"/>
      <c r="H2184" s="104"/>
      <c r="I2184" s="104"/>
      <c r="J2184" s="104"/>
      <c r="K2184" s="32"/>
      <c r="L2184" s="32"/>
      <c r="M2184" s="32"/>
      <c r="N2184" s="32"/>
      <c r="O2184" s="106"/>
      <c r="P2184" s="91">
        <f>IFERROR(__xludf.DUMMYFUNCTION("IFERROR(sum(FILTER($D:$N,$C:$C = $C2184,$A:$A &lt; $A2184,$B:$B = 12)),0) + sum($D2184:$N2184)"),0.0)</f>
        <v>0</v>
      </c>
      <c r="Q2184" s="92">
        <f t="shared" si="1"/>
        <v>0</v>
      </c>
      <c r="R2184" s="91">
        <f t="array" ref="R2184">IFERROR(INDEX('Fund YTD Target Values'!$1:$1000, MATCH($C2184,'Fund YTD Target Values'!$A:$A,0), MATCH($A2184,'Fund YTD Target Values'!$1:$1,0)),0)</f>
        <v>0</v>
      </c>
      <c r="S2184" s="91">
        <f>IFERROR(__xludf.DUMMYFUNCTION("IFERROR(sum(FILTER('Fund Investment Data'!$V:$V, 'Fund Investment Data'!$C:$C = $C2184, 'Fund Investment Data'!$A:$A &lt; $A2184)),0) + IFERROR(sum(FILTER('Fund Investment Data'!$V:$V, 'Fund Investment Data'!$C:$C = $C2184, 'Fund Investment Data'!$A:$A = $A2"&amp;"184, 'Fund Investment Data'!$B:$B &lt;= $B2184)),0)"),0.0)</f>
        <v>0</v>
      </c>
      <c r="T2184" s="32"/>
      <c r="U2184" s="32"/>
      <c r="V2184" s="32">
        <f>IFERROR(__xludf.DUMMYFUNCTION("$D2184 - IFERROR(FILTER($D:$D,$C:$C = $C2184, $A:$A = $A2184, $B:$B = $B2184 - 1),0)"),0.0)</f>
        <v>0</v>
      </c>
      <c r="W2184" s="93">
        <f>IFERROR(__xludf.DUMMYFUNCTION("$E2184 - IFERROR(FILTER($E:$E,$C:$C = $C2184, $A:$A = $A2184, $B:$B = $B2184 - 1),0)"),0.0)</f>
        <v>0</v>
      </c>
      <c r="X2184" s="91">
        <f>IFERROR(__xludf.DUMMYFUNCTION("iFERROR((FILTER('Fund Investment Data'!$Z:$Z, 'Fund Investment Data'!$C:$C = $C2184, 'Fund Investment Data'!$A:$A = $A2184 - 1, 'Fund Investment Data'!$B:$B = 12) + FILTER('Fund Investment Data'!$AB:$AB, 'Fund Investment Data'!$C:$C = $C2184, 'Fund Invest"&amp;"ment Data'!$A:$A = $A2184 - 1, 'Fund Investment Data'!$B:$B = 12)) * (1 + AVERAGE(FILTER('Inflation Data'!$C:$C,'Inflation Data'!$A:$A = ($A2184 - 2)))) * Parameters!$A$4,0)"),0.0)</f>
        <v>0</v>
      </c>
      <c r="Y2184" s="91">
        <f>IFERROR(__xludf.DUMMYFUNCTION("IFERROR((IFERROR(FILTER('Fund Investment Data'!$P:$P,'Fund Investment Data'!$C:$C = $C2184,'Fund Investment Data'!$A:$A = ($A2184 - 2), 'Fund Investment Data'!$B:$B = 12),0) - SUM(FILTER('Fund Investment Data'!$V:$V, 'Fund Investment Data'!$C:$C = $C2184,"&amp;" 'Fund Investment Data'!$A:$A = ($A2184 - 2), 'Fund Investment Data'!$B:$B &gt; 3)))  * Parameters!$B$4 * (1 - Parameters!$A$4),0)"),0.0)</f>
        <v>0</v>
      </c>
      <c r="Z2184" s="91">
        <f t="shared" si="24"/>
        <v>0</v>
      </c>
      <c r="AA2184" s="91">
        <f>IFERROR(__xludf.DUMMYFUNCTION("((IFERROR((SUM(FILTER('Fund Investment Data'!$V:$V, 'Fund Investment Data'!$C:$C = $C2184, 'Fund Investment Data'!$A:$A = $A2184 - 1, 'Fund Investment Data'!$B:$B &gt;= 4, 'Fund Investment Data'!$B:$B &lt;= ($B2184 + 5))) / 12) * ($B2184 - 3) * Parameters!$B$4,"&amp;" 0) + IF($B2184 &gt;= 9, IFERROR(SUM(FILTER('Fund Investment Data'!$V:$V, 'Fund Investment Data'!$C:$C = $C2184, 'Fund Investment Data'!$A:$A = $A2184, 'Fund Investment Data'!$B:$B &lt;= 3)) * Parameters!$B$4, 0),0)))"),0.0)</f>
        <v>0</v>
      </c>
      <c r="AB2184" s="32">
        <f>IFERROR(__xludf.DUMMYFUNCTION("IFERROR(((IFERROR(SUM(FILTER('Fund Investment Data'!$V:$V, 'Fund Investment Data'!$C:$C = $C2184, 'Fund Investment Data'!$A:$A = $A2184 - 2, 'Fund Investment Data'!$B:$B &gt;= 4)) * Parameters!$B$4,0) + IFERROR(SUM(FILTER('Fund Investment Data'!$V:$V, 'Fund "&amp;"Investment Data'!$C:$C = $C2184, 'Fund Investment Data'!$A:$A = $A2184 - 1, 'Fund Investment Data'!$B:$B &lt;= 3)) * Parameters!$B$4,0))),0)"),0.0)</f>
        <v>0</v>
      </c>
      <c r="AC2184" s="32">
        <f>IFERROR(__xludf.DUMMYFUNCTION("IFERROR(FILTER($AF:$AF,$C:$C = $C2184,$A:$A = $A2184 - 1,$B:$B = 12),0)"),0.0)</f>
        <v>0</v>
      </c>
      <c r="AD2184" s="32">
        <f t="shared" si="23"/>
        <v>0</v>
      </c>
      <c r="AE2184" s="32">
        <f t="shared" si="2"/>
        <v>0</v>
      </c>
      <c r="AF2184" s="32"/>
    </row>
    <row r="2185">
      <c r="A2185" s="86"/>
      <c r="B2185" s="87"/>
      <c r="C2185" s="88"/>
      <c r="D2185" s="104"/>
      <c r="E2185" s="104"/>
      <c r="F2185" s="104"/>
      <c r="G2185" s="104"/>
      <c r="H2185" s="104"/>
      <c r="I2185" s="104"/>
      <c r="J2185" s="104"/>
      <c r="K2185" s="32"/>
      <c r="L2185" s="32"/>
      <c r="M2185" s="32"/>
      <c r="N2185" s="32"/>
      <c r="O2185" s="106"/>
      <c r="P2185" s="91">
        <f>IFERROR(__xludf.DUMMYFUNCTION("IFERROR(sum(FILTER($D:$N,$C:$C = $C2185,$A:$A &lt; $A2185,$B:$B = 12)),0) + sum($D2185:$N2185)"),0.0)</f>
        <v>0</v>
      </c>
      <c r="Q2185" s="92">
        <f t="shared" si="1"/>
        <v>0</v>
      </c>
      <c r="R2185" s="91">
        <f t="array" ref="R2185">IFERROR(INDEX('Fund YTD Target Values'!$1:$1000, MATCH($C2185,'Fund YTD Target Values'!$A:$A,0), MATCH($A2185,'Fund YTD Target Values'!$1:$1,0)),0)</f>
        <v>0</v>
      </c>
      <c r="S2185" s="91">
        <f>IFERROR(__xludf.DUMMYFUNCTION("IFERROR(sum(FILTER('Fund Investment Data'!$V:$V, 'Fund Investment Data'!$C:$C = $C2185, 'Fund Investment Data'!$A:$A &lt; $A2185)),0) + IFERROR(sum(FILTER('Fund Investment Data'!$V:$V, 'Fund Investment Data'!$C:$C = $C2185, 'Fund Investment Data'!$A:$A = $A2"&amp;"185, 'Fund Investment Data'!$B:$B &lt;= $B2185)),0)"),0.0)</f>
        <v>0</v>
      </c>
      <c r="T2185" s="32"/>
      <c r="U2185" s="32"/>
      <c r="V2185" s="32">
        <f>IFERROR(__xludf.DUMMYFUNCTION("$D2185 - IFERROR(FILTER($D:$D,$C:$C = $C2185, $A:$A = $A2185, $B:$B = $B2185 - 1),0)"),0.0)</f>
        <v>0</v>
      </c>
      <c r="W2185" s="93">
        <f>IFERROR(__xludf.DUMMYFUNCTION("$E2185 - IFERROR(FILTER($E:$E,$C:$C = $C2185, $A:$A = $A2185, $B:$B = $B2185 - 1),0)"),0.0)</f>
        <v>0</v>
      </c>
      <c r="X2185" s="91">
        <f>IFERROR(__xludf.DUMMYFUNCTION("iFERROR((FILTER('Fund Investment Data'!$Z:$Z, 'Fund Investment Data'!$C:$C = $C2185, 'Fund Investment Data'!$A:$A = $A2185 - 1, 'Fund Investment Data'!$B:$B = 12) + FILTER('Fund Investment Data'!$AB:$AB, 'Fund Investment Data'!$C:$C = $C2185, 'Fund Invest"&amp;"ment Data'!$A:$A = $A2185 - 1, 'Fund Investment Data'!$B:$B = 12)) * (1 + AVERAGE(FILTER('Inflation Data'!$C:$C,'Inflation Data'!$A:$A = ($A2185 - 2)))) * Parameters!$A$4,0)"),0.0)</f>
        <v>0</v>
      </c>
      <c r="Y2185" s="91">
        <f>IFERROR(__xludf.DUMMYFUNCTION("IFERROR((IFERROR(FILTER('Fund Investment Data'!$P:$P,'Fund Investment Data'!$C:$C = $C2185,'Fund Investment Data'!$A:$A = ($A2185 - 2), 'Fund Investment Data'!$B:$B = 12),0) - SUM(FILTER('Fund Investment Data'!$V:$V, 'Fund Investment Data'!$C:$C = $C2185,"&amp;" 'Fund Investment Data'!$A:$A = ($A2185 - 2), 'Fund Investment Data'!$B:$B &gt; 3)))  * Parameters!$B$4 * (1 - Parameters!$A$4),0)"),0.0)</f>
        <v>0</v>
      </c>
      <c r="Z2185" s="91">
        <f t="shared" si="24"/>
        <v>0</v>
      </c>
      <c r="AA2185" s="91">
        <f>IFERROR(__xludf.DUMMYFUNCTION("((IFERROR((SUM(FILTER('Fund Investment Data'!$V:$V, 'Fund Investment Data'!$C:$C = $C2185, 'Fund Investment Data'!$A:$A = $A2185 - 1, 'Fund Investment Data'!$B:$B &gt;= 4, 'Fund Investment Data'!$B:$B &lt;= ($B2185 + 5))) / 12) * ($B2185 - 3) * Parameters!$B$4,"&amp;" 0) + IF($B2185 &gt;= 9, IFERROR(SUM(FILTER('Fund Investment Data'!$V:$V, 'Fund Investment Data'!$C:$C = $C2185, 'Fund Investment Data'!$A:$A = $A2185, 'Fund Investment Data'!$B:$B &lt;= 3)) * Parameters!$B$4, 0),0)))"),0.0)</f>
        <v>0</v>
      </c>
      <c r="AB2185" s="32">
        <f>IFERROR(__xludf.DUMMYFUNCTION("IFERROR(((IFERROR(SUM(FILTER('Fund Investment Data'!$V:$V, 'Fund Investment Data'!$C:$C = $C2185, 'Fund Investment Data'!$A:$A = $A2185 - 2, 'Fund Investment Data'!$B:$B &gt;= 4)) * Parameters!$B$4,0) + IFERROR(SUM(FILTER('Fund Investment Data'!$V:$V, 'Fund "&amp;"Investment Data'!$C:$C = $C2185, 'Fund Investment Data'!$A:$A = $A2185 - 1, 'Fund Investment Data'!$B:$B &lt;= 3)) * Parameters!$B$4,0))),0)"),0.0)</f>
        <v>0</v>
      </c>
      <c r="AC2185" s="32">
        <f>IFERROR(__xludf.DUMMYFUNCTION("IFERROR(FILTER($AF:$AF,$C:$C = $C2185,$A:$A = $A2185 - 1,$B:$B = 12),0)"),0.0)</f>
        <v>0</v>
      </c>
      <c r="AD2185" s="32">
        <f t="shared" si="23"/>
        <v>0</v>
      </c>
      <c r="AE2185" s="32">
        <f t="shared" si="2"/>
        <v>0</v>
      </c>
      <c r="AF2185" s="32"/>
    </row>
    <row r="2186">
      <c r="A2186" s="86"/>
      <c r="B2186" s="87"/>
      <c r="C2186" s="88"/>
      <c r="D2186" s="104"/>
      <c r="E2186" s="104"/>
      <c r="F2186" s="104"/>
      <c r="G2186" s="104"/>
      <c r="H2186" s="104"/>
      <c r="I2186" s="104"/>
      <c r="J2186" s="104"/>
      <c r="K2186" s="32"/>
      <c r="L2186" s="32"/>
      <c r="M2186" s="32"/>
      <c r="N2186" s="32"/>
      <c r="O2186" s="106"/>
      <c r="P2186" s="91">
        <f>IFERROR(__xludf.DUMMYFUNCTION("IFERROR(sum(FILTER($D:$N,$C:$C = $C2186,$A:$A &lt; $A2186,$B:$B = 12)),0) + sum($D2186:$N2186)"),0.0)</f>
        <v>0</v>
      </c>
      <c r="Q2186" s="92">
        <f t="shared" si="1"/>
        <v>0</v>
      </c>
      <c r="R2186" s="91">
        <f t="array" ref="R2186">IFERROR(INDEX('Fund YTD Target Values'!$1:$1000, MATCH($C2186,'Fund YTD Target Values'!$A:$A,0), MATCH($A2186,'Fund YTD Target Values'!$1:$1,0)),0)</f>
        <v>0</v>
      </c>
      <c r="S2186" s="91">
        <f>IFERROR(__xludf.DUMMYFUNCTION("IFERROR(sum(FILTER('Fund Investment Data'!$V:$V, 'Fund Investment Data'!$C:$C = $C2186, 'Fund Investment Data'!$A:$A &lt; $A2186)),0) + IFERROR(sum(FILTER('Fund Investment Data'!$V:$V, 'Fund Investment Data'!$C:$C = $C2186, 'Fund Investment Data'!$A:$A = $A2"&amp;"186, 'Fund Investment Data'!$B:$B &lt;= $B2186)),0)"),0.0)</f>
        <v>0</v>
      </c>
      <c r="T2186" s="32"/>
      <c r="U2186" s="32"/>
      <c r="V2186" s="32">
        <f>IFERROR(__xludf.DUMMYFUNCTION("$D2186 - IFERROR(FILTER($D:$D,$C:$C = $C2186, $A:$A = $A2186, $B:$B = $B2186 - 1),0)"),0.0)</f>
        <v>0</v>
      </c>
      <c r="W2186" s="93">
        <f>IFERROR(__xludf.DUMMYFUNCTION("$E2186 - IFERROR(FILTER($E:$E,$C:$C = $C2186, $A:$A = $A2186, $B:$B = $B2186 - 1),0)"),0.0)</f>
        <v>0</v>
      </c>
      <c r="X2186" s="91">
        <f>IFERROR(__xludf.DUMMYFUNCTION("iFERROR((FILTER('Fund Investment Data'!$Z:$Z, 'Fund Investment Data'!$C:$C = $C2186, 'Fund Investment Data'!$A:$A = $A2186 - 1, 'Fund Investment Data'!$B:$B = 12) + FILTER('Fund Investment Data'!$AB:$AB, 'Fund Investment Data'!$C:$C = $C2186, 'Fund Invest"&amp;"ment Data'!$A:$A = $A2186 - 1, 'Fund Investment Data'!$B:$B = 12)) * (1 + AVERAGE(FILTER('Inflation Data'!$C:$C,'Inflation Data'!$A:$A = ($A2186 - 2)))) * Parameters!$A$4,0)"),0.0)</f>
        <v>0</v>
      </c>
      <c r="Y2186" s="91">
        <f>IFERROR(__xludf.DUMMYFUNCTION("IFERROR((IFERROR(FILTER('Fund Investment Data'!$P:$P,'Fund Investment Data'!$C:$C = $C2186,'Fund Investment Data'!$A:$A = ($A2186 - 2), 'Fund Investment Data'!$B:$B = 12),0) - SUM(FILTER('Fund Investment Data'!$V:$V, 'Fund Investment Data'!$C:$C = $C2186,"&amp;" 'Fund Investment Data'!$A:$A = ($A2186 - 2), 'Fund Investment Data'!$B:$B &gt; 3)))  * Parameters!$B$4 * (1 - Parameters!$A$4),0)"),0.0)</f>
        <v>0</v>
      </c>
      <c r="Z2186" s="91">
        <f t="shared" si="24"/>
        <v>0</v>
      </c>
      <c r="AA2186" s="91">
        <f>IFERROR(__xludf.DUMMYFUNCTION("((IFERROR((SUM(FILTER('Fund Investment Data'!$V:$V, 'Fund Investment Data'!$C:$C = $C2186, 'Fund Investment Data'!$A:$A = $A2186 - 1, 'Fund Investment Data'!$B:$B &gt;= 4, 'Fund Investment Data'!$B:$B &lt;= ($B2186 + 5))) / 12) * ($B2186 - 3) * Parameters!$B$4,"&amp;" 0) + IF($B2186 &gt;= 9, IFERROR(SUM(FILTER('Fund Investment Data'!$V:$V, 'Fund Investment Data'!$C:$C = $C2186, 'Fund Investment Data'!$A:$A = $A2186, 'Fund Investment Data'!$B:$B &lt;= 3)) * Parameters!$B$4, 0),0)))"),0.0)</f>
        <v>0</v>
      </c>
      <c r="AB2186" s="32">
        <f>IFERROR(__xludf.DUMMYFUNCTION("IFERROR(((IFERROR(SUM(FILTER('Fund Investment Data'!$V:$V, 'Fund Investment Data'!$C:$C = $C2186, 'Fund Investment Data'!$A:$A = $A2186 - 2, 'Fund Investment Data'!$B:$B &gt;= 4)) * Parameters!$B$4,0) + IFERROR(SUM(FILTER('Fund Investment Data'!$V:$V, 'Fund "&amp;"Investment Data'!$C:$C = $C2186, 'Fund Investment Data'!$A:$A = $A2186 - 1, 'Fund Investment Data'!$B:$B &lt;= 3)) * Parameters!$B$4,0))),0)"),0.0)</f>
        <v>0</v>
      </c>
      <c r="AC2186" s="32">
        <f>IFERROR(__xludf.DUMMYFUNCTION("IFERROR(FILTER($AF:$AF,$C:$C = $C2186,$A:$A = $A2186 - 1,$B:$B = 12),0)"),0.0)</f>
        <v>0</v>
      </c>
      <c r="AD2186" s="32">
        <f t="shared" si="23"/>
        <v>0</v>
      </c>
      <c r="AE2186" s="32">
        <f t="shared" si="2"/>
        <v>0</v>
      </c>
      <c r="AF2186" s="32"/>
    </row>
    <row r="2187">
      <c r="A2187" s="86"/>
      <c r="B2187" s="87"/>
      <c r="C2187" s="88"/>
      <c r="D2187" s="104"/>
      <c r="E2187" s="104"/>
      <c r="F2187" s="104"/>
      <c r="G2187" s="104"/>
      <c r="H2187" s="104"/>
      <c r="I2187" s="104"/>
      <c r="J2187" s="104"/>
      <c r="K2187" s="32"/>
      <c r="L2187" s="32"/>
      <c r="M2187" s="32"/>
      <c r="N2187" s="32"/>
      <c r="O2187" s="106"/>
      <c r="P2187" s="91">
        <f>IFERROR(__xludf.DUMMYFUNCTION("IFERROR(sum(FILTER($D:$N,$C:$C = $C2187,$A:$A &lt; $A2187,$B:$B = 12)),0) + sum($D2187:$N2187)"),0.0)</f>
        <v>0</v>
      </c>
      <c r="Q2187" s="92">
        <f t="shared" si="1"/>
        <v>0</v>
      </c>
      <c r="R2187" s="91">
        <f t="array" ref="R2187">IFERROR(INDEX('Fund YTD Target Values'!$1:$1000, MATCH($C2187,'Fund YTD Target Values'!$A:$A,0), MATCH($A2187,'Fund YTD Target Values'!$1:$1,0)),0)</f>
        <v>0</v>
      </c>
      <c r="S2187" s="91">
        <f>IFERROR(__xludf.DUMMYFUNCTION("IFERROR(sum(FILTER('Fund Investment Data'!$V:$V, 'Fund Investment Data'!$C:$C = $C2187, 'Fund Investment Data'!$A:$A &lt; $A2187)),0) + IFERROR(sum(FILTER('Fund Investment Data'!$V:$V, 'Fund Investment Data'!$C:$C = $C2187, 'Fund Investment Data'!$A:$A = $A2"&amp;"187, 'Fund Investment Data'!$B:$B &lt;= $B2187)),0)"),0.0)</f>
        <v>0</v>
      </c>
      <c r="T2187" s="32"/>
      <c r="U2187" s="32"/>
      <c r="V2187" s="32">
        <f>IFERROR(__xludf.DUMMYFUNCTION("$D2187 - IFERROR(FILTER($D:$D,$C:$C = $C2187, $A:$A = $A2187, $B:$B = $B2187 - 1),0)"),0.0)</f>
        <v>0</v>
      </c>
      <c r="W2187" s="93">
        <f>IFERROR(__xludf.DUMMYFUNCTION("$E2187 - IFERROR(FILTER($E:$E,$C:$C = $C2187, $A:$A = $A2187, $B:$B = $B2187 - 1),0)"),0.0)</f>
        <v>0</v>
      </c>
      <c r="X2187" s="91">
        <f>IFERROR(__xludf.DUMMYFUNCTION("iFERROR((FILTER('Fund Investment Data'!$Z:$Z, 'Fund Investment Data'!$C:$C = $C2187, 'Fund Investment Data'!$A:$A = $A2187 - 1, 'Fund Investment Data'!$B:$B = 12) + FILTER('Fund Investment Data'!$AB:$AB, 'Fund Investment Data'!$C:$C = $C2187, 'Fund Invest"&amp;"ment Data'!$A:$A = $A2187 - 1, 'Fund Investment Data'!$B:$B = 12)) * (1 + AVERAGE(FILTER('Inflation Data'!$C:$C,'Inflation Data'!$A:$A = ($A2187 - 2)))) * Parameters!$A$4,0)"),0.0)</f>
        <v>0</v>
      </c>
      <c r="Y2187" s="91">
        <f>IFERROR(__xludf.DUMMYFUNCTION("IFERROR((IFERROR(FILTER('Fund Investment Data'!$P:$P,'Fund Investment Data'!$C:$C = $C2187,'Fund Investment Data'!$A:$A = ($A2187 - 2), 'Fund Investment Data'!$B:$B = 12),0) - SUM(FILTER('Fund Investment Data'!$V:$V, 'Fund Investment Data'!$C:$C = $C2187,"&amp;" 'Fund Investment Data'!$A:$A = ($A2187 - 2), 'Fund Investment Data'!$B:$B &gt; 3)))  * Parameters!$B$4 * (1 - Parameters!$A$4),0)"),0.0)</f>
        <v>0</v>
      </c>
      <c r="Z2187" s="91">
        <f t="shared" si="24"/>
        <v>0</v>
      </c>
      <c r="AA2187" s="91">
        <f>IFERROR(__xludf.DUMMYFUNCTION("((IFERROR((SUM(FILTER('Fund Investment Data'!$V:$V, 'Fund Investment Data'!$C:$C = $C2187, 'Fund Investment Data'!$A:$A = $A2187 - 1, 'Fund Investment Data'!$B:$B &gt;= 4, 'Fund Investment Data'!$B:$B &lt;= ($B2187 + 5))) / 12) * ($B2187 - 3) * Parameters!$B$4,"&amp;" 0) + IF($B2187 &gt;= 9, IFERROR(SUM(FILTER('Fund Investment Data'!$V:$V, 'Fund Investment Data'!$C:$C = $C2187, 'Fund Investment Data'!$A:$A = $A2187, 'Fund Investment Data'!$B:$B &lt;= 3)) * Parameters!$B$4, 0),0)))"),0.0)</f>
        <v>0</v>
      </c>
      <c r="AB2187" s="32">
        <f>IFERROR(__xludf.DUMMYFUNCTION("IFERROR(((IFERROR(SUM(FILTER('Fund Investment Data'!$V:$V, 'Fund Investment Data'!$C:$C = $C2187, 'Fund Investment Data'!$A:$A = $A2187 - 2, 'Fund Investment Data'!$B:$B &gt;= 4)) * Parameters!$B$4,0) + IFERROR(SUM(FILTER('Fund Investment Data'!$V:$V, 'Fund "&amp;"Investment Data'!$C:$C = $C2187, 'Fund Investment Data'!$A:$A = $A2187 - 1, 'Fund Investment Data'!$B:$B &lt;= 3)) * Parameters!$B$4,0))),0)"),0.0)</f>
        <v>0</v>
      </c>
      <c r="AC2187" s="32">
        <f>IFERROR(__xludf.DUMMYFUNCTION("IFERROR(FILTER($AF:$AF,$C:$C = $C2187,$A:$A = $A2187 - 1,$B:$B = 12),0)"),0.0)</f>
        <v>0</v>
      </c>
      <c r="AD2187" s="32">
        <f t="shared" si="23"/>
        <v>0</v>
      </c>
      <c r="AE2187" s="32">
        <f t="shared" si="2"/>
        <v>0</v>
      </c>
      <c r="AF2187" s="32"/>
    </row>
    <row r="2188">
      <c r="A2188" s="86"/>
      <c r="B2188" s="87"/>
      <c r="C2188" s="88"/>
      <c r="D2188" s="104"/>
      <c r="E2188" s="104"/>
      <c r="F2188" s="104"/>
      <c r="G2188" s="104"/>
      <c r="H2188" s="104"/>
      <c r="I2188" s="104"/>
      <c r="J2188" s="104"/>
      <c r="K2188" s="32"/>
      <c r="L2188" s="32"/>
      <c r="M2188" s="32"/>
      <c r="N2188" s="32"/>
      <c r="O2188" s="106"/>
      <c r="P2188" s="91">
        <f>IFERROR(__xludf.DUMMYFUNCTION("IFERROR(sum(FILTER($D:$N,$C:$C = $C2188,$A:$A &lt; $A2188,$B:$B = 12)),0) + sum($D2188:$N2188)"),0.0)</f>
        <v>0</v>
      </c>
      <c r="Q2188" s="92">
        <f t="shared" si="1"/>
        <v>0</v>
      </c>
      <c r="R2188" s="91">
        <f t="array" ref="R2188">IFERROR(INDEX('Fund YTD Target Values'!$1:$1000, MATCH($C2188,'Fund YTD Target Values'!$A:$A,0), MATCH($A2188,'Fund YTD Target Values'!$1:$1,0)),0)</f>
        <v>0</v>
      </c>
      <c r="S2188" s="91">
        <f>IFERROR(__xludf.DUMMYFUNCTION("IFERROR(sum(FILTER('Fund Investment Data'!$V:$V, 'Fund Investment Data'!$C:$C = $C2188, 'Fund Investment Data'!$A:$A &lt; $A2188)),0) + IFERROR(sum(FILTER('Fund Investment Data'!$V:$V, 'Fund Investment Data'!$C:$C = $C2188, 'Fund Investment Data'!$A:$A = $A2"&amp;"188, 'Fund Investment Data'!$B:$B &lt;= $B2188)),0)"),0.0)</f>
        <v>0</v>
      </c>
      <c r="T2188" s="32"/>
      <c r="U2188" s="32"/>
      <c r="V2188" s="32">
        <f>IFERROR(__xludf.DUMMYFUNCTION("$D2188 - IFERROR(FILTER($D:$D,$C:$C = $C2188, $A:$A = $A2188, $B:$B = $B2188 - 1),0)"),0.0)</f>
        <v>0</v>
      </c>
      <c r="W2188" s="93">
        <f>IFERROR(__xludf.DUMMYFUNCTION("$E2188 - IFERROR(FILTER($E:$E,$C:$C = $C2188, $A:$A = $A2188, $B:$B = $B2188 - 1),0)"),0.0)</f>
        <v>0</v>
      </c>
      <c r="X2188" s="91">
        <f>IFERROR(__xludf.DUMMYFUNCTION("iFERROR((FILTER('Fund Investment Data'!$Z:$Z, 'Fund Investment Data'!$C:$C = $C2188, 'Fund Investment Data'!$A:$A = $A2188 - 1, 'Fund Investment Data'!$B:$B = 12) + FILTER('Fund Investment Data'!$AB:$AB, 'Fund Investment Data'!$C:$C = $C2188, 'Fund Invest"&amp;"ment Data'!$A:$A = $A2188 - 1, 'Fund Investment Data'!$B:$B = 12)) * (1 + AVERAGE(FILTER('Inflation Data'!$C:$C,'Inflation Data'!$A:$A = ($A2188 - 2)))) * Parameters!$A$4,0)"),0.0)</f>
        <v>0</v>
      </c>
      <c r="Y2188" s="91">
        <f>IFERROR(__xludf.DUMMYFUNCTION("IFERROR((IFERROR(FILTER('Fund Investment Data'!$P:$P,'Fund Investment Data'!$C:$C = $C2188,'Fund Investment Data'!$A:$A = ($A2188 - 2), 'Fund Investment Data'!$B:$B = 12),0) - SUM(FILTER('Fund Investment Data'!$V:$V, 'Fund Investment Data'!$C:$C = $C2188,"&amp;" 'Fund Investment Data'!$A:$A = ($A2188 - 2), 'Fund Investment Data'!$B:$B &gt; 3)))  * Parameters!$B$4 * (1 - Parameters!$A$4),0)"),0.0)</f>
        <v>0</v>
      </c>
      <c r="Z2188" s="91">
        <f t="shared" si="24"/>
        <v>0</v>
      </c>
      <c r="AA2188" s="91">
        <f>IFERROR(__xludf.DUMMYFUNCTION("((IFERROR((SUM(FILTER('Fund Investment Data'!$V:$V, 'Fund Investment Data'!$C:$C = $C2188, 'Fund Investment Data'!$A:$A = $A2188 - 1, 'Fund Investment Data'!$B:$B &gt;= 4, 'Fund Investment Data'!$B:$B &lt;= ($B2188 + 5))) / 12) * ($B2188 - 3) * Parameters!$B$4,"&amp;" 0) + IF($B2188 &gt;= 9, IFERROR(SUM(FILTER('Fund Investment Data'!$V:$V, 'Fund Investment Data'!$C:$C = $C2188, 'Fund Investment Data'!$A:$A = $A2188, 'Fund Investment Data'!$B:$B &lt;= 3)) * Parameters!$B$4, 0),0)))"),0.0)</f>
        <v>0</v>
      </c>
      <c r="AB2188" s="32">
        <f>IFERROR(__xludf.DUMMYFUNCTION("IFERROR(((IFERROR(SUM(FILTER('Fund Investment Data'!$V:$V, 'Fund Investment Data'!$C:$C = $C2188, 'Fund Investment Data'!$A:$A = $A2188 - 2, 'Fund Investment Data'!$B:$B &gt;= 4)) * Parameters!$B$4,0) + IFERROR(SUM(FILTER('Fund Investment Data'!$V:$V, 'Fund "&amp;"Investment Data'!$C:$C = $C2188, 'Fund Investment Data'!$A:$A = $A2188 - 1, 'Fund Investment Data'!$B:$B &lt;= 3)) * Parameters!$B$4,0))),0)"),0.0)</f>
        <v>0</v>
      </c>
      <c r="AC2188" s="32">
        <f>IFERROR(__xludf.DUMMYFUNCTION("IFERROR(FILTER($AF:$AF,$C:$C = $C2188,$A:$A = $A2188 - 1,$B:$B = 12),0)"),0.0)</f>
        <v>0</v>
      </c>
      <c r="AD2188" s="32">
        <f t="shared" si="23"/>
        <v>0</v>
      </c>
      <c r="AE2188" s="32">
        <f t="shared" si="2"/>
        <v>0</v>
      </c>
      <c r="AF2188" s="32"/>
    </row>
    <row r="2189">
      <c r="A2189" s="86"/>
      <c r="B2189" s="87"/>
      <c r="C2189" s="88"/>
      <c r="D2189" s="104"/>
      <c r="E2189" s="104"/>
      <c r="F2189" s="104"/>
      <c r="G2189" s="104"/>
      <c r="H2189" s="104"/>
      <c r="I2189" s="104"/>
      <c r="J2189" s="104"/>
      <c r="K2189" s="32"/>
      <c r="L2189" s="32"/>
      <c r="M2189" s="32"/>
      <c r="N2189" s="32"/>
      <c r="O2189" s="106"/>
      <c r="P2189" s="91">
        <f>IFERROR(__xludf.DUMMYFUNCTION("IFERROR(sum(FILTER($D:$N,$C:$C = $C2189,$A:$A &lt; $A2189,$B:$B = 12)),0) + sum($D2189:$N2189)"),0.0)</f>
        <v>0</v>
      </c>
      <c r="Q2189" s="92">
        <f t="shared" si="1"/>
        <v>0</v>
      </c>
      <c r="R2189" s="91">
        <f t="array" ref="R2189">IFERROR(INDEX('Fund YTD Target Values'!$1:$1000, MATCH($C2189,'Fund YTD Target Values'!$A:$A,0), MATCH($A2189,'Fund YTD Target Values'!$1:$1,0)),0)</f>
        <v>0</v>
      </c>
      <c r="S2189" s="91">
        <f>IFERROR(__xludf.DUMMYFUNCTION("IFERROR(sum(FILTER('Fund Investment Data'!$V:$V, 'Fund Investment Data'!$C:$C = $C2189, 'Fund Investment Data'!$A:$A &lt; $A2189)),0) + IFERROR(sum(FILTER('Fund Investment Data'!$V:$V, 'Fund Investment Data'!$C:$C = $C2189, 'Fund Investment Data'!$A:$A = $A2"&amp;"189, 'Fund Investment Data'!$B:$B &lt;= $B2189)),0)"),0.0)</f>
        <v>0</v>
      </c>
      <c r="T2189" s="32"/>
      <c r="U2189" s="32"/>
      <c r="V2189" s="32">
        <f>IFERROR(__xludf.DUMMYFUNCTION("$D2189 - IFERROR(FILTER($D:$D,$C:$C = $C2189, $A:$A = $A2189, $B:$B = $B2189 - 1),0)"),0.0)</f>
        <v>0</v>
      </c>
      <c r="W2189" s="93">
        <f>IFERROR(__xludf.DUMMYFUNCTION("$E2189 - IFERROR(FILTER($E:$E,$C:$C = $C2189, $A:$A = $A2189, $B:$B = $B2189 - 1),0)"),0.0)</f>
        <v>0</v>
      </c>
      <c r="X2189" s="91">
        <f>IFERROR(__xludf.DUMMYFUNCTION("iFERROR((FILTER('Fund Investment Data'!$Z:$Z, 'Fund Investment Data'!$C:$C = $C2189, 'Fund Investment Data'!$A:$A = $A2189 - 1, 'Fund Investment Data'!$B:$B = 12) + FILTER('Fund Investment Data'!$AB:$AB, 'Fund Investment Data'!$C:$C = $C2189, 'Fund Invest"&amp;"ment Data'!$A:$A = $A2189 - 1, 'Fund Investment Data'!$B:$B = 12)) * (1 + AVERAGE(FILTER('Inflation Data'!$C:$C,'Inflation Data'!$A:$A = ($A2189 - 2)))) * Parameters!$A$4,0)"),0.0)</f>
        <v>0</v>
      </c>
      <c r="Y2189" s="91">
        <f>IFERROR(__xludf.DUMMYFUNCTION("IFERROR((IFERROR(FILTER('Fund Investment Data'!$P:$P,'Fund Investment Data'!$C:$C = $C2189,'Fund Investment Data'!$A:$A = ($A2189 - 2), 'Fund Investment Data'!$B:$B = 12),0) - SUM(FILTER('Fund Investment Data'!$V:$V, 'Fund Investment Data'!$C:$C = $C2189,"&amp;" 'Fund Investment Data'!$A:$A = ($A2189 - 2), 'Fund Investment Data'!$B:$B &gt; 3)))  * Parameters!$B$4 * (1 - Parameters!$A$4),0)"),0.0)</f>
        <v>0</v>
      </c>
      <c r="Z2189" s="91">
        <f t="shared" si="24"/>
        <v>0</v>
      </c>
      <c r="AA2189" s="91">
        <f>IFERROR(__xludf.DUMMYFUNCTION("((IFERROR((SUM(FILTER('Fund Investment Data'!$V:$V, 'Fund Investment Data'!$C:$C = $C2189, 'Fund Investment Data'!$A:$A = $A2189 - 1, 'Fund Investment Data'!$B:$B &gt;= 4, 'Fund Investment Data'!$B:$B &lt;= ($B2189 + 5))) / 12) * ($B2189 - 3) * Parameters!$B$4,"&amp;" 0) + IF($B2189 &gt;= 9, IFERROR(SUM(FILTER('Fund Investment Data'!$V:$V, 'Fund Investment Data'!$C:$C = $C2189, 'Fund Investment Data'!$A:$A = $A2189, 'Fund Investment Data'!$B:$B &lt;= 3)) * Parameters!$B$4, 0),0)))"),0.0)</f>
        <v>0</v>
      </c>
      <c r="AB2189" s="32">
        <f>IFERROR(__xludf.DUMMYFUNCTION("IFERROR(((IFERROR(SUM(FILTER('Fund Investment Data'!$V:$V, 'Fund Investment Data'!$C:$C = $C2189, 'Fund Investment Data'!$A:$A = $A2189 - 2, 'Fund Investment Data'!$B:$B &gt;= 4)) * Parameters!$B$4,0) + IFERROR(SUM(FILTER('Fund Investment Data'!$V:$V, 'Fund "&amp;"Investment Data'!$C:$C = $C2189, 'Fund Investment Data'!$A:$A = $A2189 - 1, 'Fund Investment Data'!$B:$B &lt;= 3)) * Parameters!$B$4,0))),0)"),0.0)</f>
        <v>0</v>
      </c>
      <c r="AC2189" s="32">
        <f>IFERROR(__xludf.DUMMYFUNCTION("IFERROR(FILTER($AF:$AF,$C:$C = $C2189,$A:$A = $A2189 - 1,$B:$B = 12),0)"),0.0)</f>
        <v>0</v>
      </c>
      <c r="AD2189" s="32">
        <f t="shared" si="23"/>
        <v>0</v>
      </c>
      <c r="AE2189" s="32">
        <f t="shared" si="2"/>
        <v>0</v>
      </c>
      <c r="AF2189" s="32"/>
    </row>
    <row r="2190">
      <c r="A2190" s="86"/>
      <c r="B2190" s="87"/>
      <c r="C2190" s="88"/>
      <c r="D2190" s="104"/>
      <c r="E2190" s="104"/>
      <c r="F2190" s="104"/>
      <c r="G2190" s="104"/>
      <c r="H2190" s="104"/>
      <c r="I2190" s="104"/>
      <c r="J2190" s="104"/>
      <c r="K2190" s="32"/>
      <c r="L2190" s="32"/>
      <c r="M2190" s="32"/>
      <c r="N2190" s="32"/>
      <c r="O2190" s="106"/>
      <c r="P2190" s="91">
        <f>IFERROR(__xludf.DUMMYFUNCTION("IFERROR(sum(FILTER($D:$N,$C:$C = $C2190,$A:$A &lt; $A2190,$B:$B = 12)),0) + sum($D2190:$N2190)"),0.0)</f>
        <v>0</v>
      </c>
      <c r="Q2190" s="92">
        <f t="shared" si="1"/>
        <v>0</v>
      </c>
      <c r="R2190" s="91">
        <f t="array" ref="R2190">IFERROR(INDEX('Fund YTD Target Values'!$1:$1000, MATCH($C2190,'Fund YTD Target Values'!$A:$A,0), MATCH($A2190,'Fund YTD Target Values'!$1:$1,0)),0)</f>
        <v>0</v>
      </c>
      <c r="S2190" s="91">
        <f>IFERROR(__xludf.DUMMYFUNCTION("IFERROR(sum(FILTER('Fund Investment Data'!$V:$V, 'Fund Investment Data'!$C:$C = $C2190, 'Fund Investment Data'!$A:$A &lt; $A2190)),0) + IFERROR(sum(FILTER('Fund Investment Data'!$V:$V, 'Fund Investment Data'!$C:$C = $C2190, 'Fund Investment Data'!$A:$A = $A2"&amp;"190, 'Fund Investment Data'!$B:$B &lt;= $B2190)),0)"),0.0)</f>
        <v>0</v>
      </c>
      <c r="T2190" s="32"/>
      <c r="U2190" s="32"/>
      <c r="V2190" s="32">
        <f>IFERROR(__xludf.DUMMYFUNCTION("$D2190 - IFERROR(FILTER($D:$D,$C:$C = $C2190, $A:$A = $A2190, $B:$B = $B2190 - 1),0)"),0.0)</f>
        <v>0</v>
      </c>
      <c r="W2190" s="93">
        <f>IFERROR(__xludf.DUMMYFUNCTION("$E2190 - IFERROR(FILTER($E:$E,$C:$C = $C2190, $A:$A = $A2190, $B:$B = $B2190 - 1),0)"),0.0)</f>
        <v>0</v>
      </c>
      <c r="X2190" s="91">
        <f>IFERROR(__xludf.DUMMYFUNCTION("iFERROR((FILTER('Fund Investment Data'!$Z:$Z, 'Fund Investment Data'!$C:$C = $C2190, 'Fund Investment Data'!$A:$A = $A2190 - 1, 'Fund Investment Data'!$B:$B = 12) + FILTER('Fund Investment Data'!$AB:$AB, 'Fund Investment Data'!$C:$C = $C2190, 'Fund Invest"&amp;"ment Data'!$A:$A = $A2190 - 1, 'Fund Investment Data'!$B:$B = 12)) * (1 + AVERAGE(FILTER('Inflation Data'!$C:$C,'Inflation Data'!$A:$A = ($A2190 - 2)))) * Parameters!$A$4,0)"),0.0)</f>
        <v>0</v>
      </c>
      <c r="Y2190" s="91">
        <f>IFERROR(__xludf.DUMMYFUNCTION("IFERROR((IFERROR(FILTER('Fund Investment Data'!$P:$P,'Fund Investment Data'!$C:$C = $C2190,'Fund Investment Data'!$A:$A = ($A2190 - 2), 'Fund Investment Data'!$B:$B = 12),0) - SUM(FILTER('Fund Investment Data'!$V:$V, 'Fund Investment Data'!$C:$C = $C2190,"&amp;" 'Fund Investment Data'!$A:$A = ($A2190 - 2), 'Fund Investment Data'!$B:$B &gt; 3)))  * Parameters!$B$4 * (1 - Parameters!$A$4),0)"),0.0)</f>
        <v>0</v>
      </c>
      <c r="Z2190" s="91">
        <f t="shared" si="24"/>
        <v>0</v>
      </c>
      <c r="AA2190" s="91">
        <f>IFERROR(__xludf.DUMMYFUNCTION("((IFERROR((SUM(FILTER('Fund Investment Data'!$V:$V, 'Fund Investment Data'!$C:$C = $C2190, 'Fund Investment Data'!$A:$A = $A2190 - 1, 'Fund Investment Data'!$B:$B &gt;= 4, 'Fund Investment Data'!$B:$B &lt;= ($B2190 + 5))) / 12) * ($B2190 - 3) * Parameters!$B$4,"&amp;" 0) + IF($B2190 &gt;= 9, IFERROR(SUM(FILTER('Fund Investment Data'!$V:$V, 'Fund Investment Data'!$C:$C = $C2190, 'Fund Investment Data'!$A:$A = $A2190, 'Fund Investment Data'!$B:$B &lt;= 3)) * Parameters!$B$4, 0),0)))"),0.0)</f>
        <v>0</v>
      </c>
      <c r="AB2190" s="32">
        <f>IFERROR(__xludf.DUMMYFUNCTION("IFERROR(((IFERROR(SUM(FILTER('Fund Investment Data'!$V:$V, 'Fund Investment Data'!$C:$C = $C2190, 'Fund Investment Data'!$A:$A = $A2190 - 2, 'Fund Investment Data'!$B:$B &gt;= 4)) * Parameters!$B$4,0) + IFERROR(SUM(FILTER('Fund Investment Data'!$V:$V, 'Fund "&amp;"Investment Data'!$C:$C = $C2190, 'Fund Investment Data'!$A:$A = $A2190 - 1, 'Fund Investment Data'!$B:$B &lt;= 3)) * Parameters!$B$4,0))),0)"),0.0)</f>
        <v>0</v>
      </c>
      <c r="AC2190" s="32">
        <f>IFERROR(__xludf.DUMMYFUNCTION("IFERROR(FILTER($AF:$AF,$C:$C = $C2190,$A:$A = $A2190 - 1,$B:$B = 12),0)"),0.0)</f>
        <v>0</v>
      </c>
      <c r="AD2190" s="32">
        <f t="shared" si="23"/>
        <v>0</v>
      </c>
      <c r="AE2190" s="32">
        <f t="shared" si="2"/>
        <v>0</v>
      </c>
      <c r="AF2190" s="32"/>
    </row>
    <row r="2191">
      <c r="A2191" s="86"/>
      <c r="B2191" s="87"/>
      <c r="C2191" s="88"/>
      <c r="D2191" s="104"/>
      <c r="E2191" s="104"/>
      <c r="F2191" s="104"/>
      <c r="G2191" s="104"/>
      <c r="H2191" s="104"/>
      <c r="I2191" s="104"/>
      <c r="J2191" s="104"/>
      <c r="K2191" s="32"/>
      <c r="L2191" s="32"/>
      <c r="M2191" s="32"/>
      <c r="N2191" s="32"/>
      <c r="O2191" s="106"/>
      <c r="P2191" s="91">
        <f>IFERROR(__xludf.DUMMYFUNCTION("IFERROR(sum(FILTER($D:$N,$C:$C = $C2191,$A:$A &lt; $A2191,$B:$B = 12)),0) + sum($D2191:$N2191)"),0.0)</f>
        <v>0</v>
      </c>
      <c r="Q2191" s="92">
        <f t="shared" si="1"/>
        <v>0</v>
      </c>
      <c r="R2191" s="91">
        <f t="array" ref="R2191">IFERROR(INDEX('Fund YTD Target Values'!$1:$1000, MATCH($C2191,'Fund YTD Target Values'!$A:$A,0), MATCH($A2191,'Fund YTD Target Values'!$1:$1,0)),0)</f>
        <v>0</v>
      </c>
      <c r="S2191" s="91">
        <f>IFERROR(__xludf.DUMMYFUNCTION("IFERROR(sum(FILTER('Fund Investment Data'!$V:$V, 'Fund Investment Data'!$C:$C = $C2191, 'Fund Investment Data'!$A:$A &lt; $A2191)),0) + IFERROR(sum(FILTER('Fund Investment Data'!$V:$V, 'Fund Investment Data'!$C:$C = $C2191, 'Fund Investment Data'!$A:$A = $A2"&amp;"191, 'Fund Investment Data'!$B:$B &lt;= $B2191)),0)"),0.0)</f>
        <v>0</v>
      </c>
      <c r="T2191" s="32"/>
      <c r="U2191" s="32"/>
      <c r="V2191" s="32">
        <f>IFERROR(__xludf.DUMMYFUNCTION("$D2191 - IFERROR(FILTER($D:$D,$C:$C = $C2191, $A:$A = $A2191, $B:$B = $B2191 - 1),0)"),0.0)</f>
        <v>0</v>
      </c>
      <c r="W2191" s="93">
        <f>IFERROR(__xludf.DUMMYFUNCTION("$E2191 - IFERROR(FILTER($E:$E,$C:$C = $C2191, $A:$A = $A2191, $B:$B = $B2191 - 1),0)"),0.0)</f>
        <v>0</v>
      </c>
      <c r="X2191" s="91">
        <f>IFERROR(__xludf.DUMMYFUNCTION("iFERROR((FILTER('Fund Investment Data'!$Z:$Z, 'Fund Investment Data'!$C:$C = $C2191, 'Fund Investment Data'!$A:$A = $A2191 - 1, 'Fund Investment Data'!$B:$B = 12) + FILTER('Fund Investment Data'!$AB:$AB, 'Fund Investment Data'!$C:$C = $C2191, 'Fund Invest"&amp;"ment Data'!$A:$A = $A2191 - 1, 'Fund Investment Data'!$B:$B = 12)) * (1 + AVERAGE(FILTER('Inflation Data'!$C:$C,'Inflation Data'!$A:$A = ($A2191 - 2)))) * Parameters!$A$4,0)"),0.0)</f>
        <v>0</v>
      </c>
      <c r="Y2191" s="91">
        <f>IFERROR(__xludf.DUMMYFUNCTION("IFERROR((IFERROR(FILTER('Fund Investment Data'!$P:$P,'Fund Investment Data'!$C:$C = $C2191,'Fund Investment Data'!$A:$A = ($A2191 - 2), 'Fund Investment Data'!$B:$B = 12),0) - SUM(FILTER('Fund Investment Data'!$V:$V, 'Fund Investment Data'!$C:$C = $C2191,"&amp;" 'Fund Investment Data'!$A:$A = ($A2191 - 2), 'Fund Investment Data'!$B:$B &gt; 3)))  * Parameters!$B$4 * (1 - Parameters!$A$4),0)"),0.0)</f>
        <v>0</v>
      </c>
      <c r="Z2191" s="91">
        <f t="shared" si="24"/>
        <v>0</v>
      </c>
      <c r="AA2191" s="91">
        <f>IFERROR(__xludf.DUMMYFUNCTION("((IFERROR((SUM(FILTER('Fund Investment Data'!$V:$V, 'Fund Investment Data'!$C:$C = $C2191, 'Fund Investment Data'!$A:$A = $A2191 - 1, 'Fund Investment Data'!$B:$B &gt;= 4, 'Fund Investment Data'!$B:$B &lt;= ($B2191 + 5))) / 12) * ($B2191 - 3) * Parameters!$B$4,"&amp;" 0) + IF($B2191 &gt;= 9, IFERROR(SUM(FILTER('Fund Investment Data'!$V:$V, 'Fund Investment Data'!$C:$C = $C2191, 'Fund Investment Data'!$A:$A = $A2191, 'Fund Investment Data'!$B:$B &lt;= 3)) * Parameters!$B$4, 0),0)))"),0.0)</f>
        <v>0</v>
      </c>
      <c r="AB2191" s="32">
        <f>IFERROR(__xludf.DUMMYFUNCTION("IFERROR(((IFERROR(SUM(FILTER('Fund Investment Data'!$V:$V, 'Fund Investment Data'!$C:$C = $C2191, 'Fund Investment Data'!$A:$A = $A2191 - 2, 'Fund Investment Data'!$B:$B &gt;= 4)) * Parameters!$B$4,0) + IFERROR(SUM(FILTER('Fund Investment Data'!$V:$V, 'Fund "&amp;"Investment Data'!$C:$C = $C2191, 'Fund Investment Data'!$A:$A = $A2191 - 1, 'Fund Investment Data'!$B:$B &lt;= 3)) * Parameters!$B$4,0))),0)"),0.0)</f>
        <v>0</v>
      </c>
      <c r="AC2191" s="32">
        <f>IFERROR(__xludf.DUMMYFUNCTION("IFERROR(FILTER($AF:$AF,$C:$C = $C2191,$A:$A = $A2191 - 1,$B:$B = 12),0)"),0.0)</f>
        <v>0</v>
      </c>
      <c r="AD2191" s="32">
        <f t="shared" si="23"/>
        <v>0</v>
      </c>
      <c r="AE2191" s="32">
        <f t="shared" si="2"/>
        <v>0</v>
      </c>
      <c r="AF2191" s="32"/>
    </row>
    <row r="2192">
      <c r="A2192" s="86"/>
      <c r="B2192" s="87"/>
      <c r="C2192" s="88"/>
      <c r="D2192" s="104"/>
      <c r="E2192" s="104"/>
      <c r="F2192" s="104"/>
      <c r="G2192" s="104"/>
      <c r="H2192" s="104"/>
      <c r="I2192" s="104"/>
      <c r="J2192" s="104"/>
      <c r="K2192" s="32"/>
      <c r="L2192" s="32"/>
      <c r="M2192" s="32"/>
      <c r="N2192" s="32"/>
      <c r="O2192" s="106"/>
      <c r="P2192" s="91">
        <f>IFERROR(__xludf.DUMMYFUNCTION("IFERROR(sum(FILTER($D:$N,$C:$C = $C2192,$A:$A &lt; $A2192,$B:$B = 12)),0) + sum($D2192:$N2192)"),0.0)</f>
        <v>0</v>
      </c>
      <c r="Q2192" s="92">
        <f t="shared" si="1"/>
        <v>0</v>
      </c>
      <c r="R2192" s="91">
        <f t="array" ref="R2192">IFERROR(INDEX('Fund YTD Target Values'!$1:$1000, MATCH($C2192,'Fund YTD Target Values'!$A:$A,0), MATCH($A2192,'Fund YTD Target Values'!$1:$1,0)),0)</f>
        <v>0</v>
      </c>
      <c r="S2192" s="91">
        <f>IFERROR(__xludf.DUMMYFUNCTION("IFERROR(sum(FILTER('Fund Investment Data'!$V:$V, 'Fund Investment Data'!$C:$C = $C2192, 'Fund Investment Data'!$A:$A &lt; $A2192)),0) + IFERROR(sum(FILTER('Fund Investment Data'!$V:$V, 'Fund Investment Data'!$C:$C = $C2192, 'Fund Investment Data'!$A:$A = $A2"&amp;"192, 'Fund Investment Data'!$B:$B &lt;= $B2192)),0)"),0.0)</f>
        <v>0</v>
      </c>
      <c r="T2192" s="32"/>
      <c r="U2192" s="32"/>
      <c r="V2192" s="32">
        <f>IFERROR(__xludf.DUMMYFUNCTION("$D2192 - IFERROR(FILTER($D:$D,$C:$C = $C2192, $A:$A = $A2192, $B:$B = $B2192 - 1),0)"),0.0)</f>
        <v>0</v>
      </c>
      <c r="W2192" s="93">
        <f>IFERROR(__xludf.DUMMYFUNCTION("$E2192 - IFERROR(FILTER($E:$E,$C:$C = $C2192, $A:$A = $A2192, $B:$B = $B2192 - 1),0)"),0.0)</f>
        <v>0</v>
      </c>
      <c r="X2192" s="91">
        <f>IFERROR(__xludf.DUMMYFUNCTION("iFERROR((FILTER('Fund Investment Data'!$Z:$Z, 'Fund Investment Data'!$C:$C = $C2192, 'Fund Investment Data'!$A:$A = $A2192 - 1, 'Fund Investment Data'!$B:$B = 12) + FILTER('Fund Investment Data'!$AB:$AB, 'Fund Investment Data'!$C:$C = $C2192, 'Fund Invest"&amp;"ment Data'!$A:$A = $A2192 - 1, 'Fund Investment Data'!$B:$B = 12)) * (1 + AVERAGE(FILTER('Inflation Data'!$C:$C,'Inflation Data'!$A:$A = ($A2192 - 2)))) * Parameters!$A$4,0)"),0.0)</f>
        <v>0</v>
      </c>
      <c r="Y2192" s="91">
        <f>IFERROR(__xludf.DUMMYFUNCTION("IFERROR((IFERROR(FILTER('Fund Investment Data'!$P:$P,'Fund Investment Data'!$C:$C = $C2192,'Fund Investment Data'!$A:$A = ($A2192 - 2), 'Fund Investment Data'!$B:$B = 12),0) - SUM(FILTER('Fund Investment Data'!$V:$V, 'Fund Investment Data'!$C:$C = $C2192,"&amp;" 'Fund Investment Data'!$A:$A = ($A2192 - 2), 'Fund Investment Data'!$B:$B &gt; 3)))  * Parameters!$B$4 * (1 - Parameters!$A$4),0)"),0.0)</f>
        <v>0</v>
      </c>
      <c r="Z2192" s="91">
        <f t="shared" si="24"/>
        <v>0</v>
      </c>
      <c r="AA2192" s="91">
        <f>IFERROR(__xludf.DUMMYFUNCTION("((IFERROR((SUM(FILTER('Fund Investment Data'!$V:$V, 'Fund Investment Data'!$C:$C = $C2192, 'Fund Investment Data'!$A:$A = $A2192 - 1, 'Fund Investment Data'!$B:$B &gt;= 4, 'Fund Investment Data'!$B:$B &lt;= ($B2192 + 5))) / 12) * ($B2192 - 3) * Parameters!$B$4,"&amp;" 0) + IF($B2192 &gt;= 9, IFERROR(SUM(FILTER('Fund Investment Data'!$V:$V, 'Fund Investment Data'!$C:$C = $C2192, 'Fund Investment Data'!$A:$A = $A2192, 'Fund Investment Data'!$B:$B &lt;= 3)) * Parameters!$B$4, 0),0)))"),0.0)</f>
        <v>0</v>
      </c>
      <c r="AB2192" s="32">
        <f>IFERROR(__xludf.DUMMYFUNCTION("IFERROR(((IFERROR(SUM(FILTER('Fund Investment Data'!$V:$V, 'Fund Investment Data'!$C:$C = $C2192, 'Fund Investment Data'!$A:$A = $A2192 - 2, 'Fund Investment Data'!$B:$B &gt;= 4)) * Parameters!$B$4,0) + IFERROR(SUM(FILTER('Fund Investment Data'!$V:$V, 'Fund "&amp;"Investment Data'!$C:$C = $C2192, 'Fund Investment Data'!$A:$A = $A2192 - 1, 'Fund Investment Data'!$B:$B &lt;= 3)) * Parameters!$B$4,0))),0)"),0.0)</f>
        <v>0</v>
      </c>
      <c r="AC2192" s="32">
        <f>IFERROR(__xludf.DUMMYFUNCTION("IFERROR(FILTER($AF:$AF,$C:$C = $C2192,$A:$A = $A2192 - 1,$B:$B = 12),0)"),0.0)</f>
        <v>0</v>
      </c>
      <c r="AD2192" s="32">
        <f t="shared" si="23"/>
        <v>0</v>
      </c>
      <c r="AE2192" s="32">
        <f t="shared" si="2"/>
        <v>0</v>
      </c>
      <c r="AF2192" s="32"/>
    </row>
    <row r="2193">
      <c r="A2193" s="86"/>
      <c r="B2193" s="87"/>
      <c r="C2193" s="88"/>
      <c r="D2193" s="104"/>
      <c r="E2193" s="104"/>
      <c r="F2193" s="104"/>
      <c r="G2193" s="104"/>
      <c r="H2193" s="104"/>
      <c r="I2193" s="104"/>
      <c r="J2193" s="104"/>
      <c r="K2193" s="32"/>
      <c r="L2193" s="32"/>
      <c r="M2193" s="32"/>
      <c r="N2193" s="32"/>
      <c r="O2193" s="106"/>
      <c r="P2193" s="91">
        <f>IFERROR(__xludf.DUMMYFUNCTION("IFERROR(sum(FILTER($D:$N,$C:$C = $C2193,$A:$A &lt; $A2193,$B:$B = 12)),0) + sum($D2193:$N2193)"),0.0)</f>
        <v>0</v>
      </c>
      <c r="Q2193" s="92">
        <f t="shared" si="1"/>
        <v>0</v>
      </c>
      <c r="R2193" s="91">
        <f t="array" ref="R2193">IFERROR(INDEX('Fund YTD Target Values'!$1:$1000, MATCH($C2193,'Fund YTD Target Values'!$A:$A,0), MATCH($A2193,'Fund YTD Target Values'!$1:$1,0)),0)</f>
        <v>0</v>
      </c>
      <c r="S2193" s="91">
        <f>IFERROR(__xludf.DUMMYFUNCTION("IFERROR(sum(FILTER('Fund Investment Data'!$V:$V, 'Fund Investment Data'!$C:$C = $C2193, 'Fund Investment Data'!$A:$A &lt; $A2193)),0) + IFERROR(sum(FILTER('Fund Investment Data'!$V:$V, 'Fund Investment Data'!$C:$C = $C2193, 'Fund Investment Data'!$A:$A = $A2"&amp;"193, 'Fund Investment Data'!$B:$B &lt;= $B2193)),0)"),0.0)</f>
        <v>0</v>
      </c>
      <c r="T2193" s="32"/>
      <c r="U2193" s="32"/>
      <c r="V2193" s="32">
        <f>IFERROR(__xludf.DUMMYFUNCTION("$D2193 - IFERROR(FILTER($D:$D,$C:$C = $C2193, $A:$A = $A2193, $B:$B = $B2193 - 1),0)"),0.0)</f>
        <v>0</v>
      </c>
      <c r="W2193" s="93">
        <f>IFERROR(__xludf.DUMMYFUNCTION("$E2193 - IFERROR(FILTER($E:$E,$C:$C = $C2193, $A:$A = $A2193, $B:$B = $B2193 - 1),0)"),0.0)</f>
        <v>0</v>
      </c>
      <c r="X2193" s="91">
        <f>IFERROR(__xludf.DUMMYFUNCTION("iFERROR((FILTER('Fund Investment Data'!$Z:$Z, 'Fund Investment Data'!$C:$C = $C2193, 'Fund Investment Data'!$A:$A = $A2193 - 1, 'Fund Investment Data'!$B:$B = 12) + FILTER('Fund Investment Data'!$AB:$AB, 'Fund Investment Data'!$C:$C = $C2193, 'Fund Invest"&amp;"ment Data'!$A:$A = $A2193 - 1, 'Fund Investment Data'!$B:$B = 12)) * (1 + AVERAGE(FILTER('Inflation Data'!$C:$C,'Inflation Data'!$A:$A = ($A2193 - 2)))) * Parameters!$A$4,0)"),0.0)</f>
        <v>0</v>
      </c>
      <c r="Y2193" s="91">
        <f>IFERROR(__xludf.DUMMYFUNCTION("IFERROR((IFERROR(FILTER('Fund Investment Data'!$P:$P,'Fund Investment Data'!$C:$C = $C2193,'Fund Investment Data'!$A:$A = ($A2193 - 2), 'Fund Investment Data'!$B:$B = 12),0) - SUM(FILTER('Fund Investment Data'!$V:$V, 'Fund Investment Data'!$C:$C = $C2193,"&amp;" 'Fund Investment Data'!$A:$A = ($A2193 - 2), 'Fund Investment Data'!$B:$B &gt; 3)))  * Parameters!$B$4 * (1 - Parameters!$A$4),0)"),0.0)</f>
        <v>0</v>
      </c>
      <c r="Z2193" s="91">
        <f t="shared" si="24"/>
        <v>0</v>
      </c>
      <c r="AA2193" s="91">
        <f>IFERROR(__xludf.DUMMYFUNCTION("((IFERROR((SUM(FILTER('Fund Investment Data'!$V:$V, 'Fund Investment Data'!$C:$C = $C2193, 'Fund Investment Data'!$A:$A = $A2193 - 1, 'Fund Investment Data'!$B:$B &gt;= 4, 'Fund Investment Data'!$B:$B &lt;= ($B2193 + 5))) / 12) * ($B2193 - 3) * Parameters!$B$4,"&amp;" 0) + IF($B2193 &gt;= 9, IFERROR(SUM(FILTER('Fund Investment Data'!$V:$V, 'Fund Investment Data'!$C:$C = $C2193, 'Fund Investment Data'!$A:$A = $A2193, 'Fund Investment Data'!$B:$B &lt;= 3)) * Parameters!$B$4, 0),0)))"),0.0)</f>
        <v>0</v>
      </c>
      <c r="AB2193" s="32">
        <f>IFERROR(__xludf.DUMMYFUNCTION("IFERROR(((IFERROR(SUM(FILTER('Fund Investment Data'!$V:$V, 'Fund Investment Data'!$C:$C = $C2193, 'Fund Investment Data'!$A:$A = $A2193 - 2, 'Fund Investment Data'!$B:$B &gt;= 4)) * Parameters!$B$4,0) + IFERROR(SUM(FILTER('Fund Investment Data'!$V:$V, 'Fund "&amp;"Investment Data'!$C:$C = $C2193, 'Fund Investment Data'!$A:$A = $A2193 - 1, 'Fund Investment Data'!$B:$B &lt;= 3)) * Parameters!$B$4,0))),0)"),0.0)</f>
        <v>0</v>
      </c>
      <c r="AC2193" s="32">
        <f>IFERROR(__xludf.DUMMYFUNCTION("IFERROR(FILTER($AF:$AF,$C:$C = $C2193,$A:$A = $A2193 - 1,$B:$B = 12),0)"),0.0)</f>
        <v>0</v>
      </c>
      <c r="AD2193" s="32">
        <f t="shared" si="23"/>
        <v>0</v>
      </c>
      <c r="AE2193" s="32">
        <f t="shared" si="2"/>
        <v>0</v>
      </c>
      <c r="AF2193" s="32"/>
    </row>
    <row r="2194">
      <c r="A2194" s="86"/>
      <c r="B2194" s="87"/>
      <c r="C2194" s="88"/>
      <c r="D2194" s="104"/>
      <c r="E2194" s="104"/>
      <c r="F2194" s="104"/>
      <c r="G2194" s="104"/>
      <c r="H2194" s="104"/>
      <c r="I2194" s="104"/>
      <c r="J2194" s="104"/>
      <c r="K2194" s="32"/>
      <c r="L2194" s="32"/>
      <c r="M2194" s="32"/>
      <c r="N2194" s="32"/>
      <c r="O2194" s="106"/>
      <c r="P2194" s="91">
        <f>IFERROR(__xludf.DUMMYFUNCTION("IFERROR(sum(FILTER($D:$N,$C:$C = $C2194,$A:$A &lt; $A2194,$B:$B = 12)),0) + sum($D2194:$N2194)"),0.0)</f>
        <v>0</v>
      </c>
      <c r="Q2194" s="92">
        <f t="shared" si="1"/>
        <v>0</v>
      </c>
      <c r="R2194" s="91">
        <f t="array" ref="R2194">IFERROR(INDEX('Fund YTD Target Values'!$1:$1000, MATCH($C2194,'Fund YTD Target Values'!$A:$A,0), MATCH($A2194,'Fund YTD Target Values'!$1:$1,0)),0)</f>
        <v>0</v>
      </c>
      <c r="S2194" s="91">
        <f>IFERROR(__xludf.DUMMYFUNCTION("IFERROR(sum(FILTER('Fund Investment Data'!$V:$V, 'Fund Investment Data'!$C:$C = $C2194, 'Fund Investment Data'!$A:$A &lt; $A2194)),0) + IFERROR(sum(FILTER('Fund Investment Data'!$V:$V, 'Fund Investment Data'!$C:$C = $C2194, 'Fund Investment Data'!$A:$A = $A2"&amp;"194, 'Fund Investment Data'!$B:$B &lt;= $B2194)),0)"),0.0)</f>
        <v>0</v>
      </c>
      <c r="T2194" s="32"/>
      <c r="U2194" s="32"/>
      <c r="V2194" s="32">
        <f>IFERROR(__xludf.DUMMYFUNCTION("$D2194 - IFERROR(FILTER($D:$D,$C:$C = $C2194, $A:$A = $A2194, $B:$B = $B2194 - 1),0)"),0.0)</f>
        <v>0</v>
      </c>
      <c r="W2194" s="93">
        <f>IFERROR(__xludf.DUMMYFUNCTION("$E2194 - IFERROR(FILTER($E:$E,$C:$C = $C2194, $A:$A = $A2194, $B:$B = $B2194 - 1),0)"),0.0)</f>
        <v>0</v>
      </c>
      <c r="X2194" s="91">
        <f>IFERROR(__xludf.DUMMYFUNCTION("iFERROR((FILTER('Fund Investment Data'!$Z:$Z, 'Fund Investment Data'!$C:$C = $C2194, 'Fund Investment Data'!$A:$A = $A2194 - 1, 'Fund Investment Data'!$B:$B = 12) + FILTER('Fund Investment Data'!$AB:$AB, 'Fund Investment Data'!$C:$C = $C2194, 'Fund Invest"&amp;"ment Data'!$A:$A = $A2194 - 1, 'Fund Investment Data'!$B:$B = 12)) * (1 + AVERAGE(FILTER('Inflation Data'!$C:$C,'Inflation Data'!$A:$A = ($A2194 - 2)))) * Parameters!$A$4,0)"),0.0)</f>
        <v>0</v>
      </c>
      <c r="Y2194" s="91">
        <f>IFERROR(__xludf.DUMMYFUNCTION("IFERROR((IFERROR(FILTER('Fund Investment Data'!$P:$P,'Fund Investment Data'!$C:$C = $C2194,'Fund Investment Data'!$A:$A = ($A2194 - 2), 'Fund Investment Data'!$B:$B = 12),0) - SUM(FILTER('Fund Investment Data'!$V:$V, 'Fund Investment Data'!$C:$C = $C2194,"&amp;" 'Fund Investment Data'!$A:$A = ($A2194 - 2), 'Fund Investment Data'!$B:$B &gt; 3)))  * Parameters!$B$4 * (1 - Parameters!$A$4),0)"),0.0)</f>
        <v>0</v>
      </c>
      <c r="Z2194" s="91">
        <f t="shared" si="24"/>
        <v>0</v>
      </c>
      <c r="AA2194" s="91">
        <f>IFERROR(__xludf.DUMMYFUNCTION("((IFERROR((SUM(FILTER('Fund Investment Data'!$V:$V, 'Fund Investment Data'!$C:$C = $C2194, 'Fund Investment Data'!$A:$A = $A2194 - 1, 'Fund Investment Data'!$B:$B &gt;= 4, 'Fund Investment Data'!$B:$B &lt;= ($B2194 + 5))) / 12) * ($B2194 - 3) * Parameters!$B$4,"&amp;" 0) + IF($B2194 &gt;= 9, IFERROR(SUM(FILTER('Fund Investment Data'!$V:$V, 'Fund Investment Data'!$C:$C = $C2194, 'Fund Investment Data'!$A:$A = $A2194, 'Fund Investment Data'!$B:$B &lt;= 3)) * Parameters!$B$4, 0),0)))"),0.0)</f>
        <v>0</v>
      </c>
      <c r="AB2194" s="32">
        <f>IFERROR(__xludf.DUMMYFUNCTION("IFERROR(((IFERROR(SUM(FILTER('Fund Investment Data'!$V:$V, 'Fund Investment Data'!$C:$C = $C2194, 'Fund Investment Data'!$A:$A = $A2194 - 2, 'Fund Investment Data'!$B:$B &gt;= 4)) * Parameters!$B$4,0) + IFERROR(SUM(FILTER('Fund Investment Data'!$V:$V, 'Fund "&amp;"Investment Data'!$C:$C = $C2194, 'Fund Investment Data'!$A:$A = $A2194 - 1, 'Fund Investment Data'!$B:$B &lt;= 3)) * Parameters!$B$4,0))),0)"),0.0)</f>
        <v>0</v>
      </c>
      <c r="AC2194" s="32">
        <f>IFERROR(__xludf.DUMMYFUNCTION("IFERROR(FILTER($AF:$AF,$C:$C = $C2194,$A:$A = $A2194 - 1,$B:$B = 12),0)"),0.0)</f>
        <v>0</v>
      </c>
      <c r="AD2194" s="32">
        <f t="shared" si="23"/>
        <v>0</v>
      </c>
      <c r="AE2194" s="32">
        <f t="shared" si="2"/>
        <v>0</v>
      </c>
      <c r="AF2194" s="32"/>
    </row>
    <row r="2195">
      <c r="A2195" s="86"/>
      <c r="B2195" s="87"/>
      <c r="C2195" s="88"/>
      <c r="D2195" s="104"/>
      <c r="E2195" s="104"/>
      <c r="F2195" s="104"/>
      <c r="G2195" s="104"/>
      <c r="H2195" s="104"/>
      <c r="I2195" s="104"/>
      <c r="J2195" s="104"/>
      <c r="K2195" s="32"/>
      <c r="L2195" s="32"/>
      <c r="M2195" s="32"/>
      <c r="N2195" s="32"/>
      <c r="O2195" s="106"/>
      <c r="P2195" s="91">
        <f>IFERROR(__xludf.DUMMYFUNCTION("IFERROR(sum(FILTER($D:$N,$C:$C = $C2195,$A:$A &lt; $A2195,$B:$B = 12)),0) + sum($D2195:$N2195)"),0.0)</f>
        <v>0</v>
      </c>
      <c r="Q2195" s="92">
        <f t="shared" si="1"/>
        <v>0</v>
      </c>
      <c r="R2195" s="91">
        <f t="array" ref="R2195">IFERROR(INDEX('Fund YTD Target Values'!$1:$1000, MATCH($C2195,'Fund YTD Target Values'!$A:$A,0), MATCH($A2195,'Fund YTD Target Values'!$1:$1,0)),0)</f>
        <v>0</v>
      </c>
      <c r="S2195" s="91">
        <f>IFERROR(__xludf.DUMMYFUNCTION("IFERROR(sum(FILTER('Fund Investment Data'!$V:$V, 'Fund Investment Data'!$C:$C = $C2195, 'Fund Investment Data'!$A:$A &lt; $A2195)),0) + IFERROR(sum(FILTER('Fund Investment Data'!$V:$V, 'Fund Investment Data'!$C:$C = $C2195, 'Fund Investment Data'!$A:$A = $A2"&amp;"195, 'Fund Investment Data'!$B:$B &lt;= $B2195)),0)"),0.0)</f>
        <v>0</v>
      </c>
      <c r="T2195" s="32"/>
      <c r="U2195" s="32"/>
      <c r="V2195" s="32">
        <f>IFERROR(__xludf.DUMMYFUNCTION("$D2195 - IFERROR(FILTER($D:$D,$C:$C = $C2195, $A:$A = $A2195, $B:$B = $B2195 - 1),0)"),0.0)</f>
        <v>0</v>
      </c>
      <c r="W2195" s="93">
        <f>IFERROR(__xludf.DUMMYFUNCTION("$E2195 - IFERROR(FILTER($E:$E,$C:$C = $C2195, $A:$A = $A2195, $B:$B = $B2195 - 1),0)"),0.0)</f>
        <v>0</v>
      </c>
      <c r="X2195" s="91">
        <f>IFERROR(__xludf.DUMMYFUNCTION("iFERROR((FILTER('Fund Investment Data'!$Z:$Z, 'Fund Investment Data'!$C:$C = $C2195, 'Fund Investment Data'!$A:$A = $A2195 - 1, 'Fund Investment Data'!$B:$B = 12) + FILTER('Fund Investment Data'!$AB:$AB, 'Fund Investment Data'!$C:$C = $C2195, 'Fund Invest"&amp;"ment Data'!$A:$A = $A2195 - 1, 'Fund Investment Data'!$B:$B = 12)) * (1 + AVERAGE(FILTER('Inflation Data'!$C:$C,'Inflation Data'!$A:$A = ($A2195 - 2)))) * Parameters!$A$4,0)"),0.0)</f>
        <v>0</v>
      </c>
      <c r="Y2195" s="91">
        <f>IFERROR(__xludf.DUMMYFUNCTION("IFERROR((IFERROR(FILTER('Fund Investment Data'!$P:$P,'Fund Investment Data'!$C:$C = $C2195,'Fund Investment Data'!$A:$A = ($A2195 - 2), 'Fund Investment Data'!$B:$B = 12),0) - SUM(FILTER('Fund Investment Data'!$V:$V, 'Fund Investment Data'!$C:$C = $C2195,"&amp;" 'Fund Investment Data'!$A:$A = ($A2195 - 2), 'Fund Investment Data'!$B:$B &gt; 3)))  * Parameters!$B$4 * (1 - Parameters!$A$4),0)"),0.0)</f>
        <v>0</v>
      </c>
      <c r="Z2195" s="91">
        <f t="shared" si="24"/>
        <v>0</v>
      </c>
      <c r="AA2195" s="91">
        <f>IFERROR(__xludf.DUMMYFUNCTION("((IFERROR((SUM(FILTER('Fund Investment Data'!$V:$V, 'Fund Investment Data'!$C:$C = $C2195, 'Fund Investment Data'!$A:$A = $A2195 - 1, 'Fund Investment Data'!$B:$B &gt;= 4, 'Fund Investment Data'!$B:$B &lt;= ($B2195 + 5))) / 12) * ($B2195 - 3) * Parameters!$B$4,"&amp;" 0) + IF($B2195 &gt;= 9, IFERROR(SUM(FILTER('Fund Investment Data'!$V:$V, 'Fund Investment Data'!$C:$C = $C2195, 'Fund Investment Data'!$A:$A = $A2195, 'Fund Investment Data'!$B:$B &lt;= 3)) * Parameters!$B$4, 0),0)))"),0.0)</f>
        <v>0</v>
      </c>
      <c r="AB2195" s="32">
        <f>IFERROR(__xludf.DUMMYFUNCTION("IFERROR(((IFERROR(SUM(FILTER('Fund Investment Data'!$V:$V, 'Fund Investment Data'!$C:$C = $C2195, 'Fund Investment Data'!$A:$A = $A2195 - 2, 'Fund Investment Data'!$B:$B &gt;= 4)) * Parameters!$B$4,0) + IFERROR(SUM(FILTER('Fund Investment Data'!$V:$V, 'Fund "&amp;"Investment Data'!$C:$C = $C2195, 'Fund Investment Data'!$A:$A = $A2195 - 1, 'Fund Investment Data'!$B:$B &lt;= 3)) * Parameters!$B$4,0))),0)"),0.0)</f>
        <v>0</v>
      </c>
      <c r="AC2195" s="32">
        <f>IFERROR(__xludf.DUMMYFUNCTION("IFERROR(FILTER($AF:$AF,$C:$C = $C2195,$A:$A = $A2195 - 1,$B:$B = 12),0)"),0.0)</f>
        <v>0</v>
      </c>
      <c r="AD2195" s="32">
        <f t="shared" si="23"/>
        <v>0</v>
      </c>
      <c r="AE2195" s="32">
        <f t="shared" si="2"/>
        <v>0</v>
      </c>
      <c r="AF2195" s="32"/>
    </row>
    <row r="2196">
      <c r="A2196" s="86"/>
      <c r="B2196" s="87"/>
      <c r="C2196" s="88"/>
      <c r="D2196" s="104"/>
      <c r="E2196" s="104"/>
      <c r="F2196" s="104"/>
      <c r="G2196" s="104"/>
      <c r="H2196" s="104"/>
      <c r="I2196" s="104"/>
      <c r="J2196" s="104"/>
      <c r="K2196" s="32"/>
      <c r="L2196" s="32"/>
      <c r="M2196" s="32"/>
      <c r="N2196" s="32"/>
      <c r="O2196" s="106"/>
      <c r="P2196" s="91">
        <f>IFERROR(__xludf.DUMMYFUNCTION("IFERROR(sum(FILTER($D:$N,$C:$C = $C2196,$A:$A &lt; $A2196,$B:$B = 12)),0) + sum($D2196:$N2196)"),0.0)</f>
        <v>0</v>
      </c>
      <c r="Q2196" s="92">
        <f t="shared" si="1"/>
        <v>0</v>
      </c>
      <c r="R2196" s="91">
        <f t="array" ref="R2196">IFERROR(INDEX('Fund YTD Target Values'!$1:$1000, MATCH($C2196,'Fund YTD Target Values'!$A:$A,0), MATCH($A2196,'Fund YTD Target Values'!$1:$1,0)),0)</f>
        <v>0</v>
      </c>
      <c r="S2196" s="91">
        <f>IFERROR(__xludf.DUMMYFUNCTION("IFERROR(sum(FILTER('Fund Investment Data'!$V:$V, 'Fund Investment Data'!$C:$C = $C2196, 'Fund Investment Data'!$A:$A &lt; $A2196)),0) + IFERROR(sum(FILTER('Fund Investment Data'!$V:$V, 'Fund Investment Data'!$C:$C = $C2196, 'Fund Investment Data'!$A:$A = $A2"&amp;"196, 'Fund Investment Data'!$B:$B &lt;= $B2196)),0)"),0.0)</f>
        <v>0</v>
      </c>
      <c r="T2196" s="32"/>
      <c r="U2196" s="32"/>
      <c r="V2196" s="32">
        <f>IFERROR(__xludf.DUMMYFUNCTION("$D2196 - IFERROR(FILTER($D:$D,$C:$C = $C2196, $A:$A = $A2196, $B:$B = $B2196 - 1),0)"),0.0)</f>
        <v>0</v>
      </c>
      <c r="W2196" s="93">
        <f>IFERROR(__xludf.DUMMYFUNCTION("$E2196 - IFERROR(FILTER($E:$E,$C:$C = $C2196, $A:$A = $A2196, $B:$B = $B2196 - 1),0)"),0.0)</f>
        <v>0</v>
      </c>
      <c r="X2196" s="91">
        <f>IFERROR(__xludf.DUMMYFUNCTION("iFERROR((FILTER('Fund Investment Data'!$Z:$Z, 'Fund Investment Data'!$C:$C = $C2196, 'Fund Investment Data'!$A:$A = $A2196 - 1, 'Fund Investment Data'!$B:$B = 12) + FILTER('Fund Investment Data'!$AB:$AB, 'Fund Investment Data'!$C:$C = $C2196, 'Fund Invest"&amp;"ment Data'!$A:$A = $A2196 - 1, 'Fund Investment Data'!$B:$B = 12)) * (1 + AVERAGE(FILTER('Inflation Data'!$C:$C,'Inflation Data'!$A:$A = ($A2196 - 2)))) * Parameters!$A$4,0)"),0.0)</f>
        <v>0</v>
      </c>
      <c r="Y2196" s="91">
        <f>IFERROR(__xludf.DUMMYFUNCTION("IFERROR((IFERROR(FILTER('Fund Investment Data'!$P:$P,'Fund Investment Data'!$C:$C = $C2196,'Fund Investment Data'!$A:$A = ($A2196 - 2), 'Fund Investment Data'!$B:$B = 12),0) - SUM(FILTER('Fund Investment Data'!$V:$V, 'Fund Investment Data'!$C:$C = $C2196,"&amp;" 'Fund Investment Data'!$A:$A = ($A2196 - 2), 'Fund Investment Data'!$B:$B &gt; 3)))  * Parameters!$B$4 * (1 - Parameters!$A$4),0)"),0.0)</f>
        <v>0</v>
      </c>
      <c r="Z2196" s="91">
        <f t="shared" si="24"/>
        <v>0</v>
      </c>
      <c r="AA2196" s="91">
        <f>IFERROR(__xludf.DUMMYFUNCTION("((IFERROR((SUM(FILTER('Fund Investment Data'!$V:$V, 'Fund Investment Data'!$C:$C = $C2196, 'Fund Investment Data'!$A:$A = $A2196 - 1, 'Fund Investment Data'!$B:$B &gt;= 4, 'Fund Investment Data'!$B:$B &lt;= ($B2196 + 5))) / 12) * ($B2196 - 3) * Parameters!$B$4,"&amp;" 0) + IF($B2196 &gt;= 9, IFERROR(SUM(FILTER('Fund Investment Data'!$V:$V, 'Fund Investment Data'!$C:$C = $C2196, 'Fund Investment Data'!$A:$A = $A2196, 'Fund Investment Data'!$B:$B &lt;= 3)) * Parameters!$B$4, 0),0)))"),0.0)</f>
        <v>0</v>
      </c>
      <c r="AB2196" s="32">
        <f>IFERROR(__xludf.DUMMYFUNCTION("IFERROR(((IFERROR(SUM(FILTER('Fund Investment Data'!$V:$V, 'Fund Investment Data'!$C:$C = $C2196, 'Fund Investment Data'!$A:$A = $A2196 - 2, 'Fund Investment Data'!$B:$B &gt;= 4)) * Parameters!$B$4,0) + IFERROR(SUM(FILTER('Fund Investment Data'!$V:$V, 'Fund "&amp;"Investment Data'!$C:$C = $C2196, 'Fund Investment Data'!$A:$A = $A2196 - 1, 'Fund Investment Data'!$B:$B &lt;= 3)) * Parameters!$B$4,0))),0)"),0.0)</f>
        <v>0</v>
      </c>
      <c r="AC2196" s="32">
        <f>IFERROR(__xludf.DUMMYFUNCTION("IFERROR(FILTER($AF:$AF,$C:$C = $C2196,$A:$A = $A2196 - 1,$B:$B = 12),0)"),0.0)</f>
        <v>0</v>
      </c>
      <c r="AD2196" s="32">
        <f t="shared" si="23"/>
        <v>0</v>
      </c>
      <c r="AE2196" s="32">
        <f t="shared" si="2"/>
        <v>0</v>
      </c>
      <c r="AF2196" s="32"/>
    </row>
    <row r="2197">
      <c r="A2197" s="86"/>
      <c r="B2197" s="87"/>
      <c r="C2197" s="88"/>
      <c r="D2197" s="104"/>
      <c r="E2197" s="104"/>
      <c r="F2197" s="104"/>
      <c r="G2197" s="104"/>
      <c r="H2197" s="104"/>
      <c r="I2197" s="104"/>
      <c r="J2197" s="104"/>
      <c r="K2197" s="32"/>
      <c r="L2197" s="32"/>
      <c r="M2197" s="32"/>
      <c r="N2197" s="32"/>
      <c r="O2197" s="106"/>
      <c r="P2197" s="91">
        <f>IFERROR(__xludf.DUMMYFUNCTION("IFERROR(sum(FILTER($D:$N,$C:$C = $C2197,$A:$A &lt; $A2197,$B:$B = 12)),0) + sum($D2197:$N2197)"),0.0)</f>
        <v>0</v>
      </c>
      <c r="Q2197" s="92">
        <f t="shared" si="1"/>
        <v>0</v>
      </c>
      <c r="R2197" s="91">
        <f t="array" ref="R2197">IFERROR(INDEX('Fund YTD Target Values'!$1:$1000, MATCH($C2197,'Fund YTD Target Values'!$A:$A,0), MATCH($A2197,'Fund YTD Target Values'!$1:$1,0)),0)</f>
        <v>0</v>
      </c>
      <c r="S2197" s="91">
        <f>IFERROR(__xludf.DUMMYFUNCTION("IFERROR(sum(FILTER('Fund Investment Data'!$V:$V, 'Fund Investment Data'!$C:$C = $C2197, 'Fund Investment Data'!$A:$A &lt; $A2197)),0) + IFERROR(sum(FILTER('Fund Investment Data'!$V:$V, 'Fund Investment Data'!$C:$C = $C2197, 'Fund Investment Data'!$A:$A = $A2"&amp;"197, 'Fund Investment Data'!$B:$B &lt;= $B2197)),0)"),0.0)</f>
        <v>0</v>
      </c>
      <c r="T2197" s="32"/>
      <c r="U2197" s="32"/>
      <c r="V2197" s="32">
        <f>IFERROR(__xludf.DUMMYFUNCTION("$D2197 - IFERROR(FILTER($D:$D,$C:$C = $C2197, $A:$A = $A2197, $B:$B = $B2197 - 1),0)"),0.0)</f>
        <v>0</v>
      </c>
      <c r="W2197" s="93">
        <f>IFERROR(__xludf.DUMMYFUNCTION("$E2197 - IFERROR(FILTER($E:$E,$C:$C = $C2197, $A:$A = $A2197, $B:$B = $B2197 - 1),0)"),0.0)</f>
        <v>0</v>
      </c>
      <c r="X2197" s="91">
        <f>IFERROR(__xludf.DUMMYFUNCTION("iFERROR((FILTER('Fund Investment Data'!$Z:$Z, 'Fund Investment Data'!$C:$C = $C2197, 'Fund Investment Data'!$A:$A = $A2197 - 1, 'Fund Investment Data'!$B:$B = 12) + FILTER('Fund Investment Data'!$AB:$AB, 'Fund Investment Data'!$C:$C = $C2197, 'Fund Invest"&amp;"ment Data'!$A:$A = $A2197 - 1, 'Fund Investment Data'!$B:$B = 12)) * (1 + AVERAGE(FILTER('Inflation Data'!$C:$C,'Inflation Data'!$A:$A = ($A2197 - 2)))) * Parameters!$A$4,0)"),0.0)</f>
        <v>0</v>
      </c>
      <c r="Y2197" s="91">
        <f>IFERROR(__xludf.DUMMYFUNCTION("IFERROR((IFERROR(FILTER('Fund Investment Data'!$P:$P,'Fund Investment Data'!$C:$C = $C2197,'Fund Investment Data'!$A:$A = ($A2197 - 2), 'Fund Investment Data'!$B:$B = 12),0) - SUM(FILTER('Fund Investment Data'!$V:$V, 'Fund Investment Data'!$C:$C = $C2197,"&amp;" 'Fund Investment Data'!$A:$A = ($A2197 - 2), 'Fund Investment Data'!$B:$B &gt; 3)))  * Parameters!$B$4 * (1 - Parameters!$A$4),0)"),0.0)</f>
        <v>0</v>
      </c>
      <c r="Z2197" s="91">
        <f t="shared" si="24"/>
        <v>0</v>
      </c>
      <c r="AA2197" s="91">
        <f>IFERROR(__xludf.DUMMYFUNCTION("((IFERROR((SUM(FILTER('Fund Investment Data'!$V:$V, 'Fund Investment Data'!$C:$C = $C2197, 'Fund Investment Data'!$A:$A = $A2197 - 1, 'Fund Investment Data'!$B:$B &gt;= 4, 'Fund Investment Data'!$B:$B &lt;= ($B2197 + 5))) / 12) * ($B2197 - 3) * Parameters!$B$4,"&amp;" 0) + IF($B2197 &gt;= 9, IFERROR(SUM(FILTER('Fund Investment Data'!$V:$V, 'Fund Investment Data'!$C:$C = $C2197, 'Fund Investment Data'!$A:$A = $A2197, 'Fund Investment Data'!$B:$B &lt;= 3)) * Parameters!$B$4, 0),0)))"),0.0)</f>
        <v>0</v>
      </c>
      <c r="AB2197" s="32">
        <f>IFERROR(__xludf.DUMMYFUNCTION("IFERROR(((IFERROR(SUM(FILTER('Fund Investment Data'!$V:$V, 'Fund Investment Data'!$C:$C = $C2197, 'Fund Investment Data'!$A:$A = $A2197 - 2, 'Fund Investment Data'!$B:$B &gt;= 4)) * Parameters!$B$4,0) + IFERROR(SUM(FILTER('Fund Investment Data'!$V:$V, 'Fund "&amp;"Investment Data'!$C:$C = $C2197, 'Fund Investment Data'!$A:$A = $A2197 - 1, 'Fund Investment Data'!$B:$B &lt;= 3)) * Parameters!$B$4,0))),0)"),0.0)</f>
        <v>0</v>
      </c>
      <c r="AC2197" s="32">
        <f>IFERROR(__xludf.DUMMYFUNCTION("IFERROR(FILTER($AF:$AF,$C:$C = $C2197,$A:$A = $A2197 - 1,$B:$B = 12),0)"),0.0)</f>
        <v>0</v>
      </c>
      <c r="AD2197" s="32">
        <f t="shared" si="23"/>
        <v>0</v>
      </c>
      <c r="AE2197" s="32">
        <f t="shared" si="2"/>
        <v>0</v>
      </c>
      <c r="AF2197" s="32"/>
    </row>
    <row r="2198">
      <c r="A2198" s="86"/>
      <c r="B2198" s="87"/>
      <c r="C2198" s="88"/>
      <c r="D2198" s="104"/>
      <c r="E2198" s="104"/>
      <c r="F2198" s="104"/>
      <c r="G2198" s="104"/>
      <c r="H2198" s="104"/>
      <c r="I2198" s="104"/>
      <c r="J2198" s="104"/>
      <c r="K2198" s="32"/>
      <c r="L2198" s="32"/>
      <c r="M2198" s="32"/>
      <c r="N2198" s="32"/>
      <c r="O2198" s="106"/>
      <c r="P2198" s="91">
        <f>IFERROR(__xludf.DUMMYFUNCTION("IFERROR(sum(FILTER($D:$N,$C:$C = $C2198,$A:$A &lt; $A2198,$B:$B = 12)),0) + sum($D2198:$N2198)"),0.0)</f>
        <v>0</v>
      </c>
      <c r="Q2198" s="92">
        <f t="shared" si="1"/>
        <v>0</v>
      </c>
      <c r="R2198" s="91">
        <f t="array" ref="R2198">IFERROR(INDEX('Fund YTD Target Values'!$1:$1000, MATCH($C2198,'Fund YTD Target Values'!$A:$A,0), MATCH($A2198,'Fund YTD Target Values'!$1:$1,0)),0)</f>
        <v>0</v>
      </c>
      <c r="S2198" s="91">
        <f>IFERROR(__xludf.DUMMYFUNCTION("IFERROR(sum(FILTER('Fund Investment Data'!$V:$V, 'Fund Investment Data'!$C:$C = $C2198, 'Fund Investment Data'!$A:$A &lt; $A2198)),0) + IFERROR(sum(FILTER('Fund Investment Data'!$V:$V, 'Fund Investment Data'!$C:$C = $C2198, 'Fund Investment Data'!$A:$A = $A2"&amp;"198, 'Fund Investment Data'!$B:$B &lt;= $B2198)),0)"),0.0)</f>
        <v>0</v>
      </c>
      <c r="T2198" s="32"/>
      <c r="U2198" s="32"/>
      <c r="V2198" s="32">
        <f>IFERROR(__xludf.DUMMYFUNCTION("$D2198 - IFERROR(FILTER($D:$D,$C:$C = $C2198, $A:$A = $A2198, $B:$B = $B2198 - 1),0)"),0.0)</f>
        <v>0</v>
      </c>
      <c r="W2198" s="93">
        <f>IFERROR(__xludf.DUMMYFUNCTION("$E2198 - IFERROR(FILTER($E:$E,$C:$C = $C2198, $A:$A = $A2198, $B:$B = $B2198 - 1),0)"),0.0)</f>
        <v>0</v>
      </c>
      <c r="X2198" s="91">
        <f>IFERROR(__xludf.DUMMYFUNCTION("iFERROR((FILTER('Fund Investment Data'!$Z:$Z, 'Fund Investment Data'!$C:$C = $C2198, 'Fund Investment Data'!$A:$A = $A2198 - 1, 'Fund Investment Data'!$B:$B = 12) + FILTER('Fund Investment Data'!$AB:$AB, 'Fund Investment Data'!$C:$C = $C2198, 'Fund Invest"&amp;"ment Data'!$A:$A = $A2198 - 1, 'Fund Investment Data'!$B:$B = 12)) * (1 + AVERAGE(FILTER('Inflation Data'!$C:$C,'Inflation Data'!$A:$A = ($A2198 - 2)))) * Parameters!$A$4,0)"),0.0)</f>
        <v>0</v>
      </c>
      <c r="Y2198" s="91">
        <f>IFERROR(__xludf.DUMMYFUNCTION("IFERROR((IFERROR(FILTER('Fund Investment Data'!$P:$P,'Fund Investment Data'!$C:$C = $C2198,'Fund Investment Data'!$A:$A = ($A2198 - 2), 'Fund Investment Data'!$B:$B = 12),0) - SUM(FILTER('Fund Investment Data'!$V:$V, 'Fund Investment Data'!$C:$C = $C2198,"&amp;" 'Fund Investment Data'!$A:$A = ($A2198 - 2), 'Fund Investment Data'!$B:$B &gt; 3)))  * Parameters!$B$4 * (1 - Parameters!$A$4),0)"),0.0)</f>
        <v>0</v>
      </c>
      <c r="Z2198" s="91">
        <f t="shared" si="24"/>
        <v>0</v>
      </c>
      <c r="AA2198" s="91">
        <f>IFERROR(__xludf.DUMMYFUNCTION("((IFERROR((SUM(FILTER('Fund Investment Data'!$V:$V, 'Fund Investment Data'!$C:$C = $C2198, 'Fund Investment Data'!$A:$A = $A2198 - 1, 'Fund Investment Data'!$B:$B &gt;= 4, 'Fund Investment Data'!$B:$B &lt;= ($B2198 + 5))) / 12) * ($B2198 - 3) * Parameters!$B$4,"&amp;" 0) + IF($B2198 &gt;= 9, IFERROR(SUM(FILTER('Fund Investment Data'!$V:$V, 'Fund Investment Data'!$C:$C = $C2198, 'Fund Investment Data'!$A:$A = $A2198, 'Fund Investment Data'!$B:$B &lt;= 3)) * Parameters!$B$4, 0),0)))"),0.0)</f>
        <v>0</v>
      </c>
      <c r="AB2198" s="32">
        <f>IFERROR(__xludf.DUMMYFUNCTION("IFERROR(((IFERROR(SUM(FILTER('Fund Investment Data'!$V:$V, 'Fund Investment Data'!$C:$C = $C2198, 'Fund Investment Data'!$A:$A = $A2198 - 2, 'Fund Investment Data'!$B:$B &gt;= 4)) * Parameters!$B$4,0) + IFERROR(SUM(FILTER('Fund Investment Data'!$V:$V, 'Fund "&amp;"Investment Data'!$C:$C = $C2198, 'Fund Investment Data'!$A:$A = $A2198 - 1, 'Fund Investment Data'!$B:$B &lt;= 3)) * Parameters!$B$4,0))),0)"),0.0)</f>
        <v>0</v>
      </c>
      <c r="AC2198" s="32">
        <f>IFERROR(__xludf.DUMMYFUNCTION("IFERROR(FILTER($AF:$AF,$C:$C = $C2198,$A:$A = $A2198 - 1,$B:$B = 12),0)"),0.0)</f>
        <v>0</v>
      </c>
      <c r="AD2198" s="32">
        <f t="shared" si="23"/>
        <v>0</v>
      </c>
      <c r="AE2198" s="32">
        <f t="shared" si="2"/>
        <v>0</v>
      </c>
      <c r="AF2198" s="32"/>
    </row>
    <row r="2199">
      <c r="A2199" s="86"/>
      <c r="B2199" s="87"/>
      <c r="C2199" s="88"/>
      <c r="D2199" s="104"/>
      <c r="E2199" s="104"/>
      <c r="F2199" s="104"/>
      <c r="G2199" s="104"/>
      <c r="H2199" s="104"/>
      <c r="I2199" s="104"/>
      <c r="J2199" s="104"/>
      <c r="K2199" s="32"/>
      <c r="L2199" s="32"/>
      <c r="M2199" s="32"/>
      <c r="N2199" s="32"/>
      <c r="O2199" s="106"/>
      <c r="P2199" s="91">
        <f>IFERROR(__xludf.DUMMYFUNCTION("IFERROR(sum(FILTER($D:$N,$C:$C = $C2199,$A:$A &lt; $A2199,$B:$B = 12)),0) + sum($D2199:$N2199)"),0.0)</f>
        <v>0</v>
      </c>
      <c r="Q2199" s="92">
        <f t="shared" si="1"/>
        <v>0</v>
      </c>
      <c r="R2199" s="91">
        <f t="array" ref="R2199">IFERROR(INDEX('Fund YTD Target Values'!$1:$1000, MATCH($C2199,'Fund YTD Target Values'!$A:$A,0), MATCH($A2199,'Fund YTD Target Values'!$1:$1,0)),0)</f>
        <v>0</v>
      </c>
      <c r="S2199" s="91">
        <f>IFERROR(__xludf.DUMMYFUNCTION("IFERROR(sum(FILTER('Fund Investment Data'!$V:$V, 'Fund Investment Data'!$C:$C = $C2199, 'Fund Investment Data'!$A:$A &lt; $A2199)),0) + IFERROR(sum(FILTER('Fund Investment Data'!$V:$V, 'Fund Investment Data'!$C:$C = $C2199, 'Fund Investment Data'!$A:$A = $A2"&amp;"199, 'Fund Investment Data'!$B:$B &lt;= $B2199)),0)"),0.0)</f>
        <v>0</v>
      </c>
      <c r="T2199" s="32"/>
      <c r="U2199" s="32"/>
      <c r="V2199" s="32">
        <f>IFERROR(__xludf.DUMMYFUNCTION("$D2199 - IFERROR(FILTER($D:$D,$C:$C = $C2199, $A:$A = $A2199, $B:$B = $B2199 - 1),0)"),0.0)</f>
        <v>0</v>
      </c>
      <c r="W2199" s="93">
        <f>IFERROR(__xludf.DUMMYFUNCTION("$E2199 - IFERROR(FILTER($E:$E,$C:$C = $C2199, $A:$A = $A2199, $B:$B = $B2199 - 1),0)"),0.0)</f>
        <v>0</v>
      </c>
      <c r="X2199" s="91">
        <f>IFERROR(__xludf.DUMMYFUNCTION("iFERROR((FILTER('Fund Investment Data'!$Z:$Z, 'Fund Investment Data'!$C:$C = $C2199, 'Fund Investment Data'!$A:$A = $A2199 - 1, 'Fund Investment Data'!$B:$B = 12) + FILTER('Fund Investment Data'!$AB:$AB, 'Fund Investment Data'!$C:$C = $C2199, 'Fund Invest"&amp;"ment Data'!$A:$A = $A2199 - 1, 'Fund Investment Data'!$B:$B = 12)) * (1 + AVERAGE(FILTER('Inflation Data'!$C:$C,'Inflation Data'!$A:$A = ($A2199 - 2)))) * Parameters!$A$4,0)"),0.0)</f>
        <v>0</v>
      </c>
      <c r="Y2199" s="91">
        <f>IFERROR(__xludf.DUMMYFUNCTION("IFERROR((IFERROR(FILTER('Fund Investment Data'!$P:$P,'Fund Investment Data'!$C:$C = $C2199,'Fund Investment Data'!$A:$A = ($A2199 - 2), 'Fund Investment Data'!$B:$B = 12),0) - SUM(FILTER('Fund Investment Data'!$V:$V, 'Fund Investment Data'!$C:$C = $C2199,"&amp;" 'Fund Investment Data'!$A:$A = ($A2199 - 2), 'Fund Investment Data'!$B:$B &gt; 3)))  * Parameters!$B$4 * (1 - Parameters!$A$4),0)"),0.0)</f>
        <v>0</v>
      </c>
      <c r="Z2199" s="91">
        <f t="shared" si="24"/>
        <v>0</v>
      </c>
      <c r="AA2199" s="91">
        <f>IFERROR(__xludf.DUMMYFUNCTION("((IFERROR((SUM(FILTER('Fund Investment Data'!$V:$V, 'Fund Investment Data'!$C:$C = $C2199, 'Fund Investment Data'!$A:$A = $A2199 - 1, 'Fund Investment Data'!$B:$B &gt;= 4, 'Fund Investment Data'!$B:$B &lt;= ($B2199 + 5))) / 12) * ($B2199 - 3) * Parameters!$B$4,"&amp;" 0) + IF($B2199 &gt;= 9, IFERROR(SUM(FILTER('Fund Investment Data'!$V:$V, 'Fund Investment Data'!$C:$C = $C2199, 'Fund Investment Data'!$A:$A = $A2199, 'Fund Investment Data'!$B:$B &lt;= 3)) * Parameters!$B$4, 0),0)))"),0.0)</f>
        <v>0</v>
      </c>
      <c r="AB2199" s="32">
        <f>IFERROR(__xludf.DUMMYFUNCTION("IFERROR(((IFERROR(SUM(FILTER('Fund Investment Data'!$V:$V, 'Fund Investment Data'!$C:$C = $C2199, 'Fund Investment Data'!$A:$A = $A2199 - 2, 'Fund Investment Data'!$B:$B &gt;= 4)) * Parameters!$B$4,0) + IFERROR(SUM(FILTER('Fund Investment Data'!$V:$V, 'Fund "&amp;"Investment Data'!$C:$C = $C2199, 'Fund Investment Data'!$A:$A = $A2199 - 1, 'Fund Investment Data'!$B:$B &lt;= 3)) * Parameters!$B$4,0))),0)"),0.0)</f>
        <v>0</v>
      </c>
      <c r="AC2199" s="32">
        <f>IFERROR(__xludf.DUMMYFUNCTION("IFERROR(FILTER($AF:$AF,$C:$C = $C2199,$A:$A = $A2199 - 1,$B:$B = 12),0)"),0.0)</f>
        <v>0</v>
      </c>
      <c r="AD2199" s="32">
        <f t="shared" si="23"/>
        <v>0</v>
      </c>
      <c r="AE2199" s="32">
        <f t="shared" si="2"/>
        <v>0</v>
      </c>
      <c r="AF2199" s="32"/>
    </row>
    <row r="2200">
      <c r="A2200" s="86"/>
      <c r="B2200" s="87"/>
      <c r="C2200" s="88"/>
      <c r="D2200" s="104"/>
      <c r="E2200" s="104"/>
      <c r="F2200" s="104"/>
      <c r="G2200" s="104"/>
      <c r="H2200" s="104"/>
      <c r="I2200" s="104"/>
      <c r="J2200" s="104"/>
      <c r="K2200" s="32"/>
      <c r="L2200" s="32"/>
      <c r="M2200" s="32"/>
      <c r="N2200" s="32"/>
      <c r="O2200" s="106"/>
      <c r="P2200" s="91">
        <f>IFERROR(__xludf.DUMMYFUNCTION("IFERROR(sum(FILTER($D:$N,$C:$C = $C2200,$A:$A &lt; $A2200,$B:$B = 12)),0) + sum($D2200:$N2200)"),0.0)</f>
        <v>0</v>
      </c>
      <c r="Q2200" s="92">
        <f t="shared" si="1"/>
        <v>0</v>
      </c>
      <c r="R2200" s="91">
        <f t="array" ref="R2200">IFERROR(INDEX('Fund YTD Target Values'!$1:$1000, MATCH($C2200,'Fund YTD Target Values'!$A:$A,0), MATCH($A2200,'Fund YTD Target Values'!$1:$1,0)),0)</f>
        <v>0</v>
      </c>
      <c r="S2200" s="91">
        <f>IFERROR(__xludf.DUMMYFUNCTION("IFERROR(sum(FILTER('Fund Investment Data'!$V:$V, 'Fund Investment Data'!$C:$C = $C2200, 'Fund Investment Data'!$A:$A &lt; $A2200)),0) + IFERROR(sum(FILTER('Fund Investment Data'!$V:$V, 'Fund Investment Data'!$C:$C = $C2200, 'Fund Investment Data'!$A:$A = $A2"&amp;"200, 'Fund Investment Data'!$B:$B &lt;= $B2200)),0)"),0.0)</f>
        <v>0</v>
      </c>
      <c r="T2200" s="32"/>
      <c r="U2200" s="32"/>
      <c r="V2200" s="32">
        <f>IFERROR(__xludf.DUMMYFUNCTION("$D2200 - IFERROR(FILTER($D:$D,$C:$C = $C2200, $A:$A = $A2200, $B:$B = $B2200 - 1),0)"),0.0)</f>
        <v>0</v>
      </c>
      <c r="W2200" s="93">
        <f>IFERROR(__xludf.DUMMYFUNCTION("$E2200 - IFERROR(FILTER($E:$E,$C:$C = $C2200, $A:$A = $A2200, $B:$B = $B2200 - 1),0)"),0.0)</f>
        <v>0</v>
      </c>
      <c r="X2200" s="91">
        <f>IFERROR(__xludf.DUMMYFUNCTION("iFERROR((FILTER('Fund Investment Data'!$Z:$Z, 'Fund Investment Data'!$C:$C = $C2200, 'Fund Investment Data'!$A:$A = $A2200 - 1, 'Fund Investment Data'!$B:$B = 12) + FILTER('Fund Investment Data'!$AB:$AB, 'Fund Investment Data'!$C:$C = $C2200, 'Fund Invest"&amp;"ment Data'!$A:$A = $A2200 - 1, 'Fund Investment Data'!$B:$B = 12)) * (1 + AVERAGE(FILTER('Inflation Data'!$C:$C,'Inflation Data'!$A:$A = ($A2200 - 2)))) * Parameters!$A$4,0)"),0.0)</f>
        <v>0</v>
      </c>
      <c r="Y2200" s="91">
        <f>IFERROR(__xludf.DUMMYFUNCTION("IFERROR((IFERROR(FILTER('Fund Investment Data'!$P:$P,'Fund Investment Data'!$C:$C = $C2200,'Fund Investment Data'!$A:$A = ($A2200 - 2), 'Fund Investment Data'!$B:$B = 12),0) - SUM(FILTER('Fund Investment Data'!$V:$V, 'Fund Investment Data'!$C:$C = $C2200,"&amp;" 'Fund Investment Data'!$A:$A = ($A2200 - 2), 'Fund Investment Data'!$B:$B &gt; 3)))  * Parameters!$B$4 * (1 - Parameters!$A$4),0)"),0.0)</f>
        <v>0</v>
      </c>
      <c r="Z2200" s="91">
        <f t="shared" si="24"/>
        <v>0</v>
      </c>
      <c r="AA2200" s="91">
        <f>IFERROR(__xludf.DUMMYFUNCTION("((IFERROR((SUM(FILTER('Fund Investment Data'!$V:$V, 'Fund Investment Data'!$C:$C = $C2200, 'Fund Investment Data'!$A:$A = $A2200 - 1, 'Fund Investment Data'!$B:$B &gt;= 4, 'Fund Investment Data'!$B:$B &lt;= ($B2200 + 5))) / 12) * ($B2200 - 3) * Parameters!$B$4,"&amp;" 0) + IF($B2200 &gt;= 9, IFERROR(SUM(FILTER('Fund Investment Data'!$V:$V, 'Fund Investment Data'!$C:$C = $C2200, 'Fund Investment Data'!$A:$A = $A2200, 'Fund Investment Data'!$B:$B &lt;= 3)) * Parameters!$B$4, 0),0)))"),0.0)</f>
        <v>0</v>
      </c>
      <c r="AB2200" s="32">
        <f>IFERROR(__xludf.DUMMYFUNCTION("IFERROR(((IFERROR(SUM(FILTER('Fund Investment Data'!$V:$V, 'Fund Investment Data'!$C:$C = $C2200, 'Fund Investment Data'!$A:$A = $A2200 - 2, 'Fund Investment Data'!$B:$B &gt;= 4)) * Parameters!$B$4,0) + IFERROR(SUM(FILTER('Fund Investment Data'!$V:$V, 'Fund "&amp;"Investment Data'!$C:$C = $C2200, 'Fund Investment Data'!$A:$A = $A2200 - 1, 'Fund Investment Data'!$B:$B &lt;= 3)) * Parameters!$B$4,0))),0)"),0.0)</f>
        <v>0</v>
      </c>
      <c r="AC2200" s="32">
        <f>IFERROR(__xludf.DUMMYFUNCTION("IFERROR(FILTER($AF:$AF,$C:$C = $C2200,$A:$A = $A2200 - 1,$B:$B = 12),0)"),0.0)</f>
        <v>0</v>
      </c>
      <c r="AD2200" s="32">
        <f t="shared" si="23"/>
        <v>0</v>
      </c>
      <c r="AE2200" s="32">
        <f t="shared" si="2"/>
        <v>0</v>
      </c>
      <c r="AF2200" s="32"/>
    </row>
    <row r="2201">
      <c r="A2201" s="86"/>
      <c r="B2201" s="87"/>
      <c r="C2201" s="88"/>
      <c r="D2201" s="104"/>
      <c r="E2201" s="104"/>
      <c r="F2201" s="104"/>
      <c r="G2201" s="104"/>
      <c r="H2201" s="104"/>
      <c r="I2201" s="104"/>
      <c r="J2201" s="104"/>
      <c r="K2201" s="32"/>
      <c r="L2201" s="32"/>
      <c r="M2201" s="32"/>
      <c r="N2201" s="32"/>
      <c r="O2201" s="106"/>
      <c r="P2201" s="91">
        <f>IFERROR(__xludf.DUMMYFUNCTION("IFERROR(sum(FILTER($D:$N,$C:$C = $C2201,$A:$A &lt; $A2201,$B:$B = 12)),0) + sum($D2201:$N2201)"),0.0)</f>
        <v>0</v>
      </c>
      <c r="Q2201" s="92">
        <f t="shared" si="1"/>
        <v>0</v>
      </c>
      <c r="R2201" s="91">
        <f t="array" ref="R2201">IFERROR(INDEX('Fund YTD Target Values'!$1:$1000, MATCH($C2201,'Fund YTD Target Values'!$A:$A,0), MATCH($A2201,'Fund YTD Target Values'!$1:$1,0)),0)</f>
        <v>0</v>
      </c>
      <c r="S2201" s="91">
        <f>IFERROR(__xludf.DUMMYFUNCTION("IFERROR(sum(FILTER('Fund Investment Data'!$V:$V, 'Fund Investment Data'!$C:$C = $C2201, 'Fund Investment Data'!$A:$A &lt; $A2201)),0) + IFERROR(sum(FILTER('Fund Investment Data'!$V:$V, 'Fund Investment Data'!$C:$C = $C2201, 'Fund Investment Data'!$A:$A = $A2"&amp;"201, 'Fund Investment Data'!$B:$B &lt;= $B2201)),0)"),0.0)</f>
        <v>0</v>
      </c>
      <c r="T2201" s="32"/>
      <c r="U2201" s="32"/>
      <c r="V2201" s="32">
        <f>IFERROR(__xludf.DUMMYFUNCTION("$D2201 - IFERROR(FILTER($D:$D,$C:$C = $C2201, $A:$A = $A2201, $B:$B = $B2201 - 1),0)"),0.0)</f>
        <v>0</v>
      </c>
      <c r="W2201" s="93">
        <f>IFERROR(__xludf.DUMMYFUNCTION("$E2201 - IFERROR(FILTER($E:$E,$C:$C = $C2201, $A:$A = $A2201, $B:$B = $B2201 - 1),0)"),0.0)</f>
        <v>0</v>
      </c>
      <c r="X2201" s="91">
        <f>IFERROR(__xludf.DUMMYFUNCTION("iFERROR((FILTER('Fund Investment Data'!$Z:$Z, 'Fund Investment Data'!$C:$C = $C2201, 'Fund Investment Data'!$A:$A = $A2201 - 1, 'Fund Investment Data'!$B:$B = 12) + FILTER('Fund Investment Data'!$AB:$AB, 'Fund Investment Data'!$C:$C = $C2201, 'Fund Invest"&amp;"ment Data'!$A:$A = $A2201 - 1, 'Fund Investment Data'!$B:$B = 12)) * (1 + AVERAGE(FILTER('Inflation Data'!$C:$C,'Inflation Data'!$A:$A = ($A2201 - 2)))) * Parameters!$A$4,0)"),0.0)</f>
        <v>0</v>
      </c>
      <c r="Y2201" s="91">
        <f>IFERROR(__xludf.DUMMYFUNCTION("IFERROR((IFERROR(FILTER('Fund Investment Data'!$P:$P,'Fund Investment Data'!$C:$C = $C2201,'Fund Investment Data'!$A:$A = ($A2201 - 2), 'Fund Investment Data'!$B:$B = 12),0) - SUM(FILTER('Fund Investment Data'!$V:$V, 'Fund Investment Data'!$C:$C = $C2201,"&amp;" 'Fund Investment Data'!$A:$A = ($A2201 - 2), 'Fund Investment Data'!$B:$B &gt; 3)))  * Parameters!$B$4 * (1 - Parameters!$A$4),0)"),0.0)</f>
        <v>0</v>
      </c>
      <c r="Z2201" s="91">
        <f t="shared" si="24"/>
        <v>0</v>
      </c>
      <c r="AA2201" s="91">
        <f>IFERROR(__xludf.DUMMYFUNCTION("((IFERROR((SUM(FILTER('Fund Investment Data'!$V:$V, 'Fund Investment Data'!$C:$C = $C2201, 'Fund Investment Data'!$A:$A = $A2201 - 1, 'Fund Investment Data'!$B:$B &gt;= 4, 'Fund Investment Data'!$B:$B &lt;= ($B2201 + 5))) / 12) * ($B2201 - 3) * Parameters!$B$4,"&amp;" 0) + IF($B2201 &gt;= 9, IFERROR(SUM(FILTER('Fund Investment Data'!$V:$V, 'Fund Investment Data'!$C:$C = $C2201, 'Fund Investment Data'!$A:$A = $A2201, 'Fund Investment Data'!$B:$B &lt;= 3)) * Parameters!$B$4, 0),0)))"),0.0)</f>
        <v>0</v>
      </c>
      <c r="AB2201" s="32">
        <f>IFERROR(__xludf.DUMMYFUNCTION("IFERROR(((IFERROR(SUM(FILTER('Fund Investment Data'!$V:$V, 'Fund Investment Data'!$C:$C = $C2201, 'Fund Investment Data'!$A:$A = $A2201 - 2, 'Fund Investment Data'!$B:$B &gt;= 4)) * Parameters!$B$4,0) + IFERROR(SUM(FILTER('Fund Investment Data'!$V:$V, 'Fund "&amp;"Investment Data'!$C:$C = $C2201, 'Fund Investment Data'!$A:$A = $A2201 - 1, 'Fund Investment Data'!$B:$B &lt;= 3)) * Parameters!$B$4,0))),0)"),0.0)</f>
        <v>0</v>
      </c>
      <c r="AC2201" s="32">
        <f>IFERROR(__xludf.DUMMYFUNCTION("IFERROR(FILTER($AF:$AF,$C:$C = $C2201,$A:$A = $A2201 - 1,$B:$B = 12),0)"),0.0)</f>
        <v>0</v>
      </c>
      <c r="AD2201" s="32">
        <f t="shared" si="23"/>
        <v>0</v>
      </c>
      <c r="AE2201" s="32">
        <f t="shared" si="2"/>
        <v>0</v>
      </c>
      <c r="AF2201" s="32"/>
    </row>
    <row r="2202">
      <c r="A2202" s="86"/>
      <c r="B2202" s="87"/>
      <c r="C2202" s="88"/>
      <c r="D2202" s="104"/>
      <c r="E2202" s="104"/>
      <c r="F2202" s="104"/>
      <c r="G2202" s="104"/>
      <c r="H2202" s="104"/>
      <c r="I2202" s="104"/>
      <c r="J2202" s="104"/>
      <c r="K2202" s="32"/>
      <c r="L2202" s="32"/>
      <c r="M2202" s="32"/>
      <c r="N2202" s="32"/>
      <c r="O2202" s="106"/>
      <c r="P2202" s="91">
        <f>IFERROR(__xludf.DUMMYFUNCTION("IFERROR(sum(FILTER($D:$N,$C:$C = $C2202,$A:$A &lt; $A2202,$B:$B = 12)),0) + sum($D2202:$N2202)"),0.0)</f>
        <v>0</v>
      </c>
      <c r="Q2202" s="92">
        <f t="shared" si="1"/>
        <v>0</v>
      </c>
      <c r="R2202" s="91">
        <f t="array" ref="R2202">IFERROR(INDEX('Fund YTD Target Values'!$1:$1000, MATCH($C2202,'Fund YTD Target Values'!$A:$A,0), MATCH($A2202,'Fund YTD Target Values'!$1:$1,0)),0)</f>
        <v>0</v>
      </c>
      <c r="S2202" s="91">
        <f>IFERROR(__xludf.DUMMYFUNCTION("IFERROR(sum(FILTER('Fund Investment Data'!$V:$V, 'Fund Investment Data'!$C:$C = $C2202, 'Fund Investment Data'!$A:$A &lt; $A2202)),0) + IFERROR(sum(FILTER('Fund Investment Data'!$V:$V, 'Fund Investment Data'!$C:$C = $C2202, 'Fund Investment Data'!$A:$A = $A2"&amp;"202, 'Fund Investment Data'!$B:$B &lt;= $B2202)),0)"),0.0)</f>
        <v>0</v>
      </c>
      <c r="T2202" s="32"/>
      <c r="U2202" s="32"/>
      <c r="V2202" s="32">
        <f>IFERROR(__xludf.DUMMYFUNCTION("$D2202 - IFERROR(FILTER($D:$D,$C:$C = $C2202, $A:$A = $A2202, $B:$B = $B2202 - 1),0)"),0.0)</f>
        <v>0</v>
      </c>
      <c r="W2202" s="93">
        <f>IFERROR(__xludf.DUMMYFUNCTION("$E2202 - IFERROR(FILTER($E:$E,$C:$C = $C2202, $A:$A = $A2202, $B:$B = $B2202 - 1),0)"),0.0)</f>
        <v>0</v>
      </c>
      <c r="X2202" s="91">
        <f>IFERROR(__xludf.DUMMYFUNCTION("iFERROR((FILTER('Fund Investment Data'!$Z:$Z, 'Fund Investment Data'!$C:$C = $C2202, 'Fund Investment Data'!$A:$A = $A2202 - 1, 'Fund Investment Data'!$B:$B = 12) + FILTER('Fund Investment Data'!$AB:$AB, 'Fund Investment Data'!$C:$C = $C2202, 'Fund Invest"&amp;"ment Data'!$A:$A = $A2202 - 1, 'Fund Investment Data'!$B:$B = 12)) * (1 + AVERAGE(FILTER('Inflation Data'!$C:$C,'Inflation Data'!$A:$A = ($A2202 - 2)))) * Parameters!$A$4,0)"),0.0)</f>
        <v>0</v>
      </c>
      <c r="Y2202" s="91">
        <f>IFERROR(__xludf.DUMMYFUNCTION("IFERROR((IFERROR(FILTER('Fund Investment Data'!$P:$P,'Fund Investment Data'!$C:$C = $C2202,'Fund Investment Data'!$A:$A = ($A2202 - 2), 'Fund Investment Data'!$B:$B = 12),0) - SUM(FILTER('Fund Investment Data'!$V:$V, 'Fund Investment Data'!$C:$C = $C2202,"&amp;" 'Fund Investment Data'!$A:$A = ($A2202 - 2), 'Fund Investment Data'!$B:$B &gt; 3)))  * Parameters!$B$4 * (1 - Parameters!$A$4),0)"),0.0)</f>
        <v>0</v>
      </c>
      <c r="Z2202" s="91">
        <f t="shared" si="24"/>
        <v>0</v>
      </c>
      <c r="AA2202" s="91">
        <f>IFERROR(__xludf.DUMMYFUNCTION("((IFERROR((SUM(FILTER('Fund Investment Data'!$V:$V, 'Fund Investment Data'!$C:$C = $C2202, 'Fund Investment Data'!$A:$A = $A2202 - 1, 'Fund Investment Data'!$B:$B &gt;= 4, 'Fund Investment Data'!$B:$B &lt;= ($B2202 + 5))) / 12) * ($B2202 - 3) * Parameters!$B$4,"&amp;" 0) + IF($B2202 &gt;= 9, IFERROR(SUM(FILTER('Fund Investment Data'!$V:$V, 'Fund Investment Data'!$C:$C = $C2202, 'Fund Investment Data'!$A:$A = $A2202, 'Fund Investment Data'!$B:$B &lt;= 3)) * Parameters!$B$4, 0),0)))"),0.0)</f>
        <v>0</v>
      </c>
      <c r="AB2202" s="32">
        <f>IFERROR(__xludf.DUMMYFUNCTION("IFERROR(((IFERROR(SUM(FILTER('Fund Investment Data'!$V:$V, 'Fund Investment Data'!$C:$C = $C2202, 'Fund Investment Data'!$A:$A = $A2202 - 2, 'Fund Investment Data'!$B:$B &gt;= 4)) * Parameters!$B$4,0) + IFERROR(SUM(FILTER('Fund Investment Data'!$V:$V, 'Fund "&amp;"Investment Data'!$C:$C = $C2202, 'Fund Investment Data'!$A:$A = $A2202 - 1, 'Fund Investment Data'!$B:$B &lt;= 3)) * Parameters!$B$4,0))),0)"),0.0)</f>
        <v>0</v>
      </c>
      <c r="AC2202" s="32">
        <f>IFERROR(__xludf.DUMMYFUNCTION("IFERROR(FILTER($AF:$AF,$C:$C = $C2202,$A:$A = $A2202 - 1,$B:$B = 12),0)"),0.0)</f>
        <v>0</v>
      </c>
      <c r="AD2202" s="32">
        <f t="shared" si="23"/>
        <v>0</v>
      </c>
      <c r="AE2202" s="32">
        <f t="shared" si="2"/>
        <v>0</v>
      </c>
      <c r="AF2202" s="32"/>
    </row>
    <row r="2203">
      <c r="A2203" s="86"/>
      <c r="B2203" s="87"/>
      <c r="C2203" s="88"/>
      <c r="D2203" s="104"/>
      <c r="E2203" s="104"/>
      <c r="F2203" s="104"/>
      <c r="G2203" s="104"/>
      <c r="H2203" s="104"/>
      <c r="I2203" s="104"/>
      <c r="J2203" s="104"/>
      <c r="K2203" s="32"/>
      <c r="L2203" s="32"/>
      <c r="M2203" s="32"/>
      <c r="N2203" s="32"/>
      <c r="O2203" s="106"/>
      <c r="P2203" s="91">
        <f>IFERROR(__xludf.DUMMYFUNCTION("IFERROR(sum(FILTER($D:$N,$C:$C = $C2203,$A:$A &lt; $A2203,$B:$B = 12)),0) + sum($D2203:$N2203)"),0.0)</f>
        <v>0</v>
      </c>
      <c r="Q2203" s="92">
        <f t="shared" si="1"/>
        <v>0</v>
      </c>
      <c r="R2203" s="91">
        <f t="array" ref="R2203">IFERROR(INDEX('Fund YTD Target Values'!$1:$1000, MATCH($C2203,'Fund YTD Target Values'!$A:$A,0), MATCH($A2203,'Fund YTD Target Values'!$1:$1,0)),0)</f>
        <v>0</v>
      </c>
      <c r="S2203" s="91">
        <f>IFERROR(__xludf.DUMMYFUNCTION("IFERROR(sum(FILTER('Fund Investment Data'!$V:$V, 'Fund Investment Data'!$C:$C = $C2203, 'Fund Investment Data'!$A:$A &lt; $A2203)),0) + IFERROR(sum(FILTER('Fund Investment Data'!$V:$V, 'Fund Investment Data'!$C:$C = $C2203, 'Fund Investment Data'!$A:$A = $A2"&amp;"203, 'Fund Investment Data'!$B:$B &lt;= $B2203)),0)"),0.0)</f>
        <v>0</v>
      </c>
      <c r="T2203" s="32"/>
      <c r="U2203" s="32"/>
      <c r="V2203" s="32">
        <f>IFERROR(__xludf.DUMMYFUNCTION("$D2203 - IFERROR(FILTER($D:$D,$C:$C = $C2203, $A:$A = $A2203, $B:$B = $B2203 - 1),0)"),0.0)</f>
        <v>0</v>
      </c>
      <c r="W2203" s="93">
        <f>IFERROR(__xludf.DUMMYFUNCTION("$E2203 - IFERROR(FILTER($E:$E,$C:$C = $C2203, $A:$A = $A2203, $B:$B = $B2203 - 1),0)"),0.0)</f>
        <v>0</v>
      </c>
      <c r="X2203" s="91">
        <f>IFERROR(__xludf.DUMMYFUNCTION("iFERROR((FILTER('Fund Investment Data'!$Z:$Z, 'Fund Investment Data'!$C:$C = $C2203, 'Fund Investment Data'!$A:$A = $A2203 - 1, 'Fund Investment Data'!$B:$B = 12) + FILTER('Fund Investment Data'!$AB:$AB, 'Fund Investment Data'!$C:$C = $C2203, 'Fund Invest"&amp;"ment Data'!$A:$A = $A2203 - 1, 'Fund Investment Data'!$B:$B = 12)) * (1 + AVERAGE(FILTER('Inflation Data'!$C:$C,'Inflation Data'!$A:$A = ($A2203 - 2)))) * Parameters!$A$4,0)"),0.0)</f>
        <v>0</v>
      </c>
      <c r="Y2203" s="91">
        <f>IFERROR(__xludf.DUMMYFUNCTION("IFERROR((IFERROR(FILTER('Fund Investment Data'!$P:$P,'Fund Investment Data'!$C:$C = $C2203,'Fund Investment Data'!$A:$A = ($A2203 - 2), 'Fund Investment Data'!$B:$B = 12),0) - SUM(FILTER('Fund Investment Data'!$V:$V, 'Fund Investment Data'!$C:$C = $C2203,"&amp;" 'Fund Investment Data'!$A:$A = ($A2203 - 2), 'Fund Investment Data'!$B:$B &gt; 3)))  * Parameters!$B$4 * (1 - Parameters!$A$4),0)"),0.0)</f>
        <v>0</v>
      </c>
      <c r="Z2203" s="91">
        <f t="shared" si="24"/>
        <v>0</v>
      </c>
      <c r="AA2203" s="91">
        <f>IFERROR(__xludf.DUMMYFUNCTION("((IFERROR((SUM(FILTER('Fund Investment Data'!$V:$V, 'Fund Investment Data'!$C:$C = $C2203, 'Fund Investment Data'!$A:$A = $A2203 - 1, 'Fund Investment Data'!$B:$B &gt;= 4, 'Fund Investment Data'!$B:$B &lt;= ($B2203 + 5))) / 12) * ($B2203 - 3) * Parameters!$B$4,"&amp;" 0) + IF($B2203 &gt;= 9, IFERROR(SUM(FILTER('Fund Investment Data'!$V:$V, 'Fund Investment Data'!$C:$C = $C2203, 'Fund Investment Data'!$A:$A = $A2203, 'Fund Investment Data'!$B:$B &lt;= 3)) * Parameters!$B$4, 0),0)))"),0.0)</f>
        <v>0</v>
      </c>
      <c r="AB2203" s="32">
        <f>IFERROR(__xludf.DUMMYFUNCTION("IFERROR(((IFERROR(SUM(FILTER('Fund Investment Data'!$V:$V, 'Fund Investment Data'!$C:$C = $C2203, 'Fund Investment Data'!$A:$A = $A2203 - 2, 'Fund Investment Data'!$B:$B &gt;= 4)) * Parameters!$B$4,0) + IFERROR(SUM(FILTER('Fund Investment Data'!$V:$V, 'Fund "&amp;"Investment Data'!$C:$C = $C2203, 'Fund Investment Data'!$A:$A = $A2203 - 1, 'Fund Investment Data'!$B:$B &lt;= 3)) * Parameters!$B$4,0))),0)"),0.0)</f>
        <v>0</v>
      </c>
      <c r="AC2203" s="32">
        <f>IFERROR(__xludf.DUMMYFUNCTION("IFERROR(FILTER($AF:$AF,$C:$C = $C2203,$A:$A = $A2203 - 1,$B:$B = 12),0)"),0.0)</f>
        <v>0</v>
      </c>
      <c r="AD2203" s="32">
        <f t="shared" si="23"/>
        <v>0</v>
      </c>
      <c r="AE2203" s="32">
        <f t="shared" si="2"/>
        <v>0</v>
      </c>
      <c r="AF2203" s="32"/>
    </row>
    <row r="2204">
      <c r="A2204" s="86"/>
      <c r="B2204" s="87"/>
      <c r="C2204" s="88"/>
      <c r="D2204" s="104"/>
      <c r="E2204" s="104"/>
      <c r="F2204" s="104"/>
      <c r="G2204" s="104"/>
      <c r="H2204" s="104"/>
      <c r="I2204" s="104"/>
      <c r="J2204" s="104"/>
      <c r="K2204" s="32"/>
      <c r="L2204" s="32"/>
      <c r="M2204" s="32"/>
      <c r="N2204" s="32"/>
      <c r="O2204" s="106"/>
      <c r="P2204" s="91">
        <f>IFERROR(__xludf.DUMMYFUNCTION("IFERROR(sum(FILTER($D:$N,$C:$C = $C2204,$A:$A &lt; $A2204,$B:$B = 12)),0) + sum($D2204:$N2204)"),0.0)</f>
        <v>0</v>
      </c>
      <c r="Q2204" s="92">
        <f t="shared" si="1"/>
        <v>0</v>
      </c>
      <c r="R2204" s="91">
        <f t="array" ref="R2204">IFERROR(INDEX('Fund YTD Target Values'!$1:$1000, MATCH($C2204,'Fund YTD Target Values'!$A:$A,0), MATCH($A2204,'Fund YTD Target Values'!$1:$1,0)),0)</f>
        <v>0</v>
      </c>
      <c r="S2204" s="91">
        <f>IFERROR(__xludf.DUMMYFUNCTION("IFERROR(sum(FILTER('Fund Investment Data'!$V:$V, 'Fund Investment Data'!$C:$C = $C2204, 'Fund Investment Data'!$A:$A &lt; $A2204)),0) + IFERROR(sum(FILTER('Fund Investment Data'!$V:$V, 'Fund Investment Data'!$C:$C = $C2204, 'Fund Investment Data'!$A:$A = $A2"&amp;"204, 'Fund Investment Data'!$B:$B &lt;= $B2204)),0)"),0.0)</f>
        <v>0</v>
      </c>
      <c r="T2204" s="32"/>
      <c r="U2204" s="32"/>
      <c r="V2204" s="32">
        <f>IFERROR(__xludf.DUMMYFUNCTION("$D2204 - IFERROR(FILTER($D:$D,$C:$C = $C2204, $A:$A = $A2204, $B:$B = $B2204 - 1),0)"),0.0)</f>
        <v>0</v>
      </c>
      <c r="W2204" s="93">
        <f>IFERROR(__xludf.DUMMYFUNCTION("$E2204 - IFERROR(FILTER($E:$E,$C:$C = $C2204, $A:$A = $A2204, $B:$B = $B2204 - 1),0)"),0.0)</f>
        <v>0</v>
      </c>
      <c r="X2204" s="91">
        <f>IFERROR(__xludf.DUMMYFUNCTION("iFERROR((FILTER('Fund Investment Data'!$Z:$Z, 'Fund Investment Data'!$C:$C = $C2204, 'Fund Investment Data'!$A:$A = $A2204 - 1, 'Fund Investment Data'!$B:$B = 12) + FILTER('Fund Investment Data'!$AB:$AB, 'Fund Investment Data'!$C:$C = $C2204, 'Fund Invest"&amp;"ment Data'!$A:$A = $A2204 - 1, 'Fund Investment Data'!$B:$B = 12)) * (1 + AVERAGE(FILTER('Inflation Data'!$C:$C,'Inflation Data'!$A:$A = ($A2204 - 2)))) * Parameters!$A$4,0)"),0.0)</f>
        <v>0</v>
      </c>
      <c r="Y2204" s="91">
        <f>IFERROR(__xludf.DUMMYFUNCTION("IFERROR((IFERROR(FILTER('Fund Investment Data'!$P:$P,'Fund Investment Data'!$C:$C = $C2204,'Fund Investment Data'!$A:$A = ($A2204 - 2), 'Fund Investment Data'!$B:$B = 12),0) - SUM(FILTER('Fund Investment Data'!$V:$V, 'Fund Investment Data'!$C:$C = $C2204,"&amp;" 'Fund Investment Data'!$A:$A = ($A2204 - 2), 'Fund Investment Data'!$B:$B &gt; 3)))  * Parameters!$B$4 * (1 - Parameters!$A$4),0)"),0.0)</f>
        <v>0</v>
      </c>
      <c r="Z2204" s="91">
        <f t="shared" si="24"/>
        <v>0</v>
      </c>
      <c r="AA2204" s="91">
        <f>IFERROR(__xludf.DUMMYFUNCTION("((IFERROR((SUM(FILTER('Fund Investment Data'!$V:$V, 'Fund Investment Data'!$C:$C = $C2204, 'Fund Investment Data'!$A:$A = $A2204 - 1, 'Fund Investment Data'!$B:$B &gt;= 4, 'Fund Investment Data'!$B:$B &lt;= ($B2204 + 5))) / 12) * ($B2204 - 3) * Parameters!$B$4,"&amp;" 0) + IF($B2204 &gt;= 9, IFERROR(SUM(FILTER('Fund Investment Data'!$V:$V, 'Fund Investment Data'!$C:$C = $C2204, 'Fund Investment Data'!$A:$A = $A2204, 'Fund Investment Data'!$B:$B &lt;= 3)) * Parameters!$B$4, 0),0)))"),0.0)</f>
        <v>0</v>
      </c>
      <c r="AB2204" s="32">
        <f>IFERROR(__xludf.DUMMYFUNCTION("IFERROR(((IFERROR(SUM(FILTER('Fund Investment Data'!$V:$V, 'Fund Investment Data'!$C:$C = $C2204, 'Fund Investment Data'!$A:$A = $A2204 - 2, 'Fund Investment Data'!$B:$B &gt;= 4)) * Parameters!$B$4,0) + IFERROR(SUM(FILTER('Fund Investment Data'!$V:$V, 'Fund "&amp;"Investment Data'!$C:$C = $C2204, 'Fund Investment Data'!$A:$A = $A2204 - 1, 'Fund Investment Data'!$B:$B &lt;= 3)) * Parameters!$B$4,0))),0)"),0.0)</f>
        <v>0</v>
      </c>
      <c r="AC2204" s="32">
        <f>IFERROR(__xludf.DUMMYFUNCTION("IFERROR(FILTER($AF:$AF,$C:$C = $C2204,$A:$A = $A2204 - 1,$B:$B = 12),0)"),0.0)</f>
        <v>0</v>
      </c>
      <c r="AD2204" s="32">
        <f t="shared" si="23"/>
        <v>0</v>
      </c>
      <c r="AE2204" s="32">
        <f t="shared" si="2"/>
        <v>0</v>
      </c>
      <c r="AF2204" s="32"/>
    </row>
    <row r="2205">
      <c r="A2205" s="86"/>
      <c r="B2205" s="87"/>
      <c r="C2205" s="88"/>
      <c r="D2205" s="104"/>
      <c r="E2205" s="104"/>
      <c r="F2205" s="104"/>
      <c r="G2205" s="104"/>
      <c r="H2205" s="104"/>
      <c r="I2205" s="104"/>
      <c r="J2205" s="104"/>
      <c r="K2205" s="32"/>
      <c r="L2205" s="32"/>
      <c r="M2205" s="32"/>
      <c r="N2205" s="32"/>
      <c r="O2205" s="106"/>
      <c r="P2205" s="91">
        <f>IFERROR(__xludf.DUMMYFUNCTION("IFERROR(sum(FILTER($D:$N,$C:$C = $C2205,$A:$A &lt; $A2205,$B:$B = 12)),0) + sum($D2205:$N2205)"),0.0)</f>
        <v>0</v>
      </c>
      <c r="Q2205" s="92">
        <f t="shared" si="1"/>
        <v>0</v>
      </c>
      <c r="R2205" s="91">
        <f t="array" ref="R2205">IFERROR(INDEX('Fund YTD Target Values'!$1:$1000, MATCH($C2205,'Fund YTD Target Values'!$A:$A,0), MATCH($A2205,'Fund YTD Target Values'!$1:$1,0)),0)</f>
        <v>0</v>
      </c>
      <c r="S2205" s="91">
        <f>IFERROR(__xludf.DUMMYFUNCTION("IFERROR(sum(FILTER('Fund Investment Data'!$V:$V, 'Fund Investment Data'!$C:$C = $C2205, 'Fund Investment Data'!$A:$A &lt; $A2205)),0) + IFERROR(sum(FILTER('Fund Investment Data'!$V:$V, 'Fund Investment Data'!$C:$C = $C2205, 'Fund Investment Data'!$A:$A = $A2"&amp;"205, 'Fund Investment Data'!$B:$B &lt;= $B2205)),0)"),0.0)</f>
        <v>0</v>
      </c>
      <c r="T2205" s="32"/>
      <c r="U2205" s="32"/>
      <c r="V2205" s="32">
        <f>IFERROR(__xludf.DUMMYFUNCTION("$D2205 - IFERROR(FILTER($D:$D,$C:$C = $C2205, $A:$A = $A2205, $B:$B = $B2205 - 1),0)"),0.0)</f>
        <v>0</v>
      </c>
      <c r="W2205" s="93">
        <f>IFERROR(__xludf.DUMMYFUNCTION("$E2205 - IFERROR(FILTER($E:$E,$C:$C = $C2205, $A:$A = $A2205, $B:$B = $B2205 - 1),0)"),0.0)</f>
        <v>0</v>
      </c>
      <c r="X2205" s="91">
        <f>IFERROR(__xludf.DUMMYFUNCTION("iFERROR((FILTER('Fund Investment Data'!$Z:$Z, 'Fund Investment Data'!$C:$C = $C2205, 'Fund Investment Data'!$A:$A = $A2205 - 1, 'Fund Investment Data'!$B:$B = 12) + FILTER('Fund Investment Data'!$AB:$AB, 'Fund Investment Data'!$C:$C = $C2205, 'Fund Invest"&amp;"ment Data'!$A:$A = $A2205 - 1, 'Fund Investment Data'!$B:$B = 12)) * (1 + AVERAGE(FILTER('Inflation Data'!$C:$C,'Inflation Data'!$A:$A = ($A2205 - 2)))) * Parameters!$A$4,0)"),0.0)</f>
        <v>0</v>
      </c>
      <c r="Y2205" s="91">
        <f>IFERROR(__xludf.DUMMYFUNCTION("IFERROR((IFERROR(FILTER('Fund Investment Data'!$P:$P,'Fund Investment Data'!$C:$C = $C2205,'Fund Investment Data'!$A:$A = ($A2205 - 2), 'Fund Investment Data'!$B:$B = 12),0) - SUM(FILTER('Fund Investment Data'!$V:$V, 'Fund Investment Data'!$C:$C = $C2205,"&amp;" 'Fund Investment Data'!$A:$A = ($A2205 - 2), 'Fund Investment Data'!$B:$B &gt; 3)))  * Parameters!$B$4 * (1 - Parameters!$A$4),0)"),0.0)</f>
        <v>0</v>
      </c>
      <c r="Z2205" s="91">
        <f t="shared" si="24"/>
        <v>0</v>
      </c>
      <c r="AA2205" s="91">
        <f>IFERROR(__xludf.DUMMYFUNCTION("((IFERROR((SUM(FILTER('Fund Investment Data'!$V:$V, 'Fund Investment Data'!$C:$C = $C2205, 'Fund Investment Data'!$A:$A = $A2205 - 1, 'Fund Investment Data'!$B:$B &gt;= 4, 'Fund Investment Data'!$B:$B &lt;= ($B2205 + 5))) / 12) * ($B2205 - 3) * Parameters!$B$4,"&amp;" 0) + IF($B2205 &gt;= 9, IFERROR(SUM(FILTER('Fund Investment Data'!$V:$V, 'Fund Investment Data'!$C:$C = $C2205, 'Fund Investment Data'!$A:$A = $A2205, 'Fund Investment Data'!$B:$B &lt;= 3)) * Parameters!$B$4, 0),0)))"),0.0)</f>
        <v>0</v>
      </c>
      <c r="AB2205" s="32">
        <f>IFERROR(__xludf.DUMMYFUNCTION("IFERROR(((IFERROR(SUM(FILTER('Fund Investment Data'!$V:$V, 'Fund Investment Data'!$C:$C = $C2205, 'Fund Investment Data'!$A:$A = $A2205 - 2, 'Fund Investment Data'!$B:$B &gt;= 4)) * Parameters!$B$4,0) + IFERROR(SUM(FILTER('Fund Investment Data'!$V:$V, 'Fund "&amp;"Investment Data'!$C:$C = $C2205, 'Fund Investment Data'!$A:$A = $A2205 - 1, 'Fund Investment Data'!$B:$B &lt;= 3)) * Parameters!$B$4,0))),0)"),0.0)</f>
        <v>0</v>
      </c>
      <c r="AC2205" s="32">
        <f>IFERROR(__xludf.DUMMYFUNCTION("IFERROR(FILTER($AF:$AF,$C:$C = $C2205,$A:$A = $A2205 - 1,$B:$B = 12),0)"),0.0)</f>
        <v>0</v>
      </c>
      <c r="AD2205" s="32">
        <f t="shared" si="23"/>
        <v>0</v>
      </c>
      <c r="AE2205" s="32">
        <f t="shared" si="2"/>
        <v>0</v>
      </c>
      <c r="AF2205" s="32"/>
    </row>
    <row r="2206">
      <c r="A2206" s="86"/>
      <c r="B2206" s="87"/>
      <c r="C2206" s="88"/>
      <c r="D2206" s="104"/>
      <c r="E2206" s="104"/>
      <c r="F2206" s="104"/>
      <c r="G2206" s="104"/>
      <c r="H2206" s="104"/>
      <c r="I2206" s="104"/>
      <c r="J2206" s="104"/>
      <c r="K2206" s="32"/>
      <c r="L2206" s="32"/>
      <c r="M2206" s="32"/>
      <c r="N2206" s="32"/>
      <c r="O2206" s="106"/>
      <c r="P2206" s="91">
        <f>IFERROR(__xludf.DUMMYFUNCTION("IFERROR(sum(FILTER($D:$N,$C:$C = $C2206,$A:$A &lt; $A2206,$B:$B = 12)),0) + sum($D2206:$N2206)"),0.0)</f>
        <v>0</v>
      </c>
      <c r="Q2206" s="92">
        <f t="shared" si="1"/>
        <v>0</v>
      </c>
      <c r="R2206" s="91">
        <f t="array" ref="R2206">IFERROR(INDEX('Fund YTD Target Values'!$1:$1000, MATCH($C2206,'Fund YTD Target Values'!$A:$A,0), MATCH($A2206,'Fund YTD Target Values'!$1:$1,0)),0)</f>
        <v>0</v>
      </c>
      <c r="S2206" s="91">
        <f>IFERROR(__xludf.DUMMYFUNCTION("IFERROR(sum(FILTER('Fund Investment Data'!$V:$V, 'Fund Investment Data'!$C:$C = $C2206, 'Fund Investment Data'!$A:$A &lt; $A2206)),0) + IFERROR(sum(FILTER('Fund Investment Data'!$V:$V, 'Fund Investment Data'!$C:$C = $C2206, 'Fund Investment Data'!$A:$A = $A2"&amp;"206, 'Fund Investment Data'!$B:$B &lt;= $B2206)),0)"),0.0)</f>
        <v>0</v>
      </c>
      <c r="T2206" s="32"/>
      <c r="U2206" s="32"/>
      <c r="V2206" s="32">
        <f>IFERROR(__xludf.DUMMYFUNCTION("$D2206 - IFERROR(FILTER($D:$D,$C:$C = $C2206, $A:$A = $A2206, $B:$B = $B2206 - 1),0)"),0.0)</f>
        <v>0</v>
      </c>
      <c r="W2206" s="93">
        <f>IFERROR(__xludf.DUMMYFUNCTION("$E2206 - IFERROR(FILTER($E:$E,$C:$C = $C2206, $A:$A = $A2206, $B:$B = $B2206 - 1),0)"),0.0)</f>
        <v>0</v>
      </c>
      <c r="X2206" s="91">
        <f>IFERROR(__xludf.DUMMYFUNCTION("iFERROR((FILTER('Fund Investment Data'!$Z:$Z, 'Fund Investment Data'!$C:$C = $C2206, 'Fund Investment Data'!$A:$A = $A2206 - 1, 'Fund Investment Data'!$B:$B = 12) + FILTER('Fund Investment Data'!$AB:$AB, 'Fund Investment Data'!$C:$C = $C2206, 'Fund Invest"&amp;"ment Data'!$A:$A = $A2206 - 1, 'Fund Investment Data'!$B:$B = 12)) * (1 + AVERAGE(FILTER('Inflation Data'!$C:$C,'Inflation Data'!$A:$A = ($A2206 - 2)))) * Parameters!$A$4,0)"),0.0)</f>
        <v>0</v>
      </c>
      <c r="Y2206" s="91">
        <f>IFERROR(__xludf.DUMMYFUNCTION("IFERROR((IFERROR(FILTER('Fund Investment Data'!$P:$P,'Fund Investment Data'!$C:$C = $C2206,'Fund Investment Data'!$A:$A = ($A2206 - 2), 'Fund Investment Data'!$B:$B = 12),0) - SUM(FILTER('Fund Investment Data'!$V:$V, 'Fund Investment Data'!$C:$C = $C2206,"&amp;" 'Fund Investment Data'!$A:$A = ($A2206 - 2), 'Fund Investment Data'!$B:$B &gt; 3)))  * Parameters!$B$4 * (1 - Parameters!$A$4),0)"),0.0)</f>
        <v>0</v>
      </c>
      <c r="Z2206" s="91">
        <f t="shared" si="24"/>
        <v>0</v>
      </c>
      <c r="AA2206" s="91">
        <f>IFERROR(__xludf.DUMMYFUNCTION("((IFERROR((SUM(FILTER('Fund Investment Data'!$V:$V, 'Fund Investment Data'!$C:$C = $C2206, 'Fund Investment Data'!$A:$A = $A2206 - 1, 'Fund Investment Data'!$B:$B &gt;= 4, 'Fund Investment Data'!$B:$B &lt;= ($B2206 + 5))) / 12) * ($B2206 - 3) * Parameters!$B$4,"&amp;" 0) + IF($B2206 &gt;= 9, IFERROR(SUM(FILTER('Fund Investment Data'!$V:$V, 'Fund Investment Data'!$C:$C = $C2206, 'Fund Investment Data'!$A:$A = $A2206, 'Fund Investment Data'!$B:$B &lt;= 3)) * Parameters!$B$4, 0),0)))"),0.0)</f>
        <v>0</v>
      </c>
      <c r="AB2206" s="32">
        <f>IFERROR(__xludf.DUMMYFUNCTION("IFERROR(((IFERROR(SUM(FILTER('Fund Investment Data'!$V:$V, 'Fund Investment Data'!$C:$C = $C2206, 'Fund Investment Data'!$A:$A = $A2206 - 2, 'Fund Investment Data'!$B:$B &gt;= 4)) * Parameters!$B$4,0) + IFERROR(SUM(FILTER('Fund Investment Data'!$V:$V, 'Fund "&amp;"Investment Data'!$C:$C = $C2206, 'Fund Investment Data'!$A:$A = $A2206 - 1, 'Fund Investment Data'!$B:$B &lt;= 3)) * Parameters!$B$4,0))),0)"),0.0)</f>
        <v>0</v>
      </c>
      <c r="AC2206" s="32">
        <f>IFERROR(__xludf.DUMMYFUNCTION("IFERROR(FILTER($AF:$AF,$C:$C = $C2206,$A:$A = $A2206 - 1,$B:$B = 12),0)"),0.0)</f>
        <v>0</v>
      </c>
      <c r="AD2206" s="32">
        <f t="shared" si="23"/>
        <v>0</v>
      </c>
      <c r="AE2206" s="32">
        <f t="shared" si="2"/>
        <v>0</v>
      </c>
      <c r="AF2206" s="32"/>
    </row>
    <row r="2207">
      <c r="A2207" s="86"/>
      <c r="B2207" s="87"/>
      <c r="C2207" s="88"/>
      <c r="D2207" s="104"/>
      <c r="E2207" s="104"/>
      <c r="F2207" s="104"/>
      <c r="G2207" s="104"/>
      <c r="H2207" s="104"/>
      <c r="I2207" s="104"/>
      <c r="J2207" s="104"/>
      <c r="K2207" s="32"/>
      <c r="L2207" s="32"/>
      <c r="M2207" s="32"/>
      <c r="N2207" s="32"/>
      <c r="O2207" s="106"/>
      <c r="P2207" s="91">
        <f>IFERROR(__xludf.DUMMYFUNCTION("IFERROR(sum(FILTER($D:$N,$C:$C = $C2207,$A:$A &lt; $A2207,$B:$B = 12)),0) + sum($D2207:$N2207)"),0.0)</f>
        <v>0</v>
      </c>
      <c r="Q2207" s="92">
        <f t="shared" si="1"/>
        <v>0</v>
      </c>
      <c r="R2207" s="91">
        <f t="array" ref="R2207">IFERROR(INDEX('Fund YTD Target Values'!$1:$1000, MATCH($C2207,'Fund YTD Target Values'!$A:$A,0), MATCH($A2207,'Fund YTD Target Values'!$1:$1,0)),0)</f>
        <v>0</v>
      </c>
      <c r="S2207" s="91">
        <f>IFERROR(__xludf.DUMMYFUNCTION("IFERROR(sum(FILTER('Fund Investment Data'!$V:$V, 'Fund Investment Data'!$C:$C = $C2207, 'Fund Investment Data'!$A:$A &lt; $A2207)),0) + IFERROR(sum(FILTER('Fund Investment Data'!$V:$V, 'Fund Investment Data'!$C:$C = $C2207, 'Fund Investment Data'!$A:$A = $A2"&amp;"207, 'Fund Investment Data'!$B:$B &lt;= $B2207)),0)"),0.0)</f>
        <v>0</v>
      </c>
      <c r="T2207" s="32"/>
      <c r="U2207" s="32"/>
      <c r="V2207" s="32">
        <f>IFERROR(__xludf.DUMMYFUNCTION("$D2207 - IFERROR(FILTER($D:$D,$C:$C = $C2207, $A:$A = $A2207, $B:$B = $B2207 - 1),0)"),0.0)</f>
        <v>0</v>
      </c>
      <c r="W2207" s="93">
        <f>IFERROR(__xludf.DUMMYFUNCTION("$E2207 - IFERROR(FILTER($E:$E,$C:$C = $C2207, $A:$A = $A2207, $B:$B = $B2207 - 1),0)"),0.0)</f>
        <v>0</v>
      </c>
      <c r="X2207" s="91">
        <f>IFERROR(__xludf.DUMMYFUNCTION("iFERROR((FILTER('Fund Investment Data'!$Z:$Z, 'Fund Investment Data'!$C:$C = $C2207, 'Fund Investment Data'!$A:$A = $A2207 - 1, 'Fund Investment Data'!$B:$B = 12) + FILTER('Fund Investment Data'!$AB:$AB, 'Fund Investment Data'!$C:$C = $C2207, 'Fund Invest"&amp;"ment Data'!$A:$A = $A2207 - 1, 'Fund Investment Data'!$B:$B = 12)) * (1 + AVERAGE(FILTER('Inflation Data'!$C:$C,'Inflation Data'!$A:$A = ($A2207 - 2)))) * Parameters!$A$4,0)"),0.0)</f>
        <v>0</v>
      </c>
      <c r="Y2207" s="91">
        <f>IFERROR(__xludf.DUMMYFUNCTION("IFERROR((IFERROR(FILTER('Fund Investment Data'!$P:$P,'Fund Investment Data'!$C:$C = $C2207,'Fund Investment Data'!$A:$A = ($A2207 - 2), 'Fund Investment Data'!$B:$B = 12),0) - SUM(FILTER('Fund Investment Data'!$V:$V, 'Fund Investment Data'!$C:$C = $C2207,"&amp;" 'Fund Investment Data'!$A:$A = ($A2207 - 2), 'Fund Investment Data'!$B:$B &gt; 3)))  * Parameters!$B$4 * (1 - Parameters!$A$4),0)"),0.0)</f>
        <v>0</v>
      </c>
      <c r="Z2207" s="91">
        <f t="shared" si="24"/>
        <v>0</v>
      </c>
      <c r="AA2207" s="91">
        <f>IFERROR(__xludf.DUMMYFUNCTION("((IFERROR((SUM(FILTER('Fund Investment Data'!$V:$V, 'Fund Investment Data'!$C:$C = $C2207, 'Fund Investment Data'!$A:$A = $A2207 - 1, 'Fund Investment Data'!$B:$B &gt;= 4, 'Fund Investment Data'!$B:$B &lt;= ($B2207 + 5))) / 12) * ($B2207 - 3) * Parameters!$B$4,"&amp;" 0) + IF($B2207 &gt;= 9, IFERROR(SUM(FILTER('Fund Investment Data'!$V:$V, 'Fund Investment Data'!$C:$C = $C2207, 'Fund Investment Data'!$A:$A = $A2207, 'Fund Investment Data'!$B:$B &lt;= 3)) * Parameters!$B$4, 0),0)))"),0.0)</f>
        <v>0</v>
      </c>
      <c r="AB2207" s="32">
        <f>IFERROR(__xludf.DUMMYFUNCTION("IFERROR(((IFERROR(SUM(FILTER('Fund Investment Data'!$V:$V, 'Fund Investment Data'!$C:$C = $C2207, 'Fund Investment Data'!$A:$A = $A2207 - 2, 'Fund Investment Data'!$B:$B &gt;= 4)) * Parameters!$B$4,0) + IFERROR(SUM(FILTER('Fund Investment Data'!$V:$V, 'Fund "&amp;"Investment Data'!$C:$C = $C2207, 'Fund Investment Data'!$A:$A = $A2207 - 1, 'Fund Investment Data'!$B:$B &lt;= 3)) * Parameters!$B$4,0))),0)"),0.0)</f>
        <v>0</v>
      </c>
      <c r="AC2207" s="32">
        <f>IFERROR(__xludf.DUMMYFUNCTION("IFERROR(FILTER($AF:$AF,$C:$C = $C2207,$A:$A = $A2207 - 1,$B:$B = 12),0)"),0.0)</f>
        <v>0</v>
      </c>
      <c r="AD2207" s="32">
        <f t="shared" si="23"/>
        <v>0</v>
      </c>
      <c r="AE2207" s="32">
        <f t="shared" si="2"/>
        <v>0</v>
      </c>
      <c r="AF2207" s="32"/>
    </row>
    <row r="2208">
      <c r="A2208" s="86"/>
      <c r="B2208" s="87"/>
      <c r="C2208" s="88"/>
      <c r="D2208" s="104"/>
      <c r="E2208" s="104"/>
      <c r="F2208" s="104"/>
      <c r="G2208" s="104"/>
      <c r="H2208" s="104"/>
      <c r="I2208" s="104"/>
      <c r="J2208" s="104"/>
      <c r="K2208" s="32"/>
      <c r="L2208" s="32"/>
      <c r="M2208" s="32"/>
      <c r="N2208" s="32"/>
      <c r="O2208" s="106"/>
      <c r="P2208" s="91">
        <f>IFERROR(__xludf.DUMMYFUNCTION("IFERROR(sum(FILTER($D:$N,$C:$C = $C2208,$A:$A &lt; $A2208,$B:$B = 12)),0) + sum($D2208:$N2208)"),0.0)</f>
        <v>0</v>
      </c>
      <c r="Q2208" s="92">
        <f t="shared" si="1"/>
        <v>0</v>
      </c>
      <c r="R2208" s="91">
        <f t="array" ref="R2208">IFERROR(INDEX('Fund YTD Target Values'!$1:$1000, MATCH($C2208,'Fund YTD Target Values'!$A:$A,0), MATCH($A2208,'Fund YTD Target Values'!$1:$1,0)),0)</f>
        <v>0</v>
      </c>
      <c r="S2208" s="91">
        <f>IFERROR(__xludf.DUMMYFUNCTION("IFERROR(sum(FILTER('Fund Investment Data'!$V:$V, 'Fund Investment Data'!$C:$C = $C2208, 'Fund Investment Data'!$A:$A &lt; $A2208)),0) + IFERROR(sum(FILTER('Fund Investment Data'!$V:$V, 'Fund Investment Data'!$C:$C = $C2208, 'Fund Investment Data'!$A:$A = $A2"&amp;"208, 'Fund Investment Data'!$B:$B &lt;= $B2208)),0)"),0.0)</f>
        <v>0</v>
      </c>
      <c r="T2208" s="32"/>
      <c r="U2208" s="32"/>
      <c r="V2208" s="32">
        <f>IFERROR(__xludf.DUMMYFUNCTION("$D2208 - IFERROR(FILTER($D:$D,$C:$C = $C2208, $A:$A = $A2208, $B:$B = $B2208 - 1),0)"),0.0)</f>
        <v>0</v>
      </c>
      <c r="W2208" s="93">
        <f>IFERROR(__xludf.DUMMYFUNCTION("$E2208 - IFERROR(FILTER($E:$E,$C:$C = $C2208, $A:$A = $A2208, $B:$B = $B2208 - 1),0)"),0.0)</f>
        <v>0</v>
      </c>
      <c r="X2208" s="91">
        <f>IFERROR(__xludf.DUMMYFUNCTION("iFERROR((FILTER('Fund Investment Data'!$Z:$Z, 'Fund Investment Data'!$C:$C = $C2208, 'Fund Investment Data'!$A:$A = $A2208 - 1, 'Fund Investment Data'!$B:$B = 12) + FILTER('Fund Investment Data'!$AB:$AB, 'Fund Investment Data'!$C:$C = $C2208, 'Fund Invest"&amp;"ment Data'!$A:$A = $A2208 - 1, 'Fund Investment Data'!$B:$B = 12)) * (1 + AVERAGE(FILTER('Inflation Data'!$C:$C,'Inflation Data'!$A:$A = ($A2208 - 2)))) * Parameters!$A$4,0)"),0.0)</f>
        <v>0</v>
      </c>
      <c r="Y2208" s="91">
        <f>IFERROR(__xludf.DUMMYFUNCTION("IFERROR((IFERROR(FILTER('Fund Investment Data'!$P:$P,'Fund Investment Data'!$C:$C = $C2208,'Fund Investment Data'!$A:$A = ($A2208 - 2), 'Fund Investment Data'!$B:$B = 12),0) - SUM(FILTER('Fund Investment Data'!$V:$V, 'Fund Investment Data'!$C:$C = $C2208,"&amp;" 'Fund Investment Data'!$A:$A = ($A2208 - 2), 'Fund Investment Data'!$B:$B &gt; 3)))  * Parameters!$B$4 * (1 - Parameters!$A$4),0)"),0.0)</f>
        <v>0</v>
      </c>
      <c r="Z2208" s="91">
        <f t="shared" si="24"/>
        <v>0</v>
      </c>
      <c r="AA2208" s="91">
        <f>IFERROR(__xludf.DUMMYFUNCTION("((IFERROR((SUM(FILTER('Fund Investment Data'!$V:$V, 'Fund Investment Data'!$C:$C = $C2208, 'Fund Investment Data'!$A:$A = $A2208 - 1, 'Fund Investment Data'!$B:$B &gt;= 4, 'Fund Investment Data'!$B:$B &lt;= ($B2208 + 5))) / 12) * ($B2208 - 3) * Parameters!$B$4,"&amp;" 0) + IF($B2208 &gt;= 9, IFERROR(SUM(FILTER('Fund Investment Data'!$V:$V, 'Fund Investment Data'!$C:$C = $C2208, 'Fund Investment Data'!$A:$A = $A2208, 'Fund Investment Data'!$B:$B &lt;= 3)) * Parameters!$B$4, 0),0)))"),0.0)</f>
        <v>0</v>
      </c>
      <c r="AB2208" s="32">
        <f>IFERROR(__xludf.DUMMYFUNCTION("IFERROR(((IFERROR(SUM(FILTER('Fund Investment Data'!$V:$V, 'Fund Investment Data'!$C:$C = $C2208, 'Fund Investment Data'!$A:$A = $A2208 - 2, 'Fund Investment Data'!$B:$B &gt;= 4)) * Parameters!$B$4,0) + IFERROR(SUM(FILTER('Fund Investment Data'!$V:$V, 'Fund "&amp;"Investment Data'!$C:$C = $C2208, 'Fund Investment Data'!$A:$A = $A2208 - 1, 'Fund Investment Data'!$B:$B &lt;= 3)) * Parameters!$B$4,0))),0)"),0.0)</f>
        <v>0</v>
      </c>
      <c r="AC2208" s="32">
        <f>IFERROR(__xludf.DUMMYFUNCTION("IFERROR(FILTER($AF:$AF,$C:$C = $C2208,$A:$A = $A2208 - 1,$B:$B = 12),0)"),0.0)</f>
        <v>0</v>
      </c>
      <c r="AD2208" s="32">
        <f t="shared" si="23"/>
        <v>0</v>
      </c>
      <c r="AE2208" s="32">
        <f t="shared" si="2"/>
        <v>0</v>
      </c>
      <c r="AF2208" s="32"/>
    </row>
    <row r="2209">
      <c r="A2209" s="86"/>
      <c r="B2209" s="87"/>
      <c r="C2209" s="88"/>
      <c r="D2209" s="104"/>
      <c r="E2209" s="104"/>
      <c r="F2209" s="104"/>
      <c r="G2209" s="104"/>
      <c r="H2209" s="104"/>
      <c r="I2209" s="104"/>
      <c r="J2209" s="104"/>
      <c r="K2209" s="32"/>
      <c r="L2209" s="32"/>
      <c r="M2209" s="32"/>
      <c r="N2209" s="32"/>
      <c r="O2209" s="106"/>
      <c r="P2209" s="91">
        <f>IFERROR(__xludf.DUMMYFUNCTION("IFERROR(sum(FILTER($D:$N,$C:$C = $C2209,$A:$A &lt; $A2209,$B:$B = 12)),0) + sum($D2209:$N2209)"),0.0)</f>
        <v>0</v>
      </c>
      <c r="Q2209" s="92">
        <f t="shared" si="1"/>
        <v>0</v>
      </c>
      <c r="R2209" s="91">
        <f t="array" ref="R2209">IFERROR(INDEX('Fund YTD Target Values'!$1:$1000, MATCH($C2209,'Fund YTD Target Values'!$A:$A,0), MATCH($A2209,'Fund YTD Target Values'!$1:$1,0)),0)</f>
        <v>0</v>
      </c>
      <c r="S2209" s="91">
        <f>IFERROR(__xludf.DUMMYFUNCTION("IFERROR(sum(FILTER('Fund Investment Data'!$V:$V, 'Fund Investment Data'!$C:$C = $C2209, 'Fund Investment Data'!$A:$A &lt; $A2209)),0) + IFERROR(sum(FILTER('Fund Investment Data'!$V:$V, 'Fund Investment Data'!$C:$C = $C2209, 'Fund Investment Data'!$A:$A = $A2"&amp;"209, 'Fund Investment Data'!$B:$B &lt;= $B2209)),0)"),0.0)</f>
        <v>0</v>
      </c>
      <c r="T2209" s="32"/>
      <c r="U2209" s="32"/>
      <c r="V2209" s="32">
        <f>IFERROR(__xludf.DUMMYFUNCTION("$D2209 - IFERROR(FILTER($D:$D,$C:$C = $C2209, $A:$A = $A2209, $B:$B = $B2209 - 1),0)"),0.0)</f>
        <v>0</v>
      </c>
      <c r="W2209" s="93">
        <f>IFERROR(__xludf.DUMMYFUNCTION("$E2209 - IFERROR(FILTER($E:$E,$C:$C = $C2209, $A:$A = $A2209, $B:$B = $B2209 - 1),0)"),0.0)</f>
        <v>0</v>
      </c>
      <c r="X2209" s="91">
        <f>IFERROR(__xludf.DUMMYFUNCTION("iFERROR((FILTER('Fund Investment Data'!$Z:$Z, 'Fund Investment Data'!$C:$C = $C2209, 'Fund Investment Data'!$A:$A = $A2209 - 1, 'Fund Investment Data'!$B:$B = 12) + FILTER('Fund Investment Data'!$AB:$AB, 'Fund Investment Data'!$C:$C = $C2209, 'Fund Invest"&amp;"ment Data'!$A:$A = $A2209 - 1, 'Fund Investment Data'!$B:$B = 12)) * (1 + AVERAGE(FILTER('Inflation Data'!$C:$C,'Inflation Data'!$A:$A = ($A2209 - 2)))) * Parameters!$A$4,0)"),0.0)</f>
        <v>0</v>
      </c>
      <c r="Y2209" s="91">
        <f>IFERROR(__xludf.DUMMYFUNCTION("IFERROR((IFERROR(FILTER('Fund Investment Data'!$P:$P,'Fund Investment Data'!$C:$C = $C2209,'Fund Investment Data'!$A:$A = ($A2209 - 2), 'Fund Investment Data'!$B:$B = 12),0) - SUM(FILTER('Fund Investment Data'!$V:$V, 'Fund Investment Data'!$C:$C = $C2209,"&amp;" 'Fund Investment Data'!$A:$A = ($A2209 - 2), 'Fund Investment Data'!$B:$B &gt; 3)))  * Parameters!$B$4 * (1 - Parameters!$A$4),0)"),0.0)</f>
        <v>0</v>
      </c>
      <c r="Z2209" s="91">
        <f t="shared" si="24"/>
        <v>0</v>
      </c>
      <c r="AA2209" s="91">
        <f>IFERROR(__xludf.DUMMYFUNCTION("((IFERROR((SUM(FILTER('Fund Investment Data'!$V:$V, 'Fund Investment Data'!$C:$C = $C2209, 'Fund Investment Data'!$A:$A = $A2209 - 1, 'Fund Investment Data'!$B:$B &gt;= 4, 'Fund Investment Data'!$B:$B &lt;= ($B2209 + 5))) / 12) * ($B2209 - 3) * Parameters!$B$4,"&amp;" 0) + IF($B2209 &gt;= 9, IFERROR(SUM(FILTER('Fund Investment Data'!$V:$V, 'Fund Investment Data'!$C:$C = $C2209, 'Fund Investment Data'!$A:$A = $A2209, 'Fund Investment Data'!$B:$B &lt;= 3)) * Parameters!$B$4, 0),0)))"),0.0)</f>
        <v>0</v>
      </c>
      <c r="AB2209" s="32">
        <f>IFERROR(__xludf.DUMMYFUNCTION("IFERROR(((IFERROR(SUM(FILTER('Fund Investment Data'!$V:$V, 'Fund Investment Data'!$C:$C = $C2209, 'Fund Investment Data'!$A:$A = $A2209 - 2, 'Fund Investment Data'!$B:$B &gt;= 4)) * Parameters!$B$4,0) + IFERROR(SUM(FILTER('Fund Investment Data'!$V:$V, 'Fund "&amp;"Investment Data'!$C:$C = $C2209, 'Fund Investment Data'!$A:$A = $A2209 - 1, 'Fund Investment Data'!$B:$B &lt;= 3)) * Parameters!$B$4,0))),0)"),0.0)</f>
        <v>0</v>
      </c>
      <c r="AC2209" s="32">
        <f>IFERROR(__xludf.DUMMYFUNCTION("IFERROR(FILTER($AF:$AF,$C:$C = $C2209,$A:$A = $A2209 - 1,$B:$B = 12),0)"),0.0)</f>
        <v>0</v>
      </c>
      <c r="AD2209" s="32">
        <f t="shared" si="23"/>
        <v>0</v>
      </c>
      <c r="AE2209" s="32">
        <f t="shared" si="2"/>
        <v>0</v>
      </c>
      <c r="AF2209" s="32"/>
    </row>
    <row r="2210">
      <c r="A2210" s="86"/>
      <c r="B2210" s="87"/>
      <c r="C2210" s="88"/>
      <c r="D2210" s="104"/>
      <c r="E2210" s="104"/>
      <c r="F2210" s="104"/>
      <c r="G2210" s="104"/>
      <c r="H2210" s="104"/>
      <c r="I2210" s="104"/>
      <c r="J2210" s="104"/>
      <c r="K2210" s="32"/>
      <c r="L2210" s="32"/>
      <c r="M2210" s="32"/>
      <c r="N2210" s="32"/>
      <c r="O2210" s="106"/>
      <c r="P2210" s="91">
        <f>IFERROR(__xludf.DUMMYFUNCTION("IFERROR(sum(FILTER($D:$N,$C:$C = $C2210,$A:$A &lt; $A2210,$B:$B = 12)),0) + sum($D2210:$N2210)"),0.0)</f>
        <v>0</v>
      </c>
      <c r="Q2210" s="92">
        <f t="shared" si="1"/>
        <v>0</v>
      </c>
      <c r="R2210" s="91">
        <f t="array" ref="R2210">IFERROR(INDEX('Fund YTD Target Values'!$1:$1000, MATCH($C2210,'Fund YTD Target Values'!$A:$A,0), MATCH($A2210,'Fund YTD Target Values'!$1:$1,0)),0)</f>
        <v>0</v>
      </c>
      <c r="S2210" s="91">
        <f>IFERROR(__xludf.DUMMYFUNCTION("IFERROR(sum(FILTER('Fund Investment Data'!$V:$V, 'Fund Investment Data'!$C:$C = $C2210, 'Fund Investment Data'!$A:$A &lt; $A2210)),0) + IFERROR(sum(FILTER('Fund Investment Data'!$V:$V, 'Fund Investment Data'!$C:$C = $C2210, 'Fund Investment Data'!$A:$A = $A2"&amp;"210, 'Fund Investment Data'!$B:$B &lt;= $B2210)),0)"),0.0)</f>
        <v>0</v>
      </c>
      <c r="T2210" s="32"/>
      <c r="U2210" s="32"/>
      <c r="V2210" s="32">
        <f>IFERROR(__xludf.DUMMYFUNCTION("$D2210 - IFERROR(FILTER($D:$D,$C:$C = $C2210, $A:$A = $A2210, $B:$B = $B2210 - 1),0)"),0.0)</f>
        <v>0</v>
      </c>
      <c r="W2210" s="93">
        <f>IFERROR(__xludf.DUMMYFUNCTION("$E2210 - IFERROR(FILTER($E:$E,$C:$C = $C2210, $A:$A = $A2210, $B:$B = $B2210 - 1),0)"),0.0)</f>
        <v>0</v>
      </c>
      <c r="X2210" s="91">
        <f>IFERROR(__xludf.DUMMYFUNCTION("iFERROR((FILTER('Fund Investment Data'!$Z:$Z, 'Fund Investment Data'!$C:$C = $C2210, 'Fund Investment Data'!$A:$A = $A2210 - 1, 'Fund Investment Data'!$B:$B = 12) + FILTER('Fund Investment Data'!$AB:$AB, 'Fund Investment Data'!$C:$C = $C2210, 'Fund Invest"&amp;"ment Data'!$A:$A = $A2210 - 1, 'Fund Investment Data'!$B:$B = 12)) * (1 + AVERAGE(FILTER('Inflation Data'!$C:$C,'Inflation Data'!$A:$A = ($A2210 - 2)))) * Parameters!$A$4,0)"),0.0)</f>
        <v>0</v>
      </c>
      <c r="Y2210" s="91">
        <f>IFERROR(__xludf.DUMMYFUNCTION("IFERROR((IFERROR(FILTER('Fund Investment Data'!$P:$P,'Fund Investment Data'!$C:$C = $C2210,'Fund Investment Data'!$A:$A = ($A2210 - 2), 'Fund Investment Data'!$B:$B = 12),0) - SUM(FILTER('Fund Investment Data'!$V:$V, 'Fund Investment Data'!$C:$C = $C2210,"&amp;" 'Fund Investment Data'!$A:$A = ($A2210 - 2), 'Fund Investment Data'!$B:$B &gt; 3)))  * Parameters!$B$4 * (1 - Parameters!$A$4),0)"),0.0)</f>
        <v>0</v>
      </c>
      <c r="Z2210" s="91">
        <f t="shared" si="24"/>
        <v>0</v>
      </c>
      <c r="AA2210" s="91">
        <f>IFERROR(__xludf.DUMMYFUNCTION("((IFERROR((SUM(FILTER('Fund Investment Data'!$V:$V, 'Fund Investment Data'!$C:$C = $C2210, 'Fund Investment Data'!$A:$A = $A2210 - 1, 'Fund Investment Data'!$B:$B &gt;= 4, 'Fund Investment Data'!$B:$B &lt;= ($B2210 + 5))) / 12) * ($B2210 - 3) * Parameters!$B$4,"&amp;" 0) + IF($B2210 &gt;= 9, IFERROR(SUM(FILTER('Fund Investment Data'!$V:$V, 'Fund Investment Data'!$C:$C = $C2210, 'Fund Investment Data'!$A:$A = $A2210, 'Fund Investment Data'!$B:$B &lt;= 3)) * Parameters!$B$4, 0),0)))"),0.0)</f>
        <v>0</v>
      </c>
      <c r="AB2210" s="32">
        <f>IFERROR(__xludf.DUMMYFUNCTION("IFERROR(((IFERROR(SUM(FILTER('Fund Investment Data'!$V:$V, 'Fund Investment Data'!$C:$C = $C2210, 'Fund Investment Data'!$A:$A = $A2210 - 2, 'Fund Investment Data'!$B:$B &gt;= 4)) * Parameters!$B$4,0) + IFERROR(SUM(FILTER('Fund Investment Data'!$V:$V, 'Fund "&amp;"Investment Data'!$C:$C = $C2210, 'Fund Investment Data'!$A:$A = $A2210 - 1, 'Fund Investment Data'!$B:$B &lt;= 3)) * Parameters!$B$4,0))),0)"),0.0)</f>
        <v>0</v>
      </c>
      <c r="AC2210" s="32">
        <f>IFERROR(__xludf.DUMMYFUNCTION("IFERROR(FILTER($AF:$AF,$C:$C = $C2210,$A:$A = $A2210 - 1,$B:$B = 12),0)"),0.0)</f>
        <v>0</v>
      </c>
      <c r="AD2210" s="32">
        <f t="shared" si="23"/>
        <v>0</v>
      </c>
      <c r="AE2210" s="32">
        <f t="shared" si="2"/>
        <v>0</v>
      </c>
      <c r="AF2210" s="32"/>
    </row>
    <row r="2211">
      <c r="A2211" s="86"/>
      <c r="B2211" s="87"/>
      <c r="C2211" s="88"/>
      <c r="D2211" s="104"/>
      <c r="E2211" s="104"/>
      <c r="F2211" s="104"/>
      <c r="G2211" s="104"/>
      <c r="H2211" s="104"/>
      <c r="I2211" s="104"/>
      <c r="J2211" s="104"/>
      <c r="K2211" s="32"/>
      <c r="L2211" s="32"/>
      <c r="M2211" s="32"/>
      <c r="N2211" s="32"/>
      <c r="O2211" s="106"/>
      <c r="P2211" s="91">
        <f>IFERROR(__xludf.DUMMYFUNCTION("IFERROR(sum(FILTER($D:$N,$C:$C = $C2211,$A:$A &lt; $A2211,$B:$B = 12)),0) + sum($D2211:$N2211)"),0.0)</f>
        <v>0</v>
      </c>
      <c r="Q2211" s="92">
        <f t="shared" si="1"/>
        <v>0</v>
      </c>
      <c r="R2211" s="91">
        <f t="array" ref="R2211">IFERROR(INDEX('Fund YTD Target Values'!$1:$1000, MATCH($C2211,'Fund YTD Target Values'!$A:$A,0), MATCH($A2211,'Fund YTD Target Values'!$1:$1,0)),0)</f>
        <v>0</v>
      </c>
      <c r="S2211" s="91">
        <f>IFERROR(__xludf.DUMMYFUNCTION("IFERROR(sum(FILTER('Fund Investment Data'!$V:$V, 'Fund Investment Data'!$C:$C = $C2211, 'Fund Investment Data'!$A:$A &lt; $A2211)),0) + IFERROR(sum(FILTER('Fund Investment Data'!$V:$V, 'Fund Investment Data'!$C:$C = $C2211, 'Fund Investment Data'!$A:$A = $A2"&amp;"211, 'Fund Investment Data'!$B:$B &lt;= $B2211)),0)"),0.0)</f>
        <v>0</v>
      </c>
      <c r="T2211" s="32"/>
      <c r="U2211" s="32"/>
      <c r="V2211" s="32">
        <f>IFERROR(__xludf.DUMMYFUNCTION("$D2211 - IFERROR(FILTER($D:$D,$C:$C = $C2211, $A:$A = $A2211, $B:$B = $B2211 - 1),0)"),0.0)</f>
        <v>0</v>
      </c>
      <c r="W2211" s="93">
        <f>IFERROR(__xludf.DUMMYFUNCTION("$E2211 - IFERROR(FILTER($E:$E,$C:$C = $C2211, $A:$A = $A2211, $B:$B = $B2211 - 1),0)"),0.0)</f>
        <v>0</v>
      </c>
      <c r="X2211" s="91">
        <f>IFERROR(__xludf.DUMMYFUNCTION("iFERROR((FILTER('Fund Investment Data'!$Z:$Z, 'Fund Investment Data'!$C:$C = $C2211, 'Fund Investment Data'!$A:$A = $A2211 - 1, 'Fund Investment Data'!$B:$B = 12) + FILTER('Fund Investment Data'!$AB:$AB, 'Fund Investment Data'!$C:$C = $C2211, 'Fund Invest"&amp;"ment Data'!$A:$A = $A2211 - 1, 'Fund Investment Data'!$B:$B = 12)) * (1 + AVERAGE(FILTER('Inflation Data'!$C:$C,'Inflation Data'!$A:$A = ($A2211 - 2)))) * Parameters!$A$4,0)"),0.0)</f>
        <v>0</v>
      </c>
      <c r="Y2211" s="91">
        <f>IFERROR(__xludf.DUMMYFUNCTION("IFERROR((IFERROR(FILTER('Fund Investment Data'!$P:$P,'Fund Investment Data'!$C:$C = $C2211,'Fund Investment Data'!$A:$A = ($A2211 - 2), 'Fund Investment Data'!$B:$B = 12),0) - SUM(FILTER('Fund Investment Data'!$V:$V, 'Fund Investment Data'!$C:$C = $C2211,"&amp;" 'Fund Investment Data'!$A:$A = ($A2211 - 2), 'Fund Investment Data'!$B:$B &gt; 3)))  * Parameters!$B$4 * (1 - Parameters!$A$4),0)"),0.0)</f>
        <v>0</v>
      </c>
      <c r="Z2211" s="91">
        <f t="shared" si="24"/>
        <v>0</v>
      </c>
      <c r="AA2211" s="91">
        <f>IFERROR(__xludf.DUMMYFUNCTION("((IFERROR((SUM(FILTER('Fund Investment Data'!$V:$V, 'Fund Investment Data'!$C:$C = $C2211, 'Fund Investment Data'!$A:$A = $A2211 - 1, 'Fund Investment Data'!$B:$B &gt;= 4, 'Fund Investment Data'!$B:$B &lt;= ($B2211 + 5))) / 12) * ($B2211 - 3) * Parameters!$B$4,"&amp;" 0) + IF($B2211 &gt;= 9, IFERROR(SUM(FILTER('Fund Investment Data'!$V:$V, 'Fund Investment Data'!$C:$C = $C2211, 'Fund Investment Data'!$A:$A = $A2211, 'Fund Investment Data'!$B:$B &lt;= 3)) * Parameters!$B$4, 0),0)))"),0.0)</f>
        <v>0</v>
      </c>
      <c r="AB2211" s="32">
        <f>IFERROR(__xludf.DUMMYFUNCTION("IFERROR(((IFERROR(SUM(FILTER('Fund Investment Data'!$V:$V, 'Fund Investment Data'!$C:$C = $C2211, 'Fund Investment Data'!$A:$A = $A2211 - 2, 'Fund Investment Data'!$B:$B &gt;= 4)) * Parameters!$B$4,0) + IFERROR(SUM(FILTER('Fund Investment Data'!$V:$V, 'Fund "&amp;"Investment Data'!$C:$C = $C2211, 'Fund Investment Data'!$A:$A = $A2211 - 1, 'Fund Investment Data'!$B:$B &lt;= 3)) * Parameters!$B$4,0))),0)"),0.0)</f>
        <v>0</v>
      </c>
      <c r="AC2211" s="32">
        <f>IFERROR(__xludf.DUMMYFUNCTION("IFERROR(FILTER($AF:$AF,$C:$C = $C2211,$A:$A = $A2211 - 1,$B:$B = 12),0)"),0.0)</f>
        <v>0</v>
      </c>
      <c r="AD2211" s="32">
        <f t="shared" si="23"/>
        <v>0</v>
      </c>
      <c r="AE2211" s="32">
        <f t="shared" si="2"/>
        <v>0</v>
      </c>
      <c r="AF2211" s="32"/>
    </row>
    <row r="2212">
      <c r="A2212" s="86"/>
      <c r="B2212" s="87"/>
      <c r="C2212" s="88"/>
      <c r="D2212" s="104"/>
      <c r="E2212" s="104"/>
      <c r="F2212" s="104"/>
      <c r="G2212" s="104"/>
      <c r="H2212" s="104"/>
      <c r="I2212" s="104"/>
      <c r="J2212" s="104"/>
      <c r="K2212" s="32"/>
      <c r="L2212" s="32"/>
      <c r="M2212" s="32"/>
      <c r="N2212" s="32"/>
      <c r="O2212" s="106"/>
      <c r="P2212" s="91">
        <f>IFERROR(__xludf.DUMMYFUNCTION("IFERROR(sum(FILTER($D:$N,$C:$C = $C2212,$A:$A &lt; $A2212,$B:$B = 12)),0) + sum($D2212:$N2212)"),0.0)</f>
        <v>0</v>
      </c>
      <c r="Q2212" s="92">
        <f t="shared" si="1"/>
        <v>0</v>
      </c>
      <c r="R2212" s="91">
        <f t="array" ref="R2212">IFERROR(INDEX('Fund YTD Target Values'!$1:$1000, MATCH($C2212,'Fund YTD Target Values'!$A:$A,0), MATCH($A2212,'Fund YTD Target Values'!$1:$1,0)),0)</f>
        <v>0</v>
      </c>
      <c r="S2212" s="91">
        <f>IFERROR(__xludf.DUMMYFUNCTION("IFERROR(sum(FILTER('Fund Investment Data'!$V:$V, 'Fund Investment Data'!$C:$C = $C2212, 'Fund Investment Data'!$A:$A &lt; $A2212)),0) + IFERROR(sum(FILTER('Fund Investment Data'!$V:$V, 'Fund Investment Data'!$C:$C = $C2212, 'Fund Investment Data'!$A:$A = $A2"&amp;"212, 'Fund Investment Data'!$B:$B &lt;= $B2212)),0)"),0.0)</f>
        <v>0</v>
      </c>
      <c r="T2212" s="32"/>
      <c r="U2212" s="32"/>
      <c r="V2212" s="32">
        <f>IFERROR(__xludf.DUMMYFUNCTION("$D2212 - IFERROR(FILTER($D:$D,$C:$C = $C2212, $A:$A = $A2212, $B:$B = $B2212 - 1),0)"),0.0)</f>
        <v>0</v>
      </c>
      <c r="W2212" s="93">
        <f>IFERROR(__xludf.DUMMYFUNCTION("$E2212 - IFERROR(FILTER($E:$E,$C:$C = $C2212, $A:$A = $A2212, $B:$B = $B2212 - 1),0)"),0.0)</f>
        <v>0</v>
      </c>
      <c r="X2212" s="91">
        <f>IFERROR(__xludf.DUMMYFUNCTION("iFERROR((FILTER('Fund Investment Data'!$Z:$Z, 'Fund Investment Data'!$C:$C = $C2212, 'Fund Investment Data'!$A:$A = $A2212 - 1, 'Fund Investment Data'!$B:$B = 12) + FILTER('Fund Investment Data'!$AB:$AB, 'Fund Investment Data'!$C:$C = $C2212, 'Fund Invest"&amp;"ment Data'!$A:$A = $A2212 - 1, 'Fund Investment Data'!$B:$B = 12)) * (1 + AVERAGE(FILTER('Inflation Data'!$C:$C,'Inflation Data'!$A:$A = ($A2212 - 2)))) * Parameters!$A$4,0)"),0.0)</f>
        <v>0</v>
      </c>
      <c r="Y2212" s="91">
        <f>IFERROR(__xludf.DUMMYFUNCTION("IFERROR((IFERROR(FILTER('Fund Investment Data'!$P:$P,'Fund Investment Data'!$C:$C = $C2212,'Fund Investment Data'!$A:$A = ($A2212 - 2), 'Fund Investment Data'!$B:$B = 12),0) - SUM(FILTER('Fund Investment Data'!$V:$V, 'Fund Investment Data'!$C:$C = $C2212,"&amp;" 'Fund Investment Data'!$A:$A = ($A2212 - 2), 'Fund Investment Data'!$B:$B &gt; 3)))  * Parameters!$B$4 * (1 - Parameters!$A$4),0)"),0.0)</f>
        <v>0</v>
      </c>
      <c r="Z2212" s="91">
        <f t="shared" si="24"/>
        <v>0</v>
      </c>
      <c r="AA2212" s="91">
        <f>IFERROR(__xludf.DUMMYFUNCTION("((IFERROR((SUM(FILTER('Fund Investment Data'!$V:$V, 'Fund Investment Data'!$C:$C = $C2212, 'Fund Investment Data'!$A:$A = $A2212 - 1, 'Fund Investment Data'!$B:$B &gt;= 4, 'Fund Investment Data'!$B:$B &lt;= ($B2212 + 5))) / 12) * ($B2212 - 3) * Parameters!$B$4,"&amp;" 0) + IF($B2212 &gt;= 9, IFERROR(SUM(FILTER('Fund Investment Data'!$V:$V, 'Fund Investment Data'!$C:$C = $C2212, 'Fund Investment Data'!$A:$A = $A2212, 'Fund Investment Data'!$B:$B &lt;= 3)) * Parameters!$B$4, 0),0)))"),0.0)</f>
        <v>0</v>
      </c>
      <c r="AB2212" s="32">
        <f>IFERROR(__xludf.DUMMYFUNCTION("IFERROR(((IFERROR(SUM(FILTER('Fund Investment Data'!$V:$V, 'Fund Investment Data'!$C:$C = $C2212, 'Fund Investment Data'!$A:$A = $A2212 - 2, 'Fund Investment Data'!$B:$B &gt;= 4)) * Parameters!$B$4,0) + IFERROR(SUM(FILTER('Fund Investment Data'!$V:$V, 'Fund "&amp;"Investment Data'!$C:$C = $C2212, 'Fund Investment Data'!$A:$A = $A2212 - 1, 'Fund Investment Data'!$B:$B &lt;= 3)) * Parameters!$B$4,0))),0)"),0.0)</f>
        <v>0</v>
      </c>
      <c r="AC2212" s="32">
        <f>IFERROR(__xludf.DUMMYFUNCTION("IFERROR(FILTER($AF:$AF,$C:$C = $C2212,$A:$A = $A2212 - 1,$B:$B = 12),0)"),0.0)</f>
        <v>0</v>
      </c>
      <c r="AD2212" s="32">
        <f t="shared" si="23"/>
        <v>0</v>
      </c>
      <c r="AE2212" s="32">
        <f t="shared" si="2"/>
        <v>0</v>
      </c>
      <c r="AF2212" s="32"/>
    </row>
    <row r="2213">
      <c r="A2213" s="86"/>
      <c r="B2213" s="87"/>
      <c r="C2213" s="88"/>
      <c r="D2213" s="104"/>
      <c r="E2213" s="104"/>
      <c r="F2213" s="104"/>
      <c r="G2213" s="104"/>
      <c r="H2213" s="104"/>
      <c r="I2213" s="104"/>
      <c r="J2213" s="104"/>
      <c r="K2213" s="32"/>
      <c r="L2213" s="32"/>
      <c r="M2213" s="32"/>
      <c r="N2213" s="32"/>
      <c r="O2213" s="106"/>
      <c r="P2213" s="91">
        <f>IFERROR(__xludf.DUMMYFUNCTION("IFERROR(sum(FILTER($D:$N,$C:$C = $C2213,$A:$A &lt; $A2213,$B:$B = 12)),0) + sum($D2213:$N2213)"),0.0)</f>
        <v>0</v>
      </c>
      <c r="Q2213" s="92">
        <f t="shared" si="1"/>
        <v>0</v>
      </c>
      <c r="R2213" s="91">
        <f t="array" ref="R2213">IFERROR(INDEX('Fund YTD Target Values'!$1:$1000, MATCH($C2213,'Fund YTD Target Values'!$A:$A,0), MATCH($A2213,'Fund YTD Target Values'!$1:$1,0)),0)</f>
        <v>0</v>
      </c>
      <c r="S2213" s="91">
        <f>IFERROR(__xludf.DUMMYFUNCTION("IFERROR(sum(FILTER('Fund Investment Data'!$V:$V, 'Fund Investment Data'!$C:$C = $C2213, 'Fund Investment Data'!$A:$A &lt; $A2213)),0) + IFERROR(sum(FILTER('Fund Investment Data'!$V:$V, 'Fund Investment Data'!$C:$C = $C2213, 'Fund Investment Data'!$A:$A = $A2"&amp;"213, 'Fund Investment Data'!$B:$B &lt;= $B2213)),0)"),0.0)</f>
        <v>0</v>
      </c>
      <c r="T2213" s="32"/>
      <c r="U2213" s="32"/>
      <c r="V2213" s="32">
        <f>IFERROR(__xludf.DUMMYFUNCTION("$D2213 - IFERROR(FILTER($D:$D,$C:$C = $C2213, $A:$A = $A2213, $B:$B = $B2213 - 1),0)"),0.0)</f>
        <v>0</v>
      </c>
      <c r="W2213" s="93">
        <f>IFERROR(__xludf.DUMMYFUNCTION("$E2213 - IFERROR(FILTER($E:$E,$C:$C = $C2213, $A:$A = $A2213, $B:$B = $B2213 - 1),0)"),0.0)</f>
        <v>0</v>
      </c>
      <c r="X2213" s="91">
        <f>IFERROR(__xludf.DUMMYFUNCTION("iFERROR((FILTER('Fund Investment Data'!$Z:$Z, 'Fund Investment Data'!$C:$C = $C2213, 'Fund Investment Data'!$A:$A = $A2213 - 1, 'Fund Investment Data'!$B:$B = 12) + FILTER('Fund Investment Data'!$AB:$AB, 'Fund Investment Data'!$C:$C = $C2213, 'Fund Invest"&amp;"ment Data'!$A:$A = $A2213 - 1, 'Fund Investment Data'!$B:$B = 12)) * (1 + AVERAGE(FILTER('Inflation Data'!$C:$C,'Inflation Data'!$A:$A = ($A2213 - 2)))) * Parameters!$A$4,0)"),0.0)</f>
        <v>0</v>
      </c>
      <c r="Y2213" s="91">
        <f>IFERROR(__xludf.DUMMYFUNCTION("IFERROR((IFERROR(FILTER('Fund Investment Data'!$P:$P,'Fund Investment Data'!$C:$C = $C2213,'Fund Investment Data'!$A:$A = ($A2213 - 2), 'Fund Investment Data'!$B:$B = 12),0) - SUM(FILTER('Fund Investment Data'!$V:$V, 'Fund Investment Data'!$C:$C = $C2213,"&amp;" 'Fund Investment Data'!$A:$A = ($A2213 - 2), 'Fund Investment Data'!$B:$B &gt; 3)))  * Parameters!$B$4 * (1 - Parameters!$A$4),0)"),0.0)</f>
        <v>0</v>
      </c>
      <c r="Z2213" s="91">
        <f t="shared" si="24"/>
        <v>0</v>
      </c>
      <c r="AA2213" s="91">
        <f>IFERROR(__xludf.DUMMYFUNCTION("((IFERROR((SUM(FILTER('Fund Investment Data'!$V:$V, 'Fund Investment Data'!$C:$C = $C2213, 'Fund Investment Data'!$A:$A = $A2213 - 1, 'Fund Investment Data'!$B:$B &gt;= 4, 'Fund Investment Data'!$B:$B &lt;= ($B2213 + 5))) / 12) * ($B2213 - 3) * Parameters!$B$4,"&amp;" 0) + IF($B2213 &gt;= 9, IFERROR(SUM(FILTER('Fund Investment Data'!$V:$V, 'Fund Investment Data'!$C:$C = $C2213, 'Fund Investment Data'!$A:$A = $A2213, 'Fund Investment Data'!$B:$B &lt;= 3)) * Parameters!$B$4, 0),0)))"),0.0)</f>
        <v>0</v>
      </c>
      <c r="AB2213" s="32">
        <f>IFERROR(__xludf.DUMMYFUNCTION("IFERROR(((IFERROR(SUM(FILTER('Fund Investment Data'!$V:$V, 'Fund Investment Data'!$C:$C = $C2213, 'Fund Investment Data'!$A:$A = $A2213 - 2, 'Fund Investment Data'!$B:$B &gt;= 4)) * Parameters!$B$4,0) + IFERROR(SUM(FILTER('Fund Investment Data'!$V:$V, 'Fund "&amp;"Investment Data'!$C:$C = $C2213, 'Fund Investment Data'!$A:$A = $A2213 - 1, 'Fund Investment Data'!$B:$B &lt;= 3)) * Parameters!$B$4,0))),0)"),0.0)</f>
        <v>0</v>
      </c>
      <c r="AC2213" s="32">
        <f>IFERROR(__xludf.DUMMYFUNCTION("IFERROR(FILTER($AF:$AF,$C:$C = $C2213,$A:$A = $A2213 - 1,$B:$B = 12),0)"),0.0)</f>
        <v>0</v>
      </c>
      <c r="AD2213" s="32">
        <f t="shared" si="23"/>
        <v>0</v>
      </c>
      <c r="AE2213" s="32">
        <f t="shared" si="2"/>
        <v>0</v>
      </c>
      <c r="AF2213" s="32"/>
    </row>
    <row r="2214">
      <c r="A2214" s="86"/>
      <c r="B2214" s="87"/>
      <c r="C2214" s="88"/>
      <c r="D2214" s="104"/>
      <c r="E2214" s="104"/>
      <c r="F2214" s="104"/>
      <c r="G2214" s="104"/>
      <c r="H2214" s="104"/>
      <c r="I2214" s="104"/>
      <c r="J2214" s="104"/>
      <c r="K2214" s="32"/>
      <c r="L2214" s="32"/>
      <c r="M2214" s="32"/>
      <c r="N2214" s="32"/>
      <c r="O2214" s="106"/>
      <c r="P2214" s="91">
        <f>IFERROR(__xludf.DUMMYFUNCTION("IFERROR(sum(FILTER($D:$N,$C:$C = $C2214,$A:$A &lt; $A2214,$B:$B = 12)),0) + sum($D2214:$N2214)"),0.0)</f>
        <v>0</v>
      </c>
      <c r="Q2214" s="92">
        <f t="shared" si="1"/>
        <v>0</v>
      </c>
      <c r="R2214" s="91">
        <f t="array" ref="R2214">IFERROR(INDEX('Fund YTD Target Values'!$1:$1000, MATCH($C2214,'Fund YTD Target Values'!$A:$A,0), MATCH($A2214,'Fund YTD Target Values'!$1:$1,0)),0)</f>
        <v>0</v>
      </c>
      <c r="S2214" s="91">
        <f>IFERROR(__xludf.DUMMYFUNCTION("IFERROR(sum(FILTER('Fund Investment Data'!$V:$V, 'Fund Investment Data'!$C:$C = $C2214, 'Fund Investment Data'!$A:$A &lt; $A2214)),0) + IFERROR(sum(FILTER('Fund Investment Data'!$V:$V, 'Fund Investment Data'!$C:$C = $C2214, 'Fund Investment Data'!$A:$A = $A2"&amp;"214, 'Fund Investment Data'!$B:$B &lt;= $B2214)),0)"),0.0)</f>
        <v>0</v>
      </c>
      <c r="T2214" s="32"/>
      <c r="U2214" s="32"/>
      <c r="V2214" s="32">
        <f>IFERROR(__xludf.DUMMYFUNCTION("$D2214 - IFERROR(FILTER($D:$D,$C:$C = $C2214, $A:$A = $A2214, $B:$B = $B2214 - 1),0)"),0.0)</f>
        <v>0</v>
      </c>
      <c r="W2214" s="93">
        <f>IFERROR(__xludf.DUMMYFUNCTION("$E2214 - IFERROR(FILTER($E:$E,$C:$C = $C2214, $A:$A = $A2214, $B:$B = $B2214 - 1),0)"),0.0)</f>
        <v>0</v>
      </c>
      <c r="X2214" s="91">
        <f>IFERROR(__xludf.DUMMYFUNCTION("iFERROR((FILTER('Fund Investment Data'!$Z:$Z, 'Fund Investment Data'!$C:$C = $C2214, 'Fund Investment Data'!$A:$A = $A2214 - 1, 'Fund Investment Data'!$B:$B = 12) + FILTER('Fund Investment Data'!$AB:$AB, 'Fund Investment Data'!$C:$C = $C2214, 'Fund Invest"&amp;"ment Data'!$A:$A = $A2214 - 1, 'Fund Investment Data'!$B:$B = 12)) * (1 + AVERAGE(FILTER('Inflation Data'!$C:$C,'Inflation Data'!$A:$A = ($A2214 - 2)))) * Parameters!$A$4,0)"),0.0)</f>
        <v>0</v>
      </c>
      <c r="Y2214" s="91">
        <f>IFERROR(__xludf.DUMMYFUNCTION("IFERROR((IFERROR(FILTER('Fund Investment Data'!$P:$P,'Fund Investment Data'!$C:$C = $C2214,'Fund Investment Data'!$A:$A = ($A2214 - 2), 'Fund Investment Data'!$B:$B = 12),0) - SUM(FILTER('Fund Investment Data'!$V:$V, 'Fund Investment Data'!$C:$C = $C2214,"&amp;" 'Fund Investment Data'!$A:$A = ($A2214 - 2), 'Fund Investment Data'!$B:$B &gt; 3)))  * Parameters!$B$4 * (1 - Parameters!$A$4),0)"),0.0)</f>
        <v>0</v>
      </c>
      <c r="Z2214" s="91">
        <f t="shared" si="24"/>
        <v>0</v>
      </c>
      <c r="AA2214" s="91">
        <f>IFERROR(__xludf.DUMMYFUNCTION("((IFERROR((SUM(FILTER('Fund Investment Data'!$V:$V, 'Fund Investment Data'!$C:$C = $C2214, 'Fund Investment Data'!$A:$A = $A2214 - 1, 'Fund Investment Data'!$B:$B &gt;= 4, 'Fund Investment Data'!$B:$B &lt;= ($B2214 + 5))) / 12) * ($B2214 - 3) * Parameters!$B$4,"&amp;" 0) + IF($B2214 &gt;= 9, IFERROR(SUM(FILTER('Fund Investment Data'!$V:$V, 'Fund Investment Data'!$C:$C = $C2214, 'Fund Investment Data'!$A:$A = $A2214, 'Fund Investment Data'!$B:$B &lt;= 3)) * Parameters!$B$4, 0),0)))"),0.0)</f>
        <v>0</v>
      </c>
      <c r="AB2214" s="32">
        <f>IFERROR(__xludf.DUMMYFUNCTION("IFERROR(((IFERROR(SUM(FILTER('Fund Investment Data'!$V:$V, 'Fund Investment Data'!$C:$C = $C2214, 'Fund Investment Data'!$A:$A = $A2214 - 2, 'Fund Investment Data'!$B:$B &gt;= 4)) * Parameters!$B$4,0) + IFERROR(SUM(FILTER('Fund Investment Data'!$V:$V, 'Fund "&amp;"Investment Data'!$C:$C = $C2214, 'Fund Investment Data'!$A:$A = $A2214 - 1, 'Fund Investment Data'!$B:$B &lt;= 3)) * Parameters!$B$4,0))),0)"),0.0)</f>
        <v>0</v>
      </c>
      <c r="AC2214" s="32">
        <f>IFERROR(__xludf.DUMMYFUNCTION("IFERROR(FILTER($AF:$AF,$C:$C = $C2214,$A:$A = $A2214 - 1,$B:$B = 12),0)"),0.0)</f>
        <v>0</v>
      </c>
      <c r="AD2214" s="32">
        <f t="shared" si="23"/>
        <v>0</v>
      </c>
      <c r="AE2214" s="32">
        <f t="shared" si="2"/>
        <v>0</v>
      </c>
      <c r="AF2214" s="32"/>
    </row>
    <row r="2215">
      <c r="A2215" s="86"/>
      <c r="B2215" s="87"/>
      <c r="C2215" s="88"/>
      <c r="D2215" s="104"/>
      <c r="E2215" s="104"/>
      <c r="F2215" s="104"/>
      <c r="G2215" s="104"/>
      <c r="H2215" s="104"/>
      <c r="I2215" s="104"/>
      <c r="J2215" s="104"/>
      <c r="K2215" s="32"/>
      <c r="L2215" s="32"/>
      <c r="M2215" s="32"/>
      <c r="N2215" s="32"/>
      <c r="O2215" s="106"/>
      <c r="P2215" s="91">
        <f>IFERROR(__xludf.DUMMYFUNCTION("IFERROR(sum(FILTER($D:$N,$C:$C = $C2215,$A:$A &lt; $A2215,$B:$B = 12)),0) + sum($D2215:$N2215)"),0.0)</f>
        <v>0</v>
      </c>
      <c r="Q2215" s="92">
        <f t="shared" si="1"/>
        <v>0</v>
      </c>
      <c r="R2215" s="91">
        <f t="array" ref="R2215">IFERROR(INDEX('Fund YTD Target Values'!$1:$1000, MATCH($C2215,'Fund YTD Target Values'!$A:$A,0), MATCH($A2215,'Fund YTD Target Values'!$1:$1,0)),0)</f>
        <v>0</v>
      </c>
      <c r="S2215" s="91">
        <f>IFERROR(__xludf.DUMMYFUNCTION("IFERROR(sum(FILTER('Fund Investment Data'!$V:$V, 'Fund Investment Data'!$C:$C = $C2215, 'Fund Investment Data'!$A:$A &lt; $A2215)),0) + IFERROR(sum(FILTER('Fund Investment Data'!$V:$V, 'Fund Investment Data'!$C:$C = $C2215, 'Fund Investment Data'!$A:$A = $A2"&amp;"215, 'Fund Investment Data'!$B:$B &lt;= $B2215)),0)"),0.0)</f>
        <v>0</v>
      </c>
      <c r="T2215" s="32"/>
      <c r="U2215" s="32"/>
      <c r="V2215" s="32">
        <f>IFERROR(__xludf.DUMMYFUNCTION("$D2215 - IFERROR(FILTER($D:$D,$C:$C = $C2215, $A:$A = $A2215, $B:$B = $B2215 - 1),0)"),0.0)</f>
        <v>0</v>
      </c>
      <c r="W2215" s="93">
        <f>IFERROR(__xludf.DUMMYFUNCTION("$E2215 - IFERROR(FILTER($E:$E,$C:$C = $C2215, $A:$A = $A2215, $B:$B = $B2215 - 1),0)"),0.0)</f>
        <v>0</v>
      </c>
      <c r="X2215" s="91">
        <f>IFERROR(__xludf.DUMMYFUNCTION("iFERROR((FILTER('Fund Investment Data'!$Z:$Z, 'Fund Investment Data'!$C:$C = $C2215, 'Fund Investment Data'!$A:$A = $A2215 - 1, 'Fund Investment Data'!$B:$B = 12) + FILTER('Fund Investment Data'!$AB:$AB, 'Fund Investment Data'!$C:$C = $C2215, 'Fund Invest"&amp;"ment Data'!$A:$A = $A2215 - 1, 'Fund Investment Data'!$B:$B = 12)) * (1 + AVERAGE(FILTER('Inflation Data'!$C:$C,'Inflation Data'!$A:$A = ($A2215 - 2)))) * Parameters!$A$4,0)"),0.0)</f>
        <v>0</v>
      </c>
      <c r="Y2215" s="91">
        <f>IFERROR(__xludf.DUMMYFUNCTION("IFERROR((IFERROR(FILTER('Fund Investment Data'!$P:$P,'Fund Investment Data'!$C:$C = $C2215,'Fund Investment Data'!$A:$A = ($A2215 - 2), 'Fund Investment Data'!$B:$B = 12),0) - SUM(FILTER('Fund Investment Data'!$V:$V, 'Fund Investment Data'!$C:$C = $C2215,"&amp;" 'Fund Investment Data'!$A:$A = ($A2215 - 2), 'Fund Investment Data'!$B:$B &gt; 3)))  * Parameters!$B$4 * (1 - Parameters!$A$4),0)"),0.0)</f>
        <v>0</v>
      </c>
      <c r="Z2215" s="91">
        <f t="shared" si="24"/>
        <v>0</v>
      </c>
      <c r="AA2215" s="91">
        <f>IFERROR(__xludf.DUMMYFUNCTION("((IFERROR((SUM(FILTER('Fund Investment Data'!$V:$V, 'Fund Investment Data'!$C:$C = $C2215, 'Fund Investment Data'!$A:$A = $A2215 - 1, 'Fund Investment Data'!$B:$B &gt;= 4, 'Fund Investment Data'!$B:$B &lt;= ($B2215 + 5))) / 12) * ($B2215 - 3) * Parameters!$B$4,"&amp;" 0) + IF($B2215 &gt;= 9, IFERROR(SUM(FILTER('Fund Investment Data'!$V:$V, 'Fund Investment Data'!$C:$C = $C2215, 'Fund Investment Data'!$A:$A = $A2215, 'Fund Investment Data'!$B:$B &lt;= 3)) * Parameters!$B$4, 0),0)))"),0.0)</f>
        <v>0</v>
      </c>
      <c r="AB2215" s="32">
        <f>IFERROR(__xludf.DUMMYFUNCTION("IFERROR(((IFERROR(SUM(FILTER('Fund Investment Data'!$V:$V, 'Fund Investment Data'!$C:$C = $C2215, 'Fund Investment Data'!$A:$A = $A2215 - 2, 'Fund Investment Data'!$B:$B &gt;= 4)) * Parameters!$B$4,0) + IFERROR(SUM(FILTER('Fund Investment Data'!$V:$V, 'Fund "&amp;"Investment Data'!$C:$C = $C2215, 'Fund Investment Data'!$A:$A = $A2215 - 1, 'Fund Investment Data'!$B:$B &lt;= 3)) * Parameters!$B$4,0))),0)"),0.0)</f>
        <v>0</v>
      </c>
      <c r="AC2215" s="32">
        <f>IFERROR(__xludf.DUMMYFUNCTION("IFERROR(FILTER($AF:$AF,$C:$C = $C2215,$A:$A = $A2215 - 1,$B:$B = 12),0)"),0.0)</f>
        <v>0</v>
      </c>
      <c r="AD2215" s="32">
        <f t="shared" si="23"/>
        <v>0</v>
      </c>
      <c r="AE2215" s="32">
        <f t="shared" si="2"/>
        <v>0</v>
      </c>
      <c r="AF2215" s="32"/>
    </row>
    <row r="2216">
      <c r="A2216" s="86"/>
      <c r="B2216" s="87"/>
      <c r="C2216" s="88"/>
      <c r="D2216" s="104"/>
      <c r="E2216" s="104"/>
      <c r="F2216" s="104"/>
      <c r="G2216" s="104"/>
      <c r="H2216" s="104"/>
      <c r="I2216" s="104"/>
      <c r="J2216" s="104"/>
      <c r="K2216" s="32"/>
      <c r="L2216" s="32"/>
      <c r="M2216" s="32"/>
      <c r="N2216" s="32"/>
      <c r="O2216" s="106"/>
      <c r="P2216" s="91">
        <f>IFERROR(__xludf.DUMMYFUNCTION("IFERROR(sum(FILTER($D:$N,$C:$C = $C2216,$A:$A &lt; $A2216,$B:$B = 12)),0) + sum($D2216:$N2216)"),0.0)</f>
        <v>0</v>
      </c>
      <c r="Q2216" s="92">
        <f t="shared" si="1"/>
        <v>0</v>
      </c>
      <c r="R2216" s="91">
        <f t="array" ref="R2216">IFERROR(INDEX('Fund YTD Target Values'!$1:$1000, MATCH($C2216,'Fund YTD Target Values'!$A:$A,0), MATCH($A2216,'Fund YTD Target Values'!$1:$1,0)),0)</f>
        <v>0</v>
      </c>
      <c r="S2216" s="91">
        <f>IFERROR(__xludf.DUMMYFUNCTION("IFERROR(sum(FILTER('Fund Investment Data'!$V:$V, 'Fund Investment Data'!$C:$C = $C2216, 'Fund Investment Data'!$A:$A &lt; $A2216)),0) + IFERROR(sum(FILTER('Fund Investment Data'!$V:$V, 'Fund Investment Data'!$C:$C = $C2216, 'Fund Investment Data'!$A:$A = $A2"&amp;"216, 'Fund Investment Data'!$B:$B &lt;= $B2216)),0)"),0.0)</f>
        <v>0</v>
      </c>
      <c r="T2216" s="32"/>
      <c r="U2216" s="32"/>
      <c r="V2216" s="32">
        <f>IFERROR(__xludf.DUMMYFUNCTION("$D2216 - IFERROR(FILTER($D:$D,$C:$C = $C2216, $A:$A = $A2216, $B:$B = $B2216 - 1),0)"),0.0)</f>
        <v>0</v>
      </c>
      <c r="W2216" s="93">
        <f>IFERROR(__xludf.DUMMYFUNCTION("$E2216 - IFERROR(FILTER($E:$E,$C:$C = $C2216, $A:$A = $A2216, $B:$B = $B2216 - 1),0)"),0.0)</f>
        <v>0</v>
      </c>
      <c r="X2216" s="91">
        <f>IFERROR(__xludf.DUMMYFUNCTION("iFERROR((FILTER('Fund Investment Data'!$Z:$Z, 'Fund Investment Data'!$C:$C = $C2216, 'Fund Investment Data'!$A:$A = $A2216 - 1, 'Fund Investment Data'!$B:$B = 12) + FILTER('Fund Investment Data'!$AB:$AB, 'Fund Investment Data'!$C:$C = $C2216, 'Fund Invest"&amp;"ment Data'!$A:$A = $A2216 - 1, 'Fund Investment Data'!$B:$B = 12)) * (1 + AVERAGE(FILTER('Inflation Data'!$C:$C,'Inflation Data'!$A:$A = ($A2216 - 2)))) * Parameters!$A$4,0)"),0.0)</f>
        <v>0</v>
      </c>
      <c r="Y2216" s="91">
        <f>IFERROR(__xludf.DUMMYFUNCTION("IFERROR((IFERROR(FILTER('Fund Investment Data'!$P:$P,'Fund Investment Data'!$C:$C = $C2216,'Fund Investment Data'!$A:$A = ($A2216 - 2), 'Fund Investment Data'!$B:$B = 12),0) - SUM(FILTER('Fund Investment Data'!$V:$V, 'Fund Investment Data'!$C:$C = $C2216,"&amp;" 'Fund Investment Data'!$A:$A = ($A2216 - 2), 'Fund Investment Data'!$B:$B &gt; 3)))  * Parameters!$B$4 * (1 - Parameters!$A$4),0)"),0.0)</f>
        <v>0</v>
      </c>
      <c r="Z2216" s="91">
        <f t="shared" si="24"/>
        <v>0</v>
      </c>
      <c r="AA2216" s="91">
        <f>IFERROR(__xludf.DUMMYFUNCTION("((IFERROR((SUM(FILTER('Fund Investment Data'!$V:$V, 'Fund Investment Data'!$C:$C = $C2216, 'Fund Investment Data'!$A:$A = $A2216 - 1, 'Fund Investment Data'!$B:$B &gt;= 4, 'Fund Investment Data'!$B:$B &lt;= ($B2216 + 5))) / 12) * ($B2216 - 3) * Parameters!$B$4,"&amp;" 0) + IF($B2216 &gt;= 9, IFERROR(SUM(FILTER('Fund Investment Data'!$V:$V, 'Fund Investment Data'!$C:$C = $C2216, 'Fund Investment Data'!$A:$A = $A2216, 'Fund Investment Data'!$B:$B &lt;= 3)) * Parameters!$B$4, 0),0)))"),0.0)</f>
        <v>0</v>
      </c>
      <c r="AB2216" s="32">
        <f>IFERROR(__xludf.DUMMYFUNCTION("IFERROR(((IFERROR(SUM(FILTER('Fund Investment Data'!$V:$V, 'Fund Investment Data'!$C:$C = $C2216, 'Fund Investment Data'!$A:$A = $A2216 - 2, 'Fund Investment Data'!$B:$B &gt;= 4)) * Parameters!$B$4,0) + IFERROR(SUM(FILTER('Fund Investment Data'!$V:$V, 'Fund "&amp;"Investment Data'!$C:$C = $C2216, 'Fund Investment Data'!$A:$A = $A2216 - 1, 'Fund Investment Data'!$B:$B &lt;= 3)) * Parameters!$B$4,0))),0)"),0.0)</f>
        <v>0</v>
      </c>
      <c r="AC2216" s="32">
        <f>IFERROR(__xludf.DUMMYFUNCTION("IFERROR(FILTER($AF:$AF,$C:$C = $C2216,$A:$A = $A2216 - 1,$B:$B = 12),0)"),0.0)</f>
        <v>0</v>
      </c>
      <c r="AD2216" s="32">
        <f t="shared" si="23"/>
        <v>0</v>
      </c>
      <c r="AE2216" s="32">
        <f t="shared" si="2"/>
        <v>0</v>
      </c>
      <c r="AF2216" s="32"/>
    </row>
    <row r="2217">
      <c r="A2217" s="86"/>
      <c r="B2217" s="87"/>
      <c r="C2217" s="88"/>
      <c r="D2217" s="104"/>
      <c r="E2217" s="104"/>
      <c r="F2217" s="104"/>
      <c r="G2217" s="104"/>
      <c r="H2217" s="104"/>
      <c r="I2217" s="104"/>
      <c r="J2217" s="104"/>
      <c r="K2217" s="32"/>
      <c r="L2217" s="32"/>
      <c r="M2217" s="32"/>
      <c r="N2217" s="32"/>
      <c r="O2217" s="106"/>
      <c r="P2217" s="91">
        <f>IFERROR(__xludf.DUMMYFUNCTION("IFERROR(sum(FILTER($D:$N,$C:$C = $C2217,$A:$A &lt; $A2217,$B:$B = 12)),0) + sum($D2217:$N2217)"),0.0)</f>
        <v>0</v>
      </c>
      <c r="Q2217" s="92">
        <f t="shared" si="1"/>
        <v>0</v>
      </c>
      <c r="R2217" s="91">
        <f t="array" ref="R2217">IFERROR(INDEX('Fund YTD Target Values'!$1:$1000, MATCH($C2217,'Fund YTD Target Values'!$A:$A,0), MATCH($A2217,'Fund YTD Target Values'!$1:$1,0)),0)</f>
        <v>0</v>
      </c>
      <c r="S2217" s="91">
        <f>IFERROR(__xludf.DUMMYFUNCTION("IFERROR(sum(FILTER('Fund Investment Data'!$V:$V, 'Fund Investment Data'!$C:$C = $C2217, 'Fund Investment Data'!$A:$A &lt; $A2217)),0) + IFERROR(sum(FILTER('Fund Investment Data'!$V:$V, 'Fund Investment Data'!$C:$C = $C2217, 'Fund Investment Data'!$A:$A = $A2"&amp;"217, 'Fund Investment Data'!$B:$B &lt;= $B2217)),0)"),0.0)</f>
        <v>0</v>
      </c>
      <c r="T2217" s="32"/>
      <c r="U2217" s="32"/>
      <c r="V2217" s="32">
        <f>IFERROR(__xludf.DUMMYFUNCTION("$D2217 - IFERROR(FILTER($D:$D,$C:$C = $C2217, $A:$A = $A2217, $B:$B = $B2217 - 1),0)"),0.0)</f>
        <v>0</v>
      </c>
      <c r="W2217" s="93">
        <f>IFERROR(__xludf.DUMMYFUNCTION("$E2217 - IFERROR(FILTER($E:$E,$C:$C = $C2217, $A:$A = $A2217, $B:$B = $B2217 - 1),0)"),0.0)</f>
        <v>0</v>
      </c>
      <c r="X2217" s="91">
        <f>IFERROR(__xludf.DUMMYFUNCTION("iFERROR((FILTER('Fund Investment Data'!$Z:$Z, 'Fund Investment Data'!$C:$C = $C2217, 'Fund Investment Data'!$A:$A = $A2217 - 1, 'Fund Investment Data'!$B:$B = 12) + FILTER('Fund Investment Data'!$AB:$AB, 'Fund Investment Data'!$C:$C = $C2217, 'Fund Invest"&amp;"ment Data'!$A:$A = $A2217 - 1, 'Fund Investment Data'!$B:$B = 12)) * (1 + AVERAGE(FILTER('Inflation Data'!$C:$C,'Inflation Data'!$A:$A = ($A2217 - 2)))) * Parameters!$A$4,0)"),0.0)</f>
        <v>0</v>
      </c>
      <c r="Y2217" s="91">
        <f>IFERROR(__xludf.DUMMYFUNCTION("IFERROR((IFERROR(FILTER('Fund Investment Data'!$P:$P,'Fund Investment Data'!$C:$C = $C2217,'Fund Investment Data'!$A:$A = ($A2217 - 2), 'Fund Investment Data'!$B:$B = 12),0) - SUM(FILTER('Fund Investment Data'!$V:$V, 'Fund Investment Data'!$C:$C = $C2217,"&amp;" 'Fund Investment Data'!$A:$A = ($A2217 - 2), 'Fund Investment Data'!$B:$B &gt; 3)))  * Parameters!$B$4 * (1 - Parameters!$A$4),0)"),0.0)</f>
        <v>0</v>
      </c>
      <c r="Z2217" s="91">
        <f t="shared" si="24"/>
        <v>0</v>
      </c>
      <c r="AA2217" s="91">
        <f>IFERROR(__xludf.DUMMYFUNCTION("((IFERROR((SUM(FILTER('Fund Investment Data'!$V:$V, 'Fund Investment Data'!$C:$C = $C2217, 'Fund Investment Data'!$A:$A = $A2217 - 1, 'Fund Investment Data'!$B:$B &gt;= 4, 'Fund Investment Data'!$B:$B &lt;= ($B2217 + 5))) / 12) * ($B2217 - 3) * Parameters!$B$4,"&amp;" 0) + IF($B2217 &gt;= 9, IFERROR(SUM(FILTER('Fund Investment Data'!$V:$V, 'Fund Investment Data'!$C:$C = $C2217, 'Fund Investment Data'!$A:$A = $A2217, 'Fund Investment Data'!$B:$B &lt;= 3)) * Parameters!$B$4, 0),0)))"),0.0)</f>
        <v>0</v>
      </c>
      <c r="AB2217" s="32">
        <f>IFERROR(__xludf.DUMMYFUNCTION("IFERROR(((IFERROR(SUM(FILTER('Fund Investment Data'!$V:$V, 'Fund Investment Data'!$C:$C = $C2217, 'Fund Investment Data'!$A:$A = $A2217 - 2, 'Fund Investment Data'!$B:$B &gt;= 4)) * Parameters!$B$4,0) + IFERROR(SUM(FILTER('Fund Investment Data'!$V:$V, 'Fund "&amp;"Investment Data'!$C:$C = $C2217, 'Fund Investment Data'!$A:$A = $A2217 - 1, 'Fund Investment Data'!$B:$B &lt;= 3)) * Parameters!$B$4,0))),0)"),0.0)</f>
        <v>0</v>
      </c>
      <c r="AC2217" s="32">
        <f>IFERROR(__xludf.DUMMYFUNCTION("IFERROR(FILTER($AF:$AF,$C:$C = $C2217,$A:$A = $A2217 - 1,$B:$B = 12),0)"),0.0)</f>
        <v>0</v>
      </c>
      <c r="AD2217" s="32">
        <f t="shared" si="23"/>
        <v>0</v>
      </c>
      <c r="AE2217" s="32">
        <f t="shared" si="2"/>
        <v>0</v>
      </c>
      <c r="AF2217" s="32"/>
    </row>
    <row r="2218">
      <c r="A2218" s="86"/>
      <c r="B2218" s="87"/>
      <c r="C2218" s="88"/>
      <c r="D2218" s="104"/>
      <c r="E2218" s="104"/>
      <c r="F2218" s="104"/>
      <c r="G2218" s="104"/>
      <c r="H2218" s="104"/>
      <c r="I2218" s="104"/>
      <c r="J2218" s="104"/>
      <c r="K2218" s="32"/>
      <c r="L2218" s="32"/>
      <c r="M2218" s="32"/>
      <c r="N2218" s="32"/>
      <c r="O2218" s="106"/>
      <c r="P2218" s="91">
        <f>IFERROR(__xludf.DUMMYFUNCTION("IFERROR(sum(FILTER($D:$N,$C:$C = $C2218,$A:$A &lt; $A2218,$B:$B = 12)),0) + sum($D2218:$N2218)"),0.0)</f>
        <v>0</v>
      </c>
      <c r="Q2218" s="92">
        <f t="shared" si="1"/>
        <v>0</v>
      </c>
      <c r="R2218" s="91">
        <f t="array" ref="R2218">IFERROR(INDEX('Fund YTD Target Values'!$1:$1000, MATCH($C2218,'Fund YTD Target Values'!$A:$A,0), MATCH($A2218,'Fund YTD Target Values'!$1:$1,0)),0)</f>
        <v>0</v>
      </c>
      <c r="S2218" s="91">
        <f>IFERROR(__xludf.DUMMYFUNCTION("IFERROR(sum(FILTER('Fund Investment Data'!$V:$V, 'Fund Investment Data'!$C:$C = $C2218, 'Fund Investment Data'!$A:$A &lt; $A2218)),0) + IFERROR(sum(FILTER('Fund Investment Data'!$V:$V, 'Fund Investment Data'!$C:$C = $C2218, 'Fund Investment Data'!$A:$A = $A2"&amp;"218, 'Fund Investment Data'!$B:$B &lt;= $B2218)),0)"),0.0)</f>
        <v>0</v>
      </c>
      <c r="T2218" s="32"/>
      <c r="U2218" s="32"/>
      <c r="V2218" s="32">
        <f>IFERROR(__xludf.DUMMYFUNCTION("$D2218 - IFERROR(FILTER($D:$D,$C:$C = $C2218, $A:$A = $A2218, $B:$B = $B2218 - 1),0)"),0.0)</f>
        <v>0</v>
      </c>
      <c r="W2218" s="93">
        <f>IFERROR(__xludf.DUMMYFUNCTION("$E2218 - IFERROR(FILTER($E:$E,$C:$C = $C2218, $A:$A = $A2218, $B:$B = $B2218 - 1),0)"),0.0)</f>
        <v>0</v>
      </c>
      <c r="X2218" s="91">
        <f>IFERROR(__xludf.DUMMYFUNCTION("iFERROR((FILTER('Fund Investment Data'!$Z:$Z, 'Fund Investment Data'!$C:$C = $C2218, 'Fund Investment Data'!$A:$A = $A2218 - 1, 'Fund Investment Data'!$B:$B = 12) + FILTER('Fund Investment Data'!$AB:$AB, 'Fund Investment Data'!$C:$C = $C2218, 'Fund Invest"&amp;"ment Data'!$A:$A = $A2218 - 1, 'Fund Investment Data'!$B:$B = 12)) * (1 + AVERAGE(FILTER('Inflation Data'!$C:$C,'Inflation Data'!$A:$A = ($A2218 - 2)))) * Parameters!$A$4,0)"),0.0)</f>
        <v>0</v>
      </c>
      <c r="Y2218" s="91">
        <f>IFERROR(__xludf.DUMMYFUNCTION("IFERROR((IFERROR(FILTER('Fund Investment Data'!$P:$P,'Fund Investment Data'!$C:$C = $C2218,'Fund Investment Data'!$A:$A = ($A2218 - 2), 'Fund Investment Data'!$B:$B = 12),0) - SUM(FILTER('Fund Investment Data'!$V:$V, 'Fund Investment Data'!$C:$C = $C2218,"&amp;" 'Fund Investment Data'!$A:$A = ($A2218 - 2), 'Fund Investment Data'!$B:$B &gt; 3)))  * Parameters!$B$4 * (1 - Parameters!$A$4),0)"),0.0)</f>
        <v>0</v>
      </c>
      <c r="Z2218" s="91">
        <f t="shared" si="24"/>
        <v>0</v>
      </c>
      <c r="AA2218" s="91">
        <f>IFERROR(__xludf.DUMMYFUNCTION("((IFERROR((SUM(FILTER('Fund Investment Data'!$V:$V, 'Fund Investment Data'!$C:$C = $C2218, 'Fund Investment Data'!$A:$A = $A2218 - 1, 'Fund Investment Data'!$B:$B &gt;= 4, 'Fund Investment Data'!$B:$B &lt;= ($B2218 + 5))) / 12) * ($B2218 - 3) * Parameters!$B$4,"&amp;" 0) + IF($B2218 &gt;= 9, IFERROR(SUM(FILTER('Fund Investment Data'!$V:$V, 'Fund Investment Data'!$C:$C = $C2218, 'Fund Investment Data'!$A:$A = $A2218, 'Fund Investment Data'!$B:$B &lt;= 3)) * Parameters!$B$4, 0),0)))"),0.0)</f>
        <v>0</v>
      </c>
      <c r="AB2218" s="32">
        <f>IFERROR(__xludf.DUMMYFUNCTION("IFERROR(((IFERROR(SUM(FILTER('Fund Investment Data'!$V:$V, 'Fund Investment Data'!$C:$C = $C2218, 'Fund Investment Data'!$A:$A = $A2218 - 2, 'Fund Investment Data'!$B:$B &gt;= 4)) * Parameters!$B$4,0) + IFERROR(SUM(FILTER('Fund Investment Data'!$V:$V, 'Fund "&amp;"Investment Data'!$C:$C = $C2218, 'Fund Investment Data'!$A:$A = $A2218 - 1, 'Fund Investment Data'!$B:$B &lt;= 3)) * Parameters!$B$4,0))),0)"),0.0)</f>
        <v>0</v>
      </c>
      <c r="AC2218" s="32">
        <f>IFERROR(__xludf.DUMMYFUNCTION("IFERROR(FILTER($AF:$AF,$C:$C = $C2218,$A:$A = $A2218 - 1,$B:$B = 12),0)"),0.0)</f>
        <v>0</v>
      </c>
      <c r="AD2218" s="32">
        <f t="shared" si="23"/>
        <v>0</v>
      </c>
      <c r="AE2218" s="32">
        <f t="shared" si="2"/>
        <v>0</v>
      </c>
      <c r="AF2218" s="32"/>
    </row>
    <row r="2219">
      <c r="A2219" s="86"/>
      <c r="B2219" s="87"/>
      <c r="C2219" s="88"/>
      <c r="D2219" s="104"/>
      <c r="E2219" s="104"/>
      <c r="F2219" s="104"/>
      <c r="G2219" s="104"/>
      <c r="H2219" s="104"/>
      <c r="I2219" s="104"/>
      <c r="J2219" s="104"/>
      <c r="K2219" s="32"/>
      <c r="L2219" s="32"/>
      <c r="M2219" s="32"/>
      <c r="N2219" s="32"/>
      <c r="O2219" s="106"/>
      <c r="P2219" s="91">
        <f>IFERROR(__xludf.DUMMYFUNCTION("IFERROR(sum(FILTER($D:$N,$C:$C = $C2219,$A:$A &lt; $A2219,$B:$B = 12)),0) + sum($D2219:$N2219)"),0.0)</f>
        <v>0</v>
      </c>
      <c r="Q2219" s="92">
        <f t="shared" si="1"/>
        <v>0</v>
      </c>
      <c r="R2219" s="91">
        <f t="array" ref="R2219">IFERROR(INDEX('Fund YTD Target Values'!$1:$1000, MATCH($C2219,'Fund YTD Target Values'!$A:$A,0), MATCH($A2219,'Fund YTD Target Values'!$1:$1,0)),0)</f>
        <v>0</v>
      </c>
      <c r="S2219" s="91">
        <f>IFERROR(__xludf.DUMMYFUNCTION("IFERROR(sum(FILTER('Fund Investment Data'!$V:$V, 'Fund Investment Data'!$C:$C = $C2219, 'Fund Investment Data'!$A:$A &lt; $A2219)),0) + IFERROR(sum(FILTER('Fund Investment Data'!$V:$V, 'Fund Investment Data'!$C:$C = $C2219, 'Fund Investment Data'!$A:$A = $A2"&amp;"219, 'Fund Investment Data'!$B:$B &lt;= $B2219)),0)"),0.0)</f>
        <v>0</v>
      </c>
      <c r="T2219" s="32"/>
      <c r="U2219" s="32"/>
      <c r="V2219" s="32">
        <f>IFERROR(__xludf.DUMMYFUNCTION("$D2219 - IFERROR(FILTER($D:$D,$C:$C = $C2219, $A:$A = $A2219, $B:$B = $B2219 - 1),0)"),0.0)</f>
        <v>0</v>
      </c>
      <c r="W2219" s="93">
        <f>IFERROR(__xludf.DUMMYFUNCTION("$E2219 - IFERROR(FILTER($E:$E,$C:$C = $C2219, $A:$A = $A2219, $B:$B = $B2219 - 1),0)"),0.0)</f>
        <v>0</v>
      </c>
      <c r="X2219" s="91">
        <f>IFERROR(__xludf.DUMMYFUNCTION("iFERROR((FILTER('Fund Investment Data'!$Z:$Z, 'Fund Investment Data'!$C:$C = $C2219, 'Fund Investment Data'!$A:$A = $A2219 - 1, 'Fund Investment Data'!$B:$B = 12) + FILTER('Fund Investment Data'!$AB:$AB, 'Fund Investment Data'!$C:$C = $C2219, 'Fund Invest"&amp;"ment Data'!$A:$A = $A2219 - 1, 'Fund Investment Data'!$B:$B = 12)) * (1 + AVERAGE(FILTER('Inflation Data'!$C:$C,'Inflation Data'!$A:$A = ($A2219 - 2)))) * Parameters!$A$4,0)"),0.0)</f>
        <v>0</v>
      </c>
      <c r="Y2219" s="91">
        <f>IFERROR(__xludf.DUMMYFUNCTION("IFERROR((IFERROR(FILTER('Fund Investment Data'!$P:$P,'Fund Investment Data'!$C:$C = $C2219,'Fund Investment Data'!$A:$A = ($A2219 - 2), 'Fund Investment Data'!$B:$B = 12),0) - SUM(FILTER('Fund Investment Data'!$V:$V, 'Fund Investment Data'!$C:$C = $C2219,"&amp;" 'Fund Investment Data'!$A:$A = ($A2219 - 2), 'Fund Investment Data'!$B:$B &gt; 3)))  * Parameters!$B$4 * (1 - Parameters!$A$4),0)"),0.0)</f>
        <v>0</v>
      </c>
      <c r="Z2219" s="91">
        <f t="shared" si="24"/>
        <v>0</v>
      </c>
      <c r="AA2219" s="91">
        <f>IFERROR(__xludf.DUMMYFUNCTION("((IFERROR((SUM(FILTER('Fund Investment Data'!$V:$V, 'Fund Investment Data'!$C:$C = $C2219, 'Fund Investment Data'!$A:$A = $A2219 - 1, 'Fund Investment Data'!$B:$B &gt;= 4, 'Fund Investment Data'!$B:$B &lt;= ($B2219 + 5))) / 12) * ($B2219 - 3) * Parameters!$B$4,"&amp;" 0) + IF($B2219 &gt;= 9, IFERROR(SUM(FILTER('Fund Investment Data'!$V:$V, 'Fund Investment Data'!$C:$C = $C2219, 'Fund Investment Data'!$A:$A = $A2219, 'Fund Investment Data'!$B:$B &lt;= 3)) * Parameters!$B$4, 0),0)))"),0.0)</f>
        <v>0</v>
      </c>
      <c r="AB2219" s="32">
        <f>IFERROR(__xludf.DUMMYFUNCTION("IFERROR(((IFERROR(SUM(FILTER('Fund Investment Data'!$V:$V, 'Fund Investment Data'!$C:$C = $C2219, 'Fund Investment Data'!$A:$A = $A2219 - 2, 'Fund Investment Data'!$B:$B &gt;= 4)) * Parameters!$B$4,0) + IFERROR(SUM(FILTER('Fund Investment Data'!$V:$V, 'Fund "&amp;"Investment Data'!$C:$C = $C2219, 'Fund Investment Data'!$A:$A = $A2219 - 1, 'Fund Investment Data'!$B:$B &lt;= 3)) * Parameters!$B$4,0))),0)"),0.0)</f>
        <v>0</v>
      </c>
      <c r="AC2219" s="32">
        <f>IFERROR(__xludf.DUMMYFUNCTION("IFERROR(FILTER($AF:$AF,$C:$C = $C2219,$A:$A = $A2219 - 1,$B:$B = 12),0)"),0.0)</f>
        <v>0</v>
      </c>
      <c r="AD2219" s="32">
        <f t="shared" si="23"/>
        <v>0</v>
      </c>
      <c r="AE2219" s="32">
        <f t="shared" si="2"/>
        <v>0</v>
      </c>
      <c r="AF2219" s="32"/>
    </row>
    <row r="2220">
      <c r="A2220" s="86"/>
      <c r="B2220" s="87"/>
      <c r="C2220" s="88"/>
      <c r="D2220" s="104"/>
      <c r="E2220" s="104"/>
      <c r="F2220" s="104"/>
      <c r="G2220" s="104"/>
      <c r="H2220" s="104"/>
      <c r="I2220" s="104"/>
      <c r="J2220" s="104"/>
      <c r="K2220" s="32"/>
      <c r="L2220" s="32"/>
      <c r="M2220" s="32"/>
      <c r="N2220" s="32"/>
      <c r="O2220" s="106"/>
      <c r="P2220" s="91">
        <f>IFERROR(__xludf.DUMMYFUNCTION("IFERROR(sum(FILTER($D:$N,$C:$C = $C2220,$A:$A &lt; $A2220,$B:$B = 12)),0) + sum($D2220:$N2220)"),0.0)</f>
        <v>0</v>
      </c>
      <c r="Q2220" s="92">
        <f t="shared" si="1"/>
        <v>0</v>
      </c>
      <c r="R2220" s="91">
        <f t="array" ref="R2220">IFERROR(INDEX('Fund YTD Target Values'!$1:$1000, MATCH($C2220,'Fund YTD Target Values'!$A:$A,0), MATCH($A2220,'Fund YTD Target Values'!$1:$1,0)),0)</f>
        <v>0</v>
      </c>
      <c r="S2220" s="91">
        <f>IFERROR(__xludf.DUMMYFUNCTION("IFERROR(sum(FILTER('Fund Investment Data'!$V:$V, 'Fund Investment Data'!$C:$C = $C2220, 'Fund Investment Data'!$A:$A &lt; $A2220)),0) + IFERROR(sum(FILTER('Fund Investment Data'!$V:$V, 'Fund Investment Data'!$C:$C = $C2220, 'Fund Investment Data'!$A:$A = $A2"&amp;"220, 'Fund Investment Data'!$B:$B &lt;= $B2220)),0)"),0.0)</f>
        <v>0</v>
      </c>
      <c r="T2220" s="32"/>
      <c r="U2220" s="32"/>
      <c r="V2220" s="32">
        <f>IFERROR(__xludf.DUMMYFUNCTION("$D2220 - IFERROR(FILTER($D:$D,$C:$C = $C2220, $A:$A = $A2220, $B:$B = $B2220 - 1),0)"),0.0)</f>
        <v>0</v>
      </c>
      <c r="W2220" s="93">
        <f>IFERROR(__xludf.DUMMYFUNCTION("$E2220 - IFERROR(FILTER($E:$E,$C:$C = $C2220, $A:$A = $A2220, $B:$B = $B2220 - 1),0)"),0.0)</f>
        <v>0</v>
      </c>
      <c r="X2220" s="91">
        <f>IFERROR(__xludf.DUMMYFUNCTION("iFERROR((FILTER('Fund Investment Data'!$Z:$Z, 'Fund Investment Data'!$C:$C = $C2220, 'Fund Investment Data'!$A:$A = $A2220 - 1, 'Fund Investment Data'!$B:$B = 12) + FILTER('Fund Investment Data'!$AB:$AB, 'Fund Investment Data'!$C:$C = $C2220, 'Fund Invest"&amp;"ment Data'!$A:$A = $A2220 - 1, 'Fund Investment Data'!$B:$B = 12)) * (1 + AVERAGE(FILTER('Inflation Data'!$C:$C,'Inflation Data'!$A:$A = ($A2220 - 2)))) * Parameters!$A$4,0)"),0.0)</f>
        <v>0</v>
      </c>
      <c r="Y2220" s="91">
        <f>IFERROR(__xludf.DUMMYFUNCTION("IFERROR((IFERROR(FILTER('Fund Investment Data'!$P:$P,'Fund Investment Data'!$C:$C = $C2220,'Fund Investment Data'!$A:$A = ($A2220 - 2), 'Fund Investment Data'!$B:$B = 12),0) - SUM(FILTER('Fund Investment Data'!$V:$V, 'Fund Investment Data'!$C:$C = $C2220,"&amp;" 'Fund Investment Data'!$A:$A = ($A2220 - 2), 'Fund Investment Data'!$B:$B &gt; 3)))  * Parameters!$B$4 * (1 - Parameters!$A$4),0)"),0.0)</f>
        <v>0</v>
      </c>
      <c r="Z2220" s="91">
        <f t="shared" si="24"/>
        <v>0</v>
      </c>
      <c r="AA2220" s="91">
        <f>IFERROR(__xludf.DUMMYFUNCTION("((IFERROR((SUM(FILTER('Fund Investment Data'!$V:$V, 'Fund Investment Data'!$C:$C = $C2220, 'Fund Investment Data'!$A:$A = $A2220 - 1, 'Fund Investment Data'!$B:$B &gt;= 4, 'Fund Investment Data'!$B:$B &lt;= ($B2220 + 5))) / 12) * ($B2220 - 3) * Parameters!$B$4,"&amp;" 0) + IF($B2220 &gt;= 9, IFERROR(SUM(FILTER('Fund Investment Data'!$V:$V, 'Fund Investment Data'!$C:$C = $C2220, 'Fund Investment Data'!$A:$A = $A2220, 'Fund Investment Data'!$B:$B &lt;= 3)) * Parameters!$B$4, 0),0)))"),0.0)</f>
        <v>0</v>
      </c>
      <c r="AB2220" s="32">
        <f>IFERROR(__xludf.DUMMYFUNCTION("IFERROR(((IFERROR(SUM(FILTER('Fund Investment Data'!$V:$V, 'Fund Investment Data'!$C:$C = $C2220, 'Fund Investment Data'!$A:$A = $A2220 - 2, 'Fund Investment Data'!$B:$B &gt;= 4)) * Parameters!$B$4,0) + IFERROR(SUM(FILTER('Fund Investment Data'!$V:$V, 'Fund "&amp;"Investment Data'!$C:$C = $C2220, 'Fund Investment Data'!$A:$A = $A2220 - 1, 'Fund Investment Data'!$B:$B &lt;= 3)) * Parameters!$B$4,0))),0)"),0.0)</f>
        <v>0</v>
      </c>
      <c r="AC2220" s="32">
        <f>IFERROR(__xludf.DUMMYFUNCTION("IFERROR(FILTER($AF:$AF,$C:$C = $C2220,$A:$A = $A2220 - 1,$B:$B = 12),0)"),0.0)</f>
        <v>0</v>
      </c>
      <c r="AD2220" s="32">
        <f t="shared" si="23"/>
        <v>0</v>
      </c>
      <c r="AE2220" s="32">
        <f t="shared" si="2"/>
        <v>0</v>
      </c>
      <c r="AF2220" s="32"/>
    </row>
    <row r="2221">
      <c r="A2221" s="86"/>
      <c r="B2221" s="87"/>
      <c r="C2221" s="88"/>
      <c r="D2221" s="104"/>
      <c r="E2221" s="104"/>
      <c r="F2221" s="104"/>
      <c r="G2221" s="104"/>
      <c r="H2221" s="104"/>
      <c r="I2221" s="104"/>
      <c r="J2221" s="104"/>
      <c r="K2221" s="32"/>
      <c r="L2221" s="32"/>
      <c r="M2221" s="32"/>
      <c r="N2221" s="32"/>
      <c r="O2221" s="106"/>
      <c r="P2221" s="91">
        <f>IFERROR(__xludf.DUMMYFUNCTION("IFERROR(sum(FILTER($D:$N,$C:$C = $C2221,$A:$A &lt; $A2221,$B:$B = 12)),0) + sum($D2221:$N2221)"),0.0)</f>
        <v>0</v>
      </c>
      <c r="Q2221" s="92">
        <f t="shared" si="1"/>
        <v>0</v>
      </c>
      <c r="R2221" s="91">
        <f t="array" ref="R2221">IFERROR(INDEX('Fund YTD Target Values'!$1:$1000, MATCH($C2221,'Fund YTD Target Values'!$A:$A,0), MATCH($A2221,'Fund YTD Target Values'!$1:$1,0)),0)</f>
        <v>0</v>
      </c>
      <c r="S2221" s="91">
        <f>IFERROR(__xludf.DUMMYFUNCTION("IFERROR(sum(FILTER('Fund Investment Data'!$V:$V, 'Fund Investment Data'!$C:$C = $C2221, 'Fund Investment Data'!$A:$A &lt; $A2221)),0) + IFERROR(sum(FILTER('Fund Investment Data'!$V:$V, 'Fund Investment Data'!$C:$C = $C2221, 'Fund Investment Data'!$A:$A = $A2"&amp;"221, 'Fund Investment Data'!$B:$B &lt;= $B2221)),0)"),0.0)</f>
        <v>0</v>
      </c>
      <c r="T2221" s="32"/>
      <c r="U2221" s="32"/>
      <c r="V2221" s="32">
        <f>IFERROR(__xludf.DUMMYFUNCTION("$D2221 - IFERROR(FILTER($D:$D,$C:$C = $C2221, $A:$A = $A2221, $B:$B = $B2221 - 1),0)"),0.0)</f>
        <v>0</v>
      </c>
      <c r="W2221" s="93">
        <f>IFERROR(__xludf.DUMMYFUNCTION("$E2221 - IFERROR(FILTER($E:$E,$C:$C = $C2221, $A:$A = $A2221, $B:$B = $B2221 - 1),0)"),0.0)</f>
        <v>0</v>
      </c>
      <c r="X2221" s="91">
        <f>IFERROR(__xludf.DUMMYFUNCTION("iFERROR((FILTER('Fund Investment Data'!$Z:$Z, 'Fund Investment Data'!$C:$C = $C2221, 'Fund Investment Data'!$A:$A = $A2221 - 1, 'Fund Investment Data'!$B:$B = 12) + FILTER('Fund Investment Data'!$AB:$AB, 'Fund Investment Data'!$C:$C = $C2221, 'Fund Invest"&amp;"ment Data'!$A:$A = $A2221 - 1, 'Fund Investment Data'!$B:$B = 12)) * (1 + AVERAGE(FILTER('Inflation Data'!$C:$C,'Inflation Data'!$A:$A = ($A2221 - 2)))) * Parameters!$A$4,0)"),0.0)</f>
        <v>0</v>
      </c>
      <c r="Y2221" s="91">
        <f>IFERROR(__xludf.DUMMYFUNCTION("IFERROR((IFERROR(FILTER('Fund Investment Data'!$P:$P,'Fund Investment Data'!$C:$C = $C2221,'Fund Investment Data'!$A:$A = ($A2221 - 2), 'Fund Investment Data'!$B:$B = 12),0) - SUM(FILTER('Fund Investment Data'!$V:$V, 'Fund Investment Data'!$C:$C = $C2221,"&amp;" 'Fund Investment Data'!$A:$A = ($A2221 - 2), 'Fund Investment Data'!$B:$B &gt; 3)))  * Parameters!$B$4 * (1 - Parameters!$A$4),0)"),0.0)</f>
        <v>0</v>
      </c>
      <c r="Z2221" s="91">
        <f t="shared" si="24"/>
        <v>0</v>
      </c>
      <c r="AA2221" s="91">
        <f>IFERROR(__xludf.DUMMYFUNCTION("((IFERROR((SUM(FILTER('Fund Investment Data'!$V:$V, 'Fund Investment Data'!$C:$C = $C2221, 'Fund Investment Data'!$A:$A = $A2221 - 1, 'Fund Investment Data'!$B:$B &gt;= 4, 'Fund Investment Data'!$B:$B &lt;= ($B2221 + 5))) / 12) * ($B2221 - 3) * Parameters!$B$4,"&amp;" 0) + IF($B2221 &gt;= 9, IFERROR(SUM(FILTER('Fund Investment Data'!$V:$V, 'Fund Investment Data'!$C:$C = $C2221, 'Fund Investment Data'!$A:$A = $A2221, 'Fund Investment Data'!$B:$B &lt;= 3)) * Parameters!$B$4, 0),0)))"),0.0)</f>
        <v>0</v>
      </c>
      <c r="AB2221" s="32">
        <f>IFERROR(__xludf.DUMMYFUNCTION("IFERROR(((IFERROR(SUM(FILTER('Fund Investment Data'!$V:$V, 'Fund Investment Data'!$C:$C = $C2221, 'Fund Investment Data'!$A:$A = $A2221 - 2, 'Fund Investment Data'!$B:$B &gt;= 4)) * Parameters!$B$4,0) + IFERROR(SUM(FILTER('Fund Investment Data'!$V:$V, 'Fund "&amp;"Investment Data'!$C:$C = $C2221, 'Fund Investment Data'!$A:$A = $A2221 - 1, 'Fund Investment Data'!$B:$B &lt;= 3)) * Parameters!$B$4,0))),0)"),0.0)</f>
        <v>0</v>
      </c>
      <c r="AC2221" s="32">
        <f>IFERROR(__xludf.DUMMYFUNCTION("IFERROR(FILTER($AF:$AF,$C:$C = $C2221,$A:$A = $A2221 - 1,$B:$B = 12),0)"),0.0)</f>
        <v>0</v>
      </c>
      <c r="AD2221" s="32">
        <f t="shared" si="23"/>
        <v>0</v>
      </c>
      <c r="AE2221" s="32">
        <f t="shared" si="2"/>
        <v>0</v>
      </c>
      <c r="AF2221" s="32"/>
    </row>
    <row r="2222">
      <c r="A2222" s="86"/>
      <c r="B2222" s="87"/>
      <c r="C2222" s="88"/>
      <c r="D2222" s="104"/>
      <c r="E2222" s="104"/>
      <c r="F2222" s="104"/>
      <c r="G2222" s="104"/>
      <c r="H2222" s="104"/>
      <c r="I2222" s="104"/>
      <c r="J2222" s="104"/>
      <c r="K2222" s="32"/>
      <c r="L2222" s="32"/>
      <c r="M2222" s="32"/>
      <c r="N2222" s="32"/>
      <c r="O2222" s="106"/>
      <c r="P2222" s="91">
        <f>IFERROR(__xludf.DUMMYFUNCTION("IFERROR(sum(FILTER($D:$N,$C:$C = $C2222,$A:$A &lt; $A2222,$B:$B = 12)),0) + sum($D2222:$N2222)"),0.0)</f>
        <v>0</v>
      </c>
      <c r="Q2222" s="92">
        <f t="shared" si="1"/>
        <v>0</v>
      </c>
      <c r="R2222" s="91">
        <f t="array" ref="R2222">IFERROR(INDEX('Fund YTD Target Values'!$1:$1000, MATCH($C2222,'Fund YTD Target Values'!$A:$A,0), MATCH($A2222,'Fund YTD Target Values'!$1:$1,0)),0)</f>
        <v>0</v>
      </c>
      <c r="S2222" s="91">
        <f>IFERROR(__xludf.DUMMYFUNCTION("IFERROR(sum(FILTER('Fund Investment Data'!$V:$V, 'Fund Investment Data'!$C:$C = $C2222, 'Fund Investment Data'!$A:$A &lt; $A2222)),0) + IFERROR(sum(FILTER('Fund Investment Data'!$V:$V, 'Fund Investment Data'!$C:$C = $C2222, 'Fund Investment Data'!$A:$A = $A2"&amp;"222, 'Fund Investment Data'!$B:$B &lt;= $B2222)),0)"),0.0)</f>
        <v>0</v>
      </c>
      <c r="T2222" s="32"/>
      <c r="U2222" s="32"/>
      <c r="V2222" s="32">
        <f>IFERROR(__xludf.DUMMYFUNCTION("$D2222 - IFERROR(FILTER($D:$D,$C:$C = $C2222, $A:$A = $A2222, $B:$B = $B2222 - 1),0)"),0.0)</f>
        <v>0</v>
      </c>
      <c r="W2222" s="93">
        <f>IFERROR(__xludf.DUMMYFUNCTION("$E2222 - IFERROR(FILTER($E:$E,$C:$C = $C2222, $A:$A = $A2222, $B:$B = $B2222 - 1),0)"),0.0)</f>
        <v>0</v>
      </c>
      <c r="X2222" s="91">
        <f>IFERROR(__xludf.DUMMYFUNCTION("iFERROR((FILTER('Fund Investment Data'!$Z:$Z, 'Fund Investment Data'!$C:$C = $C2222, 'Fund Investment Data'!$A:$A = $A2222 - 1, 'Fund Investment Data'!$B:$B = 12) + FILTER('Fund Investment Data'!$AB:$AB, 'Fund Investment Data'!$C:$C = $C2222, 'Fund Invest"&amp;"ment Data'!$A:$A = $A2222 - 1, 'Fund Investment Data'!$B:$B = 12)) * (1 + AVERAGE(FILTER('Inflation Data'!$C:$C,'Inflation Data'!$A:$A = ($A2222 - 2)))) * Parameters!$A$4,0)"),0.0)</f>
        <v>0</v>
      </c>
      <c r="Y2222" s="91">
        <f>IFERROR(__xludf.DUMMYFUNCTION("IFERROR((IFERROR(FILTER('Fund Investment Data'!$P:$P,'Fund Investment Data'!$C:$C = $C2222,'Fund Investment Data'!$A:$A = ($A2222 - 2), 'Fund Investment Data'!$B:$B = 12),0) - SUM(FILTER('Fund Investment Data'!$V:$V, 'Fund Investment Data'!$C:$C = $C2222,"&amp;" 'Fund Investment Data'!$A:$A = ($A2222 - 2), 'Fund Investment Data'!$B:$B &gt; 3)))  * Parameters!$B$4 * (1 - Parameters!$A$4),0)"),0.0)</f>
        <v>0</v>
      </c>
      <c r="Z2222" s="91">
        <f t="shared" si="24"/>
        <v>0</v>
      </c>
      <c r="AA2222" s="91">
        <f>IFERROR(__xludf.DUMMYFUNCTION("((IFERROR((SUM(FILTER('Fund Investment Data'!$V:$V, 'Fund Investment Data'!$C:$C = $C2222, 'Fund Investment Data'!$A:$A = $A2222 - 1, 'Fund Investment Data'!$B:$B &gt;= 4, 'Fund Investment Data'!$B:$B &lt;= ($B2222 + 5))) / 12) * ($B2222 - 3) * Parameters!$B$4,"&amp;" 0) + IF($B2222 &gt;= 9, IFERROR(SUM(FILTER('Fund Investment Data'!$V:$V, 'Fund Investment Data'!$C:$C = $C2222, 'Fund Investment Data'!$A:$A = $A2222, 'Fund Investment Data'!$B:$B &lt;= 3)) * Parameters!$B$4, 0),0)))"),0.0)</f>
        <v>0</v>
      </c>
      <c r="AB2222" s="32">
        <f>IFERROR(__xludf.DUMMYFUNCTION("IFERROR(((IFERROR(SUM(FILTER('Fund Investment Data'!$V:$V, 'Fund Investment Data'!$C:$C = $C2222, 'Fund Investment Data'!$A:$A = $A2222 - 2, 'Fund Investment Data'!$B:$B &gt;= 4)) * Parameters!$B$4,0) + IFERROR(SUM(FILTER('Fund Investment Data'!$V:$V, 'Fund "&amp;"Investment Data'!$C:$C = $C2222, 'Fund Investment Data'!$A:$A = $A2222 - 1, 'Fund Investment Data'!$B:$B &lt;= 3)) * Parameters!$B$4,0))),0)"),0.0)</f>
        <v>0</v>
      </c>
      <c r="AC2222" s="32">
        <f>IFERROR(__xludf.DUMMYFUNCTION("IFERROR(FILTER($AF:$AF,$C:$C = $C2222,$A:$A = $A2222 - 1,$B:$B = 12),0)"),0.0)</f>
        <v>0</v>
      </c>
      <c r="AD2222" s="32">
        <f t="shared" si="23"/>
        <v>0</v>
      </c>
      <c r="AE2222" s="32">
        <f t="shared" si="2"/>
        <v>0</v>
      </c>
      <c r="AF2222" s="32"/>
    </row>
    <row r="2223">
      <c r="A2223" s="86"/>
      <c r="B2223" s="87"/>
      <c r="C2223" s="88"/>
      <c r="D2223" s="104"/>
      <c r="E2223" s="104"/>
      <c r="F2223" s="104"/>
      <c r="G2223" s="104"/>
      <c r="H2223" s="104"/>
      <c r="I2223" s="104"/>
      <c r="J2223" s="104"/>
      <c r="K2223" s="32"/>
      <c r="L2223" s="32"/>
      <c r="M2223" s="32"/>
      <c r="N2223" s="32"/>
      <c r="O2223" s="106"/>
      <c r="P2223" s="91">
        <f>IFERROR(__xludf.DUMMYFUNCTION("IFERROR(sum(FILTER($D:$N,$C:$C = $C2223,$A:$A &lt; $A2223,$B:$B = 12)),0) + sum($D2223:$N2223)"),0.0)</f>
        <v>0</v>
      </c>
      <c r="Q2223" s="92">
        <f t="shared" si="1"/>
        <v>0</v>
      </c>
      <c r="R2223" s="91">
        <f t="array" ref="R2223">IFERROR(INDEX('Fund YTD Target Values'!$1:$1000, MATCH($C2223,'Fund YTD Target Values'!$A:$A,0), MATCH($A2223,'Fund YTD Target Values'!$1:$1,0)),0)</f>
        <v>0</v>
      </c>
      <c r="S2223" s="91">
        <f>IFERROR(__xludf.DUMMYFUNCTION("IFERROR(sum(FILTER('Fund Investment Data'!$V:$V, 'Fund Investment Data'!$C:$C = $C2223, 'Fund Investment Data'!$A:$A &lt; $A2223)),0) + IFERROR(sum(FILTER('Fund Investment Data'!$V:$V, 'Fund Investment Data'!$C:$C = $C2223, 'Fund Investment Data'!$A:$A = $A2"&amp;"223, 'Fund Investment Data'!$B:$B &lt;= $B2223)),0)"),0.0)</f>
        <v>0</v>
      </c>
      <c r="T2223" s="32"/>
      <c r="U2223" s="32"/>
      <c r="V2223" s="32">
        <f>IFERROR(__xludf.DUMMYFUNCTION("$D2223 - IFERROR(FILTER($D:$D,$C:$C = $C2223, $A:$A = $A2223, $B:$B = $B2223 - 1),0)"),0.0)</f>
        <v>0</v>
      </c>
      <c r="W2223" s="93">
        <f>IFERROR(__xludf.DUMMYFUNCTION("$E2223 - IFERROR(FILTER($E:$E,$C:$C = $C2223, $A:$A = $A2223, $B:$B = $B2223 - 1),0)"),0.0)</f>
        <v>0</v>
      </c>
      <c r="X2223" s="91">
        <f>IFERROR(__xludf.DUMMYFUNCTION("iFERROR((FILTER('Fund Investment Data'!$Z:$Z, 'Fund Investment Data'!$C:$C = $C2223, 'Fund Investment Data'!$A:$A = $A2223 - 1, 'Fund Investment Data'!$B:$B = 12) + FILTER('Fund Investment Data'!$AB:$AB, 'Fund Investment Data'!$C:$C = $C2223, 'Fund Invest"&amp;"ment Data'!$A:$A = $A2223 - 1, 'Fund Investment Data'!$B:$B = 12)) * (1 + AVERAGE(FILTER('Inflation Data'!$C:$C,'Inflation Data'!$A:$A = ($A2223 - 2)))) * Parameters!$A$4,0)"),0.0)</f>
        <v>0</v>
      </c>
      <c r="Y2223" s="91">
        <f>IFERROR(__xludf.DUMMYFUNCTION("IFERROR((IFERROR(FILTER('Fund Investment Data'!$P:$P,'Fund Investment Data'!$C:$C = $C2223,'Fund Investment Data'!$A:$A = ($A2223 - 2), 'Fund Investment Data'!$B:$B = 12),0) - SUM(FILTER('Fund Investment Data'!$V:$V, 'Fund Investment Data'!$C:$C = $C2223,"&amp;" 'Fund Investment Data'!$A:$A = ($A2223 - 2), 'Fund Investment Data'!$B:$B &gt; 3)))  * Parameters!$B$4 * (1 - Parameters!$A$4),0)"),0.0)</f>
        <v>0</v>
      </c>
      <c r="Z2223" s="91">
        <f t="shared" si="24"/>
        <v>0</v>
      </c>
      <c r="AA2223" s="91">
        <f>IFERROR(__xludf.DUMMYFUNCTION("((IFERROR((SUM(FILTER('Fund Investment Data'!$V:$V, 'Fund Investment Data'!$C:$C = $C2223, 'Fund Investment Data'!$A:$A = $A2223 - 1, 'Fund Investment Data'!$B:$B &gt;= 4, 'Fund Investment Data'!$B:$B &lt;= ($B2223 + 5))) / 12) * ($B2223 - 3) * Parameters!$B$4,"&amp;" 0) + IF($B2223 &gt;= 9, IFERROR(SUM(FILTER('Fund Investment Data'!$V:$V, 'Fund Investment Data'!$C:$C = $C2223, 'Fund Investment Data'!$A:$A = $A2223, 'Fund Investment Data'!$B:$B &lt;= 3)) * Parameters!$B$4, 0),0)))"),0.0)</f>
        <v>0</v>
      </c>
      <c r="AB2223" s="32">
        <f>IFERROR(__xludf.DUMMYFUNCTION("IFERROR(((IFERROR(SUM(FILTER('Fund Investment Data'!$V:$V, 'Fund Investment Data'!$C:$C = $C2223, 'Fund Investment Data'!$A:$A = $A2223 - 2, 'Fund Investment Data'!$B:$B &gt;= 4)) * Parameters!$B$4,0) + IFERROR(SUM(FILTER('Fund Investment Data'!$V:$V, 'Fund "&amp;"Investment Data'!$C:$C = $C2223, 'Fund Investment Data'!$A:$A = $A2223 - 1, 'Fund Investment Data'!$B:$B &lt;= 3)) * Parameters!$B$4,0))),0)"),0.0)</f>
        <v>0</v>
      </c>
      <c r="AC2223" s="32">
        <f>IFERROR(__xludf.DUMMYFUNCTION("IFERROR(FILTER($AF:$AF,$C:$C = $C2223,$A:$A = $A2223 - 1,$B:$B = 12),0)"),0.0)</f>
        <v>0</v>
      </c>
      <c r="AD2223" s="32">
        <f t="shared" si="23"/>
        <v>0</v>
      </c>
      <c r="AE2223" s="32">
        <f t="shared" si="2"/>
        <v>0</v>
      </c>
      <c r="AF2223" s="32"/>
    </row>
    <row r="2224">
      <c r="A2224" s="86"/>
      <c r="B2224" s="87"/>
      <c r="C2224" s="88"/>
      <c r="D2224" s="104"/>
      <c r="E2224" s="104"/>
      <c r="F2224" s="104"/>
      <c r="G2224" s="104"/>
      <c r="H2224" s="104"/>
      <c r="I2224" s="104"/>
      <c r="J2224" s="104"/>
      <c r="K2224" s="32"/>
      <c r="L2224" s="32"/>
      <c r="M2224" s="32"/>
      <c r="N2224" s="32"/>
      <c r="O2224" s="106"/>
      <c r="P2224" s="91">
        <f>IFERROR(__xludf.DUMMYFUNCTION("IFERROR(sum(FILTER($D:$N,$C:$C = $C2224,$A:$A &lt; $A2224,$B:$B = 12)),0) + sum($D2224:$N2224)"),0.0)</f>
        <v>0</v>
      </c>
      <c r="Q2224" s="92">
        <f t="shared" si="1"/>
        <v>0</v>
      </c>
      <c r="R2224" s="91">
        <f t="array" ref="R2224">IFERROR(INDEX('Fund YTD Target Values'!$1:$1000, MATCH($C2224,'Fund YTD Target Values'!$A:$A,0), MATCH($A2224,'Fund YTD Target Values'!$1:$1,0)),0)</f>
        <v>0</v>
      </c>
      <c r="S2224" s="91">
        <f>IFERROR(__xludf.DUMMYFUNCTION("IFERROR(sum(FILTER('Fund Investment Data'!$V:$V, 'Fund Investment Data'!$C:$C = $C2224, 'Fund Investment Data'!$A:$A &lt; $A2224)),0) + IFERROR(sum(FILTER('Fund Investment Data'!$V:$V, 'Fund Investment Data'!$C:$C = $C2224, 'Fund Investment Data'!$A:$A = $A2"&amp;"224, 'Fund Investment Data'!$B:$B &lt;= $B2224)),0)"),0.0)</f>
        <v>0</v>
      </c>
      <c r="T2224" s="32"/>
      <c r="U2224" s="32"/>
      <c r="V2224" s="32">
        <f>IFERROR(__xludf.DUMMYFUNCTION("$D2224 - IFERROR(FILTER($D:$D,$C:$C = $C2224, $A:$A = $A2224, $B:$B = $B2224 - 1),0)"),0.0)</f>
        <v>0</v>
      </c>
      <c r="W2224" s="93">
        <f>IFERROR(__xludf.DUMMYFUNCTION("$E2224 - IFERROR(FILTER($E:$E,$C:$C = $C2224, $A:$A = $A2224, $B:$B = $B2224 - 1),0)"),0.0)</f>
        <v>0</v>
      </c>
      <c r="X2224" s="91">
        <f>IFERROR(__xludf.DUMMYFUNCTION("iFERROR((FILTER('Fund Investment Data'!$Z:$Z, 'Fund Investment Data'!$C:$C = $C2224, 'Fund Investment Data'!$A:$A = $A2224 - 1, 'Fund Investment Data'!$B:$B = 12) + FILTER('Fund Investment Data'!$AB:$AB, 'Fund Investment Data'!$C:$C = $C2224, 'Fund Invest"&amp;"ment Data'!$A:$A = $A2224 - 1, 'Fund Investment Data'!$B:$B = 12)) * (1 + AVERAGE(FILTER('Inflation Data'!$C:$C,'Inflation Data'!$A:$A = ($A2224 - 2)))) * Parameters!$A$4,0)"),0.0)</f>
        <v>0</v>
      </c>
      <c r="Y2224" s="91">
        <f>IFERROR(__xludf.DUMMYFUNCTION("IFERROR((IFERROR(FILTER('Fund Investment Data'!$P:$P,'Fund Investment Data'!$C:$C = $C2224,'Fund Investment Data'!$A:$A = ($A2224 - 2), 'Fund Investment Data'!$B:$B = 12),0) - SUM(FILTER('Fund Investment Data'!$V:$V, 'Fund Investment Data'!$C:$C = $C2224,"&amp;" 'Fund Investment Data'!$A:$A = ($A2224 - 2), 'Fund Investment Data'!$B:$B &gt; 3)))  * Parameters!$B$4 * (1 - Parameters!$A$4),0)"),0.0)</f>
        <v>0</v>
      </c>
      <c r="Z2224" s="91">
        <f t="shared" si="24"/>
        <v>0</v>
      </c>
      <c r="AA2224" s="91">
        <f>IFERROR(__xludf.DUMMYFUNCTION("((IFERROR((SUM(FILTER('Fund Investment Data'!$V:$V, 'Fund Investment Data'!$C:$C = $C2224, 'Fund Investment Data'!$A:$A = $A2224 - 1, 'Fund Investment Data'!$B:$B &gt;= 4, 'Fund Investment Data'!$B:$B &lt;= ($B2224 + 5))) / 12) * ($B2224 - 3) * Parameters!$B$4,"&amp;" 0) + IF($B2224 &gt;= 9, IFERROR(SUM(FILTER('Fund Investment Data'!$V:$V, 'Fund Investment Data'!$C:$C = $C2224, 'Fund Investment Data'!$A:$A = $A2224, 'Fund Investment Data'!$B:$B &lt;= 3)) * Parameters!$B$4, 0),0)))"),0.0)</f>
        <v>0</v>
      </c>
      <c r="AB2224" s="32">
        <f>IFERROR(__xludf.DUMMYFUNCTION("IFERROR(((IFERROR(SUM(FILTER('Fund Investment Data'!$V:$V, 'Fund Investment Data'!$C:$C = $C2224, 'Fund Investment Data'!$A:$A = $A2224 - 2, 'Fund Investment Data'!$B:$B &gt;= 4)) * Parameters!$B$4,0) + IFERROR(SUM(FILTER('Fund Investment Data'!$V:$V, 'Fund "&amp;"Investment Data'!$C:$C = $C2224, 'Fund Investment Data'!$A:$A = $A2224 - 1, 'Fund Investment Data'!$B:$B &lt;= 3)) * Parameters!$B$4,0))),0)"),0.0)</f>
        <v>0</v>
      </c>
      <c r="AC2224" s="32">
        <f>IFERROR(__xludf.DUMMYFUNCTION("IFERROR(FILTER($AF:$AF,$C:$C = $C2224,$A:$A = $A2224 - 1,$B:$B = 12),0)"),0.0)</f>
        <v>0</v>
      </c>
      <c r="AD2224" s="32">
        <f t="shared" si="23"/>
        <v>0</v>
      </c>
      <c r="AE2224" s="32">
        <f t="shared" si="2"/>
        <v>0</v>
      </c>
      <c r="AF2224" s="32"/>
    </row>
    <row r="2225">
      <c r="A2225" s="86"/>
      <c r="B2225" s="87"/>
      <c r="C2225" s="88"/>
      <c r="D2225" s="104"/>
      <c r="E2225" s="104"/>
      <c r="F2225" s="104"/>
      <c r="G2225" s="104"/>
      <c r="H2225" s="104"/>
      <c r="I2225" s="104"/>
      <c r="J2225" s="104"/>
      <c r="K2225" s="32"/>
      <c r="L2225" s="32"/>
      <c r="M2225" s="32"/>
      <c r="N2225" s="32"/>
      <c r="O2225" s="106"/>
      <c r="P2225" s="91">
        <f>IFERROR(__xludf.DUMMYFUNCTION("IFERROR(sum(FILTER($D:$N,$C:$C = $C2225,$A:$A &lt; $A2225,$B:$B = 12)),0) + sum($D2225:$N2225)"),0.0)</f>
        <v>0</v>
      </c>
      <c r="Q2225" s="92">
        <f t="shared" si="1"/>
        <v>0</v>
      </c>
      <c r="R2225" s="91">
        <f t="array" ref="R2225">IFERROR(INDEX('Fund YTD Target Values'!$1:$1000, MATCH($C2225,'Fund YTD Target Values'!$A:$A,0), MATCH($A2225,'Fund YTD Target Values'!$1:$1,0)),0)</f>
        <v>0</v>
      </c>
      <c r="S2225" s="91">
        <f>IFERROR(__xludf.DUMMYFUNCTION("IFERROR(sum(FILTER('Fund Investment Data'!$V:$V, 'Fund Investment Data'!$C:$C = $C2225, 'Fund Investment Data'!$A:$A &lt; $A2225)),0) + IFERROR(sum(FILTER('Fund Investment Data'!$V:$V, 'Fund Investment Data'!$C:$C = $C2225, 'Fund Investment Data'!$A:$A = $A2"&amp;"225, 'Fund Investment Data'!$B:$B &lt;= $B2225)),0)"),0.0)</f>
        <v>0</v>
      </c>
      <c r="T2225" s="32"/>
      <c r="U2225" s="32"/>
      <c r="V2225" s="32">
        <f>IFERROR(__xludf.DUMMYFUNCTION("$D2225 - IFERROR(FILTER($D:$D,$C:$C = $C2225, $A:$A = $A2225, $B:$B = $B2225 - 1),0)"),0.0)</f>
        <v>0</v>
      </c>
      <c r="W2225" s="93">
        <f>IFERROR(__xludf.DUMMYFUNCTION("$E2225 - IFERROR(FILTER($E:$E,$C:$C = $C2225, $A:$A = $A2225, $B:$B = $B2225 - 1),0)"),0.0)</f>
        <v>0</v>
      </c>
      <c r="X2225" s="91">
        <f>IFERROR(__xludf.DUMMYFUNCTION("iFERROR((FILTER('Fund Investment Data'!$Z:$Z, 'Fund Investment Data'!$C:$C = $C2225, 'Fund Investment Data'!$A:$A = $A2225 - 1, 'Fund Investment Data'!$B:$B = 12) + FILTER('Fund Investment Data'!$AB:$AB, 'Fund Investment Data'!$C:$C = $C2225, 'Fund Invest"&amp;"ment Data'!$A:$A = $A2225 - 1, 'Fund Investment Data'!$B:$B = 12)) * (1 + AVERAGE(FILTER('Inflation Data'!$C:$C,'Inflation Data'!$A:$A = ($A2225 - 2)))) * Parameters!$A$4,0)"),0.0)</f>
        <v>0</v>
      </c>
      <c r="Y2225" s="91">
        <f>IFERROR(__xludf.DUMMYFUNCTION("IFERROR((IFERROR(FILTER('Fund Investment Data'!$P:$P,'Fund Investment Data'!$C:$C = $C2225,'Fund Investment Data'!$A:$A = ($A2225 - 2), 'Fund Investment Data'!$B:$B = 12),0) - SUM(FILTER('Fund Investment Data'!$V:$V, 'Fund Investment Data'!$C:$C = $C2225,"&amp;" 'Fund Investment Data'!$A:$A = ($A2225 - 2), 'Fund Investment Data'!$B:$B &gt; 3)))  * Parameters!$B$4 * (1 - Parameters!$A$4),0)"),0.0)</f>
        <v>0</v>
      </c>
      <c r="Z2225" s="91">
        <f t="shared" si="24"/>
        <v>0</v>
      </c>
      <c r="AA2225" s="91">
        <f>IFERROR(__xludf.DUMMYFUNCTION("((IFERROR((SUM(FILTER('Fund Investment Data'!$V:$V, 'Fund Investment Data'!$C:$C = $C2225, 'Fund Investment Data'!$A:$A = $A2225 - 1, 'Fund Investment Data'!$B:$B &gt;= 4, 'Fund Investment Data'!$B:$B &lt;= ($B2225 + 5))) / 12) * ($B2225 - 3) * Parameters!$B$4,"&amp;" 0) + IF($B2225 &gt;= 9, IFERROR(SUM(FILTER('Fund Investment Data'!$V:$V, 'Fund Investment Data'!$C:$C = $C2225, 'Fund Investment Data'!$A:$A = $A2225, 'Fund Investment Data'!$B:$B &lt;= 3)) * Parameters!$B$4, 0),0)))"),0.0)</f>
        <v>0</v>
      </c>
      <c r="AB2225" s="32">
        <f>IFERROR(__xludf.DUMMYFUNCTION("IFERROR(((IFERROR(SUM(FILTER('Fund Investment Data'!$V:$V, 'Fund Investment Data'!$C:$C = $C2225, 'Fund Investment Data'!$A:$A = $A2225 - 2, 'Fund Investment Data'!$B:$B &gt;= 4)) * Parameters!$B$4,0) + IFERROR(SUM(FILTER('Fund Investment Data'!$V:$V, 'Fund "&amp;"Investment Data'!$C:$C = $C2225, 'Fund Investment Data'!$A:$A = $A2225 - 1, 'Fund Investment Data'!$B:$B &lt;= 3)) * Parameters!$B$4,0))),0)"),0.0)</f>
        <v>0</v>
      </c>
      <c r="AC2225" s="32">
        <f>IFERROR(__xludf.DUMMYFUNCTION("IFERROR(FILTER($AF:$AF,$C:$C = $C2225,$A:$A = $A2225 - 1,$B:$B = 12),0)"),0.0)</f>
        <v>0</v>
      </c>
      <c r="AD2225" s="32">
        <f t="shared" si="23"/>
        <v>0</v>
      </c>
      <c r="AE2225" s="32">
        <f t="shared" si="2"/>
        <v>0</v>
      </c>
      <c r="AF2225" s="32"/>
    </row>
    <row r="2226">
      <c r="A2226" s="86"/>
      <c r="B2226" s="87"/>
      <c r="C2226" s="88"/>
      <c r="D2226" s="104"/>
      <c r="E2226" s="104"/>
      <c r="F2226" s="104"/>
      <c r="G2226" s="104"/>
      <c r="H2226" s="104"/>
      <c r="I2226" s="104"/>
      <c r="J2226" s="104"/>
      <c r="K2226" s="32"/>
      <c r="L2226" s="32"/>
      <c r="M2226" s="32"/>
      <c r="N2226" s="32"/>
      <c r="O2226" s="106"/>
      <c r="P2226" s="91">
        <f>IFERROR(__xludf.DUMMYFUNCTION("IFERROR(sum(FILTER($D:$N,$C:$C = $C2226,$A:$A &lt; $A2226,$B:$B = 12)),0) + sum($D2226:$N2226)"),0.0)</f>
        <v>0</v>
      </c>
      <c r="Q2226" s="92">
        <f t="shared" si="1"/>
        <v>0</v>
      </c>
      <c r="R2226" s="91">
        <f t="array" ref="R2226">IFERROR(INDEX('Fund YTD Target Values'!$1:$1000, MATCH($C2226,'Fund YTD Target Values'!$A:$A,0), MATCH($A2226,'Fund YTD Target Values'!$1:$1,0)),0)</f>
        <v>0</v>
      </c>
      <c r="S2226" s="91">
        <f>IFERROR(__xludf.DUMMYFUNCTION("IFERROR(sum(FILTER('Fund Investment Data'!$V:$V, 'Fund Investment Data'!$C:$C = $C2226, 'Fund Investment Data'!$A:$A &lt; $A2226)),0) + IFERROR(sum(FILTER('Fund Investment Data'!$V:$V, 'Fund Investment Data'!$C:$C = $C2226, 'Fund Investment Data'!$A:$A = $A2"&amp;"226, 'Fund Investment Data'!$B:$B &lt;= $B2226)),0)"),0.0)</f>
        <v>0</v>
      </c>
      <c r="T2226" s="32"/>
      <c r="U2226" s="32"/>
      <c r="V2226" s="32">
        <f>IFERROR(__xludf.DUMMYFUNCTION("$D2226 - IFERROR(FILTER($D:$D,$C:$C = $C2226, $A:$A = $A2226, $B:$B = $B2226 - 1),0)"),0.0)</f>
        <v>0</v>
      </c>
      <c r="W2226" s="93">
        <f>IFERROR(__xludf.DUMMYFUNCTION("$E2226 - IFERROR(FILTER($E:$E,$C:$C = $C2226, $A:$A = $A2226, $B:$B = $B2226 - 1),0)"),0.0)</f>
        <v>0</v>
      </c>
      <c r="X2226" s="91">
        <f>IFERROR(__xludf.DUMMYFUNCTION("iFERROR((FILTER('Fund Investment Data'!$Z:$Z, 'Fund Investment Data'!$C:$C = $C2226, 'Fund Investment Data'!$A:$A = $A2226 - 1, 'Fund Investment Data'!$B:$B = 12) + FILTER('Fund Investment Data'!$AB:$AB, 'Fund Investment Data'!$C:$C = $C2226, 'Fund Invest"&amp;"ment Data'!$A:$A = $A2226 - 1, 'Fund Investment Data'!$B:$B = 12)) * (1 + AVERAGE(FILTER('Inflation Data'!$C:$C,'Inflation Data'!$A:$A = ($A2226 - 2)))) * Parameters!$A$4,0)"),0.0)</f>
        <v>0</v>
      </c>
      <c r="Y2226" s="91">
        <f>IFERROR(__xludf.DUMMYFUNCTION("IFERROR((IFERROR(FILTER('Fund Investment Data'!$P:$P,'Fund Investment Data'!$C:$C = $C2226,'Fund Investment Data'!$A:$A = ($A2226 - 2), 'Fund Investment Data'!$B:$B = 12),0) - SUM(FILTER('Fund Investment Data'!$V:$V, 'Fund Investment Data'!$C:$C = $C2226,"&amp;" 'Fund Investment Data'!$A:$A = ($A2226 - 2), 'Fund Investment Data'!$B:$B &gt; 3)))  * Parameters!$B$4 * (1 - Parameters!$A$4),0)"),0.0)</f>
        <v>0</v>
      </c>
      <c r="Z2226" s="91">
        <f t="shared" si="24"/>
        <v>0</v>
      </c>
      <c r="AA2226" s="91">
        <f>IFERROR(__xludf.DUMMYFUNCTION("((IFERROR((SUM(FILTER('Fund Investment Data'!$V:$V, 'Fund Investment Data'!$C:$C = $C2226, 'Fund Investment Data'!$A:$A = $A2226 - 1, 'Fund Investment Data'!$B:$B &gt;= 4, 'Fund Investment Data'!$B:$B &lt;= ($B2226 + 5))) / 12) * ($B2226 - 3) * Parameters!$B$4,"&amp;" 0) + IF($B2226 &gt;= 9, IFERROR(SUM(FILTER('Fund Investment Data'!$V:$V, 'Fund Investment Data'!$C:$C = $C2226, 'Fund Investment Data'!$A:$A = $A2226, 'Fund Investment Data'!$B:$B &lt;= 3)) * Parameters!$B$4, 0),0)))"),0.0)</f>
        <v>0</v>
      </c>
      <c r="AB2226" s="32">
        <f>IFERROR(__xludf.DUMMYFUNCTION("IFERROR(((IFERROR(SUM(FILTER('Fund Investment Data'!$V:$V, 'Fund Investment Data'!$C:$C = $C2226, 'Fund Investment Data'!$A:$A = $A2226 - 2, 'Fund Investment Data'!$B:$B &gt;= 4)) * Parameters!$B$4,0) + IFERROR(SUM(FILTER('Fund Investment Data'!$V:$V, 'Fund "&amp;"Investment Data'!$C:$C = $C2226, 'Fund Investment Data'!$A:$A = $A2226 - 1, 'Fund Investment Data'!$B:$B &lt;= 3)) * Parameters!$B$4,0))),0)"),0.0)</f>
        <v>0</v>
      </c>
      <c r="AC2226" s="32">
        <f>IFERROR(__xludf.DUMMYFUNCTION("IFERROR(FILTER($AF:$AF,$C:$C = $C2226,$A:$A = $A2226 - 1,$B:$B = 12),0)"),0.0)</f>
        <v>0</v>
      </c>
      <c r="AD2226" s="32">
        <f t="shared" si="23"/>
        <v>0</v>
      </c>
      <c r="AE2226" s="32">
        <f t="shared" si="2"/>
        <v>0</v>
      </c>
      <c r="AF2226" s="32"/>
    </row>
    <row r="2227">
      <c r="A2227" s="86"/>
      <c r="B2227" s="87"/>
      <c r="C2227" s="88"/>
      <c r="D2227" s="104"/>
      <c r="E2227" s="104"/>
      <c r="F2227" s="104"/>
      <c r="G2227" s="104"/>
      <c r="H2227" s="104"/>
      <c r="I2227" s="104"/>
      <c r="J2227" s="104"/>
      <c r="K2227" s="32"/>
      <c r="L2227" s="32"/>
      <c r="M2227" s="32"/>
      <c r="N2227" s="32"/>
      <c r="O2227" s="106"/>
      <c r="P2227" s="91">
        <f>IFERROR(__xludf.DUMMYFUNCTION("IFERROR(sum(FILTER($D:$N,$C:$C = $C2227,$A:$A &lt; $A2227,$B:$B = 12)),0) + sum($D2227:$N2227)"),0.0)</f>
        <v>0</v>
      </c>
      <c r="Q2227" s="92">
        <f t="shared" si="1"/>
        <v>0</v>
      </c>
      <c r="R2227" s="91">
        <f t="array" ref="R2227">IFERROR(INDEX('Fund YTD Target Values'!$1:$1000, MATCH($C2227,'Fund YTD Target Values'!$A:$A,0), MATCH($A2227,'Fund YTD Target Values'!$1:$1,0)),0)</f>
        <v>0</v>
      </c>
      <c r="S2227" s="91">
        <f>IFERROR(__xludf.DUMMYFUNCTION("IFERROR(sum(FILTER('Fund Investment Data'!$V:$V, 'Fund Investment Data'!$C:$C = $C2227, 'Fund Investment Data'!$A:$A &lt; $A2227)),0) + IFERROR(sum(FILTER('Fund Investment Data'!$V:$V, 'Fund Investment Data'!$C:$C = $C2227, 'Fund Investment Data'!$A:$A = $A2"&amp;"227, 'Fund Investment Data'!$B:$B &lt;= $B2227)),0)"),0.0)</f>
        <v>0</v>
      </c>
      <c r="T2227" s="32"/>
      <c r="U2227" s="32"/>
      <c r="V2227" s="32">
        <f>IFERROR(__xludf.DUMMYFUNCTION("$D2227 - IFERROR(FILTER($D:$D,$C:$C = $C2227, $A:$A = $A2227, $B:$B = $B2227 - 1),0)"),0.0)</f>
        <v>0</v>
      </c>
      <c r="W2227" s="93">
        <f>IFERROR(__xludf.DUMMYFUNCTION("$E2227 - IFERROR(FILTER($E:$E,$C:$C = $C2227, $A:$A = $A2227, $B:$B = $B2227 - 1),0)"),0.0)</f>
        <v>0</v>
      </c>
      <c r="X2227" s="91">
        <f>IFERROR(__xludf.DUMMYFUNCTION("iFERROR((FILTER('Fund Investment Data'!$Z:$Z, 'Fund Investment Data'!$C:$C = $C2227, 'Fund Investment Data'!$A:$A = $A2227 - 1, 'Fund Investment Data'!$B:$B = 12) + FILTER('Fund Investment Data'!$AB:$AB, 'Fund Investment Data'!$C:$C = $C2227, 'Fund Invest"&amp;"ment Data'!$A:$A = $A2227 - 1, 'Fund Investment Data'!$B:$B = 12)) * (1 + AVERAGE(FILTER('Inflation Data'!$C:$C,'Inflation Data'!$A:$A = ($A2227 - 2)))) * Parameters!$A$4,0)"),0.0)</f>
        <v>0</v>
      </c>
      <c r="Y2227" s="91">
        <f>IFERROR(__xludf.DUMMYFUNCTION("IFERROR((IFERROR(FILTER('Fund Investment Data'!$P:$P,'Fund Investment Data'!$C:$C = $C2227,'Fund Investment Data'!$A:$A = ($A2227 - 2), 'Fund Investment Data'!$B:$B = 12),0) - SUM(FILTER('Fund Investment Data'!$V:$V, 'Fund Investment Data'!$C:$C = $C2227,"&amp;" 'Fund Investment Data'!$A:$A = ($A2227 - 2), 'Fund Investment Data'!$B:$B &gt; 3)))  * Parameters!$B$4 * (1 - Parameters!$A$4),0)"),0.0)</f>
        <v>0</v>
      </c>
      <c r="Z2227" s="91">
        <f t="shared" si="24"/>
        <v>0</v>
      </c>
      <c r="AA2227" s="91">
        <f>IFERROR(__xludf.DUMMYFUNCTION("((IFERROR((SUM(FILTER('Fund Investment Data'!$V:$V, 'Fund Investment Data'!$C:$C = $C2227, 'Fund Investment Data'!$A:$A = $A2227 - 1, 'Fund Investment Data'!$B:$B &gt;= 4, 'Fund Investment Data'!$B:$B &lt;= ($B2227 + 5))) / 12) * ($B2227 - 3) * Parameters!$B$4,"&amp;" 0) + IF($B2227 &gt;= 9, IFERROR(SUM(FILTER('Fund Investment Data'!$V:$V, 'Fund Investment Data'!$C:$C = $C2227, 'Fund Investment Data'!$A:$A = $A2227, 'Fund Investment Data'!$B:$B &lt;= 3)) * Parameters!$B$4, 0),0)))"),0.0)</f>
        <v>0</v>
      </c>
      <c r="AB2227" s="32">
        <f>IFERROR(__xludf.DUMMYFUNCTION("IFERROR(((IFERROR(SUM(FILTER('Fund Investment Data'!$V:$V, 'Fund Investment Data'!$C:$C = $C2227, 'Fund Investment Data'!$A:$A = $A2227 - 2, 'Fund Investment Data'!$B:$B &gt;= 4)) * Parameters!$B$4,0) + IFERROR(SUM(FILTER('Fund Investment Data'!$V:$V, 'Fund "&amp;"Investment Data'!$C:$C = $C2227, 'Fund Investment Data'!$A:$A = $A2227 - 1, 'Fund Investment Data'!$B:$B &lt;= 3)) * Parameters!$B$4,0))),0)"),0.0)</f>
        <v>0</v>
      </c>
      <c r="AC2227" s="32">
        <f>IFERROR(__xludf.DUMMYFUNCTION("IFERROR(FILTER($AF:$AF,$C:$C = $C2227,$A:$A = $A2227 - 1,$B:$B = 12),0)"),0.0)</f>
        <v>0</v>
      </c>
      <c r="AD2227" s="32">
        <f t="shared" si="23"/>
        <v>0</v>
      </c>
      <c r="AE2227" s="32">
        <f t="shared" si="2"/>
        <v>0</v>
      </c>
      <c r="AF2227" s="32"/>
    </row>
    <row r="2228">
      <c r="A2228" s="86"/>
      <c r="B2228" s="87"/>
      <c r="C2228" s="88"/>
      <c r="D2228" s="104"/>
      <c r="E2228" s="104"/>
      <c r="F2228" s="104"/>
      <c r="G2228" s="104"/>
      <c r="H2228" s="104"/>
      <c r="I2228" s="104"/>
      <c r="J2228" s="104"/>
      <c r="K2228" s="32"/>
      <c r="L2228" s="32"/>
      <c r="M2228" s="32"/>
      <c r="N2228" s="32"/>
      <c r="O2228" s="106"/>
      <c r="P2228" s="91">
        <f>IFERROR(__xludf.DUMMYFUNCTION("IFERROR(sum(FILTER($D:$N,$C:$C = $C2228,$A:$A &lt; $A2228,$B:$B = 12)),0) + sum($D2228:$N2228)"),0.0)</f>
        <v>0</v>
      </c>
      <c r="Q2228" s="92">
        <f t="shared" si="1"/>
        <v>0</v>
      </c>
      <c r="R2228" s="91">
        <f t="array" ref="R2228">IFERROR(INDEX('Fund YTD Target Values'!$1:$1000, MATCH($C2228,'Fund YTD Target Values'!$A:$A,0), MATCH($A2228,'Fund YTD Target Values'!$1:$1,0)),0)</f>
        <v>0</v>
      </c>
      <c r="S2228" s="91">
        <f>IFERROR(__xludf.DUMMYFUNCTION("IFERROR(sum(FILTER('Fund Investment Data'!$V:$V, 'Fund Investment Data'!$C:$C = $C2228, 'Fund Investment Data'!$A:$A &lt; $A2228)),0) + IFERROR(sum(FILTER('Fund Investment Data'!$V:$V, 'Fund Investment Data'!$C:$C = $C2228, 'Fund Investment Data'!$A:$A = $A2"&amp;"228, 'Fund Investment Data'!$B:$B &lt;= $B2228)),0)"),0.0)</f>
        <v>0</v>
      </c>
      <c r="T2228" s="32"/>
      <c r="U2228" s="32"/>
      <c r="V2228" s="32">
        <f>IFERROR(__xludf.DUMMYFUNCTION("$D2228 - IFERROR(FILTER($D:$D,$C:$C = $C2228, $A:$A = $A2228, $B:$B = $B2228 - 1),0)"),0.0)</f>
        <v>0</v>
      </c>
      <c r="W2228" s="93">
        <f>IFERROR(__xludf.DUMMYFUNCTION("$E2228 - IFERROR(FILTER($E:$E,$C:$C = $C2228, $A:$A = $A2228, $B:$B = $B2228 - 1),0)"),0.0)</f>
        <v>0</v>
      </c>
      <c r="X2228" s="91">
        <f>IFERROR(__xludf.DUMMYFUNCTION("iFERROR((FILTER('Fund Investment Data'!$Z:$Z, 'Fund Investment Data'!$C:$C = $C2228, 'Fund Investment Data'!$A:$A = $A2228 - 1, 'Fund Investment Data'!$B:$B = 12) + FILTER('Fund Investment Data'!$AB:$AB, 'Fund Investment Data'!$C:$C = $C2228, 'Fund Invest"&amp;"ment Data'!$A:$A = $A2228 - 1, 'Fund Investment Data'!$B:$B = 12)) * (1 + AVERAGE(FILTER('Inflation Data'!$C:$C,'Inflation Data'!$A:$A = ($A2228 - 2)))) * Parameters!$A$4,0)"),0.0)</f>
        <v>0</v>
      </c>
      <c r="Y2228" s="91">
        <f>IFERROR(__xludf.DUMMYFUNCTION("IFERROR((IFERROR(FILTER('Fund Investment Data'!$P:$P,'Fund Investment Data'!$C:$C = $C2228,'Fund Investment Data'!$A:$A = ($A2228 - 2), 'Fund Investment Data'!$B:$B = 12),0) - SUM(FILTER('Fund Investment Data'!$V:$V, 'Fund Investment Data'!$C:$C = $C2228,"&amp;" 'Fund Investment Data'!$A:$A = ($A2228 - 2), 'Fund Investment Data'!$B:$B &gt; 3)))  * Parameters!$B$4 * (1 - Parameters!$A$4),0)"),0.0)</f>
        <v>0</v>
      </c>
      <c r="Z2228" s="91">
        <f t="shared" si="24"/>
        <v>0</v>
      </c>
      <c r="AA2228" s="91">
        <f>IFERROR(__xludf.DUMMYFUNCTION("((IFERROR((SUM(FILTER('Fund Investment Data'!$V:$V, 'Fund Investment Data'!$C:$C = $C2228, 'Fund Investment Data'!$A:$A = $A2228 - 1, 'Fund Investment Data'!$B:$B &gt;= 4, 'Fund Investment Data'!$B:$B &lt;= ($B2228 + 5))) / 12) * ($B2228 - 3) * Parameters!$B$4,"&amp;" 0) + IF($B2228 &gt;= 9, IFERROR(SUM(FILTER('Fund Investment Data'!$V:$V, 'Fund Investment Data'!$C:$C = $C2228, 'Fund Investment Data'!$A:$A = $A2228, 'Fund Investment Data'!$B:$B &lt;= 3)) * Parameters!$B$4, 0),0)))"),0.0)</f>
        <v>0</v>
      </c>
      <c r="AB2228" s="32">
        <f>IFERROR(__xludf.DUMMYFUNCTION("IFERROR(((IFERROR(SUM(FILTER('Fund Investment Data'!$V:$V, 'Fund Investment Data'!$C:$C = $C2228, 'Fund Investment Data'!$A:$A = $A2228 - 2, 'Fund Investment Data'!$B:$B &gt;= 4)) * Parameters!$B$4,0) + IFERROR(SUM(FILTER('Fund Investment Data'!$V:$V, 'Fund "&amp;"Investment Data'!$C:$C = $C2228, 'Fund Investment Data'!$A:$A = $A2228 - 1, 'Fund Investment Data'!$B:$B &lt;= 3)) * Parameters!$B$4,0))),0)"),0.0)</f>
        <v>0</v>
      </c>
      <c r="AC2228" s="32">
        <f>IFERROR(__xludf.DUMMYFUNCTION("IFERROR(FILTER($AF:$AF,$C:$C = $C2228,$A:$A = $A2228 - 1,$B:$B = 12),0)"),0.0)</f>
        <v>0</v>
      </c>
      <c r="AD2228" s="32">
        <f t="shared" si="23"/>
        <v>0</v>
      </c>
      <c r="AE2228" s="32">
        <f t="shared" si="2"/>
        <v>0</v>
      </c>
      <c r="AF2228" s="32"/>
    </row>
    <row r="2229">
      <c r="A2229" s="86"/>
      <c r="B2229" s="87"/>
      <c r="C2229" s="88"/>
      <c r="D2229" s="104"/>
      <c r="E2229" s="104"/>
      <c r="F2229" s="104"/>
      <c r="G2229" s="104"/>
      <c r="H2229" s="104"/>
      <c r="I2229" s="104"/>
      <c r="J2229" s="104"/>
      <c r="K2229" s="32"/>
      <c r="L2229" s="32"/>
      <c r="M2229" s="32"/>
      <c r="N2229" s="32"/>
      <c r="O2229" s="106"/>
      <c r="P2229" s="91">
        <f>IFERROR(__xludf.DUMMYFUNCTION("IFERROR(sum(FILTER($D:$N,$C:$C = $C2229,$A:$A &lt; $A2229,$B:$B = 12)),0) + sum($D2229:$N2229)"),0.0)</f>
        <v>0</v>
      </c>
      <c r="Q2229" s="92">
        <f t="shared" si="1"/>
        <v>0</v>
      </c>
      <c r="R2229" s="91">
        <f t="array" ref="R2229">IFERROR(INDEX('Fund YTD Target Values'!$1:$1000, MATCH($C2229,'Fund YTD Target Values'!$A:$A,0), MATCH($A2229,'Fund YTD Target Values'!$1:$1,0)),0)</f>
        <v>0</v>
      </c>
      <c r="S2229" s="91">
        <f>IFERROR(__xludf.DUMMYFUNCTION("IFERROR(sum(FILTER('Fund Investment Data'!$V:$V, 'Fund Investment Data'!$C:$C = $C2229, 'Fund Investment Data'!$A:$A &lt; $A2229)),0) + IFERROR(sum(FILTER('Fund Investment Data'!$V:$V, 'Fund Investment Data'!$C:$C = $C2229, 'Fund Investment Data'!$A:$A = $A2"&amp;"229, 'Fund Investment Data'!$B:$B &lt;= $B2229)),0)"),0.0)</f>
        <v>0</v>
      </c>
      <c r="T2229" s="32"/>
      <c r="U2229" s="32"/>
      <c r="V2229" s="32">
        <f>IFERROR(__xludf.DUMMYFUNCTION("$D2229 - IFERROR(FILTER($D:$D,$C:$C = $C2229, $A:$A = $A2229, $B:$B = $B2229 - 1),0)"),0.0)</f>
        <v>0</v>
      </c>
      <c r="W2229" s="93">
        <f>IFERROR(__xludf.DUMMYFUNCTION("$E2229 - IFERROR(FILTER($E:$E,$C:$C = $C2229, $A:$A = $A2229, $B:$B = $B2229 - 1),0)"),0.0)</f>
        <v>0</v>
      </c>
      <c r="X2229" s="91">
        <f>IFERROR(__xludf.DUMMYFUNCTION("iFERROR((FILTER('Fund Investment Data'!$Z:$Z, 'Fund Investment Data'!$C:$C = $C2229, 'Fund Investment Data'!$A:$A = $A2229 - 1, 'Fund Investment Data'!$B:$B = 12) + FILTER('Fund Investment Data'!$AB:$AB, 'Fund Investment Data'!$C:$C = $C2229, 'Fund Invest"&amp;"ment Data'!$A:$A = $A2229 - 1, 'Fund Investment Data'!$B:$B = 12)) * (1 + AVERAGE(FILTER('Inflation Data'!$C:$C,'Inflation Data'!$A:$A = ($A2229 - 2)))) * Parameters!$A$4,0)"),0.0)</f>
        <v>0</v>
      </c>
      <c r="Y2229" s="91">
        <f>IFERROR(__xludf.DUMMYFUNCTION("IFERROR((IFERROR(FILTER('Fund Investment Data'!$P:$P,'Fund Investment Data'!$C:$C = $C2229,'Fund Investment Data'!$A:$A = ($A2229 - 2), 'Fund Investment Data'!$B:$B = 12),0) - SUM(FILTER('Fund Investment Data'!$V:$V, 'Fund Investment Data'!$C:$C = $C2229,"&amp;" 'Fund Investment Data'!$A:$A = ($A2229 - 2), 'Fund Investment Data'!$B:$B &gt; 3)))  * Parameters!$B$4 * (1 - Parameters!$A$4),0)"),0.0)</f>
        <v>0</v>
      </c>
      <c r="Z2229" s="91">
        <f t="shared" si="24"/>
        <v>0</v>
      </c>
      <c r="AA2229" s="91">
        <f>IFERROR(__xludf.DUMMYFUNCTION("((IFERROR((SUM(FILTER('Fund Investment Data'!$V:$V, 'Fund Investment Data'!$C:$C = $C2229, 'Fund Investment Data'!$A:$A = $A2229 - 1, 'Fund Investment Data'!$B:$B &gt;= 4, 'Fund Investment Data'!$B:$B &lt;= ($B2229 + 5))) / 12) * ($B2229 - 3) * Parameters!$B$4,"&amp;" 0) + IF($B2229 &gt;= 9, IFERROR(SUM(FILTER('Fund Investment Data'!$V:$V, 'Fund Investment Data'!$C:$C = $C2229, 'Fund Investment Data'!$A:$A = $A2229, 'Fund Investment Data'!$B:$B &lt;= 3)) * Parameters!$B$4, 0),0)))"),0.0)</f>
        <v>0</v>
      </c>
      <c r="AB2229" s="32">
        <f>IFERROR(__xludf.DUMMYFUNCTION("IFERROR(((IFERROR(SUM(FILTER('Fund Investment Data'!$V:$V, 'Fund Investment Data'!$C:$C = $C2229, 'Fund Investment Data'!$A:$A = $A2229 - 2, 'Fund Investment Data'!$B:$B &gt;= 4)) * Parameters!$B$4,0) + IFERROR(SUM(FILTER('Fund Investment Data'!$V:$V, 'Fund "&amp;"Investment Data'!$C:$C = $C2229, 'Fund Investment Data'!$A:$A = $A2229 - 1, 'Fund Investment Data'!$B:$B &lt;= 3)) * Parameters!$B$4,0))),0)"),0.0)</f>
        <v>0</v>
      </c>
      <c r="AC2229" s="32">
        <f>IFERROR(__xludf.DUMMYFUNCTION("IFERROR(FILTER($AF:$AF,$C:$C = $C2229,$A:$A = $A2229 - 1,$B:$B = 12),0)"),0.0)</f>
        <v>0</v>
      </c>
      <c r="AD2229" s="32">
        <f t="shared" si="23"/>
        <v>0</v>
      </c>
      <c r="AE2229" s="32">
        <f t="shared" si="2"/>
        <v>0</v>
      </c>
      <c r="AF2229" s="32"/>
    </row>
    <row r="2230">
      <c r="A2230" s="86"/>
      <c r="B2230" s="87"/>
      <c r="C2230" s="88"/>
      <c r="D2230" s="104"/>
      <c r="E2230" s="104"/>
      <c r="F2230" s="104"/>
      <c r="G2230" s="104"/>
      <c r="H2230" s="104"/>
      <c r="I2230" s="104"/>
      <c r="J2230" s="104"/>
      <c r="K2230" s="32"/>
      <c r="L2230" s="32"/>
      <c r="M2230" s="32"/>
      <c r="N2230" s="32"/>
      <c r="O2230" s="106"/>
      <c r="P2230" s="91">
        <f>IFERROR(__xludf.DUMMYFUNCTION("IFERROR(sum(FILTER($D:$N,$C:$C = $C2230,$A:$A &lt; $A2230,$B:$B = 12)),0) + sum($D2230:$N2230)"),0.0)</f>
        <v>0</v>
      </c>
      <c r="Q2230" s="92">
        <f t="shared" si="1"/>
        <v>0</v>
      </c>
      <c r="R2230" s="91">
        <f t="array" ref="R2230">IFERROR(INDEX('Fund YTD Target Values'!$1:$1000, MATCH($C2230,'Fund YTD Target Values'!$A:$A,0), MATCH($A2230,'Fund YTD Target Values'!$1:$1,0)),0)</f>
        <v>0</v>
      </c>
      <c r="S2230" s="91">
        <f>IFERROR(__xludf.DUMMYFUNCTION("IFERROR(sum(FILTER('Fund Investment Data'!$V:$V, 'Fund Investment Data'!$C:$C = $C2230, 'Fund Investment Data'!$A:$A &lt; $A2230)),0) + IFERROR(sum(FILTER('Fund Investment Data'!$V:$V, 'Fund Investment Data'!$C:$C = $C2230, 'Fund Investment Data'!$A:$A = $A2"&amp;"230, 'Fund Investment Data'!$B:$B &lt;= $B2230)),0)"),0.0)</f>
        <v>0</v>
      </c>
      <c r="T2230" s="32"/>
      <c r="U2230" s="32"/>
      <c r="V2230" s="32">
        <f>IFERROR(__xludf.DUMMYFUNCTION("$D2230 - IFERROR(FILTER($D:$D,$C:$C = $C2230, $A:$A = $A2230, $B:$B = $B2230 - 1),0)"),0.0)</f>
        <v>0</v>
      </c>
      <c r="W2230" s="93">
        <f>IFERROR(__xludf.DUMMYFUNCTION("$E2230 - IFERROR(FILTER($E:$E,$C:$C = $C2230, $A:$A = $A2230, $B:$B = $B2230 - 1),0)"),0.0)</f>
        <v>0</v>
      </c>
      <c r="X2230" s="91">
        <f>IFERROR(__xludf.DUMMYFUNCTION("iFERROR((FILTER('Fund Investment Data'!$Z:$Z, 'Fund Investment Data'!$C:$C = $C2230, 'Fund Investment Data'!$A:$A = $A2230 - 1, 'Fund Investment Data'!$B:$B = 12) + FILTER('Fund Investment Data'!$AB:$AB, 'Fund Investment Data'!$C:$C = $C2230, 'Fund Invest"&amp;"ment Data'!$A:$A = $A2230 - 1, 'Fund Investment Data'!$B:$B = 12)) * (1 + AVERAGE(FILTER('Inflation Data'!$C:$C,'Inflation Data'!$A:$A = ($A2230 - 2)))) * Parameters!$A$4,0)"),0.0)</f>
        <v>0</v>
      </c>
      <c r="Y2230" s="91">
        <f>IFERROR(__xludf.DUMMYFUNCTION("IFERROR((IFERROR(FILTER('Fund Investment Data'!$P:$P,'Fund Investment Data'!$C:$C = $C2230,'Fund Investment Data'!$A:$A = ($A2230 - 2), 'Fund Investment Data'!$B:$B = 12),0) - SUM(FILTER('Fund Investment Data'!$V:$V, 'Fund Investment Data'!$C:$C = $C2230,"&amp;" 'Fund Investment Data'!$A:$A = ($A2230 - 2), 'Fund Investment Data'!$B:$B &gt; 3)))  * Parameters!$B$4 * (1 - Parameters!$A$4),0)"),0.0)</f>
        <v>0</v>
      </c>
      <c r="Z2230" s="91">
        <f t="shared" si="24"/>
        <v>0</v>
      </c>
      <c r="AA2230" s="91">
        <f>IFERROR(__xludf.DUMMYFUNCTION("((IFERROR((SUM(FILTER('Fund Investment Data'!$V:$V, 'Fund Investment Data'!$C:$C = $C2230, 'Fund Investment Data'!$A:$A = $A2230 - 1, 'Fund Investment Data'!$B:$B &gt;= 4, 'Fund Investment Data'!$B:$B &lt;= ($B2230 + 5))) / 12) * ($B2230 - 3) * Parameters!$B$4,"&amp;" 0) + IF($B2230 &gt;= 9, IFERROR(SUM(FILTER('Fund Investment Data'!$V:$V, 'Fund Investment Data'!$C:$C = $C2230, 'Fund Investment Data'!$A:$A = $A2230, 'Fund Investment Data'!$B:$B &lt;= 3)) * Parameters!$B$4, 0),0)))"),0.0)</f>
        <v>0</v>
      </c>
      <c r="AB2230" s="32">
        <f>IFERROR(__xludf.DUMMYFUNCTION("IFERROR(((IFERROR(SUM(FILTER('Fund Investment Data'!$V:$V, 'Fund Investment Data'!$C:$C = $C2230, 'Fund Investment Data'!$A:$A = $A2230 - 2, 'Fund Investment Data'!$B:$B &gt;= 4)) * Parameters!$B$4,0) + IFERROR(SUM(FILTER('Fund Investment Data'!$V:$V, 'Fund "&amp;"Investment Data'!$C:$C = $C2230, 'Fund Investment Data'!$A:$A = $A2230 - 1, 'Fund Investment Data'!$B:$B &lt;= 3)) * Parameters!$B$4,0))),0)"),0.0)</f>
        <v>0</v>
      </c>
      <c r="AC2230" s="32">
        <f>IFERROR(__xludf.DUMMYFUNCTION("IFERROR(FILTER($AF:$AF,$C:$C = $C2230,$A:$A = $A2230 - 1,$B:$B = 12),0)"),0.0)</f>
        <v>0</v>
      </c>
      <c r="AD2230" s="32">
        <f t="shared" si="23"/>
        <v>0</v>
      </c>
      <c r="AE2230" s="32">
        <f t="shared" si="2"/>
        <v>0</v>
      </c>
      <c r="AF2230" s="32"/>
    </row>
    <row r="2231">
      <c r="A2231" s="86"/>
      <c r="B2231" s="87"/>
      <c r="C2231" s="88"/>
      <c r="D2231" s="104"/>
      <c r="E2231" s="104"/>
      <c r="F2231" s="104"/>
      <c r="G2231" s="104"/>
      <c r="H2231" s="104"/>
      <c r="I2231" s="104"/>
      <c r="J2231" s="104"/>
      <c r="K2231" s="32"/>
      <c r="L2231" s="32"/>
      <c r="M2231" s="32"/>
      <c r="N2231" s="32"/>
      <c r="O2231" s="106"/>
      <c r="P2231" s="91">
        <f>IFERROR(__xludf.DUMMYFUNCTION("IFERROR(sum(FILTER($D:$N,$C:$C = $C2231,$A:$A &lt; $A2231,$B:$B = 12)),0) + sum($D2231:$N2231)"),0.0)</f>
        <v>0</v>
      </c>
      <c r="Q2231" s="92">
        <f t="shared" si="1"/>
        <v>0</v>
      </c>
      <c r="R2231" s="91">
        <f t="array" ref="R2231">IFERROR(INDEX('Fund YTD Target Values'!$1:$1000, MATCH($C2231,'Fund YTD Target Values'!$A:$A,0), MATCH($A2231,'Fund YTD Target Values'!$1:$1,0)),0)</f>
        <v>0</v>
      </c>
      <c r="S2231" s="91">
        <f>IFERROR(__xludf.DUMMYFUNCTION("IFERROR(sum(FILTER('Fund Investment Data'!$V:$V, 'Fund Investment Data'!$C:$C = $C2231, 'Fund Investment Data'!$A:$A &lt; $A2231)),0) + IFERROR(sum(FILTER('Fund Investment Data'!$V:$V, 'Fund Investment Data'!$C:$C = $C2231, 'Fund Investment Data'!$A:$A = $A2"&amp;"231, 'Fund Investment Data'!$B:$B &lt;= $B2231)),0)"),0.0)</f>
        <v>0</v>
      </c>
      <c r="T2231" s="32"/>
      <c r="U2231" s="32"/>
      <c r="V2231" s="32">
        <f>IFERROR(__xludf.DUMMYFUNCTION("$D2231 - IFERROR(FILTER($D:$D,$C:$C = $C2231, $A:$A = $A2231, $B:$B = $B2231 - 1),0)"),0.0)</f>
        <v>0</v>
      </c>
      <c r="W2231" s="93">
        <f>IFERROR(__xludf.DUMMYFUNCTION("$E2231 - IFERROR(FILTER($E:$E,$C:$C = $C2231, $A:$A = $A2231, $B:$B = $B2231 - 1),0)"),0.0)</f>
        <v>0</v>
      </c>
      <c r="X2231" s="91">
        <f>IFERROR(__xludf.DUMMYFUNCTION("iFERROR((FILTER('Fund Investment Data'!$Z:$Z, 'Fund Investment Data'!$C:$C = $C2231, 'Fund Investment Data'!$A:$A = $A2231 - 1, 'Fund Investment Data'!$B:$B = 12) + FILTER('Fund Investment Data'!$AB:$AB, 'Fund Investment Data'!$C:$C = $C2231, 'Fund Invest"&amp;"ment Data'!$A:$A = $A2231 - 1, 'Fund Investment Data'!$B:$B = 12)) * (1 + AVERAGE(FILTER('Inflation Data'!$C:$C,'Inflation Data'!$A:$A = ($A2231 - 2)))) * Parameters!$A$4,0)"),0.0)</f>
        <v>0</v>
      </c>
      <c r="Y2231" s="91">
        <f>IFERROR(__xludf.DUMMYFUNCTION("IFERROR((IFERROR(FILTER('Fund Investment Data'!$P:$P,'Fund Investment Data'!$C:$C = $C2231,'Fund Investment Data'!$A:$A = ($A2231 - 2), 'Fund Investment Data'!$B:$B = 12),0) - SUM(FILTER('Fund Investment Data'!$V:$V, 'Fund Investment Data'!$C:$C = $C2231,"&amp;" 'Fund Investment Data'!$A:$A = ($A2231 - 2), 'Fund Investment Data'!$B:$B &gt; 3)))  * Parameters!$B$4 * (1 - Parameters!$A$4),0)"),0.0)</f>
        <v>0</v>
      </c>
      <c r="Z2231" s="91">
        <f t="shared" si="24"/>
        <v>0</v>
      </c>
      <c r="AA2231" s="91">
        <f>IFERROR(__xludf.DUMMYFUNCTION("((IFERROR((SUM(FILTER('Fund Investment Data'!$V:$V, 'Fund Investment Data'!$C:$C = $C2231, 'Fund Investment Data'!$A:$A = $A2231 - 1, 'Fund Investment Data'!$B:$B &gt;= 4, 'Fund Investment Data'!$B:$B &lt;= ($B2231 + 5))) / 12) * ($B2231 - 3) * Parameters!$B$4,"&amp;" 0) + IF($B2231 &gt;= 9, IFERROR(SUM(FILTER('Fund Investment Data'!$V:$V, 'Fund Investment Data'!$C:$C = $C2231, 'Fund Investment Data'!$A:$A = $A2231, 'Fund Investment Data'!$B:$B &lt;= 3)) * Parameters!$B$4, 0),0)))"),0.0)</f>
        <v>0</v>
      </c>
      <c r="AB2231" s="32">
        <f>IFERROR(__xludf.DUMMYFUNCTION("IFERROR(((IFERROR(SUM(FILTER('Fund Investment Data'!$V:$V, 'Fund Investment Data'!$C:$C = $C2231, 'Fund Investment Data'!$A:$A = $A2231 - 2, 'Fund Investment Data'!$B:$B &gt;= 4)) * Parameters!$B$4,0) + IFERROR(SUM(FILTER('Fund Investment Data'!$V:$V, 'Fund "&amp;"Investment Data'!$C:$C = $C2231, 'Fund Investment Data'!$A:$A = $A2231 - 1, 'Fund Investment Data'!$B:$B &lt;= 3)) * Parameters!$B$4,0))),0)"),0.0)</f>
        <v>0</v>
      </c>
      <c r="AC2231" s="32">
        <f>IFERROR(__xludf.DUMMYFUNCTION("IFERROR(FILTER($AF:$AF,$C:$C = $C2231,$A:$A = $A2231 - 1,$B:$B = 12),0)"),0.0)</f>
        <v>0</v>
      </c>
      <c r="AD2231" s="32">
        <f t="shared" si="23"/>
        <v>0</v>
      </c>
      <c r="AE2231" s="32">
        <f t="shared" si="2"/>
        <v>0</v>
      </c>
      <c r="AF2231" s="32"/>
    </row>
    <row r="2232">
      <c r="A2232" s="86"/>
      <c r="B2232" s="87"/>
      <c r="C2232" s="88"/>
      <c r="D2232" s="104"/>
      <c r="E2232" s="104"/>
      <c r="F2232" s="104"/>
      <c r="G2232" s="104"/>
      <c r="H2232" s="104"/>
      <c r="I2232" s="104"/>
      <c r="J2232" s="104"/>
      <c r="K2232" s="32"/>
      <c r="L2232" s="32"/>
      <c r="M2232" s="32"/>
      <c r="N2232" s="32"/>
      <c r="O2232" s="106"/>
      <c r="P2232" s="91">
        <f>IFERROR(__xludf.DUMMYFUNCTION("IFERROR(sum(FILTER($D:$N,$C:$C = $C2232,$A:$A &lt; $A2232,$B:$B = 12)),0) + sum($D2232:$N2232)"),0.0)</f>
        <v>0</v>
      </c>
      <c r="Q2232" s="92">
        <f t="shared" si="1"/>
        <v>0</v>
      </c>
      <c r="R2232" s="91">
        <f t="array" ref="R2232">IFERROR(INDEX('Fund YTD Target Values'!$1:$1000, MATCH($C2232,'Fund YTD Target Values'!$A:$A,0), MATCH($A2232,'Fund YTD Target Values'!$1:$1,0)),0)</f>
        <v>0</v>
      </c>
      <c r="S2232" s="91">
        <f>IFERROR(__xludf.DUMMYFUNCTION("IFERROR(sum(FILTER('Fund Investment Data'!$V:$V, 'Fund Investment Data'!$C:$C = $C2232, 'Fund Investment Data'!$A:$A &lt; $A2232)),0) + IFERROR(sum(FILTER('Fund Investment Data'!$V:$V, 'Fund Investment Data'!$C:$C = $C2232, 'Fund Investment Data'!$A:$A = $A2"&amp;"232, 'Fund Investment Data'!$B:$B &lt;= $B2232)),0)"),0.0)</f>
        <v>0</v>
      </c>
      <c r="T2232" s="32"/>
      <c r="U2232" s="32"/>
      <c r="V2232" s="32">
        <f>IFERROR(__xludf.DUMMYFUNCTION("$D2232 - IFERROR(FILTER($D:$D,$C:$C = $C2232, $A:$A = $A2232, $B:$B = $B2232 - 1),0)"),0.0)</f>
        <v>0</v>
      </c>
      <c r="W2232" s="93">
        <f>IFERROR(__xludf.DUMMYFUNCTION("$E2232 - IFERROR(FILTER($E:$E,$C:$C = $C2232, $A:$A = $A2232, $B:$B = $B2232 - 1),0)"),0.0)</f>
        <v>0</v>
      </c>
      <c r="X2232" s="91">
        <f>IFERROR(__xludf.DUMMYFUNCTION("iFERROR((FILTER('Fund Investment Data'!$Z:$Z, 'Fund Investment Data'!$C:$C = $C2232, 'Fund Investment Data'!$A:$A = $A2232 - 1, 'Fund Investment Data'!$B:$B = 12) + FILTER('Fund Investment Data'!$AB:$AB, 'Fund Investment Data'!$C:$C = $C2232, 'Fund Invest"&amp;"ment Data'!$A:$A = $A2232 - 1, 'Fund Investment Data'!$B:$B = 12)) * (1 + AVERAGE(FILTER('Inflation Data'!$C:$C,'Inflation Data'!$A:$A = ($A2232 - 2)))) * Parameters!$A$4,0)"),0.0)</f>
        <v>0</v>
      </c>
      <c r="Y2232" s="91">
        <f>IFERROR(__xludf.DUMMYFUNCTION("IFERROR((IFERROR(FILTER('Fund Investment Data'!$P:$P,'Fund Investment Data'!$C:$C = $C2232,'Fund Investment Data'!$A:$A = ($A2232 - 2), 'Fund Investment Data'!$B:$B = 12),0) - SUM(FILTER('Fund Investment Data'!$V:$V, 'Fund Investment Data'!$C:$C = $C2232,"&amp;" 'Fund Investment Data'!$A:$A = ($A2232 - 2), 'Fund Investment Data'!$B:$B &gt; 3)))  * Parameters!$B$4 * (1 - Parameters!$A$4),0)"),0.0)</f>
        <v>0</v>
      </c>
      <c r="Z2232" s="91">
        <f t="shared" si="24"/>
        <v>0</v>
      </c>
      <c r="AA2232" s="91">
        <f>IFERROR(__xludf.DUMMYFUNCTION("((IFERROR((SUM(FILTER('Fund Investment Data'!$V:$V, 'Fund Investment Data'!$C:$C = $C2232, 'Fund Investment Data'!$A:$A = $A2232 - 1, 'Fund Investment Data'!$B:$B &gt;= 4, 'Fund Investment Data'!$B:$B &lt;= ($B2232 + 5))) / 12) * ($B2232 - 3) * Parameters!$B$4,"&amp;" 0) + IF($B2232 &gt;= 9, IFERROR(SUM(FILTER('Fund Investment Data'!$V:$V, 'Fund Investment Data'!$C:$C = $C2232, 'Fund Investment Data'!$A:$A = $A2232, 'Fund Investment Data'!$B:$B &lt;= 3)) * Parameters!$B$4, 0),0)))"),0.0)</f>
        <v>0</v>
      </c>
      <c r="AB2232" s="32">
        <f>IFERROR(__xludf.DUMMYFUNCTION("IFERROR(((IFERROR(SUM(FILTER('Fund Investment Data'!$V:$V, 'Fund Investment Data'!$C:$C = $C2232, 'Fund Investment Data'!$A:$A = $A2232 - 2, 'Fund Investment Data'!$B:$B &gt;= 4)) * Parameters!$B$4,0) + IFERROR(SUM(FILTER('Fund Investment Data'!$V:$V, 'Fund "&amp;"Investment Data'!$C:$C = $C2232, 'Fund Investment Data'!$A:$A = $A2232 - 1, 'Fund Investment Data'!$B:$B &lt;= 3)) * Parameters!$B$4,0))),0)"),0.0)</f>
        <v>0</v>
      </c>
      <c r="AC2232" s="32">
        <f>IFERROR(__xludf.DUMMYFUNCTION("IFERROR(FILTER($AF:$AF,$C:$C = $C2232,$A:$A = $A2232 - 1,$B:$B = 12),0)"),0.0)</f>
        <v>0</v>
      </c>
      <c r="AD2232" s="32">
        <f t="shared" si="23"/>
        <v>0</v>
      </c>
      <c r="AE2232" s="32">
        <f t="shared" si="2"/>
        <v>0</v>
      </c>
      <c r="AF2232" s="32"/>
    </row>
    <row r="2233">
      <c r="A2233" s="86"/>
      <c r="B2233" s="87"/>
      <c r="C2233" s="88"/>
      <c r="D2233" s="104"/>
      <c r="E2233" s="104"/>
      <c r="F2233" s="104"/>
      <c r="G2233" s="104"/>
      <c r="H2233" s="104"/>
      <c r="I2233" s="104"/>
      <c r="J2233" s="104"/>
      <c r="K2233" s="32"/>
      <c r="L2233" s="32"/>
      <c r="M2233" s="32"/>
      <c r="N2233" s="32"/>
      <c r="O2233" s="106"/>
      <c r="P2233" s="91">
        <f>IFERROR(__xludf.DUMMYFUNCTION("IFERROR(sum(FILTER($D:$N,$C:$C = $C2233,$A:$A &lt; $A2233,$B:$B = 12)),0) + sum($D2233:$N2233)"),0.0)</f>
        <v>0</v>
      </c>
      <c r="Q2233" s="92">
        <f t="shared" si="1"/>
        <v>0</v>
      </c>
      <c r="R2233" s="91">
        <f t="array" ref="R2233">IFERROR(INDEX('Fund YTD Target Values'!$1:$1000, MATCH($C2233,'Fund YTD Target Values'!$A:$A,0), MATCH($A2233,'Fund YTD Target Values'!$1:$1,0)),0)</f>
        <v>0</v>
      </c>
      <c r="S2233" s="91">
        <f>IFERROR(__xludf.DUMMYFUNCTION("IFERROR(sum(FILTER('Fund Investment Data'!$V:$V, 'Fund Investment Data'!$C:$C = $C2233, 'Fund Investment Data'!$A:$A &lt; $A2233)),0) + IFERROR(sum(FILTER('Fund Investment Data'!$V:$V, 'Fund Investment Data'!$C:$C = $C2233, 'Fund Investment Data'!$A:$A = $A2"&amp;"233, 'Fund Investment Data'!$B:$B &lt;= $B2233)),0)"),0.0)</f>
        <v>0</v>
      </c>
      <c r="T2233" s="32"/>
      <c r="U2233" s="32"/>
      <c r="V2233" s="32">
        <f>IFERROR(__xludf.DUMMYFUNCTION("$D2233 - IFERROR(FILTER($D:$D,$C:$C = $C2233, $A:$A = $A2233, $B:$B = $B2233 - 1),0)"),0.0)</f>
        <v>0</v>
      </c>
      <c r="W2233" s="93">
        <f>IFERROR(__xludf.DUMMYFUNCTION("$E2233 - IFERROR(FILTER($E:$E,$C:$C = $C2233, $A:$A = $A2233, $B:$B = $B2233 - 1),0)"),0.0)</f>
        <v>0</v>
      </c>
      <c r="X2233" s="91">
        <f>IFERROR(__xludf.DUMMYFUNCTION("iFERROR((FILTER('Fund Investment Data'!$Z:$Z, 'Fund Investment Data'!$C:$C = $C2233, 'Fund Investment Data'!$A:$A = $A2233 - 1, 'Fund Investment Data'!$B:$B = 12) + FILTER('Fund Investment Data'!$AB:$AB, 'Fund Investment Data'!$C:$C = $C2233, 'Fund Invest"&amp;"ment Data'!$A:$A = $A2233 - 1, 'Fund Investment Data'!$B:$B = 12)) * (1 + AVERAGE(FILTER('Inflation Data'!$C:$C,'Inflation Data'!$A:$A = ($A2233 - 2)))) * Parameters!$A$4,0)"),0.0)</f>
        <v>0</v>
      </c>
      <c r="Y2233" s="91">
        <f>IFERROR(__xludf.DUMMYFUNCTION("IFERROR((IFERROR(FILTER('Fund Investment Data'!$P:$P,'Fund Investment Data'!$C:$C = $C2233,'Fund Investment Data'!$A:$A = ($A2233 - 2), 'Fund Investment Data'!$B:$B = 12),0) - SUM(FILTER('Fund Investment Data'!$V:$V, 'Fund Investment Data'!$C:$C = $C2233,"&amp;" 'Fund Investment Data'!$A:$A = ($A2233 - 2), 'Fund Investment Data'!$B:$B &gt; 3)))  * Parameters!$B$4 * (1 - Parameters!$A$4),0)"),0.0)</f>
        <v>0</v>
      </c>
      <c r="Z2233" s="91">
        <f t="shared" si="24"/>
        <v>0</v>
      </c>
      <c r="AA2233" s="91">
        <f>IFERROR(__xludf.DUMMYFUNCTION("((IFERROR((SUM(FILTER('Fund Investment Data'!$V:$V, 'Fund Investment Data'!$C:$C = $C2233, 'Fund Investment Data'!$A:$A = $A2233 - 1, 'Fund Investment Data'!$B:$B &gt;= 4, 'Fund Investment Data'!$B:$B &lt;= ($B2233 + 5))) / 12) * ($B2233 - 3) * Parameters!$B$4,"&amp;" 0) + IF($B2233 &gt;= 9, IFERROR(SUM(FILTER('Fund Investment Data'!$V:$V, 'Fund Investment Data'!$C:$C = $C2233, 'Fund Investment Data'!$A:$A = $A2233, 'Fund Investment Data'!$B:$B &lt;= 3)) * Parameters!$B$4, 0),0)))"),0.0)</f>
        <v>0</v>
      </c>
      <c r="AB2233" s="32">
        <f>IFERROR(__xludf.DUMMYFUNCTION("IFERROR(((IFERROR(SUM(FILTER('Fund Investment Data'!$V:$V, 'Fund Investment Data'!$C:$C = $C2233, 'Fund Investment Data'!$A:$A = $A2233 - 2, 'Fund Investment Data'!$B:$B &gt;= 4)) * Parameters!$B$4,0) + IFERROR(SUM(FILTER('Fund Investment Data'!$V:$V, 'Fund "&amp;"Investment Data'!$C:$C = $C2233, 'Fund Investment Data'!$A:$A = $A2233 - 1, 'Fund Investment Data'!$B:$B &lt;= 3)) * Parameters!$B$4,0))),0)"),0.0)</f>
        <v>0</v>
      </c>
      <c r="AC2233" s="32">
        <f>IFERROR(__xludf.DUMMYFUNCTION("IFERROR(FILTER($AF:$AF,$C:$C = $C2233,$A:$A = $A2233 - 1,$B:$B = 12),0)"),0.0)</f>
        <v>0</v>
      </c>
      <c r="AD2233" s="32">
        <f t="shared" si="23"/>
        <v>0</v>
      </c>
      <c r="AE2233" s="32">
        <f t="shared" si="2"/>
        <v>0</v>
      </c>
      <c r="AF2233" s="32"/>
    </row>
    <row r="2234">
      <c r="A2234" s="86"/>
      <c r="B2234" s="87"/>
      <c r="C2234" s="88"/>
      <c r="D2234" s="104"/>
      <c r="E2234" s="104"/>
      <c r="F2234" s="104"/>
      <c r="G2234" s="104"/>
      <c r="H2234" s="104"/>
      <c r="I2234" s="104"/>
      <c r="J2234" s="104"/>
      <c r="K2234" s="32"/>
      <c r="L2234" s="32"/>
      <c r="M2234" s="32"/>
      <c r="N2234" s="32"/>
      <c r="O2234" s="106"/>
      <c r="P2234" s="91">
        <f>IFERROR(__xludf.DUMMYFUNCTION("IFERROR(sum(FILTER($D:$N,$C:$C = $C2234,$A:$A &lt; $A2234,$B:$B = 12)),0) + sum($D2234:$N2234)"),0.0)</f>
        <v>0</v>
      </c>
      <c r="Q2234" s="92">
        <f t="shared" si="1"/>
        <v>0</v>
      </c>
      <c r="R2234" s="91">
        <f t="array" ref="R2234">IFERROR(INDEX('Fund YTD Target Values'!$1:$1000, MATCH($C2234,'Fund YTD Target Values'!$A:$A,0), MATCH($A2234,'Fund YTD Target Values'!$1:$1,0)),0)</f>
        <v>0</v>
      </c>
      <c r="S2234" s="91">
        <f>IFERROR(__xludf.DUMMYFUNCTION("IFERROR(sum(FILTER('Fund Investment Data'!$V:$V, 'Fund Investment Data'!$C:$C = $C2234, 'Fund Investment Data'!$A:$A &lt; $A2234)),0) + IFERROR(sum(FILTER('Fund Investment Data'!$V:$V, 'Fund Investment Data'!$C:$C = $C2234, 'Fund Investment Data'!$A:$A = $A2"&amp;"234, 'Fund Investment Data'!$B:$B &lt;= $B2234)),0)"),0.0)</f>
        <v>0</v>
      </c>
      <c r="T2234" s="32"/>
      <c r="U2234" s="32"/>
      <c r="V2234" s="32">
        <f>IFERROR(__xludf.DUMMYFUNCTION("$D2234 - IFERROR(FILTER($D:$D,$C:$C = $C2234, $A:$A = $A2234, $B:$B = $B2234 - 1),0)"),0.0)</f>
        <v>0</v>
      </c>
      <c r="W2234" s="93">
        <f>IFERROR(__xludf.DUMMYFUNCTION("$E2234 - IFERROR(FILTER($E:$E,$C:$C = $C2234, $A:$A = $A2234, $B:$B = $B2234 - 1),0)"),0.0)</f>
        <v>0</v>
      </c>
      <c r="X2234" s="91">
        <f>IFERROR(__xludf.DUMMYFUNCTION("iFERROR((FILTER('Fund Investment Data'!$Z:$Z, 'Fund Investment Data'!$C:$C = $C2234, 'Fund Investment Data'!$A:$A = $A2234 - 1, 'Fund Investment Data'!$B:$B = 12) + FILTER('Fund Investment Data'!$AB:$AB, 'Fund Investment Data'!$C:$C = $C2234, 'Fund Invest"&amp;"ment Data'!$A:$A = $A2234 - 1, 'Fund Investment Data'!$B:$B = 12)) * (1 + AVERAGE(FILTER('Inflation Data'!$C:$C,'Inflation Data'!$A:$A = ($A2234 - 2)))) * Parameters!$A$4,0)"),0.0)</f>
        <v>0</v>
      </c>
      <c r="Y2234" s="91">
        <f>IFERROR(__xludf.DUMMYFUNCTION("IFERROR((IFERROR(FILTER('Fund Investment Data'!$P:$P,'Fund Investment Data'!$C:$C = $C2234,'Fund Investment Data'!$A:$A = ($A2234 - 2), 'Fund Investment Data'!$B:$B = 12),0) - SUM(FILTER('Fund Investment Data'!$V:$V, 'Fund Investment Data'!$C:$C = $C2234,"&amp;" 'Fund Investment Data'!$A:$A = ($A2234 - 2), 'Fund Investment Data'!$B:$B &gt; 3)))  * Parameters!$B$4 * (1 - Parameters!$A$4),0)"),0.0)</f>
        <v>0</v>
      </c>
      <c r="Z2234" s="91">
        <f t="shared" si="24"/>
        <v>0</v>
      </c>
      <c r="AA2234" s="91">
        <f>IFERROR(__xludf.DUMMYFUNCTION("((IFERROR((SUM(FILTER('Fund Investment Data'!$V:$V, 'Fund Investment Data'!$C:$C = $C2234, 'Fund Investment Data'!$A:$A = $A2234 - 1, 'Fund Investment Data'!$B:$B &gt;= 4, 'Fund Investment Data'!$B:$B &lt;= ($B2234 + 5))) / 12) * ($B2234 - 3) * Parameters!$B$4,"&amp;" 0) + IF($B2234 &gt;= 9, IFERROR(SUM(FILTER('Fund Investment Data'!$V:$V, 'Fund Investment Data'!$C:$C = $C2234, 'Fund Investment Data'!$A:$A = $A2234, 'Fund Investment Data'!$B:$B &lt;= 3)) * Parameters!$B$4, 0),0)))"),0.0)</f>
        <v>0</v>
      </c>
      <c r="AB2234" s="32">
        <f>IFERROR(__xludf.DUMMYFUNCTION("IFERROR(((IFERROR(SUM(FILTER('Fund Investment Data'!$V:$V, 'Fund Investment Data'!$C:$C = $C2234, 'Fund Investment Data'!$A:$A = $A2234 - 2, 'Fund Investment Data'!$B:$B &gt;= 4)) * Parameters!$B$4,0) + IFERROR(SUM(FILTER('Fund Investment Data'!$V:$V, 'Fund "&amp;"Investment Data'!$C:$C = $C2234, 'Fund Investment Data'!$A:$A = $A2234 - 1, 'Fund Investment Data'!$B:$B &lt;= 3)) * Parameters!$B$4,0))),0)"),0.0)</f>
        <v>0</v>
      </c>
      <c r="AC2234" s="32">
        <f>IFERROR(__xludf.DUMMYFUNCTION("IFERROR(FILTER($AF:$AF,$C:$C = $C2234,$A:$A = $A2234 - 1,$B:$B = 12),0)"),0.0)</f>
        <v>0</v>
      </c>
      <c r="AD2234" s="32">
        <f t="shared" si="23"/>
        <v>0</v>
      </c>
      <c r="AE2234" s="32">
        <f t="shared" si="2"/>
        <v>0</v>
      </c>
      <c r="AF2234" s="32"/>
    </row>
    <row r="2235">
      <c r="A2235" s="86"/>
      <c r="B2235" s="87"/>
      <c r="C2235" s="88"/>
      <c r="D2235" s="104"/>
      <c r="E2235" s="104"/>
      <c r="F2235" s="104"/>
      <c r="G2235" s="104"/>
      <c r="H2235" s="104"/>
      <c r="I2235" s="104"/>
      <c r="J2235" s="104"/>
      <c r="K2235" s="32"/>
      <c r="L2235" s="32"/>
      <c r="M2235" s="32"/>
      <c r="N2235" s="32"/>
      <c r="O2235" s="106"/>
      <c r="P2235" s="91">
        <f>IFERROR(__xludf.DUMMYFUNCTION("IFERROR(sum(FILTER($D:$N,$C:$C = $C2235,$A:$A &lt; $A2235,$B:$B = 12)),0) + sum($D2235:$N2235)"),0.0)</f>
        <v>0</v>
      </c>
      <c r="Q2235" s="92">
        <f t="shared" si="1"/>
        <v>0</v>
      </c>
      <c r="R2235" s="91">
        <f t="array" ref="R2235">IFERROR(INDEX('Fund YTD Target Values'!$1:$1000, MATCH($C2235,'Fund YTD Target Values'!$A:$A,0), MATCH($A2235,'Fund YTD Target Values'!$1:$1,0)),0)</f>
        <v>0</v>
      </c>
      <c r="S2235" s="91">
        <f>IFERROR(__xludf.DUMMYFUNCTION("IFERROR(sum(FILTER('Fund Investment Data'!$V:$V, 'Fund Investment Data'!$C:$C = $C2235, 'Fund Investment Data'!$A:$A &lt; $A2235)),0) + IFERROR(sum(FILTER('Fund Investment Data'!$V:$V, 'Fund Investment Data'!$C:$C = $C2235, 'Fund Investment Data'!$A:$A = $A2"&amp;"235, 'Fund Investment Data'!$B:$B &lt;= $B2235)),0)"),0.0)</f>
        <v>0</v>
      </c>
      <c r="T2235" s="32"/>
      <c r="U2235" s="32"/>
      <c r="V2235" s="32">
        <f>IFERROR(__xludf.DUMMYFUNCTION("$D2235 - IFERROR(FILTER($D:$D,$C:$C = $C2235, $A:$A = $A2235, $B:$B = $B2235 - 1),0)"),0.0)</f>
        <v>0</v>
      </c>
      <c r="W2235" s="93">
        <f>IFERROR(__xludf.DUMMYFUNCTION("$E2235 - IFERROR(FILTER($E:$E,$C:$C = $C2235, $A:$A = $A2235, $B:$B = $B2235 - 1),0)"),0.0)</f>
        <v>0</v>
      </c>
      <c r="X2235" s="91">
        <f>IFERROR(__xludf.DUMMYFUNCTION("iFERROR((FILTER('Fund Investment Data'!$Z:$Z, 'Fund Investment Data'!$C:$C = $C2235, 'Fund Investment Data'!$A:$A = $A2235 - 1, 'Fund Investment Data'!$B:$B = 12) + FILTER('Fund Investment Data'!$AB:$AB, 'Fund Investment Data'!$C:$C = $C2235, 'Fund Invest"&amp;"ment Data'!$A:$A = $A2235 - 1, 'Fund Investment Data'!$B:$B = 12)) * (1 + AVERAGE(FILTER('Inflation Data'!$C:$C,'Inflation Data'!$A:$A = ($A2235 - 2)))) * Parameters!$A$4,0)"),0.0)</f>
        <v>0</v>
      </c>
      <c r="Y2235" s="91">
        <f>IFERROR(__xludf.DUMMYFUNCTION("IFERROR((IFERROR(FILTER('Fund Investment Data'!$P:$P,'Fund Investment Data'!$C:$C = $C2235,'Fund Investment Data'!$A:$A = ($A2235 - 2), 'Fund Investment Data'!$B:$B = 12),0) - SUM(FILTER('Fund Investment Data'!$V:$V, 'Fund Investment Data'!$C:$C = $C2235,"&amp;" 'Fund Investment Data'!$A:$A = ($A2235 - 2), 'Fund Investment Data'!$B:$B &gt; 3)))  * Parameters!$B$4 * (1 - Parameters!$A$4),0)"),0.0)</f>
        <v>0</v>
      </c>
      <c r="Z2235" s="91">
        <f t="shared" si="24"/>
        <v>0</v>
      </c>
      <c r="AA2235" s="91">
        <f>IFERROR(__xludf.DUMMYFUNCTION("((IFERROR((SUM(FILTER('Fund Investment Data'!$V:$V, 'Fund Investment Data'!$C:$C = $C2235, 'Fund Investment Data'!$A:$A = $A2235 - 1, 'Fund Investment Data'!$B:$B &gt;= 4, 'Fund Investment Data'!$B:$B &lt;= ($B2235 + 5))) / 12) * ($B2235 - 3) * Parameters!$B$4,"&amp;" 0) + IF($B2235 &gt;= 9, IFERROR(SUM(FILTER('Fund Investment Data'!$V:$V, 'Fund Investment Data'!$C:$C = $C2235, 'Fund Investment Data'!$A:$A = $A2235, 'Fund Investment Data'!$B:$B &lt;= 3)) * Parameters!$B$4, 0),0)))"),0.0)</f>
        <v>0</v>
      </c>
      <c r="AB2235" s="32">
        <f>IFERROR(__xludf.DUMMYFUNCTION("IFERROR(((IFERROR(SUM(FILTER('Fund Investment Data'!$V:$V, 'Fund Investment Data'!$C:$C = $C2235, 'Fund Investment Data'!$A:$A = $A2235 - 2, 'Fund Investment Data'!$B:$B &gt;= 4)) * Parameters!$B$4,0) + IFERROR(SUM(FILTER('Fund Investment Data'!$V:$V, 'Fund "&amp;"Investment Data'!$C:$C = $C2235, 'Fund Investment Data'!$A:$A = $A2235 - 1, 'Fund Investment Data'!$B:$B &lt;= 3)) * Parameters!$B$4,0))),0)"),0.0)</f>
        <v>0</v>
      </c>
      <c r="AC2235" s="32">
        <f>IFERROR(__xludf.DUMMYFUNCTION("IFERROR(FILTER($AF:$AF,$C:$C = $C2235,$A:$A = $A2235 - 1,$B:$B = 12),0)"),0.0)</f>
        <v>0</v>
      </c>
      <c r="AD2235" s="32">
        <f t="shared" si="23"/>
        <v>0</v>
      </c>
      <c r="AE2235" s="32">
        <f t="shared" si="2"/>
        <v>0</v>
      </c>
      <c r="AF2235" s="32"/>
    </row>
    <row r="2236">
      <c r="A2236" s="86"/>
      <c r="B2236" s="87"/>
      <c r="C2236" s="88"/>
      <c r="D2236" s="104"/>
      <c r="E2236" s="104"/>
      <c r="F2236" s="104"/>
      <c r="G2236" s="104"/>
      <c r="H2236" s="104"/>
      <c r="I2236" s="104"/>
      <c r="J2236" s="104"/>
      <c r="K2236" s="32"/>
      <c r="L2236" s="32"/>
      <c r="M2236" s="32"/>
      <c r="N2236" s="32"/>
      <c r="O2236" s="106"/>
      <c r="P2236" s="91">
        <f>IFERROR(__xludf.DUMMYFUNCTION("IFERROR(sum(FILTER($D:$N,$C:$C = $C2236,$A:$A &lt; $A2236,$B:$B = 12)),0) + sum($D2236:$N2236)"),0.0)</f>
        <v>0</v>
      </c>
      <c r="Q2236" s="92">
        <f t="shared" si="1"/>
        <v>0</v>
      </c>
      <c r="R2236" s="91">
        <f t="array" ref="R2236">IFERROR(INDEX('Fund YTD Target Values'!$1:$1000, MATCH($C2236,'Fund YTD Target Values'!$A:$A,0), MATCH($A2236,'Fund YTD Target Values'!$1:$1,0)),0)</f>
        <v>0</v>
      </c>
      <c r="S2236" s="91">
        <f>IFERROR(__xludf.DUMMYFUNCTION("IFERROR(sum(FILTER('Fund Investment Data'!$V:$V, 'Fund Investment Data'!$C:$C = $C2236, 'Fund Investment Data'!$A:$A &lt; $A2236)),0) + IFERROR(sum(FILTER('Fund Investment Data'!$V:$V, 'Fund Investment Data'!$C:$C = $C2236, 'Fund Investment Data'!$A:$A = $A2"&amp;"236, 'Fund Investment Data'!$B:$B &lt;= $B2236)),0)"),0.0)</f>
        <v>0</v>
      </c>
      <c r="T2236" s="32"/>
      <c r="U2236" s="32"/>
      <c r="V2236" s="32">
        <f>IFERROR(__xludf.DUMMYFUNCTION("$D2236 - IFERROR(FILTER($D:$D,$C:$C = $C2236, $A:$A = $A2236, $B:$B = $B2236 - 1),0)"),0.0)</f>
        <v>0</v>
      </c>
      <c r="W2236" s="93">
        <f>IFERROR(__xludf.DUMMYFUNCTION("$E2236 - IFERROR(FILTER($E:$E,$C:$C = $C2236, $A:$A = $A2236, $B:$B = $B2236 - 1),0)"),0.0)</f>
        <v>0</v>
      </c>
      <c r="X2236" s="91">
        <f>IFERROR(__xludf.DUMMYFUNCTION("iFERROR((FILTER('Fund Investment Data'!$Z:$Z, 'Fund Investment Data'!$C:$C = $C2236, 'Fund Investment Data'!$A:$A = $A2236 - 1, 'Fund Investment Data'!$B:$B = 12) + FILTER('Fund Investment Data'!$AB:$AB, 'Fund Investment Data'!$C:$C = $C2236, 'Fund Invest"&amp;"ment Data'!$A:$A = $A2236 - 1, 'Fund Investment Data'!$B:$B = 12)) * (1 + AVERAGE(FILTER('Inflation Data'!$C:$C,'Inflation Data'!$A:$A = ($A2236 - 2)))) * Parameters!$A$4,0)"),0.0)</f>
        <v>0</v>
      </c>
      <c r="Y2236" s="91">
        <f>IFERROR(__xludf.DUMMYFUNCTION("IFERROR((IFERROR(FILTER('Fund Investment Data'!$P:$P,'Fund Investment Data'!$C:$C = $C2236,'Fund Investment Data'!$A:$A = ($A2236 - 2), 'Fund Investment Data'!$B:$B = 12),0) - SUM(FILTER('Fund Investment Data'!$V:$V, 'Fund Investment Data'!$C:$C = $C2236,"&amp;" 'Fund Investment Data'!$A:$A = ($A2236 - 2), 'Fund Investment Data'!$B:$B &gt; 3)))  * Parameters!$B$4 * (1 - Parameters!$A$4),0)"),0.0)</f>
        <v>0</v>
      </c>
      <c r="Z2236" s="91">
        <f t="shared" si="24"/>
        <v>0</v>
      </c>
      <c r="AA2236" s="91">
        <f>IFERROR(__xludf.DUMMYFUNCTION("((IFERROR((SUM(FILTER('Fund Investment Data'!$V:$V, 'Fund Investment Data'!$C:$C = $C2236, 'Fund Investment Data'!$A:$A = $A2236 - 1, 'Fund Investment Data'!$B:$B &gt;= 4, 'Fund Investment Data'!$B:$B &lt;= ($B2236 + 5))) / 12) * ($B2236 - 3) * Parameters!$B$4,"&amp;" 0) + IF($B2236 &gt;= 9, IFERROR(SUM(FILTER('Fund Investment Data'!$V:$V, 'Fund Investment Data'!$C:$C = $C2236, 'Fund Investment Data'!$A:$A = $A2236, 'Fund Investment Data'!$B:$B &lt;= 3)) * Parameters!$B$4, 0),0)))"),0.0)</f>
        <v>0</v>
      </c>
      <c r="AB2236" s="32">
        <f>IFERROR(__xludf.DUMMYFUNCTION("IFERROR(((IFERROR(SUM(FILTER('Fund Investment Data'!$V:$V, 'Fund Investment Data'!$C:$C = $C2236, 'Fund Investment Data'!$A:$A = $A2236 - 2, 'Fund Investment Data'!$B:$B &gt;= 4)) * Parameters!$B$4,0) + IFERROR(SUM(FILTER('Fund Investment Data'!$V:$V, 'Fund "&amp;"Investment Data'!$C:$C = $C2236, 'Fund Investment Data'!$A:$A = $A2236 - 1, 'Fund Investment Data'!$B:$B &lt;= 3)) * Parameters!$B$4,0))),0)"),0.0)</f>
        <v>0</v>
      </c>
      <c r="AC2236" s="32">
        <f>IFERROR(__xludf.DUMMYFUNCTION("IFERROR(FILTER($AF:$AF,$C:$C = $C2236,$A:$A = $A2236 - 1,$B:$B = 12),0)"),0.0)</f>
        <v>0</v>
      </c>
      <c r="AD2236" s="32">
        <f t="shared" si="23"/>
        <v>0</v>
      </c>
      <c r="AE2236" s="32">
        <f t="shared" si="2"/>
        <v>0</v>
      </c>
      <c r="AF2236" s="32"/>
    </row>
    <row r="2237">
      <c r="A2237" s="86"/>
      <c r="B2237" s="87"/>
      <c r="C2237" s="88"/>
      <c r="D2237" s="104"/>
      <c r="E2237" s="104"/>
      <c r="F2237" s="104"/>
      <c r="G2237" s="104"/>
      <c r="H2237" s="104"/>
      <c r="I2237" s="104"/>
      <c r="J2237" s="104"/>
      <c r="K2237" s="32"/>
      <c r="L2237" s="32"/>
      <c r="M2237" s="32"/>
      <c r="N2237" s="32"/>
      <c r="O2237" s="106"/>
      <c r="P2237" s="91">
        <f>IFERROR(__xludf.DUMMYFUNCTION("IFERROR(sum(FILTER($D:$N,$C:$C = $C2237,$A:$A &lt; $A2237,$B:$B = 12)),0) + sum($D2237:$N2237)"),0.0)</f>
        <v>0</v>
      </c>
      <c r="Q2237" s="92">
        <f t="shared" si="1"/>
        <v>0</v>
      </c>
      <c r="R2237" s="91">
        <f t="array" ref="R2237">IFERROR(INDEX('Fund YTD Target Values'!$1:$1000, MATCH($C2237,'Fund YTD Target Values'!$A:$A,0), MATCH($A2237,'Fund YTD Target Values'!$1:$1,0)),0)</f>
        <v>0</v>
      </c>
      <c r="S2237" s="91">
        <f>IFERROR(__xludf.DUMMYFUNCTION("IFERROR(sum(FILTER('Fund Investment Data'!$V:$V, 'Fund Investment Data'!$C:$C = $C2237, 'Fund Investment Data'!$A:$A &lt; $A2237)),0) + IFERROR(sum(FILTER('Fund Investment Data'!$V:$V, 'Fund Investment Data'!$C:$C = $C2237, 'Fund Investment Data'!$A:$A = $A2"&amp;"237, 'Fund Investment Data'!$B:$B &lt;= $B2237)),0)"),0.0)</f>
        <v>0</v>
      </c>
      <c r="T2237" s="32"/>
      <c r="U2237" s="32"/>
      <c r="V2237" s="32">
        <f>IFERROR(__xludf.DUMMYFUNCTION("$D2237 - IFERROR(FILTER($D:$D,$C:$C = $C2237, $A:$A = $A2237, $B:$B = $B2237 - 1),0)"),0.0)</f>
        <v>0</v>
      </c>
      <c r="W2237" s="93">
        <f>IFERROR(__xludf.DUMMYFUNCTION("$E2237 - IFERROR(FILTER($E:$E,$C:$C = $C2237, $A:$A = $A2237, $B:$B = $B2237 - 1),0)"),0.0)</f>
        <v>0</v>
      </c>
      <c r="X2237" s="91">
        <f>IFERROR(__xludf.DUMMYFUNCTION("iFERROR((FILTER('Fund Investment Data'!$Z:$Z, 'Fund Investment Data'!$C:$C = $C2237, 'Fund Investment Data'!$A:$A = $A2237 - 1, 'Fund Investment Data'!$B:$B = 12) + FILTER('Fund Investment Data'!$AB:$AB, 'Fund Investment Data'!$C:$C = $C2237, 'Fund Invest"&amp;"ment Data'!$A:$A = $A2237 - 1, 'Fund Investment Data'!$B:$B = 12)) * (1 + AVERAGE(FILTER('Inflation Data'!$C:$C,'Inflation Data'!$A:$A = ($A2237 - 2)))) * Parameters!$A$4,0)"),0.0)</f>
        <v>0</v>
      </c>
      <c r="Y2237" s="91">
        <f>IFERROR(__xludf.DUMMYFUNCTION("IFERROR((IFERROR(FILTER('Fund Investment Data'!$P:$P,'Fund Investment Data'!$C:$C = $C2237,'Fund Investment Data'!$A:$A = ($A2237 - 2), 'Fund Investment Data'!$B:$B = 12),0) - SUM(FILTER('Fund Investment Data'!$V:$V, 'Fund Investment Data'!$C:$C = $C2237,"&amp;" 'Fund Investment Data'!$A:$A = ($A2237 - 2), 'Fund Investment Data'!$B:$B &gt; 3)))  * Parameters!$B$4 * (1 - Parameters!$A$4),0)"),0.0)</f>
        <v>0</v>
      </c>
      <c r="Z2237" s="91">
        <f t="shared" si="24"/>
        <v>0</v>
      </c>
      <c r="AA2237" s="91">
        <f>IFERROR(__xludf.DUMMYFUNCTION("((IFERROR((SUM(FILTER('Fund Investment Data'!$V:$V, 'Fund Investment Data'!$C:$C = $C2237, 'Fund Investment Data'!$A:$A = $A2237 - 1, 'Fund Investment Data'!$B:$B &gt;= 4, 'Fund Investment Data'!$B:$B &lt;= ($B2237 + 5))) / 12) * ($B2237 - 3) * Parameters!$B$4,"&amp;" 0) + IF($B2237 &gt;= 9, IFERROR(SUM(FILTER('Fund Investment Data'!$V:$V, 'Fund Investment Data'!$C:$C = $C2237, 'Fund Investment Data'!$A:$A = $A2237, 'Fund Investment Data'!$B:$B &lt;= 3)) * Parameters!$B$4, 0),0)))"),0.0)</f>
        <v>0</v>
      </c>
      <c r="AB2237" s="32">
        <f>IFERROR(__xludf.DUMMYFUNCTION("IFERROR(((IFERROR(SUM(FILTER('Fund Investment Data'!$V:$V, 'Fund Investment Data'!$C:$C = $C2237, 'Fund Investment Data'!$A:$A = $A2237 - 2, 'Fund Investment Data'!$B:$B &gt;= 4)) * Parameters!$B$4,0) + IFERROR(SUM(FILTER('Fund Investment Data'!$V:$V, 'Fund "&amp;"Investment Data'!$C:$C = $C2237, 'Fund Investment Data'!$A:$A = $A2237 - 1, 'Fund Investment Data'!$B:$B &lt;= 3)) * Parameters!$B$4,0))),0)"),0.0)</f>
        <v>0</v>
      </c>
      <c r="AC2237" s="32">
        <f>IFERROR(__xludf.DUMMYFUNCTION("IFERROR(FILTER($AF:$AF,$C:$C = $C2237,$A:$A = $A2237 - 1,$B:$B = 12),0)"),0.0)</f>
        <v>0</v>
      </c>
      <c r="AD2237" s="32">
        <f t="shared" si="23"/>
        <v>0</v>
      </c>
      <c r="AE2237" s="32">
        <f t="shared" si="2"/>
        <v>0</v>
      </c>
      <c r="AF2237" s="32"/>
    </row>
    <row r="2238">
      <c r="A2238" s="86"/>
      <c r="B2238" s="87"/>
      <c r="C2238" s="88"/>
      <c r="D2238" s="104"/>
      <c r="E2238" s="104"/>
      <c r="F2238" s="104"/>
      <c r="G2238" s="104"/>
      <c r="H2238" s="104"/>
      <c r="I2238" s="104"/>
      <c r="J2238" s="104"/>
      <c r="K2238" s="32"/>
      <c r="L2238" s="32"/>
      <c r="M2238" s="32"/>
      <c r="N2238" s="32"/>
      <c r="O2238" s="106"/>
      <c r="P2238" s="91">
        <f>IFERROR(__xludf.DUMMYFUNCTION("IFERROR(sum(FILTER($D:$N,$C:$C = $C2238,$A:$A &lt; $A2238,$B:$B = 12)),0) + sum($D2238:$N2238)"),0.0)</f>
        <v>0</v>
      </c>
      <c r="Q2238" s="92">
        <f t="shared" si="1"/>
        <v>0</v>
      </c>
      <c r="R2238" s="91">
        <f t="array" ref="R2238">IFERROR(INDEX('Fund YTD Target Values'!$1:$1000, MATCH($C2238,'Fund YTD Target Values'!$A:$A,0), MATCH($A2238,'Fund YTD Target Values'!$1:$1,0)),0)</f>
        <v>0</v>
      </c>
      <c r="S2238" s="91">
        <f>IFERROR(__xludf.DUMMYFUNCTION("IFERROR(sum(FILTER('Fund Investment Data'!$V:$V, 'Fund Investment Data'!$C:$C = $C2238, 'Fund Investment Data'!$A:$A &lt; $A2238)),0) + IFERROR(sum(FILTER('Fund Investment Data'!$V:$V, 'Fund Investment Data'!$C:$C = $C2238, 'Fund Investment Data'!$A:$A = $A2"&amp;"238, 'Fund Investment Data'!$B:$B &lt;= $B2238)),0)"),0.0)</f>
        <v>0</v>
      </c>
      <c r="T2238" s="32"/>
      <c r="U2238" s="32"/>
      <c r="V2238" s="32">
        <f>IFERROR(__xludf.DUMMYFUNCTION("$D2238 - IFERROR(FILTER($D:$D,$C:$C = $C2238, $A:$A = $A2238, $B:$B = $B2238 - 1),0)"),0.0)</f>
        <v>0</v>
      </c>
      <c r="W2238" s="93">
        <f>IFERROR(__xludf.DUMMYFUNCTION("$E2238 - IFERROR(FILTER($E:$E,$C:$C = $C2238, $A:$A = $A2238, $B:$B = $B2238 - 1),0)"),0.0)</f>
        <v>0</v>
      </c>
      <c r="X2238" s="91">
        <f>IFERROR(__xludf.DUMMYFUNCTION("iFERROR((FILTER('Fund Investment Data'!$Z:$Z, 'Fund Investment Data'!$C:$C = $C2238, 'Fund Investment Data'!$A:$A = $A2238 - 1, 'Fund Investment Data'!$B:$B = 12) + FILTER('Fund Investment Data'!$AB:$AB, 'Fund Investment Data'!$C:$C = $C2238, 'Fund Invest"&amp;"ment Data'!$A:$A = $A2238 - 1, 'Fund Investment Data'!$B:$B = 12)) * (1 + AVERAGE(FILTER('Inflation Data'!$C:$C,'Inflation Data'!$A:$A = ($A2238 - 2)))) * Parameters!$A$4,0)"),0.0)</f>
        <v>0</v>
      </c>
      <c r="Y2238" s="91">
        <f>IFERROR(__xludf.DUMMYFUNCTION("IFERROR((IFERROR(FILTER('Fund Investment Data'!$P:$P,'Fund Investment Data'!$C:$C = $C2238,'Fund Investment Data'!$A:$A = ($A2238 - 2), 'Fund Investment Data'!$B:$B = 12),0) - SUM(FILTER('Fund Investment Data'!$V:$V, 'Fund Investment Data'!$C:$C = $C2238,"&amp;" 'Fund Investment Data'!$A:$A = ($A2238 - 2), 'Fund Investment Data'!$B:$B &gt; 3)))  * Parameters!$B$4 * (1 - Parameters!$A$4),0)"),0.0)</f>
        <v>0</v>
      </c>
      <c r="Z2238" s="91">
        <f t="shared" si="24"/>
        <v>0</v>
      </c>
      <c r="AA2238" s="91">
        <f>IFERROR(__xludf.DUMMYFUNCTION("((IFERROR((SUM(FILTER('Fund Investment Data'!$V:$V, 'Fund Investment Data'!$C:$C = $C2238, 'Fund Investment Data'!$A:$A = $A2238 - 1, 'Fund Investment Data'!$B:$B &gt;= 4, 'Fund Investment Data'!$B:$B &lt;= ($B2238 + 5))) / 12) * ($B2238 - 3) * Parameters!$B$4,"&amp;" 0) + IF($B2238 &gt;= 9, IFERROR(SUM(FILTER('Fund Investment Data'!$V:$V, 'Fund Investment Data'!$C:$C = $C2238, 'Fund Investment Data'!$A:$A = $A2238, 'Fund Investment Data'!$B:$B &lt;= 3)) * Parameters!$B$4, 0),0)))"),0.0)</f>
        <v>0</v>
      </c>
      <c r="AB2238" s="32">
        <f>IFERROR(__xludf.DUMMYFUNCTION("IFERROR(((IFERROR(SUM(FILTER('Fund Investment Data'!$V:$V, 'Fund Investment Data'!$C:$C = $C2238, 'Fund Investment Data'!$A:$A = $A2238 - 2, 'Fund Investment Data'!$B:$B &gt;= 4)) * Parameters!$B$4,0) + IFERROR(SUM(FILTER('Fund Investment Data'!$V:$V, 'Fund "&amp;"Investment Data'!$C:$C = $C2238, 'Fund Investment Data'!$A:$A = $A2238 - 1, 'Fund Investment Data'!$B:$B &lt;= 3)) * Parameters!$B$4,0))),0)"),0.0)</f>
        <v>0</v>
      </c>
      <c r="AC2238" s="32">
        <f>IFERROR(__xludf.DUMMYFUNCTION("IFERROR(FILTER($AF:$AF,$C:$C = $C2238,$A:$A = $A2238 - 1,$B:$B = 12),0)"),0.0)</f>
        <v>0</v>
      </c>
      <c r="AD2238" s="32">
        <f t="shared" si="23"/>
        <v>0</v>
      </c>
      <c r="AE2238" s="32">
        <f t="shared" si="2"/>
        <v>0</v>
      </c>
      <c r="AF2238" s="32"/>
    </row>
    <row r="2239">
      <c r="A2239" s="86"/>
      <c r="B2239" s="87"/>
      <c r="C2239" s="88"/>
      <c r="D2239" s="104"/>
      <c r="E2239" s="104"/>
      <c r="F2239" s="104"/>
      <c r="G2239" s="104"/>
      <c r="H2239" s="104"/>
      <c r="I2239" s="104"/>
      <c r="J2239" s="104"/>
      <c r="K2239" s="32"/>
      <c r="L2239" s="32"/>
      <c r="M2239" s="32"/>
      <c r="N2239" s="32"/>
      <c r="O2239" s="106"/>
      <c r="P2239" s="91">
        <f>IFERROR(__xludf.DUMMYFUNCTION("IFERROR(sum(FILTER($D:$N,$C:$C = $C2239,$A:$A &lt; $A2239,$B:$B = 12)),0) + sum($D2239:$N2239)"),0.0)</f>
        <v>0</v>
      </c>
      <c r="Q2239" s="92">
        <f t="shared" si="1"/>
        <v>0</v>
      </c>
      <c r="R2239" s="91">
        <f t="array" ref="R2239">IFERROR(INDEX('Fund YTD Target Values'!$1:$1000, MATCH($C2239,'Fund YTD Target Values'!$A:$A,0), MATCH($A2239,'Fund YTD Target Values'!$1:$1,0)),0)</f>
        <v>0</v>
      </c>
      <c r="S2239" s="91">
        <f>IFERROR(__xludf.DUMMYFUNCTION("IFERROR(sum(FILTER('Fund Investment Data'!$V:$V, 'Fund Investment Data'!$C:$C = $C2239, 'Fund Investment Data'!$A:$A &lt; $A2239)),0) + IFERROR(sum(FILTER('Fund Investment Data'!$V:$V, 'Fund Investment Data'!$C:$C = $C2239, 'Fund Investment Data'!$A:$A = $A2"&amp;"239, 'Fund Investment Data'!$B:$B &lt;= $B2239)),0)"),0.0)</f>
        <v>0</v>
      </c>
      <c r="T2239" s="32"/>
      <c r="U2239" s="32"/>
      <c r="V2239" s="32">
        <f>IFERROR(__xludf.DUMMYFUNCTION("$D2239 - IFERROR(FILTER($D:$D,$C:$C = $C2239, $A:$A = $A2239, $B:$B = $B2239 - 1),0)"),0.0)</f>
        <v>0</v>
      </c>
      <c r="W2239" s="93">
        <f>IFERROR(__xludf.DUMMYFUNCTION("$E2239 - IFERROR(FILTER($E:$E,$C:$C = $C2239, $A:$A = $A2239, $B:$B = $B2239 - 1),0)"),0.0)</f>
        <v>0</v>
      </c>
      <c r="X2239" s="91">
        <f>IFERROR(__xludf.DUMMYFUNCTION("iFERROR((FILTER('Fund Investment Data'!$Z:$Z, 'Fund Investment Data'!$C:$C = $C2239, 'Fund Investment Data'!$A:$A = $A2239 - 1, 'Fund Investment Data'!$B:$B = 12) + FILTER('Fund Investment Data'!$AB:$AB, 'Fund Investment Data'!$C:$C = $C2239, 'Fund Invest"&amp;"ment Data'!$A:$A = $A2239 - 1, 'Fund Investment Data'!$B:$B = 12)) * (1 + AVERAGE(FILTER('Inflation Data'!$C:$C,'Inflation Data'!$A:$A = ($A2239 - 2)))) * Parameters!$A$4,0)"),0.0)</f>
        <v>0</v>
      </c>
      <c r="Y2239" s="91">
        <f>IFERROR(__xludf.DUMMYFUNCTION("IFERROR((IFERROR(FILTER('Fund Investment Data'!$P:$P,'Fund Investment Data'!$C:$C = $C2239,'Fund Investment Data'!$A:$A = ($A2239 - 2), 'Fund Investment Data'!$B:$B = 12),0) - SUM(FILTER('Fund Investment Data'!$V:$V, 'Fund Investment Data'!$C:$C = $C2239,"&amp;" 'Fund Investment Data'!$A:$A = ($A2239 - 2), 'Fund Investment Data'!$B:$B &gt; 3)))  * Parameters!$B$4 * (1 - Parameters!$A$4),0)"),0.0)</f>
        <v>0</v>
      </c>
      <c r="Z2239" s="91">
        <f t="shared" si="24"/>
        <v>0</v>
      </c>
      <c r="AA2239" s="91">
        <f>IFERROR(__xludf.DUMMYFUNCTION("((IFERROR((SUM(FILTER('Fund Investment Data'!$V:$V, 'Fund Investment Data'!$C:$C = $C2239, 'Fund Investment Data'!$A:$A = $A2239 - 1, 'Fund Investment Data'!$B:$B &gt;= 4, 'Fund Investment Data'!$B:$B &lt;= ($B2239 + 5))) / 12) * ($B2239 - 3) * Parameters!$B$4,"&amp;" 0) + IF($B2239 &gt;= 9, IFERROR(SUM(FILTER('Fund Investment Data'!$V:$V, 'Fund Investment Data'!$C:$C = $C2239, 'Fund Investment Data'!$A:$A = $A2239, 'Fund Investment Data'!$B:$B &lt;= 3)) * Parameters!$B$4, 0),0)))"),0.0)</f>
        <v>0</v>
      </c>
      <c r="AB2239" s="32">
        <f>IFERROR(__xludf.DUMMYFUNCTION("IFERROR(((IFERROR(SUM(FILTER('Fund Investment Data'!$V:$V, 'Fund Investment Data'!$C:$C = $C2239, 'Fund Investment Data'!$A:$A = $A2239 - 2, 'Fund Investment Data'!$B:$B &gt;= 4)) * Parameters!$B$4,0) + IFERROR(SUM(FILTER('Fund Investment Data'!$V:$V, 'Fund "&amp;"Investment Data'!$C:$C = $C2239, 'Fund Investment Data'!$A:$A = $A2239 - 1, 'Fund Investment Data'!$B:$B &lt;= 3)) * Parameters!$B$4,0))),0)"),0.0)</f>
        <v>0</v>
      </c>
      <c r="AC2239" s="32">
        <f>IFERROR(__xludf.DUMMYFUNCTION("IFERROR(FILTER($AF:$AF,$C:$C = $C2239,$A:$A = $A2239 - 1,$B:$B = 12),0)"),0.0)</f>
        <v>0</v>
      </c>
      <c r="AD2239" s="32">
        <f t="shared" si="23"/>
        <v>0</v>
      </c>
      <c r="AE2239" s="32">
        <f t="shared" si="2"/>
        <v>0</v>
      </c>
      <c r="AF2239" s="32"/>
    </row>
    <row r="2240">
      <c r="A2240" s="86"/>
      <c r="B2240" s="87"/>
      <c r="C2240" s="88"/>
      <c r="D2240" s="104"/>
      <c r="E2240" s="104"/>
      <c r="F2240" s="104"/>
      <c r="G2240" s="104"/>
      <c r="H2240" s="104"/>
      <c r="I2240" s="104"/>
      <c r="J2240" s="104"/>
      <c r="K2240" s="32"/>
      <c r="L2240" s="32"/>
      <c r="M2240" s="32"/>
      <c r="N2240" s="32"/>
      <c r="O2240" s="106"/>
      <c r="P2240" s="91">
        <f>IFERROR(__xludf.DUMMYFUNCTION("IFERROR(sum(FILTER($D:$N,$C:$C = $C2240,$A:$A &lt; $A2240,$B:$B = 12)),0) + sum($D2240:$N2240)"),0.0)</f>
        <v>0</v>
      </c>
      <c r="Q2240" s="92">
        <f t="shared" si="1"/>
        <v>0</v>
      </c>
      <c r="R2240" s="91">
        <f t="array" ref="R2240">IFERROR(INDEX('Fund YTD Target Values'!$1:$1000, MATCH($C2240,'Fund YTD Target Values'!$A:$A,0), MATCH($A2240,'Fund YTD Target Values'!$1:$1,0)),0)</f>
        <v>0</v>
      </c>
      <c r="S2240" s="91">
        <f>IFERROR(__xludf.DUMMYFUNCTION("IFERROR(sum(FILTER('Fund Investment Data'!$V:$V, 'Fund Investment Data'!$C:$C = $C2240, 'Fund Investment Data'!$A:$A &lt; $A2240)),0) + IFERROR(sum(FILTER('Fund Investment Data'!$V:$V, 'Fund Investment Data'!$C:$C = $C2240, 'Fund Investment Data'!$A:$A = $A2"&amp;"240, 'Fund Investment Data'!$B:$B &lt;= $B2240)),0)"),0.0)</f>
        <v>0</v>
      </c>
      <c r="T2240" s="32"/>
      <c r="U2240" s="32"/>
      <c r="V2240" s="32">
        <f>IFERROR(__xludf.DUMMYFUNCTION("$D2240 - IFERROR(FILTER($D:$D,$C:$C = $C2240, $A:$A = $A2240, $B:$B = $B2240 - 1),0)"),0.0)</f>
        <v>0</v>
      </c>
      <c r="W2240" s="93">
        <f>IFERROR(__xludf.DUMMYFUNCTION("$E2240 - IFERROR(FILTER($E:$E,$C:$C = $C2240, $A:$A = $A2240, $B:$B = $B2240 - 1),0)"),0.0)</f>
        <v>0</v>
      </c>
      <c r="X2240" s="91">
        <f>IFERROR(__xludf.DUMMYFUNCTION("iFERROR((FILTER('Fund Investment Data'!$Z:$Z, 'Fund Investment Data'!$C:$C = $C2240, 'Fund Investment Data'!$A:$A = $A2240 - 1, 'Fund Investment Data'!$B:$B = 12) + FILTER('Fund Investment Data'!$AB:$AB, 'Fund Investment Data'!$C:$C = $C2240, 'Fund Invest"&amp;"ment Data'!$A:$A = $A2240 - 1, 'Fund Investment Data'!$B:$B = 12)) * (1 + AVERAGE(FILTER('Inflation Data'!$C:$C,'Inflation Data'!$A:$A = ($A2240 - 2)))) * Parameters!$A$4,0)"),0.0)</f>
        <v>0</v>
      </c>
      <c r="Y2240" s="91">
        <f>IFERROR(__xludf.DUMMYFUNCTION("IFERROR((IFERROR(FILTER('Fund Investment Data'!$P:$P,'Fund Investment Data'!$C:$C = $C2240,'Fund Investment Data'!$A:$A = ($A2240 - 2), 'Fund Investment Data'!$B:$B = 12),0) - SUM(FILTER('Fund Investment Data'!$V:$V, 'Fund Investment Data'!$C:$C = $C2240,"&amp;" 'Fund Investment Data'!$A:$A = ($A2240 - 2), 'Fund Investment Data'!$B:$B &gt; 3)))  * Parameters!$B$4 * (1 - Parameters!$A$4),0)"),0.0)</f>
        <v>0</v>
      </c>
      <c r="Z2240" s="91">
        <f t="shared" si="24"/>
        <v>0</v>
      </c>
      <c r="AA2240" s="91">
        <f>IFERROR(__xludf.DUMMYFUNCTION("((IFERROR((SUM(FILTER('Fund Investment Data'!$V:$V, 'Fund Investment Data'!$C:$C = $C2240, 'Fund Investment Data'!$A:$A = $A2240 - 1, 'Fund Investment Data'!$B:$B &gt;= 4, 'Fund Investment Data'!$B:$B &lt;= ($B2240 + 5))) / 12) * ($B2240 - 3) * Parameters!$B$4,"&amp;" 0) + IF($B2240 &gt;= 9, IFERROR(SUM(FILTER('Fund Investment Data'!$V:$V, 'Fund Investment Data'!$C:$C = $C2240, 'Fund Investment Data'!$A:$A = $A2240, 'Fund Investment Data'!$B:$B &lt;= 3)) * Parameters!$B$4, 0),0)))"),0.0)</f>
        <v>0</v>
      </c>
      <c r="AB2240" s="32">
        <f>IFERROR(__xludf.DUMMYFUNCTION("IFERROR(((IFERROR(SUM(FILTER('Fund Investment Data'!$V:$V, 'Fund Investment Data'!$C:$C = $C2240, 'Fund Investment Data'!$A:$A = $A2240 - 2, 'Fund Investment Data'!$B:$B &gt;= 4)) * Parameters!$B$4,0) + IFERROR(SUM(FILTER('Fund Investment Data'!$V:$V, 'Fund "&amp;"Investment Data'!$C:$C = $C2240, 'Fund Investment Data'!$A:$A = $A2240 - 1, 'Fund Investment Data'!$B:$B &lt;= 3)) * Parameters!$B$4,0))),0)"),0.0)</f>
        <v>0</v>
      </c>
      <c r="AC2240" s="32">
        <f>IFERROR(__xludf.DUMMYFUNCTION("IFERROR(FILTER($AF:$AF,$C:$C = $C2240,$A:$A = $A2240 - 1,$B:$B = 12),0)"),0.0)</f>
        <v>0</v>
      </c>
      <c r="AD2240" s="32">
        <f t="shared" si="23"/>
        <v>0</v>
      </c>
      <c r="AE2240" s="32">
        <f t="shared" si="2"/>
        <v>0</v>
      </c>
      <c r="AF2240" s="32"/>
    </row>
    <row r="2241">
      <c r="A2241" s="86"/>
      <c r="B2241" s="87"/>
      <c r="C2241" s="88"/>
      <c r="D2241" s="104"/>
      <c r="E2241" s="104"/>
      <c r="F2241" s="104"/>
      <c r="G2241" s="104"/>
      <c r="H2241" s="104"/>
      <c r="I2241" s="104"/>
      <c r="J2241" s="104"/>
      <c r="K2241" s="32"/>
      <c r="L2241" s="32"/>
      <c r="M2241" s="32"/>
      <c r="N2241" s="32"/>
      <c r="O2241" s="106"/>
      <c r="P2241" s="91">
        <f>IFERROR(__xludf.DUMMYFUNCTION("IFERROR(sum(FILTER($D:$N,$C:$C = $C2241,$A:$A &lt; $A2241,$B:$B = 12)),0) + sum($D2241:$N2241)"),0.0)</f>
        <v>0</v>
      </c>
      <c r="Q2241" s="92">
        <f t="shared" si="1"/>
        <v>0</v>
      </c>
      <c r="R2241" s="91">
        <f t="array" ref="R2241">IFERROR(INDEX('Fund YTD Target Values'!$1:$1000, MATCH($C2241,'Fund YTD Target Values'!$A:$A,0), MATCH($A2241,'Fund YTD Target Values'!$1:$1,0)),0)</f>
        <v>0</v>
      </c>
      <c r="S2241" s="91">
        <f>IFERROR(__xludf.DUMMYFUNCTION("IFERROR(sum(FILTER('Fund Investment Data'!$V:$V, 'Fund Investment Data'!$C:$C = $C2241, 'Fund Investment Data'!$A:$A &lt; $A2241)),0) + IFERROR(sum(FILTER('Fund Investment Data'!$V:$V, 'Fund Investment Data'!$C:$C = $C2241, 'Fund Investment Data'!$A:$A = $A2"&amp;"241, 'Fund Investment Data'!$B:$B &lt;= $B2241)),0)"),0.0)</f>
        <v>0</v>
      </c>
      <c r="T2241" s="32"/>
      <c r="U2241" s="32"/>
      <c r="V2241" s="32">
        <f>IFERROR(__xludf.DUMMYFUNCTION("$D2241 - IFERROR(FILTER($D:$D,$C:$C = $C2241, $A:$A = $A2241, $B:$B = $B2241 - 1),0)"),0.0)</f>
        <v>0</v>
      </c>
      <c r="W2241" s="93">
        <f>IFERROR(__xludf.DUMMYFUNCTION("$E2241 - IFERROR(FILTER($E:$E,$C:$C = $C2241, $A:$A = $A2241, $B:$B = $B2241 - 1),0)"),0.0)</f>
        <v>0</v>
      </c>
      <c r="X2241" s="91">
        <f>IFERROR(__xludf.DUMMYFUNCTION("iFERROR((FILTER('Fund Investment Data'!$Z:$Z, 'Fund Investment Data'!$C:$C = $C2241, 'Fund Investment Data'!$A:$A = $A2241 - 1, 'Fund Investment Data'!$B:$B = 12) + FILTER('Fund Investment Data'!$AB:$AB, 'Fund Investment Data'!$C:$C = $C2241, 'Fund Invest"&amp;"ment Data'!$A:$A = $A2241 - 1, 'Fund Investment Data'!$B:$B = 12)) * (1 + AVERAGE(FILTER('Inflation Data'!$C:$C,'Inflation Data'!$A:$A = ($A2241 - 2)))) * Parameters!$A$4,0)"),0.0)</f>
        <v>0</v>
      </c>
      <c r="Y2241" s="91">
        <f>IFERROR(__xludf.DUMMYFUNCTION("IFERROR((IFERROR(FILTER('Fund Investment Data'!$P:$P,'Fund Investment Data'!$C:$C = $C2241,'Fund Investment Data'!$A:$A = ($A2241 - 2), 'Fund Investment Data'!$B:$B = 12),0) - SUM(FILTER('Fund Investment Data'!$V:$V, 'Fund Investment Data'!$C:$C = $C2241,"&amp;" 'Fund Investment Data'!$A:$A = ($A2241 - 2), 'Fund Investment Data'!$B:$B &gt; 3)))  * Parameters!$B$4 * (1 - Parameters!$A$4),0)"),0.0)</f>
        <v>0</v>
      </c>
      <c r="Z2241" s="91">
        <f t="shared" si="24"/>
        <v>0</v>
      </c>
      <c r="AA2241" s="91">
        <f>IFERROR(__xludf.DUMMYFUNCTION("((IFERROR((SUM(FILTER('Fund Investment Data'!$V:$V, 'Fund Investment Data'!$C:$C = $C2241, 'Fund Investment Data'!$A:$A = $A2241 - 1, 'Fund Investment Data'!$B:$B &gt;= 4, 'Fund Investment Data'!$B:$B &lt;= ($B2241 + 5))) / 12) * ($B2241 - 3) * Parameters!$B$4,"&amp;" 0) + IF($B2241 &gt;= 9, IFERROR(SUM(FILTER('Fund Investment Data'!$V:$V, 'Fund Investment Data'!$C:$C = $C2241, 'Fund Investment Data'!$A:$A = $A2241, 'Fund Investment Data'!$B:$B &lt;= 3)) * Parameters!$B$4, 0),0)))"),0.0)</f>
        <v>0</v>
      </c>
      <c r="AB2241" s="32">
        <f>IFERROR(__xludf.DUMMYFUNCTION("IFERROR(((IFERROR(SUM(FILTER('Fund Investment Data'!$V:$V, 'Fund Investment Data'!$C:$C = $C2241, 'Fund Investment Data'!$A:$A = $A2241 - 2, 'Fund Investment Data'!$B:$B &gt;= 4)) * Parameters!$B$4,0) + IFERROR(SUM(FILTER('Fund Investment Data'!$V:$V, 'Fund "&amp;"Investment Data'!$C:$C = $C2241, 'Fund Investment Data'!$A:$A = $A2241 - 1, 'Fund Investment Data'!$B:$B &lt;= 3)) * Parameters!$B$4,0))),0)"),0.0)</f>
        <v>0</v>
      </c>
      <c r="AC2241" s="32">
        <f>IFERROR(__xludf.DUMMYFUNCTION("IFERROR(FILTER($AF:$AF,$C:$C = $C2241,$A:$A = $A2241 - 1,$B:$B = 12),0)"),0.0)</f>
        <v>0</v>
      </c>
      <c r="AD2241" s="32">
        <f t="shared" si="23"/>
        <v>0</v>
      </c>
      <c r="AE2241" s="32">
        <f t="shared" si="2"/>
        <v>0</v>
      </c>
      <c r="AF2241" s="32"/>
    </row>
    <row r="2242">
      <c r="A2242" s="86"/>
      <c r="B2242" s="87"/>
      <c r="C2242" s="88"/>
      <c r="D2242" s="104"/>
      <c r="E2242" s="104"/>
      <c r="F2242" s="104"/>
      <c r="G2242" s="104"/>
      <c r="H2242" s="104"/>
      <c r="I2242" s="104"/>
      <c r="J2242" s="104"/>
      <c r="K2242" s="32"/>
      <c r="L2242" s="32"/>
      <c r="M2242" s="32"/>
      <c r="N2242" s="32"/>
      <c r="O2242" s="106"/>
      <c r="P2242" s="91">
        <f>IFERROR(__xludf.DUMMYFUNCTION("IFERROR(sum(FILTER($D:$N,$C:$C = $C2242,$A:$A &lt; $A2242,$B:$B = 12)),0) + sum($D2242:$N2242)"),0.0)</f>
        <v>0</v>
      </c>
      <c r="Q2242" s="92">
        <f t="shared" si="1"/>
        <v>0</v>
      </c>
      <c r="R2242" s="91">
        <f t="array" ref="R2242">IFERROR(INDEX('Fund YTD Target Values'!$1:$1000, MATCH($C2242,'Fund YTD Target Values'!$A:$A,0), MATCH($A2242,'Fund YTD Target Values'!$1:$1,0)),0)</f>
        <v>0</v>
      </c>
      <c r="S2242" s="91">
        <f>IFERROR(__xludf.DUMMYFUNCTION("IFERROR(sum(FILTER('Fund Investment Data'!$V:$V, 'Fund Investment Data'!$C:$C = $C2242, 'Fund Investment Data'!$A:$A &lt; $A2242)),0) + IFERROR(sum(FILTER('Fund Investment Data'!$V:$V, 'Fund Investment Data'!$C:$C = $C2242, 'Fund Investment Data'!$A:$A = $A2"&amp;"242, 'Fund Investment Data'!$B:$B &lt;= $B2242)),0)"),0.0)</f>
        <v>0</v>
      </c>
      <c r="T2242" s="32"/>
      <c r="U2242" s="32"/>
      <c r="V2242" s="32">
        <f>IFERROR(__xludf.DUMMYFUNCTION("$D2242 - IFERROR(FILTER($D:$D,$C:$C = $C2242, $A:$A = $A2242, $B:$B = $B2242 - 1),0)"),0.0)</f>
        <v>0</v>
      </c>
      <c r="W2242" s="93">
        <f>IFERROR(__xludf.DUMMYFUNCTION("$E2242 - IFERROR(FILTER($E:$E,$C:$C = $C2242, $A:$A = $A2242, $B:$B = $B2242 - 1),0)"),0.0)</f>
        <v>0</v>
      </c>
      <c r="X2242" s="91">
        <f>IFERROR(__xludf.DUMMYFUNCTION("iFERROR((FILTER('Fund Investment Data'!$Z:$Z, 'Fund Investment Data'!$C:$C = $C2242, 'Fund Investment Data'!$A:$A = $A2242 - 1, 'Fund Investment Data'!$B:$B = 12) + FILTER('Fund Investment Data'!$AB:$AB, 'Fund Investment Data'!$C:$C = $C2242, 'Fund Invest"&amp;"ment Data'!$A:$A = $A2242 - 1, 'Fund Investment Data'!$B:$B = 12)) * (1 + AVERAGE(FILTER('Inflation Data'!$C:$C,'Inflation Data'!$A:$A = ($A2242 - 2)))) * Parameters!$A$4,0)"),0.0)</f>
        <v>0</v>
      </c>
      <c r="Y2242" s="91">
        <f>IFERROR(__xludf.DUMMYFUNCTION("IFERROR((IFERROR(FILTER('Fund Investment Data'!$P:$P,'Fund Investment Data'!$C:$C = $C2242,'Fund Investment Data'!$A:$A = ($A2242 - 2), 'Fund Investment Data'!$B:$B = 12),0) - SUM(FILTER('Fund Investment Data'!$V:$V, 'Fund Investment Data'!$C:$C = $C2242,"&amp;" 'Fund Investment Data'!$A:$A = ($A2242 - 2), 'Fund Investment Data'!$B:$B &gt; 3)))  * Parameters!$B$4 * (1 - Parameters!$A$4),0)"),0.0)</f>
        <v>0</v>
      </c>
      <c r="Z2242" s="91">
        <f t="shared" si="24"/>
        <v>0</v>
      </c>
      <c r="AA2242" s="91">
        <f>IFERROR(__xludf.DUMMYFUNCTION("((IFERROR((SUM(FILTER('Fund Investment Data'!$V:$V, 'Fund Investment Data'!$C:$C = $C2242, 'Fund Investment Data'!$A:$A = $A2242 - 1, 'Fund Investment Data'!$B:$B &gt;= 4, 'Fund Investment Data'!$B:$B &lt;= ($B2242 + 5))) / 12) * ($B2242 - 3) * Parameters!$B$4,"&amp;" 0) + IF($B2242 &gt;= 9, IFERROR(SUM(FILTER('Fund Investment Data'!$V:$V, 'Fund Investment Data'!$C:$C = $C2242, 'Fund Investment Data'!$A:$A = $A2242, 'Fund Investment Data'!$B:$B &lt;= 3)) * Parameters!$B$4, 0),0)))"),0.0)</f>
        <v>0</v>
      </c>
      <c r="AB2242" s="32">
        <f>IFERROR(__xludf.DUMMYFUNCTION("IFERROR(((IFERROR(SUM(FILTER('Fund Investment Data'!$V:$V, 'Fund Investment Data'!$C:$C = $C2242, 'Fund Investment Data'!$A:$A = $A2242 - 2, 'Fund Investment Data'!$B:$B &gt;= 4)) * Parameters!$B$4,0) + IFERROR(SUM(FILTER('Fund Investment Data'!$V:$V, 'Fund "&amp;"Investment Data'!$C:$C = $C2242, 'Fund Investment Data'!$A:$A = $A2242 - 1, 'Fund Investment Data'!$B:$B &lt;= 3)) * Parameters!$B$4,0))),0)"),0.0)</f>
        <v>0</v>
      </c>
      <c r="AC2242" s="32">
        <f>IFERROR(__xludf.DUMMYFUNCTION("IFERROR(FILTER($AF:$AF,$C:$C = $C2242,$A:$A = $A2242 - 1,$B:$B = 12),0)"),0.0)</f>
        <v>0</v>
      </c>
      <c r="AD2242" s="32">
        <f t="shared" si="23"/>
        <v>0</v>
      </c>
      <c r="AE2242" s="32">
        <f t="shared" si="2"/>
        <v>0</v>
      </c>
      <c r="AF2242" s="32"/>
    </row>
    <row r="2243">
      <c r="A2243" s="86"/>
      <c r="B2243" s="87"/>
      <c r="C2243" s="88"/>
      <c r="D2243" s="104"/>
      <c r="E2243" s="104"/>
      <c r="F2243" s="104"/>
      <c r="G2243" s="104"/>
      <c r="H2243" s="104"/>
      <c r="I2243" s="104"/>
      <c r="J2243" s="104"/>
      <c r="K2243" s="32"/>
      <c r="L2243" s="32"/>
      <c r="M2243" s="32"/>
      <c r="N2243" s="32"/>
      <c r="O2243" s="106"/>
      <c r="P2243" s="91">
        <f>IFERROR(__xludf.DUMMYFUNCTION("IFERROR(sum(FILTER($D:$N,$C:$C = $C2243,$A:$A &lt; $A2243,$B:$B = 12)),0) + sum($D2243:$N2243)"),0.0)</f>
        <v>0</v>
      </c>
      <c r="Q2243" s="92">
        <f t="shared" si="1"/>
        <v>0</v>
      </c>
      <c r="R2243" s="91">
        <f t="array" ref="R2243">IFERROR(INDEX('Fund YTD Target Values'!$1:$1000, MATCH($C2243,'Fund YTD Target Values'!$A:$A,0), MATCH($A2243,'Fund YTD Target Values'!$1:$1,0)),0)</f>
        <v>0</v>
      </c>
      <c r="S2243" s="91">
        <f>IFERROR(__xludf.DUMMYFUNCTION("IFERROR(sum(FILTER('Fund Investment Data'!$V:$V, 'Fund Investment Data'!$C:$C = $C2243, 'Fund Investment Data'!$A:$A &lt; $A2243)),0) + IFERROR(sum(FILTER('Fund Investment Data'!$V:$V, 'Fund Investment Data'!$C:$C = $C2243, 'Fund Investment Data'!$A:$A = $A2"&amp;"243, 'Fund Investment Data'!$B:$B &lt;= $B2243)),0)"),0.0)</f>
        <v>0</v>
      </c>
      <c r="T2243" s="32"/>
      <c r="U2243" s="32"/>
      <c r="V2243" s="32">
        <f>IFERROR(__xludf.DUMMYFUNCTION("$D2243 - IFERROR(FILTER($D:$D,$C:$C = $C2243, $A:$A = $A2243, $B:$B = $B2243 - 1),0)"),0.0)</f>
        <v>0</v>
      </c>
      <c r="W2243" s="93">
        <f>IFERROR(__xludf.DUMMYFUNCTION("$E2243 - IFERROR(FILTER($E:$E,$C:$C = $C2243, $A:$A = $A2243, $B:$B = $B2243 - 1),0)"),0.0)</f>
        <v>0</v>
      </c>
      <c r="X2243" s="91">
        <f>IFERROR(__xludf.DUMMYFUNCTION("iFERROR((FILTER('Fund Investment Data'!$Z:$Z, 'Fund Investment Data'!$C:$C = $C2243, 'Fund Investment Data'!$A:$A = $A2243 - 1, 'Fund Investment Data'!$B:$B = 12) + FILTER('Fund Investment Data'!$AB:$AB, 'Fund Investment Data'!$C:$C = $C2243, 'Fund Invest"&amp;"ment Data'!$A:$A = $A2243 - 1, 'Fund Investment Data'!$B:$B = 12)) * (1 + AVERAGE(FILTER('Inflation Data'!$C:$C,'Inflation Data'!$A:$A = ($A2243 - 2)))) * Parameters!$A$4,0)"),0.0)</f>
        <v>0</v>
      </c>
      <c r="Y2243" s="91">
        <f>IFERROR(__xludf.DUMMYFUNCTION("IFERROR((IFERROR(FILTER('Fund Investment Data'!$P:$P,'Fund Investment Data'!$C:$C = $C2243,'Fund Investment Data'!$A:$A = ($A2243 - 2), 'Fund Investment Data'!$B:$B = 12),0) - SUM(FILTER('Fund Investment Data'!$V:$V, 'Fund Investment Data'!$C:$C = $C2243,"&amp;" 'Fund Investment Data'!$A:$A = ($A2243 - 2), 'Fund Investment Data'!$B:$B &gt; 3)))  * Parameters!$B$4 * (1 - Parameters!$A$4),0)"),0.0)</f>
        <v>0</v>
      </c>
      <c r="Z2243" s="91">
        <f t="shared" si="24"/>
        <v>0</v>
      </c>
      <c r="AA2243" s="91">
        <f>IFERROR(__xludf.DUMMYFUNCTION("((IFERROR((SUM(FILTER('Fund Investment Data'!$V:$V, 'Fund Investment Data'!$C:$C = $C2243, 'Fund Investment Data'!$A:$A = $A2243 - 1, 'Fund Investment Data'!$B:$B &gt;= 4, 'Fund Investment Data'!$B:$B &lt;= ($B2243 + 5))) / 12) * ($B2243 - 3) * Parameters!$B$4,"&amp;" 0) + IF($B2243 &gt;= 9, IFERROR(SUM(FILTER('Fund Investment Data'!$V:$V, 'Fund Investment Data'!$C:$C = $C2243, 'Fund Investment Data'!$A:$A = $A2243, 'Fund Investment Data'!$B:$B &lt;= 3)) * Parameters!$B$4, 0),0)))"),0.0)</f>
        <v>0</v>
      </c>
      <c r="AB2243" s="32">
        <f>IFERROR(__xludf.DUMMYFUNCTION("IFERROR(((IFERROR(SUM(FILTER('Fund Investment Data'!$V:$V, 'Fund Investment Data'!$C:$C = $C2243, 'Fund Investment Data'!$A:$A = $A2243 - 2, 'Fund Investment Data'!$B:$B &gt;= 4)) * Parameters!$B$4,0) + IFERROR(SUM(FILTER('Fund Investment Data'!$V:$V, 'Fund "&amp;"Investment Data'!$C:$C = $C2243, 'Fund Investment Data'!$A:$A = $A2243 - 1, 'Fund Investment Data'!$B:$B &lt;= 3)) * Parameters!$B$4,0))),0)"),0.0)</f>
        <v>0</v>
      </c>
      <c r="AC2243" s="32">
        <f>IFERROR(__xludf.DUMMYFUNCTION("IFERROR(FILTER($AF:$AF,$C:$C = $C2243,$A:$A = $A2243 - 1,$B:$B = 12),0)"),0.0)</f>
        <v>0</v>
      </c>
      <c r="AD2243" s="32">
        <f t="shared" si="23"/>
        <v>0</v>
      </c>
      <c r="AE2243" s="32">
        <f t="shared" si="2"/>
        <v>0</v>
      </c>
      <c r="AF2243" s="32"/>
    </row>
    <row r="2244">
      <c r="A2244" s="86"/>
      <c r="B2244" s="87"/>
      <c r="C2244" s="88"/>
      <c r="D2244" s="104"/>
      <c r="E2244" s="104"/>
      <c r="F2244" s="104"/>
      <c r="G2244" s="104"/>
      <c r="H2244" s="104"/>
      <c r="I2244" s="104"/>
      <c r="J2244" s="104"/>
      <c r="K2244" s="32"/>
      <c r="L2244" s="32"/>
      <c r="M2244" s="32"/>
      <c r="N2244" s="32"/>
      <c r="O2244" s="106"/>
      <c r="P2244" s="91">
        <f>IFERROR(__xludf.DUMMYFUNCTION("IFERROR(sum(FILTER($D:$N,$C:$C = $C2244,$A:$A &lt; $A2244,$B:$B = 12)),0) + sum($D2244:$N2244)"),0.0)</f>
        <v>0</v>
      </c>
      <c r="Q2244" s="92">
        <f t="shared" si="1"/>
        <v>0</v>
      </c>
      <c r="R2244" s="91">
        <f t="array" ref="R2244">IFERROR(INDEX('Fund YTD Target Values'!$1:$1000, MATCH($C2244,'Fund YTD Target Values'!$A:$A,0), MATCH($A2244,'Fund YTD Target Values'!$1:$1,0)),0)</f>
        <v>0</v>
      </c>
      <c r="S2244" s="91">
        <f>IFERROR(__xludf.DUMMYFUNCTION("IFERROR(sum(FILTER('Fund Investment Data'!$V:$V, 'Fund Investment Data'!$C:$C = $C2244, 'Fund Investment Data'!$A:$A &lt; $A2244)),0) + IFERROR(sum(FILTER('Fund Investment Data'!$V:$V, 'Fund Investment Data'!$C:$C = $C2244, 'Fund Investment Data'!$A:$A = $A2"&amp;"244, 'Fund Investment Data'!$B:$B &lt;= $B2244)),0)"),0.0)</f>
        <v>0</v>
      </c>
      <c r="T2244" s="32"/>
      <c r="U2244" s="32"/>
      <c r="V2244" s="32">
        <f>IFERROR(__xludf.DUMMYFUNCTION("$D2244 - IFERROR(FILTER($D:$D,$C:$C = $C2244, $A:$A = $A2244, $B:$B = $B2244 - 1),0)"),0.0)</f>
        <v>0</v>
      </c>
      <c r="W2244" s="93">
        <f>IFERROR(__xludf.DUMMYFUNCTION("$E2244 - IFERROR(FILTER($E:$E,$C:$C = $C2244, $A:$A = $A2244, $B:$B = $B2244 - 1),0)"),0.0)</f>
        <v>0</v>
      </c>
      <c r="X2244" s="91">
        <f>IFERROR(__xludf.DUMMYFUNCTION("iFERROR((FILTER('Fund Investment Data'!$Z:$Z, 'Fund Investment Data'!$C:$C = $C2244, 'Fund Investment Data'!$A:$A = $A2244 - 1, 'Fund Investment Data'!$B:$B = 12) + FILTER('Fund Investment Data'!$AB:$AB, 'Fund Investment Data'!$C:$C = $C2244, 'Fund Invest"&amp;"ment Data'!$A:$A = $A2244 - 1, 'Fund Investment Data'!$B:$B = 12)) * (1 + AVERAGE(FILTER('Inflation Data'!$C:$C,'Inflation Data'!$A:$A = ($A2244 - 2)))) * Parameters!$A$4,0)"),0.0)</f>
        <v>0</v>
      </c>
      <c r="Y2244" s="91">
        <f>IFERROR(__xludf.DUMMYFUNCTION("IFERROR((IFERROR(FILTER('Fund Investment Data'!$P:$P,'Fund Investment Data'!$C:$C = $C2244,'Fund Investment Data'!$A:$A = ($A2244 - 2), 'Fund Investment Data'!$B:$B = 12),0) - SUM(FILTER('Fund Investment Data'!$V:$V, 'Fund Investment Data'!$C:$C = $C2244,"&amp;" 'Fund Investment Data'!$A:$A = ($A2244 - 2), 'Fund Investment Data'!$B:$B &gt; 3)))  * Parameters!$B$4 * (1 - Parameters!$A$4),0)"),0.0)</f>
        <v>0</v>
      </c>
      <c r="Z2244" s="91">
        <f t="shared" si="24"/>
        <v>0</v>
      </c>
      <c r="AA2244" s="91">
        <f>IFERROR(__xludf.DUMMYFUNCTION("((IFERROR((SUM(FILTER('Fund Investment Data'!$V:$V, 'Fund Investment Data'!$C:$C = $C2244, 'Fund Investment Data'!$A:$A = $A2244 - 1, 'Fund Investment Data'!$B:$B &gt;= 4, 'Fund Investment Data'!$B:$B &lt;= ($B2244 + 5))) / 12) * ($B2244 - 3) * Parameters!$B$4,"&amp;" 0) + IF($B2244 &gt;= 9, IFERROR(SUM(FILTER('Fund Investment Data'!$V:$V, 'Fund Investment Data'!$C:$C = $C2244, 'Fund Investment Data'!$A:$A = $A2244, 'Fund Investment Data'!$B:$B &lt;= 3)) * Parameters!$B$4, 0),0)))"),0.0)</f>
        <v>0</v>
      </c>
      <c r="AB2244" s="32">
        <f>IFERROR(__xludf.DUMMYFUNCTION("IFERROR(((IFERROR(SUM(FILTER('Fund Investment Data'!$V:$V, 'Fund Investment Data'!$C:$C = $C2244, 'Fund Investment Data'!$A:$A = $A2244 - 2, 'Fund Investment Data'!$B:$B &gt;= 4)) * Parameters!$B$4,0) + IFERROR(SUM(FILTER('Fund Investment Data'!$V:$V, 'Fund "&amp;"Investment Data'!$C:$C = $C2244, 'Fund Investment Data'!$A:$A = $A2244 - 1, 'Fund Investment Data'!$B:$B &lt;= 3)) * Parameters!$B$4,0))),0)"),0.0)</f>
        <v>0</v>
      </c>
      <c r="AC2244" s="32">
        <f>IFERROR(__xludf.DUMMYFUNCTION("IFERROR(FILTER($AF:$AF,$C:$C = $C2244,$A:$A = $A2244 - 1,$B:$B = 12),0)"),0.0)</f>
        <v>0</v>
      </c>
      <c r="AD2244" s="32">
        <f t="shared" si="23"/>
        <v>0</v>
      </c>
      <c r="AE2244" s="32">
        <f t="shared" si="2"/>
        <v>0</v>
      </c>
      <c r="AF2244" s="32"/>
    </row>
    <row r="2245">
      <c r="A2245" s="86"/>
      <c r="B2245" s="87"/>
      <c r="C2245" s="88"/>
      <c r="D2245" s="104"/>
      <c r="E2245" s="104"/>
      <c r="F2245" s="104"/>
      <c r="G2245" s="104"/>
      <c r="H2245" s="104"/>
      <c r="I2245" s="104"/>
      <c r="J2245" s="104"/>
      <c r="K2245" s="32"/>
      <c r="L2245" s="32"/>
      <c r="M2245" s="32"/>
      <c r="N2245" s="32"/>
      <c r="O2245" s="106"/>
      <c r="P2245" s="91">
        <f>IFERROR(__xludf.DUMMYFUNCTION("IFERROR(sum(FILTER($D:$N,$C:$C = $C2245,$A:$A &lt; $A2245,$B:$B = 12)),0) + sum($D2245:$N2245)"),0.0)</f>
        <v>0</v>
      </c>
      <c r="Q2245" s="92">
        <f t="shared" si="1"/>
        <v>0</v>
      </c>
      <c r="R2245" s="91">
        <f t="array" ref="R2245">IFERROR(INDEX('Fund YTD Target Values'!$1:$1000, MATCH($C2245,'Fund YTD Target Values'!$A:$A,0), MATCH($A2245,'Fund YTD Target Values'!$1:$1,0)),0)</f>
        <v>0</v>
      </c>
      <c r="S2245" s="91">
        <f>IFERROR(__xludf.DUMMYFUNCTION("IFERROR(sum(FILTER('Fund Investment Data'!$V:$V, 'Fund Investment Data'!$C:$C = $C2245, 'Fund Investment Data'!$A:$A &lt; $A2245)),0) + IFERROR(sum(FILTER('Fund Investment Data'!$V:$V, 'Fund Investment Data'!$C:$C = $C2245, 'Fund Investment Data'!$A:$A = $A2"&amp;"245, 'Fund Investment Data'!$B:$B &lt;= $B2245)),0)"),0.0)</f>
        <v>0</v>
      </c>
      <c r="T2245" s="32"/>
      <c r="U2245" s="32"/>
      <c r="V2245" s="32">
        <f>IFERROR(__xludf.DUMMYFUNCTION("$D2245 - IFERROR(FILTER($D:$D,$C:$C = $C2245, $A:$A = $A2245, $B:$B = $B2245 - 1),0)"),0.0)</f>
        <v>0</v>
      </c>
      <c r="W2245" s="93">
        <f>IFERROR(__xludf.DUMMYFUNCTION("$E2245 - IFERROR(FILTER($E:$E,$C:$C = $C2245, $A:$A = $A2245, $B:$B = $B2245 - 1),0)"),0.0)</f>
        <v>0</v>
      </c>
      <c r="X2245" s="91">
        <f>IFERROR(__xludf.DUMMYFUNCTION("iFERROR((FILTER('Fund Investment Data'!$Z:$Z, 'Fund Investment Data'!$C:$C = $C2245, 'Fund Investment Data'!$A:$A = $A2245 - 1, 'Fund Investment Data'!$B:$B = 12) + FILTER('Fund Investment Data'!$AB:$AB, 'Fund Investment Data'!$C:$C = $C2245, 'Fund Invest"&amp;"ment Data'!$A:$A = $A2245 - 1, 'Fund Investment Data'!$B:$B = 12)) * (1 + AVERAGE(FILTER('Inflation Data'!$C:$C,'Inflation Data'!$A:$A = ($A2245 - 2)))) * Parameters!$A$4,0)"),0.0)</f>
        <v>0</v>
      </c>
      <c r="Y2245" s="91">
        <f>IFERROR(__xludf.DUMMYFUNCTION("IFERROR((IFERROR(FILTER('Fund Investment Data'!$P:$P,'Fund Investment Data'!$C:$C = $C2245,'Fund Investment Data'!$A:$A = ($A2245 - 2), 'Fund Investment Data'!$B:$B = 12),0) - SUM(FILTER('Fund Investment Data'!$V:$V, 'Fund Investment Data'!$C:$C = $C2245,"&amp;" 'Fund Investment Data'!$A:$A = ($A2245 - 2), 'Fund Investment Data'!$B:$B &gt; 3)))  * Parameters!$B$4 * (1 - Parameters!$A$4),0)"),0.0)</f>
        <v>0</v>
      </c>
      <c r="Z2245" s="91">
        <f t="shared" si="24"/>
        <v>0</v>
      </c>
      <c r="AA2245" s="91">
        <f>IFERROR(__xludf.DUMMYFUNCTION("((IFERROR((SUM(FILTER('Fund Investment Data'!$V:$V, 'Fund Investment Data'!$C:$C = $C2245, 'Fund Investment Data'!$A:$A = $A2245 - 1, 'Fund Investment Data'!$B:$B &gt;= 4, 'Fund Investment Data'!$B:$B &lt;= ($B2245 + 5))) / 12) * ($B2245 - 3) * Parameters!$B$4,"&amp;" 0) + IF($B2245 &gt;= 9, IFERROR(SUM(FILTER('Fund Investment Data'!$V:$V, 'Fund Investment Data'!$C:$C = $C2245, 'Fund Investment Data'!$A:$A = $A2245, 'Fund Investment Data'!$B:$B &lt;= 3)) * Parameters!$B$4, 0),0)))"),0.0)</f>
        <v>0</v>
      </c>
      <c r="AB2245" s="32">
        <f>IFERROR(__xludf.DUMMYFUNCTION("IFERROR(((IFERROR(SUM(FILTER('Fund Investment Data'!$V:$V, 'Fund Investment Data'!$C:$C = $C2245, 'Fund Investment Data'!$A:$A = $A2245 - 2, 'Fund Investment Data'!$B:$B &gt;= 4)) * Parameters!$B$4,0) + IFERROR(SUM(FILTER('Fund Investment Data'!$V:$V, 'Fund "&amp;"Investment Data'!$C:$C = $C2245, 'Fund Investment Data'!$A:$A = $A2245 - 1, 'Fund Investment Data'!$B:$B &lt;= 3)) * Parameters!$B$4,0))),0)"),0.0)</f>
        <v>0</v>
      </c>
      <c r="AC2245" s="32">
        <f>IFERROR(__xludf.DUMMYFUNCTION("IFERROR(FILTER($AF:$AF,$C:$C = $C2245,$A:$A = $A2245 - 1,$B:$B = 12),0)"),0.0)</f>
        <v>0</v>
      </c>
      <c r="AD2245" s="32">
        <f t="shared" si="23"/>
        <v>0</v>
      </c>
      <c r="AE2245" s="32">
        <f t="shared" si="2"/>
        <v>0</v>
      </c>
      <c r="AF2245" s="32"/>
    </row>
    <row r="2246">
      <c r="A2246" s="86"/>
      <c r="B2246" s="87"/>
      <c r="C2246" s="88"/>
      <c r="D2246" s="104"/>
      <c r="E2246" s="104"/>
      <c r="F2246" s="104"/>
      <c r="G2246" s="104"/>
      <c r="H2246" s="104"/>
      <c r="I2246" s="104"/>
      <c r="J2246" s="104"/>
      <c r="K2246" s="32"/>
      <c r="L2246" s="32"/>
      <c r="M2246" s="32"/>
      <c r="N2246" s="32"/>
      <c r="O2246" s="106"/>
      <c r="P2246" s="91">
        <f>IFERROR(__xludf.DUMMYFUNCTION("IFERROR(sum(FILTER($D:$N,$C:$C = $C2246,$A:$A &lt; $A2246,$B:$B = 12)),0) + sum($D2246:$N2246)"),0.0)</f>
        <v>0</v>
      </c>
      <c r="Q2246" s="92">
        <f t="shared" si="1"/>
        <v>0</v>
      </c>
      <c r="R2246" s="91">
        <f t="array" ref="R2246">IFERROR(INDEX('Fund YTD Target Values'!$1:$1000, MATCH($C2246,'Fund YTD Target Values'!$A:$A,0), MATCH($A2246,'Fund YTD Target Values'!$1:$1,0)),0)</f>
        <v>0</v>
      </c>
      <c r="S2246" s="91">
        <f>IFERROR(__xludf.DUMMYFUNCTION("IFERROR(sum(FILTER('Fund Investment Data'!$V:$V, 'Fund Investment Data'!$C:$C = $C2246, 'Fund Investment Data'!$A:$A &lt; $A2246)),0) + IFERROR(sum(FILTER('Fund Investment Data'!$V:$V, 'Fund Investment Data'!$C:$C = $C2246, 'Fund Investment Data'!$A:$A = $A2"&amp;"246, 'Fund Investment Data'!$B:$B &lt;= $B2246)),0)"),0.0)</f>
        <v>0</v>
      </c>
      <c r="T2246" s="32"/>
      <c r="U2246" s="32"/>
      <c r="V2246" s="32">
        <f>IFERROR(__xludf.DUMMYFUNCTION("$D2246 - IFERROR(FILTER($D:$D,$C:$C = $C2246, $A:$A = $A2246, $B:$B = $B2246 - 1),0)"),0.0)</f>
        <v>0</v>
      </c>
      <c r="W2246" s="93">
        <f>IFERROR(__xludf.DUMMYFUNCTION("$E2246 - IFERROR(FILTER($E:$E,$C:$C = $C2246, $A:$A = $A2246, $B:$B = $B2246 - 1),0)"),0.0)</f>
        <v>0</v>
      </c>
      <c r="X2246" s="91">
        <f>IFERROR(__xludf.DUMMYFUNCTION("iFERROR((FILTER('Fund Investment Data'!$Z:$Z, 'Fund Investment Data'!$C:$C = $C2246, 'Fund Investment Data'!$A:$A = $A2246 - 1, 'Fund Investment Data'!$B:$B = 12) + FILTER('Fund Investment Data'!$AB:$AB, 'Fund Investment Data'!$C:$C = $C2246, 'Fund Invest"&amp;"ment Data'!$A:$A = $A2246 - 1, 'Fund Investment Data'!$B:$B = 12)) * (1 + AVERAGE(FILTER('Inflation Data'!$C:$C,'Inflation Data'!$A:$A = ($A2246 - 2)))) * Parameters!$A$4,0)"),0.0)</f>
        <v>0</v>
      </c>
      <c r="Y2246" s="91">
        <f>IFERROR(__xludf.DUMMYFUNCTION("IFERROR((IFERROR(FILTER('Fund Investment Data'!$P:$P,'Fund Investment Data'!$C:$C = $C2246,'Fund Investment Data'!$A:$A = ($A2246 - 2), 'Fund Investment Data'!$B:$B = 12),0) - SUM(FILTER('Fund Investment Data'!$V:$V, 'Fund Investment Data'!$C:$C = $C2246,"&amp;" 'Fund Investment Data'!$A:$A = ($A2246 - 2), 'Fund Investment Data'!$B:$B &gt; 3)))  * Parameters!$B$4 * (1 - Parameters!$A$4),0)"),0.0)</f>
        <v>0</v>
      </c>
      <c r="Z2246" s="91">
        <f t="shared" si="24"/>
        <v>0</v>
      </c>
      <c r="AA2246" s="91">
        <f>IFERROR(__xludf.DUMMYFUNCTION("((IFERROR((SUM(FILTER('Fund Investment Data'!$V:$V, 'Fund Investment Data'!$C:$C = $C2246, 'Fund Investment Data'!$A:$A = $A2246 - 1, 'Fund Investment Data'!$B:$B &gt;= 4, 'Fund Investment Data'!$B:$B &lt;= ($B2246 + 5))) / 12) * ($B2246 - 3) * Parameters!$B$4,"&amp;" 0) + IF($B2246 &gt;= 9, IFERROR(SUM(FILTER('Fund Investment Data'!$V:$V, 'Fund Investment Data'!$C:$C = $C2246, 'Fund Investment Data'!$A:$A = $A2246, 'Fund Investment Data'!$B:$B &lt;= 3)) * Parameters!$B$4, 0),0)))"),0.0)</f>
        <v>0</v>
      </c>
      <c r="AB2246" s="32">
        <f>IFERROR(__xludf.DUMMYFUNCTION("IFERROR(((IFERROR(SUM(FILTER('Fund Investment Data'!$V:$V, 'Fund Investment Data'!$C:$C = $C2246, 'Fund Investment Data'!$A:$A = $A2246 - 2, 'Fund Investment Data'!$B:$B &gt;= 4)) * Parameters!$B$4,0) + IFERROR(SUM(FILTER('Fund Investment Data'!$V:$V, 'Fund "&amp;"Investment Data'!$C:$C = $C2246, 'Fund Investment Data'!$A:$A = $A2246 - 1, 'Fund Investment Data'!$B:$B &lt;= 3)) * Parameters!$B$4,0))),0)"),0.0)</f>
        <v>0</v>
      </c>
      <c r="AC2246" s="32">
        <f>IFERROR(__xludf.DUMMYFUNCTION("IFERROR(FILTER($AF:$AF,$C:$C = $C2246,$A:$A = $A2246 - 1,$B:$B = 12),0)"),0.0)</f>
        <v>0</v>
      </c>
      <c r="AD2246" s="32">
        <f t="shared" si="23"/>
        <v>0</v>
      </c>
      <c r="AE2246" s="32">
        <f t="shared" si="2"/>
        <v>0</v>
      </c>
      <c r="AF2246" s="32"/>
    </row>
    <row r="2247">
      <c r="A2247" s="86"/>
      <c r="B2247" s="87"/>
      <c r="C2247" s="88"/>
      <c r="D2247" s="104"/>
      <c r="E2247" s="104"/>
      <c r="F2247" s="104"/>
      <c r="G2247" s="104"/>
      <c r="H2247" s="104"/>
      <c r="I2247" s="104"/>
      <c r="J2247" s="104"/>
      <c r="K2247" s="32"/>
      <c r="L2247" s="32"/>
      <c r="M2247" s="32"/>
      <c r="N2247" s="32"/>
      <c r="O2247" s="106"/>
      <c r="P2247" s="91">
        <f>IFERROR(__xludf.DUMMYFUNCTION("IFERROR(sum(FILTER($D:$N,$C:$C = $C2247,$A:$A &lt; $A2247,$B:$B = 12)),0) + sum($D2247:$N2247)"),0.0)</f>
        <v>0</v>
      </c>
      <c r="Q2247" s="92">
        <f t="shared" si="1"/>
        <v>0</v>
      </c>
      <c r="R2247" s="91">
        <f t="array" ref="R2247">IFERROR(INDEX('Fund YTD Target Values'!$1:$1000, MATCH($C2247,'Fund YTD Target Values'!$A:$A,0), MATCH($A2247,'Fund YTD Target Values'!$1:$1,0)),0)</f>
        <v>0</v>
      </c>
      <c r="S2247" s="91">
        <f>IFERROR(__xludf.DUMMYFUNCTION("IFERROR(sum(FILTER('Fund Investment Data'!$V:$V, 'Fund Investment Data'!$C:$C = $C2247, 'Fund Investment Data'!$A:$A &lt; $A2247)),0) + IFERROR(sum(FILTER('Fund Investment Data'!$V:$V, 'Fund Investment Data'!$C:$C = $C2247, 'Fund Investment Data'!$A:$A = $A2"&amp;"247, 'Fund Investment Data'!$B:$B &lt;= $B2247)),0)"),0.0)</f>
        <v>0</v>
      </c>
      <c r="T2247" s="32"/>
      <c r="U2247" s="32"/>
      <c r="V2247" s="32">
        <f>IFERROR(__xludf.DUMMYFUNCTION("$D2247 - IFERROR(FILTER($D:$D,$C:$C = $C2247, $A:$A = $A2247, $B:$B = $B2247 - 1),0)"),0.0)</f>
        <v>0</v>
      </c>
      <c r="W2247" s="93">
        <f>IFERROR(__xludf.DUMMYFUNCTION("$E2247 - IFERROR(FILTER($E:$E,$C:$C = $C2247, $A:$A = $A2247, $B:$B = $B2247 - 1),0)"),0.0)</f>
        <v>0</v>
      </c>
      <c r="X2247" s="91">
        <f>IFERROR(__xludf.DUMMYFUNCTION("iFERROR((FILTER('Fund Investment Data'!$Z:$Z, 'Fund Investment Data'!$C:$C = $C2247, 'Fund Investment Data'!$A:$A = $A2247 - 1, 'Fund Investment Data'!$B:$B = 12) + FILTER('Fund Investment Data'!$AB:$AB, 'Fund Investment Data'!$C:$C = $C2247, 'Fund Invest"&amp;"ment Data'!$A:$A = $A2247 - 1, 'Fund Investment Data'!$B:$B = 12)) * (1 + AVERAGE(FILTER('Inflation Data'!$C:$C,'Inflation Data'!$A:$A = ($A2247 - 2)))) * Parameters!$A$4,0)"),0.0)</f>
        <v>0</v>
      </c>
      <c r="Y2247" s="91">
        <f>IFERROR(__xludf.DUMMYFUNCTION("IFERROR((IFERROR(FILTER('Fund Investment Data'!$P:$P,'Fund Investment Data'!$C:$C = $C2247,'Fund Investment Data'!$A:$A = ($A2247 - 2), 'Fund Investment Data'!$B:$B = 12),0) - SUM(FILTER('Fund Investment Data'!$V:$V, 'Fund Investment Data'!$C:$C = $C2247,"&amp;" 'Fund Investment Data'!$A:$A = ($A2247 - 2), 'Fund Investment Data'!$B:$B &gt; 3)))  * Parameters!$B$4 * (1 - Parameters!$A$4),0)"),0.0)</f>
        <v>0</v>
      </c>
      <c r="Z2247" s="91">
        <f t="shared" si="24"/>
        <v>0</v>
      </c>
      <c r="AA2247" s="91">
        <f>IFERROR(__xludf.DUMMYFUNCTION("((IFERROR((SUM(FILTER('Fund Investment Data'!$V:$V, 'Fund Investment Data'!$C:$C = $C2247, 'Fund Investment Data'!$A:$A = $A2247 - 1, 'Fund Investment Data'!$B:$B &gt;= 4, 'Fund Investment Data'!$B:$B &lt;= ($B2247 + 5))) / 12) * ($B2247 - 3) * Parameters!$B$4,"&amp;" 0) + IF($B2247 &gt;= 9, IFERROR(SUM(FILTER('Fund Investment Data'!$V:$V, 'Fund Investment Data'!$C:$C = $C2247, 'Fund Investment Data'!$A:$A = $A2247, 'Fund Investment Data'!$B:$B &lt;= 3)) * Parameters!$B$4, 0),0)))"),0.0)</f>
        <v>0</v>
      </c>
      <c r="AB2247" s="32">
        <f>IFERROR(__xludf.DUMMYFUNCTION("IFERROR(((IFERROR(SUM(FILTER('Fund Investment Data'!$V:$V, 'Fund Investment Data'!$C:$C = $C2247, 'Fund Investment Data'!$A:$A = $A2247 - 2, 'Fund Investment Data'!$B:$B &gt;= 4)) * Parameters!$B$4,0) + IFERROR(SUM(FILTER('Fund Investment Data'!$V:$V, 'Fund "&amp;"Investment Data'!$C:$C = $C2247, 'Fund Investment Data'!$A:$A = $A2247 - 1, 'Fund Investment Data'!$B:$B &lt;= 3)) * Parameters!$B$4,0))),0)"),0.0)</f>
        <v>0</v>
      </c>
      <c r="AC2247" s="32">
        <f>IFERROR(__xludf.DUMMYFUNCTION("IFERROR(FILTER($AF:$AF,$C:$C = $C2247,$A:$A = $A2247 - 1,$B:$B = 12),0)"),0.0)</f>
        <v>0</v>
      </c>
      <c r="AD2247" s="32">
        <f t="shared" si="23"/>
        <v>0</v>
      </c>
      <c r="AE2247" s="32">
        <f t="shared" si="2"/>
        <v>0</v>
      </c>
      <c r="AF2247" s="32"/>
    </row>
    <row r="2248">
      <c r="A2248" s="86"/>
      <c r="B2248" s="87"/>
      <c r="C2248" s="88"/>
      <c r="D2248" s="104"/>
      <c r="E2248" s="104"/>
      <c r="F2248" s="104"/>
      <c r="G2248" s="104"/>
      <c r="H2248" s="104"/>
      <c r="I2248" s="104"/>
      <c r="J2248" s="104"/>
      <c r="K2248" s="32"/>
      <c r="L2248" s="32"/>
      <c r="M2248" s="32"/>
      <c r="N2248" s="32"/>
      <c r="O2248" s="106"/>
      <c r="P2248" s="91">
        <f>IFERROR(__xludf.DUMMYFUNCTION("IFERROR(sum(FILTER($D:$N,$C:$C = $C2248,$A:$A &lt; $A2248,$B:$B = 12)),0) + sum($D2248:$N2248)"),0.0)</f>
        <v>0</v>
      </c>
      <c r="Q2248" s="92">
        <f t="shared" si="1"/>
        <v>0</v>
      </c>
      <c r="R2248" s="91">
        <f t="array" ref="R2248">IFERROR(INDEX('Fund YTD Target Values'!$1:$1000, MATCH($C2248,'Fund YTD Target Values'!$A:$A,0), MATCH($A2248,'Fund YTD Target Values'!$1:$1,0)),0)</f>
        <v>0</v>
      </c>
      <c r="S2248" s="91">
        <f>IFERROR(__xludf.DUMMYFUNCTION("IFERROR(sum(FILTER('Fund Investment Data'!$V:$V, 'Fund Investment Data'!$C:$C = $C2248, 'Fund Investment Data'!$A:$A &lt; $A2248)),0) + IFERROR(sum(FILTER('Fund Investment Data'!$V:$V, 'Fund Investment Data'!$C:$C = $C2248, 'Fund Investment Data'!$A:$A = $A2"&amp;"248, 'Fund Investment Data'!$B:$B &lt;= $B2248)),0)"),0.0)</f>
        <v>0</v>
      </c>
      <c r="T2248" s="32"/>
      <c r="U2248" s="32"/>
      <c r="V2248" s="32">
        <f>IFERROR(__xludf.DUMMYFUNCTION("$D2248 - IFERROR(FILTER($D:$D,$C:$C = $C2248, $A:$A = $A2248, $B:$B = $B2248 - 1),0)"),0.0)</f>
        <v>0</v>
      </c>
      <c r="W2248" s="93">
        <f>IFERROR(__xludf.DUMMYFUNCTION("$E2248 - IFERROR(FILTER($E:$E,$C:$C = $C2248, $A:$A = $A2248, $B:$B = $B2248 - 1),0)"),0.0)</f>
        <v>0</v>
      </c>
      <c r="X2248" s="91">
        <f>IFERROR(__xludf.DUMMYFUNCTION("iFERROR((FILTER('Fund Investment Data'!$Z:$Z, 'Fund Investment Data'!$C:$C = $C2248, 'Fund Investment Data'!$A:$A = $A2248 - 1, 'Fund Investment Data'!$B:$B = 12) + FILTER('Fund Investment Data'!$AB:$AB, 'Fund Investment Data'!$C:$C = $C2248, 'Fund Invest"&amp;"ment Data'!$A:$A = $A2248 - 1, 'Fund Investment Data'!$B:$B = 12)) * (1 + AVERAGE(FILTER('Inflation Data'!$C:$C,'Inflation Data'!$A:$A = ($A2248 - 2)))) * Parameters!$A$4,0)"),0.0)</f>
        <v>0</v>
      </c>
      <c r="Y2248" s="91">
        <f>IFERROR(__xludf.DUMMYFUNCTION("IFERROR((IFERROR(FILTER('Fund Investment Data'!$P:$P,'Fund Investment Data'!$C:$C = $C2248,'Fund Investment Data'!$A:$A = ($A2248 - 2), 'Fund Investment Data'!$B:$B = 12),0) - SUM(FILTER('Fund Investment Data'!$V:$V, 'Fund Investment Data'!$C:$C = $C2248,"&amp;" 'Fund Investment Data'!$A:$A = ($A2248 - 2), 'Fund Investment Data'!$B:$B &gt; 3)))  * Parameters!$B$4 * (1 - Parameters!$A$4),0)"),0.0)</f>
        <v>0</v>
      </c>
      <c r="Z2248" s="91">
        <f t="shared" si="24"/>
        <v>0</v>
      </c>
      <c r="AA2248" s="91">
        <f>IFERROR(__xludf.DUMMYFUNCTION("((IFERROR((SUM(FILTER('Fund Investment Data'!$V:$V, 'Fund Investment Data'!$C:$C = $C2248, 'Fund Investment Data'!$A:$A = $A2248 - 1, 'Fund Investment Data'!$B:$B &gt;= 4, 'Fund Investment Data'!$B:$B &lt;= ($B2248 + 5))) / 12) * ($B2248 - 3) * Parameters!$B$4,"&amp;" 0) + IF($B2248 &gt;= 9, IFERROR(SUM(FILTER('Fund Investment Data'!$V:$V, 'Fund Investment Data'!$C:$C = $C2248, 'Fund Investment Data'!$A:$A = $A2248, 'Fund Investment Data'!$B:$B &lt;= 3)) * Parameters!$B$4, 0),0)))"),0.0)</f>
        <v>0</v>
      </c>
      <c r="AB2248" s="32">
        <f>IFERROR(__xludf.DUMMYFUNCTION("IFERROR(((IFERROR(SUM(FILTER('Fund Investment Data'!$V:$V, 'Fund Investment Data'!$C:$C = $C2248, 'Fund Investment Data'!$A:$A = $A2248 - 2, 'Fund Investment Data'!$B:$B &gt;= 4)) * Parameters!$B$4,0) + IFERROR(SUM(FILTER('Fund Investment Data'!$V:$V, 'Fund "&amp;"Investment Data'!$C:$C = $C2248, 'Fund Investment Data'!$A:$A = $A2248 - 1, 'Fund Investment Data'!$B:$B &lt;= 3)) * Parameters!$B$4,0))),0)"),0.0)</f>
        <v>0</v>
      </c>
      <c r="AC2248" s="32">
        <f>IFERROR(__xludf.DUMMYFUNCTION("IFERROR(FILTER($AF:$AF,$C:$C = $C2248,$A:$A = $A2248 - 1,$B:$B = 12),0)"),0.0)</f>
        <v>0</v>
      </c>
      <c r="AD2248" s="32">
        <f t="shared" si="23"/>
        <v>0</v>
      </c>
      <c r="AE2248" s="32">
        <f t="shared" si="2"/>
        <v>0</v>
      </c>
      <c r="AF2248" s="32"/>
    </row>
    <row r="2249">
      <c r="A2249" s="86"/>
      <c r="B2249" s="87"/>
      <c r="C2249" s="88"/>
      <c r="D2249" s="104"/>
      <c r="E2249" s="104"/>
      <c r="F2249" s="104"/>
      <c r="G2249" s="104"/>
      <c r="H2249" s="104"/>
      <c r="I2249" s="104"/>
      <c r="J2249" s="104"/>
      <c r="K2249" s="32"/>
      <c r="L2249" s="32"/>
      <c r="M2249" s="32"/>
      <c r="N2249" s="32"/>
      <c r="O2249" s="106"/>
      <c r="P2249" s="91">
        <f>IFERROR(__xludf.DUMMYFUNCTION("IFERROR(sum(FILTER($D:$N,$C:$C = $C2249,$A:$A &lt; $A2249,$B:$B = 12)),0) + sum($D2249:$N2249)"),0.0)</f>
        <v>0</v>
      </c>
      <c r="Q2249" s="92">
        <f t="shared" si="1"/>
        <v>0</v>
      </c>
      <c r="R2249" s="91">
        <f t="array" ref="R2249">IFERROR(INDEX('Fund YTD Target Values'!$1:$1000, MATCH($C2249,'Fund YTD Target Values'!$A:$A,0), MATCH($A2249,'Fund YTD Target Values'!$1:$1,0)),0)</f>
        <v>0</v>
      </c>
      <c r="S2249" s="91">
        <f>IFERROR(__xludf.DUMMYFUNCTION("IFERROR(sum(FILTER('Fund Investment Data'!$V:$V, 'Fund Investment Data'!$C:$C = $C2249, 'Fund Investment Data'!$A:$A &lt; $A2249)),0) + IFERROR(sum(FILTER('Fund Investment Data'!$V:$V, 'Fund Investment Data'!$C:$C = $C2249, 'Fund Investment Data'!$A:$A = $A2"&amp;"249, 'Fund Investment Data'!$B:$B &lt;= $B2249)),0)"),0.0)</f>
        <v>0</v>
      </c>
      <c r="T2249" s="32"/>
      <c r="U2249" s="32"/>
      <c r="V2249" s="32">
        <f>IFERROR(__xludf.DUMMYFUNCTION("$D2249 - IFERROR(FILTER($D:$D,$C:$C = $C2249, $A:$A = $A2249, $B:$B = $B2249 - 1),0)"),0.0)</f>
        <v>0</v>
      </c>
      <c r="W2249" s="93">
        <f>IFERROR(__xludf.DUMMYFUNCTION("$E2249 - IFERROR(FILTER($E:$E,$C:$C = $C2249, $A:$A = $A2249, $B:$B = $B2249 - 1),0)"),0.0)</f>
        <v>0</v>
      </c>
      <c r="X2249" s="91">
        <f>IFERROR(__xludf.DUMMYFUNCTION("iFERROR((FILTER('Fund Investment Data'!$Z:$Z, 'Fund Investment Data'!$C:$C = $C2249, 'Fund Investment Data'!$A:$A = $A2249 - 1, 'Fund Investment Data'!$B:$B = 12) + FILTER('Fund Investment Data'!$AB:$AB, 'Fund Investment Data'!$C:$C = $C2249, 'Fund Invest"&amp;"ment Data'!$A:$A = $A2249 - 1, 'Fund Investment Data'!$B:$B = 12)) * (1 + AVERAGE(FILTER('Inflation Data'!$C:$C,'Inflation Data'!$A:$A = ($A2249 - 2)))) * Parameters!$A$4,0)"),0.0)</f>
        <v>0</v>
      </c>
      <c r="Y2249" s="91">
        <f>IFERROR(__xludf.DUMMYFUNCTION("IFERROR((IFERROR(FILTER('Fund Investment Data'!$P:$P,'Fund Investment Data'!$C:$C = $C2249,'Fund Investment Data'!$A:$A = ($A2249 - 2), 'Fund Investment Data'!$B:$B = 12),0) - SUM(FILTER('Fund Investment Data'!$V:$V, 'Fund Investment Data'!$C:$C = $C2249,"&amp;" 'Fund Investment Data'!$A:$A = ($A2249 - 2), 'Fund Investment Data'!$B:$B &gt; 3)))  * Parameters!$B$4 * (1 - Parameters!$A$4),0)"),0.0)</f>
        <v>0</v>
      </c>
      <c r="Z2249" s="91">
        <f t="shared" si="24"/>
        <v>0</v>
      </c>
      <c r="AA2249" s="91">
        <f>IFERROR(__xludf.DUMMYFUNCTION("((IFERROR((SUM(FILTER('Fund Investment Data'!$V:$V, 'Fund Investment Data'!$C:$C = $C2249, 'Fund Investment Data'!$A:$A = $A2249 - 1, 'Fund Investment Data'!$B:$B &gt;= 4, 'Fund Investment Data'!$B:$B &lt;= ($B2249 + 5))) / 12) * ($B2249 - 3) * Parameters!$B$4,"&amp;" 0) + IF($B2249 &gt;= 9, IFERROR(SUM(FILTER('Fund Investment Data'!$V:$V, 'Fund Investment Data'!$C:$C = $C2249, 'Fund Investment Data'!$A:$A = $A2249, 'Fund Investment Data'!$B:$B &lt;= 3)) * Parameters!$B$4, 0),0)))"),0.0)</f>
        <v>0</v>
      </c>
      <c r="AB2249" s="32">
        <f>IFERROR(__xludf.DUMMYFUNCTION("IFERROR(((IFERROR(SUM(FILTER('Fund Investment Data'!$V:$V, 'Fund Investment Data'!$C:$C = $C2249, 'Fund Investment Data'!$A:$A = $A2249 - 2, 'Fund Investment Data'!$B:$B &gt;= 4)) * Parameters!$B$4,0) + IFERROR(SUM(FILTER('Fund Investment Data'!$V:$V, 'Fund "&amp;"Investment Data'!$C:$C = $C2249, 'Fund Investment Data'!$A:$A = $A2249 - 1, 'Fund Investment Data'!$B:$B &lt;= 3)) * Parameters!$B$4,0))),0)"),0.0)</f>
        <v>0</v>
      </c>
      <c r="AC2249" s="32">
        <f>IFERROR(__xludf.DUMMYFUNCTION("IFERROR(FILTER($AF:$AF,$C:$C = $C2249,$A:$A = $A2249 - 1,$B:$B = 12),0)"),0.0)</f>
        <v>0</v>
      </c>
      <c r="AD2249" s="32">
        <f t="shared" si="23"/>
        <v>0</v>
      </c>
      <c r="AE2249" s="32">
        <f t="shared" si="2"/>
        <v>0</v>
      </c>
      <c r="AF2249" s="32"/>
    </row>
    <row r="2250">
      <c r="A2250" s="86"/>
      <c r="B2250" s="87"/>
      <c r="C2250" s="88"/>
      <c r="D2250" s="104"/>
      <c r="E2250" s="104"/>
      <c r="F2250" s="104"/>
      <c r="G2250" s="104"/>
      <c r="H2250" s="104"/>
      <c r="I2250" s="104"/>
      <c r="J2250" s="104"/>
      <c r="K2250" s="32"/>
      <c r="L2250" s="32"/>
      <c r="M2250" s="32"/>
      <c r="N2250" s="32"/>
      <c r="O2250" s="106"/>
      <c r="P2250" s="91">
        <f>IFERROR(__xludf.DUMMYFUNCTION("IFERROR(sum(FILTER($D:$N,$C:$C = $C2250,$A:$A &lt; $A2250,$B:$B = 12)),0) + sum($D2250:$N2250)"),0.0)</f>
        <v>0</v>
      </c>
      <c r="Q2250" s="92">
        <f t="shared" si="1"/>
        <v>0</v>
      </c>
      <c r="R2250" s="91">
        <f t="array" ref="R2250">IFERROR(INDEX('Fund YTD Target Values'!$1:$1000, MATCH($C2250,'Fund YTD Target Values'!$A:$A,0), MATCH($A2250,'Fund YTD Target Values'!$1:$1,0)),0)</f>
        <v>0</v>
      </c>
      <c r="S2250" s="91">
        <f>IFERROR(__xludf.DUMMYFUNCTION("IFERROR(sum(FILTER('Fund Investment Data'!$V:$V, 'Fund Investment Data'!$C:$C = $C2250, 'Fund Investment Data'!$A:$A &lt; $A2250)),0) + IFERROR(sum(FILTER('Fund Investment Data'!$V:$V, 'Fund Investment Data'!$C:$C = $C2250, 'Fund Investment Data'!$A:$A = $A2"&amp;"250, 'Fund Investment Data'!$B:$B &lt;= $B2250)),0)"),0.0)</f>
        <v>0</v>
      </c>
      <c r="T2250" s="32"/>
      <c r="U2250" s="32"/>
      <c r="V2250" s="32">
        <f>IFERROR(__xludf.DUMMYFUNCTION("$D2250 - IFERROR(FILTER($D:$D,$C:$C = $C2250, $A:$A = $A2250, $B:$B = $B2250 - 1),0)"),0.0)</f>
        <v>0</v>
      </c>
      <c r="W2250" s="93">
        <f>IFERROR(__xludf.DUMMYFUNCTION("$E2250 - IFERROR(FILTER($E:$E,$C:$C = $C2250, $A:$A = $A2250, $B:$B = $B2250 - 1),0)"),0.0)</f>
        <v>0</v>
      </c>
      <c r="X2250" s="91">
        <f>IFERROR(__xludf.DUMMYFUNCTION("iFERROR((FILTER('Fund Investment Data'!$Z:$Z, 'Fund Investment Data'!$C:$C = $C2250, 'Fund Investment Data'!$A:$A = $A2250 - 1, 'Fund Investment Data'!$B:$B = 12) + FILTER('Fund Investment Data'!$AB:$AB, 'Fund Investment Data'!$C:$C = $C2250, 'Fund Invest"&amp;"ment Data'!$A:$A = $A2250 - 1, 'Fund Investment Data'!$B:$B = 12)) * (1 + AVERAGE(FILTER('Inflation Data'!$C:$C,'Inflation Data'!$A:$A = ($A2250 - 2)))) * Parameters!$A$4,0)"),0.0)</f>
        <v>0</v>
      </c>
      <c r="Y2250" s="91">
        <f>IFERROR(__xludf.DUMMYFUNCTION("IFERROR((IFERROR(FILTER('Fund Investment Data'!$P:$P,'Fund Investment Data'!$C:$C = $C2250,'Fund Investment Data'!$A:$A = ($A2250 - 2), 'Fund Investment Data'!$B:$B = 12),0) - SUM(FILTER('Fund Investment Data'!$V:$V, 'Fund Investment Data'!$C:$C = $C2250,"&amp;" 'Fund Investment Data'!$A:$A = ($A2250 - 2), 'Fund Investment Data'!$B:$B &gt; 3)))  * Parameters!$B$4 * (1 - Parameters!$A$4),0)"),0.0)</f>
        <v>0</v>
      </c>
      <c r="Z2250" s="91">
        <f t="shared" si="24"/>
        <v>0</v>
      </c>
      <c r="AA2250" s="91">
        <f>IFERROR(__xludf.DUMMYFUNCTION("((IFERROR((SUM(FILTER('Fund Investment Data'!$V:$V, 'Fund Investment Data'!$C:$C = $C2250, 'Fund Investment Data'!$A:$A = $A2250 - 1, 'Fund Investment Data'!$B:$B &gt;= 4, 'Fund Investment Data'!$B:$B &lt;= ($B2250 + 5))) / 12) * ($B2250 - 3) * Parameters!$B$4,"&amp;" 0) + IF($B2250 &gt;= 9, IFERROR(SUM(FILTER('Fund Investment Data'!$V:$V, 'Fund Investment Data'!$C:$C = $C2250, 'Fund Investment Data'!$A:$A = $A2250, 'Fund Investment Data'!$B:$B &lt;= 3)) * Parameters!$B$4, 0),0)))"),0.0)</f>
        <v>0</v>
      </c>
      <c r="AB2250" s="32">
        <f>IFERROR(__xludf.DUMMYFUNCTION("IFERROR(((IFERROR(SUM(FILTER('Fund Investment Data'!$V:$V, 'Fund Investment Data'!$C:$C = $C2250, 'Fund Investment Data'!$A:$A = $A2250 - 2, 'Fund Investment Data'!$B:$B &gt;= 4)) * Parameters!$B$4,0) + IFERROR(SUM(FILTER('Fund Investment Data'!$V:$V, 'Fund "&amp;"Investment Data'!$C:$C = $C2250, 'Fund Investment Data'!$A:$A = $A2250 - 1, 'Fund Investment Data'!$B:$B &lt;= 3)) * Parameters!$B$4,0))),0)"),0.0)</f>
        <v>0</v>
      </c>
      <c r="AC2250" s="32">
        <f>IFERROR(__xludf.DUMMYFUNCTION("IFERROR(FILTER($AF:$AF,$C:$C = $C2250,$A:$A = $A2250 - 1,$B:$B = 12),0)"),0.0)</f>
        <v>0</v>
      </c>
      <c r="AD2250" s="32">
        <f t="shared" si="23"/>
        <v>0</v>
      </c>
      <c r="AE2250" s="32">
        <f t="shared" si="2"/>
        <v>0</v>
      </c>
      <c r="AF2250" s="32"/>
    </row>
    <row r="2251">
      <c r="A2251" s="86"/>
      <c r="B2251" s="87"/>
      <c r="C2251" s="88"/>
      <c r="D2251" s="104"/>
      <c r="E2251" s="104"/>
      <c r="F2251" s="104"/>
      <c r="G2251" s="104"/>
      <c r="H2251" s="104"/>
      <c r="I2251" s="104"/>
      <c r="J2251" s="104"/>
      <c r="K2251" s="32"/>
      <c r="L2251" s="32"/>
      <c r="M2251" s="32"/>
      <c r="N2251" s="32"/>
      <c r="O2251" s="106"/>
      <c r="P2251" s="91">
        <f>IFERROR(__xludf.DUMMYFUNCTION("IFERROR(sum(FILTER($D:$N,$C:$C = $C2251,$A:$A &lt; $A2251,$B:$B = 12)),0) + sum($D2251:$N2251)"),0.0)</f>
        <v>0</v>
      </c>
      <c r="Q2251" s="92">
        <f t="shared" si="1"/>
        <v>0</v>
      </c>
      <c r="R2251" s="91">
        <f t="array" ref="R2251">IFERROR(INDEX('Fund YTD Target Values'!$1:$1000, MATCH($C2251,'Fund YTD Target Values'!$A:$A,0), MATCH($A2251,'Fund YTD Target Values'!$1:$1,0)),0)</f>
        <v>0</v>
      </c>
      <c r="S2251" s="91">
        <f>IFERROR(__xludf.DUMMYFUNCTION("IFERROR(sum(FILTER('Fund Investment Data'!$V:$V, 'Fund Investment Data'!$C:$C = $C2251, 'Fund Investment Data'!$A:$A &lt; $A2251)),0) + IFERROR(sum(FILTER('Fund Investment Data'!$V:$V, 'Fund Investment Data'!$C:$C = $C2251, 'Fund Investment Data'!$A:$A = $A2"&amp;"251, 'Fund Investment Data'!$B:$B &lt;= $B2251)),0)"),0.0)</f>
        <v>0</v>
      </c>
      <c r="T2251" s="32"/>
      <c r="U2251" s="32"/>
      <c r="V2251" s="32">
        <f>IFERROR(__xludf.DUMMYFUNCTION("$D2251 - IFERROR(FILTER($D:$D,$C:$C = $C2251, $A:$A = $A2251, $B:$B = $B2251 - 1),0)"),0.0)</f>
        <v>0</v>
      </c>
      <c r="W2251" s="93">
        <f>IFERROR(__xludf.DUMMYFUNCTION("$E2251 - IFERROR(FILTER($E:$E,$C:$C = $C2251, $A:$A = $A2251, $B:$B = $B2251 - 1),0)"),0.0)</f>
        <v>0</v>
      </c>
      <c r="X2251" s="91">
        <f>IFERROR(__xludf.DUMMYFUNCTION("iFERROR((FILTER('Fund Investment Data'!$Z:$Z, 'Fund Investment Data'!$C:$C = $C2251, 'Fund Investment Data'!$A:$A = $A2251 - 1, 'Fund Investment Data'!$B:$B = 12) + FILTER('Fund Investment Data'!$AB:$AB, 'Fund Investment Data'!$C:$C = $C2251, 'Fund Invest"&amp;"ment Data'!$A:$A = $A2251 - 1, 'Fund Investment Data'!$B:$B = 12)) * (1 + AVERAGE(FILTER('Inflation Data'!$C:$C,'Inflation Data'!$A:$A = ($A2251 - 2)))) * Parameters!$A$4,0)"),0.0)</f>
        <v>0</v>
      </c>
      <c r="Y2251" s="91">
        <f>IFERROR(__xludf.DUMMYFUNCTION("IFERROR((IFERROR(FILTER('Fund Investment Data'!$P:$P,'Fund Investment Data'!$C:$C = $C2251,'Fund Investment Data'!$A:$A = ($A2251 - 2), 'Fund Investment Data'!$B:$B = 12),0) - SUM(FILTER('Fund Investment Data'!$V:$V, 'Fund Investment Data'!$C:$C = $C2251,"&amp;" 'Fund Investment Data'!$A:$A = ($A2251 - 2), 'Fund Investment Data'!$B:$B &gt; 3)))  * Parameters!$B$4 * (1 - Parameters!$A$4),0)"),0.0)</f>
        <v>0</v>
      </c>
      <c r="Z2251" s="91">
        <f t="shared" si="24"/>
        <v>0</v>
      </c>
      <c r="AA2251" s="91">
        <f>IFERROR(__xludf.DUMMYFUNCTION("((IFERROR((SUM(FILTER('Fund Investment Data'!$V:$V, 'Fund Investment Data'!$C:$C = $C2251, 'Fund Investment Data'!$A:$A = $A2251 - 1, 'Fund Investment Data'!$B:$B &gt;= 4, 'Fund Investment Data'!$B:$B &lt;= ($B2251 + 5))) / 12) * ($B2251 - 3) * Parameters!$B$4,"&amp;" 0) + IF($B2251 &gt;= 9, IFERROR(SUM(FILTER('Fund Investment Data'!$V:$V, 'Fund Investment Data'!$C:$C = $C2251, 'Fund Investment Data'!$A:$A = $A2251, 'Fund Investment Data'!$B:$B &lt;= 3)) * Parameters!$B$4, 0),0)))"),0.0)</f>
        <v>0</v>
      </c>
      <c r="AB2251" s="32">
        <f>IFERROR(__xludf.DUMMYFUNCTION("IFERROR(((IFERROR(SUM(FILTER('Fund Investment Data'!$V:$V, 'Fund Investment Data'!$C:$C = $C2251, 'Fund Investment Data'!$A:$A = $A2251 - 2, 'Fund Investment Data'!$B:$B &gt;= 4)) * Parameters!$B$4,0) + IFERROR(SUM(FILTER('Fund Investment Data'!$V:$V, 'Fund "&amp;"Investment Data'!$C:$C = $C2251, 'Fund Investment Data'!$A:$A = $A2251 - 1, 'Fund Investment Data'!$B:$B &lt;= 3)) * Parameters!$B$4,0))),0)"),0.0)</f>
        <v>0</v>
      </c>
      <c r="AC2251" s="32">
        <f>IFERROR(__xludf.DUMMYFUNCTION("IFERROR(FILTER($AF:$AF,$C:$C = $C2251,$A:$A = $A2251 - 1,$B:$B = 12),0)"),0.0)</f>
        <v>0</v>
      </c>
      <c r="AD2251" s="32">
        <f t="shared" si="23"/>
        <v>0</v>
      </c>
      <c r="AE2251" s="32">
        <f t="shared" si="2"/>
        <v>0</v>
      </c>
      <c r="AF2251" s="32"/>
    </row>
    <row r="2252">
      <c r="A2252" s="86"/>
      <c r="B2252" s="87"/>
      <c r="C2252" s="88"/>
      <c r="D2252" s="104"/>
      <c r="E2252" s="104"/>
      <c r="F2252" s="104"/>
      <c r="G2252" s="104"/>
      <c r="H2252" s="104"/>
      <c r="I2252" s="104"/>
      <c r="J2252" s="104"/>
      <c r="K2252" s="32"/>
      <c r="L2252" s="32"/>
      <c r="M2252" s="32"/>
      <c r="N2252" s="32"/>
      <c r="O2252" s="106"/>
      <c r="P2252" s="91">
        <f>IFERROR(__xludf.DUMMYFUNCTION("IFERROR(sum(FILTER($D:$N,$C:$C = $C2252,$A:$A &lt; $A2252,$B:$B = 12)),0) + sum($D2252:$N2252)"),0.0)</f>
        <v>0</v>
      </c>
      <c r="Q2252" s="92">
        <f t="shared" si="1"/>
        <v>0</v>
      </c>
      <c r="R2252" s="91">
        <f t="array" ref="R2252">IFERROR(INDEX('Fund YTD Target Values'!$1:$1000, MATCH($C2252,'Fund YTD Target Values'!$A:$A,0), MATCH($A2252,'Fund YTD Target Values'!$1:$1,0)),0)</f>
        <v>0</v>
      </c>
      <c r="S2252" s="91">
        <f>IFERROR(__xludf.DUMMYFUNCTION("IFERROR(sum(FILTER('Fund Investment Data'!$V:$V, 'Fund Investment Data'!$C:$C = $C2252, 'Fund Investment Data'!$A:$A &lt; $A2252)),0) + IFERROR(sum(FILTER('Fund Investment Data'!$V:$V, 'Fund Investment Data'!$C:$C = $C2252, 'Fund Investment Data'!$A:$A = $A2"&amp;"252, 'Fund Investment Data'!$B:$B &lt;= $B2252)),0)"),0.0)</f>
        <v>0</v>
      </c>
      <c r="T2252" s="32"/>
      <c r="U2252" s="32"/>
      <c r="V2252" s="32">
        <f>IFERROR(__xludf.DUMMYFUNCTION("$D2252 - IFERROR(FILTER($D:$D,$C:$C = $C2252, $A:$A = $A2252, $B:$B = $B2252 - 1),0)"),0.0)</f>
        <v>0</v>
      </c>
      <c r="W2252" s="93">
        <f>IFERROR(__xludf.DUMMYFUNCTION("$E2252 - IFERROR(FILTER($E:$E,$C:$C = $C2252, $A:$A = $A2252, $B:$B = $B2252 - 1),0)"),0.0)</f>
        <v>0</v>
      </c>
      <c r="X2252" s="91">
        <f>IFERROR(__xludf.DUMMYFUNCTION("iFERROR((FILTER('Fund Investment Data'!$Z:$Z, 'Fund Investment Data'!$C:$C = $C2252, 'Fund Investment Data'!$A:$A = $A2252 - 1, 'Fund Investment Data'!$B:$B = 12) + FILTER('Fund Investment Data'!$AB:$AB, 'Fund Investment Data'!$C:$C = $C2252, 'Fund Invest"&amp;"ment Data'!$A:$A = $A2252 - 1, 'Fund Investment Data'!$B:$B = 12)) * (1 + AVERAGE(FILTER('Inflation Data'!$C:$C,'Inflation Data'!$A:$A = ($A2252 - 2)))) * Parameters!$A$4,0)"),0.0)</f>
        <v>0</v>
      </c>
      <c r="Y2252" s="91">
        <f>IFERROR(__xludf.DUMMYFUNCTION("IFERROR((IFERROR(FILTER('Fund Investment Data'!$P:$P,'Fund Investment Data'!$C:$C = $C2252,'Fund Investment Data'!$A:$A = ($A2252 - 2), 'Fund Investment Data'!$B:$B = 12),0) - SUM(FILTER('Fund Investment Data'!$V:$V, 'Fund Investment Data'!$C:$C = $C2252,"&amp;" 'Fund Investment Data'!$A:$A = ($A2252 - 2), 'Fund Investment Data'!$B:$B &gt; 3)))  * Parameters!$B$4 * (1 - Parameters!$A$4),0)"),0.0)</f>
        <v>0</v>
      </c>
      <c r="Z2252" s="91">
        <f t="shared" si="24"/>
        <v>0</v>
      </c>
      <c r="AA2252" s="91">
        <f>IFERROR(__xludf.DUMMYFUNCTION("((IFERROR((SUM(FILTER('Fund Investment Data'!$V:$V, 'Fund Investment Data'!$C:$C = $C2252, 'Fund Investment Data'!$A:$A = $A2252 - 1, 'Fund Investment Data'!$B:$B &gt;= 4, 'Fund Investment Data'!$B:$B &lt;= ($B2252 + 5))) / 12) * ($B2252 - 3) * Parameters!$B$4,"&amp;" 0) + IF($B2252 &gt;= 9, IFERROR(SUM(FILTER('Fund Investment Data'!$V:$V, 'Fund Investment Data'!$C:$C = $C2252, 'Fund Investment Data'!$A:$A = $A2252, 'Fund Investment Data'!$B:$B &lt;= 3)) * Parameters!$B$4, 0),0)))"),0.0)</f>
        <v>0</v>
      </c>
      <c r="AB2252" s="32">
        <f>IFERROR(__xludf.DUMMYFUNCTION("IFERROR(((IFERROR(SUM(FILTER('Fund Investment Data'!$V:$V, 'Fund Investment Data'!$C:$C = $C2252, 'Fund Investment Data'!$A:$A = $A2252 - 2, 'Fund Investment Data'!$B:$B &gt;= 4)) * Parameters!$B$4,0) + IFERROR(SUM(FILTER('Fund Investment Data'!$V:$V, 'Fund "&amp;"Investment Data'!$C:$C = $C2252, 'Fund Investment Data'!$A:$A = $A2252 - 1, 'Fund Investment Data'!$B:$B &lt;= 3)) * Parameters!$B$4,0))),0)"),0.0)</f>
        <v>0</v>
      </c>
      <c r="AC2252" s="32">
        <f>IFERROR(__xludf.DUMMYFUNCTION("IFERROR(FILTER($AF:$AF,$C:$C = $C2252,$A:$A = $A2252 - 1,$B:$B = 12),0)"),0.0)</f>
        <v>0</v>
      </c>
      <c r="AD2252" s="32">
        <f t="shared" si="23"/>
        <v>0</v>
      </c>
      <c r="AE2252" s="32">
        <f t="shared" si="2"/>
        <v>0</v>
      </c>
      <c r="AF2252" s="32"/>
    </row>
    <row r="2253">
      <c r="A2253" s="86"/>
      <c r="B2253" s="87"/>
      <c r="C2253" s="88"/>
      <c r="D2253" s="104"/>
      <c r="E2253" s="104"/>
      <c r="F2253" s="104"/>
      <c r="G2253" s="104"/>
      <c r="H2253" s="104"/>
      <c r="I2253" s="104"/>
      <c r="J2253" s="104"/>
      <c r="K2253" s="32"/>
      <c r="L2253" s="32"/>
      <c r="M2253" s="32"/>
      <c r="N2253" s="32"/>
      <c r="O2253" s="106"/>
      <c r="P2253" s="91">
        <f>IFERROR(__xludf.DUMMYFUNCTION("IFERROR(sum(FILTER($D:$N,$C:$C = $C2253,$A:$A &lt; $A2253,$B:$B = 12)),0) + sum($D2253:$N2253)"),0.0)</f>
        <v>0</v>
      </c>
      <c r="Q2253" s="92">
        <f t="shared" si="1"/>
        <v>0</v>
      </c>
      <c r="R2253" s="91">
        <f t="array" ref="R2253">IFERROR(INDEX('Fund YTD Target Values'!$1:$1000, MATCH($C2253,'Fund YTD Target Values'!$A:$A,0), MATCH($A2253,'Fund YTD Target Values'!$1:$1,0)),0)</f>
        <v>0</v>
      </c>
      <c r="S2253" s="91">
        <f>IFERROR(__xludf.DUMMYFUNCTION("IFERROR(sum(FILTER('Fund Investment Data'!$V:$V, 'Fund Investment Data'!$C:$C = $C2253, 'Fund Investment Data'!$A:$A &lt; $A2253)),0) + IFERROR(sum(FILTER('Fund Investment Data'!$V:$V, 'Fund Investment Data'!$C:$C = $C2253, 'Fund Investment Data'!$A:$A = $A2"&amp;"253, 'Fund Investment Data'!$B:$B &lt;= $B2253)),0)"),0.0)</f>
        <v>0</v>
      </c>
      <c r="T2253" s="32"/>
      <c r="U2253" s="32"/>
      <c r="V2253" s="32">
        <f>IFERROR(__xludf.DUMMYFUNCTION("$D2253 - IFERROR(FILTER($D:$D,$C:$C = $C2253, $A:$A = $A2253, $B:$B = $B2253 - 1),0)"),0.0)</f>
        <v>0</v>
      </c>
      <c r="W2253" s="93">
        <f>IFERROR(__xludf.DUMMYFUNCTION("$E2253 - IFERROR(FILTER($E:$E,$C:$C = $C2253, $A:$A = $A2253, $B:$B = $B2253 - 1),0)"),0.0)</f>
        <v>0</v>
      </c>
      <c r="X2253" s="91">
        <f>IFERROR(__xludf.DUMMYFUNCTION("iFERROR((FILTER('Fund Investment Data'!$Z:$Z, 'Fund Investment Data'!$C:$C = $C2253, 'Fund Investment Data'!$A:$A = $A2253 - 1, 'Fund Investment Data'!$B:$B = 12) + FILTER('Fund Investment Data'!$AB:$AB, 'Fund Investment Data'!$C:$C = $C2253, 'Fund Invest"&amp;"ment Data'!$A:$A = $A2253 - 1, 'Fund Investment Data'!$B:$B = 12)) * (1 + AVERAGE(FILTER('Inflation Data'!$C:$C,'Inflation Data'!$A:$A = ($A2253 - 2)))) * Parameters!$A$4,0)"),0.0)</f>
        <v>0</v>
      </c>
      <c r="Y2253" s="91">
        <f>IFERROR(__xludf.DUMMYFUNCTION("IFERROR((IFERROR(FILTER('Fund Investment Data'!$P:$P,'Fund Investment Data'!$C:$C = $C2253,'Fund Investment Data'!$A:$A = ($A2253 - 2), 'Fund Investment Data'!$B:$B = 12),0) - SUM(FILTER('Fund Investment Data'!$V:$V, 'Fund Investment Data'!$C:$C = $C2253,"&amp;" 'Fund Investment Data'!$A:$A = ($A2253 - 2), 'Fund Investment Data'!$B:$B &gt; 3)))  * Parameters!$B$4 * (1 - Parameters!$A$4),0)"),0.0)</f>
        <v>0</v>
      </c>
      <c r="Z2253" s="91">
        <f t="shared" si="24"/>
        <v>0</v>
      </c>
      <c r="AA2253" s="91">
        <f>IFERROR(__xludf.DUMMYFUNCTION("((IFERROR((SUM(FILTER('Fund Investment Data'!$V:$V, 'Fund Investment Data'!$C:$C = $C2253, 'Fund Investment Data'!$A:$A = $A2253 - 1, 'Fund Investment Data'!$B:$B &gt;= 4, 'Fund Investment Data'!$B:$B &lt;= ($B2253 + 5))) / 12) * ($B2253 - 3) * Parameters!$B$4,"&amp;" 0) + IF($B2253 &gt;= 9, IFERROR(SUM(FILTER('Fund Investment Data'!$V:$V, 'Fund Investment Data'!$C:$C = $C2253, 'Fund Investment Data'!$A:$A = $A2253, 'Fund Investment Data'!$B:$B &lt;= 3)) * Parameters!$B$4, 0),0)))"),0.0)</f>
        <v>0</v>
      </c>
      <c r="AB2253" s="32">
        <f>IFERROR(__xludf.DUMMYFUNCTION("IFERROR(((IFERROR(SUM(FILTER('Fund Investment Data'!$V:$V, 'Fund Investment Data'!$C:$C = $C2253, 'Fund Investment Data'!$A:$A = $A2253 - 2, 'Fund Investment Data'!$B:$B &gt;= 4)) * Parameters!$B$4,0) + IFERROR(SUM(FILTER('Fund Investment Data'!$V:$V, 'Fund "&amp;"Investment Data'!$C:$C = $C2253, 'Fund Investment Data'!$A:$A = $A2253 - 1, 'Fund Investment Data'!$B:$B &lt;= 3)) * Parameters!$B$4,0))),0)"),0.0)</f>
        <v>0</v>
      </c>
      <c r="AC2253" s="32">
        <f>IFERROR(__xludf.DUMMYFUNCTION("IFERROR(FILTER($AF:$AF,$C:$C = $C2253,$A:$A = $A2253 - 1,$B:$B = 12),0)"),0.0)</f>
        <v>0</v>
      </c>
      <c r="AD2253" s="32">
        <f t="shared" si="23"/>
        <v>0</v>
      </c>
      <c r="AE2253" s="32">
        <f t="shared" si="2"/>
        <v>0</v>
      </c>
      <c r="AF2253" s="32"/>
    </row>
    <row r="2254">
      <c r="A2254" s="86"/>
      <c r="B2254" s="87"/>
      <c r="C2254" s="88"/>
      <c r="D2254" s="104"/>
      <c r="E2254" s="104"/>
      <c r="F2254" s="104"/>
      <c r="G2254" s="104"/>
      <c r="H2254" s="104"/>
      <c r="I2254" s="104"/>
      <c r="J2254" s="104"/>
      <c r="K2254" s="32"/>
      <c r="L2254" s="32"/>
      <c r="M2254" s="32"/>
      <c r="N2254" s="32"/>
      <c r="O2254" s="106"/>
      <c r="P2254" s="91">
        <f>IFERROR(__xludf.DUMMYFUNCTION("IFERROR(sum(FILTER($D:$N,$C:$C = $C2254,$A:$A &lt; $A2254,$B:$B = 12)),0) + sum($D2254:$N2254)"),0.0)</f>
        <v>0</v>
      </c>
      <c r="Q2254" s="92">
        <f t="shared" si="1"/>
        <v>0</v>
      </c>
      <c r="R2254" s="91">
        <f t="array" ref="R2254">IFERROR(INDEX('Fund YTD Target Values'!$1:$1000, MATCH($C2254,'Fund YTD Target Values'!$A:$A,0), MATCH($A2254,'Fund YTD Target Values'!$1:$1,0)),0)</f>
        <v>0</v>
      </c>
      <c r="S2254" s="91">
        <f>IFERROR(__xludf.DUMMYFUNCTION("IFERROR(sum(FILTER('Fund Investment Data'!$V:$V, 'Fund Investment Data'!$C:$C = $C2254, 'Fund Investment Data'!$A:$A &lt; $A2254)),0) + IFERROR(sum(FILTER('Fund Investment Data'!$V:$V, 'Fund Investment Data'!$C:$C = $C2254, 'Fund Investment Data'!$A:$A = $A2"&amp;"254, 'Fund Investment Data'!$B:$B &lt;= $B2254)),0)"),0.0)</f>
        <v>0</v>
      </c>
      <c r="T2254" s="32"/>
      <c r="U2254" s="32"/>
      <c r="V2254" s="32">
        <f>IFERROR(__xludf.DUMMYFUNCTION("$D2254 - IFERROR(FILTER($D:$D,$C:$C = $C2254, $A:$A = $A2254, $B:$B = $B2254 - 1),0)"),0.0)</f>
        <v>0</v>
      </c>
      <c r="W2254" s="93">
        <f>IFERROR(__xludf.DUMMYFUNCTION("$E2254 - IFERROR(FILTER($E:$E,$C:$C = $C2254, $A:$A = $A2254, $B:$B = $B2254 - 1),0)"),0.0)</f>
        <v>0</v>
      </c>
      <c r="X2254" s="91">
        <f>IFERROR(__xludf.DUMMYFUNCTION("iFERROR((FILTER('Fund Investment Data'!$Z:$Z, 'Fund Investment Data'!$C:$C = $C2254, 'Fund Investment Data'!$A:$A = $A2254 - 1, 'Fund Investment Data'!$B:$B = 12) + FILTER('Fund Investment Data'!$AB:$AB, 'Fund Investment Data'!$C:$C = $C2254, 'Fund Invest"&amp;"ment Data'!$A:$A = $A2254 - 1, 'Fund Investment Data'!$B:$B = 12)) * (1 + AVERAGE(FILTER('Inflation Data'!$C:$C,'Inflation Data'!$A:$A = ($A2254 - 2)))) * Parameters!$A$4,0)"),0.0)</f>
        <v>0</v>
      </c>
      <c r="Y2254" s="91">
        <f>IFERROR(__xludf.DUMMYFUNCTION("IFERROR((IFERROR(FILTER('Fund Investment Data'!$P:$P,'Fund Investment Data'!$C:$C = $C2254,'Fund Investment Data'!$A:$A = ($A2254 - 2), 'Fund Investment Data'!$B:$B = 12),0) - SUM(FILTER('Fund Investment Data'!$V:$V, 'Fund Investment Data'!$C:$C = $C2254,"&amp;" 'Fund Investment Data'!$A:$A = ($A2254 - 2), 'Fund Investment Data'!$B:$B &gt; 3)))  * Parameters!$B$4 * (1 - Parameters!$A$4),0)"),0.0)</f>
        <v>0</v>
      </c>
      <c r="Z2254" s="91">
        <f t="shared" si="24"/>
        <v>0</v>
      </c>
      <c r="AA2254" s="91">
        <f>IFERROR(__xludf.DUMMYFUNCTION("((IFERROR((SUM(FILTER('Fund Investment Data'!$V:$V, 'Fund Investment Data'!$C:$C = $C2254, 'Fund Investment Data'!$A:$A = $A2254 - 1, 'Fund Investment Data'!$B:$B &gt;= 4, 'Fund Investment Data'!$B:$B &lt;= ($B2254 + 5))) / 12) * ($B2254 - 3) * Parameters!$B$4,"&amp;" 0) + IF($B2254 &gt;= 9, IFERROR(SUM(FILTER('Fund Investment Data'!$V:$V, 'Fund Investment Data'!$C:$C = $C2254, 'Fund Investment Data'!$A:$A = $A2254, 'Fund Investment Data'!$B:$B &lt;= 3)) * Parameters!$B$4, 0),0)))"),0.0)</f>
        <v>0</v>
      </c>
      <c r="AB2254" s="32">
        <f>IFERROR(__xludf.DUMMYFUNCTION("IFERROR(((IFERROR(SUM(FILTER('Fund Investment Data'!$V:$V, 'Fund Investment Data'!$C:$C = $C2254, 'Fund Investment Data'!$A:$A = $A2254 - 2, 'Fund Investment Data'!$B:$B &gt;= 4)) * Parameters!$B$4,0) + IFERROR(SUM(FILTER('Fund Investment Data'!$V:$V, 'Fund "&amp;"Investment Data'!$C:$C = $C2254, 'Fund Investment Data'!$A:$A = $A2254 - 1, 'Fund Investment Data'!$B:$B &lt;= 3)) * Parameters!$B$4,0))),0)"),0.0)</f>
        <v>0</v>
      </c>
      <c r="AC2254" s="32">
        <f>IFERROR(__xludf.DUMMYFUNCTION("IFERROR(FILTER($AF:$AF,$C:$C = $C2254,$A:$A = $A2254 - 1,$B:$B = 12),0)"),0.0)</f>
        <v>0</v>
      </c>
      <c r="AD2254" s="32">
        <f t="shared" si="23"/>
        <v>0</v>
      </c>
      <c r="AE2254" s="32">
        <f t="shared" si="2"/>
        <v>0</v>
      </c>
      <c r="AF2254" s="32"/>
    </row>
    <row r="2255">
      <c r="A2255" s="86"/>
      <c r="B2255" s="87"/>
      <c r="C2255" s="88"/>
      <c r="D2255" s="104"/>
      <c r="E2255" s="104"/>
      <c r="F2255" s="104"/>
      <c r="G2255" s="104"/>
      <c r="H2255" s="104"/>
      <c r="I2255" s="104"/>
      <c r="J2255" s="104"/>
      <c r="K2255" s="32"/>
      <c r="L2255" s="32"/>
      <c r="M2255" s="32"/>
      <c r="N2255" s="32"/>
      <c r="O2255" s="106"/>
      <c r="P2255" s="91">
        <f>IFERROR(__xludf.DUMMYFUNCTION("IFERROR(sum(FILTER($D:$N,$C:$C = $C2255,$A:$A &lt; $A2255,$B:$B = 12)),0) + sum($D2255:$N2255)"),0.0)</f>
        <v>0</v>
      </c>
      <c r="Q2255" s="92">
        <f t="shared" si="1"/>
        <v>0</v>
      </c>
      <c r="R2255" s="91">
        <f t="array" ref="R2255">IFERROR(INDEX('Fund YTD Target Values'!$1:$1000, MATCH($C2255,'Fund YTD Target Values'!$A:$A,0), MATCH($A2255,'Fund YTD Target Values'!$1:$1,0)),0)</f>
        <v>0</v>
      </c>
      <c r="S2255" s="91">
        <f>IFERROR(__xludf.DUMMYFUNCTION("IFERROR(sum(FILTER('Fund Investment Data'!$V:$V, 'Fund Investment Data'!$C:$C = $C2255, 'Fund Investment Data'!$A:$A &lt; $A2255)),0) + IFERROR(sum(FILTER('Fund Investment Data'!$V:$V, 'Fund Investment Data'!$C:$C = $C2255, 'Fund Investment Data'!$A:$A = $A2"&amp;"255, 'Fund Investment Data'!$B:$B &lt;= $B2255)),0)"),0.0)</f>
        <v>0</v>
      </c>
      <c r="T2255" s="32"/>
      <c r="U2255" s="32"/>
      <c r="V2255" s="32">
        <f>IFERROR(__xludf.DUMMYFUNCTION("$D2255 - IFERROR(FILTER($D:$D,$C:$C = $C2255, $A:$A = $A2255, $B:$B = $B2255 - 1),0)"),0.0)</f>
        <v>0</v>
      </c>
      <c r="W2255" s="93">
        <f>IFERROR(__xludf.DUMMYFUNCTION("$E2255 - IFERROR(FILTER($E:$E,$C:$C = $C2255, $A:$A = $A2255, $B:$B = $B2255 - 1),0)"),0.0)</f>
        <v>0</v>
      </c>
      <c r="X2255" s="91">
        <f>IFERROR(__xludf.DUMMYFUNCTION("iFERROR((FILTER('Fund Investment Data'!$Z:$Z, 'Fund Investment Data'!$C:$C = $C2255, 'Fund Investment Data'!$A:$A = $A2255 - 1, 'Fund Investment Data'!$B:$B = 12) + FILTER('Fund Investment Data'!$AB:$AB, 'Fund Investment Data'!$C:$C = $C2255, 'Fund Invest"&amp;"ment Data'!$A:$A = $A2255 - 1, 'Fund Investment Data'!$B:$B = 12)) * (1 + AVERAGE(FILTER('Inflation Data'!$C:$C,'Inflation Data'!$A:$A = ($A2255 - 2)))) * Parameters!$A$4,0)"),0.0)</f>
        <v>0</v>
      </c>
      <c r="Y2255" s="91">
        <f>IFERROR(__xludf.DUMMYFUNCTION("IFERROR((IFERROR(FILTER('Fund Investment Data'!$P:$P,'Fund Investment Data'!$C:$C = $C2255,'Fund Investment Data'!$A:$A = ($A2255 - 2), 'Fund Investment Data'!$B:$B = 12),0) - SUM(FILTER('Fund Investment Data'!$V:$V, 'Fund Investment Data'!$C:$C = $C2255,"&amp;" 'Fund Investment Data'!$A:$A = ($A2255 - 2), 'Fund Investment Data'!$B:$B &gt; 3)))  * Parameters!$B$4 * (1 - Parameters!$A$4),0)"),0.0)</f>
        <v>0</v>
      </c>
      <c r="Z2255" s="91">
        <f t="shared" si="24"/>
        <v>0</v>
      </c>
      <c r="AA2255" s="91">
        <f>IFERROR(__xludf.DUMMYFUNCTION("((IFERROR((SUM(FILTER('Fund Investment Data'!$V:$V, 'Fund Investment Data'!$C:$C = $C2255, 'Fund Investment Data'!$A:$A = $A2255 - 1, 'Fund Investment Data'!$B:$B &gt;= 4, 'Fund Investment Data'!$B:$B &lt;= ($B2255 + 5))) / 12) * ($B2255 - 3) * Parameters!$B$4,"&amp;" 0) + IF($B2255 &gt;= 9, IFERROR(SUM(FILTER('Fund Investment Data'!$V:$V, 'Fund Investment Data'!$C:$C = $C2255, 'Fund Investment Data'!$A:$A = $A2255, 'Fund Investment Data'!$B:$B &lt;= 3)) * Parameters!$B$4, 0),0)))"),0.0)</f>
        <v>0</v>
      </c>
      <c r="AB2255" s="32">
        <f>IFERROR(__xludf.DUMMYFUNCTION("IFERROR(((IFERROR(SUM(FILTER('Fund Investment Data'!$V:$V, 'Fund Investment Data'!$C:$C = $C2255, 'Fund Investment Data'!$A:$A = $A2255 - 2, 'Fund Investment Data'!$B:$B &gt;= 4)) * Parameters!$B$4,0) + IFERROR(SUM(FILTER('Fund Investment Data'!$V:$V, 'Fund "&amp;"Investment Data'!$C:$C = $C2255, 'Fund Investment Data'!$A:$A = $A2255 - 1, 'Fund Investment Data'!$B:$B &lt;= 3)) * Parameters!$B$4,0))),0)"),0.0)</f>
        <v>0</v>
      </c>
      <c r="AC2255" s="32">
        <f>IFERROR(__xludf.DUMMYFUNCTION("IFERROR(FILTER($AF:$AF,$C:$C = $C2255,$A:$A = $A2255 - 1,$B:$B = 12),0)"),0.0)</f>
        <v>0</v>
      </c>
      <c r="AD2255" s="32">
        <f t="shared" si="23"/>
        <v>0</v>
      </c>
      <c r="AE2255" s="32">
        <f t="shared" si="2"/>
        <v>0</v>
      </c>
      <c r="AF2255" s="32"/>
    </row>
    <row r="2256">
      <c r="A2256" s="86"/>
      <c r="B2256" s="87"/>
      <c r="C2256" s="88"/>
      <c r="D2256" s="104"/>
      <c r="E2256" s="104"/>
      <c r="F2256" s="104"/>
      <c r="G2256" s="104"/>
      <c r="H2256" s="104"/>
      <c r="I2256" s="104"/>
      <c r="J2256" s="104"/>
      <c r="K2256" s="32"/>
      <c r="L2256" s="32"/>
      <c r="M2256" s="32"/>
      <c r="N2256" s="32"/>
      <c r="O2256" s="106"/>
      <c r="P2256" s="91">
        <f>IFERROR(__xludf.DUMMYFUNCTION("IFERROR(sum(FILTER($D:$N,$C:$C = $C2256,$A:$A &lt; $A2256,$B:$B = 12)),0) + sum($D2256:$N2256)"),0.0)</f>
        <v>0</v>
      </c>
      <c r="Q2256" s="92">
        <f t="shared" si="1"/>
        <v>0</v>
      </c>
      <c r="R2256" s="91">
        <f t="array" ref="R2256">IFERROR(INDEX('Fund YTD Target Values'!$1:$1000, MATCH($C2256,'Fund YTD Target Values'!$A:$A,0), MATCH($A2256,'Fund YTD Target Values'!$1:$1,0)),0)</f>
        <v>0</v>
      </c>
      <c r="S2256" s="91">
        <f>IFERROR(__xludf.DUMMYFUNCTION("IFERROR(sum(FILTER('Fund Investment Data'!$V:$V, 'Fund Investment Data'!$C:$C = $C2256, 'Fund Investment Data'!$A:$A &lt; $A2256)),0) + IFERROR(sum(FILTER('Fund Investment Data'!$V:$V, 'Fund Investment Data'!$C:$C = $C2256, 'Fund Investment Data'!$A:$A = $A2"&amp;"256, 'Fund Investment Data'!$B:$B &lt;= $B2256)),0)"),0.0)</f>
        <v>0</v>
      </c>
      <c r="T2256" s="32"/>
      <c r="U2256" s="32"/>
      <c r="V2256" s="32">
        <f>IFERROR(__xludf.DUMMYFUNCTION("$D2256 - IFERROR(FILTER($D:$D,$C:$C = $C2256, $A:$A = $A2256, $B:$B = $B2256 - 1),0)"),0.0)</f>
        <v>0</v>
      </c>
      <c r="W2256" s="93">
        <f>IFERROR(__xludf.DUMMYFUNCTION("$E2256 - IFERROR(FILTER($E:$E,$C:$C = $C2256, $A:$A = $A2256, $B:$B = $B2256 - 1),0)"),0.0)</f>
        <v>0</v>
      </c>
      <c r="X2256" s="91">
        <f>IFERROR(__xludf.DUMMYFUNCTION("iFERROR((FILTER('Fund Investment Data'!$Z:$Z, 'Fund Investment Data'!$C:$C = $C2256, 'Fund Investment Data'!$A:$A = $A2256 - 1, 'Fund Investment Data'!$B:$B = 12) + FILTER('Fund Investment Data'!$AB:$AB, 'Fund Investment Data'!$C:$C = $C2256, 'Fund Invest"&amp;"ment Data'!$A:$A = $A2256 - 1, 'Fund Investment Data'!$B:$B = 12)) * (1 + AVERAGE(FILTER('Inflation Data'!$C:$C,'Inflation Data'!$A:$A = ($A2256 - 2)))) * Parameters!$A$4,0)"),0.0)</f>
        <v>0</v>
      </c>
      <c r="Y2256" s="91">
        <f>IFERROR(__xludf.DUMMYFUNCTION("IFERROR((IFERROR(FILTER('Fund Investment Data'!$P:$P,'Fund Investment Data'!$C:$C = $C2256,'Fund Investment Data'!$A:$A = ($A2256 - 2), 'Fund Investment Data'!$B:$B = 12),0) - SUM(FILTER('Fund Investment Data'!$V:$V, 'Fund Investment Data'!$C:$C = $C2256,"&amp;" 'Fund Investment Data'!$A:$A = ($A2256 - 2), 'Fund Investment Data'!$B:$B &gt; 3)))  * Parameters!$B$4 * (1 - Parameters!$A$4),0)"),0.0)</f>
        <v>0</v>
      </c>
      <c r="Z2256" s="91">
        <f t="shared" si="24"/>
        <v>0</v>
      </c>
      <c r="AA2256" s="91">
        <f>IFERROR(__xludf.DUMMYFUNCTION("((IFERROR((SUM(FILTER('Fund Investment Data'!$V:$V, 'Fund Investment Data'!$C:$C = $C2256, 'Fund Investment Data'!$A:$A = $A2256 - 1, 'Fund Investment Data'!$B:$B &gt;= 4, 'Fund Investment Data'!$B:$B &lt;= ($B2256 + 5))) / 12) * ($B2256 - 3) * Parameters!$B$4,"&amp;" 0) + IF($B2256 &gt;= 9, IFERROR(SUM(FILTER('Fund Investment Data'!$V:$V, 'Fund Investment Data'!$C:$C = $C2256, 'Fund Investment Data'!$A:$A = $A2256, 'Fund Investment Data'!$B:$B &lt;= 3)) * Parameters!$B$4, 0),0)))"),0.0)</f>
        <v>0</v>
      </c>
      <c r="AB2256" s="32">
        <f>IFERROR(__xludf.DUMMYFUNCTION("IFERROR(((IFERROR(SUM(FILTER('Fund Investment Data'!$V:$V, 'Fund Investment Data'!$C:$C = $C2256, 'Fund Investment Data'!$A:$A = $A2256 - 2, 'Fund Investment Data'!$B:$B &gt;= 4)) * Parameters!$B$4,0) + IFERROR(SUM(FILTER('Fund Investment Data'!$V:$V, 'Fund "&amp;"Investment Data'!$C:$C = $C2256, 'Fund Investment Data'!$A:$A = $A2256 - 1, 'Fund Investment Data'!$B:$B &lt;= 3)) * Parameters!$B$4,0))),0)"),0.0)</f>
        <v>0</v>
      </c>
      <c r="AC2256" s="32">
        <f>IFERROR(__xludf.DUMMYFUNCTION("IFERROR(FILTER($AF:$AF,$C:$C = $C2256,$A:$A = $A2256 - 1,$B:$B = 12),0)"),0.0)</f>
        <v>0</v>
      </c>
      <c r="AD2256" s="32">
        <f t="shared" si="23"/>
        <v>0</v>
      </c>
      <c r="AE2256" s="32">
        <f t="shared" si="2"/>
        <v>0</v>
      </c>
      <c r="AF2256" s="32"/>
    </row>
    <row r="2257">
      <c r="A2257" s="86"/>
      <c r="B2257" s="87"/>
      <c r="C2257" s="88"/>
      <c r="D2257" s="104"/>
      <c r="E2257" s="104"/>
      <c r="F2257" s="104"/>
      <c r="G2257" s="104"/>
      <c r="H2257" s="104"/>
      <c r="I2257" s="104"/>
      <c r="J2257" s="104"/>
      <c r="K2257" s="32"/>
      <c r="L2257" s="32"/>
      <c r="M2257" s="32"/>
      <c r="N2257" s="32"/>
      <c r="O2257" s="106"/>
      <c r="P2257" s="91">
        <f>IFERROR(__xludf.DUMMYFUNCTION("IFERROR(sum(FILTER($D:$N,$C:$C = $C2257,$A:$A &lt; $A2257,$B:$B = 12)),0) + sum($D2257:$N2257)"),0.0)</f>
        <v>0</v>
      </c>
      <c r="Q2257" s="92">
        <f t="shared" si="1"/>
        <v>0</v>
      </c>
      <c r="R2257" s="91">
        <f t="array" ref="R2257">IFERROR(INDEX('Fund YTD Target Values'!$1:$1000, MATCH($C2257,'Fund YTD Target Values'!$A:$A,0), MATCH($A2257,'Fund YTD Target Values'!$1:$1,0)),0)</f>
        <v>0</v>
      </c>
      <c r="S2257" s="91">
        <f>IFERROR(__xludf.DUMMYFUNCTION("IFERROR(sum(FILTER('Fund Investment Data'!$V:$V, 'Fund Investment Data'!$C:$C = $C2257, 'Fund Investment Data'!$A:$A &lt; $A2257)),0) + IFERROR(sum(FILTER('Fund Investment Data'!$V:$V, 'Fund Investment Data'!$C:$C = $C2257, 'Fund Investment Data'!$A:$A = $A2"&amp;"257, 'Fund Investment Data'!$B:$B &lt;= $B2257)),0)"),0.0)</f>
        <v>0</v>
      </c>
      <c r="T2257" s="32"/>
      <c r="U2257" s="32"/>
      <c r="V2257" s="32">
        <f>IFERROR(__xludf.DUMMYFUNCTION("$D2257 - IFERROR(FILTER($D:$D,$C:$C = $C2257, $A:$A = $A2257, $B:$B = $B2257 - 1),0)"),0.0)</f>
        <v>0</v>
      </c>
      <c r="W2257" s="93">
        <f>IFERROR(__xludf.DUMMYFUNCTION("$E2257 - IFERROR(FILTER($E:$E,$C:$C = $C2257, $A:$A = $A2257, $B:$B = $B2257 - 1),0)"),0.0)</f>
        <v>0</v>
      </c>
      <c r="X2257" s="91">
        <f>IFERROR(__xludf.DUMMYFUNCTION("iFERROR((FILTER('Fund Investment Data'!$Z:$Z, 'Fund Investment Data'!$C:$C = $C2257, 'Fund Investment Data'!$A:$A = $A2257 - 1, 'Fund Investment Data'!$B:$B = 12) + FILTER('Fund Investment Data'!$AB:$AB, 'Fund Investment Data'!$C:$C = $C2257, 'Fund Invest"&amp;"ment Data'!$A:$A = $A2257 - 1, 'Fund Investment Data'!$B:$B = 12)) * (1 + AVERAGE(FILTER('Inflation Data'!$C:$C,'Inflation Data'!$A:$A = ($A2257 - 2)))) * Parameters!$A$4,0)"),0.0)</f>
        <v>0</v>
      </c>
      <c r="Y2257" s="91">
        <f>IFERROR(__xludf.DUMMYFUNCTION("IFERROR((IFERROR(FILTER('Fund Investment Data'!$P:$P,'Fund Investment Data'!$C:$C = $C2257,'Fund Investment Data'!$A:$A = ($A2257 - 2), 'Fund Investment Data'!$B:$B = 12),0) - SUM(FILTER('Fund Investment Data'!$V:$V, 'Fund Investment Data'!$C:$C = $C2257,"&amp;" 'Fund Investment Data'!$A:$A = ($A2257 - 2), 'Fund Investment Data'!$B:$B &gt; 3)))  * Parameters!$B$4 * (1 - Parameters!$A$4),0)"),0.0)</f>
        <v>0</v>
      </c>
      <c r="Z2257" s="91">
        <f t="shared" si="24"/>
        <v>0</v>
      </c>
      <c r="AA2257" s="91">
        <f>IFERROR(__xludf.DUMMYFUNCTION("((IFERROR((SUM(FILTER('Fund Investment Data'!$V:$V, 'Fund Investment Data'!$C:$C = $C2257, 'Fund Investment Data'!$A:$A = $A2257 - 1, 'Fund Investment Data'!$B:$B &gt;= 4, 'Fund Investment Data'!$B:$B &lt;= ($B2257 + 5))) / 12) * ($B2257 - 3) * Parameters!$B$4,"&amp;" 0) + IF($B2257 &gt;= 9, IFERROR(SUM(FILTER('Fund Investment Data'!$V:$V, 'Fund Investment Data'!$C:$C = $C2257, 'Fund Investment Data'!$A:$A = $A2257, 'Fund Investment Data'!$B:$B &lt;= 3)) * Parameters!$B$4, 0),0)))"),0.0)</f>
        <v>0</v>
      </c>
      <c r="AB2257" s="32">
        <f>IFERROR(__xludf.DUMMYFUNCTION("IFERROR(((IFERROR(SUM(FILTER('Fund Investment Data'!$V:$V, 'Fund Investment Data'!$C:$C = $C2257, 'Fund Investment Data'!$A:$A = $A2257 - 2, 'Fund Investment Data'!$B:$B &gt;= 4)) * Parameters!$B$4,0) + IFERROR(SUM(FILTER('Fund Investment Data'!$V:$V, 'Fund "&amp;"Investment Data'!$C:$C = $C2257, 'Fund Investment Data'!$A:$A = $A2257 - 1, 'Fund Investment Data'!$B:$B &lt;= 3)) * Parameters!$B$4,0))),0)"),0.0)</f>
        <v>0</v>
      </c>
      <c r="AC2257" s="32">
        <f>IFERROR(__xludf.DUMMYFUNCTION("IFERROR(FILTER($AF:$AF,$C:$C = $C2257,$A:$A = $A2257 - 1,$B:$B = 12),0)"),0.0)</f>
        <v>0</v>
      </c>
      <c r="AD2257" s="32">
        <f t="shared" si="23"/>
        <v>0</v>
      </c>
      <c r="AE2257" s="32">
        <f t="shared" si="2"/>
        <v>0</v>
      </c>
      <c r="AF2257" s="32"/>
    </row>
    <row r="2258">
      <c r="A2258" s="86"/>
      <c r="B2258" s="87"/>
      <c r="C2258" s="88"/>
      <c r="D2258" s="104"/>
      <c r="E2258" s="104"/>
      <c r="F2258" s="104"/>
      <c r="G2258" s="104"/>
      <c r="H2258" s="104"/>
      <c r="I2258" s="104"/>
      <c r="J2258" s="104"/>
      <c r="K2258" s="32"/>
      <c r="L2258" s="32"/>
      <c r="M2258" s="32"/>
      <c r="N2258" s="32"/>
      <c r="O2258" s="106"/>
      <c r="P2258" s="91">
        <f>IFERROR(__xludf.DUMMYFUNCTION("IFERROR(sum(FILTER($D:$N,$C:$C = $C2258,$A:$A &lt; $A2258,$B:$B = 12)),0) + sum($D2258:$N2258)"),0.0)</f>
        <v>0</v>
      </c>
      <c r="Q2258" s="92">
        <f t="shared" si="1"/>
        <v>0</v>
      </c>
      <c r="R2258" s="91">
        <f t="array" ref="R2258">IFERROR(INDEX('Fund YTD Target Values'!$1:$1000, MATCH($C2258,'Fund YTD Target Values'!$A:$A,0), MATCH($A2258,'Fund YTD Target Values'!$1:$1,0)),0)</f>
        <v>0</v>
      </c>
      <c r="S2258" s="91">
        <f>IFERROR(__xludf.DUMMYFUNCTION("IFERROR(sum(FILTER('Fund Investment Data'!$V:$V, 'Fund Investment Data'!$C:$C = $C2258, 'Fund Investment Data'!$A:$A &lt; $A2258)),0) + IFERROR(sum(FILTER('Fund Investment Data'!$V:$V, 'Fund Investment Data'!$C:$C = $C2258, 'Fund Investment Data'!$A:$A = $A2"&amp;"258, 'Fund Investment Data'!$B:$B &lt;= $B2258)),0)"),0.0)</f>
        <v>0</v>
      </c>
      <c r="T2258" s="32"/>
      <c r="U2258" s="32"/>
      <c r="V2258" s="32">
        <f>IFERROR(__xludf.DUMMYFUNCTION("$D2258 - IFERROR(FILTER($D:$D,$C:$C = $C2258, $A:$A = $A2258, $B:$B = $B2258 - 1),0)"),0.0)</f>
        <v>0</v>
      </c>
      <c r="W2258" s="93">
        <f>IFERROR(__xludf.DUMMYFUNCTION("$E2258 - IFERROR(FILTER($E:$E,$C:$C = $C2258, $A:$A = $A2258, $B:$B = $B2258 - 1),0)"),0.0)</f>
        <v>0</v>
      </c>
      <c r="X2258" s="91">
        <f>IFERROR(__xludf.DUMMYFUNCTION("iFERROR((FILTER('Fund Investment Data'!$Z:$Z, 'Fund Investment Data'!$C:$C = $C2258, 'Fund Investment Data'!$A:$A = $A2258 - 1, 'Fund Investment Data'!$B:$B = 12) + FILTER('Fund Investment Data'!$AB:$AB, 'Fund Investment Data'!$C:$C = $C2258, 'Fund Invest"&amp;"ment Data'!$A:$A = $A2258 - 1, 'Fund Investment Data'!$B:$B = 12)) * (1 + AVERAGE(FILTER('Inflation Data'!$C:$C,'Inflation Data'!$A:$A = ($A2258 - 2)))) * Parameters!$A$4,0)"),0.0)</f>
        <v>0</v>
      </c>
      <c r="Y2258" s="91">
        <f>IFERROR(__xludf.DUMMYFUNCTION("IFERROR((IFERROR(FILTER('Fund Investment Data'!$P:$P,'Fund Investment Data'!$C:$C = $C2258,'Fund Investment Data'!$A:$A = ($A2258 - 2), 'Fund Investment Data'!$B:$B = 12),0) - SUM(FILTER('Fund Investment Data'!$V:$V, 'Fund Investment Data'!$C:$C = $C2258,"&amp;" 'Fund Investment Data'!$A:$A = ($A2258 - 2), 'Fund Investment Data'!$B:$B &gt; 3)))  * Parameters!$B$4 * (1 - Parameters!$A$4),0)"),0.0)</f>
        <v>0</v>
      </c>
      <c r="Z2258" s="91">
        <f t="shared" si="24"/>
        <v>0</v>
      </c>
      <c r="AA2258" s="91">
        <f>IFERROR(__xludf.DUMMYFUNCTION("((IFERROR((SUM(FILTER('Fund Investment Data'!$V:$V, 'Fund Investment Data'!$C:$C = $C2258, 'Fund Investment Data'!$A:$A = $A2258 - 1, 'Fund Investment Data'!$B:$B &gt;= 4, 'Fund Investment Data'!$B:$B &lt;= ($B2258 + 5))) / 12) * ($B2258 - 3) * Parameters!$B$4,"&amp;" 0) + IF($B2258 &gt;= 9, IFERROR(SUM(FILTER('Fund Investment Data'!$V:$V, 'Fund Investment Data'!$C:$C = $C2258, 'Fund Investment Data'!$A:$A = $A2258, 'Fund Investment Data'!$B:$B &lt;= 3)) * Parameters!$B$4, 0),0)))"),0.0)</f>
        <v>0</v>
      </c>
      <c r="AB2258" s="32">
        <f>IFERROR(__xludf.DUMMYFUNCTION("IFERROR(((IFERROR(SUM(FILTER('Fund Investment Data'!$V:$V, 'Fund Investment Data'!$C:$C = $C2258, 'Fund Investment Data'!$A:$A = $A2258 - 2, 'Fund Investment Data'!$B:$B &gt;= 4)) * Parameters!$B$4,0) + IFERROR(SUM(FILTER('Fund Investment Data'!$V:$V, 'Fund "&amp;"Investment Data'!$C:$C = $C2258, 'Fund Investment Data'!$A:$A = $A2258 - 1, 'Fund Investment Data'!$B:$B &lt;= 3)) * Parameters!$B$4,0))),0)"),0.0)</f>
        <v>0</v>
      </c>
      <c r="AC2258" s="32">
        <f>IFERROR(__xludf.DUMMYFUNCTION("IFERROR(FILTER($AF:$AF,$C:$C = $C2258,$A:$A = $A2258 - 1,$B:$B = 12),0)"),0.0)</f>
        <v>0</v>
      </c>
      <c r="AD2258" s="32">
        <f t="shared" si="23"/>
        <v>0</v>
      </c>
      <c r="AE2258" s="32">
        <f t="shared" si="2"/>
        <v>0</v>
      </c>
      <c r="AF2258" s="32"/>
    </row>
    <row r="2259">
      <c r="A2259" s="86"/>
      <c r="B2259" s="87"/>
      <c r="C2259" s="88"/>
      <c r="D2259" s="104"/>
      <c r="E2259" s="104"/>
      <c r="F2259" s="104"/>
      <c r="G2259" s="104"/>
      <c r="H2259" s="104"/>
      <c r="I2259" s="104"/>
      <c r="J2259" s="104"/>
      <c r="K2259" s="32"/>
      <c r="L2259" s="32"/>
      <c r="M2259" s="32"/>
      <c r="N2259" s="32"/>
      <c r="O2259" s="106"/>
      <c r="P2259" s="91">
        <f>IFERROR(__xludf.DUMMYFUNCTION("IFERROR(sum(FILTER($D:$N,$C:$C = $C2259,$A:$A &lt; $A2259,$B:$B = 12)),0) + sum($D2259:$N2259)"),0.0)</f>
        <v>0</v>
      </c>
      <c r="Q2259" s="92">
        <f t="shared" si="1"/>
        <v>0</v>
      </c>
      <c r="R2259" s="91">
        <f t="array" ref="R2259">IFERROR(INDEX('Fund YTD Target Values'!$1:$1000, MATCH($C2259,'Fund YTD Target Values'!$A:$A,0), MATCH($A2259,'Fund YTD Target Values'!$1:$1,0)),0)</f>
        <v>0</v>
      </c>
      <c r="S2259" s="91">
        <f>IFERROR(__xludf.DUMMYFUNCTION("IFERROR(sum(FILTER('Fund Investment Data'!$V:$V, 'Fund Investment Data'!$C:$C = $C2259, 'Fund Investment Data'!$A:$A &lt; $A2259)),0) + IFERROR(sum(FILTER('Fund Investment Data'!$V:$V, 'Fund Investment Data'!$C:$C = $C2259, 'Fund Investment Data'!$A:$A = $A2"&amp;"259, 'Fund Investment Data'!$B:$B &lt;= $B2259)),0)"),0.0)</f>
        <v>0</v>
      </c>
      <c r="T2259" s="32"/>
      <c r="U2259" s="32"/>
      <c r="V2259" s="32">
        <f>IFERROR(__xludf.DUMMYFUNCTION("$D2259 - IFERROR(FILTER($D:$D,$C:$C = $C2259, $A:$A = $A2259, $B:$B = $B2259 - 1),0)"),0.0)</f>
        <v>0</v>
      </c>
      <c r="W2259" s="93">
        <f>IFERROR(__xludf.DUMMYFUNCTION("$E2259 - IFERROR(FILTER($E:$E,$C:$C = $C2259, $A:$A = $A2259, $B:$B = $B2259 - 1),0)"),0.0)</f>
        <v>0</v>
      </c>
      <c r="X2259" s="91">
        <f>IFERROR(__xludf.DUMMYFUNCTION("iFERROR((FILTER('Fund Investment Data'!$Z:$Z, 'Fund Investment Data'!$C:$C = $C2259, 'Fund Investment Data'!$A:$A = $A2259 - 1, 'Fund Investment Data'!$B:$B = 12) + FILTER('Fund Investment Data'!$AB:$AB, 'Fund Investment Data'!$C:$C = $C2259, 'Fund Invest"&amp;"ment Data'!$A:$A = $A2259 - 1, 'Fund Investment Data'!$B:$B = 12)) * (1 + AVERAGE(FILTER('Inflation Data'!$C:$C,'Inflation Data'!$A:$A = ($A2259 - 2)))) * Parameters!$A$4,0)"),0.0)</f>
        <v>0</v>
      </c>
      <c r="Y2259" s="91">
        <f>IFERROR(__xludf.DUMMYFUNCTION("IFERROR((IFERROR(FILTER('Fund Investment Data'!$P:$P,'Fund Investment Data'!$C:$C = $C2259,'Fund Investment Data'!$A:$A = ($A2259 - 2), 'Fund Investment Data'!$B:$B = 12),0) - SUM(FILTER('Fund Investment Data'!$V:$V, 'Fund Investment Data'!$C:$C = $C2259,"&amp;" 'Fund Investment Data'!$A:$A = ($A2259 - 2), 'Fund Investment Data'!$B:$B &gt; 3)))  * Parameters!$B$4 * (1 - Parameters!$A$4),0)"),0.0)</f>
        <v>0</v>
      </c>
      <c r="Z2259" s="91">
        <f t="shared" si="24"/>
        <v>0</v>
      </c>
      <c r="AA2259" s="91">
        <f>IFERROR(__xludf.DUMMYFUNCTION("((IFERROR((SUM(FILTER('Fund Investment Data'!$V:$V, 'Fund Investment Data'!$C:$C = $C2259, 'Fund Investment Data'!$A:$A = $A2259 - 1, 'Fund Investment Data'!$B:$B &gt;= 4, 'Fund Investment Data'!$B:$B &lt;= ($B2259 + 5))) / 12) * ($B2259 - 3) * Parameters!$B$4,"&amp;" 0) + IF($B2259 &gt;= 9, IFERROR(SUM(FILTER('Fund Investment Data'!$V:$V, 'Fund Investment Data'!$C:$C = $C2259, 'Fund Investment Data'!$A:$A = $A2259, 'Fund Investment Data'!$B:$B &lt;= 3)) * Parameters!$B$4, 0),0)))"),0.0)</f>
        <v>0</v>
      </c>
      <c r="AB2259" s="32">
        <f>IFERROR(__xludf.DUMMYFUNCTION("IFERROR(((IFERROR(SUM(FILTER('Fund Investment Data'!$V:$V, 'Fund Investment Data'!$C:$C = $C2259, 'Fund Investment Data'!$A:$A = $A2259 - 2, 'Fund Investment Data'!$B:$B &gt;= 4)) * Parameters!$B$4,0) + IFERROR(SUM(FILTER('Fund Investment Data'!$V:$V, 'Fund "&amp;"Investment Data'!$C:$C = $C2259, 'Fund Investment Data'!$A:$A = $A2259 - 1, 'Fund Investment Data'!$B:$B &lt;= 3)) * Parameters!$B$4,0))),0)"),0.0)</f>
        <v>0</v>
      </c>
      <c r="AC2259" s="32">
        <f>IFERROR(__xludf.DUMMYFUNCTION("IFERROR(FILTER($AF:$AF,$C:$C = $C2259,$A:$A = $A2259 - 1,$B:$B = 12),0)"),0.0)</f>
        <v>0</v>
      </c>
      <c r="AD2259" s="32">
        <f t="shared" si="23"/>
        <v>0</v>
      </c>
      <c r="AE2259" s="32">
        <f t="shared" si="2"/>
        <v>0</v>
      </c>
      <c r="AF2259" s="32"/>
    </row>
    <row r="2260">
      <c r="A2260" s="86"/>
      <c r="B2260" s="87"/>
      <c r="C2260" s="88"/>
      <c r="D2260" s="104"/>
      <c r="E2260" s="104"/>
      <c r="F2260" s="104"/>
      <c r="G2260" s="104"/>
      <c r="H2260" s="104"/>
      <c r="I2260" s="104"/>
      <c r="J2260" s="104"/>
      <c r="K2260" s="32"/>
      <c r="L2260" s="32"/>
      <c r="M2260" s="32"/>
      <c r="N2260" s="32"/>
      <c r="O2260" s="106"/>
      <c r="P2260" s="91">
        <f>IFERROR(__xludf.DUMMYFUNCTION("IFERROR(sum(FILTER($D:$N,$C:$C = $C2260,$A:$A &lt; $A2260,$B:$B = 12)),0) + sum($D2260:$N2260)"),0.0)</f>
        <v>0</v>
      </c>
      <c r="Q2260" s="92">
        <f t="shared" si="1"/>
        <v>0</v>
      </c>
      <c r="R2260" s="91">
        <f t="array" ref="R2260">IFERROR(INDEX('Fund YTD Target Values'!$1:$1000, MATCH($C2260,'Fund YTD Target Values'!$A:$A,0), MATCH($A2260,'Fund YTD Target Values'!$1:$1,0)),0)</f>
        <v>0</v>
      </c>
      <c r="S2260" s="91">
        <f>IFERROR(__xludf.DUMMYFUNCTION("IFERROR(sum(FILTER('Fund Investment Data'!$V:$V, 'Fund Investment Data'!$C:$C = $C2260, 'Fund Investment Data'!$A:$A &lt; $A2260)),0) + IFERROR(sum(FILTER('Fund Investment Data'!$V:$V, 'Fund Investment Data'!$C:$C = $C2260, 'Fund Investment Data'!$A:$A = $A2"&amp;"260, 'Fund Investment Data'!$B:$B &lt;= $B2260)),0)"),0.0)</f>
        <v>0</v>
      </c>
      <c r="T2260" s="32"/>
      <c r="U2260" s="32"/>
      <c r="V2260" s="32">
        <f>IFERROR(__xludf.DUMMYFUNCTION("$D2260 - IFERROR(FILTER($D:$D,$C:$C = $C2260, $A:$A = $A2260, $B:$B = $B2260 - 1),0)"),0.0)</f>
        <v>0</v>
      </c>
      <c r="W2260" s="93">
        <f>IFERROR(__xludf.DUMMYFUNCTION("$E2260 - IFERROR(FILTER($E:$E,$C:$C = $C2260, $A:$A = $A2260, $B:$B = $B2260 - 1),0)"),0.0)</f>
        <v>0</v>
      </c>
      <c r="X2260" s="91">
        <f>IFERROR(__xludf.DUMMYFUNCTION("iFERROR((FILTER('Fund Investment Data'!$Z:$Z, 'Fund Investment Data'!$C:$C = $C2260, 'Fund Investment Data'!$A:$A = $A2260 - 1, 'Fund Investment Data'!$B:$B = 12) + FILTER('Fund Investment Data'!$AB:$AB, 'Fund Investment Data'!$C:$C = $C2260, 'Fund Invest"&amp;"ment Data'!$A:$A = $A2260 - 1, 'Fund Investment Data'!$B:$B = 12)) * (1 + AVERAGE(FILTER('Inflation Data'!$C:$C,'Inflation Data'!$A:$A = ($A2260 - 2)))) * Parameters!$A$4,0)"),0.0)</f>
        <v>0</v>
      </c>
      <c r="Y2260" s="91">
        <f>IFERROR(__xludf.DUMMYFUNCTION("IFERROR((IFERROR(FILTER('Fund Investment Data'!$P:$P,'Fund Investment Data'!$C:$C = $C2260,'Fund Investment Data'!$A:$A = ($A2260 - 2), 'Fund Investment Data'!$B:$B = 12),0) - SUM(FILTER('Fund Investment Data'!$V:$V, 'Fund Investment Data'!$C:$C = $C2260,"&amp;" 'Fund Investment Data'!$A:$A = ($A2260 - 2), 'Fund Investment Data'!$B:$B &gt; 3)))  * Parameters!$B$4 * (1 - Parameters!$A$4),0)"),0.0)</f>
        <v>0</v>
      </c>
      <c r="Z2260" s="91">
        <f t="shared" si="24"/>
        <v>0</v>
      </c>
      <c r="AA2260" s="91">
        <f>IFERROR(__xludf.DUMMYFUNCTION("((IFERROR((SUM(FILTER('Fund Investment Data'!$V:$V, 'Fund Investment Data'!$C:$C = $C2260, 'Fund Investment Data'!$A:$A = $A2260 - 1, 'Fund Investment Data'!$B:$B &gt;= 4, 'Fund Investment Data'!$B:$B &lt;= ($B2260 + 5))) / 12) * ($B2260 - 3) * Parameters!$B$4,"&amp;" 0) + IF($B2260 &gt;= 9, IFERROR(SUM(FILTER('Fund Investment Data'!$V:$V, 'Fund Investment Data'!$C:$C = $C2260, 'Fund Investment Data'!$A:$A = $A2260, 'Fund Investment Data'!$B:$B &lt;= 3)) * Parameters!$B$4, 0),0)))"),0.0)</f>
        <v>0</v>
      </c>
      <c r="AB2260" s="32">
        <f>IFERROR(__xludf.DUMMYFUNCTION("IFERROR(((IFERROR(SUM(FILTER('Fund Investment Data'!$V:$V, 'Fund Investment Data'!$C:$C = $C2260, 'Fund Investment Data'!$A:$A = $A2260 - 2, 'Fund Investment Data'!$B:$B &gt;= 4)) * Parameters!$B$4,0) + IFERROR(SUM(FILTER('Fund Investment Data'!$V:$V, 'Fund "&amp;"Investment Data'!$C:$C = $C2260, 'Fund Investment Data'!$A:$A = $A2260 - 1, 'Fund Investment Data'!$B:$B &lt;= 3)) * Parameters!$B$4,0))),0)"),0.0)</f>
        <v>0</v>
      </c>
      <c r="AC2260" s="32">
        <f>IFERROR(__xludf.DUMMYFUNCTION("IFERROR(FILTER($AF:$AF,$C:$C = $C2260,$A:$A = $A2260 - 1,$B:$B = 12),0)"),0.0)</f>
        <v>0</v>
      </c>
      <c r="AD2260" s="32">
        <f t="shared" si="23"/>
        <v>0</v>
      </c>
      <c r="AE2260" s="32">
        <f t="shared" si="2"/>
        <v>0</v>
      </c>
      <c r="AF2260" s="32"/>
    </row>
    <row r="2261">
      <c r="A2261" s="86"/>
      <c r="B2261" s="87"/>
      <c r="C2261" s="88"/>
      <c r="D2261" s="104"/>
      <c r="E2261" s="104"/>
      <c r="F2261" s="104"/>
      <c r="G2261" s="104"/>
      <c r="H2261" s="104"/>
      <c r="I2261" s="104"/>
      <c r="J2261" s="104"/>
      <c r="K2261" s="32"/>
      <c r="L2261" s="32"/>
      <c r="M2261" s="32"/>
      <c r="N2261" s="32"/>
      <c r="O2261" s="106"/>
      <c r="P2261" s="91">
        <f>IFERROR(__xludf.DUMMYFUNCTION("IFERROR(sum(FILTER($D:$N,$C:$C = $C2261,$A:$A &lt; $A2261,$B:$B = 12)),0) + sum($D2261:$N2261)"),0.0)</f>
        <v>0</v>
      </c>
      <c r="Q2261" s="92">
        <f t="shared" si="1"/>
        <v>0</v>
      </c>
      <c r="R2261" s="91">
        <f t="array" ref="R2261">IFERROR(INDEX('Fund YTD Target Values'!$1:$1000, MATCH($C2261,'Fund YTD Target Values'!$A:$A,0), MATCH($A2261,'Fund YTD Target Values'!$1:$1,0)),0)</f>
        <v>0</v>
      </c>
      <c r="S2261" s="91">
        <f>IFERROR(__xludf.DUMMYFUNCTION("IFERROR(sum(FILTER('Fund Investment Data'!$V:$V, 'Fund Investment Data'!$C:$C = $C2261, 'Fund Investment Data'!$A:$A &lt; $A2261)),0) + IFERROR(sum(FILTER('Fund Investment Data'!$V:$V, 'Fund Investment Data'!$C:$C = $C2261, 'Fund Investment Data'!$A:$A = $A2"&amp;"261, 'Fund Investment Data'!$B:$B &lt;= $B2261)),0)"),0.0)</f>
        <v>0</v>
      </c>
      <c r="T2261" s="32"/>
      <c r="U2261" s="32"/>
      <c r="V2261" s="32">
        <f>IFERROR(__xludf.DUMMYFUNCTION("$D2261 - IFERROR(FILTER($D:$D,$C:$C = $C2261, $A:$A = $A2261, $B:$B = $B2261 - 1),0)"),0.0)</f>
        <v>0</v>
      </c>
      <c r="W2261" s="93">
        <f>IFERROR(__xludf.DUMMYFUNCTION("$E2261 - IFERROR(FILTER($E:$E,$C:$C = $C2261, $A:$A = $A2261, $B:$B = $B2261 - 1),0)"),0.0)</f>
        <v>0</v>
      </c>
      <c r="X2261" s="91">
        <f>IFERROR(__xludf.DUMMYFUNCTION("iFERROR((FILTER('Fund Investment Data'!$Z:$Z, 'Fund Investment Data'!$C:$C = $C2261, 'Fund Investment Data'!$A:$A = $A2261 - 1, 'Fund Investment Data'!$B:$B = 12) + FILTER('Fund Investment Data'!$AB:$AB, 'Fund Investment Data'!$C:$C = $C2261, 'Fund Invest"&amp;"ment Data'!$A:$A = $A2261 - 1, 'Fund Investment Data'!$B:$B = 12)) * (1 + AVERAGE(FILTER('Inflation Data'!$C:$C,'Inflation Data'!$A:$A = ($A2261 - 2)))) * Parameters!$A$4,0)"),0.0)</f>
        <v>0</v>
      </c>
      <c r="Y2261" s="91">
        <f>IFERROR(__xludf.DUMMYFUNCTION("IFERROR((IFERROR(FILTER('Fund Investment Data'!$P:$P,'Fund Investment Data'!$C:$C = $C2261,'Fund Investment Data'!$A:$A = ($A2261 - 2), 'Fund Investment Data'!$B:$B = 12),0) - SUM(FILTER('Fund Investment Data'!$V:$V, 'Fund Investment Data'!$C:$C = $C2261,"&amp;" 'Fund Investment Data'!$A:$A = ($A2261 - 2), 'Fund Investment Data'!$B:$B &gt; 3)))  * Parameters!$B$4 * (1 - Parameters!$A$4),0)"),0.0)</f>
        <v>0</v>
      </c>
      <c r="Z2261" s="91">
        <f t="shared" si="24"/>
        <v>0</v>
      </c>
      <c r="AA2261" s="91">
        <f>IFERROR(__xludf.DUMMYFUNCTION("((IFERROR((SUM(FILTER('Fund Investment Data'!$V:$V, 'Fund Investment Data'!$C:$C = $C2261, 'Fund Investment Data'!$A:$A = $A2261 - 1, 'Fund Investment Data'!$B:$B &gt;= 4, 'Fund Investment Data'!$B:$B &lt;= ($B2261 + 5))) / 12) * ($B2261 - 3) * Parameters!$B$4,"&amp;" 0) + IF($B2261 &gt;= 9, IFERROR(SUM(FILTER('Fund Investment Data'!$V:$V, 'Fund Investment Data'!$C:$C = $C2261, 'Fund Investment Data'!$A:$A = $A2261, 'Fund Investment Data'!$B:$B &lt;= 3)) * Parameters!$B$4, 0),0)))"),0.0)</f>
        <v>0</v>
      </c>
      <c r="AB2261" s="32">
        <f>IFERROR(__xludf.DUMMYFUNCTION("IFERROR(((IFERROR(SUM(FILTER('Fund Investment Data'!$V:$V, 'Fund Investment Data'!$C:$C = $C2261, 'Fund Investment Data'!$A:$A = $A2261 - 2, 'Fund Investment Data'!$B:$B &gt;= 4)) * Parameters!$B$4,0) + IFERROR(SUM(FILTER('Fund Investment Data'!$V:$V, 'Fund "&amp;"Investment Data'!$C:$C = $C2261, 'Fund Investment Data'!$A:$A = $A2261 - 1, 'Fund Investment Data'!$B:$B &lt;= 3)) * Parameters!$B$4,0))),0)"),0.0)</f>
        <v>0</v>
      </c>
      <c r="AC2261" s="32">
        <f>IFERROR(__xludf.DUMMYFUNCTION("IFERROR(FILTER($AF:$AF,$C:$C = $C2261,$A:$A = $A2261 - 1,$B:$B = 12),0)"),0.0)</f>
        <v>0</v>
      </c>
      <c r="AD2261" s="32">
        <f t="shared" si="23"/>
        <v>0</v>
      </c>
      <c r="AE2261" s="32">
        <f t="shared" si="2"/>
        <v>0</v>
      </c>
      <c r="AF2261" s="32"/>
    </row>
    <row r="2262">
      <c r="A2262" s="86"/>
      <c r="B2262" s="87"/>
      <c r="C2262" s="88"/>
      <c r="D2262" s="104"/>
      <c r="E2262" s="104"/>
      <c r="F2262" s="104"/>
      <c r="G2262" s="104"/>
      <c r="H2262" s="104"/>
      <c r="I2262" s="104"/>
      <c r="J2262" s="104"/>
      <c r="K2262" s="32"/>
      <c r="L2262" s="32"/>
      <c r="M2262" s="32"/>
      <c r="N2262" s="32"/>
      <c r="O2262" s="106"/>
      <c r="P2262" s="91">
        <f>IFERROR(__xludf.DUMMYFUNCTION("IFERROR(sum(FILTER($D:$N,$C:$C = $C2262,$A:$A &lt; $A2262,$B:$B = 12)),0) + sum($D2262:$N2262)"),0.0)</f>
        <v>0</v>
      </c>
      <c r="Q2262" s="92">
        <f t="shared" si="1"/>
        <v>0</v>
      </c>
      <c r="R2262" s="91">
        <f t="array" ref="R2262">IFERROR(INDEX('Fund YTD Target Values'!$1:$1000, MATCH($C2262,'Fund YTD Target Values'!$A:$A,0), MATCH($A2262,'Fund YTD Target Values'!$1:$1,0)),0)</f>
        <v>0</v>
      </c>
      <c r="S2262" s="91">
        <f>IFERROR(__xludf.DUMMYFUNCTION("IFERROR(sum(FILTER('Fund Investment Data'!$V:$V, 'Fund Investment Data'!$C:$C = $C2262, 'Fund Investment Data'!$A:$A &lt; $A2262)),0) + IFERROR(sum(FILTER('Fund Investment Data'!$V:$V, 'Fund Investment Data'!$C:$C = $C2262, 'Fund Investment Data'!$A:$A = $A2"&amp;"262, 'Fund Investment Data'!$B:$B &lt;= $B2262)),0)"),0.0)</f>
        <v>0</v>
      </c>
      <c r="T2262" s="32"/>
      <c r="U2262" s="32"/>
      <c r="V2262" s="32">
        <f>IFERROR(__xludf.DUMMYFUNCTION("$D2262 - IFERROR(FILTER($D:$D,$C:$C = $C2262, $A:$A = $A2262, $B:$B = $B2262 - 1),0)"),0.0)</f>
        <v>0</v>
      </c>
      <c r="W2262" s="93">
        <f>IFERROR(__xludf.DUMMYFUNCTION("$E2262 - IFERROR(FILTER($E:$E,$C:$C = $C2262, $A:$A = $A2262, $B:$B = $B2262 - 1),0)"),0.0)</f>
        <v>0</v>
      </c>
      <c r="X2262" s="91">
        <f>IFERROR(__xludf.DUMMYFUNCTION("iFERROR((FILTER('Fund Investment Data'!$Z:$Z, 'Fund Investment Data'!$C:$C = $C2262, 'Fund Investment Data'!$A:$A = $A2262 - 1, 'Fund Investment Data'!$B:$B = 12) + FILTER('Fund Investment Data'!$AB:$AB, 'Fund Investment Data'!$C:$C = $C2262, 'Fund Invest"&amp;"ment Data'!$A:$A = $A2262 - 1, 'Fund Investment Data'!$B:$B = 12)) * (1 + AVERAGE(FILTER('Inflation Data'!$C:$C,'Inflation Data'!$A:$A = ($A2262 - 2)))) * Parameters!$A$4,0)"),0.0)</f>
        <v>0</v>
      </c>
      <c r="Y2262" s="91">
        <f>IFERROR(__xludf.DUMMYFUNCTION("IFERROR((IFERROR(FILTER('Fund Investment Data'!$P:$P,'Fund Investment Data'!$C:$C = $C2262,'Fund Investment Data'!$A:$A = ($A2262 - 2), 'Fund Investment Data'!$B:$B = 12),0) - SUM(FILTER('Fund Investment Data'!$V:$V, 'Fund Investment Data'!$C:$C = $C2262,"&amp;" 'Fund Investment Data'!$A:$A = ($A2262 - 2), 'Fund Investment Data'!$B:$B &gt; 3)))  * Parameters!$B$4 * (1 - Parameters!$A$4),0)"),0.0)</f>
        <v>0</v>
      </c>
      <c r="Z2262" s="91">
        <f t="shared" si="24"/>
        <v>0</v>
      </c>
      <c r="AA2262" s="91">
        <f>IFERROR(__xludf.DUMMYFUNCTION("((IFERROR((SUM(FILTER('Fund Investment Data'!$V:$V, 'Fund Investment Data'!$C:$C = $C2262, 'Fund Investment Data'!$A:$A = $A2262 - 1, 'Fund Investment Data'!$B:$B &gt;= 4, 'Fund Investment Data'!$B:$B &lt;= ($B2262 + 5))) / 12) * ($B2262 - 3) * Parameters!$B$4,"&amp;" 0) + IF($B2262 &gt;= 9, IFERROR(SUM(FILTER('Fund Investment Data'!$V:$V, 'Fund Investment Data'!$C:$C = $C2262, 'Fund Investment Data'!$A:$A = $A2262, 'Fund Investment Data'!$B:$B &lt;= 3)) * Parameters!$B$4, 0),0)))"),0.0)</f>
        <v>0</v>
      </c>
      <c r="AB2262" s="32">
        <f>IFERROR(__xludf.DUMMYFUNCTION("IFERROR(((IFERROR(SUM(FILTER('Fund Investment Data'!$V:$V, 'Fund Investment Data'!$C:$C = $C2262, 'Fund Investment Data'!$A:$A = $A2262 - 2, 'Fund Investment Data'!$B:$B &gt;= 4)) * Parameters!$B$4,0) + IFERROR(SUM(FILTER('Fund Investment Data'!$V:$V, 'Fund "&amp;"Investment Data'!$C:$C = $C2262, 'Fund Investment Data'!$A:$A = $A2262 - 1, 'Fund Investment Data'!$B:$B &lt;= 3)) * Parameters!$B$4,0))),0)"),0.0)</f>
        <v>0</v>
      </c>
      <c r="AC2262" s="32">
        <f>IFERROR(__xludf.DUMMYFUNCTION("IFERROR(FILTER($AF:$AF,$C:$C = $C2262,$A:$A = $A2262 - 1,$B:$B = 12),0)"),0.0)</f>
        <v>0</v>
      </c>
      <c r="AD2262" s="32">
        <f t="shared" si="23"/>
        <v>0</v>
      </c>
      <c r="AE2262" s="32">
        <f t="shared" si="2"/>
        <v>0</v>
      </c>
      <c r="AF2262" s="32"/>
    </row>
    <row r="2263">
      <c r="A2263" s="86"/>
      <c r="B2263" s="87"/>
      <c r="C2263" s="88"/>
      <c r="D2263" s="104"/>
      <c r="E2263" s="104"/>
      <c r="F2263" s="104"/>
      <c r="G2263" s="104"/>
      <c r="H2263" s="104"/>
      <c r="I2263" s="104"/>
      <c r="J2263" s="104"/>
      <c r="K2263" s="32"/>
      <c r="L2263" s="32"/>
      <c r="M2263" s="32"/>
      <c r="N2263" s="32"/>
      <c r="O2263" s="106"/>
      <c r="P2263" s="91">
        <f>IFERROR(__xludf.DUMMYFUNCTION("IFERROR(sum(FILTER($D:$N,$C:$C = $C2263,$A:$A &lt; $A2263,$B:$B = 12)),0) + sum($D2263:$N2263)"),0.0)</f>
        <v>0</v>
      </c>
      <c r="Q2263" s="92">
        <f t="shared" si="1"/>
        <v>0</v>
      </c>
      <c r="R2263" s="91">
        <f t="array" ref="R2263">IFERROR(INDEX('Fund YTD Target Values'!$1:$1000, MATCH($C2263,'Fund YTD Target Values'!$A:$A,0), MATCH($A2263,'Fund YTD Target Values'!$1:$1,0)),0)</f>
        <v>0</v>
      </c>
      <c r="S2263" s="91">
        <f>IFERROR(__xludf.DUMMYFUNCTION("IFERROR(sum(FILTER('Fund Investment Data'!$V:$V, 'Fund Investment Data'!$C:$C = $C2263, 'Fund Investment Data'!$A:$A &lt; $A2263)),0) + IFERROR(sum(FILTER('Fund Investment Data'!$V:$V, 'Fund Investment Data'!$C:$C = $C2263, 'Fund Investment Data'!$A:$A = $A2"&amp;"263, 'Fund Investment Data'!$B:$B &lt;= $B2263)),0)"),0.0)</f>
        <v>0</v>
      </c>
      <c r="T2263" s="32"/>
      <c r="U2263" s="32"/>
      <c r="V2263" s="32">
        <f>IFERROR(__xludf.DUMMYFUNCTION("$D2263 - IFERROR(FILTER($D:$D,$C:$C = $C2263, $A:$A = $A2263, $B:$B = $B2263 - 1),0)"),0.0)</f>
        <v>0</v>
      </c>
      <c r="W2263" s="93">
        <f>IFERROR(__xludf.DUMMYFUNCTION("$E2263 - IFERROR(FILTER($E:$E,$C:$C = $C2263, $A:$A = $A2263, $B:$B = $B2263 - 1),0)"),0.0)</f>
        <v>0</v>
      </c>
      <c r="X2263" s="91">
        <f>IFERROR(__xludf.DUMMYFUNCTION("iFERROR((FILTER('Fund Investment Data'!$Z:$Z, 'Fund Investment Data'!$C:$C = $C2263, 'Fund Investment Data'!$A:$A = $A2263 - 1, 'Fund Investment Data'!$B:$B = 12) + FILTER('Fund Investment Data'!$AB:$AB, 'Fund Investment Data'!$C:$C = $C2263, 'Fund Invest"&amp;"ment Data'!$A:$A = $A2263 - 1, 'Fund Investment Data'!$B:$B = 12)) * (1 + AVERAGE(FILTER('Inflation Data'!$C:$C,'Inflation Data'!$A:$A = ($A2263 - 2)))) * Parameters!$A$4,0)"),0.0)</f>
        <v>0</v>
      </c>
      <c r="Y2263" s="91">
        <f>IFERROR(__xludf.DUMMYFUNCTION("IFERROR((IFERROR(FILTER('Fund Investment Data'!$P:$P,'Fund Investment Data'!$C:$C = $C2263,'Fund Investment Data'!$A:$A = ($A2263 - 2), 'Fund Investment Data'!$B:$B = 12),0) - SUM(FILTER('Fund Investment Data'!$V:$V, 'Fund Investment Data'!$C:$C = $C2263,"&amp;" 'Fund Investment Data'!$A:$A = ($A2263 - 2), 'Fund Investment Data'!$B:$B &gt; 3)))  * Parameters!$B$4 * (1 - Parameters!$A$4),0)"),0.0)</f>
        <v>0</v>
      </c>
      <c r="Z2263" s="91">
        <f t="shared" si="24"/>
        <v>0</v>
      </c>
      <c r="AA2263" s="91">
        <f>IFERROR(__xludf.DUMMYFUNCTION("((IFERROR((SUM(FILTER('Fund Investment Data'!$V:$V, 'Fund Investment Data'!$C:$C = $C2263, 'Fund Investment Data'!$A:$A = $A2263 - 1, 'Fund Investment Data'!$B:$B &gt;= 4, 'Fund Investment Data'!$B:$B &lt;= ($B2263 + 5))) / 12) * ($B2263 - 3) * Parameters!$B$4,"&amp;" 0) + IF($B2263 &gt;= 9, IFERROR(SUM(FILTER('Fund Investment Data'!$V:$V, 'Fund Investment Data'!$C:$C = $C2263, 'Fund Investment Data'!$A:$A = $A2263, 'Fund Investment Data'!$B:$B &lt;= 3)) * Parameters!$B$4, 0),0)))"),0.0)</f>
        <v>0</v>
      </c>
      <c r="AB2263" s="32">
        <f>IFERROR(__xludf.DUMMYFUNCTION("IFERROR(((IFERROR(SUM(FILTER('Fund Investment Data'!$V:$V, 'Fund Investment Data'!$C:$C = $C2263, 'Fund Investment Data'!$A:$A = $A2263 - 2, 'Fund Investment Data'!$B:$B &gt;= 4)) * Parameters!$B$4,0) + IFERROR(SUM(FILTER('Fund Investment Data'!$V:$V, 'Fund "&amp;"Investment Data'!$C:$C = $C2263, 'Fund Investment Data'!$A:$A = $A2263 - 1, 'Fund Investment Data'!$B:$B &lt;= 3)) * Parameters!$B$4,0))),0)"),0.0)</f>
        <v>0</v>
      </c>
      <c r="AC2263" s="32">
        <f>IFERROR(__xludf.DUMMYFUNCTION("IFERROR(FILTER($AF:$AF,$C:$C = $C2263,$A:$A = $A2263 - 1,$B:$B = 12),0)"),0.0)</f>
        <v>0</v>
      </c>
      <c r="AD2263" s="32">
        <f t="shared" si="23"/>
        <v>0</v>
      </c>
      <c r="AE2263" s="32">
        <f t="shared" si="2"/>
        <v>0</v>
      </c>
      <c r="AF2263" s="32"/>
    </row>
    <row r="2264">
      <c r="A2264" s="86"/>
      <c r="B2264" s="87"/>
      <c r="C2264" s="88"/>
      <c r="D2264" s="104"/>
      <c r="E2264" s="104"/>
      <c r="F2264" s="104"/>
      <c r="G2264" s="104"/>
      <c r="H2264" s="104"/>
      <c r="I2264" s="104"/>
      <c r="J2264" s="104"/>
      <c r="K2264" s="32"/>
      <c r="L2264" s="32"/>
      <c r="M2264" s="32"/>
      <c r="N2264" s="32"/>
      <c r="O2264" s="106"/>
      <c r="P2264" s="91">
        <f>IFERROR(__xludf.DUMMYFUNCTION("IFERROR(sum(FILTER($D:$N,$C:$C = $C2264,$A:$A &lt; $A2264,$B:$B = 12)),0) + sum($D2264:$N2264)"),0.0)</f>
        <v>0</v>
      </c>
      <c r="Q2264" s="92">
        <f t="shared" si="1"/>
        <v>0</v>
      </c>
      <c r="R2264" s="91">
        <f t="array" ref="R2264">IFERROR(INDEX('Fund YTD Target Values'!$1:$1000, MATCH($C2264,'Fund YTD Target Values'!$A:$A,0), MATCH($A2264,'Fund YTD Target Values'!$1:$1,0)),0)</f>
        <v>0</v>
      </c>
      <c r="S2264" s="91">
        <f>IFERROR(__xludf.DUMMYFUNCTION("IFERROR(sum(FILTER('Fund Investment Data'!$V:$V, 'Fund Investment Data'!$C:$C = $C2264, 'Fund Investment Data'!$A:$A &lt; $A2264)),0) + IFERROR(sum(FILTER('Fund Investment Data'!$V:$V, 'Fund Investment Data'!$C:$C = $C2264, 'Fund Investment Data'!$A:$A = $A2"&amp;"264, 'Fund Investment Data'!$B:$B &lt;= $B2264)),0)"),0.0)</f>
        <v>0</v>
      </c>
      <c r="T2264" s="32"/>
      <c r="U2264" s="32"/>
      <c r="V2264" s="32">
        <f>IFERROR(__xludf.DUMMYFUNCTION("$D2264 - IFERROR(FILTER($D:$D,$C:$C = $C2264, $A:$A = $A2264, $B:$B = $B2264 - 1),0)"),0.0)</f>
        <v>0</v>
      </c>
      <c r="W2264" s="93">
        <f>IFERROR(__xludf.DUMMYFUNCTION("$E2264 - IFERROR(FILTER($E:$E,$C:$C = $C2264, $A:$A = $A2264, $B:$B = $B2264 - 1),0)"),0.0)</f>
        <v>0</v>
      </c>
      <c r="X2264" s="91">
        <f>IFERROR(__xludf.DUMMYFUNCTION("iFERROR((FILTER('Fund Investment Data'!$Z:$Z, 'Fund Investment Data'!$C:$C = $C2264, 'Fund Investment Data'!$A:$A = $A2264 - 1, 'Fund Investment Data'!$B:$B = 12) + FILTER('Fund Investment Data'!$AB:$AB, 'Fund Investment Data'!$C:$C = $C2264, 'Fund Invest"&amp;"ment Data'!$A:$A = $A2264 - 1, 'Fund Investment Data'!$B:$B = 12)) * (1 + AVERAGE(FILTER('Inflation Data'!$C:$C,'Inflation Data'!$A:$A = ($A2264 - 2)))) * Parameters!$A$4,0)"),0.0)</f>
        <v>0</v>
      </c>
      <c r="Y2264" s="91">
        <f>IFERROR(__xludf.DUMMYFUNCTION("IFERROR((IFERROR(FILTER('Fund Investment Data'!$P:$P,'Fund Investment Data'!$C:$C = $C2264,'Fund Investment Data'!$A:$A = ($A2264 - 2), 'Fund Investment Data'!$B:$B = 12),0) - SUM(FILTER('Fund Investment Data'!$V:$V, 'Fund Investment Data'!$C:$C = $C2264,"&amp;" 'Fund Investment Data'!$A:$A = ($A2264 - 2), 'Fund Investment Data'!$B:$B &gt; 3)))  * Parameters!$B$4 * (1 - Parameters!$A$4),0)"),0.0)</f>
        <v>0</v>
      </c>
      <c r="Z2264" s="91">
        <f t="shared" si="24"/>
        <v>0</v>
      </c>
      <c r="AA2264" s="91">
        <f>IFERROR(__xludf.DUMMYFUNCTION("((IFERROR((SUM(FILTER('Fund Investment Data'!$V:$V, 'Fund Investment Data'!$C:$C = $C2264, 'Fund Investment Data'!$A:$A = $A2264 - 1, 'Fund Investment Data'!$B:$B &gt;= 4, 'Fund Investment Data'!$B:$B &lt;= ($B2264 + 5))) / 12) * ($B2264 - 3) * Parameters!$B$4,"&amp;" 0) + IF($B2264 &gt;= 9, IFERROR(SUM(FILTER('Fund Investment Data'!$V:$V, 'Fund Investment Data'!$C:$C = $C2264, 'Fund Investment Data'!$A:$A = $A2264, 'Fund Investment Data'!$B:$B &lt;= 3)) * Parameters!$B$4, 0),0)))"),0.0)</f>
        <v>0</v>
      </c>
      <c r="AB2264" s="32">
        <f>IFERROR(__xludf.DUMMYFUNCTION("IFERROR(((IFERROR(SUM(FILTER('Fund Investment Data'!$V:$V, 'Fund Investment Data'!$C:$C = $C2264, 'Fund Investment Data'!$A:$A = $A2264 - 2, 'Fund Investment Data'!$B:$B &gt;= 4)) * Parameters!$B$4,0) + IFERROR(SUM(FILTER('Fund Investment Data'!$V:$V, 'Fund "&amp;"Investment Data'!$C:$C = $C2264, 'Fund Investment Data'!$A:$A = $A2264 - 1, 'Fund Investment Data'!$B:$B &lt;= 3)) * Parameters!$B$4,0))),0)"),0.0)</f>
        <v>0</v>
      </c>
      <c r="AC2264" s="32">
        <f>IFERROR(__xludf.DUMMYFUNCTION("IFERROR(FILTER($AF:$AF,$C:$C = $C2264,$A:$A = $A2264 - 1,$B:$B = 12),0)"),0.0)</f>
        <v>0</v>
      </c>
      <c r="AD2264" s="32">
        <f t="shared" si="23"/>
        <v>0</v>
      </c>
      <c r="AE2264" s="32">
        <f t="shared" si="2"/>
        <v>0</v>
      </c>
      <c r="AF2264" s="32"/>
    </row>
    <row r="2265">
      <c r="A2265" s="86"/>
      <c r="B2265" s="87"/>
      <c r="C2265" s="88"/>
      <c r="D2265" s="104"/>
      <c r="E2265" s="104"/>
      <c r="F2265" s="104"/>
      <c r="G2265" s="104"/>
      <c r="H2265" s="104"/>
      <c r="I2265" s="104"/>
      <c r="J2265" s="104"/>
      <c r="K2265" s="32"/>
      <c r="L2265" s="32"/>
      <c r="M2265" s="32"/>
      <c r="N2265" s="32"/>
      <c r="O2265" s="106"/>
      <c r="P2265" s="91">
        <f>IFERROR(__xludf.DUMMYFUNCTION("IFERROR(sum(FILTER($D:$N,$C:$C = $C2265,$A:$A &lt; $A2265,$B:$B = 12)),0) + sum($D2265:$N2265)"),0.0)</f>
        <v>0</v>
      </c>
      <c r="Q2265" s="92">
        <f t="shared" si="1"/>
        <v>0</v>
      </c>
      <c r="R2265" s="91">
        <f t="array" ref="R2265">IFERROR(INDEX('Fund YTD Target Values'!$1:$1000, MATCH($C2265,'Fund YTD Target Values'!$A:$A,0), MATCH($A2265,'Fund YTD Target Values'!$1:$1,0)),0)</f>
        <v>0</v>
      </c>
      <c r="S2265" s="91">
        <f>IFERROR(__xludf.DUMMYFUNCTION("IFERROR(sum(FILTER('Fund Investment Data'!$V:$V, 'Fund Investment Data'!$C:$C = $C2265, 'Fund Investment Data'!$A:$A &lt; $A2265)),0) + IFERROR(sum(FILTER('Fund Investment Data'!$V:$V, 'Fund Investment Data'!$C:$C = $C2265, 'Fund Investment Data'!$A:$A = $A2"&amp;"265, 'Fund Investment Data'!$B:$B &lt;= $B2265)),0)"),0.0)</f>
        <v>0</v>
      </c>
      <c r="T2265" s="32"/>
      <c r="U2265" s="32"/>
      <c r="V2265" s="32">
        <f>IFERROR(__xludf.DUMMYFUNCTION("$D2265 - IFERROR(FILTER($D:$D,$C:$C = $C2265, $A:$A = $A2265, $B:$B = $B2265 - 1),0)"),0.0)</f>
        <v>0</v>
      </c>
      <c r="W2265" s="93">
        <f>IFERROR(__xludf.DUMMYFUNCTION("$E2265 - IFERROR(FILTER($E:$E,$C:$C = $C2265, $A:$A = $A2265, $B:$B = $B2265 - 1),0)"),0.0)</f>
        <v>0</v>
      </c>
      <c r="X2265" s="91">
        <f>IFERROR(__xludf.DUMMYFUNCTION("iFERROR((FILTER('Fund Investment Data'!$Z:$Z, 'Fund Investment Data'!$C:$C = $C2265, 'Fund Investment Data'!$A:$A = $A2265 - 1, 'Fund Investment Data'!$B:$B = 12) + FILTER('Fund Investment Data'!$AB:$AB, 'Fund Investment Data'!$C:$C = $C2265, 'Fund Invest"&amp;"ment Data'!$A:$A = $A2265 - 1, 'Fund Investment Data'!$B:$B = 12)) * (1 + AVERAGE(FILTER('Inflation Data'!$C:$C,'Inflation Data'!$A:$A = ($A2265 - 2)))) * Parameters!$A$4,0)"),0.0)</f>
        <v>0</v>
      </c>
      <c r="Y2265" s="91">
        <f>IFERROR(__xludf.DUMMYFUNCTION("IFERROR((IFERROR(FILTER('Fund Investment Data'!$P:$P,'Fund Investment Data'!$C:$C = $C2265,'Fund Investment Data'!$A:$A = ($A2265 - 2), 'Fund Investment Data'!$B:$B = 12),0) - SUM(FILTER('Fund Investment Data'!$V:$V, 'Fund Investment Data'!$C:$C = $C2265,"&amp;" 'Fund Investment Data'!$A:$A = ($A2265 - 2), 'Fund Investment Data'!$B:$B &gt; 3)))  * Parameters!$B$4 * (1 - Parameters!$A$4),0)"),0.0)</f>
        <v>0</v>
      </c>
      <c r="Z2265" s="91">
        <f t="shared" si="24"/>
        <v>0</v>
      </c>
      <c r="AA2265" s="91">
        <f>IFERROR(__xludf.DUMMYFUNCTION("((IFERROR((SUM(FILTER('Fund Investment Data'!$V:$V, 'Fund Investment Data'!$C:$C = $C2265, 'Fund Investment Data'!$A:$A = $A2265 - 1, 'Fund Investment Data'!$B:$B &gt;= 4, 'Fund Investment Data'!$B:$B &lt;= ($B2265 + 5))) / 12) * ($B2265 - 3) * Parameters!$B$4,"&amp;" 0) + IF($B2265 &gt;= 9, IFERROR(SUM(FILTER('Fund Investment Data'!$V:$V, 'Fund Investment Data'!$C:$C = $C2265, 'Fund Investment Data'!$A:$A = $A2265, 'Fund Investment Data'!$B:$B &lt;= 3)) * Parameters!$B$4, 0),0)))"),0.0)</f>
        <v>0</v>
      </c>
      <c r="AB2265" s="32">
        <f>IFERROR(__xludf.DUMMYFUNCTION("IFERROR(((IFERROR(SUM(FILTER('Fund Investment Data'!$V:$V, 'Fund Investment Data'!$C:$C = $C2265, 'Fund Investment Data'!$A:$A = $A2265 - 2, 'Fund Investment Data'!$B:$B &gt;= 4)) * Parameters!$B$4,0) + IFERROR(SUM(FILTER('Fund Investment Data'!$V:$V, 'Fund "&amp;"Investment Data'!$C:$C = $C2265, 'Fund Investment Data'!$A:$A = $A2265 - 1, 'Fund Investment Data'!$B:$B &lt;= 3)) * Parameters!$B$4,0))),0)"),0.0)</f>
        <v>0</v>
      </c>
      <c r="AC2265" s="32">
        <f>IFERROR(__xludf.DUMMYFUNCTION("IFERROR(FILTER($AF:$AF,$C:$C = $C2265,$A:$A = $A2265 - 1,$B:$B = 12),0)"),0.0)</f>
        <v>0</v>
      </c>
      <c r="AD2265" s="32">
        <f t="shared" si="23"/>
        <v>0</v>
      </c>
      <c r="AE2265" s="32">
        <f t="shared" si="2"/>
        <v>0</v>
      </c>
      <c r="AF2265" s="32"/>
    </row>
    <row r="2266">
      <c r="A2266" s="86"/>
      <c r="B2266" s="87"/>
      <c r="C2266" s="88"/>
      <c r="D2266" s="104"/>
      <c r="E2266" s="104"/>
      <c r="F2266" s="104"/>
      <c r="G2266" s="104"/>
      <c r="H2266" s="104"/>
      <c r="I2266" s="104"/>
      <c r="J2266" s="104"/>
      <c r="K2266" s="32"/>
      <c r="L2266" s="32"/>
      <c r="M2266" s="32"/>
      <c r="N2266" s="32"/>
      <c r="O2266" s="106"/>
      <c r="P2266" s="91">
        <f>IFERROR(__xludf.DUMMYFUNCTION("IFERROR(sum(FILTER($D:$N,$C:$C = $C2266,$A:$A &lt; $A2266,$B:$B = 12)),0) + sum($D2266:$N2266)"),0.0)</f>
        <v>0</v>
      </c>
      <c r="Q2266" s="92">
        <f t="shared" si="1"/>
        <v>0</v>
      </c>
      <c r="R2266" s="91">
        <f t="array" ref="R2266">IFERROR(INDEX('Fund YTD Target Values'!$1:$1000, MATCH($C2266,'Fund YTD Target Values'!$A:$A,0), MATCH($A2266,'Fund YTD Target Values'!$1:$1,0)),0)</f>
        <v>0</v>
      </c>
      <c r="S2266" s="91">
        <f>IFERROR(__xludf.DUMMYFUNCTION("IFERROR(sum(FILTER('Fund Investment Data'!$V:$V, 'Fund Investment Data'!$C:$C = $C2266, 'Fund Investment Data'!$A:$A &lt; $A2266)),0) + IFERROR(sum(FILTER('Fund Investment Data'!$V:$V, 'Fund Investment Data'!$C:$C = $C2266, 'Fund Investment Data'!$A:$A = $A2"&amp;"266, 'Fund Investment Data'!$B:$B &lt;= $B2266)),0)"),0.0)</f>
        <v>0</v>
      </c>
      <c r="T2266" s="32"/>
      <c r="U2266" s="32"/>
      <c r="V2266" s="32">
        <f>IFERROR(__xludf.DUMMYFUNCTION("$D2266 - IFERROR(FILTER($D:$D,$C:$C = $C2266, $A:$A = $A2266, $B:$B = $B2266 - 1),0)"),0.0)</f>
        <v>0</v>
      </c>
      <c r="W2266" s="93">
        <f>IFERROR(__xludf.DUMMYFUNCTION("$E2266 - IFERROR(FILTER($E:$E,$C:$C = $C2266, $A:$A = $A2266, $B:$B = $B2266 - 1),0)"),0.0)</f>
        <v>0</v>
      </c>
      <c r="X2266" s="91">
        <f>IFERROR(__xludf.DUMMYFUNCTION("iFERROR((FILTER('Fund Investment Data'!$Z:$Z, 'Fund Investment Data'!$C:$C = $C2266, 'Fund Investment Data'!$A:$A = $A2266 - 1, 'Fund Investment Data'!$B:$B = 12) + FILTER('Fund Investment Data'!$AB:$AB, 'Fund Investment Data'!$C:$C = $C2266, 'Fund Invest"&amp;"ment Data'!$A:$A = $A2266 - 1, 'Fund Investment Data'!$B:$B = 12)) * (1 + AVERAGE(FILTER('Inflation Data'!$C:$C,'Inflation Data'!$A:$A = ($A2266 - 2)))) * Parameters!$A$4,0)"),0.0)</f>
        <v>0</v>
      </c>
      <c r="Y2266" s="91">
        <f>IFERROR(__xludf.DUMMYFUNCTION("IFERROR((IFERROR(FILTER('Fund Investment Data'!$P:$P,'Fund Investment Data'!$C:$C = $C2266,'Fund Investment Data'!$A:$A = ($A2266 - 2), 'Fund Investment Data'!$B:$B = 12),0) - SUM(FILTER('Fund Investment Data'!$V:$V, 'Fund Investment Data'!$C:$C = $C2266,"&amp;" 'Fund Investment Data'!$A:$A = ($A2266 - 2), 'Fund Investment Data'!$B:$B &gt; 3)))  * Parameters!$B$4 * (1 - Parameters!$A$4),0)"),0.0)</f>
        <v>0</v>
      </c>
      <c r="Z2266" s="91">
        <f t="shared" si="24"/>
        <v>0</v>
      </c>
      <c r="AA2266" s="91">
        <f>IFERROR(__xludf.DUMMYFUNCTION("((IFERROR((SUM(FILTER('Fund Investment Data'!$V:$V, 'Fund Investment Data'!$C:$C = $C2266, 'Fund Investment Data'!$A:$A = $A2266 - 1, 'Fund Investment Data'!$B:$B &gt;= 4, 'Fund Investment Data'!$B:$B &lt;= ($B2266 + 5))) / 12) * ($B2266 - 3) * Parameters!$B$4,"&amp;" 0) + IF($B2266 &gt;= 9, IFERROR(SUM(FILTER('Fund Investment Data'!$V:$V, 'Fund Investment Data'!$C:$C = $C2266, 'Fund Investment Data'!$A:$A = $A2266, 'Fund Investment Data'!$B:$B &lt;= 3)) * Parameters!$B$4, 0),0)))"),0.0)</f>
        <v>0</v>
      </c>
      <c r="AB2266" s="32">
        <f>IFERROR(__xludf.DUMMYFUNCTION("IFERROR(((IFERROR(SUM(FILTER('Fund Investment Data'!$V:$V, 'Fund Investment Data'!$C:$C = $C2266, 'Fund Investment Data'!$A:$A = $A2266 - 2, 'Fund Investment Data'!$B:$B &gt;= 4)) * Parameters!$B$4,0) + IFERROR(SUM(FILTER('Fund Investment Data'!$V:$V, 'Fund "&amp;"Investment Data'!$C:$C = $C2266, 'Fund Investment Data'!$A:$A = $A2266 - 1, 'Fund Investment Data'!$B:$B &lt;= 3)) * Parameters!$B$4,0))),0)"),0.0)</f>
        <v>0</v>
      </c>
      <c r="AC2266" s="32">
        <f>IFERROR(__xludf.DUMMYFUNCTION("IFERROR(FILTER($AF:$AF,$C:$C = $C2266,$A:$A = $A2266 - 1,$B:$B = 12),0)"),0.0)</f>
        <v>0</v>
      </c>
      <c r="AD2266" s="32">
        <f t="shared" si="23"/>
        <v>0</v>
      </c>
      <c r="AE2266" s="32">
        <f t="shared" si="2"/>
        <v>0</v>
      </c>
      <c r="AF2266" s="32"/>
    </row>
    <row r="2267">
      <c r="A2267" s="86"/>
      <c r="B2267" s="87"/>
      <c r="C2267" s="88"/>
      <c r="D2267" s="104"/>
      <c r="E2267" s="104"/>
      <c r="F2267" s="104"/>
      <c r="G2267" s="104"/>
      <c r="H2267" s="104"/>
      <c r="I2267" s="104"/>
      <c r="J2267" s="104"/>
      <c r="K2267" s="32"/>
      <c r="L2267" s="32"/>
      <c r="M2267" s="32"/>
      <c r="N2267" s="32"/>
      <c r="O2267" s="106"/>
      <c r="P2267" s="91">
        <f>IFERROR(__xludf.DUMMYFUNCTION("IFERROR(sum(FILTER($D:$N,$C:$C = $C2267,$A:$A &lt; $A2267,$B:$B = 12)),0) + sum($D2267:$N2267)"),0.0)</f>
        <v>0</v>
      </c>
      <c r="Q2267" s="92">
        <f t="shared" si="1"/>
        <v>0</v>
      </c>
      <c r="R2267" s="91">
        <f t="array" ref="R2267">IFERROR(INDEX('Fund YTD Target Values'!$1:$1000, MATCH($C2267,'Fund YTD Target Values'!$A:$A,0), MATCH($A2267,'Fund YTD Target Values'!$1:$1,0)),0)</f>
        <v>0</v>
      </c>
      <c r="S2267" s="91">
        <f>IFERROR(__xludf.DUMMYFUNCTION("IFERROR(sum(FILTER('Fund Investment Data'!$V:$V, 'Fund Investment Data'!$C:$C = $C2267, 'Fund Investment Data'!$A:$A &lt; $A2267)),0) + IFERROR(sum(FILTER('Fund Investment Data'!$V:$V, 'Fund Investment Data'!$C:$C = $C2267, 'Fund Investment Data'!$A:$A = $A2"&amp;"267, 'Fund Investment Data'!$B:$B &lt;= $B2267)),0)"),0.0)</f>
        <v>0</v>
      </c>
      <c r="T2267" s="32"/>
      <c r="U2267" s="32"/>
      <c r="V2267" s="32">
        <f>IFERROR(__xludf.DUMMYFUNCTION("$D2267 - IFERROR(FILTER($D:$D,$C:$C = $C2267, $A:$A = $A2267, $B:$B = $B2267 - 1),0)"),0.0)</f>
        <v>0</v>
      </c>
      <c r="W2267" s="93">
        <f>IFERROR(__xludf.DUMMYFUNCTION("$E2267 - IFERROR(FILTER($E:$E,$C:$C = $C2267, $A:$A = $A2267, $B:$B = $B2267 - 1),0)"),0.0)</f>
        <v>0</v>
      </c>
      <c r="X2267" s="91">
        <f>IFERROR(__xludf.DUMMYFUNCTION("iFERROR((FILTER('Fund Investment Data'!$Z:$Z, 'Fund Investment Data'!$C:$C = $C2267, 'Fund Investment Data'!$A:$A = $A2267 - 1, 'Fund Investment Data'!$B:$B = 12) + FILTER('Fund Investment Data'!$AB:$AB, 'Fund Investment Data'!$C:$C = $C2267, 'Fund Invest"&amp;"ment Data'!$A:$A = $A2267 - 1, 'Fund Investment Data'!$B:$B = 12)) * (1 + AVERAGE(FILTER('Inflation Data'!$C:$C,'Inflation Data'!$A:$A = ($A2267 - 2)))) * Parameters!$A$4,0)"),0.0)</f>
        <v>0</v>
      </c>
      <c r="Y2267" s="91">
        <f>IFERROR(__xludf.DUMMYFUNCTION("IFERROR((IFERROR(FILTER('Fund Investment Data'!$P:$P,'Fund Investment Data'!$C:$C = $C2267,'Fund Investment Data'!$A:$A = ($A2267 - 2), 'Fund Investment Data'!$B:$B = 12),0) - SUM(FILTER('Fund Investment Data'!$V:$V, 'Fund Investment Data'!$C:$C = $C2267,"&amp;" 'Fund Investment Data'!$A:$A = ($A2267 - 2), 'Fund Investment Data'!$B:$B &gt; 3)))  * Parameters!$B$4 * (1 - Parameters!$A$4),0)"),0.0)</f>
        <v>0</v>
      </c>
      <c r="Z2267" s="91">
        <f t="shared" si="24"/>
        <v>0</v>
      </c>
      <c r="AA2267" s="91">
        <f>IFERROR(__xludf.DUMMYFUNCTION("((IFERROR((SUM(FILTER('Fund Investment Data'!$V:$V, 'Fund Investment Data'!$C:$C = $C2267, 'Fund Investment Data'!$A:$A = $A2267 - 1, 'Fund Investment Data'!$B:$B &gt;= 4, 'Fund Investment Data'!$B:$B &lt;= ($B2267 + 5))) / 12) * ($B2267 - 3) * Parameters!$B$4,"&amp;" 0) + IF($B2267 &gt;= 9, IFERROR(SUM(FILTER('Fund Investment Data'!$V:$V, 'Fund Investment Data'!$C:$C = $C2267, 'Fund Investment Data'!$A:$A = $A2267, 'Fund Investment Data'!$B:$B &lt;= 3)) * Parameters!$B$4, 0),0)))"),0.0)</f>
        <v>0</v>
      </c>
      <c r="AB2267" s="32">
        <f>IFERROR(__xludf.DUMMYFUNCTION("IFERROR(((IFERROR(SUM(FILTER('Fund Investment Data'!$V:$V, 'Fund Investment Data'!$C:$C = $C2267, 'Fund Investment Data'!$A:$A = $A2267 - 2, 'Fund Investment Data'!$B:$B &gt;= 4)) * Parameters!$B$4,0) + IFERROR(SUM(FILTER('Fund Investment Data'!$V:$V, 'Fund "&amp;"Investment Data'!$C:$C = $C2267, 'Fund Investment Data'!$A:$A = $A2267 - 1, 'Fund Investment Data'!$B:$B &lt;= 3)) * Parameters!$B$4,0))),0)"),0.0)</f>
        <v>0</v>
      </c>
      <c r="AC2267" s="32">
        <f>IFERROR(__xludf.DUMMYFUNCTION("IFERROR(FILTER($AF:$AF,$C:$C = $C2267,$A:$A = $A2267 - 1,$B:$B = 12),0)"),0.0)</f>
        <v>0</v>
      </c>
      <c r="AD2267" s="32">
        <f t="shared" si="23"/>
        <v>0</v>
      </c>
      <c r="AE2267" s="32">
        <f t="shared" si="2"/>
        <v>0</v>
      </c>
      <c r="AF2267" s="32"/>
    </row>
    <row r="2268">
      <c r="A2268" s="86"/>
      <c r="B2268" s="87"/>
      <c r="C2268" s="88"/>
      <c r="D2268" s="104"/>
      <c r="E2268" s="104"/>
      <c r="F2268" s="104"/>
      <c r="G2268" s="104"/>
      <c r="H2268" s="104"/>
      <c r="I2268" s="104"/>
      <c r="J2268" s="104"/>
      <c r="K2268" s="32"/>
      <c r="L2268" s="32"/>
      <c r="M2268" s="32"/>
      <c r="N2268" s="32"/>
      <c r="O2268" s="106"/>
      <c r="P2268" s="91">
        <f>IFERROR(__xludf.DUMMYFUNCTION("IFERROR(sum(FILTER($D:$N,$C:$C = $C2268,$A:$A &lt; $A2268,$B:$B = 12)),0) + sum($D2268:$N2268)"),0.0)</f>
        <v>0</v>
      </c>
      <c r="Q2268" s="92">
        <f t="shared" si="1"/>
        <v>0</v>
      </c>
      <c r="R2268" s="91">
        <f t="array" ref="R2268">IFERROR(INDEX('Fund YTD Target Values'!$1:$1000, MATCH($C2268,'Fund YTD Target Values'!$A:$A,0), MATCH($A2268,'Fund YTD Target Values'!$1:$1,0)),0)</f>
        <v>0</v>
      </c>
      <c r="S2268" s="91">
        <f>IFERROR(__xludf.DUMMYFUNCTION("IFERROR(sum(FILTER('Fund Investment Data'!$V:$V, 'Fund Investment Data'!$C:$C = $C2268, 'Fund Investment Data'!$A:$A &lt; $A2268)),0) + IFERROR(sum(FILTER('Fund Investment Data'!$V:$V, 'Fund Investment Data'!$C:$C = $C2268, 'Fund Investment Data'!$A:$A = $A2"&amp;"268, 'Fund Investment Data'!$B:$B &lt;= $B2268)),0)"),0.0)</f>
        <v>0</v>
      </c>
      <c r="T2268" s="32"/>
      <c r="U2268" s="32"/>
      <c r="V2268" s="32">
        <f>IFERROR(__xludf.DUMMYFUNCTION("$D2268 - IFERROR(FILTER($D:$D,$C:$C = $C2268, $A:$A = $A2268, $B:$B = $B2268 - 1),0)"),0.0)</f>
        <v>0</v>
      </c>
      <c r="W2268" s="93">
        <f>IFERROR(__xludf.DUMMYFUNCTION("$E2268 - IFERROR(FILTER($E:$E,$C:$C = $C2268, $A:$A = $A2268, $B:$B = $B2268 - 1),0)"),0.0)</f>
        <v>0</v>
      </c>
      <c r="X2268" s="91">
        <f>IFERROR(__xludf.DUMMYFUNCTION("iFERROR((FILTER('Fund Investment Data'!$Z:$Z, 'Fund Investment Data'!$C:$C = $C2268, 'Fund Investment Data'!$A:$A = $A2268 - 1, 'Fund Investment Data'!$B:$B = 12) + FILTER('Fund Investment Data'!$AB:$AB, 'Fund Investment Data'!$C:$C = $C2268, 'Fund Invest"&amp;"ment Data'!$A:$A = $A2268 - 1, 'Fund Investment Data'!$B:$B = 12)) * (1 + AVERAGE(FILTER('Inflation Data'!$C:$C,'Inflation Data'!$A:$A = ($A2268 - 2)))) * Parameters!$A$4,0)"),0.0)</f>
        <v>0</v>
      </c>
      <c r="Y2268" s="91">
        <f>IFERROR(__xludf.DUMMYFUNCTION("IFERROR((IFERROR(FILTER('Fund Investment Data'!$P:$P,'Fund Investment Data'!$C:$C = $C2268,'Fund Investment Data'!$A:$A = ($A2268 - 2), 'Fund Investment Data'!$B:$B = 12),0) - SUM(FILTER('Fund Investment Data'!$V:$V, 'Fund Investment Data'!$C:$C = $C2268,"&amp;" 'Fund Investment Data'!$A:$A = ($A2268 - 2), 'Fund Investment Data'!$B:$B &gt; 3)))  * Parameters!$B$4 * (1 - Parameters!$A$4),0)"),0.0)</f>
        <v>0</v>
      </c>
      <c r="Z2268" s="91">
        <f t="shared" si="24"/>
        <v>0</v>
      </c>
      <c r="AA2268" s="91">
        <f>IFERROR(__xludf.DUMMYFUNCTION("((IFERROR((SUM(FILTER('Fund Investment Data'!$V:$V, 'Fund Investment Data'!$C:$C = $C2268, 'Fund Investment Data'!$A:$A = $A2268 - 1, 'Fund Investment Data'!$B:$B &gt;= 4, 'Fund Investment Data'!$B:$B &lt;= ($B2268 + 5))) / 12) * ($B2268 - 3) * Parameters!$B$4,"&amp;" 0) + IF($B2268 &gt;= 9, IFERROR(SUM(FILTER('Fund Investment Data'!$V:$V, 'Fund Investment Data'!$C:$C = $C2268, 'Fund Investment Data'!$A:$A = $A2268, 'Fund Investment Data'!$B:$B &lt;= 3)) * Parameters!$B$4, 0),0)))"),0.0)</f>
        <v>0</v>
      </c>
      <c r="AB2268" s="32">
        <f>IFERROR(__xludf.DUMMYFUNCTION("IFERROR(((IFERROR(SUM(FILTER('Fund Investment Data'!$V:$V, 'Fund Investment Data'!$C:$C = $C2268, 'Fund Investment Data'!$A:$A = $A2268 - 2, 'Fund Investment Data'!$B:$B &gt;= 4)) * Parameters!$B$4,0) + IFERROR(SUM(FILTER('Fund Investment Data'!$V:$V, 'Fund "&amp;"Investment Data'!$C:$C = $C2268, 'Fund Investment Data'!$A:$A = $A2268 - 1, 'Fund Investment Data'!$B:$B &lt;= 3)) * Parameters!$B$4,0))),0)"),0.0)</f>
        <v>0</v>
      </c>
      <c r="AC2268" s="32">
        <f>IFERROR(__xludf.DUMMYFUNCTION("IFERROR(FILTER($AF:$AF,$C:$C = $C2268,$A:$A = $A2268 - 1,$B:$B = 12),0)"),0.0)</f>
        <v>0</v>
      </c>
      <c r="AD2268" s="32">
        <f t="shared" si="23"/>
        <v>0</v>
      </c>
      <c r="AE2268" s="32">
        <f t="shared" si="2"/>
        <v>0</v>
      </c>
      <c r="AF2268" s="32"/>
    </row>
    <row r="2269">
      <c r="A2269" s="86"/>
      <c r="B2269" s="87"/>
      <c r="C2269" s="88"/>
      <c r="D2269" s="104"/>
      <c r="E2269" s="104"/>
      <c r="F2269" s="104"/>
      <c r="G2269" s="104"/>
      <c r="H2269" s="104"/>
      <c r="I2269" s="104"/>
      <c r="J2269" s="104"/>
      <c r="K2269" s="32"/>
      <c r="L2269" s="32"/>
      <c r="M2269" s="32"/>
      <c r="N2269" s="32"/>
      <c r="O2269" s="106"/>
      <c r="P2269" s="91">
        <f>IFERROR(__xludf.DUMMYFUNCTION("IFERROR(sum(FILTER($D:$N,$C:$C = $C2269,$A:$A &lt; $A2269,$B:$B = 12)),0) + sum($D2269:$N2269)"),0.0)</f>
        <v>0</v>
      </c>
      <c r="Q2269" s="92">
        <f t="shared" si="1"/>
        <v>0</v>
      </c>
      <c r="R2269" s="91">
        <f t="array" ref="R2269">IFERROR(INDEX('Fund YTD Target Values'!$1:$1000, MATCH($C2269,'Fund YTD Target Values'!$A:$A,0), MATCH($A2269,'Fund YTD Target Values'!$1:$1,0)),0)</f>
        <v>0</v>
      </c>
      <c r="S2269" s="91">
        <f>IFERROR(__xludf.DUMMYFUNCTION("IFERROR(sum(FILTER('Fund Investment Data'!$V:$V, 'Fund Investment Data'!$C:$C = $C2269, 'Fund Investment Data'!$A:$A &lt; $A2269)),0) + IFERROR(sum(FILTER('Fund Investment Data'!$V:$V, 'Fund Investment Data'!$C:$C = $C2269, 'Fund Investment Data'!$A:$A = $A2"&amp;"269, 'Fund Investment Data'!$B:$B &lt;= $B2269)),0)"),0.0)</f>
        <v>0</v>
      </c>
      <c r="T2269" s="32"/>
      <c r="U2269" s="32"/>
      <c r="V2269" s="32">
        <f>IFERROR(__xludf.DUMMYFUNCTION("$D2269 - IFERROR(FILTER($D:$D,$C:$C = $C2269, $A:$A = $A2269, $B:$B = $B2269 - 1),0)"),0.0)</f>
        <v>0</v>
      </c>
      <c r="W2269" s="93">
        <f>IFERROR(__xludf.DUMMYFUNCTION("$E2269 - IFERROR(FILTER($E:$E,$C:$C = $C2269, $A:$A = $A2269, $B:$B = $B2269 - 1),0)"),0.0)</f>
        <v>0</v>
      </c>
      <c r="X2269" s="91">
        <f>IFERROR(__xludf.DUMMYFUNCTION("iFERROR((FILTER('Fund Investment Data'!$Z:$Z, 'Fund Investment Data'!$C:$C = $C2269, 'Fund Investment Data'!$A:$A = $A2269 - 1, 'Fund Investment Data'!$B:$B = 12) + FILTER('Fund Investment Data'!$AB:$AB, 'Fund Investment Data'!$C:$C = $C2269, 'Fund Invest"&amp;"ment Data'!$A:$A = $A2269 - 1, 'Fund Investment Data'!$B:$B = 12)) * (1 + AVERAGE(FILTER('Inflation Data'!$C:$C,'Inflation Data'!$A:$A = ($A2269 - 2)))) * Parameters!$A$4,0)"),0.0)</f>
        <v>0</v>
      </c>
      <c r="Y2269" s="91">
        <f>IFERROR(__xludf.DUMMYFUNCTION("IFERROR((IFERROR(FILTER('Fund Investment Data'!$P:$P,'Fund Investment Data'!$C:$C = $C2269,'Fund Investment Data'!$A:$A = ($A2269 - 2), 'Fund Investment Data'!$B:$B = 12),0) - SUM(FILTER('Fund Investment Data'!$V:$V, 'Fund Investment Data'!$C:$C = $C2269,"&amp;" 'Fund Investment Data'!$A:$A = ($A2269 - 2), 'Fund Investment Data'!$B:$B &gt; 3)))  * Parameters!$B$4 * (1 - Parameters!$A$4),0)"),0.0)</f>
        <v>0</v>
      </c>
      <c r="Z2269" s="91">
        <f t="shared" si="24"/>
        <v>0</v>
      </c>
      <c r="AA2269" s="91">
        <f>IFERROR(__xludf.DUMMYFUNCTION("((IFERROR((SUM(FILTER('Fund Investment Data'!$V:$V, 'Fund Investment Data'!$C:$C = $C2269, 'Fund Investment Data'!$A:$A = $A2269 - 1, 'Fund Investment Data'!$B:$B &gt;= 4, 'Fund Investment Data'!$B:$B &lt;= ($B2269 + 5))) / 12) * ($B2269 - 3) * Parameters!$B$4,"&amp;" 0) + IF($B2269 &gt;= 9, IFERROR(SUM(FILTER('Fund Investment Data'!$V:$V, 'Fund Investment Data'!$C:$C = $C2269, 'Fund Investment Data'!$A:$A = $A2269, 'Fund Investment Data'!$B:$B &lt;= 3)) * Parameters!$B$4, 0),0)))"),0.0)</f>
        <v>0</v>
      </c>
      <c r="AB2269" s="32">
        <f>IFERROR(__xludf.DUMMYFUNCTION("IFERROR(((IFERROR(SUM(FILTER('Fund Investment Data'!$V:$V, 'Fund Investment Data'!$C:$C = $C2269, 'Fund Investment Data'!$A:$A = $A2269 - 2, 'Fund Investment Data'!$B:$B &gt;= 4)) * Parameters!$B$4,0) + IFERROR(SUM(FILTER('Fund Investment Data'!$V:$V, 'Fund "&amp;"Investment Data'!$C:$C = $C2269, 'Fund Investment Data'!$A:$A = $A2269 - 1, 'Fund Investment Data'!$B:$B &lt;= 3)) * Parameters!$B$4,0))),0)"),0.0)</f>
        <v>0</v>
      </c>
      <c r="AC2269" s="32">
        <f>IFERROR(__xludf.DUMMYFUNCTION("IFERROR(FILTER($AF:$AF,$C:$C = $C2269,$A:$A = $A2269 - 1,$B:$B = 12),0)"),0.0)</f>
        <v>0</v>
      </c>
      <c r="AD2269" s="32">
        <f t="shared" si="23"/>
        <v>0</v>
      </c>
      <c r="AE2269" s="32">
        <f t="shared" si="2"/>
        <v>0</v>
      </c>
      <c r="AF2269" s="32"/>
    </row>
    <row r="2270">
      <c r="A2270" s="86"/>
      <c r="B2270" s="87"/>
      <c r="C2270" s="88"/>
      <c r="D2270" s="104"/>
      <c r="E2270" s="104"/>
      <c r="F2270" s="104"/>
      <c r="G2270" s="104"/>
      <c r="H2270" s="104"/>
      <c r="I2270" s="104"/>
      <c r="J2270" s="104"/>
      <c r="K2270" s="32"/>
      <c r="L2270" s="32"/>
      <c r="M2270" s="32"/>
      <c r="N2270" s="32"/>
      <c r="O2270" s="106"/>
      <c r="P2270" s="91">
        <f>IFERROR(__xludf.DUMMYFUNCTION("IFERROR(sum(FILTER($D:$N,$C:$C = $C2270,$A:$A &lt; $A2270,$B:$B = 12)),0) + sum($D2270:$N2270)"),0.0)</f>
        <v>0</v>
      </c>
      <c r="Q2270" s="92">
        <f t="shared" si="1"/>
        <v>0</v>
      </c>
      <c r="R2270" s="91">
        <f t="array" ref="R2270">IFERROR(INDEX('Fund YTD Target Values'!$1:$1000, MATCH($C2270,'Fund YTD Target Values'!$A:$A,0), MATCH($A2270,'Fund YTD Target Values'!$1:$1,0)),0)</f>
        <v>0</v>
      </c>
      <c r="S2270" s="91">
        <f>IFERROR(__xludf.DUMMYFUNCTION("IFERROR(sum(FILTER('Fund Investment Data'!$V:$V, 'Fund Investment Data'!$C:$C = $C2270, 'Fund Investment Data'!$A:$A &lt; $A2270)),0) + IFERROR(sum(FILTER('Fund Investment Data'!$V:$V, 'Fund Investment Data'!$C:$C = $C2270, 'Fund Investment Data'!$A:$A = $A2"&amp;"270, 'Fund Investment Data'!$B:$B &lt;= $B2270)),0)"),0.0)</f>
        <v>0</v>
      </c>
      <c r="T2270" s="32"/>
      <c r="U2270" s="32"/>
      <c r="V2270" s="32">
        <f>IFERROR(__xludf.DUMMYFUNCTION("$D2270 - IFERROR(FILTER($D:$D,$C:$C = $C2270, $A:$A = $A2270, $B:$B = $B2270 - 1),0)"),0.0)</f>
        <v>0</v>
      </c>
      <c r="W2270" s="93">
        <f>IFERROR(__xludf.DUMMYFUNCTION("$E2270 - IFERROR(FILTER($E:$E,$C:$C = $C2270, $A:$A = $A2270, $B:$B = $B2270 - 1),0)"),0.0)</f>
        <v>0</v>
      </c>
      <c r="X2270" s="91">
        <f>IFERROR(__xludf.DUMMYFUNCTION("iFERROR((FILTER('Fund Investment Data'!$Z:$Z, 'Fund Investment Data'!$C:$C = $C2270, 'Fund Investment Data'!$A:$A = $A2270 - 1, 'Fund Investment Data'!$B:$B = 12) + FILTER('Fund Investment Data'!$AB:$AB, 'Fund Investment Data'!$C:$C = $C2270, 'Fund Invest"&amp;"ment Data'!$A:$A = $A2270 - 1, 'Fund Investment Data'!$B:$B = 12)) * (1 + AVERAGE(FILTER('Inflation Data'!$C:$C,'Inflation Data'!$A:$A = ($A2270 - 2)))) * Parameters!$A$4,0)"),0.0)</f>
        <v>0</v>
      </c>
      <c r="Y2270" s="91">
        <f>IFERROR(__xludf.DUMMYFUNCTION("IFERROR((IFERROR(FILTER('Fund Investment Data'!$P:$P,'Fund Investment Data'!$C:$C = $C2270,'Fund Investment Data'!$A:$A = ($A2270 - 2), 'Fund Investment Data'!$B:$B = 12),0) - SUM(FILTER('Fund Investment Data'!$V:$V, 'Fund Investment Data'!$C:$C = $C2270,"&amp;" 'Fund Investment Data'!$A:$A = ($A2270 - 2), 'Fund Investment Data'!$B:$B &gt; 3)))  * Parameters!$B$4 * (1 - Parameters!$A$4),0)"),0.0)</f>
        <v>0</v>
      </c>
      <c r="Z2270" s="91">
        <f t="shared" si="24"/>
        <v>0</v>
      </c>
      <c r="AA2270" s="91">
        <f>IFERROR(__xludf.DUMMYFUNCTION("((IFERROR((SUM(FILTER('Fund Investment Data'!$V:$V, 'Fund Investment Data'!$C:$C = $C2270, 'Fund Investment Data'!$A:$A = $A2270 - 1, 'Fund Investment Data'!$B:$B &gt;= 4, 'Fund Investment Data'!$B:$B &lt;= ($B2270 + 5))) / 12) * ($B2270 - 3) * Parameters!$B$4,"&amp;" 0) + IF($B2270 &gt;= 9, IFERROR(SUM(FILTER('Fund Investment Data'!$V:$V, 'Fund Investment Data'!$C:$C = $C2270, 'Fund Investment Data'!$A:$A = $A2270, 'Fund Investment Data'!$B:$B &lt;= 3)) * Parameters!$B$4, 0),0)))"),0.0)</f>
        <v>0</v>
      </c>
      <c r="AB2270" s="32">
        <f>IFERROR(__xludf.DUMMYFUNCTION("IFERROR(((IFERROR(SUM(FILTER('Fund Investment Data'!$V:$V, 'Fund Investment Data'!$C:$C = $C2270, 'Fund Investment Data'!$A:$A = $A2270 - 2, 'Fund Investment Data'!$B:$B &gt;= 4)) * Parameters!$B$4,0) + IFERROR(SUM(FILTER('Fund Investment Data'!$V:$V, 'Fund "&amp;"Investment Data'!$C:$C = $C2270, 'Fund Investment Data'!$A:$A = $A2270 - 1, 'Fund Investment Data'!$B:$B &lt;= 3)) * Parameters!$B$4,0))),0)"),0.0)</f>
        <v>0</v>
      </c>
      <c r="AC2270" s="32">
        <f>IFERROR(__xludf.DUMMYFUNCTION("IFERROR(FILTER($AF:$AF,$C:$C = $C2270,$A:$A = $A2270 - 1,$B:$B = 12),0)"),0.0)</f>
        <v>0</v>
      </c>
      <c r="AD2270" s="32">
        <f t="shared" si="23"/>
        <v>0</v>
      </c>
      <c r="AE2270" s="32">
        <f t="shared" si="2"/>
        <v>0</v>
      </c>
      <c r="AF2270" s="32"/>
    </row>
    <row r="2271">
      <c r="A2271" s="86"/>
      <c r="B2271" s="87"/>
      <c r="C2271" s="88"/>
      <c r="D2271" s="104"/>
      <c r="E2271" s="104"/>
      <c r="F2271" s="104"/>
      <c r="G2271" s="104"/>
      <c r="H2271" s="104"/>
      <c r="I2271" s="104"/>
      <c r="J2271" s="104"/>
      <c r="K2271" s="32"/>
      <c r="L2271" s="32"/>
      <c r="M2271" s="32"/>
      <c r="N2271" s="32"/>
      <c r="O2271" s="106"/>
      <c r="P2271" s="91">
        <f>IFERROR(__xludf.DUMMYFUNCTION("IFERROR(sum(FILTER($D:$N,$C:$C = $C2271,$A:$A &lt; $A2271,$B:$B = 12)),0) + sum($D2271:$N2271)"),0.0)</f>
        <v>0</v>
      </c>
      <c r="Q2271" s="92">
        <f t="shared" si="1"/>
        <v>0</v>
      </c>
      <c r="R2271" s="91">
        <f t="array" ref="R2271">IFERROR(INDEX('Fund YTD Target Values'!$1:$1000, MATCH($C2271,'Fund YTD Target Values'!$A:$A,0), MATCH($A2271,'Fund YTD Target Values'!$1:$1,0)),0)</f>
        <v>0</v>
      </c>
      <c r="S2271" s="91">
        <f>IFERROR(__xludf.DUMMYFUNCTION("IFERROR(sum(FILTER('Fund Investment Data'!$V:$V, 'Fund Investment Data'!$C:$C = $C2271, 'Fund Investment Data'!$A:$A &lt; $A2271)),0) + IFERROR(sum(FILTER('Fund Investment Data'!$V:$V, 'Fund Investment Data'!$C:$C = $C2271, 'Fund Investment Data'!$A:$A = $A2"&amp;"271, 'Fund Investment Data'!$B:$B &lt;= $B2271)),0)"),0.0)</f>
        <v>0</v>
      </c>
      <c r="T2271" s="32"/>
      <c r="U2271" s="32"/>
      <c r="V2271" s="32">
        <f>IFERROR(__xludf.DUMMYFUNCTION("$D2271 - IFERROR(FILTER($D:$D,$C:$C = $C2271, $A:$A = $A2271, $B:$B = $B2271 - 1),0)"),0.0)</f>
        <v>0</v>
      </c>
      <c r="W2271" s="93">
        <f>IFERROR(__xludf.DUMMYFUNCTION("$E2271 - IFERROR(FILTER($E:$E,$C:$C = $C2271, $A:$A = $A2271, $B:$B = $B2271 - 1),0)"),0.0)</f>
        <v>0</v>
      </c>
      <c r="X2271" s="91">
        <f>IFERROR(__xludf.DUMMYFUNCTION("iFERROR((FILTER('Fund Investment Data'!$Z:$Z, 'Fund Investment Data'!$C:$C = $C2271, 'Fund Investment Data'!$A:$A = $A2271 - 1, 'Fund Investment Data'!$B:$B = 12) + FILTER('Fund Investment Data'!$AB:$AB, 'Fund Investment Data'!$C:$C = $C2271, 'Fund Invest"&amp;"ment Data'!$A:$A = $A2271 - 1, 'Fund Investment Data'!$B:$B = 12)) * (1 + AVERAGE(FILTER('Inflation Data'!$C:$C,'Inflation Data'!$A:$A = ($A2271 - 2)))) * Parameters!$A$4,0)"),0.0)</f>
        <v>0</v>
      </c>
      <c r="Y2271" s="91">
        <f>IFERROR(__xludf.DUMMYFUNCTION("IFERROR((IFERROR(FILTER('Fund Investment Data'!$P:$P,'Fund Investment Data'!$C:$C = $C2271,'Fund Investment Data'!$A:$A = ($A2271 - 2), 'Fund Investment Data'!$B:$B = 12),0) - SUM(FILTER('Fund Investment Data'!$V:$V, 'Fund Investment Data'!$C:$C = $C2271,"&amp;" 'Fund Investment Data'!$A:$A = ($A2271 - 2), 'Fund Investment Data'!$B:$B &gt; 3)))  * Parameters!$B$4 * (1 - Parameters!$A$4),0)"),0.0)</f>
        <v>0</v>
      </c>
      <c r="Z2271" s="91">
        <f t="shared" si="24"/>
        <v>0</v>
      </c>
      <c r="AA2271" s="91">
        <f>IFERROR(__xludf.DUMMYFUNCTION("((IFERROR((SUM(FILTER('Fund Investment Data'!$V:$V, 'Fund Investment Data'!$C:$C = $C2271, 'Fund Investment Data'!$A:$A = $A2271 - 1, 'Fund Investment Data'!$B:$B &gt;= 4, 'Fund Investment Data'!$B:$B &lt;= ($B2271 + 5))) / 12) * ($B2271 - 3) * Parameters!$B$4,"&amp;" 0) + IF($B2271 &gt;= 9, IFERROR(SUM(FILTER('Fund Investment Data'!$V:$V, 'Fund Investment Data'!$C:$C = $C2271, 'Fund Investment Data'!$A:$A = $A2271, 'Fund Investment Data'!$B:$B &lt;= 3)) * Parameters!$B$4, 0),0)))"),0.0)</f>
        <v>0</v>
      </c>
      <c r="AB2271" s="32">
        <f>IFERROR(__xludf.DUMMYFUNCTION("IFERROR(((IFERROR(SUM(FILTER('Fund Investment Data'!$V:$V, 'Fund Investment Data'!$C:$C = $C2271, 'Fund Investment Data'!$A:$A = $A2271 - 2, 'Fund Investment Data'!$B:$B &gt;= 4)) * Parameters!$B$4,0) + IFERROR(SUM(FILTER('Fund Investment Data'!$V:$V, 'Fund "&amp;"Investment Data'!$C:$C = $C2271, 'Fund Investment Data'!$A:$A = $A2271 - 1, 'Fund Investment Data'!$B:$B &lt;= 3)) * Parameters!$B$4,0))),0)"),0.0)</f>
        <v>0</v>
      </c>
      <c r="AC2271" s="32">
        <f>IFERROR(__xludf.DUMMYFUNCTION("IFERROR(FILTER($AF:$AF,$C:$C = $C2271,$A:$A = $A2271 - 1,$B:$B = 12),0)"),0.0)</f>
        <v>0</v>
      </c>
      <c r="AD2271" s="32">
        <f t="shared" si="23"/>
        <v>0</v>
      </c>
      <c r="AE2271" s="32">
        <f t="shared" si="2"/>
        <v>0</v>
      </c>
      <c r="AF2271" s="32"/>
    </row>
    <row r="2272">
      <c r="A2272" s="86"/>
      <c r="B2272" s="87"/>
      <c r="C2272" s="88"/>
      <c r="D2272" s="104"/>
      <c r="E2272" s="104"/>
      <c r="F2272" s="104"/>
      <c r="G2272" s="104"/>
      <c r="H2272" s="104"/>
      <c r="I2272" s="104"/>
      <c r="J2272" s="104"/>
      <c r="K2272" s="32"/>
      <c r="L2272" s="32"/>
      <c r="M2272" s="32"/>
      <c r="N2272" s="32"/>
      <c r="O2272" s="106"/>
      <c r="P2272" s="91">
        <f>IFERROR(__xludf.DUMMYFUNCTION("IFERROR(sum(FILTER($D:$N,$C:$C = $C2272,$A:$A &lt; $A2272,$B:$B = 12)),0) + sum($D2272:$N2272)"),0.0)</f>
        <v>0</v>
      </c>
      <c r="Q2272" s="92">
        <f t="shared" si="1"/>
        <v>0</v>
      </c>
      <c r="R2272" s="91">
        <f t="array" ref="R2272">IFERROR(INDEX('Fund YTD Target Values'!$1:$1000, MATCH($C2272,'Fund YTD Target Values'!$A:$A,0), MATCH($A2272,'Fund YTD Target Values'!$1:$1,0)),0)</f>
        <v>0</v>
      </c>
      <c r="S2272" s="91">
        <f>IFERROR(__xludf.DUMMYFUNCTION("IFERROR(sum(FILTER('Fund Investment Data'!$V:$V, 'Fund Investment Data'!$C:$C = $C2272, 'Fund Investment Data'!$A:$A &lt; $A2272)),0) + IFERROR(sum(FILTER('Fund Investment Data'!$V:$V, 'Fund Investment Data'!$C:$C = $C2272, 'Fund Investment Data'!$A:$A = $A2"&amp;"272, 'Fund Investment Data'!$B:$B &lt;= $B2272)),0)"),0.0)</f>
        <v>0</v>
      </c>
      <c r="T2272" s="32"/>
      <c r="U2272" s="32"/>
      <c r="V2272" s="32">
        <f>IFERROR(__xludf.DUMMYFUNCTION("$D2272 - IFERROR(FILTER($D:$D,$C:$C = $C2272, $A:$A = $A2272, $B:$B = $B2272 - 1),0)"),0.0)</f>
        <v>0</v>
      </c>
      <c r="W2272" s="93">
        <f>IFERROR(__xludf.DUMMYFUNCTION("$E2272 - IFERROR(FILTER($E:$E,$C:$C = $C2272, $A:$A = $A2272, $B:$B = $B2272 - 1),0)"),0.0)</f>
        <v>0</v>
      </c>
      <c r="X2272" s="91">
        <f>IFERROR(__xludf.DUMMYFUNCTION("iFERROR((FILTER('Fund Investment Data'!$Z:$Z, 'Fund Investment Data'!$C:$C = $C2272, 'Fund Investment Data'!$A:$A = $A2272 - 1, 'Fund Investment Data'!$B:$B = 12) + FILTER('Fund Investment Data'!$AB:$AB, 'Fund Investment Data'!$C:$C = $C2272, 'Fund Invest"&amp;"ment Data'!$A:$A = $A2272 - 1, 'Fund Investment Data'!$B:$B = 12)) * (1 + AVERAGE(FILTER('Inflation Data'!$C:$C,'Inflation Data'!$A:$A = ($A2272 - 2)))) * Parameters!$A$4,0)"),0.0)</f>
        <v>0</v>
      </c>
      <c r="Y2272" s="91">
        <f>IFERROR(__xludf.DUMMYFUNCTION("IFERROR((IFERROR(FILTER('Fund Investment Data'!$P:$P,'Fund Investment Data'!$C:$C = $C2272,'Fund Investment Data'!$A:$A = ($A2272 - 2), 'Fund Investment Data'!$B:$B = 12),0) - SUM(FILTER('Fund Investment Data'!$V:$V, 'Fund Investment Data'!$C:$C = $C2272,"&amp;" 'Fund Investment Data'!$A:$A = ($A2272 - 2), 'Fund Investment Data'!$B:$B &gt; 3)))  * Parameters!$B$4 * (1 - Parameters!$A$4),0)"),0.0)</f>
        <v>0</v>
      </c>
      <c r="Z2272" s="91">
        <f t="shared" si="24"/>
        <v>0</v>
      </c>
      <c r="AA2272" s="91">
        <f>IFERROR(__xludf.DUMMYFUNCTION("((IFERROR((SUM(FILTER('Fund Investment Data'!$V:$V, 'Fund Investment Data'!$C:$C = $C2272, 'Fund Investment Data'!$A:$A = $A2272 - 1, 'Fund Investment Data'!$B:$B &gt;= 4, 'Fund Investment Data'!$B:$B &lt;= ($B2272 + 5))) / 12) * ($B2272 - 3) * Parameters!$B$4,"&amp;" 0) + IF($B2272 &gt;= 9, IFERROR(SUM(FILTER('Fund Investment Data'!$V:$V, 'Fund Investment Data'!$C:$C = $C2272, 'Fund Investment Data'!$A:$A = $A2272, 'Fund Investment Data'!$B:$B &lt;= 3)) * Parameters!$B$4, 0),0)))"),0.0)</f>
        <v>0</v>
      </c>
      <c r="AB2272" s="32">
        <f>IFERROR(__xludf.DUMMYFUNCTION("IFERROR(((IFERROR(SUM(FILTER('Fund Investment Data'!$V:$V, 'Fund Investment Data'!$C:$C = $C2272, 'Fund Investment Data'!$A:$A = $A2272 - 2, 'Fund Investment Data'!$B:$B &gt;= 4)) * Parameters!$B$4,0) + IFERROR(SUM(FILTER('Fund Investment Data'!$V:$V, 'Fund "&amp;"Investment Data'!$C:$C = $C2272, 'Fund Investment Data'!$A:$A = $A2272 - 1, 'Fund Investment Data'!$B:$B &lt;= 3)) * Parameters!$B$4,0))),0)"),0.0)</f>
        <v>0</v>
      </c>
      <c r="AC2272" s="32">
        <f>IFERROR(__xludf.DUMMYFUNCTION("IFERROR(FILTER($AF:$AF,$C:$C = $C2272,$A:$A = $A2272 - 1,$B:$B = 12),0)"),0.0)</f>
        <v>0</v>
      </c>
      <c r="AD2272" s="32">
        <f t="shared" si="23"/>
        <v>0</v>
      </c>
      <c r="AE2272" s="32">
        <f t="shared" si="2"/>
        <v>0</v>
      </c>
      <c r="AF2272" s="32"/>
    </row>
    <row r="2273">
      <c r="A2273" s="86"/>
      <c r="B2273" s="87"/>
      <c r="C2273" s="88"/>
      <c r="D2273" s="104"/>
      <c r="E2273" s="104"/>
      <c r="F2273" s="104"/>
      <c r="G2273" s="104"/>
      <c r="H2273" s="104"/>
      <c r="I2273" s="104"/>
      <c r="J2273" s="104"/>
      <c r="K2273" s="32"/>
      <c r="L2273" s="32"/>
      <c r="M2273" s="32"/>
      <c r="N2273" s="32"/>
      <c r="O2273" s="106"/>
      <c r="P2273" s="91">
        <f>IFERROR(__xludf.DUMMYFUNCTION("IFERROR(sum(FILTER($D:$N,$C:$C = $C2273,$A:$A &lt; $A2273,$B:$B = 12)),0) + sum($D2273:$N2273)"),0.0)</f>
        <v>0</v>
      </c>
      <c r="Q2273" s="92">
        <f t="shared" si="1"/>
        <v>0</v>
      </c>
      <c r="R2273" s="91">
        <f t="array" ref="R2273">IFERROR(INDEX('Fund YTD Target Values'!$1:$1000, MATCH($C2273,'Fund YTD Target Values'!$A:$A,0), MATCH($A2273,'Fund YTD Target Values'!$1:$1,0)),0)</f>
        <v>0</v>
      </c>
      <c r="S2273" s="91">
        <f>IFERROR(__xludf.DUMMYFUNCTION("IFERROR(sum(FILTER('Fund Investment Data'!$V:$V, 'Fund Investment Data'!$C:$C = $C2273, 'Fund Investment Data'!$A:$A &lt; $A2273)),0) + IFERROR(sum(FILTER('Fund Investment Data'!$V:$V, 'Fund Investment Data'!$C:$C = $C2273, 'Fund Investment Data'!$A:$A = $A2"&amp;"273, 'Fund Investment Data'!$B:$B &lt;= $B2273)),0)"),0.0)</f>
        <v>0</v>
      </c>
      <c r="T2273" s="32"/>
      <c r="U2273" s="32"/>
      <c r="V2273" s="32">
        <f>IFERROR(__xludf.DUMMYFUNCTION("$D2273 - IFERROR(FILTER($D:$D,$C:$C = $C2273, $A:$A = $A2273, $B:$B = $B2273 - 1),0)"),0.0)</f>
        <v>0</v>
      </c>
      <c r="W2273" s="93">
        <f>IFERROR(__xludf.DUMMYFUNCTION("$E2273 - IFERROR(FILTER($E:$E,$C:$C = $C2273, $A:$A = $A2273, $B:$B = $B2273 - 1),0)"),0.0)</f>
        <v>0</v>
      </c>
      <c r="X2273" s="91">
        <f>IFERROR(__xludf.DUMMYFUNCTION("iFERROR((FILTER('Fund Investment Data'!$Z:$Z, 'Fund Investment Data'!$C:$C = $C2273, 'Fund Investment Data'!$A:$A = $A2273 - 1, 'Fund Investment Data'!$B:$B = 12) + FILTER('Fund Investment Data'!$AB:$AB, 'Fund Investment Data'!$C:$C = $C2273, 'Fund Invest"&amp;"ment Data'!$A:$A = $A2273 - 1, 'Fund Investment Data'!$B:$B = 12)) * (1 + AVERAGE(FILTER('Inflation Data'!$C:$C,'Inflation Data'!$A:$A = ($A2273 - 2)))) * Parameters!$A$4,0)"),0.0)</f>
        <v>0</v>
      </c>
      <c r="Y2273" s="91">
        <f>IFERROR(__xludf.DUMMYFUNCTION("IFERROR((IFERROR(FILTER('Fund Investment Data'!$P:$P,'Fund Investment Data'!$C:$C = $C2273,'Fund Investment Data'!$A:$A = ($A2273 - 2), 'Fund Investment Data'!$B:$B = 12),0) - SUM(FILTER('Fund Investment Data'!$V:$V, 'Fund Investment Data'!$C:$C = $C2273,"&amp;" 'Fund Investment Data'!$A:$A = ($A2273 - 2), 'Fund Investment Data'!$B:$B &gt; 3)))  * Parameters!$B$4 * (1 - Parameters!$A$4),0)"),0.0)</f>
        <v>0</v>
      </c>
      <c r="Z2273" s="91">
        <f t="shared" si="24"/>
        <v>0</v>
      </c>
      <c r="AA2273" s="91">
        <f>IFERROR(__xludf.DUMMYFUNCTION("((IFERROR((SUM(FILTER('Fund Investment Data'!$V:$V, 'Fund Investment Data'!$C:$C = $C2273, 'Fund Investment Data'!$A:$A = $A2273 - 1, 'Fund Investment Data'!$B:$B &gt;= 4, 'Fund Investment Data'!$B:$B &lt;= ($B2273 + 5))) / 12) * ($B2273 - 3) * Parameters!$B$4,"&amp;" 0) + IF($B2273 &gt;= 9, IFERROR(SUM(FILTER('Fund Investment Data'!$V:$V, 'Fund Investment Data'!$C:$C = $C2273, 'Fund Investment Data'!$A:$A = $A2273, 'Fund Investment Data'!$B:$B &lt;= 3)) * Parameters!$B$4, 0),0)))"),0.0)</f>
        <v>0</v>
      </c>
      <c r="AB2273" s="32">
        <f>IFERROR(__xludf.DUMMYFUNCTION("IFERROR(((IFERROR(SUM(FILTER('Fund Investment Data'!$V:$V, 'Fund Investment Data'!$C:$C = $C2273, 'Fund Investment Data'!$A:$A = $A2273 - 2, 'Fund Investment Data'!$B:$B &gt;= 4)) * Parameters!$B$4,0) + IFERROR(SUM(FILTER('Fund Investment Data'!$V:$V, 'Fund "&amp;"Investment Data'!$C:$C = $C2273, 'Fund Investment Data'!$A:$A = $A2273 - 1, 'Fund Investment Data'!$B:$B &lt;= 3)) * Parameters!$B$4,0))),0)"),0.0)</f>
        <v>0</v>
      </c>
      <c r="AC2273" s="32">
        <f>IFERROR(__xludf.DUMMYFUNCTION("IFERROR(FILTER($AF:$AF,$C:$C = $C2273,$A:$A = $A2273 - 1,$B:$B = 12),0)"),0.0)</f>
        <v>0</v>
      </c>
      <c r="AD2273" s="32">
        <f t="shared" si="23"/>
        <v>0</v>
      </c>
      <c r="AE2273" s="32">
        <f t="shared" si="2"/>
        <v>0</v>
      </c>
      <c r="AF2273" s="32"/>
    </row>
    <row r="2274">
      <c r="A2274" s="86"/>
      <c r="B2274" s="87"/>
      <c r="C2274" s="88"/>
      <c r="D2274" s="104"/>
      <c r="E2274" s="104"/>
      <c r="F2274" s="104"/>
      <c r="G2274" s="104"/>
      <c r="H2274" s="104"/>
      <c r="I2274" s="104"/>
      <c r="J2274" s="104"/>
      <c r="K2274" s="32"/>
      <c r="L2274" s="32"/>
      <c r="M2274" s="32"/>
      <c r="N2274" s="32"/>
      <c r="O2274" s="106"/>
      <c r="P2274" s="91">
        <f>IFERROR(__xludf.DUMMYFUNCTION("IFERROR(sum(FILTER($D:$N,$C:$C = $C2274,$A:$A &lt; $A2274,$B:$B = 12)),0) + sum($D2274:$N2274)"),0.0)</f>
        <v>0</v>
      </c>
      <c r="Q2274" s="92">
        <f t="shared" si="1"/>
        <v>0</v>
      </c>
      <c r="R2274" s="91">
        <f t="array" ref="R2274">IFERROR(INDEX('Fund YTD Target Values'!$1:$1000, MATCH($C2274,'Fund YTD Target Values'!$A:$A,0), MATCH($A2274,'Fund YTD Target Values'!$1:$1,0)),0)</f>
        <v>0</v>
      </c>
      <c r="S2274" s="91">
        <f>IFERROR(__xludf.DUMMYFUNCTION("IFERROR(sum(FILTER('Fund Investment Data'!$V:$V, 'Fund Investment Data'!$C:$C = $C2274, 'Fund Investment Data'!$A:$A &lt; $A2274)),0) + IFERROR(sum(FILTER('Fund Investment Data'!$V:$V, 'Fund Investment Data'!$C:$C = $C2274, 'Fund Investment Data'!$A:$A = $A2"&amp;"274, 'Fund Investment Data'!$B:$B &lt;= $B2274)),0)"),0.0)</f>
        <v>0</v>
      </c>
      <c r="T2274" s="32"/>
      <c r="U2274" s="32"/>
      <c r="V2274" s="32">
        <f>IFERROR(__xludf.DUMMYFUNCTION("$D2274 - IFERROR(FILTER($D:$D,$C:$C = $C2274, $A:$A = $A2274, $B:$B = $B2274 - 1),0)"),0.0)</f>
        <v>0</v>
      </c>
      <c r="W2274" s="93">
        <f>IFERROR(__xludf.DUMMYFUNCTION("$E2274 - IFERROR(FILTER($E:$E,$C:$C = $C2274, $A:$A = $A2274, $B:$B = $B2274 - 1),0)"),0.0)</f>
        <v>0</v>
      </c>
      <c r="X2274" s="91">
        <f>IFERROR(__xludf.DUMMYFUNCTION("iFERROR((FILTER('Fund Investment Data'!$Z:$Z, 'Fund Investment Data'!$C:$C = $C2274, 'Fund Investment Data'!$A:$A = $A2274 - 1, 'Fund Investment Data'!$B:$B = 12) + FILTER('Fund Investment Data'!$AB:$AB, 'Fund Investment Data'!$C:$C = $C2274, 'Fund Invest"&amp;"ment Data'!$A:$A = $A2274 - 1, 'Fund Investment Data'!$B:$B = 12)) * (1 + AVERAGE(FILTER('Inflation Data'!$C:$C,'Inflation Data'!$A:$A = ($A2274 - 2)))) * Parameters!$A$4,0)"),0.0)</f>
        <v>0</v>
      </c>
      <c r="Y2274" s="91">
        <f>IFERROR(__xludf.DUMMYFUNCTION("IFERROR((IFERROR(FILTER('Fund Investment Data'!$P:$P,'Fund Investment Data'!$C:$C = $C2274,'Fund Investment Data'!$A:$A = ($A2274 - 2), 'Fund Investment Data'!$B:$B = 12),0) - SUM(FILTER('Fund Investment Data'!$V:$V, 'Fund Investment Data'!$C:$C = $C2274,"&amp;" 'Fund Investment Data'!$A:$A = ($A2274 - 2), 'Fund Investment Data'!$B:$B &gt; 3)))  * Parameters!$B$4 * (1 - Parameters!$A$4),0)"),0.0)</f>
        <v>0</v>
      </c>
      <c r="Z2274" s="91">
        <f t="shared" si="24"/>
        <v>0</v>
      </c>
      <c r="AA2274" s="91">
        <f>IFERROR(__xludf.DUMMYFUNCTION("((IFERROR((SUM(FILTER('Fund Investment Data'!$V:$V, 'Fund Investment Data'!$C:$C = $C2274, 'Fund Investment Data'!$A:$A = $A2274 - 1, 'Fund Investment Data'!$B:$B &gt;= 4, 'Fund Investment Data'!$B:$B &lt;= ($B2274 + 5))) / 12) * ($B2274 - 3) * Parameters!$B$4,"&amp;" 0) + IF($B2274 &gt;= 9, IFERROR(SUM(FILTER('Fund Investment Data'!$V:$V, 'Fund Investment Data'!$C:$C = $C2274, 'Fund Investment Data'!$A:$A = $A2274, 'Fund Investment Data'!$B:$B &lt;= 3)) * Parameters!$B$4, 0),0)))"),0.0)</f>
        <v>0</v>
      </c>
      <c r="AB2274" s="32">
        <f>IFERROR(__xludf.DUMMYFUNCTION("IFERROR(((IFERROR(SUM(FILTER('Fund Investment Data'!$V:$V, 'Fund Investment Data'!$C:$C = $C2274, 'Fund Investment Data'!$A:$A = $A2274 - 2, 'Fund Investment Data'!$B:$B &gt;= 4)) * Parameters!$B$4,0) + IFERROR(SUM(FILTER('Fund Investment Data'!$V:$V, 'Fund "&amp;"Investment Data'!$C:$C = $C2274, 'Fund Investment Data'!$A:$A = $A2274 - 1, 'Fund Investment Data'!$B:$B &lt;= 3)) * Parameters!$B$4,0))),0)"),0.0)</f>
        <v>0</v>
      </c>
      <c r="AC2274" s="32">
        <f>IFERROR(__xludf.DUMMYFUNCTION("IFERROR(FILTER($AF:$AF,$C:$C = $C2274,$A:$A = $A2274 - 1,$B:$B = 12),0)"),0.0)</f>
        <v>0</v>
      </c>
      <c r="AD2274" s="32">
        <f t="shared" si="23"/>
        <v>0</v>
      </c>
      <c r="AE2274" s="32">
        <f t="shared" si="2"/>
        <v>0</v>
      </c>
      <c r="AF2274" s="32"/>
    </row>
    <row r="2275">
      <c r="A2275" s="86"/>
      <c r="B2275" s="87"/>
      <c r="C2275" s="88"/>
      <c r="D2275" s="104"/>
      <c r="E2275" s="104"/>
      <c r="F2275" s="104"/>
      <c r="G2275" s="104"/>
      <c r="H2275" s="104"/>
      <c r="I2275" s="104"/>
      <c r="J2275" s="104"/>
      <c r="K2275" s="32"/>
      <c r="L2275" s="32"/>
      <c r="M2275" s="32"/>
      <c r="N2275" s="32"/>
      <c r="O2275" s="106"/>
      <c r="P2275" s="91">
        <f>IFERROR(__xludf.DUMMYFUNCTION("IFERROR(sum(FILTER($D:$N,$C:$C = $C2275,$A:$A &lt; $A2275,$B:$B = 12)),0) + sum($D2275:$N2275)"),0.0)</f>
        <v>0</v>
      </c>
      <c r="Q2275" s="92">
        <f t="shared" si="1"/>
        <v>0</v>
      </c>
      <c r="R2275" s="91">
        <f t="array" ref="R2275">IFERROR(INDEX('Fund YTD Target Values'!$1:$1000, MATCH($C2275,'Fund YTD Target Values'!$A:$A,0), MATCH($A2275,'Fund YTD Target Values'!$1:$1,0)),0)</f>
        <v>0</v>
      </c>
      <c r="S2275" s="91">
        <f>IFERROR(__xludf.DUMMYFUNCTION("IFERROR(sum(FILTER('Fund Investment Data'!$V:$V, 'Fund Investment Data'!$C:$C = $C2275, 'Fund Investment Data'!$A:$A &lt; $A2275)),0) + IFERROR(sum(FILTER('Fund Investment Data'!$V:$V, 'Fund Investment Data'!$C:$C = $C2275, 'Fund Investment Data'!$A:$A = $A2"&amp;"275, 'Fund Investment Data'!$B:$B &lt;= $B2275)),0)"),0.0)</f>
        <v>0</v>
      </c>
      <c r="T2275" s="32"/>
      <c r="U2275" s="32"/>
      <c r="V2275" s="32">
        <f>IFERROR(__xludf.DUMMYFUNCTION("$D2275 - IFERROR(FILTER($D:$D,$C:$C = $C2275, $A:$A = $A2275, $B:$B = $B2275 - 1),0)"),0.0)</f>
        <v>0</v>
      </c>
      <c r="W2275" s="93">
        <f>IFERROR(__xludf.DUMMYFUNCTION("$E2275 - IFERROR(FILTER($E:$E,$C:$C = $C2275, $A:$A = $A2275, $B:$B = $B2275 - 1),0)"),0.0)</f>
        <v>0</v>
      </c>
      <c r="X2275" s="91">
        <f>IFERROR(__xludf.DUMMYFUNCTION("iFERROR((FILTER('Fund Investment Data'!$Z:$Z, 'Fund Investment Data'!$C:$C = $C2275, 'Fund Investment Data'!$A:$A = $A2275 - 1, 'Fund Investment Data'!$B:$B = 12) + FILTER('Fund Investment Data'!$AB:$AB, 'Fund Investment Data'!$C:$C = $C2275, 'Fund Invest"&amp;"ment Data'!$A:$A = $A2275 - 1, 'Fund Investment Data'!$B:$B = 12)) * (1 + AVERAGE(FILTER('Inflation Data'!$C:$C,'Inflation Data'!$A:$A = ($A2275 - 2)))) * Parameters!$A$4,0)"),0.0)</f>
        <v>0</v>
      </c>
      <c r="Y2275" s="91">
        <f>IFERROR(__xludf.DUMMYFUNCTION("IFERROR((IFERROR(FILTER('Fund Investment Data'!$P:$P,'Fund Investment Data'!$C:$C = $C2275,'Fund Investment Data'!$A:$A = ($A2275 - 2), 'Fund Investment Data'!$B:$B = 12),0) - SUM(FILTER('Fund Investment Data'!$V:$V, 'Fund Investment Data'!$C:$C = $C2275,"&amp;" 'Fund Investment Data'!$A:$A = ($A2275 - 2), 'Fund Investment Data'!$B:$B &gt; 3)))  * Parameters!$B$4 * (1 - Parameters!$A$4),0)"),0.0)</f>
        <v>0</v>
      </c>
      <c r="Z2275" s="91">
        <f t="shared" si="24"/>
        <v>0</v>
      </c>
      <c r="AA2275" s="91">
        <f>IFERROR(__xludf.DUMMYFUNCTION("((IFERROR((SUM(FILTER('Fund Investment Data'!$V:$V, 'Fund Investment Data'!$C:$C = $C2275, 'Fund Investment Data'!$A:$A = $A2275 - 1, 'Fund Investment Data'!$B:$B &gt;= 4, 'Fund Investment Data'!$B:$B &lt;= ($B2275 + 5))) / 12) * ($B2275 - 3) * Parameters!$B$4,"&amp;" 0) + IF($B2275 &gt;= 9, IFERROR(SUM(FILTER('Fund Investment Data'!$V:$V, 'Fund Investment Data'!$C:$C = $C2275, 'Fund Investment Data'!$A:$A = $A2275, 'Fund Investment Data'!$B:$B &lt;= 3)) * Parameters!$B$4, 0),0)))"),0.0)</f>
        <v>0</v>
      </c>
      <c r="AB2275" s="32">
        <f>IFERROR(__xludf.DUMMYFUNCTION("IFERROR(((IFERROR(SUM(FILTER('Fund Investment Data'!$V:$V, 'Fund Investment Data'!$C:$C = $C2275, 'Fund Investment Data'!$A:$A = $A2275 - 2, 'Fund Investment Data'!$B:$B &gt;= 4)) * Parameters!$B$4,0) + IFERROR(SUM(FILTER('Fund Investment Data'!$V:$V, 'Fund "&amp;"Investment Data'!$C:$C = $C2275, 'Fund Investment Data'!$A:$A = $A2275 - 1, 'Fund Investment Data'!$B:$B &lt;= 3)) * Parameters!$B$4,0))),0)"),0.0)</f>
        <v>0</v>
      </c>
      <c r="AC2275" s="32">
        <f>IFERROR(__xludf.DUMMYFUNCTION("IFERROR(FILTER($AF:$AF,$C:$C = $C2275,$A:$A = $A2275 - 1,$B:$B = 12),0)"),0.0)</f>
        <v>0</v>
      </c>
      <c r="AD2275" s="32">
        <f t="shared" si="23"/>
        <v>0</v>
      </c>
      <c r="AE2275" s="32">
        <f t="shared" si="2"/>
        <v>0</v>
      </c>
      <c r="AF2275" s="32"/>
    </row>
    <row r="2276">
      <c r="A2276" s="86"/>
      <c r="B2276" s="87"/>
      <c r="C2276" s="88"/>
      <c r="D2276" s="104"/>
      <c r="E2276" s="104"/>
      <c r="F2276" s="104"/>
      <c r="G2276" s="104"/>
      <c r="H2276" s="104"/>
      <c r="I2276" s="104"/>
      <c r="J2276" s="104"/>
      <c r="K2276" s="32"/>
      <c r="L2276" s="32"/>
      <c r="M2276" s="32"/>
      <c r="N2276" s="32"/>
      <c r="O2276" s="106"/>
      <c r="P2276" s="91">
        <f>IFERROR(__xludf.DUMMYFUNCTION("IFERROR(sum(FILTER($D:$N,$C:$C = $C2276,$A:$A &lt; $A2276,$B:$B = 12)),0) + sum($D2276:$N2276)"),0.0)</f>
        <v>0</v>
      </c>
      <c r="Q2276" s="92">
        <f t="shared" si="1"/>
        <v>0</v>
      </c>
      <c r="R2276" s="91">
        <f t="array" ref="R2276">IFERROR(INDEX('Fund YTD Target Values'!$1:$1000, MATCH($C2276,'Fund YTD Target Values'!$A:$A,0), MATCH($A2276,'Fund YTD Target Values'!$1:$1,0)),0)</f>
        <v>0</v>
      </c>
      <c r="S2276" s="91">
        <f>IFERROR(__xludf.DUMMYFUNCTION("IFERROR(sum(FILTER('Fund Investment Data'!$V:$V, 'Fund Investment Data'!$C:$C = $C2276, 'Fund Investment Data'!$A:$A &lt; $A2276)),0) + IFERROR(sum(FILTER('Fund Investment Data'!$V:$V, 'Fund Investment Data'!$C:$C = $C2276, 'Fund Investment Data'!$A:$A = $A2"&amp;"276, 'Fund Investment Data'!$B:$B &lt;= $B2276)),0)"),0.0)</f>
        <v>0</v>
      </c>
      <c r="T2276" s="32"/>
      <c r="U2276" s="32"/>
      <c r="V2276" s="32">
        <f>IFERROR(__xludf.DUMMYFUNCTION("$D2276 - IFERROR(FILTER($D:$D,$C:$C = $C2276, $A:$A = $A2276, $B:$B = $B2276 - 1),0)"),0.0)</f>
        <v>0</v>
      </c>
      <c r="W2276" s="93">
        <f>IFERROR(__xludf.DUMMYFUNCTION("$E2276 - IFERROR(FILTER($E:$E,$C:$C = $C2276, $A:$A = $A2276, $B:$B = $B2276 - 1),0)"),0.0)</f>
        <v>0</v>
      </c>
      <c r="X2276" s="91">
        <f>IFERROR(__xludf.DUMMYFUNCTION("iFERROR((FILTER('Fund Investment Data'!$Z:$Z, 'Fund Investment Data'!$C:$C = $C2276, 'Fund Investment Data'!$A:$A = $A2276 - 1, 'Fund Investment Data'!$B:$B = 12) + FILTER('Fund Investment Data'!$AB:$AB, 'Fund Investment Data'!$C:$C = $C2276, 'Fund Invest"&amp;"ment Data'!$A:$A = $A2276 - 1, 'Fund Investment Data'!$B:$B = 12)) * (1 + AVERAGE(FILTER('Inflation Data'!$C:$C,'Inflation Data'!$A:$A = ($A2276 - 2)))) * Parameters!$A$4,0)"),0.0)</f>
        <v>0</v>
      </c>
      <c r="Y2276" s="91">
        <f>IFERROR(__xludf.DUMMYFUNCTION("IFERROR((IFERROR(FILTER('Fund Investment Data'!$P:$P,'Fund Investment Data'!$C:$C = $C2276,'Fund Investment Data'!$A:$A = ($A2276 - 2), 'Fund Investment Data'!$B:$B = 12),0) - SUM(FILTER('Fund Investment Data'!$V:$V, 'Fund Investment Data'!$C:$C = $C2276,"&amp;" 'Fund Investment Data'!$A:$A = ($A2276 - 2), 'Fund Investment Data'!$B:$B &gt; 3)))  * Parameters!$B$4 * (1 - Parameters!$A$4),0)"),0.0)</f>
        <v>0</v>
      </c>
      <c r="Z2276" s="91">
        <f t="shared" si="24"/>
        <v>0</v>
      </c>
      <c r="AA2276" s="91">
        <f>IFERROR(__xludf.DUMMYFUNCTION("((IFERROR((SUM(FILTER('Fund Investment Data'!$V:$V, 'Fund Investment Data'!$C:$C = $C2276, 'Fund Investment Data'!$A:$A = $A2276 - 1, 'Fund Investment Data'!$B:$B &gt;= 4, 'Fund Investment Data'!$B:$B &lt;= ($B2276 + 5))) / 12) * ($B2276 - 3) * Parameters!$B$4,"&amp;" 0) + IF($B2276 &gt;= 9, IFERROR(SUM(FILTER('Fund Investment Data'!$V:$V, 'Fund Investment Data'!$C:$C = $C2276, 'Fund Investment Data'!$A:$A = $A2276, 'Fund Investment Data'!$B:$B &lt;= 3)) * Parameters!$B$4, 0),0)))"),0.0)</f>
        <v>0</v>
      </c>
      <c r="AB2276" s="32">
        <f>IFERROR(__xludf.DUMMYFUNCTION("IFERROR(((IFERROR(SUM(FILTER('Fund Investment Data'!$V:$V, 'Fund Investment Data'!$C:$C = $C2276, 'Fund Investment Data'!$A:$A = $A2276 - 2, 'Fund Investment Data'!$B:$B &gt;= 4)) * Parameters!$B$4,0) + IFERROR(SUM(FILTER('Fund Investment Data'!$V:$V, 'Fund "&amp;"Investment Data'!$C:$C = $C2276, 'Fund Investment Data'!$A:$A = $A2276 - 1, 'Fund Investment Data'!$B:$B &lt;= 3)) * Parameters!$B$4,0))),0)"),0.0)</f>
        <v>0</v>
      </c>
      <c r="AC2276" s="32">
        <f>IFERROR(__xludf.DUMMYFUNCTION("IFERROR(FILTER($AF:$AF,$C:$C = $C2276,$A:$A = $A2276 - 1,$B:$B = 12),0)"),0.0)</f>
        <v>0</v>
      </c>
      <c r="AD2276" s="32">
        <f t="shared" si="23"/>
        <v>0</v>
      </c>
      <c r="AE2276" s="32">
        <f t="shared" si="2"/>
        <v>0</v>
      </c>
      <c r="AF2276" s="32"/>
    </row>
    <row r="2277">
      <c r="A2277" s="86"/>
      <c r="B2277" s="87"/>
      <c r="C2277" s="88"/>
      <c r="D2277" s="104"/>
      <c r="E2277" s="104"/>
      <c r="F2277" s="104"/>
      <c r="G2277" s="104"/>
      <c r="H2277" s="104"/>
      <c r="I2277" s="104"/>
      <c r="J2277" s="104"/>
      <c r="K2277" s="32"/>
      <c r="L2277" s="32"/>
      <c r="M2277" s="32"/>
      <c r="N2277" s="32"/>
      <c r="O2277" s="106"/>
      <c r="P2277" s="91">
        <f>IFERROR(__xludf.DUMMYFUNCTION("IFERROR(sum(FILTER($D:$N,$C:$C = $C2277,$A:$A &lt; $A2277,$B:$B = 12)),0) + sum($D2277:$N2277)"),0.0)</f>
        <v>0</v>
      </c>
      <c r="Q2277" s="92">
        <f t="shared" si="1"/>
        <v>0</v>
      </c>
      <c r="R2277" s="91">
        <f t="array" ref="R2277">IFERROR(INDEX('Fund YTD Target Values'!$1:$1000, MATCH($C2277,'Fund YTD Target Values'!$A:$A,0), MATCH($A2277,'Fund YTD Target Values'!$1:$1,0)),0)</f>
        <v>0</v>
      </c>
      <c r="S2277" s="91">
        <f>IFERROR(__xludf.DUMMYFUNCTION("IFERROR(sum(FILTER('Fund Investment Data'!$V:$V, 'Fund Investment Data'!$C:$C = $C2277, 'Fund Investment Data'!$A:$A &lt; $A2277)),0) + IFERROR(sum(FILTER('Fund Investment Data'!$V:$V, 'Fund Investment Data'!$C:$C = $C2277, 'Fund Investment Data'!$A:$A = $A2"&amp;"277, 'Fund Investment Data'!$B:$B &lt;= $B2277)),0)"),0.0)</f>
        <v>0</v>
      </c>
      <c r="T2277" s="32"/>
      <c r="U2277" s="32"/>
      <c r="V2277" s="32">
        <f>IFERROR(__xludf.DUMMYFUNCTION("$D2277 - IFERROR(FILTER($D:$D,$C:$C = $C2277, $A:$A = $A2277, $B:$B = $B2277 - 1),0)"),0.0)</f>
        <v>0</v>
      </c>
      <c r="W2277" s="93">
        <f>IFERROR(__xludf.DUMMYFUNCTION("$E2277 - IFERROR(FILTER($E:$E,$C:$C = $C2277, $A:$A = $A2277, $B:$B = $B2277 - 1),0)"),0.0)</f>
        <v>0</v>
      </c>
      <c r="X2277" s="91">
        <f>IFERROR(__xludf.DUMMYFUNCTION("iFERROR((FILTER('Fund Investment Data'!$Z:$Z, 'Fund Investment Data'!$C:$C = $C2277, 'Fund Investment Data'!$A:$A = $A2277 - 1, 'Fund Investment Data'!$B:$B = 12) + FILTER('Fund Investment Data'!$AB:$AB, 'Fund Investment Data'!$C:$C = $C2277, 'Fund Invest"&amp;"ment Data'!$A:$A = $A2277 - 1, 'Fund Investment Data'!$B:$B = 12)) * (1 + AVERAGE(FILTER('Inflation Data'!$C:$C,'Inflation Data'!$A:$A = ($A2277 - 2)))) * Parameters!$A$4,0)"),0.0)</f>
        <v>0</v>
      </c>
      <c r="Y2277" s="91">
        <f>IFERROR(__xludf.DUMMYFUNCTION("IFERROR((IFERROR(FILTER('Fund Investment Data'!$P:$P,'Fund Investment Data'!$C:$C = $C2277,'Fund Investment Data'!$A:$A = ($A2277 - 2), 'Fund Investment Data'!$B:$B = 12),0) - SUM(FILTER('Fund Investment Data'!$V:$V, 'Fund Investment Data'!$C:$C = $C2277,"&amp;" 'Fund Investment Data'!$A:$A = ($A2277 - 2), 'Fund Investment Data'!$B:$B &gt; 3)))  * Parameters!$B$4 * (1 - Parameters!$A$4),0)"),0.0)</f>
        <v>0</v>
      </c>
      <c r="Z2277" s="91">
        <f t="shared" si="24"/>
        <v>0</v>
      </c>
      <c r="AA2277" s="91">
        <f>IFERROR(__xludf.DUMMYFUNCTION("((IFERROR((SUM(FILTER('Fund Investment Data'!$V:$V, 'Fund Investment Data'!$C:$C = $C2277, 'Fund Investment Data'!$A:$A = $A2277 - 1, 'Fund Investment Data'!$B:$B &gt;= 4, 'Fund Investment Data'!$B:$B &lt;= ($B2277 + 5))) / 12) * ($B2277 - 3) * Parameters!$B$4,"&amp;" 0) + IF($B2277 &gt;= 9, IFERROR(SUM(FILTER('Fund Investment Data'!$V:$V, 'Fund Investment Data'!$C:$C = $C2277, 'Fund Investment Data'!$A:$A = $A2277, 'Fund Investment Data'!$B:$B &lt;= 3)) * Parameters!$B$4, 0),0)))"),0.0)</f>
        <v>0</v>
      </c>
      <c r="AB2277" s="32">
        <f>IFERROR(__xludf.DUMMYFUNCTION("IFERROR(((IFERROR(SUM(FILTER('Fund Investment Data'!$V:$V, 'Fund Investment Data'!$C:$C = $C2277, 'Fund Investment Data'!$A:$A = $A2277 - 2, 'Fund Investment Data'!$B:$B &gt;= 4)) * Parameters!$B$4,0) + IFERROR(SUM(FILTER('Fund Investment Data'!$V:$V, 'Fund "&amp;"Investment Data'!$C:$C = $C2277, 'Fund Investment Data'!$A:$A = $A2277 - 1, 'Fund Investment Data'!$B:$B &lt;= 3)) * Parameters!$B$4,0))),0)"),0.0)</f>
        <v>0</v>
      </c>
      <c r="AC2277" s="32">
        <f>IFERROR(__xludf.DUMMYFUNCTION("IFERROR(FILTER($AF:$AF,$C:$C = $C2277,$A:$A = $A2277 - 1,$B:$B = 12),0)"),0.0)</f>
        <v>0</v>
      </c>
      <c r="AD2277" s="32">
        <f t="shared" si="23"/>
        <v>0</v>
      </c>
      <c r="AE2277" s="32">
        <f t="shared" si="2"/>
        <v>0</v>
      </c>
      <c r="AF2277" s="32"/>
    </row>
    <row r="2278">
      <c r="A2278" s="86"/>
      <c r="B2278" s="87"/>
      <c r="C2278" s="88"/>
      <c r="D2278" s="104"/>
      <c r="E2278" s="104"/>
      <c r="F2278" s="104"/>
      <c r="G2278" s="104"/>
      <c r="H2278" s="104"/>
      <c r="I2278" s="104"/>
      <c r="J2278" s="104"/>
      <c r="K2278" s="32"/>
      <c r="L2278" s="32"/>
      <c r="M2278" s="32"/>
      <c r="N2278" s="32"/>
      <c r="O2278" s="106"/>
      <c r="P2278" s="91">
        <f>IFERROR(__xludf.DUMMYFUNCTION("IFERROR(sum(FILTER($D:$N,$C:$C = $C2278,$A:$A &lt; $A2278,$B:$B = 12)),0) + sum($D2278:$N2278)"),0.0)</f>
        <v>0</v>
      </c>
      <c r="Q2278" s="92">
        <f t="shared" si="1"/>
        <v>0</v>
      </c>
      <c r="R2278" s="91">
        <f t="array" ref="R2278">IFERROR(INDEX('Fund YTD Target Values'!$1:$1000, MATCH($C2278,'Fund YTD Target Values'!$A:$A,0), MATCH($A2278,'Fund YTD Target Values'!$1:$1,0)),0)</f>
        <v>0</v>
      </c>
      <c r="S2278" s="91">
        <f>IFERROR(__xludf.DUMMYFUNCTION("IFERROR(sum(FILTER('Fund Investment Data'!$V:$V, 'Fund Investment Data'!$C:$C = $C2278, 'Fund Investment Data'!$A:$A &lt; $A2278)),0) + IFERROR(sum(FILTER('Fund Investment Data'!$V:$V, 'Fund Investment Data'!$C:$C = $C2278, 'Fund Investment Data'!$A:$A = $A2"&amp;"278, 'Fund Investment Data'!$B:$B &lt;= $B2278)),0)"),0.0)</f>
        <v>0</v>
      </c>
      <c r="T2278" s="32"/>
      <c r="U2278" s="32"/>
      <c r="V2278" s="32">
        <f>IFERROR(__xludf.DUMMYFUNCTION("$D2278 - IFERROR(FILTER($D:$D,$C:$C = $C2278, $A:$A = $A2278, $B:$B = $B2278 - 1),0)"),0.0)</f>
        <v>0</v>
      </c>
      <c r="W2278" s="93">
        <f>IFERROR(__xludf.DUMMYFUNCTION("$E2278 - IFERROR(FILTER($E:$E,$C:$C = $C2278, $A:$A = $A2278, $B:$B = $B2278 - 1),0)"),0.0)</f>
        <v>0</v>
      </c>
      <c r="X2278" s="91">
        <f>IFERROR(__xludf.DUMMYFUNCTION("iFERROR((FILTER('Fund Investment Data'!$Z:$Z, 'Fund Investment Data'!$C:$C = $C2278, 'Fund Investment Data'!$A:$A = $A2278 - 1, 'Fund Investment Data'!$B:$B = 12) + FILTER('Fund Investment Data'!$AB:$AB, 'Fund Investment Data'!$C:$C = $C2278, 'Fund Invest"&amp;"ment Data'!$A:$A = $A2278 - 1, 'Fund Investment Data'!$B:$B = 12)) * (1 + AVERAGE(FILTER('Inflation Data'!$C:$C,'Inflation Data'!$A:$A = ($A2278 - 2)))) * Parameters!$A$4,0)"),0.0)</f>
        <v>0</v>
      </c>
      <c r="Y2278" s="91">
        <f>IFERROR(__xludf.DUMMYFUNCTION("IFERROR((IFERROR(FILTER('Fund Investment Data'!$P:$P,'Fund Investment Data'!$C:$C = $C2278,'Fund Investment Data'!$A:$A = ($A2278 - 2), 'Fund Investment Data'!$B:$B = 12),0) - SUM(FILTER('Fund Investment Data'!$V:$V, 'Fund Investment Data'!$C:$C = $C2278,"&amp;" 'Fund Investment Data'!$A:$A = ($A2278 - 2), 'Fund Investment Data'!$B:$B &gt; 3)))  * Parameters!$B$4 * (1 - Parameters!$A$4),0)"),0.0)</f>
        <v>0</v>
      </c>
      <c r="Z2278" s="91">
        <f t="shared" si="24"/>
        <v>0</v>
      </c>
      <c r="AA2278" s="91">
        <f>IFERROR(__xludf.DUMMYFUNCTION("((IFERROR((SUM(FILTER('Fund Investment Data'!$V:$V, 'Fund Investment Data'!$C:$C = $C2278, 'Fund Investment Data'!$A:$A = $A2278 - 1, 'Fund Investment Data'!$B:$B &gt;= 4, 'Fund Investment Data'!$B:$B &lt;= ($B2278 + 5))) / 12) * ($B2278 - 3) * Parameters!$B$4,"&amp;" 0) + IF($B2278 &gt;= 9, IFERROR(SUM(FILTER('Fund Investment Data'!$V:$V, 'Fund Investment Data'!$C:$C = $C2278, 'Fund Investment Data'!$A:$A = $A2278, 'Fund Investment Data'!$B:$B &lt;= 3)) * Parameters!$B$4, 0),0)))"),0.0)</f>
        <v>0</v>
      </c>
      <c r="AB2278" s="32">
        <f>IFERROR(__xludf.DUMMYFUNCTION("IFERROR(((IFERROR(SUM(FILTER('Fund Investment Data'!$V:$V, 'Fund Investment Data'!$C:$C = $C2278, 'Fund Investment Data'!$A:$A = $A2278 - 2, 'Fund Investment Data'!$B:$B &gt;= 4)) * Parameters!$B$4,0) + IFERROR(SUM(FILTER('Fund Investment Data'!$V:$V, 'Fund "&amp;"Investment Data'!$C:$C = $C2278, 'Fund Investment Data'!$A:$A = $A2278 - 1, 'Fund Investment Data'!$B:$B &lt;= 3)) * Parameters!$B$4,0))),0)"),0.0)</f>
        <v>0</v>
      </c>
      <c r="AC2278" s="32">
        <f>IFERROR(__xludf.DUMMYFUNCTION("IFERROR(FILTER($AF:$AF,$C:$C = $C2278,$A:$A = $A2278 - 1,$B:$B = 12),0)"),0.0)</f>
        <v>0</v>
      </c>
      <c r="AD2278" s="32">
        <f t="shared" si="23"/>
        <v>0</v>
      </c>
      <c r="AE2278" s="32">
        <f t="shared" si="2"/>
        <v>0</v>
      </c>
      <c r="AF2278" s="32"/>
    </row>
    <row r="2279">
      <c r="A2279" s="86"/>
      <c r="B2279" s="87"/>
      <c r="C2279" s="88"/>
      <c r="D2279" s="104"/>
      <c r="E2279" s="104"/>
      <c r="F2279" s="104"/>
      <c r="G2279" s="104"/>
      <c r="H2279" s="104"/>
      <c r="I2279" s="104"/>
      <c r="J2279" s="104"/>
      <c r="K2279" s="32"/>
      <c r="L2279" s="32"/>
      <c r="M2279" s="32"/>
      <c r="N2279" s="32"/>
      <c r="O2279" s="106"/>
      <c r="P2279" s="91">
        <f>IFERROR(__xludf.DUMMYFUNCTION("IFERROR(sum(FILTER($D:$N,$C:$C = $C2279,$A:$A &lt; $A2279,$B:$B = 12)),0) + sum($D2279:$N2279)"),0.0)</f>
        <v>0</v>
      </c>
      <c r="Q2279" s="92">
        <f t="shared" si="1"/>
        <v>0</v>
      </c>
      <c r="R2279" s="91">
        <f t="array" ref="R2279">IFERROR(INDEX('Fund YTD Target Values'!$1:$1000, MATCH($C2279,'Fund YTD Target Values'!$A:$A,0), MATCH($A2279,'Fund YTD Target Values'!$1:$1,0)),0)</f>
        <v>0</v>
      </c>
      <c r="S2279" s="91">
        <f>IFERROR(__xludf.DUMMYFUNCTION("IFERROR(sum(FILTER('Fund Investment Data'!$V:$V, 'Fund Investment Data'!$C:$C = $C2279, 'Fund Investment Data'!$A:$A &lt; $A2279)),0) + IFERROR(sum(FILTER('Fund Investment Data'!$V:$V, 'Fund Investment Data'!$C:$C = $C2279, 'Fund Investment Data'!$A:$A = $A2"&amp;"279, 'Fund Investment Data'!$B:$B &lt;= $B2279)),0)"),0.0)</f>
        <v>0</v>
      </c>
      <c r="T2279" s="32"/>
      <c r="U2279" s="32"/>
      <c r="V2279" s="32">
        <f>IFERROR(__xludf.DUMMYFUNCTION("$D2279 - IFERROR(FILTER($D:$D,$C:$C = $C2279, $A:$A = $A2279, $B:$B = $B2279 - 1),0)"),0.0)</f>
        <v>0</v>
      </c>
      <c r="W2279" s="93">
        <f>IFERROR(__xludf.DUMMYFUNCTION("$E2279 - IFERROR(FILTER($E:$E,$C:$C = $C2279, $A:$A = $A2279, $B:$B = $B2279 - 1),0)"),0.0)</f>
        <v>0</v>
      </c>
      <c r="X2279" s="91">
        <f>IFERROR(__xludf.DUMMYFUNCTION("iFERROR((FILTER('Fund Investment Data'!$Z:$Z, 'Fund Investment Data'!$C:$C = $C2279, 'Fund Investment Data'!$A:$A = $A2279 - 1, 'Fund Investment Data'!$B:$B = 12) + FILTER('Fund Investment Data'!$AB:$AB, 'Fund Investment Data'!$C:$C = $C2279, 'Fund Invest"&amp;"ment Data'!$A:$A = $A2279 - 1, 'Fund Investment Data'!$B:$B = 12)) * (1 + AVERAGE(FILTER('Inflation Data'!$C:$C,'Inflation Data'!$A:$A = ($A2279 - 2)))) * Parameters!$A$4,0)"),0.0)</f>
        <v>0</v>
      </c>
      <c r="Y2279" s="91">
        <f>IFERROR(__xludf.DUMMYFUNCTION("IFERROR((IFERROR(FILTER('Fund Investment Data'!$P:$P,'Fund Investment Data'!$C:$C = $C2279,'Fund Investment Data'!$A:$A = ($A2279 - 2), 'Fund Investment Data'!$B:$B = 12),0) - SUM(FILTER('Fund Investment Data'!$V:$V, 'Fund Investment Data'!$C:$C = $C2279,"&amp;" 'Fund Investment Data'!$A:$A = ($A2279 - 2), 'Fund Investment Data'!$B:$B &gt; 3)))  * Parameters!$B$4 * (1 - Parameters!$A$4),0)"),0.0)</f>
        <v>0</v>
      </c>
      <c r="Z2279" s="91">
        <f t="shared" si="24"/>
        <v>0</v>
      </c>
      <c r="AA2279" s="91">
        <f>IFERROR(__xludf.DUMMYFUNCTION("((IFERROR((SUM(FILTER('Fund Investment Data'!$V:$V, 'Fund Investment Data'!$C:$C = $C2279, 'Fund Investment Data'!$A:$A = $A2279 - 1, 'Fund Investment Data'!$B:$B &gt;= 4, 'Fund Investment Data'!$B:$B &lt;= ($B2279 + 5))) / 12) * ($B2279 - 3) * Parameters!$B$4,"&amp;" 0) + IF($B2279 &gt;= 9, IFERROR(SUM(FILTER('Fund Investment Data'!$V:$V, 'Fund Investment Data'!$C:$C = $C2279, 'Fund Investment Data'!$A:$A = $A2279, 'Fund Investment Data'!$B:$B &lt;= 3)) * Parameters!$B$4, 0),0)))"),0.0)</f>
        <v>0</v>
      </c>
      <c r="AB2279" s="32">
        <f>IFERROR(__xludf.DUMMYFUNCTION("IFERROR(((IFERROR(SUM(FILTER('Fund Investment Data'!$V:$V, 'Fund Investment Data'!$C:$C = $C2279, 'Fund Investment Data'!$A:$A = $A2279 - 2, 'Fund Investment Data'!$B:$B &gt;= 4)) * Parameters!$B$4,0) + IFERROR(SUM(FILTER('Fund Investment Data'!$V:$V, 'Fund "&amp;"Investment Data'!$C:$C = $C2279, 'Fund Investment Data'!$A:$A = $A2279 - 1, 'Fund Investment Data'!$B:$B &lt;= 3)) * Parameters!$B$4,0))),0)"),0.0)</f>
        <v>0</v>
      </c>
      <c r="AC2279" s="32">
        <f>IFERROR(__xludf.DUMMYFUNCTION("IFERROR(FILTER($AF:$AF,$C:$C = $C2279,$A:$A = $A2279 - 1,$B:$B = 12),0)"),0.0)</f>
        <v>0</v>
      </c>
      <c r="AD2279" s="32">
        <f t="shared" si="23"/>
        <v>0</v>
      </c>
      <c r="AE2279" s="32">
        <f t="shared" si="2"/>
        <v>0</v>
      </c>
      <c r="AF2279" s="32"/>
    </row>
    <row r="2280">
      <c r="A2280" s="86"/>
      <c r="B2280" s="87"/>
      <c r="C2280" s="88"/>
      <c r="D2280" s="104"/>
      <c r="E2280" s="104"/>
      <c r="F2280" s="104"/>
      <c r="G2280" s="104"/>
      <c r="H2280" s="104"/>
      <c r="I2280" s="104"/>
      <c r="J2280" s="104"/>
      <c r="K2280" s="32"/>
      <c r="L2280" s="32"/>
      <c r="M2280" s="32"/>
      <c r="N2280" s="32"/>
      <c r="O2280" s="106"/>
      <c r="P2280" s="91">
        <f>IFERROR(__xludf.DUMMYFUNCTION("IFERROR(sum(FILTER($D:$N,$C:$C = $C2280,$A:$A &lt; $A2280,$B:$B = 12)),0) + sum($D2280:$N2280)"),0.0)</f>
        <v>0</v>
      </c>
      <c r="Q2280" s="92">
        <f t="shared" si="1"/>
        <v>0</v>
      </c>
      <c r="R2280" s="91">
        <f t="array" ref="R2280">IFERROR(INDEX('Fund YTD Target Values'!$1:$1000, MATCH($C2280,'Fund YTD Target Values'!$A:$A,0), MATCH($A2280,'Fund YTD Target Values'!$1:$1,0)),0)</f>
        <v>0</v>
      </c>
      <c r="S2280" s="91">
        <f>IFERROR(__xludf.DUMMYFUNCTION("IFERROR(sum(FILTER('Fund Investment Data'!$V:$V, 'Fund Investment Data'!$C:$C = $C2280, 'Fund Investment Data'!$A:$A &lt; $A2280)),0) + IFERROR(sum(FILTER('Fund Investment Data'!$V:$V, 'Fund Investment Data'!$C:$C = $C2280, 'Fund Investment Data'!$A:$A = $A2"&amp;"280, 'Fund Investment Data'!$B:$B &lt;= $B2280)),0)"),0.0)</f>
        <v>0</v>
      </c>
      <c r="T2280" s="32"/>
      <c r="U2280" s="32"/>
      <c r="V2280" s="32">
        <f>IFERROR(__xludf.DUMMYFUNCTION("$D2280 - IFERROR(FILTER($D:$D,$C:$C = $C2280, $A:$A = $A2280, $B:$B = $B2280 - 1),0)"),0.0)</f>
        <v>0</v>
      </c>
      <c r="W2280" s="93">
        <f>IFERROR(__xludf.DUMMYFUNCTION("$E2280 - IFERROR(FILTER($E:$E,$C:$C = $C2280, $A:$A = $A2280, $B:$B = $B2280 - 1),0)"),0.0)</f>
        <v>0</v>
      </c>
      <c r="X2280" s="91">
        <f>IFERROR(__xludf.DUMMYFUNCTION("iFERROR((FILTER('Fund Investment Data'!$Z:$Z, 'Fund Investment Data'!$C:$C = $C2280, 'Fund Investment Data'!$A:$A = $A2280 - 1, 'Fund Investment Data'!$B:$B = 12) + FILTER('Fund Investment Data'!$AB:$AB, 'Fund Investment Data'!$C:$C = $C2280, 'Fund Invest"&amp;"ment Data'!$A:$A = $A2280 - 1, 'Fund Investment Data'!$B:$B = 12)) * (1 + AVERAGE(FILTER('Inflation Data'!$C:$C,'Inflation Data'!$A:$A = ($A2280 - 2)))) * Parameters!$A$4,0)"),0.0)</f>
        <v>0</v>
      </c>
      <c r="Y2280" s="91">
        <f>IFERROR(__xludf.DUMMYFUNCTION("IFERROR((IFERROR(FILTER('Fund Investment Data'!$P:$P,'Fund Investment Data'!$C:$C = $C2280,'Fund Investment Data'!$A:$A = ($A2280 - 2), 'Fund Investment Data'!$B:$B = 12),0) - SUM(FILTER('Fund Investment Data'!$V:$V, 'Fund Investment Data'!$C:$C = $C2280,"&amp;" 'Fund Investment Data'!$A:$A = ($A2280 - 2), 'Fund Investment Data'!$B:$B &gt; 3)))  * Parameters!$B$4 * (1 - Parameters!$A$4),0)"),0.0)</f>
        <v>0</v>
      </c>
      <c r="Z2280" s="91">
        <f t="shared" si="24"/>
        <v>0</v>
      </c>
      <c r="AA2280" s="91">
        <f>IFERROR(__xludf.DUMMYFUNCTION("((IFERROR((SUM(FILTER('Fund Investment Data'!$V:$V, 'Fund Investment Data'!$C:$C = $C2280, 'Fund Investment Data'!$A:$A = $A2280 - 1, 'Fund Investment Data'!$B:$B &gt;= 4, 'Fund Investment Data'!$B:$B &lt;= ($B2280 + 5))) / 12) * ($B2280 - 3) * Parameters!$B$4,"&amp;" 0) + IF($B2280 &gt;= 9, IFERROR(SUM(FILTER('Fund Investment Data'!$V:$V, 'Fund Investment Data'!$C:$C = $C2280, 'Fund Investment Data'!$A:$A = $A2280, 'Fund Investment Data'!$B:$B &lt;= 3)) * Parameters!$B$4, 0),0)))"),0.0)</f>
        <v>0</v>
      </c>
      <c r="AB2280" s="32">
        <f>IFERROR(__xludf.DUMMYFUNCTION("IFERROR(((IFERROR(SUM(FILTER('Fund Investment Data'!$V:$V, 'Fund Investment Data'!$C:$C = $C2280, 'Fund Investment Data'!$A:$A = $A2280 - 2, 'Fund Investment Data'!$B:$B &gt;= 4)) * Parameters!$B$4,0) + IFERROR(SUM(FILTER('Fund Investment Data'!$V:$V, 'Fund "&amp;"Investment Data'!$C:$C = $C2280, 'Fund Investment Data'!$A:$A = $A2280 - 1, 'Fund Investment Data'!$B:$B &lt;= 3)) * Parameters!$B$4,0))),0)"),0.0)</f>
        <v>0</v>
      </c>
      <c r="AC2280" s="32">
        <f>IFERROR(__xludf.DUMMYFUNCTION("IFERROR(FILTER($AF:$AF,$C:$C = $C2280,$A:$A = $A2280 - 1,$B:$B = 12),0)"),0.0)</f>
        <v>0</v>
      </c>
      <c r="AD2280" s="32">
        <f t="shared" si="23"/>
        <v>0</v>
      </c>
      <c r="AE2280" s="32">
        <f t="shared" si="2"/>
        <v>0</v>
      </c>
      <c r="AF2280" s="32"/>
    </row>
    <row r="2281">
      <c r="A2281" s="86"/>
      <c r="B2281" s="87"/>
      <c r="C2281" s="88"/>
      <c r="D2281" s="104"/>
      <c r="E2281" s="104"/>
      <c r="F2281" s="104"/>
      <c r="G2281" s="104"/>
      <c r="H2281" s="104"/>
      <c r="I2281" s="104"/>
      <c r="J2281" s="104"/>
      <c r="K2281" s="32"/>
      <c r="L2281" s="32"/>
      <c r="M2281" s="32"/>
      <c r="N2281" s="32"/>
      <c r="O2281" s="106"/>
      <c r="P2281" s="91">
        <f>IFERROR(__xludf.DUMMYFUNCTION("IFERROR(sum(FILTER($D:$N,$C:$C = $C2281,$A:$A &lt; $A2281,$B:$B = 12)),0) + sum($D2281:$N2281)"),0.0)</f>
        <v>0</v>
      </c>
      <c r="Q2281" s="92">
        <f t="shared" si="1"/>
        <v>0</v>
      </c>
      <c r="R2281" s="91">
        <f t="array" ref="R2281">IFERROR(INDEX('Fund YTD Target Values'!$1:$1000, MATCH($C2281,'Fund YTD Target Values'!$A:$A,0), MATCH($A2281,'Fund YTD Target Values'!$1:$1,0)),0)</f>
        <v>0</v>
      </c>
      <c r="S2281" s="91">
        <f>IFERROR(__xludf.DUMMYFUNCTION("IFERROR(sum(FILTER('Fund Investment Data'!$V:$V, 'Fund Investment Data'!$C:$C = $C2281, 'Fund Investment Data'!$A:$A &lt; $A2281)),0) + IFERROR(sum(FILTER('Fund Investment Data'!$V:$V, 'Fund Investment Data'!$C:$C = $C2281, 'Fund Investment Data'!$A:$A = $A2"&amp;"281, 'Fund Investment Data'!$B:$B &lt;= $B2281)),0)"),0.0)</f>
        <v>0</v>
      </c>
      <c r="T2281" s="32"/>
      <c r="U2281" s="32"/>
      <c r="V2281" s="32">
        <f>IFERROR(__xludf.DUMMYFUNCTION("$D2281 - IFERROR(FILTER($D:$D,$C:$C = $C2281, $A:$A = $A2281, $B:$B = $B2281 - 1),0)"),0.0)</f>
        <v>0</v>
      </c>
      <c r="W2281" s="93">
        <f>IFERROR(__xludf.DUMMYFUNCTION("$E2281 - IFERROR(FILTER($E:$E,$C:$C = $C2281, $A:$A = $A2281, $B:$B = $B2281 - 1),0)"),0.0)</f>
        <v>0</v>
      </c>
      <c r="X2281" s="91">
        <f>IFERROR(__xludf.DUMMYFUNCTION("iFERROR((FILTER('Fund Investment Data'!$Z:$Z, 'Fund Investment Data'!$C:$C = $C2281, 'Fund Investment Data'!$A:$A = $A2281 - 1, 'Fund Investment Data'!$B:$B = 12) + FILTER('Fund Investment Data'!$AB:$AB, 'Fund Investment Data'!$C:$C = $C2281, 'Fund Invest"&amp;"ment Data'!$A:$A = $A2281 - 1, 'Fund Investment Data'!$B:$B = 12)) * (1 + AVERAGE(FILTER('Inflation Data'!$C:$C,'Inflation Data'!$A:$A = ($A2281 - 2)))) * Parameters!$A$4,0)"),0.0)</f>
        <v>0</v>
      </c>
      <c r="Y2281" s="91">
        <f>IFERROR(__xludf.DUMMYFUNCTION("IFERROR((IFERROR(FILTER('Fund Investment Data'!$P:$P,'Fund Investment Data'!$C:$C = $C2281,'Fund Investment Data'!$A:$A = ($A2281 - 2), 'Fund Investment Data'!$B:$B = 12),0) - SUM(FILTER('Fund Investment Data'!$V:$V, 'Fund Investment Data'!$C:$C = $C2281,"&amp;" 'Fund Investment Data'!$A:$A = ($A2281 - 2), 'Fund Investment Data'!$B:$B &gt; 3)))  * Parameters!$B$4 * (1 - Parameters!$A$4),0)"),0.0)</f>
        <v>0</v>
      </c>
      <c r="Z2281" s="91">
        <f t="shared" si="24"/>
        <v>0</v>
      </c>
      <c r="AA2281" s="91">
        <f>IFERROR(__xludf.DUMMYFUNCTION("((IFERROR((SUM(FILTER('Fund Investment Data'!$V:$V, 'Fund Investment Data'!$C:$C = $C2281, 'Fund Investment Data'!$A:$A = $A2281 - 1, 'Fund Investment Data'!$B:$B &gt;= 4, 'Fund Investment Data'!$B:$B &lt;= ($B2281 + 5))) / 12) * ($B2281 - 3) * Parameters!$B$4,"&amp;" 0) + IF($B2281 &gt;= 9, IFERROR(SUM(FILTER('Fund Investment Data'!$V:$V, 'Fund Investment Data'!$C:$C = $C2281, 'Fund Investment Data'!$A:$A = $A2281, 'Fund Investment Data'!$B:$B &lt;= 3)) * Parameters!$B$4, 0),0)))"),0.0)</f>
        <v>0</v>
      </c>
      <c r="AB2281" s="32">
        <f>IFERROR(__xludf.DUMMYFUNCTION("IFERROR(((IFERROR(SUM(FILTER('Fund Investment Data'!$V:$V, 'Fund Investment Data'!$C:$C = $C2281, 'Fund Investment Data'!$A:$A = $A2281 - 2, 'Fund Investment Data'!$B:$B &gt;= 4)) * Parameters!$B$4,0) + IFERROR(SUM(FILTER('Fund Investment Data'!$V:$V, 'Fund "&amp;"Investment Data'!$C:$C = $C2281, 'Fund Investment Data'!$A:$A = $A2281 - 1, 'Fund Investment Data'!$B:$B &lt;= 3)) * Parameters!$B$4,0))),0)"),0.0)</f>
        <v>0</v>
      </c>
      <c r="AC2281" s="32">
        <f>IFERROR(__xludf.DUMMYFUNCTION("IFERROR(FILTER($AF:$AF,$C:$C = $C2281,$A:$A = $A2281 - 1,$B:$B = 12),0)"),0.0)</f>
        <v>0</v>
      </c>
      <c r="AD2281" s="32">
        <f t="shared" si="23"/>
        <v>0</v>
      </c>
      <c r="AE2281" s="32">
        <f t="shared" si="2"/>
        <v>0</v>
      </c>
      <c r="AF2281" s="32"/>
    </row>
    <row r="2282">
      <c r="A2282" s="86"/>
      <c r="B2282" s="87"/>
      <c r="C2282" s="88"/>
      <c r="D2282" s="104"/>
      <c r="E2282" s="104"/>
      <c r="F2282" s="104"/>
      <c r="G2282" s="104"/>
      <c r="H2282" s="104"/>
      <c r="I2282" s="104"/>
      <c r="J2282" s="104"/>
      <c r="K2282" s="32"/>
      <c r="L2282" s="32"/>
      <c r="M2282" s="32"/>
      <c r="N2282" s="32"/>
      <c r="O2282" s="106"/>
      <c r="P2282" s="91">
        <f>IFERROR(__xludf.DUMMYFUNCTION("IFERROR(sum(FILTER($D:$N,$C:$C = $C2282,$A:$A &lt; $A2282,$B:$B = 12)),0) + sum($D2282:$N2282)"),0.0)</f>
        <v>0</v>
      </c>
      <c r="Q2282" s="92">
        <f t="shared" si="1"/>
        <v>0</v>
      </c>
      <c r="R2282" s="91">
        <f t="array" ref="R2282">IFERROR(INDEX('Fund YTD Target Values'!$1:$1000, MATCH($C2282,'Fund YTD Target Values'!$A:$A,0), MATCH($A2282,'Fund YTD Target Values'!$1:$1,0)),0)</f>
        <v>0</v>
      </c>
      <c r="S2282" s="91">
        <f>IFERROR(__xludf.DUMMYFUNCTION("IFERROR(sum(FILTER('Fund Investment Data'!$V:$V, 'Fund Investment Data'!$C:$C = $C2282, 'Fund Investment Data'!$A:$A &lt; $A2282)),0) + IFERROR(sum(FILTER('Fund Investment Data'!$V:$V, 'Fund Investment Data'!$C:$C = $C2282, 'Fund Investment Data'!$A:$A = $A2"&amp;"282, 'Fund Investment Data'!$B:$B &lt;= $B2282)),0)"),0.0)</f>
        <v>0</v>
      </c>
      <c r="T2282" s="32"/>
      <c r="U2282" s="32"/>
      <c r="V2282" s="32">
        <f>IFERROR(__xludf.DUMMYFUNCTION("$D2282 - IFERROR(FILTER($D:$D,$C:$C = $C2282, $A:$A = $A2282, $B:$B = $B2282 - 1),0)"),0.0)</f>
        <v>0</v>
      </c>
      <c r="W2282" s="93">
        <f>IFERROR(__xludf.DUMMYFUNCTION("$E2282 - IFERROR(FILTER($E:$E,$C:$C = $C2282, $A:$A = $A2282, $B:$B = $B2282 - 1),0)"),0.0)</f>
        <v>0</v>
      </c>
      <c r="X2282" s="91">
        <f>IFERROR(__xludf.DUMMYFUNCTION("iFERROR((FILTER('Fund Investment Data'!$Z:$Z, 'Fund Investment Data'!$C:$C = $C2282, 'Fund Investment Data'!$A:$A = $A2282 - 1, 'Fund Investment Data'!$B:$B = 12) + FILTER('Fund Investment Data'!$AB:$AB, 'Fund Investment Data'!$C:$C = $C2282, 'Fund Invest"&amp;"ment Data'!$A:$A = $A2282 - 1, 'Fund Investment Data'!$B:$B = 12)) * (1 + AVERAGE(FILTER('Inflation Data'!$C:$C,'Inflation Data'!$A:$A = ($A2282 - 2)))) * Parameters!$A$4,0)"),0.0)</f>
        <v>0</v>
      </c>
      <c r="Y2282" s="91">
        <f>IFERROR(__xludf.DUMMYFUNCTION("IFERROR((IFERROR(FILTER('Fund Investment Data'!$P:$P,'Fund Investment Data'!$C:$C = $C2282,'Fund Investment Data'!$A:$A = ($A2282 - 2), 'Fund Investment Data'!$B:$B = 12),0) - SUM(FILTER('Fund Investment Data'!$V:$V, 'Fund Investment Data'!$C:$C = $C2282,"&amp;" 'Fund Investment Data'!$A:$A = ($A2282 - 2), 'Fund Investment Data'!$B:$B &gt; 3)))  * Parameters!$B$4 * (1 - Parameters!$A$4),0)"),0.0)</f>
        <v>0</v>
      </c>
      <c r="Z2282" s="91">
        <f t="shared" si="24"/>
        <v>0</v>
      </c>
      <c r="AA2282" s="91">
        <f>IFERROR(__xludf.DUMMYFUNCTION("((IFERROR((SUM(FILTER('Fund Investment Data'!$V:$V, 'Fund Investment Data'!$C:$C = $C2282, 'Fund Investment Data'!$A:$A = $A2282 - 1, 'Fund Investment Data'!$B:$B &gt;= 4, 'Fund Investment Data'!$B:$B &lt;= ($B2282 + 5))) / 12) * ($B2282 - 3) * Parameters!$B$4,"&amp;" 0) + IF($B2282 &gt;= 9, IFERROR(SUM(FILTER('Fund Investment Data'!$V:$V, 'Fund Investment Data'!$C:$C = $C2282, 'Fund Investment Data'!$A:$A = $A2282, 'Fund Investment Data'!$B:$B &lt;= 3)) * Parameters!$B$4, 0),0)))"),0.0)</f>
        <v>0</v>
      </c>
      <c r="AB2282" s="32">
        <f>IFERROR(__xludf.DUMMYFUNCTION("IFERROR(((IFERROR(SUM(FILTER('Fund Investment Data'!$V:$V, 'Fund Investment Data'!$C:$C = $C2282, 'Fund Investment Data'!$A:$A = $A2282 - 2, 'Fund Investment Data'!$B:$B &gt;= 4)) * Parameters!$B$4,0) + IFERROR(SUM(FILTER('Fund Investment Data'!$V:$V, 'Fund "&amp;"Investment Data'!$C:$C = $C2282, 'Fund Investment Data'!$A:$A = $A2282 - 1, 'Fund Investment Data'!$B:$B &lt;= 3)) * Parameters!$B$4,0))),0)"),0.0)</f>
        <v>0</v>
      </c>
      <c r="AC2282" s="32">
        <f>IFERROR(__xludf.DUMMYFUNCTION("IFERROR(FILTER($AF:$AF,$C:$C = $C2282,$A:$A = $A2282 - 1,$B:$B = 12),0)"),0.0)</f>
        <v>0</v>
      </c>
      <c r="AD2282" s="32">
        <f t="shared" si="23"/>
        <v>0</v>
      </c>
      <c r="AE2282" s="32">
        <f t="shared" si="2"/>
        <v>0</v>
      </c>
      <c r="AF2282" s="32"/>
    </row>
    <row r="2283">
      <c r="A2283" s="86"/>
      <c r="B2283" s="87"/>
      <c r="C2283" s="88"/>
      <c r="D2283" s="104"/>
      <c r="E2283" s="104"/>
      <c r="F2283" s="104"/>
      <c r="G2283" s="104"/>
      <c r="H2283" s="104"/>
      <c r="I2283" s="104"/>
      <c r="J2283" s="104"/>
      <c r="K2283" s="32"/>
      <c r="L2283" s="32"/>
      <c r="M2283" s="32"/>
      <c r="N2283" s="32"/>
      <c r="O2283" s="106"/>
      <c r="P2283" s="91">
        <f>IFERROR(__xludf.DUMMYFUNCTION("IFERROR(sum(FILTER($D:$N,$C:$C = $C2283,$A:$A &lt; $A2283,$B:$B = 12)),0) + sum($D2283:$N2283)"),0.0)</f>
        <v>0</v>
      </c>
      <c r="Q2283" s="92">
        <f t="shared" si="1"/>
        <v>0</v>
      </c>
      <c r="R2283" s="91">
        <f t="array" ref="R2283">IFERROR(INDEX('Fund YTD Target Values'!$1:$1000, MATCH($C2283,'Fund YTD Target Values'!$A:$A,0), MATCH($A2283,'Fund YTD Target Values'!$1:$1,0)),0)</f>
        <v>0</v>
      </c>
      <c r="S2283" s="91">
        <f>IFERROR(__xludf.DUMMYFUNCTION("IFERROR(sum(FILTER('Fund Investment Data'!$V:$V, 'Fund Investment Data'!$C:$C = $C2283, 'Fund Investment Data'!$A:$A &lt; $A2283)),0) + IFERROR(sum(FILTER('Fund Investment Data'!$V:$V, 'Fund Investment Data'!$C:$C = $C2283, 'Fund Investment Data'!$A:$A = $A2"&amp;"283, 'Fund Investment Data'!$B:$B &lt;= $B2283)),0)"),0.0)</f>
        <v>0</v>
      </c>
      <c r="T2283" s="32"/>
      <c r="U2283" s="32"/>
      <c r="V2283" s="32">
        <f>IFERROR(__xludf.DUMMYFUNCTION("$D2283 - IFERROR(FILTER($D:$D,$C:$C = $C2283, $A:$A = $A2283, $B:$B = $B2283 - 1),0)"),0.0)</f>
        <v>0</v>
      </c>
      <c r="W2283" s="93">
        <f>IFERROR(__xludf.DUMMYFUNCTION("$E2283 - IFERROR(FILTER($E:$E,$C:$C = $C2283, $A:$A = $A2283, $B:$B = $B2283 - 1),0)"),0.0)</f>
        <v>0</v>
      </c>
      <c r="X2283" s="91">
        <f>IFERROR(__xludf.DUMMYFUNCTION("iFERROR((FILTER('Fund Investment Data'!$Z:$Z, 'Fund Investment Data'!$C:$C = $C2283, 'Fund Investment Data'!$A:$A = $A2283 - 1, 'Fund Investment Data'!$B:$B = 12) + FILTER('Fund Investment Data'!$AB:$AB, 'Fund Investment Data'!$C:$C = $C2283, 'Fund Invest"&amp;"ment Data'!$A:$A = $A2283 - 1, 'Fund Investment Data'!$B:$B = 12)) * (1 + AVERAGE(FILTER('Inflation Data'!$C:$C,'Inflation Data'!$A:$A = ($A2283 - 2)))) * Parameters!$A$4,0)"),0.0)</f>
        <v>0</v>
      </c>
      <c r="Y2283" s="91">
        <f>IFERROR(__xludf.DUMMYFUNCTION("IFERROR((IFERROR(FILTER('Fund Investment Data'!$P:$P,'Fund Investment Data'!$C:$C = $C2283,'Fund Investment Data'!$A:$A = ($A2283 - 2), 'Fund Investment Data'!$B:$B = 12),0) - SUM(FILTER('Fund Investment Data'!$V:$V, 'Fund Investment Data'!$C:$C = $C2283,"&amp;" 'Fund Investment Data'!$A:$A = ($A2283 - 2), 'Fund Investment Data'!$B:$B &gt; 3)))  * Parameters!$B$4 * (1 - Parameters!$A$4),0)"),0.0)</f>
        <v>0</v>
      </c>
      <c r="Z2283" s="91">
        <f t="shared" si="24"/>
        <v>0</v>
      </c>
      <c r="AA2283" s="91">
        <f>IFERROR(__xludf.DUMMYFUNCTION("((IFERROR((SUM(FILTER('Fund Investment Data'!$V:$V, 'Fund Investment Data'!$C:$C = $C2283, 'Fund Investment Data'!$A:$A = $A2283 - 1, 'Fund Investment Data'!$B:$B &gt;= 4, 'Fund Investment Data'!$B:$B &lt;= ($B2283 + 5))) / 12) * ($B2283 - 3) * Parameters!$B$4,"&amp;" 0) + IF($B2283 &gt;= 9, IFERROR(SUM(FILTER('Fund Investment Data'!$V:$V, 'Fund Investment Data'!$C:$C = $C2283, 'Fund Investment Data'!$A:$A = $A2283, 'Fund Investment Data'!$B:$B &lt;= 3)) * Parameters!$B$4, 0),0)))"),0.0)</f>
        <v>0</v>
      </c>
      <c r="AB2283" s="32">
        <f>IFERROR(__xludf.DUMMYFUNCTION("IFERROR(((IFERROR(SUM(FILTER('Fund Investment Data'!$V:$V, 'Fund Investment Data'!$C:$C = $C2283, 'Fund Investment Data'!$A:$A = $A2283 - 2, 'Fund Investment Data'!$B:$B &gt;= 4)) * Parameters!$B$4,0) + IFERROR(SUM(FILTER('Fund Investment Data'!$V:$V, 'Fund "&amp;"Investment Data'!$C:$C = $C2283, 'Fund Investment Data'!$A:$A = $A2283 - 1, 'Fund Investment Data'!$B:$B &lt;= 3)) * Parameters!$B$4,0))),0)"),0.0)</f>
        <v>0</v>
      </c>
      <c r="AC2283" s="32">
        <f>IFERROR(__xludf.DUMMYFUNCTION("IFERROR(FILTER($AF:$AF,$C:$C = $C2283,$A:$A = $A2283 - 1,$B:$B = 12),0)"),0.0)</f>
        <v>0</v>
      </c>
      <c r="AD2283" s="32">
        <f t="shared" si="23"/>
        <v>0</v>
      </c>
      <c r="AE2283" s="32">
        <f t="shared" si="2"/>
        <v>0</v>
      </c>
      <c r="AF2283" s="32"/>
    </row>
    <row r="2284">
      <c r="A2284" s="86"/>
      <c r="B2284" s="87"/>
      <c r="C2284" s="88"/>
      <c r="D2284" s="104"/>
      <c r="E2284" s="104"/>
      <c r="F2284" s="104"/>
      <c r="G2284" s="104"/>
      <c r="H2284" s="104"/>
      <c r="I2284" s="104"/>
      <c r="J2284" s="104"/>
      <c r="K2284" s="32"/>
      <c r="L2284" s="32"/>
      <c r="M2284" s="32"/>
      <c r="N2284" s="32"/>
      <c r="O2284" s="106"/>
      <c r="P2284" s="91">
        <f>IFERROR(__xludf.DUMMYFUNCTION("IFERROR(sum(FILTER($D:$N,$C:$C = $C2284,$A:$A &lt; $A2284,$B:$B = 12)),0) + sum($D2284:$N2284)"),0.0)</f>
        <v>0</v>
      </c>
      <c r="Q2284" s="92">
        <f t="shared" si="1"/>
        <v>0</v>
      </c>
      <c r="R2284" s="91">
        <f t="array" ref="R2284">IFERROR(INDEX('Fund YTD Target Values'!$1:$1000, MATCH($C2284,'Fund YTD Target Values'!$A:$A,0), MATCH($A2284,'Fund YTD Target Values'!$1:$1,0)),0)</f>
        <v>0</v>
      </c>
      <c r="S2284" s="91">
        <f>IFERROR(__xludf.DUMMYFUNCTION("IFERROR(sum(FILTER('Fund Investment Data'!$V:$V, 'Fund Investment Data'!$C:$C = $C2284, 'Fund Investment Data'!$A:$A &lt; $A2284)),0) + IFERROR(sum(FILTER('Fund Investment Data'!$V:$V, 'Fund Investment Data'!$C:$C = $C2284, 'Fund Investment Data'!$A:$A = $A2"&amp;"284, 'Fund Investment Data'!$B:$B &lt;= $B2284)),0)"),0.0)</f>
        <v>0</v>
      </c>
      <c r="T2284" s="32"/>
      <c r="U2284" s="32"/>
      <c r="V2284" s="32">
        <f>IFERROR(__xludf.DUMMYFUNCTION("$D2284 - IFERROR(FILTER($D:$D,$C:$C = $C2284, $A:$A = $A2284, $B:$B = $B2284 - 1),0)"),0.0)</f>
        <v>0</v>
      </c>
      <c r="W2284" s="93">
        <f>IFERROR(__xludf.DUMMYFUNCTION("$E2284 - IFERROR(FILTER($E:$E,$C:$C = $C2284, $A:$A = $A2284, $B:$B = $B2284 - 1),0)"),0.0)</f>
        <v>0</v>
      </c>
      <c r="X2284" s="91">
        <f>IFERROR(__xludf.DUMMYFUNCTION("iFERROR((FILTER('Fund Investment Data'!$Z:$Z, 'Fund Investment Data'!$C:$C = $C2284, 'Fund Investment Data'!$A:$A = $A2284 - 1, 'Fund Investment Data'!$B:$B = 12) + FILTER('Fund Investment Data'!$AB:$AB, 'Fund Investment Data'!$C:$C = $C2284, 'Fund Invest"&amp;"ment Data'!$A:$A = $A2284 - 1, 'Fund Investment Data'!$B:$B = 12)) * (1 + AVERAGE(FILTER('Inflation Data'!$C:$C,'Inflation Data'!$A:$A = ($A2284 - 2)))) * Parameters!$A$4,0)"),0.0)</f>
        <v>0</v>
      </c>
      <c r="Y2284" s="91">
        <f>IFERROR(__xludf.DUMMYFUNCTION("IFERROR((IFERROR(FILTER('Fund Investment Data'!$P:$P,'Fund Investment Data'!$C:$C = $C2284,'Fund Investment Data'!$A:$A = ($A2284 - 2), 'Fund Investment Data'!$B:$B = 12),0) - SUM(FILTER('Fund Investment Data'!$V:$V, 'Fund Investment Data'!$C:$C = $C2284,"&amp;" 'Fund Investment Data'!$A:$A = ($A2284 - 2), 'Fund Investment Data'!$B:$B &gt; 3)))  * Parameters!$B$4 * (1 - Parameters!$A$4),0)"),0.0)</f>
        <v>0</v>
      </c>
      <c r="Z2284" s="91">
        <f t="shared" si="24"/>
        <v>0</v>
      </c>
      <c r="AA2284" s="91">
        <f>IFERROR(__xludf.DUMMYFUNCTION("((IFERROR((SUM(FILTER('Fund Investment Data'!$V:$V, 'Fund Investment Data'!$C:$C = $C2284, 'Fund Investment Data'!$A:$A = $A2284 - 1, 'Fund Investment Data'!$B:$B &gt;= 4, 'Fund Investment Data'!$B:$B &lt;= ($B2284 + 5))) / 12) * ($B2284 - 3) * Parameters!$B$4,"&amp;" 0) + IF($B2284 &gt;= 9, IFERROR(SUM(FILTER('Fund Investment Data'!$V:$V, 'Fund Investment Data'!$C:$C = $C2284, 'Fund Investment Data'!$A:$A = $A2284, 'Fund Investment Data'!$B:$B &lt;= 3)) * Parameters!$B$4, 0),0)))"),0.0)</f>
        <v>0</v>
      </c>
      <c r="AB2284" s="32">
        <f>IFERROR(__xludf.DUMMYFUNCTION("IFERROR(((IFERROR(SUM(FILTER('Fund Investment Data'!$V:$V, 'Fund Investment Data'!$C:$C = $C2284, 'Fund Investment Data'!$A:$A = $A2284 - 2, 'Fund Investment Data'!$B:$B &gt;= 4)) * Parameters!$B$4,0) + IFERROR(SUM(FILTER('Fund Investment Data'!$V:$V, 'Fund "&amp;"Investment Data'!$C:$C = $C2284, 'Fund Investment Data'!$A:$A = $A2284 - 1, 'Fund Investment Data'!$B:$B &lt;= 3)) * Parameters!$B$4,0))),0)"),0.0)</f>
        <v>0</v>
      </c>
      <c r="AC2284" s="32">
        <f>IFERROR(__xludf.DUMMYFUNCTION("IFERROR(FILTER($AF:$AF,$C:$C = $C2284,$A:$A = $A2284 - 1,$B:$B = 12),0)"),0.0)</f>
        <v>0</v>
      </c>
      <c r="AD2284" s="32">
        <f t="shared" si="23"/>
        <v>0</v>
      </c>
      <c r="AE2284" s="32">
        <f t="shared" si="2"/>
        <v>0</v>
      </c>
      <c r="AF2284" s="32"/>
    </row>
    <row r="2285">
      <c r="A2285" s="86"/>
      <c r="B2285" s="87"/>
      <c r="C2285" s="88"/>
      <c r="D2285" s="104"/>
      <c r="E2285" s="104"/>
      <c r="F2285" s="104"/>
      <c r="G2285" s="104"/>
      <c r="H2285" s="104"/>
      <c r="I2285" s="104"/>
      <c r="J2285" s="104"/>
      <c r="K2285" s="32"/>
      <c r="L2285" s="32"/>
      <c r="M2285" s="32"/>
      <c r="N2285" s="32"/>
      <c r="O2285" s="106"/>
      <c r="P2285" s="91">
        <f>IFERROR(__xludf.DUMMYFUNCTION("IFERROR(sum(FILTER($D:$N,$C:$C = $C2285,$A:$A &lt; $A2285,$B:$B = 12)),0) + sum($D2285:$N2285)"),0.0)</f>
        <v>0</v>
      </c>
      <c r="Q2285" s="92">
        <f t="shared" si="1"/>
        <v>0</v>
      </c>
      <c r="R2285" s="91">
        <f t="array" ref="R2285">IFERROR(INDEX('Fund YTD Target Values'!$1:$1000, MATCH($C2285,'Fund YTD Target Values'!$A:$A,0), MATCH($A2285,'Fund YTD Target Values'!$1:$1,0)),0)</f>
        <v>0</v>
      </c>
      <c r="S2285" s="91">
        <f>IFERROR(__xludf.DUMMYFUNCTION("IFERROR(sum(FILTER('Fund Investment Data'!$V:$V, 'Fund Investment Data'!$C:$C = $C2285, 'Fund Investment Data'!$A:$A &lt; $A2285)),0) + IFERROR(sum(FILTER('Fund Investment Data'!$V:$V, 'Fund Investment Data'!$C:$C = $C2285, 'Fund Investment Data'!$A:$A = $A2"&amp;"285, 'Fund Investment Data'!$B:$B &lt;= $B2285)),0)"),0.0)</f>
        <v>0</v>
      </c>
      <c r="T2285" s="32"/>
      <c r="U2285" s="32"/>
      <c r="V2285" s="32">
        <f>IFERROR(__xludf.DUMMYFUNCTION("$D2285 - IFERROR(FILTER($D:$D,$C:$C = $C2285, $A:$A = $A2285, $B:$B = $B2285 - 1),0)"),0.0)</f>
        <v>0</v>
      </c>
      <c r="W2285" s="93">
        <f>IFERROR(__xludf.DUMMYFUNCTION("$E2285 - IFERROR(FILTER($E:$E,$C:$C = $C2285, $A:$A = $A2285, $B:$B = $B2285 - 1),0)"),0.0)</f>
        <v>0</v>
      </c>
      <c r="X2285" s="91">
        <f>IFERROR(__xludf.DUMMYFUNCTION("iFERROR((FILTER('Fund Investment Data'!$Z:$Z, 'Fund Investment Data'!$C:$C = $C2285, 'Fund Investment Data'!$A:$A = $A2285 - 1, 'Fund Investment Data'!$B:$B = 12) + FILTER('Fund Investment Data'!$AB:$AB, 'Fund Investment Data'!$C:$C = $C2285, 'Fund Invest"&amp;"ment Data'!$A:$A = $A2285 - 1, 'Fund Investment Data'!$B:$B = 12)) * (1 + AVERAGE(FILTER('Inflation Data'!$C:$C,'Inflation Data'!$A:$A = ($A2285 - 2)))) * Parameters!$A$4,0)"),0.0)</f>
        <v>0</v>
      </c>
      <c r="Y2285" s="91">
        <f>IFERROR(__xludf.DUMMYFUNCTION("IFERROR((IFERROR(FILTER('Fund Investment Data'!$P:$P,'Fund Investment Data'!$C:$C = $C2285,'Fund Investment Data'!$A:$A = ($A2285 - 2), 'Fund Investment Data'!$B:$B = 12),0) - SUM(FILTER('Fund Investment Data'!$V:$V, 'Fund Investment Data'!$C:$C = $C2285,"&amp;" 'Fund Investment Data'!$A:$A = ($A2285 - 2), 'Fund Investment Data'!$B:$B &gt; 3)))  * Parameters!$B$4 * (1 - Parameters!$A$4),0)"),0.0)</f>
        <v>0</v>
      </c>
      <c r="Z2285" s="91">
        <f t="shared" si="24"/>
        <v>0</v>
      </c>
      <c r="AA2285" s="91">
        <f>IFERROR(__xludf.DUMMYFUNCTION("((IFERROR((SUM(FILTER('Fund Investment Data'!$V:$V, 'Fund Investment Data'!$C:$C = $C2285, 'Fund Investment Data'!$A:$A = $A2285 - 1, 'Fund Investment Data'!$B:$B &gt;= 4, 'Fund Investment Data'!$B:$B &lt;= ($B2285 + 5))) / 12) * ($B2285 - 3) * Parameters!$B$4,"&amp;" 0) + IF($B2285 &gt;= 9, IFERROR(SUM(FILTER('Fund Investment Data'!$V:$V, 'Fund Investment Data'!$C:$C = $C2285, 'Fund Investment Data'!$A:$A = $A2285, 'Fund Investment Data'!$B:$B &lt;= 3)) * Parameters!$B$4, 0),0)))"),0.0)</f>
        <v>0</v>
      </c>
      <c r="AB2285" s="32">
        <f>IFERROR(__xludf.DUMMYFUNCTION("IFERROR(((IFERROR(SUM(FILTER('Fund Investment Data'!$V:$V, 'Fund Investment Data'!$C:$C = $C2285, 'Fund Investment Data'!$A:$A = $A2285 - 2, 'Fund Investment Data'!$B:$B &gt;= 4)) * Parameters!$B$4,0) + IFERROR(SUM(FILTER('Fund Investment Data'!$V:$V, 'Fund "&amp;"Investment Data'!$C:$C = $C2285, 'Fund Investment Data'!$A:$A = $A2285 - 1, 'Fund Investment Data'!$B:$B &lt;= 3)) * Parameters!$B$4,0))),0)"),0.0)</f>
        <v>0</v>
      </c>
      <c r="AC2285" s="32">
        <f>IFERROR(__xludf.DUMMYFUNCTION("IFERROR(FILTER($AF:$AF,$C:$C = $C2285,$A:$A = $A2285 - 1,$B:$B = 12),0)"),0.0)</f>
        <v>0</v>
      </c>
      <c r="AD2285" s="32">
        <f t="shared" si="23"/>
        <v>0</v>
      </c>
      <c r="AE2285" s="32">
        <f t="shared" si="2"/>
        <v>0</v>
      </c>
      <c r="AF2285" s="32"/>
    </row>
    <row r="2286">
      <c r="A2286" s="86"/>
      <c r="B2286" s="87"/>
      <c r="C2286" s="88"/>
      <c r="D2286" s="104"/>
      <c r="E2286" s="104"/>
      <c r="F2286" s="104"/>
      <c r="G2286" s="104"/>
      <c r="H2286" s="104"/>
      <c r="I2286" s="104"/>
      <c r="J2286" s="104"/>
      <c r="K2286" s="32"/>
      <c r="L2286" s="32"/>
      <c r="M2286" s="32"/>
      <c r="N2286" s="32"/>
      <c r="O2286" s="106"/>
      <c r="P2286" s="91">
        <f>IFERROR(__xludf.DUMMYFUNCTION("IFERROR(sum(FILTER($D:$N,$C:$C = $C2286,$A:$A &lt; $A2286,$B:$B = 12)),0) + sum($D2286:$N2286)"),0.0)</f>
        <v>0</v>
      </c>
      <c r="Q2286" s="92">
        <f t="shared" si="1"/>
        <v>0</v>
      </c>
      <c r="R2286" s="91">
        <f t="array" ref="R2286">IFERROR(INDEX('Fund YTD Target Values'!$1:$1000, MATCH($C2286,'Fund YTD Target Values'!$A:$A,0), MATCH($A2286,'Fund YTD Target Values'!$1:$1,0)),0)</f>
        <v>0</v>
      </c>
      <c r="S2286" s="91">
        <f>IFERROR(__xludf.DUMMYFUNCTION("IFERROR(sum(FILTER('Fund Investment Data'!$V:$V, 'Fund Investment Data'!$C:$C = $C2286, 'Fund Investment Data'!$A:$A &lt; $A2286)),0) + IFERROR(sum(FILTER('Fund Investment Data'!$V:$V, 'Fund Investment Data'!$C:$C = $C2286, 'Fund Investment Data'!$A:$A = $A2"&amp;"286, 'Fund Investment Data'!$B:$B &lt;= $B2286)),0)"),0.0)</f>
        <v>0</v>
      </c>
      <c r="T2286" s="32"/>
      <c r="U2286" s="32"/>
      <c r="V2286" s="32">
        <f>IFERROR(__xludf.DUMMYFUNCTION("$D2286 - IFERROR(FILTER($D:$D,$C:$C = $C2286, $A:$A = $A2286, $B:$B = $B2286 - 1),0)"),0.0)</f>
        <v>0</v>
      </c>
      <c r="W2286" s="93">
        <f>IFERROR(__xludf.DUMMYFUNCTION("$E2286 - IFERROR(FILTER($E:$E,$C:$C = $C2286, $A:$A = $A2286, $B:$B = $B2286 - 1),0)"),0.0)</f>
        <v>0</v>
      </c>
      <c r="X2286" s="91">
        <f>IFERROR(__xludf.DUMMYFUNCTION("iFERROR((FILTER('Fund Investment Data'!$Z:$Z, 'Fund Investment Data'!$C:$C = $C2286, 'Fund Investment Data'!$A:$A = $A2286 - 1, 'Fund Investment Data'!$B:$B = 12) + FILTER('Fund Investment Data'!$AB:$AB, 'Fund Investment Data'!$C:$C = $C2286, 'Fund Invest"&amp;"ment Data'!$A:$A = $A2286 - 1, 'Fund Investment Data'!$B:$B = 12)) * (1 + AVERAGE(FILTER('Inflation Data'!$C:$C,'Inflation Data'!$A:$A = ($A2286 - 2)))) * Parameters!$A$4,0)"),0.0)</f>
        <v>0</v>
      </c>
      <c r="Y2286" s="91">
        <f>IFERROR(__xludf.DUMMYFUNCTION("IFERROR((IFERROR(FILTER('Fund Investment Data'!$P:$P,'Fund Investment Data'!$C:$C = $C2286,'Fund Investment Data'!$A:$A = ($A2286 - 2), 'Fund Investment Data'!$B:$B = 12),0) - SUM(FILTER('Fund Investment Data'!$V:$V, 'Fund Investment Data'!$C:$C = $C2286,"&amp;" 'Fund Investment Data'!$A:$A = ($A2286 - 2), 'Fund Investment Data'!$B:$B &gt; 3)))  * Parameters!$B$4 * (1 - Parameters!$A$4),0)"),0.0)</f>
        <v>0</v>
      </c>
      <c r="Z2286" s="91">
        <f t="shared" si="24"/>
        <v>0</v>
      </c>
      <c r="AA2286" s="91">
        <f>IFERROR(__xludf.DUMMYFUNCTION("((IFERROR((SUM(FILTER('Fund Investment Data'!$V:$V, 'Fund Investment Data'!$C:$C = $C2286, 'Fund Investment Data'!$A:$A = $A2286 - 1, 'Fund Investment Data'!$B:$B &gt;= 4, 'Fund Investment Data'!$B:$B &lt;= ($B2286 + 5))) / 12) * ($B2286 - 3) * Parameters!$B$4,"&amp;" 0) + IF($B2286 &gt;= 9, IFERROR(SUM(FILTER('Fund Investment Data'!$V:$V, 'Fund Investment Data'!$C:$C = $C2286, 'Fund Investment Data'!$A:$A = $A2286, 'Fund Investment Data'!$B:$B &lt;= 3)) * Parameters!$B$4, 0),0)))"),0.0)</f>
        <v>0</v>
      </c>
      <c r="AB2286" s="32">
        <f>IFERROR(__xludf.DUMMYFUNCTION("IFERROR(((IFERROR(SUM(FILTER('Fund Investment Data'!$V:$V, 'Fund Investment Data'!$C:$C = $C2286, 'Fund Investment Data'!$A:$A = $A2286 - 2, 'Fund Investment Data'!$B:$B &gt;= 4)) * Parameters!$B$4,0) + IFERROR(SUM(FILTER('Fund Investment Data'!$V:$V, 'Fund "&amp;"Investment Data'!$C:$C = $C2286, 'Fund Investment Data'!$A:$A = $A2286 - 1, 'Fund Investment Data'!$B:$B &lt;= 3)) * Parameters!$B$4,0))),0)"),0.0)</f>
        <v>0</v>
      </c>
      <c r="AC2286" s="32">
        <f>IFERROR(__xludf.DUMMYFUNCTION("IFERROR(FILTER($AF:$AF,$C:$C = $C2286,$A:$A = $A2286 - 1,$B:$B = 12),0)"),0.0)</f>
        <v>0</v>
      </c>
      <c r="AD2286" s="32">
        <f t="shared" si="23"/>
        <v>0</v>
      </c>
      <c r="AE2286" s="32">
        <f t="shared" si="2"/>
        <v>0</v>
      </c>
      <c r="AF2286" s="32"/>
    </row>
    <row r="2287">
      <c r="A2287" s="86"/>
      <c r="B2287" s="87"/>
      <c r="C2287" s="88"/>
      <c r="D2287" s="104"/>
      <c r="E2287" s="104"/>
      <c r="F2287" s="104"/>
      <c r="G2287" s="104"/>
      <c r="H2287" s="104"/>
      <c r="I2287" s="104"/>
      <c r="J2287" s="104"/>
      <c r="K2287" s="32"/>
      <c r="L2287" s="32"/>
      <c r="M2287" s="32"/>
      <c r="N2287" s="32"/>
      <c r="O2287" s="106"/>
      <c r="P2287" s="91">
        <f>IFERROR(__xludf.DUMMYFUNCTION("IFERROR(sum(FILTER($D:$N,$C:$C = $C2287,$A:$A &lt; $A2287,$B:$B = 12)),0) + sum($D2287:$N2287)"),0.0)</f>
        <v>0</v>
      </c>
      <c r="Q2287" s="92">
        <f t="shared" si="1"/>
        <v>0</v>
      </c>
      <c r="R2287" s="91">
        <f t="array" ref="R2287">IFERROR(INDEX('Fund YTD Target Values'!$1:$1000, MATCH($C2287,'Fund YTD Target Values'!$A:$A,0), MATCH($A2287,'Fund YTD Target Values'!$1:$1,0)),0)</f>
        <v>0</v>
      </c>
      <c r="S2287" s="91">
        <f>IFERROR(__xludf.DUMMYFUNCTION("IFERROR(sum(FILTER('Fund Investment Data'!$V:$V, 'Fund Investment Data'!$C:$C = $C2287, 'Fund Investment Data'!$A:$A &lt; $A2287)),0) + IFERROR(sum(FILTER('Fund Investment Data'!$V:$V, 'Fund Investment Data'!$C:$C = $C2287, 'Fund Investment Data'!$A:$A = $A2"&amp;"287, 'Fund Investment Data'!$B:$B &lt;= $B2287)),0)"),0.0)</f>
        <v>0</v>
      </c>
      <c r="T2287" s="32"/>
      <c r="U2287" s="32"/>
      <c r="V2287" s="32">
        <f>IFERROR(__xludf.DUMMYFUNCTION("$D2287 - IFERROR(FILTER($D:$D,$C:$C = $C2287, $A:$A = $A2287, $B:$B = $B2287 - 1),0)"),0.0)</f>
        <v>0</v>
      </c>
      <c r="W2287" s="93">
        <f>IFERROR(__xludf.DUMMYFUNCTION("$E2287 - IFERROR(FILTER($E:$E,$C:$C = $C2287, $A:$A = $A2287, $B:$B = $B2287 - 1),0)"),0.0)</f>
        <v>0</v>
      </c>
      <c r="X2287" s="91">
        <f>IFERROR(__xludf.DUMMYFUNCTION("iFERROR((FILTER('Fund Investment Data'!$Z:$Z, 'Fund Investment Data'!$C:$C = $C2287, 'Fund Investment Data'!$A:$A = $A2287 - 1, 'Fund Investment Data'!$B:$B = 12) + FILTER('Fund Investment Data'!$AB:$AB, 'Fund Investment Data'!$C:$C = $C2287, 'Fund Invest"&amp;"ment Data'!$A:$A = $A2287 - 1, 'Fund Investment Data'!$B:$B = 12)) * (1 + AVERAGE(FILTER('Inflation Data'!$C:$C,'Inflation Data'!$A:$A = ($A2287 - 2)))) * Parameters!$A$4,0)"),0.0)</f>
        <v>0</v>
      </c>
      <c r="Y2287" s="91">
        <f>IFERROR(__xludf.DUMMYFUNCTION("IFERROR((IFERROR(FILTER('Fund Investment Data'!$P:$P,'Fund Investment Data'!$C:$C = $C2287,'Fund Investment Data'!$A:$A = ($A2287 - 2), 'Fund Investment Data'!$B:$B = 12),0) - SUM(FILTER('Fund Investment Data'!$V:$V, 'Fund Investment Data'!$C:$C = $C2287,"&amp;" 'Fund Investment Data'!$A:$A = ($A2287 - 2), 'Fund Investment Data'!$B:$B &gt; 3)))  * Parameters!$B$4 * (1 - Parameters!$A$4),0)"),0.0)</f>
        <v>0</v>
      </c>
      <c r="Z2287" s="91">
        <f t="shared" si="24"/>
        <v>0</v>
      </c>
      <c r="AA2287" s="91">
        <f>IFERROR(__xludf.DUMMYFUNCTION("((IFERROR((SUM(FILTER('Fund Investment Data'!$V:$V, 'Fund Investment Data'!$C:$C = $C2287, 'Fund Investment Data'!$A:$A = $A2287 - 1, 'Fund Investment Data'!$B:$B &gt;= 4, 'Fund Investment Data'!$B:$B &lt;= ($B2287 + 5))) / 12) * ($B2287 - 3) * Parameters!$B$4,"&amp;" 0) + IF($B2287 &gt;= 9, IFERROR(SUM(FILTER('Fund Investment Data'!$V:$V, 'Fund Investment Data'!$C:$C = $C2287, 'Fund Investment Data'!$A:$A = $A2287, 'Fund Investment Data'!$B:$B &lt;= 3)) * Parameters!$B$4, 0),0)))"),0.0)</f>
        <v>0</v>
      </c>
      <c r="AB2287" s="32">
        <f>IFERROR(__xludf.DUMMYFUNCTION("IFERROR(((IFERROR(SUM(FILTER('Fund Investment Data'!$V:$V, 'Fund Investment Data'!$C:$C = $C2287, 'Fund Investment Data'!$A:$A = $A2287 - 2, 'Fund Investment Data'!$B:$B &gt;= 4)) * Parameters!$B$4,0) + IFERROR(SUM(FILTER('Fund Investment Data'!$V:$V, 'Fund "&amp;"Investment Data'!$C:$C = $C2287, 'Fund Investment Data'!$A:$A = $A2287 - 1, 'Fund Investment Data'!$B:$B &lt;= 3)) * Parameters!$B$4,0))),0)"),0.0)</f>
        <v>0</v>
      </c>
      <c r="AC2287" s="32">
        <f>IFERROR(__xludf.DUMMYFUNCTION("IFERROR(FILTER($AF:$AF,$C:$C = $C2287,$A:$A = $A2287 - 1,$B:$B = 12),0)"),0.0)</f>
        <v>0</v>
      </c>
      <c r="AD2287" s="32">
        <f t="shared" si="23"/>
        <v>0</v>
      </c>
      <c r="AE2287" s="32">
        <f t="shared" si="2"/>
        <v>0</v>
      </c>
      <c r="AF2287" s="32"/>
    </row>
    <row r="2288">
      <c r="A2288" s="86"/>
      <c r="B2288" s="87"/>
      <c r="C2288" s="88"/>
      <c r="D2288" s="104"/>
      <c r="E2288" s="104"/>
      <c r="F2288" s="104"/>
      <c r="G2288" s="104"/>
      <c r="H2288" s="104"/>
      <c r="I2288" s="104"/>
      <c r="J2288" s="104"/>
      <c r="K2288" s="32"/>
      <c r="L2288" s="32"/>
      <c r="M2288" s="32"/>
      <c r="N2288" s="32"/>
      <c r="O2288" s="106"/>
      <c r="P2288" s="91">
        <f>IFERROR(__xludf.DUMMYFUNCTION("IFERROR(sum(FILTER($D:$N,$C:$C = $C2288,$A:$A &lt; $A2288,$B:$B = 12)),0) + sum($D2288:$N2288)"),0.0)</f>
        <v>0</v>
      </c>
      <c r="Q2288" s="92">
        <f t="shared" si="1"/>
        <v>0</v>
      </c>
      <c r="R2288" s="91">
        <f t="array" ref="R2288">IFERROR(INDEX('Fund YTD Target Values'!$1:$1000, MATCH($C2288,'Fund YTD Target Values'!$A:$A,0), MATCH($A2288,'Fund YTD Target Values'!$1:$1,0)),0)</f>
        <v>0</v>
      </c>
      <c r="S2288" s="91">
        <f>IFERROR(__xludf.DUMMYFUNCTION("IFERROR(sum(FILTER('Fund Investment Data'!$V:$V, 'Fund Investment Data'!$C:$C = $C2288, 'Fund Investment Data'!$A:$A &lt; $A2288)),0) + IFERROR(sum(FILTER('Fund Investment Data'!$V:$V, 'Fund Investment Data'!$C:$C = $C2288, 'Fund Investment Data'!$A:$A = $A2"&amp;"288, 'Fund Investment Data'!$B:$B &lt;= $B2288)),0)"),0.0)</f>
        <v>0</v>
      </c>
      <c r="T2288" s="32"/>
      <c r="U2288" s="32"/>
      <c r="V2288" s="32">
        <f>IFERROR(__xludf.DUMMYFUNCTION("$D2288 - IFERROR(FILTER($D:$D,$C:$C = $C2288, $A:$A = $A2288, $B:$B = $B2288 - 1),0)"),0.0)</f>
        <v>0</v>
      </c>
      <c r="W2288" s="93">
        <f>IFERROR(__xludf.DUMMYFUNCTION("$E2288 - IFERROR(FILTER($E:$E,$C:$C = $C2288, $A:$A = $A2288, $B:$B = $B2288 - 1),0)"),0.0)</f>
        <v>0</v>
      </c>
      <c r="X2288" s="91">
        <f>IFERROR(__xludf.DUMMYFUNCTION("iFERROR((FILTER('Fund Investment Data'!$Z:$Z, 'Fund Investment Data'!$C:$C = $C2288, 'Fund Investment Data'!$A:$A = $A2288 - 1, 'Fund Investment Data'!$B:$B = 12) + FILTER('Fund Investment Data'!$AB:$AB, 'Fund Investment Data'!$C:$C = $C2288, 'Fund Invest"&amp;"ment Data'!$A:$A = $A2288 - 1, 'Fund Investment Data'!$B:$B = 12)) * (1 + AVERAGE(FILTER('Inflation Data'!$C:$C,'Inflation Data'!$A:$A = ($A2288 - 2)))) * Parameters!$A$4,0)"),0.0)</f>
        <v>0</v>
      </c>
      <c r="Y2288" s="91">
        <f>IFERROR(__xludf.DUMMYFUNCTION("IFERROR((IFERROR(FILTER('Fund Investment Data'!$P:$P,'Fund Investment Data'!$C:$C = $C2288,'Fund Investment Data'!$A:$A = ($A2288 - 2), 'Fund Investment Data'!$B:$B = 12),0) - SUM(FILTER('Fund Investment Data'!$V:$V, 'Fund Investment Data'!$C:$C = $C2288,"&amp;" 'Fund Investment Data'!$A:$A = ($A2288 - 2), 'Fund Investment Data'!$B:$B &gt; 3)))  * Parameters!$B$4 * (1 - Parameters!$A$4),0)"),0.0)</f>
        <v>0</v>
      </c>
      <c r="Z2288" s="91">
        <f t="shared" si="24"/>
        <v>0</v>
      </c>
      <c r="AA2288" s="91">
        <f>IFERROR(__xludf.DUMMYFUNCTION("((IFERROR((SUM(FILTER('Fund Investment Data'!$V:$V, 'Fund Investment Data'!$C:$C = $C2288, 'Fund Investment Data'!$A:$A = $A2288 - 1, 'Fund Investment Data'!$B:$B &gt;= 4, 'Fund Investment Data'!$B:$B &lt;= ($B2288 + 5))) / 12) * ($B2288 - 3) * Parameters!$B$4,"&amp;" 0) + IF($B2288 &gt;= 9, IFERROR(SUM(FILTER('Fund Investment Data'!$V:$V, 'Fund Investment Data'!$C:$C = $C2288, 'Fund Investment Data'!$A:$A = $A2288, 'Fund Investment Data'!$B:$B &lt;= 3)) * Parameters!$B$4, 0),0)))"),0.0)</f>
        <v>0</v>
      </c>
      <c r="AB2288" s="32">
        <f>IFERROR(__xludf.DUMMYFUNCTION("IFERROR(((IFERROR(SUM(FILTER('Fund Investment Data'!$V:$V, 'Fund Investment Data'!$C:$C = $C2288, 'Fund Investment Data'!$A:$A = $A2288 - 2, 'Fund Investment Data'!$B:$B &gt;= 4)) * Parameters!$B$4,0) + IFERROR(SUM(FILTER('Fund Investment Data'!$V:$V, 'Fund "&amp;"Investment Data'!$C:$C = $C2288, 'Fund Investment Data'!$A:$A = $A2288 - 1, 'Fund Investment Data'!$B:$B &lt;= 3)) * Parameters!$B$4,0))),0)"),0.0)</f>
        <v>0</v>
      </c>
      <c r="AC2288" s="32">
        <f>IFERROR(__xludf.DUMMYFUNCTION("IFERROR(FILTER($AF:$AF,$C:$C = $C2288,$A:$A = $A2288 - 1,$B:$B = 12),0)"),0.0)</f>
        <v>0</v>
      </c>
      <c r="AD2288" s="32">
        <f t="shared" si="23"/>
        <v>0</v>
      </c>
      <c r="AE2288" s="32">
        <f t="shared" si="2"/>
        <v>0</v>
      </c>
      <c r="AF2288" s="32"/>
    </row>
    <row r="2289">
      <c r="A2289" s="86"/>
      <c r="B2289" s="87"/>
      <c r="C2289" s="88"/>
      <c r="D2289" s="104"/>
      <c r="E2289" s="104"/>
      <c r="F2289" s="104"/>
      <c r="G2289" s="104"/>
      <c r="H2289" s="104"/>
      <c r="I2289" s="104"/>
      <c r="J2289" s="104"/>
      <c r="K2289" s="32"/>
      <c r="L2289" s="32"/>
      <c r="M2289" s="32"/>
      <c r="N2289" s="32"/>
      <c r="O2289" s="106"/>
      <c r="P2289" s="91">
        <f>IFERROR(__xludf.DUMMYFUNCTION("IFERROR(sum(FILTER($D:$N,$C:$C = $C2289,$A:$A &lt; $A2289,$B:$B = 12)),0) + sum($D2289:$N2289)"),0.0)</f>
        <v>0</v>
      </c>
      <c r="Q2289" s="92">
        <f t="shared" si="1"/>
        <v>0</v>
      </c>
      <c r="R2289" s="91">
        <f t="array" ref="R2289">IFERROR(INDEX('Fund YTD Target Values'!$1:$1000, MATCH($C2289,'Fund YTD Target Values'!$A:$A,0), MATCH($A2289,'Fund YTD Target Values'!$1:$1,0)),0)</f>
        <v>0</v>
      </c>
      <c r="S2289" s="91">
        <f>IFERROR(__xludf.DUMMYFUNCTION("IFERROR(sum(FILTER('Fund Investment Data'!$V:$V, 'Fund Investment Data'!$C:$C = $C2289, 'Fund Investment Data'!$A:$A &lt; $A2289)),0) + IFERROR(sum(FILTER('Fund Investment Data'!$V:$V, 'Fund Investment Data'!$C:$C = $C2289, 'Fund Investment Data'!$A:$A = $A2"&amp;"289, 'Fund Investment Data'!$B:$B &lt;= $B2289)),0)"),0.0)</f>
        <v>0</v>
      </c>
      <c r="T2289" s="32"/>
      <c r="U2289" s="32"/>
      <c r="V2289" s="32">
        <f>IFERROR(__xludf.DUMMYFUNCTION("$D2289 - IFERROR(FILTER($D:$D,$C:$C = $C2289, $A:$A = $A2289, $B:$B = $B2289 - 1),0)"),0.0)</f>
        <v>0</v>
      </c>
      <c r="W2289" s="93">
        <f>IFERROR(__xludf.DUMMYFUNCTION("$E2289 - IFERROR(FILTER($E:$E,$C:$C = $C2289, $A:$A = $A2289, $B:$B = $B2289 - 1),0)"),0.0)</f>
        <v>0</v>
      </c>
      <c r="X2289" s="91">
        <f>IFERROR(__xludf.DUMMYFUNCTION("iFERROR((FILTER('Fund Investment Data'!$Z:$Z, 'Fund Investment Data'!$C:$C = $C2289, 'Fund Investment Data'!$A:$A = $A2289 - 1, 'Fund Investment Data'!$B:$B = 12) + FILTER('Fund Investment Data'!$AB:$AB, 'Fund Investment Data'!$C:$C = $C2289, 'Fund Invest"&amp;"ment Data'!$A:$A = $A2289 - 1, 'Fund Investment Data'!$B:$B = 12)) * (1 + AVERAGE(FILTER('Inflation Data'!$C:$C,'Inflation Data'!$A:$A = ($A2289 - 2)))) * Parameters!$A$4,0)"),0.0)</f>
        <v>0</v>
      </c>
      <c r="Y2289" s="91">
        <f>IFERROR(__xludf.DUMMYFUNCTION("IFERROR((IFERROR(FILTER('Fund Investment Data'!$P:$P,'Fund Investment Data'!$C:$C = $C2289,'Fund Investment Data'!$A:$A = ($A2289 - 2), 'Fund Investment Data'!$B:$B = 12),0) - SUM(FILTER('Fund Investment Data'!$V:$V, 'Fund Investment Data'!$C:$C = $C2289,"&amp;" 'Fund Investment Data'!$A:$A = ($A2289 - 2), 'Fund Investment Data'!$B:$B &gt; 3)))  * Parameters!$B$4 * (1 - Parameters!$A$4),0)"),0.0)</f>
        <v>0</v>
      </c>
      <c r="Z2289" s="91">
        <f t="shared" si="24"/>
        <v>0</v>
      </c>
      <c r="AA2289" s="91">
        <f>IFERROR(__xludf.DUMMYFUNCTION("((IFERROR((SUM(FILTER('Fund Investment Data'!$V:$V, 'Fund Investment Data'!$C:$C = $C2289, 'Fund Investment Data'!$A:$A = $A2289 - 1, 'Fund Investment Data'!$B:$B &gt;= 4, 'Fund Investment Data'!$B:$B &lt;= ($B2289 + 5))) / 12) * ($B2289 - 3) * Parameters!$B$4,"&amp;" 0) + IF($B2289 &gt;= 9, IFERROR(SUM(FILTER('Fund Investment Data'!$V:$V, 'Fund Investment Data'!$C:$C = $C2289, 'Fund Investment Data'!$A:$A = $A2289, 'Fund Investment Data'!$B:$B &lt;= 3)) * Parameters!$B$4, 0),0)))"),0.0)</f>
        <v>0</v>
      </c>
      <c r="AB2289" s="32">
        <f>IFERROR(__xludf.DUMMYFUNCTION("IFERROR(((IFERROR(SUM(FILTER('Fund Investment Data'!$V:$V, 'Fund Investment Data'!$C:$C = $C2289, 'Fund Investment Data'!$A:$A = $A2289 - 2, 'Fund Investment Data'!$B:$B &gt;= 4)) * Parameters!$B$4,0) + IFERROR(SUM(FILTER('Fund Investment Data'!$V:$V, 'Fund "&amp;"Investment Data'!$C:$C = $C2289, 'Fund Investment Data'!$A:$A = $A2289 - 1, 'Fund Investment Data'!$B:$B &lt;= 3)) * Parameters!$B$4,0))),0)"),0.0)</f>
        <v>0</v>
      </c>
      <c r="AC2289" s="32">
        <f>IFERROR(__xludf.DUMMYFUNCTION("IFERROR(FILTER($AF:$AF,$C:$C = $C2289,$A:$A = $A2289 - 1,$B:$B = 12),0)"),0.0)</f>
        <v>0</v>
      </c>
      <c r="AD2289" s="32">
        <f t="shared" si="23"/>
        <v>0</v>
      </c>
      <c r="AE2289" s="32">
        <f t="shared" si="2"/>
        <v>0</v>
      </c>
      <c r="AF2289" s="32"/>
    </row>
    <row r="2290">
      <c r="A2290" s="86"/>
      <c r="B2290" s="87"/>
      <c r="C2290" s="88"/>
      <c r="D2290" s="104"/>
      <c r="E2290" s="104"/>
      <c r="F2290" s="104"/>
      <c r="G2290" s="104"/>
      <c r="H2290" s="104"/>
      <c r="I2290" s="104"/>
      <c r="J2290" s="104"/>
      <c r="K2290" s="32"/>
      <c r="L2290" s="32"/>
      <c r="M2290" s="32"/>
      <c r="N2290" s="32"/>
      <c r="O2290" s="106"/>
      <c r="P2290" s="91">
        <f>IFERROR(__xludf.DUMMYFUNCTION("IFERROR(sum(FILTER($D:$N,$C:$C = $C2290,$A:$A &lt; $A2290,$B:$B = 12)),0) + sum($D2290:$N2290)"),0.0)</f>
        <v>0</v>
      </c>
      <c r="Q2290" s="92">
        <f t="shared" si="1"/>
        <v>0</v>
      </c>
      <c r="R2290" s="91">
        <f t="array" ref="R2290">IFERROR(INDEX('Fund YTD Target Values'!$1:$1000, MATCH($C2290,'Fund YTD Target Values'!$A:$A,0), MATCH($A2290,'Fund YTD Target Values'!$1:$1,0)),0)</f>
        <v>0</v>
      </c>
      <c r="S2290" s="91">
        <f>IFERROR(__xludf.DUMMYFUNCTION("IFERROR(sum(FILTER('Fund Investment Data'!$V:$V, 'Fund Investment Data'!$C:$C = $C2290, 'Fund Investment Data'!$A:$A &lt; $A2290)),0) + IFERROR(sum(FILTER('Fund Investment Data'!$V:$V, 'Fund Investment Data'!$C:$C = $C2290, 'Fund Investment Data'!$A:$A = $A2"&amp;"290, 'Fund Investment Data'!$B:$B &lt;= $B2290)),0)"),0.0)</f>
        <v>0</v>
      </c>
      <c r="T2290" s="32"/>
      <c r="U2290" s="32"/>
      <c r="V2290" s="32">
        <f>IFERROR(__xludf.DUMMYFUNCTION("$D2290 - IFERROR(FILTER($D:$D,$C:$C = $C2290, $A:$A = $A2290, $B:$B = $B2290 - 1),0)"),0.0)</f>
        <v>0</v>
      </c>
      <c r="W2290" s="93">
        <f>IFERROR(__xludf.DUMMYFUNCTION("$E2290 - IFERROR(FILTER($E:$E,$C:$C = $C2290, $A:$A = $A2290, $B:$B = $B2290 - 1),0)"),0.0)</f>
        <v>0</v>
      </c>
      <c r="X2290" s="91">
        <f>IFERROR(__xludf.DUMMYFUNCTION("iFERROR((FILTER('Fund Investment Data'!$Z:$Z, 'Fund Investment Data'!$C:$C = $C2290, 'Fund Investment Data'!$A:$A = $A2290 - 1, 'Fund Investment Data'!$B:$B = 12) + FILTER('Fund Investment Data'!$AB:$AB, 'Fund Investment Data'!$C:$C = $C2290, 'Fund Invest"&amp;"ment Data'!$A:$A = $A2290 - 1, 'Fund Investment Data'!$B:$B = 12)) * (1 + AVERAGE(FILTER('Inflation Data'!$C:$C,'Inflation Data'!$A:$A = ($A2290 - 2)))) * Parameters!$A$4,0)"),0.0)</f>
        <v>0</v>
      </c>
      <c r="Y2290" s="91">
        <f>IFERROR(__xludf.DUMMYFUNCTION("IFERROR((IFERROR(FILTER('Fund Investment Data'!$P:$P,'Fund Investment Data'!$C:$C = $C2290,'Fund Investment Data'!$A:$A = ($A2290 - 2), 'Fund Investment Data'!$B:$B = 12),0) - SUM(FILTER('Fund Investment Data'!$V:$V, 'Fund Investment Data'!$C:$C = $C2290,"&amp;" 'Fund Investment Data'!$A:$A = ($A2290 - 2), 'Fund Investment Data'!$B:$B &gt; 3)))  * Parameters!$B$4 * (1 - Parameters!$A$4),0)"),0.0)</f>
        <v>0</v>
      </c>
      <c r="Z2290" s="91">
        <f t="shared" si="24"/>
        <v>0</v>
      </c>
      <c r="AA2290" s="91">
        <f>IFERROR(__xludf.DUMMYFUNCTION("((IFERROR((SUM(FILTER('Fund Investment Data'!$V:$V, 'Fund Investment Data'!$C:$C = $C2290, 'Fund Investment Data'!$A:$A = $A2290 - 1, 'Fund Investment Data'!$B:$B &gt;= 4, 'Fund Investment Data'!$B:$B &lt;= ($B2290 + 5))) / 12) * ($B2290 - 3) * Parameters!$B$4,"&amp;" 0) + IF($B2290 &gt;= 9, IFERROR(SUM(FILTER('Fund Investment Data'!$V:$V, 'Fund Investment Data'!$C:$C = $C2290, 'Fund Investment Data'!$A:$A = $A2290, 'Fund Investment Data'!$B:$B &lt;= 3)) * Parameters!$B$4, 0),0)))"),0.0)</f>
        <v>0</v>
      </c>
      <c r="AB2290" s="32">
        <f>IFERROR(__xludf.DUMMYFUNCTION("IFERROR(((IFERROR(SUM(FILTER('Fund Investment Data'!$V:$V, 'Fund Investment Data'!$C:$C = $C2290, 'Fund Investment Data'!$A:$A = $A2290 - 2, 'Fund Investment Data'!$B:$B &gt;= 4)) * Parameters!$B$4,0) + IFERROR(SUM(FILTER('Fund Investment Data'!$V:$V, 'Fund "&amp;"Investment Data'!$C:$C = $C2290, 'Fund Investment Data'!$A:$A = $A2290 - 1, 'Fund Investment Data'!$B:$B &lt;= 3)) * Parameters!$B$4,0))),0)"),0.0)</f>
        <v>0</v>
      </c>
      <c r="AC2290" s="32">
        <f>IFERROR(__xludf.DUMMYFUNCTION("IFERROR(FILTER($AF:$AF,$C:$C = $C2290,$A:$A = $A2290 - 1,$B:$B = 12),0)"),0.0)</f>
        <v>0</v>
      </c>
      <c r="AD2290" s="32">
        <f t="shared" si="23"/>
        <v>0</v>
      </c>
      <c r="AE2290" s="32">
        <f t="shared" si="2"/>
        <v>0</v>
      </c>
      <c r="AF2290" s="32"/>
    </row>
    <row r="2291">
      <c r="A2291" s="86"/>
      <c r="B2291" s="87"/>
      <c r="C2291" s="88"/>
      <c r="D2291" s="104"/>
      <c r="E2291" s="104"/>
      <c r="F2291" s="104"/>
      <c r="G2291" s="104"/>
      <c r="H2291" s="104"/>
      <c r="I2291" s="104"/>
      <c r="J2291" s="104"/>
      <c r="K2291" s="32"/>
      <c r="L2291" s="32"/>
      <c r="M2291" s="32"/>
      <c r="N2291" s="32"/>
      <c r="O2291" s="106"/>
      <c r="P2291" s="91">
        <f>IFERROR(__xludf.DUMMYFUNCTION("IFERROR(sum(FILTER($D:$N,$C:$C = $C2291,$A:$A &lt; $A2291,$B:$B = 12)),0) + sum($D2291:$N2291)"),0.0)</f>
        <v>0</v>
      </c>
      <c r="Q2291" s="92">
        <f t="shared" si="1"/>
        <v>0</v>
      </c>
      <c r="R2291" s="91">
        <f t="array" ref="R2291">IFERROR(INDEX('Fund YTD Target Values'!$1:$1000, MATCH($C2291,'Fund YTD Target Values'!$A:$A,0), MATCH($A2291,'Fund YTD Target Values'!$1:$1,0)),0)</f>
        <v>0</v>
      </c>
      <c r="S2291" s="91">
        <f>IFERROR(__xludf.DUMMYFUNCTION("IFERROR(sum(FILTER('Fund Investment Data'!$V:$V, 'Fund Investment Data'!$C:$C = $C2291, 'Fund Investment Data'!$A:$A &lt; $A2291)),0) + IFERROR(sum(FILTER('Fund Investment Data'!$V:$V, 'Fund Investment Data'!$C:$C = $C2291, 'Fund Investment Data'!$A:$A = $A2"&amp;"291, 'Fund Investment Data'!$B:$B &lt;= $B2291)),0)"),0.0)</f>
        <v>0</v>
      </c>
      <c r="T2291" s="32"/>
      <c r="U2291" s="32"/>
      <c r="V2291" s="32">
        <f>IFERROR(__xludf.DUMMYFUNCTION("$D2291 - IFERROR(FILTER($D:$D,$C:$C = $C2291, $A:$A = $A2291, $B:$B = $B2291 - 1),0)"),0.0)</f>
        <v>0</v>
      </c>
      <c r="W2291" s="93">
        <f>IFERROR(__xludf.DUMMYFUNCTION("$E2291 - IFERROR(FILTER($E:$E,$C:$C = $C2291, $A:$A = $A2291, $B:$B = $B2291 - 1),0)"),0.0)</f>
        <v>0</v>
      </c>
      <c r="X2291" s="91">
        <f>IFERROR(__xludf.DUMMYFUNCTION("iFERROR((FILTER('Fund Investment Data'!$Z:$Z, 'Fund Investment Data'!$C:$C = $C2291, 'Fund Investment Data'!$A:$A = $A2291 - 1, 'Fund Investment Data'!$B:$B = 12) + FILTER('Fund Investment Data'!$AB:$AB, 'Fund Investment Data'!$C:$C = $C2291, 'Fund Invest"&amp;"ment Data'!$A:$A = $A2291 - 1, 'Fund Investment Data'!$B:$B = 12)) * (1 + AVERAGE(FILTER('Inflation Data'!$C:$C,'Inflation Data'!$A:$A = ($A2291 - 2)))) * Parameters!$A$4,0)"),0.0)</f>
        <v>0</v>
      </c>
      <c r="Y2291" s="91">
        <f>IFERROR(__xludf.DUMMYFUNCTION("IFERROR((IFERROR(FILTER('Fund Investment Data'!$P:$P,'Fund Investment Data'!$C:$C = $C2291,'Fund Investment Data'!$A:$A = ($A2291 - 2), 'Fund Investment Data'!$B:$B = 12),0) - SUM(FILTER('Fund Investment Data'!$V:$V, 'Fund Investment Data'!$C:$C = $C2291,"&amp;" 'Fund Investment Data'!$A:$A = ($A2291 - 2), 'Fund Investment Data'!$B:$B &gt; 3)))  * Parameters!$B$4 * (1 - Parameters!$A$4),0)"),0.0)</f>
        <v>0</v>
      </c>
      <c r="Z2291" s="91">
        <f t="shared" si="24"/>
        <v>0</v>
      </c>
      <c r="AA2291" s="91">
        <f>IFERROR(__xludf.DUMMYFUNCTION("((IFERROR((SUM(FILTER('Fund Investment Data'!$V:$V, 'Fund Investment Data'!$C:$C = $C2291, 'Fund Investment Data'!$A:$A = $A2291 - 1, 'Fund Investment Data'!$B:$B &gt;= 4, 'Fund Investment Data'!$B:$B &lt;= ($B2291 + 5))) / 12) * ($B2291 - 3) * Parameters!$B$4,"&amp;" 0) + IF($B2291 &gt;= 9, IFERROR(SUM(FILTER('Fund Investment Data'!$V:$V, 'Fund Investment Data'!$C:$C = $C2291, 'Fund Investment Data'!$A:$A = $A2291, 'Fund Investment Data'!$B:$B &lt;= 3)) * Parameters!$B$4, 0),0)))"),0.0)</f>
        <v>0</v>
      </c>
      <c r="AB2291" s="32">
        <f>IFERROR(__xludf.DUMMYFUNCTION("IFERROR(((IFERROR(SUM(FILTER('Fund Investment Data'!$V:$V, 'Fund Investment Data'!$C:$C = $C2291, 'Fund Investment Data'!$A:$A = $A2291 - 2, 'Fund Investment Data'!$B:$B &gt;= 4)) * Parameters!$B$4,0) + IFERROR(SUM(FILTER('Fund Investment Data'!$V:$V, 'Fund "&amp;"Investment Data'!$C:$C = $C2291, 'Fund Investment Data'!$A:$A = $A2291 - 1, 'Fund Investment Data'!$B:$B &lt;= 3)) * Parameters!$B$4,0))),0)"),0.0)</f>
        <v>0</v>
      </c>
      <c r="AC2291" s="32">
        <f>IFERROR(__xludf.DUMMYFUNCTION("IFERROR(FILTER($AF:$AF,$C:$C = $C2291,$A:$A = $A2291 - 1,$B:$B = 12),0)"),0.0)</f>
        <v>0</v>
      </c>
      <c r="AD2291" s="32">
        <f t="shared" si="23"/>
        <v>0</v>
      </c>
      <c r="AE2291" s="32">
        <f t="shared" si="2"/>
        <v>0</v>
      </c>
      <c r="AF2291" s="32"/>
    </row>
    <row r="2292">
      <c r="A2292" s="86"/>
      <c r="B2292" s="87"/>
      <c r="C2292" s="88"/>
      <c r="D2292" s="104"/>
      <c r="E2292" s="104"/>
      <c r="F2292" s="104"/>
      <c r="G2292" s="104"/>
      <c r="H2292" s="104"/>
      <c r="I2292" s="104"/>
      <c r="J2292" s="104"/>
      <c r="K2292" s="32"/>
      <c r="L2292" s="32"/>
      <c r="M2292" s="32"/>
      <c r="N2292" s="32"/>
      <c r="O2292" s="106"/>
      <c r="P2292" s="91">
        <f>IFERROR(__xludf.DUMMYFUNCTION("IFERROR(sum(FILTER($D:$N,$C:$C = $C2292,$A:$A &lt; $A2292,$B:$B = 12)),0) + sum($D2292:$N2292)"),0.0)</f>
        <v>0</v>
      </c>
      <c r="Q2292" s="92">
        <f t="shared" si="1"/>
        <v>0</v>
      </c>
      <c r="R2292" s="91">
        <f t="array" ref="R2292">IFERROR(INDEX('Fund YTD Target Values'!$1:$1000, MATCH($C2292,'Fund YTD Target Values'!$A:$A,0), MATCH($A2292,'Fund YTD Target Values'!$1:$1,0)),0)</f>
        <v>0</v>
      </c>
      <c r="S2292" s="91">
        <f>IFERROR(__xludf.DUMMYFUNCTION("IFERROR(sum(FILTER('Fund Investment Data'!$V:$V, 'Fund Investment Data'!$C:$C = $C2292, 'Fund Investment Data'!$A:$A &lt; $A2292)),0) + IFERROR(sum(FILTER('Fund Investment Data'!$V:$V, 'Fund Investment Data'!$C:$C = $C2292, 'Fund Investment Data'!$A:$A = $A2"&amp;"292, 'Fund Investment Data'!$B:$B &lt;= $B2292)),0)"),0.0)</f>
        <v>0</v>
      </c>
      <c r="T2292" s="32"/>
      <c r="U2292" s="32"/>
      <c r="V2292" s="32">
        <f>IFERROR(__xludf.DUMMYFUNCTION("$D2292 - IFERROR(FILTER($D:$D,$C:$C = $C2292, $A:$A = $A2292, $B:$B = $B2292 - 1),0)"),0.0)</f>
        <v>0</v>
      </c>
      <c r="W2292" s="93">
        <f>IFERROR(__xludf.DUMMYFUNCTION("$E2292 - IFERROR(FILTER($E:$E,$C:$C = $C2292, $A:$A = $A2292, $B:$B = $B2292 - 1),0)"),0.0)</f>
        <v>0</v>
      </c>
      <c r="X2292" s="91">
        <f>IFERROR(__xludf.DUMMYFUNCTION("iFERROR((FILTER('Fund Investment Data'!$Z:$Z, 'Fund Investment Data'!$C:$C = $C2292, 'Fund Investment Data'!$A:$A = $A2292 - 1, 'Fund Investment Data'!$B:$B = 12) + FILTER('Fund Investment Data'!$AB:$AB, 'Fund Investment Data'!$C:$C = $C2292, 'Fund Invest"&amp;"ment Data'!$A:$A = $A2292 - 1, 'Fund Investment Data'!$B:$B = 12)) * (1 + AVERAGE(FILTER('Inflation Data'!$C:$C,'Inflation Data'!$A:$A = ($A2292 - 2)))) * Parameters!$A$4,0)"),0.0)</f>
        <v>0</v>
      </c>
      <c r="Y2292" s="91">
        <f>IFERROR(__xludf.DUMMYFUNCTION("IFERROR((IFERROR(FILTER('Fund Investment Data'!$P:$P,'Fund Investment Data'!$C:$C = $C2292,'Fund Investment Data'!$A:$A = ($A2292 - 2), 'Fund Investment Data'!$B:$B = 12),0) - SUM(FILTER('Fund Investment Data'!$V:$V, 'Fund Investment Data'!$C:$C = $C2292,"&amp;" 'Fund Investment Data'!$A:$A = ($A2292 - 2), 'Fund Investment Data'!$B:$B &gt; 3)))  * Parameters!$B$4 * (1 - Parameters!$A$4),0)"),0.0)</f>
        <v>0</v>
      </c>
      <c r="Z2292" s="91">
        <f t="shared" si="24"/>
        <v>0</v>
      </c>
      <c r="AA2292" s="91">
        <f>IFERROR(__xludf.DUMMYFUNCTION("((IFERROR((SUM(FILTER('Fund Investment Data'!$V:$V, 'Fund Investment Data'!$C:$C = $C2292, 'Fund Investment Data'!$A:$A = $A2292 - 1, 'Fund Investment Data'!$B:$B &gt;= 4, 'Fund Investment Data'!$B:$B &lt;= ($B2292 + 5))) / 12) * ($B2292 - 3) * Parameters!$B$4,"&amp;" 0) + IF($B2292 &gt;= 9, IFERROR(SUM(FILTER('Fund Investment Data'!$V:$V, 'Fund Investment Data'!$C:$C = $C2292, 'Fund Investment Data'!$A:$A = $A2292, 'Fund Investment Data'!$B:$B &lt;= 3)) * Parameters!$B$4, 0),0)))"),0.0)</f>
        <v>0</v>
      </c>
      <c r="AB2292" s="32">
        <f>IFERROR(__xludf.DUMMYFUNCTION("IFERROR(((IFERROR(SUM(FILTER('Fund Investment Data'!$V:$V, 'Fund Investment Data'!$C:$C = $C2292, 'Fund Investment Data'!$A:$A = $A2292 - 2, 'Fund Investment Data'!$B:$B &gt;= 4)) * Parameters!$B$4,0) + IFERROR(SUM(FILTER('Fund Investment Data'!$V:$V, 'Fund "&amp;"Investment Data'!$C:$C = $C2292, 'Fund Investment Data'!$A:$A = $A2292 - 1, 'Fund Investment Data'!$B:$B &lt;= 3)) * Parameters!$B$4,0))),0)"),0.0)</f>
        <v>0</v>
      </c>
      <c r="AC2292" s="32">
        <f>IFERROR(__xludf.DUMMYFUNCTION("IFERROR(FILTER($AF:$AF,$C:$C = $C2292,$A:$A = $A2292 - 1,$B:$B = 12),0)"),0.0)</f>
        <v>0</v>
      </c>
      <c r="AD2292" s="32">
        <f t="shared" si="23"/>
        <v>0</v>
      </c>
      <c r="AE2292" s="32">
        <f t="shared" si="2"/>
        <v>0</v>
      </c>
      <c r="AF2292" s="32"/>
    </row>
    <row r="2293">
      <c r="A2293" s="86"/>
      <c r="B2293" s="87"/>
      <c r="C2293" s="88"/>
      <c r="D2293" s="104"/>
      <c r="E2293" s="104"/>
      <c r="F2293" s="104"/>
      <c r="G2293" s="104"/>
      <c r="H2293" s="104"/>
      <c r="I2293" s="104"/>
      <c r="J2293" s="104"/>
      <c r="K2293" s="32"/>
      <c r="L2293" s="32"/>
      <c r="M2293" s="32"/>
      <c r="N2293" s="32"/>
      <c r="O2293" s="106"/>
      <c r="P2293" s="91">
        <f>IFERROR(__xludf.DUMMYFUNCTION("IFERROR(sum(FILTER($D:$N,$C:$C = $C2293,$A:$A &lt; $A2293,$B:$B = 12)),0) + sum($D2293:$N2293)"),0.0)</f>
        <v>0</v>
      </c>
      <c r="Q2293" s="92">
        <f t="shared" si="1"/>
        <v>0</v>
      </c>
      <c r="R2293" s="91">
        <f t="array" ref="R2293">IFERROR(INDEX('Fund YTD Target Values'!$1:$1000, MATCH($C2293,'Fund YTD Target Values'!$A:$A,0), MATCH($A2293,'Fund YTD Target Values'!$1:$1,0)),0)</f>
        <v>0</v>
      </c>
      <c r="S2293" s="91">
        <f>IFERROR(__xludf.DUMMYFUNCTION("IFERROR(sum(FILTER('Fund Investment Data'!$V:$V, 'Fund Investment Data'!$C:$C = $C2293, 'Fund Investment Data'!$A:$A &lt; $A2293)),0) + IFERROR(sum(FILTER('Fund Investment Data'!$V:$V, 'Fund Investment Data'!$C:$C = $C2293, 'Fund Investment Data'!$A:$A = $A2"&amp;"293, 'Fund Investment Data'!$B:$B &lt;= $B2293)),0)"),0.0)</f>
        <v>0</v>
      </c>
      <c r="T2293" s="32"/>
      <c r="U2293" s="32"/>
      <c r="V2293" s="32">
        <f>IFERROR(__xludf.DUMMYFUNCTION("$D2293 - IFERROR(FILTER($D:$D,$C:$C = $C2293, $A:$A = $A2293, $B:$B = $B2293 - 1),0)"),0.0)</f>
        <v>0</v>
      </c>
      <c r="W2293" s="93">
        <f>IFERROR(__xludf.DUMMYFUNCTION("$E2293 - IFERROR(FILTER($E:$E,$C:$C = $C2293, $A:$A = $A2293, $B:$B = $B2293 - 1),0)"),0.0)</f>
        <v>0</v>
      </c>
      <c r="X2293" s="91">
        <f>IFERROR(__xludf.DUMMYFUNCTION("iFERROR((FILTER('Fund Investment Data'!$Z:$Z, 'Fund Investment Data'!$C:$C = $C2293, 'Fund Investment Data'!$A:$A = $A2293 - 1, 'Fund Investment Data'!$B:$B = 12) + FILTER('Fund Investment Data'!$AB:$AB, 'Fund Investment Data'!$C:$C = $C2293, 'Fund Invest"&amp;"ment Data'!$A:$A = $A2293 - 1, 'Fund Investment Data'!$B:$B = 12)) * (1 + AVERAGE(FILTER('Inflation Data'!$C:$C,'Inflation Data'!$A:$A = ($A2293 - 2)))) * Parameters!$A$4,0)"),0.0)</f>
        <v>0</v>
      </c>
      <c r="Y2293" s="91">
        <f>IFERROR(__xludf.DUMMYFUNCTION("IFERROR((IFERROR(FILTER('Fund Investment Data'!$P:$P,'Fund Investment Data'!$C:$C = $C2293,'Fund Investment Data'!$A:$A = ($A2293 - 2), 'Fund Investment Data'!$B:$B = 12),0) - SUM(FILTER('Fund Investment Data'!$V:$V, 'Fund Investment Data'!$C:$C = $C2293,"&amp;" 'Fund Investment Data'!$A:$A = ($A2293 - 2), 'Fund Investment Data'!$B:$B &gt; 3)))  * Parameters!$B$4 * (1 - Parameters!$A$4),0)"),0.0)</f>
        <v>0</v>
      </c>
      <c r="Z2293" s="91">
        <f t="shared" si="24"/>
        <v>0</v>
      </c>
      <c r="AA2293" s="91">
        <f>IFERROR(__xludf.DUMMYFUNCTION("((IFERROR((SUM(FILTER('Fund Investment Data'!$V:$V, 'Fund Investment Data'!$C:$C = $C2293, 'Fund Investment Data'!$A:$A = $A2293 - 1, 'Fund Investment Data'!$B:$B &gt;= 4, 'Fund Investment Data'!$B:$B &lt;= ($B2293 + 5))) / 12) * ($B2293 - 3) * Parameters!$B$4,"&amp;" 0) + IF($B2293 &gt;= 9, IFERROR(SUM(FILTER('Fund Investment Data'!$V:$V, 'Fund Investment Data'!$C:$C = $C2293, 'Fund Investment Data'!$A:$A = $A2293, 'Fund Investment Data'!$B:$B &lt;= 3)) * Parameters!$B$4, 0),0)))"),0.0)</f>
        <v>0</v>
      </c>
      <c r="AB2293" s="32">
        <f>IFERROR(__xludf.DUMMYFUNCTION("IFERROR(((IFERROR(SUM(FILTER('Fund Investment Data'!$V:$V, 'Fund Investment Data'!$C:$C = $C2293, 'Fund Investment Data'!$A:$A = $A2293 - 2, 'Fund Investment Data'!$B:$B &gt;= 4)) * Parameters!$B$4,0) + IFERROR(SUM(FILTER('Fund Investment Data'!$V:$V, 'Fund "&amp;"Investment Data'!$C:$C = $C2293, 'Fund Investment Data'!$A:$A = $A2293 - 1, 'Fund Investment Data'!$B:$B &lt;= 3)) * Parameters!$B$4,0))),0)"),0.0)</f>
        <v>0</v>
      </c>
      <c r="AC2293" s="32">
        <f>IFERROR(__xludf.DUMMYFUNCTION("IFERROR(FILTER($AF:$AF,$C:$C = $C2293,$A:$A = $A2293 - 1,$B:$B = 12),0)"),0.0)</f>
        <v>0</v>
      </c>
      <c r="AD2293" s="32">
        <f t="shared" si="23"/>
        <v>0</v>
      </c>
      <c r="AE2293" s="32">
        <f t="shared" si="2"/>
        <v>0</v>
      </c>
      <c r="AF2293" s="32"/>
    </row>
    <row r="2294">
      <c r="A2294" s="86"/>
      <c r="B2294" s="87"/>
      <c r="C2294" s="88"/>
      <c r="D2294" s="104"/>
      <c r="E2294" s="104"/>
      <c r="F2294" s="104"/>
      <c r="G2294" s="104"/>
      <c r="H2294" s="104"/>
      <c r="I2294" s="104"/>
      <c r="J2294" s="104"/>
      <c r="K2294" s="32"/>
      <c r="L2294" s="32"/>
      <c r="M2294" s="32"/>
      <c r="N2294" s="32"/>
      <c r="O2294" s="106"/>
      <c r="P2294" s="91">
        <f>IFERROR(__xludf.DUMMYFUNCTION("IFERROR(sum(FILTER($D:$N,$C:$C = $C2294,$A:$A &lt; $A2294,$B:$B = 12)),0) + sum($D2294:$N2294)"),0.0)</f>
        <v>0</v>
      </c>
      <c r="Q2294" s="92">
        <f t="shared" si="1"/>
        <v>0</v>
      </c>
      <c r="R2294" s="91">
        <f t="array" ref="R2294">IFERROR(INDEX('Fund YTD Target Values'!$1:$1000, MATCH($C2294,'Fund YTD Target Values'!$A:$A,0), MATCH($A2294,'Fund YTD Target Values'!$1:$1,0)),0)</f>
        <v>0</v>
      </c>
      <c r="S2294" s="91">
        <f>IFERROR(__xludf.DUMMYFUNCTION("IFERROR(sum(FILTER('Fund Investment Data'!$V:$V, 'Fund Investment Data'!$C:$C = $C2294, 'Fund Investment Data'!$A:$A &lt; $A2294)),0) + IFERROR(sum(FILTER('Fund Investment Data'!$V:$V, 'Fund Investment Data'!$C:$C = $C2294, 'Fund Investment Data'!$A:$A = $A2"&amp;"294, 'Fund Investment Data'!$B:$B &lt;= $B2294)),0)"),0.0)</f>
        <v>0</v>
      </c>
      <c r="T2294" s="32"/>
      <c r="U2294" s="32"/>
      <c r="V2294" s="32">
        <f>IFERROR(__xludf.DUMMYFUNCTION("$D2294 - IFERROR(FILTER($D:$D,$C:$C = $C2294, $A:$A = $A2294, $B:$B = $B2294 - 1),0)"),0.0)</f>
        <v>0</v>
      </c>
      <c r="W2294" s="93">
        <f>IFERROR(__xludf.DUMMYFUNCTION("$E2294 - IFERROR(FILTER($E:$E,$C:$C = $C2294, $A:$A = $A2294, $B:$B = $B2294 - 1),0)"),0.0)</f>
        <v>0</v>
      </c>
      <c r="X2294" s="91">
        <f>IFERROR(__xludf.DUMMYFUNCTION("iFERROR((FILTER('Fund Investment Data'!$Z:$Z, 'Fund Investment Data'!$C:$C = $C2294, 'Fund Investment Data'!$A:$A = $A2294 - 1, 'Fund Investment Data'!$B:$B = 12) + FILTER('Fund Investment Data'!$AB:$AB, 'Fund Investment Data'!$C:$C = $C2294, 'Fund Invest"&amp;"ment Data'!$A:$A = $A2294 - 1, 'Fund Investment Data'!$B:$B = 12)) * (1 + AVERAGE(FILTER('Inflation Data'!$C:$C,'Inflation Data'!$A:$A = ($A2294 - 2)))) * Parameters!$A$4,0)"),0.0)</f>
        <v>0</v>
      </c>
      <c r="Y2294" s="91">
        <f>IFERROR(__xludf.DUMMYFUNCTION("IFERROR((IFERROR(FILTER('Fund Investment Data'!$P:$P,'Fund Investment Data'!$C:$C = $C2294,'Fund Investment Data'!$A:$A = ($A2294 - 2), 'Fund Investment Data'!$B:$B = 12),0) - SUM(FILTER('Fund Investment Data'!$V:$V, 'Fund Investment Data'!$C:$C = $C2294,"&amp;" 'Fund Investment Data'!$A:$A = ($A2294 - 2), 'Fund Investment Data'!$B:$B &gt; 3)))  * Parameters!$B$4 * (1 - Parameters!$A$4),0)"),0.0)</f>
        <v>0</v>
      </c>
      <c r="Z2294" s="91">
        <f t="shared" si="24"/>
        <v>0</v>
      </c>
      <c r="AA2294" s="91">
        <f>IFERROR(__xludf.DUMMYFUNCTION("((IFERROR((SUM(FILTER('Fund Investment Data'!$V:$V, 'Fund Investment Data'!$C:$C = $C2294, 'Fund Investment Data'!$A:$A = $A2294 - 1, 'Fund Investment Data'!$B:$B &gt;= 4, 'Fund Investment Data'!$B:$B &lt;= ($B2294 + 5))) / 12) * ($B2294 - 3) * Parameters!$B$4,"&amp;" 0) + IF($B2294 &gt;= 9, IFERROR(SUM(FILTER('Fund Investment Data'!$V:$V, 'Fund Investment Data'!$C:$C = $C2294, 'Fund Investment Data'!$A:$A = $A2294, 'Fund Investment Data'!$B:$B &lt;= 3)) * Parameters!$B$4, 0),0)))"),0.0)</f>
        <v>0</v>
      </c>
      <c r="AB2294" s="32">
        <f>IFERROR(__xludf.DUMMYFUNCTION("IFERROR(((IFERROR(SUM(FILTER('Fund Investment Data'!$V:$V, 'Fund Investment Data'!$C:$C = $C2294, 'Fund Investment Data'!$A:$A = $A2294 - 2, 'Fund Investment Data'!$B:$B &gt;= 4)) * Parameters!$B$4,0) + IFERROR(SUM(FILTER('Fund Investment Data'!$V:$V, 'Fund "&amp;"Investment Data'!$C:$C = $C2294, 'Fund Investment Data'!$A:$A = $A2294 - 1, 'Fund Investment Data'!$B:$B &lt;= 3)) * Parameters!$B$4,0))),0)"),0.0)</f>
        <v>0</v>
      </c>
      <c r="AC2294" s="32">
        <f>IFERROR(__xludf.DUMMYFUNCTION("IFERROR(FILTER($AF:$AF,$C:$C = $C2294,$A:$A = $A2294 - 1,$B:$B = 12),0)"),0.0)</f>
        <v>0</v>
      </c>
      <c r="AD2294" s="32">
        <f t="shared" si="23"/>
        <v>0</v>
      </c>
      <c r="AE2294" s="32">
        <f t="shared" si="2"/>
        <v>0</v>
      </c>
      <c r="AF2294" s="32"/>
    </row>
    <row r="2295">
      <c r="A2295" s="86"/>
      <c r="B2295" s="87"/>
      <c r="C2295" s="88"/>
      <c r="D2295" s="104"/>
      <c r="E2295" s="104"/>
      <c r="F2295" s="104"/>
      <c r="G2295" s="104"/>
      <c r="H2295" s="104"/>
      <c r="I2295" s="104"/>
      <c r="J2295" s="104"/>
      <c r="K2295" s="32"/>
      <c r="L2295" s="32"/>
      <c r="M2295" s="32"/>
      <c r="N2295" s="32"/>
      <c r="O2295" s="106"/>
      <c r="P2295" s="91">
        <f>IFERROR(__xludf.DUMMYFUNCTION("IFERROR(sum(FILTER($D:$N,$C:$C = $C2295,$A:$A &lt; $A2295,$B:$B = 12)),0) + sum($D2295:$N2295)"),0.0)</f>
        <v>0</v>
      </c>
      <c r="Q2295" s="92">
        <f t="shared" si="1"/>
        <v>0</v>
      </c>
      <c r="R2295" s="91">
        <f t="array" ref="R2295">IFERROR(INDEX('Fund YTD Target Values'!$1:$1000, MATCH($C2295,'Fund YTD Target Values'!$A:$A,0), MATCH($A2295,'Fund YTD Target Values'!$1:$1,0)),0)</f>
        <v>0</v>
      </c>
      <c r="S2295" s="91">
        <f>IFERROR(__xludf.DUMMYFUNCTION("IFERROR(sum(FILTER('Fund Investment Data'!$V:$V, 'Fund Investment Data'!$C:$C = $C2295, 'Fund Investment Data'!$A:$A &lt; $A2295)),0) + IFERROR(sum(FILTER('Fund Investment Data'!$V:$V, 'Fund Investment Data'!$C:$C = $C2295, 'Fund Investment Data'!$A:$A = $A2"&amp;"295, 'Fund Investment Data'!$B:$B &lt;= $B2295)),0)"),0.0)</f>
        <v>0</v>
      </c>
      <c r="T2295" s="32"/>
      <c r="U2295" s="32"/>
      <c r="V2295" s="32">
        <f>IFERROR(__xludf.DUMMYFUNCTION("$D2295 - IFERROR(FILTER($D:$D,$C:$C = $C2295, $A:$A = $A2295, $B:$B = $B2295 - 1),0)"),0.0)</f>
        <v>0</v>
      </c>
      <c r="W2295" s="93">
        <f>IFERROR(__xludf.DUMMYFUNCTION("$E2295 - IFERROR(FILTER($E:$E,$C:$C = $C2295, $A:$A = $A2295, $B:$B = $B2295 - 1),0)"),0.0)</f>
        <v>0</v>
      </c>
      <c r="X2295" s="91">
        <f>IFERROR(__xludf.DUMMYFUNCTION("iFERROR((FILTER('Fund Investment Data'!$Z:$Z, 'Fund Investment Data'!$C:$C = $C2295, 'Fund Investment Data'!$A:$A = $A2295 - 1, 'Fund Investment Data'!$B:$B = 12) + FILTER('Fund Investment Data'!$AB:$AB, 'Fund Investment Data'!$C:$C = $C2295, 'Fund Invest"&amp;"ment Data'!$A:$A = $A2295 - 1, 'Fund Investment Data'!$B:$B = 12)) * (1 + AVERAGE(FILTER('Inflation Data'!$C:$C,'Inflation Data'!$A:$A = ($A2295 - 2)))) * Parameters!$A$4,0)"),0.0)</f>
        <v>0</v>
      </c>
      <c r="Y2295" s="91">
        <f>IFERROR(__xludf.DUMMYFUNCTION("IFERROR((IFERROR(FILTER('Fund Investment Data'!$P:$P,'Fund Investment Data'!$C:$C = $C2295,'Fund Investment Data'!$A:$A = ($A2295 - 2), 'Fund Investment Data'!$B:$B = 12),0) - SUM(FILTER('Fund Investment Data'!$V:$V, 'Fund Investment Data'!$C:$C = $C2295,"&amp;" 'Fund Investment Data'!$A:$A = ($A2295 - 2), 'Fund Investment Data'!$B:$B &gt; 3)))  * Parameters!$B$4 * (1 - Parameters!$A$4),0)"),0.0)</f>
        <v>0</v>
      </c>
      <c r="Z2295" s="91">
        <f t="shared" si="24"/>
        <v>0</v>
      </c>
      <c r="AA2295" s="91">
        <f>IFERROR(__xludf.DUMMYFUNCTION("((IFERROR((SUM(FILTER('Fund Investment Data'!$V:$V, 'Fund Investment Data'!$C:$C = $C2295, 'Fund Investment Data'!$A:$A = $A2295 - 1, 'Fund Investment Data'!$B:$B &gt;= 4, 'Fund Investment Data'!$B:$B &lt;= ($B2295 + 5))) / 12) * ($B2295 - 3) * Parameters!$B$4,"&amp;" 0) + IF($B2295 &gt;= 9, IFERROR(SUM(FILTER('Fund Investment Data'!$V:$V, 'Fund Investment Data'!$C:$C = $C2295, 'Fund Investment Data'!$A:$A = $A2295, 'Fund Investment Data'!$B:$B &lt;= 3)) * Parameters!$B$4, 0),0)))"),0.0)</f>
        <v>0</v>
      </c>
      <c r="AB2295" s="32">
        <f>IFERROR(__xludf.DUMMYFUNCTION("IFERROR(((IFERROR(SUM(FILTER('Fund Investment Data'!$V:$V, 'Fund Investment Data'!$C:$C = $C2295, 'Fund Investment Data'!$A:$A = $A2295 - 2, 'Fund Investment Data'!$B:$B &gt;= 4)) * Parameters!$B$4,0) + IFERROR(SUM(FILTER('Fund Investment Data'!$V:$V, 'Fund "&amp;"Investment Data'!$C:$C = $C2295, 'Fund Investment Data'!$A:$A = $A2295 - 1, 'Fund Investment Data'!$B:$B &lt;= 3)) * Parameters!$B$4,0))),0)"),0.0)</f>
        <v>0</v>
      </c>
      <c r="AC2295" s="32">
        <f>IFERROR(__xludf.DUMMYFUNCTION("IFERROR(FILTER($AF:$AF,$C:$C = $C2295,$A:$A = $A2295 - 1,$B:$B = 12),0)"),0.0)</f>
        <v>0</v>
      </c>
      <c r="AD2295" s="32">
        <f t="shared" si="23"/>
        <v>0</v>
      </c>
      <c r="AE2295" s="32">
        <f t="shared" si="2"/>
        <v>0</v>
      </c>
      <c r="AF2295" s="32"/>
    </row>
    <row r="2296">
      <c r="A2296" s="86"/>
      <c r="B2296" s="87"/>
      <c r="C2296" s="88"/>
      <c r="D2296" s="104"/>
      <c r="E2296" s="104"/>
      <c r="F2296" s="104"/>
      <c r="G2296" s="104"/>
      <c r="H2296" s="104"/>
      <c r="I2296" s="104"/>
      <c r="J2296" s="104"/>
      <c r="K2296" s="32"/>
      <c r="L2296" s="32"/>
      <c r="M2296" s="32"/>
      <c r="N2296" s="32"/>
      <c r="O2296" s="106"/>
      <c r="P2296" s="91">
        <f>IFERROR(__xludf.DUMMYFUNCTION("IFERROR(sum(FILTER($D:$N,$C:$C = $C2296,$A:$A &lt; $A2296,$B:$B = 12)),0) + sum($D2296:$N2296)"),0.0)</f>
        <v>0</v>
      </c>
      <c r="Q2296" s="92">
        <f t="shared" si="1"/>
        <v>0</v>
      </c>
      <c r="R2296" s="91">
        <f t="array" ref="R2296">IFERROR(INDEX('Fund YTD Target Values'!$1:$1000, MATCH($C2296,'Fund YTD Target Values'!$A:$A,0), MATCH($A2296,'Fund YTD Target Values'!$1:$1,0)),0)</f>
        <v>0</v>
      </c>
      <c r="S2296" s="91">
        <f>IFERROR(__xludf.DUMMYFUNCTION("IFERROR(sum(FILTER('Fund Investment Data'!$V:$V, 'Fund Investment Data'!$C:$C = $C2296, 'Fund Investment Data'!$A:$A &lt; $A2296)),0) + IFERROR(sum(FILTER('Fund Investment Data'!$V:$V, 'Fund Investment Data'!$C:$C = $C2296, 'Fund Investment Data'!$A:$A = $A2"&amp;"296, 'Fund Investment Data'!$B:$B &lt;= $B2296)),0)"),0.0)</f>
        <v>0</v>
      </c>
      <c r="T2296" s="32"/>
      <c r="U2296" s="32"/>
      <c r="V2296" s="32">
        <f>IFERROR(__xludf.DUMMYFUNCTION("$D2296 - IFERROR(FILTER($D:$D,$C:$C = $C2296, $A:$A = $A2296, $B:$B = $B2296 - 1),0)"),0.0)</f>
        <v>0</v>
      </c>
      <c r="W2296" s="93">
        <f>IFERROR(__xludf.DUMMYFUNCTION("$E2296 - IFERROR(FILTER($E:$E,$C:$C = $C2296, $A:$A = $A2296, $B:$B = $B2296 - 1),0)"),0.0)</f>
        <v>0</v>
      </c>
      <c r="X2296" s="91">
        <f>IFERROR(__xludf.DUMMYFUNCTION("iFERROR((FILTER('Fund Investment Data'!$Z:$Z, 'Fund Investment Data'!$C:$C = $C2296, 'Fund Investment Data'!$A:$A = $A2296 - 1, 'Fund Investment Data'!$B:$B = 12) + FILTER('Fund Investment Data'!$AB:$AB, 'Fund Investment Data'!$C:$C = $C2296, 'Fund Invest"&amp;"ment Data'!$A:$A = $A2296 - 1, 'Fund Investment Data'!$B:$B = 12)) * (1 + AVERAGE(FILTER('Inflation Data'!$C:$C,'Inflation Data'!$A:$A = ($A2296 - 2)))) * Parameters!$A$4,0)"),0.0)</f>
        <v>0</v>
      </c>
      <c r="Y2296" s="91">
        <f>IFERROR(__xludf.DUMMYFUNCTION("IFERROR((IFERROR(FILTER('Fund Investment Data'!$P:$P,'Fund Investment Data'!$C:$C = $C2296,'Fund Investment Data'!$A:$A = ($A2296 - 2), 'Fund Investment Data'!$B:$B = 12),0) - SUM(FILTER('Fund Investment Data'!$V:$V, 'Fund Investment Data'!$C:$C = $C2296,"&amp;" 'Fund Investment Data'!$A:$A = ($A2296 - 2), 'Fund Investment Data'!$B:$B &gt; 3)))  * Parameters!$B$4 * (1 - Parameters!$A$4),0)"),0.0)</f>
        <v>0</v>
      </c>
      <c r="Z2296" s="91">
        <f t="shared" si="24"/>
        <v>0</v>
      </c>
      <c r="AA2296" s="91">
        <f>IFERROR(__xludf.DUMMYFUNCTION("((IFERROR((SUM(FILTER('Fund Investment Data'!$V:$V, 'Fund Investment Data'!$C:$C = $C2296, 'Fund Investment Data'!$A:$A = $A2296 - 1, 'Fund Investment Data'!$B:$B &gt;= 4, 'Fund Investment Data'!$B:$B &lt;= ($B2296 + 5))) / 12) * ($B2296 - 3) * Parameters!$B$4,"&amp;" 0) + IF($B2296 &gt;= 9, IFERROR(SUM(FILTER('Fund Investment Data'!$V:$V, 'Fund Investment Data'!$C:$C = $C2296, 'Fund Investment Data'!$A:$A = $A2296, 'Fund Investment Data'!$B:$B &lt;= 3)) * Parameters!$B$4, 0),0)))"),0.0)</f>
        <v>0</v>
      </c>
      <c r="AB2296" s="32">
        <f>IFERROR(__xludf.DUMMYFUNCTION("IFERROR(((IFERROR(SUM(FILTER('Fund Investment Data'!$V:$V, 'Fund Investment Data'!$C:$C = $C2296, 'Fund Investment Data'!$A:$A = $A2296 - 2, 'Fund Investment Data'!$B:$B &gt;= 4)) * Parameters!$B$4,0) + IFERROR(SUM(FILTER('Fund Investment Data'!$V:$V, 'Fund "&amp;"Investment Data'!$C:$C = $C2296, 'Fund Investment Data'!$A:$A = $A2296 - 1, 'Fund Investment Data'!$B:$B &lt;= 3)) * Parameters!$B$4,0))),0)"),0.0)</f>
        <v>0</v>
      </c>
      <c r="AC2296" s="32">
        <f>IFERROR(__xludf.DUMMYFUNCTION("IFERROR(FILTER($AF:$AF,$C:$C = $C2296,$A:$A = $A2296 - 1,$B:$B = 12),0)"),0.0)</f>
        <v>0</v>
      </c>
      <c r="AD2296" s="32">
        <f t="shared" si="23"/>
        <v>0</v>
      </c>
      <c r="AE2296" s="32">
        <f t="shared" si="2"/>
        <v>0</v>
      </c>
      <c r="AF2296" s="32"/>
    </row>
    <row r="2297">
      <c r="A2297" s="86"/>
      <c r="B2297" s="87"/>
      <c r="C2297" s="88"/>
      <c r="D2297" s="104"/>
      <c r="E2297" s="104"/>
      <c r="F2297" s="104"/>
      <c r="G2297" s="104"/>
      <c r="H2297" s="104"/>
      <c r="I2297" s="104"/>
      <c r="J2297" s="104"/>
      <c r="K2297" s="32"/>
      <c r="L2297" s="32"/>
      <c r="M2297" s="32"/>
      <c r="N2297" s="32"/>
      <c r="O2297" s="106"/>
      <c r="P2297" s="91">
        <f>IFERROR(__xludf.DUMMYFUNCTION("IFERROR(sum(FILTER($D:$N,$C:$C = $C2297,$A:$A &lt; $A2297,$B:$B = 12)),0) + sum($D2297:$N2297)"),0.0)</f>
        <v>0</v>
      </c>
      <c r="Q2297" s="92">
        <f t="shared" si="1"/>
        <v>0</v>
      </c>
      <c r="R2297" s="91">
        <f t="array" ref="R2297">IFERROR(INDEX('Fund YTD Target Values'!$1:$1000, MATCH($C2297,'Fund YTD Target Values'!$A:$A,0), MATCH($A2297,'Fund YTD Target Values'!$1:$1,0)),0)</f>
        <v>0</v>
      </c>
      <c r="S2297" s="91">
        <f>IFERROR(__xludf.DUMMYFUNCTION("IFERROR(sum(FILTER('Fund Investment Data'!$V:$V, 'Fund Investment Data'!$C:$C = $C2297, 'Fund Investment Data'!$A:$A &lt; $A2297)),0) + IFERROR(sum(FILTER('Fund Investment Data'!$V:$V, 'Fund Investment Data'!$C:$C = $C2297, 'Fund Investment Data'!$A:$A = $A2"&amp;"297, 'Fund Investment Data'!$B:$B &lt;= $B2297)),0)"),0.0)</f>
        <v>0</v>
      </c>
      <c r="T2297" s="32"/>
      <c r="U2297" s="32"/>
      <c r="V2297" s="32">
        <f>IFERROR(__xludf.DUMMYFUNCTION("$D2297 - IFERROR(FILTER($D:$D,$C:$C = $C2297, $A:$A = $A2297, $B:$B = $B2297 - 1),0)"),0.0)</f>
        <v>0</v>
      </c>
      <c r="W2297" s="93">
        <f>IFERROR(__xludf.DUMMYFUNCTION("$E2297 - IFERROR(FILTER($E:$E,$C:$C = $C2297, $A:$A = $A2297, $B:$B = $B2297 - 1),0)"),0.0)</f>
        <v>0</v>
      </c>
      <c r="X2297" s="91">
        <f>IFERROR(__xludf.DUMMYFUNCTION("iFERROR((FILTER('Fund Investment Data'!$Z:$Z, 'Fund Investment Data'!$C:$C = $C2297, 'Fund Investment Data'!$A:$A = $A2297 - 1, 'Fund Investment Data'!$B:$B = 12) + FILTER('Fund Investment Data'!$AB:$AB, 'Fund Investment Data'!$C:$C = $C2297, 'Fund Invest"&amp;"ment Data'!$A:$A = $A2297 - 1, 'Fund Investment Data'!$B:$B = 12)) * (1 + AVERAGE(FILTER('Inflation Data'!$C:$C,'Inflation Data'!$A:$A = ($A2297 - 2)))) * Parameters!$A$4,0)"),0.0)</f>
        <v>0</v>
      </c>
      <c r="Y2297" s="91">
        <f>IFERROR(__xludf.DUMMYFUNCTION("IFERROR((IFERROR(FILTER('Fund Investment Data'!$P:$P,'Fund Investment Data'!$C:$C = $C2297,'Fund Investment Data'!$A:$A = ($A2297 - 2), 'Fund Investment Data'!$B:$B = 12),0) - SUM(FILTER('Fund Investment Data'!$V:$V, 'Fund Investment Data'!$C:$C = $C2297,"&amp;" 'Fund Investment Data'!$A:$A = ($A2297 - 2), 'Fund Investment Data'!$B:$B &gt; 3)))  * Parameters!$B$4 * (1 - Parameters!$A$4),0)"),0.0)</f>
        <v>0</v>
      </c>
      <c r="Z2297" s="91">
        <f t="shared" si="24"/>
        <v>0</v>
      </c>
      <c r="AA2297" s="91">
        <f>IFERROR(__xludf.DUMMYFUNCTION("((IFERROR((SUM(FILTER('Fund Investment Data'!$V:$V, 'Fund Investment Data'!$C:$C = $C2297, 'Fund Investment Data'!$A:$A = $A2297 - 1, 'Fund Investment Data'!$B:$B &gt;= 4, 'Fund Investment Data'!$B:$B &lt;= ($B2297 + 5))) / 12) * ($B2297 - 3) * Parameters!$B$4,"&amp;" 0) + IF($B2297 &gt;= 9, IFERROR(SUM(FILTER('Fund Investment Data'!$V:$V, 'Fund Investment Data'!$C:$C = $C2297, 'Fund Investment Data'!$A:$A = $A2297, 'Fund Investment Data'!$B:$B &lt;= 3)) * Parameters!$B$4, 0),0)))"),0.0)</f>
        <v>0</v>
      </c>
      <c r="AB2297" s="32">
        <f>IFERROR(__xludf.DUMMYFUNCTION("IFERROR(((IFERROR(SUM(FILTER('Fund Investment Data'!$V:$V, 'Fund Investment Data'!$C:$C = $C2297, 'Fund Investment Data'!$A:$A = $A2297 - 2, 'Fund Investment Data'!$B:$B &gt;= 4)) * Parameters!$B$4,0) + IFERROR(SUM(FILTER('Fund Investment Data'!$V:$V, 'Fund "&amp;"Investment Data'!$C:$C = $C2297, 'Fund Investment Data'!$A:$A = $A2297 - 1, 'Fund Investment Data'!$B:$B &lt;= 3)) * Parameters!$B$4,0))),0)"),0.0)</f>
        <v>0</v>
      </c>
      <c r="AC2297" s="32">
        <f>IFERROR(__xludf.DUMMYFUNCTION("IFERROR(FILTER($AF:$AF,$C:$C = $C2297,$A:$A = $A2297 - 1,$B:$B = 12),0)"),0.0)</f>
        <v>0</v>
      </c>
      <c r="AD2297" s="32">
        <f t="shared" si="23"/>
        <v>0</v>
      </c>
      <c r="AE2297" s="32">
        <f t="shared" si="2"/>
        <v>0</v>
      </c>
      <c r="AF2297" s="32"/>
    </row>
    <row r="2298">
      <c r="A2298" s="86"/>
      <c r="B2298" s="87"/>
      <c r="C2298" s="88"/>
      <c r="D2298" s="104"/>
      <c r="E2298" s="104"/>
      <c r="F2298" s="104"/>
      <c r="G2298" s="104"/>
      <c r="H2298" s="104"/>
      <c r="I2298" s="104"/>
      <c r="J2298" s="104"/>
      <c r="K2298" s="32"/>
      <c r="L2298" s="32"/>
      <c r="M2298" s="32"/>
      <c r="N2298" s="32"/>
      <c r="O2298" s="106"/>
      <c r="P2298" s="91">
        <f>IFERROR(__xludf.DUMMYFUNCTION("IFERROR(sum(FILTER($D:$N,$C:$C = $C2298,$A:$A &lt; $A2298,$B:$B = 12)),0) + sum($D2298:$N2298)"),0.0)</f>
        <v>0</v>
      </c>
      <c r="Q2298" s="92">
        <f t="shared" si="1"/>
        <v>0</v>
      </c>
      <c r="R2298" s="91">
        <f t="array" ref="R2298">IFERROR(INDEX('Fund YTD Target Values'!$1:$1000, MATCH($C2298,'Fund YTD Target Values'!$A:$A,0), MATCH($A2298,'Fund YTD Target Values'!$1:$1,0)),0)</f>
        <v>0</v>
      </c>
      <c r="S2298" s="91">
        <f>IFERROR(__xludf.DUMMYFUNCTION("IFERROR(sum(FILTER('Fund Investment Data'!$V:$V, 'Fund Investment Data'!$C:$C = $C2298, 'Fund Investment Data'!$A:$A &lt; $A2298)),0) + IFERROR(sum(FILTER('Fund Investment Data'!$V:$V, 'Fund Investment Data'!$C:$C = $C2298, 'Fund Investment Data'!$A:$A = $A2"&amp;"298, 'Fund Investment Data'!$B:$B &lt;= $B2298)),0)"),0.0)</f>
        <v>0</v>
      </c>
      <c r="T2298" s="32"/>
      <c r="U2298" s="32"/>
      <c r="V2298" s="32">
        <f>IFERROR(__xludf.DUMMYFUNCTION("$D2298 - IFERROR(FILTER($D:$D,$C:$C = $C2298, $A:$A = $A2298, $B:$B = $B2298 - 1),0)"),0.0)</f>
        <v>0</v>
      </c>
      <c r="W2298" s="93">
        <f>IFERROR(__xludf.DUMMYFUNCTION("$E2298 - IFERROR(FILTER($E:$E,$C:$C = $C2298, $A:$A = $A2298, $B:$B = $B2298 - 1),0)"),0.0)</f>
        <v>0</v>
      </c>
      <c r="X2298" s="91">
        <f>IFERROR(__xludf.DUMMYFUNCTION("iFERROR((FILTER('Fund Investment Data'!$Z:$Z, 'Fund Investment Data'!$C:$C = $C2298, 'Fund Investment Data'!$A:$A = $A2298 - 1, 'Fund Investment Data'!$B:$B = 12) + FILTER('Fund Investment Data'!$AB:$AB, 'Fund Investment Data'!$C:$C = $C2298, 'Fund Invest"&amp;"ment Data'!$A:$A = $A2298 - 1, 'Fund Investment Data'!$B:$B = 12)) * (1 + AVERAGE(FILTER('Inflation Data'!$C:$C,'Inflation Data'!$A:$A = ($A2298 - 2)))) * Parameters!$A$4,0)"),0.0)</f>
        <v>0</v>
      </c>
      <c r="Y2298" s="91">
        <f>IFERROR(__xludf.DUMMYFUNCTION("IFERROR((IFERROR(FILTER('Fund Investment Data'!$P:$P,'Fund Investment Data'!$C:$C = $C2298,'Fund Investment Data'!$A:$A = ($A2298 - 2), 'Fund Investment Data'!$B:$B = 12),0) - SUM(FILTER('Fund Investment Data'!$V:$V, 'Fund Investment Data'!$C:$C = $C2298,"&amp;" 'Fund Investment Data'!$A:$A = ($A2298 - 2), 'Fund Investment Data'!$B:$B &gt; 3)))  * Parameters!$B$4 * (1 - Parameters!$A$4),0)"),0.0)</f>
        <v>0</v>
      </c>
      <c r="Z2298" s="91">
        <f t="shared" si="24"/>
        <v>0</v>
      </c>
      <c r="AA2298" s="91">
        <f>IFERROR(__xludf.DUMMYFUNCTION("((IFERROR((SUM(FILTER('Fund Investment Data'!$V:$V, 'Fund Investment Data'!$C:$C = $C2298, 'Fund Investment Data'!$A:$A = $A2298 - 1, 'Fund Investment Data'!$B:$B &gt;= 4, 'Fund Investment Data'!$B:$B &lt;= ($B2298 + 5))) / 12) * ($B2298 - 3) * Parameters!$B$4,"&amp;" 0) + IF($B2298 &gt;= 9, IFERROR(SUM(FILTER('Fund Investment Data'!$V:$V, 'Fund Investment Data'!$C:$C = $C2298, 'Fund Investment Data'!$A:$A = $A2298, 'Fund Investment Data'!$B:$B &lt;= 3)) * Parameters!$B$4, 0),0)))"),0.0)</f>
        <v>0</v>
      </c>
      <c r="AB2298" s="32">
        <f>IFERROR(__xludf.DUMMYFUNCTION("IFERROR(((IFERROR(SUM(FILTER('Fund Investment Data'!$V:$V, 'Fund Investment Data'!$C:$C = $C2298, 'Fund Investment Data'!$A:$A = $A2298 - 2, 'Fund Investment Data'!$B:$B &gt;= 4)) * Parameters!$B$4,0) + IFERROR(SUM(FILTER('Fund Investment Data'!$V:$V, 'Fund "&amp;"Investment Data'!$C:$C = $C2298, 'Fund Investment Data'!$A:$A = $A2298 - 1, 'Fund Investment Data'!$B:$B &lt;= 3)) * Parameters!$B$4,0))),0)"),0.0)</f>
        <v>0</v>
      </c>
      <c r="AC2298" s="32">
        <f>IFERROR(__xludf.DUMMYFUNCTION("IFERROR(FILTER($AF:$AF,$C:$C = $C2298,$A:$A = $A2298 - 1,$B:$B = 12),0)"),0.0)</f>
        <v>0</v>
      </c>
      <c r="AD2298" s="32">
        <f t="shared" si="23"/>
        <v>0</v>
      </c>
      <c r="AE2298" s="32">
        <f t="shared" si="2"/>
        <v>0</v>
      </c>
      <c r="AF2298" s="32"/>
    </row>
    <row r="2299">
      <c r="A2299" s="86"/>
      <c r="B2299" s="87"/>
      <c r="C2299" s="88"/>
      <c r="D2299" s="104"/>
      <c r="E2299" s="104"/>
      <c r="F2299" s="104"/>
      <c r="G2299" s="104"/>
      <c r="H2299" s="104"/>
      <c r="I2299" s="104"/>
      <c r="J2299" s="104"/>
      <c r="K2299" s="32"/>
      <c r="L2299" s="32"/>
      <c r="M2299" s="32"/>
      <c r="N2299" s="32"/>
      <c r="O2299" s="106"/>
      <c r="P2299" s="91">
        <f>IFERROR(__xludf.DUMMYFUNCTION("IFERROR(sum(FILTER($D:$N,$C:$C = $C2299,$A:$A &lt; $A2299,$B:$B = 12)),0) + sum($D2299:$N2299)"),0.0)</f>
        <v>0</v>
      </c>
      <c r="Q2299" s="92">
        <f t="shared" si="1"/>
        <v>0</v>
      </c>
      <c r="R2299" s="91">
        <f t="array" ref="R2299">IFERROR(INDEX('Fund YTD Target Values'!$1:$1000, MATCH($C2299,'Fund YTD Target Values'!$A:$A,0), MATCH($A2299,'Fund YTD Target Values'!$1:$1,0)),0)</f>
        <v>0</v>
      </c>
      <c r="S2299" s="91">
        <f>IFERROR(__xludf.DUMMYFUNCTION("IFERROR(sum(FILTER('Fund Investment Data'!$V:$V, 'Fund Investment Data'!$C:$C = $C2299, 'Fund Investment Data'!$A:$A &lt; $A2299)),0) + IFERROR(sum(FILTER('Fund Investment Data'!$V:$V, 'Fund Investment Data'!$C:$C = $C2299, 'Fund Investment Data'!$A:$A = $A2"&amp;"299, 'Fund Investment Data'!$B:$B &lt;= $B2299)),0)"),0.0)</f>
        <v>0</v>
      </c>
      <c r="T2299" s="32"/>
      <c r="U2299" s="32"/>
      <c r="V2299" s="32">
        <f>IFERROR(__xludf.DUMMYFUNCTION("$D2299 - IFERROR(FILTER($D:$D,$C:$C = $C2299, $A:$A = $A2299, $B:$B = $B2299 - 1),0)"),0.0)</f>
        <v>0</v>
      </c>
      <c r="W2299" s="93">
        <f>IFERROR(__xludf.DUMMYFUNCTION("$E2299 - IFERROR(FILTER($E:$E,$C:$C = $C2299, $A:$A = $A2299, $B:$B = $B2299 - 1),0)"),0.0)</f>
        <v>0</v>
      </c>
      <c r="X2299" s="91">
        <f>IFERROR(__xludf.DUMMYFUNCTION("iFERROR((FILTER('Fund Investment Data'!$Z:$Z, 'Fund Investment Data'!$C:$C = $C2299, 'Fund Investment Data'!$A:$A = $A2299 - 1, 'Fund Investment Data'!$B:$B = 12) + FILTER('Fund Investment Data'!$AB:$AB, 'Fund Investment Data'!$C:$C = $C2299, 'Fund Invest"&amp;"ment Data'!$A:$A = $A2299 - 1, 'Fund Investment Data'!$B:$B = 12)) * (1 + AVERAGE(FILTER('Inflation Data'!$C:$C,'Inflation Data'!$A:$A = ($A2299 - 2)))) * Parameters!$A$4,0)"),0.0)</f>
        <v>0</v>
      </c>
      <c r="Y2299" s="91">
        <f>IFERROR(__xludf.DUMMYFUNCTION("IFERROR((IFERROR(FILTER('Fund Investment Data'!$P:$P,'Fund Investment Data'!$C:$C = $C2299,'Fund Investment Data'!$A:$A = ($A2299 - 2), 'Fund Investment Data'!$B:$B = 12),0) - SUM(FILTER('Fund Investment Data'!$V:$V, 'Fund Investment Data'!$C:$C = $C2299,"&amp;" 'Fund Investment Data'!$A:$A = ($A2299 - 2), 'Fund Investment Data'!$B:$B &gt; 3)))  * Parameters!$B$4 * (1 - Parameters!$A$4),0)"),0.0)</f>
        <v>0</v>
      </c>
      <c r="Z2299" s="91">
        <f t="shared" si="24"/>
        <v>0</v>
      </c>
      <c r="AA2299" s="91">
        <f>IFERROR(__xludf.DUMMYFUNCTION("((IFERROR((SUM(FILTER('Fund Investment Data'!$V:$V, 'Fund Investment Data'!$C:$C = $C2299, 'Fund Investment Data'!$A:$A = $A2299 - 1, 'Fund Investment Data'!$B:$B &gt;= 4, 'Fund Investment Data'!$B:$B &lt;= ($B2299 + 5))) / 12) * ($B2299 - 3) * Parameters!$B$4,"&amp;" 0) + IF($B2299 &gt;= 9, IFERROR(SUM(FILTER('Fund Investment Data'!$V:$V, 'Fund Investment Data'!$C:$C = $C2299, 'Fund Investment Data'!$A:$A = $A2299, 'Fund Investment Data'!$B:$B &lt;= 3)) * Parameters!$B$4, 0),0)))"),0.0)</f>
        <v>0</v>
      </c>
      <c r="AB2299" s="32">
        <f>IFERROR(__xludf.DUMMYFUNCTION("IFERROR(((IFERROR(SUM(FILTER('Fund Investment Data'!$V:$V, 'Fund Investment Data'!$C:$C = $C2299, 'Fund Investment Data'!$A:$A = $A2299 - 2, 'Fund Investment Data'!$B:$B &gt;= 4)) * Parameters!$B$4,0) + IFERROR(SUM(FILTER('Fund Investment Data'!$V:$V, 'Fund "&amp;"Investment Data'!$C:$C = $C2299, 'Fund Investment Data'!$A:$A = $A2299 - 1, 'Fund Investment Data'!$B:$B &lt;= 3)) * Parameters!$B$4,0))),0)"),0.0)</f>
        <v>0</v>
      </c>
      <c r="AC2299" s="32">
        <f>IFERROR(__xludf.DUMMYFUNCTION("IFERROR(FILTER($AF:$AF,$C:$C = $C2299,$A:$A = $A2299 - 1,$B:$B = 12),0)"),0.0)</f>
        <v>0</v>
      </c>
      <c r="AD2299" s="32">
        <f t="shared" si="23"/>
        <v>0</v>
      </c>
      <c r="AE2299" s="32">
        <f t="shared" si="2"/>
        <v>0</v>
      </c>
      <c r="AF2299" s="32"/>
    </row>
    <row r="2300">
      <c r="A2300" s="86"/>
      <c r="B2300" s="87"/>
      <c r="C2300" s="88"/>
      <c r="D2300" s="104"/>
      <c r="E2300" s="104"/>
      <c r="F2300" s="104"/>
      <c r="G2300" s="104"/>
      <c r="H2300" s="104"/>
      <c r="I2300" s="104"/>
      <c r="J2300" s="104"/>
      <c r="K2300" s="32"/>
      <c r="L2300" s="32"/>
      <c r="M2300" s="32"/>
      <c r="N2300" s="32"/>
      <c r="O2300" s="106"/>
      <c r="P2300" s="91">
        <f>IFERROR(__xludf.DUMMYFUNCTION("IFERROR(sum(FILTER($D:$N,$C:$C = $C2300,$A:$A &lt; $A2300,$B:$B = 12)),0) + sum($D2300:$N2300)"),0.0)</f>
        <v>0</v>
      </c>
      <c r="Q2300" s="92">
        <f t="shared" si="1"/>
        <v>0</v>
      </c>
      <c r="R2300" s="91">
        <f t="array" ref="R2300">IFERROR(INDEX('Fund YTD Target Values'!$1:$1000, MATCH($C2300,'Fund YTD Target Values'!$A:$A,0), MATCH($A2300,'Fund YTD Target Values'!$1:$1,0)),0)</f>
        <v>0</v>
      </c>
      <c r="S2300" s="91">
        <f>IFERROR(__xludf.DUMMYFUNCTION("IFERROR(sum(FILTER('Fund Investment Data'!$V:$V, 'Fund Investment Data'!$C:$C = $C2300, 'Fund Investment Data'!$A:$A &lt; $A2300)),0) + IFERROR(sum(FILTER('Fund Investment Data'!$V:$V, 'Fund Investment Data'!$C:$C = $C2300, 'Fund Investment Data'!$A:$A = $A2"&amp;"300, 'Fund Investment Data'!$B:$B &lt;= $B2300)),0)"),0.0)</f>
        <v>0</v>
      </c>
      <c r="T2300" s="32"/>
      <c r="U2300" s="32"/>
      <c r="V2300" s="32">
        <f>IFERROR(__xludf.DUMMYFUNCTION("$D2300 - IFERROR(FILTER($D:$D,$C:$C = $C2300, $A:$A = $A2300, $B:$B = $B2300 - 1),0)"),0.0)</f>
        <v>0</v>
      </c>
      <c r="W2300" s="93">
        <f>IFERROR(__xludf.DUMMYFUNCTION("$E2300 - IFERROR(FILTER($E:$E,$C:$C = $C2300, $A:$A = $A2300, $B:$B = $B2300 - 1),0)"),0.0)</f>
        <v>0</v>
      </c>
      <c r="X2300" s="91">
        <f>IFERROR(__xludf.DUMMYFUNCTION("iFERROR((FILTER('Fund Investment Data'!$Z:$Z, 'Fund Investment Data'!$C:$C = $C2300, 'Fund Investment Data'!$A:$A = $A2300 - 1, 'Fund Investment Data'!$B:$B = 12) + FILTER('Fund Investment Data'!$AB:$AB, 'Fund Investment Data'!$C:$C = $C2300, 'Fund Invest"&amp;"ment Data'!$A:$A = $A2300 - 1, 'Fund Investment Data'!$B:$B = 12)) * (1 + AVERAGE(FILTER('Inflation Data'!$C:$C,'Inflation Data'!$A:$A = ($A2300 - 2)))) * Parameters!$A$4,0)"),0.0)</f>
        <v>0</v>
      </c>
      <c r="Y2300" s="91">
        <f>IFERROR(__xludf.DUMMYFUNCTION("IFERROR((IFERROR(FILTER('Fund Investment Data'!$P:$P,'Fund Investment Data'!$C:$C = $C2300,'Fund Investment Data'!$A:$A = ($A2300 - 2), 'Fund Investment Data'!$B:$B = 12),0) - SUM(FILTER('Fund Investment Data'!$V:$V, 'Fund Investment Data'!$C:$C = $C2300,"&amp;" 'Fund Investment Data'!$A:$A = ($A2300 - 2), 'Fund Investment Data'!$B:$B &gt; 3)))  * Parameters!$B$4 * (1 - Parameters!$A$4),0)"),0.0)</f>
        <v>0</v>
      </c>
      <c r="Z2300" s="91">
        <f t="shared" si="24"/>
        <v>0</v>
      </c>
      <c r="AA2300" s="91">
        <f>IFERROR(__xludf.DUMMYFUNCTION("((IFERROR((SUM(FILTER('Fund Investment Data'!$V:$V, 'Fund Investment Data'!$C:$C = $C2300, 'Fund Investment Data'!$A:$A = $A2300 - 1, 'Fund Investment Data'!$B:$B &gt;= 4, 'Fund Investment Data'!$B:$B &lt;= ($B2300 + 5))) / 12) * ($B2300 - 3) * Parameters!$B$4,"&amp;" 0) + IF($B2300 &gt;= 9, IFERROR(SUM(FILTER('Fund Investment Data'!$V:$V, 'Fund Investment Data'!$C:$C = $C2300, 'Fund Investment Data'!$A:$A = $A2300, 'Fund Investment Data'!$B:$B &lt;= 3)) * Parameters!$B$4, 0),0)))"),0.0)</f>
        <v>0</v>
      </c>
      <c r="AB2300" s="32">
        <f>IFERROR(__xludf.DUMMYFUNCTION("IFERROR(((IFERROR(SUM(FILTER('Fund Investment Data'!$V:$V, 'Fund Investment Data'!$C:$C = $C2300, 'Fund Investment Data'!$A:$A = $A2300 - 2, 'Fund Investment Data'!$B:$B &gt;= 4)) * Parameters!$B$4,0) + IFERROR(SUM(FILTER('Fund Investment Data'!$V:$V, 'Fund "&amp;"Investment Data'!$C:$C = $C2300, 'Fund Investment Data'!$A:$A = $A2300 - 1, 'Fund Investment Data'!$B:$B &lt;= 3)) * Parameters!$B$4,0))),0)"),0.0)</f>
        <v>0</v>
      </c>
      <c r="AC2300" s="32">
        <f>IFERROR(__xludf.DUMMYFUNCTION("IFERROR(FILTER($AF:$AF,$C:$C = $C2300,$A:$A = $A2300 - 1,$B:$B = 12),0)"),0.0)</f>
        <v>0</v>
      </c>
      <c r="AD2300" s="32">
        <f t="shared" si="23"/>
        <v>0</v>
      </c>
      <c r="AE2300" s="32">
        <f t="shared" si="2"/>
        <v>0</v>
      </c>
      <c r="AF2300" s="32"/>
    </row>
    <row r="2301">
      <c r="A2301" s="86"/>
      <c r="B2301" s="87"/>
      <c r="C2301" s="88"/>
      <c r="D2301" s="104"/>
      <c r="E2301" s="104"/>
      <c r="F2301" s="104"/>
      <c r="G2301" s="104"/>
      <c r="H2301" s="104"/>
      <c r="I2301" s="104"/>
      <c r="J2301" s="104"/>
      <c r="K2301" s="32"/>
      <c r="L2301" s="32"/>
      <c r="M2301" s="32"/>
      <c r="N2301" s="32"/>
      <c r="O2301" s="106"/>
      <c r="P2301" s="91">
        <f>IFERROR(__xludf.DUMMYFUNCTION("IFERROR(sum(FILTER($D:$N,$C:$C = $C2301,$A:$A &lt; $A2301,$B:$B = 12)),0) + sum($D2301:$N2301)"),0.0)</f>
        <v>0</v>
      </c>
      <c r="Q2301" s="92">
        <f t="shared" si="1"/>
        <v>0</v>
      </c>
      <c r="R2301" s="91">
        <f t="array" ref="R2301">IFERROR(INDEX('Fund YTD Target Values'!$1:$1000, MATCH($C2301,'Fund YTD Target Values'!$A:$A,0), MATCH($A2301,'Fund YTD Target Values'!$1:$1,0)),0)</f>
        <v>0</v>
      </c>
      <c r="S2301" s="91">
        <f>IFERROR(__xludf.DUMMYFUNCTION("IFERROR(sum(FILTER('Fund Investment Data'!$V:$V, 'Fund Investment Data'!$C:$C = $C2301, 'Fund Investment Data'!$A:$A &lt; $A2301)),0) + IFERROR(sum(FILTER('Fund Investment Data'!$V:$V, 'Fund Investment Data'!$C:$C = $C2301, 'Fund Investment Data'!$A:$A = $A2"&amp;"301, 'Fund Investment Data'!$B:$B &lt;= $B2301)),0)"),0.0)</f>
        <v>0</v>
      </c>
      <c r="T2301" s="32"/>
      <c r="U2301" s="32"/>
      <c r="V2301" s="32">
        <f>IFERROR(__xludf.DUMMYFUNCTION("$D2301 - IFERROR(FILTER($D:$D,$C:$C = $C2301, $A:$A = $A2301, $B:$B = $B2301 - 1),0)"),0.0)</f>
        <v>0</v>
      </c>
      <c r="W2301" s="93">
        <f>IFERROR(__xludf.DUMMYFUNCTION("$E2301 - IFERROR(FILTER($E:$E,$C:$C = $C2301, $A:$A = $A2301, $B:$B = $B2301 - 1),0)"),0.0)</f>
        <v>0</v>
      </c>
      <c r="X2301" s="91">
        <f>IFERROR(__xludf.DUMMYFUNCTION("iFERROR((FILTER('Fund Investment Data'!$Z:$Z, 'Fund Investment Data'!$C:$C = $C2301, 'Fund Investment Data'!$A:$A = $A2301 - 1, 'Fund Investment Data'!$B:$B = 12) + FILTER('Fund Investment Data'!$AB:$AB, 'Fund Investment Data'!$C:$C = $C2301, 'Fund Invest"&amp;"ment Data'!$A:$A = $A2301 - 1, 'Fund Investment Data'!$B:$B = 12)) * (1 + AVERAGE(FILTER('Inflation Data'!$C:$C,'Inflation Data'!$A:$A = ($A2301 - 2)))) * Parameters!$A$4,0)"),0.0)</f>
        <v>0</v>
      </c>
      <c r="Y2301" s="91">
        <f>IFERROR(__xludf.DUMMYFUNCTION("IFERROR((IFERROR(FILTER('Fund Investment Data'!$P:$P,'Fund Investment Data'!$C:$C = $C2301,'Fund Investment Data'!$A:$A = ($A2301 - 2), 'Fund Investment Data'!$B:$B = 12),0) - SUM(FILTER('Fund Investment Data'!$V:$V, 'Fund Investment Data'!$C:$C = $C2301,"&amp;" 'Fund Investment Data'!$A:$A = ($A2301 - 2), 'Fund Investment Data'!$B:$B &gt; 3)))  * Parameters!$B$4 * (1 - Parameters!$A$4),0)"),0.0)</f>
        <v>0</v>
      </c>
      <c r="Z2301" s="91">
        <f t="shared" si="24"/>
        <v>0</v>
      </c>
      <c r="AA2301" s="91">
        <f>IFERROR(__xludf.DUMMYFUNCTION("((IFERROR((SUM(FILTER('Fund Investment Data'!$V:$V, 'Fund Investment Data'!$C:$C = $C2301, 'Fund Investment Data'!$A:$A = $A2301 - 1, 'Fund Investment Data'!$B:$B &gt;= 4, 'Fund Investment Data'!$B:$B &lt;= ($B2301 + 5))) / 12) * ($B2301 - 3) * Parameters!$B$4,"&amp;" 0) + IF($B2301 &gt;= 9, IFERROR(SUM(FILTER('Fund Investment Data'!$V:$V, 'Fund Investment Data'!$C:$C = $C2301, 'Fund Investment Data'!$A:$A = $A2301, 'Fund Investment Data'!$B:$B &lt;= 3)) * Parameters!$B$4, 0),0)))"),0.0)</f>
        <v>0</v>
      </c>
      <c r="AB2301" s="32">
        <f>IFERROR(__xludf.DUMMYFUNCTION("IFERROR(((IFERROR(SUM(FILTER('Fund Investment Data'!$V:$V, 'Fund Investment Data'!$C:$C = $C2301, 'Fund Investment Data'!$A:$A = $A2301 - 2, 'Fund Investment Data'!$B:$B &gt;= 4)) * Parameters!$B$4,0) + IFERROR(SUM(FILTER('Fund Investment Data'!$V:$V, 'Fund "&amp;"Investment Data'!$C:$C = $C2301, 'Fund Investment Data'!$A:$A = $A2301 - 1, 'Fund Investment Data'!$B:$B &lt;= 3)) * Parameters!$B$4,0))),0)"),0.0)</f>
        <v>0</v>
      </c>
      <c r="AC2301" s="32">
        <f>IFERROR(__xludf.DUMMYFUNCTION("IFERROR(FILTER($AF:$AF,$C:$C = $C2301,$A:$A = $A2301 - 1,$B:$B = 12),0)"),0.0)</f>
        <v>0</v>
      </c>
      <c r="AD2301" s="32">
        <f t="shared" si="23"/>
        <v>0</v>
      </c>
      <c r="AE2301" s="32">
        <f t="shared" si="2"/>
        <v>0</v>
      </c>
      <c r="AF2301" s="32"/>
    </row>
    <row r="2302">
      <c r="A2302" s="86"/>
      <c r="B2302" s="87"/>
      <c r="C2302" s="88"/>
      <c r="D2302" s="104"/>
      <c r="E2302" s="104"/>
      <c r="F2302" s="104"/>
      <c r="G2302" s="104"/>
      <c r="H2302" s="104"/>
      <c r="I2302" s="104"/>
      <c r="J2302" s="104"/>
      <c r="K2302" s="32"/>
      <c r="L2302" s="32"/>
      <c r="M2302" s="32"/>
      <c r="N2302" s="32"/>
      <c r="O2302" s="106"/>
      <c r="P2302" s="91">
        <f>IFERROR(__xludf.DUMMYFUNCTION("IFERROR(sum(FILTER($D:$N,$C:$C = $C2302,$A:$A &lt; $A2302,$B:$B = 12)),0) + sum($D2302:$N2302)"),0.0)</f>
        <v>0</v>
      </c>
      <c r="Q2302" s="92">
        <f t="shared" si="1"/>
        <v>0</v>
      </c>
      <c r="R2302" s="91">
        <f t="array" ref="R2302">IFERROR(INDEX('Fund YTD Target Values'!$1:$1000, MATCH($C2302,'Fund YTD Target Values'!$A:$A,0), MATCH($A2302,'Fund YTD Target Values'!$1:$1,0)),0)</f>
        <v>0</v>
      </c>
      <c r="S2302" s="91">
        <f>IFERROR(__xludf.DUMMYFUNCTION("IFERROR(sum(FILTER('Fund Investment Data'!$V:$V, 'Fund Investment Data'!$C:$C = $C2302, 'Fund Investment Data'!$A:$A &lt; $A2302)),0) + IFERROR(sum(FILTER('Fund Investment Data'!$V:$V, 'Fund Investment Data'!$C:$C = $C2302, 'Fund Investment Data'!$A:$A = $A2"&amp;"302, 'Fund Investment Data'!$B:$B &lt;= $B2302)),0)"),0.0)</f>
        <v>0</v>
      </c>
      <c r="T2302" s="32"/>
      <c r="U2302" s="32"/>
      <c r="V2302" s="32">
        <f>IFERROR(__xludf.DUMMYFUNCTION("$D2302 - IFERROR(FILTER($D:$D,$C:$C = $C2302, $A:$A = $A2302, $B:$B = $B2302 - 1),0)"),0.0)</f>
        <v>0</v>
      </c>
      <c r="W2302" s="93">
        <f>IFERROR(__xludf.DUMMYFUNCTION("$E2302 - IFERROR(FILTER($E:$E,$C:$C = $C2302, $A:$A = $A2302, $B:$B = $B2302 - 1),0)"),0.0)</f>
        <v>0</v>
      </c>
      <c r="X2302" s="91">
        <f>IFERROR(__xludf.DUMMYFUNCTION("iFERROR((FILTER('Fund Investment Data'!$Z:$Z, 'Fund Investment Data'!$C:$C = $C2302, 'Fund Investment Data'!$A:$A = $A2302 - 1, 'Fund Investment Data'!$B:$B = 12) + FILTER('Fund Investment Data'!$AB:$AB, 'Fund Investment Data'!$C:$C = $C2302, 'Fund Invest"&amp;"ment Data'!$A:$A = $A2302 - 1, 'Fund Investment Data'!$B:$B = 12)) * (1 + AVERAGE(FILTER('Inflation Data'!$C:$C,'Inflation Data'!$A:$A = ($A2302 - 2)))) * Parameters!$A$4,0)"),0.0)</f>
        <v>0</v>
      </c>
      <c r="Y2302" s="91">
        <f>IFERROR(__xludf.DUMMYFUNCTION("IFERROR((IFERROR(FILTER('Fund Investment Data'!$P:$P,'Fund Investment Data'!$C:$C = $C2302,'Fund Investment Data'!$A:$A = ($A2302 - 2), 'Fund Investment Data'!$B:$B = 12),0) - SUM(FILTER('Fund Investment Data'!$V:$V, 'Fund Investment Data'!$C:$C = $C2302,"&amp;" 'Fund Investment Data'!$A:$A = ($A2302 - 2), 'Fund Investment Data'!$B:$B &gt; 3)))  * Parameters!$B$4 * (1 - Parameters!$A$4),0)"),0.0)</f>
        <v>0</v>
      </c>
      <c r="Z2302" s="91">
        <f t="shared" si="24"/>
        <v>0</v>
      </c>
      <c r="AA2302" s="91">
        <f>IFERROR(__xludf.DUMMYFUNCTION("((IFERROR((SUM(FILTER('Fund Investment Data'!$V:$V, 'Fund Investment Data'!$C:$C = $C2302, 'Fund Investment Data'!$A:$A = $A2302 - 1, 'Fund Investment Data'!$B:$B &gt;= 4, 'Fund Investment Data'!$B:$B &lt;= ($B2302 + 5))) / 12) * ($B2302 - 3) * Parameters!$B$4,"&amp;" 0) + IF($B2302 &gt;= 9, IFERROR(SUM(FILTER('Fund Investment Data'!$V:$V, 'Fund Investment Data'!$C:$C = $C2302, 'Fund Investment Data'!$A:$A = $A2302, 'Fund Investment Data'!$B:$B &lt;= 3)) * Parameters!$B$4, 0),0)))"),0.0)</f>
        <v>0</v>
      </c>
      <c r="AB2302" s="32">
        <f>IFERROR(__xludf.DUMMYFUNCTION("IFERROR(((IFERROR(SUM(FILTER('Fund Investment Data'!$V:$V, 'Fund Investment Data'!$C:$C = $C2302, 'Fund Investment Data'!$A:$A = $A2302 - 2, 'Fund Investment Data'!$B:$B &gt;= 4)) * Parameters!$B$4,0) + IFERROR(SUM(FILTER('Fund Investment Data'!$V:$V, 'Fund "&amp;"Investment Data'!$C:$C = $C2302, 'Fund Investment Data'!$A:$A = $A2302 - 1, 'Fund Investment Data'!$B:$B &lt;= 3)) * Parameters!$B$4,0))),0)"),0.0)</f>
        <v>0</v>
      </c>
      <c r="AC2302" s="32">
        <f>IFERROR(__xludf.DUMMYFUNCTION("IFERROR(FILTER($AF:$AF,$C:$C = $C2302,$A:$A = $A2302 - 1,$B:$B = 12),0)"),0.0)</f>
        <v>0</v>
      </c>
      <c r="AD2302" s="32">
        <f t="shared" si="23"/>
        <v>0</v>
      </c>
      <c r="AE2302" s="32">
        <f t="shared" si="2"/>
        <v>0</v>
      </c>
      <c r="AF2302" s="32"/>
    </row>
    <row r="2303">
      <c r="A2303" s="86"/>
      <c r="B2303" s="87"/>
      <c r="C2303" s="88"/>
      <c r="D2303" s="104"/>
      <c r="E2303" s="104"/>
      <c r="F2303" s="104"/>
      <c r="G2303" s="104"/>
      <c r="H2303" s="104"/>
      <c r="I2303" s="104"/>
      <c r="J2303" s="104"/>
      <c r="K2303" s="32"/>
      <c r="L2303" s="32"/>
      <c r="M2303" s="32"/>
      <c r="N2303" s="32"/>
      <c r="O2303" s="106"/>
      <c r="P2303" s="91">
        <f>IFERROR(__xludf.DUMMYFUNCTION("IFERROR(sum(FILTER($D:$N,$C:$C = $C2303,$A:$A &lt; $A2303,$B:$B = 12)),0) + sum($D2303:$N2303)"),0.0)</f>
        <v>0</v>
      </c>
      <c r="Q2303" s="92">
        <f t="shared" si="1"/>
        <v>0</v>
      </c>
      <c r="R2303" s="91">
        <f t="array" ref="R2303">IFERROR(INDEX('Fund YTD Target Values'!$1:$1000, MATCH($C2303,'Fund YTD Target Values'!$A:$A,0), MATCH($A2303,'Fund YTD Target Values'!$1:$1,0)),0)</f>
        <v>0</v>
      </c>
      <c r="S2303" s="91">
        <f>IFERROR(__xludf.DUMMYFUNCTION("IFERROR(sum(FILTER('Fund Investment Data'!$V:$V, 'Fund Investment Data'!$C:$C = $C2303, 'Fund Investment Data'!$A:$A &lt; $A2303)),0) + IFERROR(sum(FILTER('Fund Investment Data'!$V:$V, 'Fund Investment Data'!$C:$C = $C2303, 'Fund Investment Data'!$A:$A = $A2"&amp;"303, 'Fund Investment Data'!$B:$B &lt;= $B2303)),0)"),0.0)</f>
        <v>0</v>
      </c>
      <c r="T2303" s="32"/>
      <c r="U2303" s="32"/>
      <c r="V2303" s="32">
        <f>IFERROR(__xludf.DUMMYFUNCTION("$D2303 - IFERROR(FILTER($D:$D,$C:$C = $C2303, $A:$A = $A2303, $B:$B = $B2303 - 1),0)"),0.0)</f>
        <v>0</v>
      </c>
      <c r="W2303" s="93">
        <f>IFERROR(__xludf.DUMMYFUNCTION("$E2303 - IFERROR(FILTER($E:$E,$C:$C = $C2303, $A:$A = $A2303, $B:$B = $B2303 - 1),0)"),0.0)</f>
        <v>0</v>
      </c>
      <c r="X2303" s="91">
        <f>IFERROR(__xludf.DUMMYFUNCTION("iFERROR((FILTER('Fund Investment Data'!$Z:$Z, 'Fund Investment Data'!$C:$C = $C2303, 'Fund Investment Data'!$A:$A = $A2303 - 1, 'Fund Investment Data'!$B:$B = 12) + FILTER('Fund Investment Data'!$AB:$AB, 'Fund Investment Data'!$C:$C = $C2303, 'Fund Invest"&amp;"ment Data'!$A:$A = $A2303 - 1, 'Fund Investment Data'!$B:$B = 12)) * (1 + AVERAGE(FILTER('Inflation Data'!$C:$C,'Inflation Data'!$A:$A = ($A2303 - 2)))) * Parameters!$A$4,0)"),0.0)</f>
        <v>0</v>
      </c>
      <c r="Y2303" s="91">
        <f>IFERROR(__xludf.DUMMYFUNCTION("IFERROR((IFERROR(FILTER('Fund Investment Data'!$P:$P,'Fund Investment Data'!$C:$C = $C2303,'Fund Investment Data'!$A:$A = ($A2303 - 2), 'Fund Investment Data'!$B:$B = 12),0) - SUM(FILTER('Fund Investment Data'!$V:$V, 'Fund Investment Data'!$C:$C = $C2303,"&amp;" 'Fund Investment Data'!$A:$A = ($A2303 - 2), 'Fund Investment Data'!$B:$B &gt; 3)))  * Parameters!$B$4 * (1 - Parameters!$A$4),0)"),0.0)</f>
        <v>0</v>
      </c>
      <c r="Z2303" s="91">
        <f t="shared" si="24"/>
        <v>0</v>
      </c>
      <c r="AA2303" s="91">
        <f>IFERROR(__xludf.DUMMYFUNCTION("((IFERROR((SUM(FILTER('Fund Investment Data'!$V:$V, 'Fund Investment Data'!$C:$C = $C2303, 'Fund Investment Data'!$A:$A = $A2303 - 1, 'Fund Investment Data'!$B:$B &gt;= 4, 'Fund Investment Data'!$B:$B &lt;= ($B2303 + 5))) / 12) * ($B2303 - 3) * Parameters!$B$4,"&amp;" 0) + IF($B2303 &gt;= 9, IFERROR(SUM(FILTER('Fund Investment Data'!$V:$V, 'Fund Investment Data'!$C:$C = $C2303, 'Fund Investment Data'!$A:$A = $A2303, 'Fund Investment Data'!$B:$B &lt;= 3)) * Parameters!$B$4, 0),0)))"),0.0)</f>
        <v>0</v>
      </c>
      <c r="AB2303" s="32">
        <f>IFERROR(__xludf.DUMMYFUNCTION("IFERROR(((IFERROR(SUM(FILTER('Fund Investment Data'!$V:$V, 'Fund Investment Data'!$C:$C = $C2303, 'Fund Investment Data'!$A:$A = $A2303 - 2, 'Fund Investment Data'!$B:$B &gt;= 4)) * Parameters!$B$4,0) + IFERROR(SUM(FILTER('Fund Investment Data'!$V:$V, 'Fund "&amp;"Investment Data'!$C:$C = $C2303, 'Fund Investment Data'!$A:$A = $A2303 - 1, 'Fund Investment Data'!$B:$B &lt;= 3)) * Parameters!$B$4,0))),0)"),0.0)</f>
        <v>0</v>
      </c>
      <c r="AC2303" s="32">
        <f>IFERROR(__xludf.DUMMYFUNCTION("IFERROR(FILTER($AF:$AF,$C:$C = $C2303,$A:$A = $A2303 - 1,$B:$B = 12),0)"),0.0)</f>
        <v>0</v>
      </c>
      <c r="AD2303" s="32">
        <f t="shared" si="23"/>
        <v>0</v>
      </c>
      <c r="AE2303" s="32">
        <f t="shared" si="2"/>
        <v>0</v>
      </c>
      <c r="AF2303" s="32"/>
    </row>
    <row r="2304">
      <c r="A2304" s="86"/>
      <c r="B2304" s="87"/>
      <c r="C2304" s="88"/>
      <c r="D2304" s="104"/>
      <c r="E2304" s="104"/>
      <c r="F2304" s="104"/>
      <c r="G2304" s="104"/>
      <c r="H2304" s="104"/>
      <c r="I2304" s="104"/>
      <c r="J2304" s="104"/>
      <c r="K2304" s="32"/>
      <c r="L2304" s="32"/>
      <c r="M2304" s="32"/>
      <c r="N2304" s="32"/>
      <c r="O2304" s="106"/>
      <c r="P2304" s="91">
        <f>IFERROR(__xludf.DUMMYFUNCTION("IFERROR(sum(FILTER($D:$N,$C:$C = $C2304,$A:$A &lt; $A2304,$B:$B = 12)),0) + sum($D2304:$N2304)"),0.0)</f>
        <v>0</v>
      </c>
      <c r="Q2304" s="92">
        <f t="shared" si="1"/>
        <v>0</v>
      </c>
      <c r="R2304" s="91">
        <f t="array" ref="R2304">IFERROR(INDEX('Fund YTD Target Values'!$1:$1000, MATCH($C2304,'Fund YTD Target Values'!$A:$A,0), MATCH($A2304,'Fund YTD Target Values'!$1:$1,0)),0)</f>
        <v>0</v>
      </c>
      <c r="S2304" s="91">
        <f>IFERROR(__xludf.DUMMYFUNCTION("IFERROR(sum(FILTER('Fund Investment Data'!$V:$V, 'Fund Investment Data'!$C:$C = $C2304, 'Fund Investment Data'!$A:$A &lt; $A2304)),0) + IFERROR(sum(FILTER('Fund Investment Data'!$V:$V, 'Fund Investment Data'!$C:$C = $C2304, 'Fund Investment Data'!$A:$A = $A2"&amp;"304, 'Fund Investment Data'!$B:$B &lt;= $B2304)),0)"),0.0)</f>
        <v>0</v>
      </c>
      <c r="T2304" s="32"/>
      <c r="U2304" s="32"/>
      <c r="V2304" s="32">
        <f>IFERROR(__xludf.DUMMYFUNCTION("$D2304 - IFERROR(FILTER($D:$D,$C:$C = $C2304, $A:$A = $A2304, $B:$B = $B2304 - 1),0)"),0.0)</f>
        <v>0</v>
      </c>
      <c r="W2304" s="93">
        <f>IFERROR(__xludf.DUMMYFUNCTION("$E2304 - IFERROR(FILTER($E:$E,$C:$C = $C2304, $A:$A = $A2304, $B:$B = $B2304 - 1),0)"),0.0)</f>
        <v>0</v>
      </c>
      <c r="X2304" s="91">
        <f>IFERROR(__xludf.DUMMYFUNCTION("iFERROR((FILTER('Fund Investment Data'!$Z:$Z, 'Fund Investment Data'!$C:$C = $C2304, 'Fund Investment Data'!$A:$A = $A2304 - 1, 'Fund Investment Data'!$B:$B = 12) + FILTER('Fund Investment Data'!$AB:$AB, 'Fund Investment Data'!$C:$C = $C2304, 'Fund Invest"&amp;"ment Data'!$A:$A = $A2304 - 1, 'Fund Investment Data'!$B:$B = 12)) * (1 + AVERAGE(FILTER('Inflation Data'!$C:$C,'Inflation Data'!$A:$A = ($A2304 - 2)))) * Parameters!$A$4,0)"),0.0)</f>
        <v>0</v>
      </c>
      <c r="Y2304" s="91">
        <f>IFERROR(__xludf.DUMMYFUNCTION("IFERROR((IFERROR(FILTER('Fund Investment Data'!$P:$P,'Fund Investment Data'!$C:$C = $C2304,'Fund Investment Data'!$A:$A = ($A2304 - 2), 'Fund Investment Data'!$B:$B = 12),0) - SUM(FILTER('Fund Investment Data'!$V:$V, 'Fund Investment Data'!$C:$C = $C2304,"&amp;" 'Fund Investment Data'!$A:$A = ($A2304 - 2), 'Fund Investment Data'!$B:$B &gt; 3)))  * Parameters!$B$4 * (1 - Parameters!$A$4),0)"),0.0)</f>
        <v>0</v>
      </c>
      <c r="Z2304" s="91">
        <f t="shared" si="24"/>
        <v>0</v>
      </c>
      <c r="AA2304" s="91">
        <f>IFERROR(__xludf.DUMMYFUNCTION("((IFERROR((SUM(FILTER('Fund Investment Data'!$V:$V, 'Fund Investment Data'!$C:$C = $C2304, 'Fund Investment Data'!$A:$A = $A2304 - 1, 'Fund Investment Data'!$B:$B &gt;= 4, 'Fund Investment Data'!$B:$B &lt;= ($B2304 + 5))) / 12) * ($B2304 - 3) * Parameters!$B$4,"&amp;" 0) + IF($B2304 &gt;= 9, IFERROR(SUM(FILTER('Fund Investment Data'!$V:$V, 'Fund Investment Data'!$C:$C = $C2304, 'Fund Investment Data'!$A:$A = $A2304, 'Fund Investment Data'!$B:$B &lt;= 3)) * Parameters!$B$4, 0),0)))"),0.0)</f>
        <v>0</v>
      </c>
      <c r="AB2304" s="32">
        <f>IFERROR(__xludf.DUMMYFUNCTION("IFERROR(((IFERROR(SUM(FILTER('Fund Investment Data'!$V:$V, 'Fund Investment Data'!$C:$C = $C2304, 'Fund Investment Data'!$A:$A = $A2304 - 2, 'Fund Investment Data'!$B:$B &gt;= 4)) * Parameters!$B$4,0) + IFERROR(SUM(FILTER('Fund Investment Data'!$V:$V, 'Fund "&amp;"Investment Data'!$C:$C = $C2304, 'Fund Investment Data'!$A:$A = $A2304 - 1, 'Fund Investment Data'!$B:$B &lt;= 3)) * Parameters!$B$4,0))),0)"),0.0)</f>
        <v>0</v>
      </c>
      <c r="AC2304" s="32">
        <f>IFERROR(__xludf.DUMMYFUNCTION("IFERROR(FILTER($AF:$AF,$C:$C = $C2304,$A:$A = $A2304 - 1,$B:$B = 12),0)"),0.0)</f>
        <v>0</v>
      </c>
      <c r="AD2304" s="32">
        <f t="shared" si="23"/>
        <v>0</v>
      </c>
      <c r="AE2304" s="32">
        <f t="shared" si="2"/>
        <v>0</v>
      </c>
      <c r="AF2304" s="32"/>
    </row>
    <row r="2305">
      <c r="A2305" s="86"/>
      <c r="B2305" s="87"/>
      <c r="C2305" s="88"/>
      <c r="D2305" s="104"/>
      <c r="E2305" s="104"/>
      <c r="F2305" s="104"/>
      <c r="G2305" s="104"/>
      <c r="H2305" s="104"/>
      <c r="I2305" s="104"/>
      <c r="J2305" s="104"/>
      <c r="K2305" s="32"/>
      <c r="L2305" s="32"/>
      <c r="M2305" s="32"/>
      <c r="N2305" s="32"/>
      <c r="O2305" s="106"/>
      <c r="P2305" s="91">
        <f>IFERROR(__xludf.DUMMYFUNCTION("IFERROR(sum(FILTER($D:$N,$C:$C = $C2305,$A:$A &lt; $A2305,$B:$B = 12)),0) + sum($D2305:$N2305)"),0.0)</f>
        <v>0</v>
      </c>
      <c r="Q2305" s="92">
        <f t="shared" si="1"/>
        <v>0</v>
      </c>
      <c r="R2305" s="91">
        <f t="array" ref="R2305">IFERROR(INDEX('Fund YTD Target Values'!$1:$1000, MATCH($C2305,'Fund YTD Target Values'!$A:$A,0), MATCH($A2305,'Fund YTD Target Values'!$1:$1,0)),0)</f>
        <v>0</v>
      </c>
      <c r="S2305" s="91">
        <f>IFERROR(__xludf.DUMMYFUNCTION("IFERROR(sum(FILTER('Fund Investment Data'!$V:$V, 'Fund Investment Data'!$C:$C = $C2305, 'Fund Investment Data'!$A:$A &lt; $A2305)),0) + IFERROR(sum(FILTER('Fund Investment Data'!$V:$V, 'Fund Investment Data'!$C:$C = $C2305, 'Fund Investment Data'!$A:$A = $A2"&amp;"305, 'Fund Investment Data'!$B:$B &lt;= $B2305)),0)"),0.0)</f>
        <v>0</v>
      </c>
      <c r="T2305" s="32"/>
      <c r="U2305" s="32"/>
      <c r="V2305" s="32">
        <f>IFERROR(__xludf.DUMMYFUNCTION("$D2305 - IFERROR(FILTER($D:$D,$C:$C = $C2305, $A:$A = $A2305, $B:$B = $B2305 - 1),0)"),0.0)</f>
        <v>0</v>
      </c>
      <c r="W2305" s="93">
        <f>IFERROR(__xludf.DUMMYFUNCTION("$E2305 - IFERROR(FILTER($E:$E,$C:$C = $C2305, $A:$A = $A2305, $B:$B = $B2305 - 1),0)"),0.0)</f>
        <v>0</v>
      </c>
      <c r="X2305" s="91">
        <f>IFERROR(__xludf.DUMMYFUNCTION("iFERROR((FILTER('Fund Investment Data'!$Z:$Z, 'Fund Investment Data'!$C:$C = $C2305, 'Fund Investment Data'!$A:$A = $A2305 - 1, 'Fund Investment Data'!$B:$B = 12) + FILTER('Fund Investment Data'!$AB:$AB, 'Fund Investment Data'!$C:$C = $C2305, 'Fund Invest"&amp;"ment Data'!$A:$A = $A2305 - 1, 'Fund Investment Data'!$B:$B = 12)) * (1 + AVERAGE(FILTER('Inflation Data'!$C:$C,'Inflation Data'!$A:$A = ($A2305 - 2)))) * Parameters!$A$4,0)"),0.0)</f>
        <v>0</v>
      </c>
      <c r="Y2305" s="91">
        <f>IFERROR(__xludf.DUMMYFUNCTION("IFERROR((IFERROR(FILTER('Fund Investment Data'!$P:$P,'Fund Investment Data'!$C:$C = $C2305,'Fund Investment Data'!$A:$A = ($A2305 - 2), 'Fund Investment Data'!$B:$B = 12),0) - SUM(FILTER('Fund Investment Data'!$V:$V, 'Fund Investment Data'!$C:$C = $C2305,"&amp;" 'Fund Investment Data'!$A:$A = ($A2305 - 2), 'Fund Investment Data'!$B:$B &gt; 3)))  * Parameters!$B$4 * (1 - Parameters!$A$4),0)"),0.0)</f>
        <v>0</v>
      </c>
      <c r="Z2305" s="91">
        <f t="shared" si="24"/>
        <v>0</v>
      </c>
      <c r="AA2305" s="91">
        <f>IFERROR(__xludf.DUMMYFUNCTION("((IFERROR((SUM(FILTER('Fund Investment Data'!$V:$V, 'Fund Investment Data'!$C:$C = $C2305, 'Fund Investment Data'!$A:$A = $A2305 - 1, 'Fund Investment Data'!$B:$B &gt;= 4, 'Fund Investment Data'!$B:$B &lt;= ($B2305 + 5))) / 12) * ($B2305 - 3) * Parameters!$B$4,"&amp;" 0) + IF($B2305 &gt;= 9, IFERROR(SUM(FILTER('Fund Investment Data'!$V:$V, 'Fund Investment Data'!$C:$C = $C2305, 'Fund Investment Data'!$A:$A = $A2305, 'Fund Investment Data'!$B:$B &lt;= 3)) * Parameters!$B$4, 0),0)))"),0.0)</f>
        <v>0</v>
      </c>
      <c r="AB2305" s="32">
        <f>IFERROR(__xludf.DUMMYFUNCTION("IFERROR(((IFERROR(SUM(FILTER('Fund Investment Data'!$V:$V, 'Fund Investment Data'!$C:$C = $C2305, 'Fund Investment Data'!$A:$A = $A2305 - 2, 'Fund Investment Data'!$B:$B &gt;= 4)) * Parameters!$B$4,0) + IFERROR(SUM(FILTER('Fund Investment Data'!$V:$V, 'Fund "&amp;"Investment Data'!$C:$C = $C2305, 'Fund Investment Data'!$A:$A = $A2305 - 1, 'Fund Investment Data'!$B:$B &lt;= 3)) * Parameters!$B$4,0))),0)"),0.0)</f>
        <v>0</v>
      </c>
      <c r="AC2305" s="32">
        <f>IFERROR(__xludf.DUMMYFUNCTION("IFERROR(FILTER($AF:$AF,$C:$C = $C2305,$A:$A = $A2305 - 1,$B:$B = 12),0)"),0.0)</f>
        <v>0</v>
      </c>
      <c r="AD2305" s="32">
        <f t="shared" si="23"/>
        <v>0</v>
      </c>
      <c r="AE2305" s="32">
        <f t="shared" si="2"/>
        <v>0</v>
      </c>
      <c r="AF2305" s="32"/>
    </row>
    <row r="2306">
      <c r="A2306" s="86"/>
      <c r="B2306" s="87"/>
      <c r="C2306" s="88"/>
      <c r="D2306" s="104"/>
      <c r="E2306" s="104"/>
      <c r="F2306" s="104"/>
      <c r="G2306" s="104"/>
      <c r="H2306" s="104"/>
      <c r="I2306" s="104"/>
      <c r="J2306" s="104"/>
      <c r="K2306" s="32"/>
      <c r="L2306" s="32"/>
      <c r="M2306" s="32"/>
      <c r="N2306" s="32"/>
      <c r="O2306" s="106"/>
      <c r="P2306" s="91">
        <f>IFERROR(__xludf.DUMMYFUNCTION("IFERROR(sum(FILTER($D:$N,$C:$C = $C2306,$A:$A &lt; $A2306,$B:$B = 12)),0) + sum($D2306:$N2306)"),0.0)</f>
        <v>0</v>
      </c>
      <c r="Q2306" s="92">
        <f t="shared" si="1"/>
        <v>0</v>
      </c>
      <c r="R2306" s="91">
        <f t="array" ref="R2306">IFERROR(INDEX('Fund YTD Target Values'!$1:$1000, MATCH($C2306,'Fund YTD Target Values'!$A:$A,0), MATCH($A2306,'Fund YTD Target Values'!$1:$1,0)),0)</f>
        <v>0</v>
      </c>
      <c r="S2306" s="91">
        <f>IFERROR(__xludf.DUMMYFUNCTION("IFERROR(sum(FILTER('Fund Investment Data'!$V:$V, 'Fund Investment Data'!$C:$C = $C2306, 'Fund Investment Data'!$A:$A &lt; $A2306)),0) + IFERROR(sum(FILTER('Fund Investment Data'!$V:$V, 'Fund Investment Data'!$C:$C = $C2306, 'Fund Investment Data'!$A:$A = $A2"&amp;"306, 'Fund Investment Data'!$B:$B &lt;= $B2306)),0)"),0.0)</f>
        <v>0</v>
      </c>
      <c r="T2306" s="32"/>
      <c r="U2306" s="32"/>
      <c r="V2306" s="32">
        <f>IFERROR(__xludf.DUMMYFUNCTION("$D2306 - IFERROR(FILTER($D:$D,$C:$C = $C2306, $A:$A = $A2306, $B:$B = $B2306 - 1),0)"),0.0)</f>
        <v>0</v>
      </c>
      <c r="W2306" s="93">
        <f>IFERROR(__xludf.DUMMYFUNCTION("$E2306 - IFERROR(FILTER($E:$E,$C:$C = $C2306, $A:$A = $A2306, $B:$B = $B2306 - 1),0)"),0.0)</f>
        <v>0</v>
      </c>
      <c r="X2306" s="91">
        <f>IFERROR(__xludf.DUMMYFUNCTION("iFERROR((FILTER('Fund Investment Data'!$Z:$Z, 'Fund Investment Data'!$C:$C = $C2306, 'Fund Investment Data'!$A:$A = $A2306 - 1, 'Fund Investment Data'!$B:$B = 12) + FILTER('Fund Investment Data'!$AB:$AB, 'Fund Investment Data'!$C:$C = $C2306, 'Fund Invest"&amp;"ment Data'!$A:$A = $A2306 - 1, 'Fund Investment Data'!$B:$B = 12)) * (1 + AVERAGE(FILTER('Inflation Data'!$C:$C,'Inflation Data'!$A:$A = ($A2306 - 2)))) * Parameters!$A$4,0)"),0.0)</f>
        <v>0</v>
      </c>
      <c r="Y2306" s="91">
        <f>IFERROR(__xludf.DUMMYFUNCTION("IFERROR((IFERROR(FILTER('Fund Investment Data'!$P:$P,'Fund Investment Data'!$C:$C = $C2306,'Fund Investment Data'!$A:$A = ($A2306 - 2), 'Fund Investment Data'!$B:$B = 12),0) - SUM(FILTER('Fund Investment Data'!$V:$V, 'Fund Investment Data'!$C:$C = $C2306,"&amp;" 'Fund Investment Data'!$A:$A = ($A2306 - 2), 'Fund Investment Data'!$B:$B &gt; 3)))  * Parameters!$B$4 * (1 - Parameters!$A$4),0)"),0.0)</f>
        <v>0</v>
      </c>
      <c r="Z2306" s="91">
        <f t="shared" si="24"/>
        <v>0</v>
      </c>
      <c r="AA2306" s="91">
        <f>IFERROR(__xludf.DUMMYFUNCTION("((IFERROR((SUM(FILTER('Fund Investment Data'!$V:$V, 'Fund Investment Data'!$C:$C = $C2306, 'Fund Investment Data'!$A:$A = $A2306 - 1, 'Fund Investment Data'!$B:$B &gt;= 4, 'Fund Investment Data'!$B:$B &lt;= ($B2306 + 5))) / 12) * ($B2306 - 3) * Parameters!$B$4,"&amp;" 0) + IF($B2306 &gt;= 9, IFERROR(SUM(FILTER('Fund Investment Data'!$V:$V, 'Fund Investment Data'!$C:$C = $C2306, 'Fund Investment Data'!$A:$A = $A2306, 'Fund Investment Data'!$B:$B &lt;= 3)) * Parameters!$B$4, 0),0)))"),0.0)</f>
        <v>0</v>
      </c>
      <c r="AB2306" s="32">
        <f>IFERROR(__xludf.DUMMYFUNCTION("IFERROR(((IFERROR(SUM(FILTER('Fund Investment Data'!$V:$V, 'Fund Investment Data'!$C:$C = $C2306, 'Fund Investment Data'!$A:$A = $A2306 - 2, 'Fund Investment Data'!$B:$B &gt;= 4)) * Parameters!$B$4,0) + IFERROR(SUM(FILTER('Fund Investment Data'!$V:$V, 'Fund "&amp;"Investment Data'!$C:$C = $C2306, 'Fund Investment Data'!$A:$A = $A2306 - 1, 'Fund Investment Data'!$B:$B &lt;= 3)) * Parameters!$B$4,0))),0)"),0.0)</f>
        <v>0</v>
      </c>
      <c r="AC2306" s="32">
        <f>IFERROR(__xludf.DUMMYFUNCTION("IFERROR(FILTER($AF:$AF,$C:$C = $C2306,$A:$A = $A2306 - 1,$B:$B = 12),0)"),0.0)</f>
        <v>0</v>
      </c>
      <c r="AD2306" s="32">
        <f t="shared" si="23"/>
        <v>0</v>
      </c>
      <c r="AE2306" s="32">
        <f t="shared" si="2"/>
        <v>0</v>
      </c>
      <c r="AF2306" s="32"/>
    </row>
    <row r="2307">
      <c r="A2307" s="86"/>
      <c r="B2307" s="87"/>
      <c r="C2307" s="88"/>
      <c r="D2307" s="104"/>
      <c r="E2307" s="104"/>
      <c r="F2307" s="104"/>
      <c r="G2307" s="104"/>
      <c r="H2307" s="104"/>
      <c r="I2307" s="104"/>
      <c r="J2307" s="104"/>
      <c r="K2307" s="32"/>
      <c r="L2307" s="32"/>
      <c r="M2307" s="32"/>
      <c r="N2307" s="32"/>
      <c r="O2307" s="106"/>
      <c r="P2307" s="91">
        <f>IFERROR(__xludf.DUMMYFUNCTION("IFERROR(sum(FILTER($D:$N,$C:$C = $C2307,$A:$A &lt; $A2307,$B:$B = 12)),0) + sum($D2307:$N2307)"),0.0)</f>
        <v>0</v>
      </c>
      <c r="Q2307" s="92">
        <f t="shared" si="1"/>
        <v>0</v>
      </c>
      <c r="R2307" s="91">
        <f t="array" ref="R2307">IFERROR(INDEX('Fund YTD Target Values'!$1:$1000, MATCH($C2307,'Fund YTD Target Values'!$A:$A,0), MATCH($A2307,'Fund YTD Target Values'!$1:$1,0)),0)</f>
        <v>0</v>
      </c>
      <c r="S2307" s="91">
        <f>IFERROR(__xludf.DUMMYFUNCTION("IFERROR(sum(FILTER('Fund Investment Data'!$V:$V, 'Fund Investment Data'!$C:$C = $C2307, 'Fund Investment Data'!$A:$A &lt; $A2307)),0) + IFERROR(sum(FILTER('Fund Investment Data'!$V:$V, 'Fund Investment Data'!$C:$C = $C2307, 'Fund Investment Data'!$A:$A = $A2"&amp;"307, 'Fund Investment Data'!$B:$B &lt;= $B2307)),0)"),0.0)</f>
        <v>0</v>
      </c>
      <c r="T2307" s="32"/>
      <c r="U2307" s="32"/>
      <c r="V2307" s="32">
        <f>IFERROR(__xludf.DUMMYFUNCTION("$D2307 - IFERROR(FILTER($D:$D,$C:$C = $C2307, $A:$A = $A2307, $B:$B = $B2307 - 1),0)"),0.0)</f>
        <v>0</v>
      </c>
      <c r="W2307" s="93">
        <f>IFERROR(__xludf.DUMMYFUNCTION("$E2307 - IFERROR(FILTER($E:$E,$C:$C = $C2307, $A:$A = $A2307, $B:$B = $B2307 - 1),0)"),0.0)</f>
        <v>0</v>
      </c>
      <c r="X2307" s="91">
        <f>IFERROR(__xludf.DUMMYFUNCTION("iFERROR((FILTER('Fund Investment Data'!$Z:$Z, 'Fund Investment Data'!$C:$C = $C2307, 'Fund Investment Data'!$A:$A = $A2307 - 1, 'Fund Investment Data'!$B:$B = 12) + FILTER('Fund Investment Data'!$AB:$AB, 'Fund Investment Data'!$C:$C = $C2307, 'Fund Invest"&amp;"ment Data'!$A:$A = $A2307 - 1, 'Fund Investment Data'!$B:$B = 12)) * (1 + AVERAGE(FILTER('Inflation Data'!$C:$C,'Inflation Data'!$A:$A = ($A2307 - 2)))) * Parameters!$A$4,0)"),0.0)</f>
        <v>0</v>
      </c>
      <c r="Y2307" s="91">
        <f>IFERROR(__xludf.DUMMYFUNCTION("IFERROR((IFERROR(FILTER('Fund Investment Data'!$P:$P,'Fund Investment Data'!$C:$C = $C2307,'Fund Investment Data'!$A:$A = ($A2307 - 2), 'Fund Investment Data'!$B:$B = 12),0) - SUM(FILTER('Fund Investment Data'!$V:$V, 'Fund Investment Data'!$C:$C = $C2307,"&amp;" 'Fund Investment Data'!$A:$A = ($A2307 - 2), 'Fund Investment Data'!$B:$B &gt; 3)))  * Parameters!$B$4 * (1 - Parameters!$A$4),0)"),0.0)</f>
        <v>0</v>
      </c>
      <c r="Z2307" s="91">
        <f t="shared" si="24"/>
        <v>0</v>
      </c>
      <c r="AA2307" s="91">
        <f>IFERROR(__xludf.DUMMYFUNCTION("((IFERROR((SUM(FILTER('Fund Investment Data'!$V:$V, 'Fund Investment Data'!$C:$C = $C2307, 'Fund Investment Data'!$A:$A = $A2307 - 1, 'Fund Investment Data'!$B:$B &gt;= 4, 'Fund Investment Data'!$B:$B &lt;= ($B2307 + 5))) / 12) * ($B2307 - 3) * Parameters!$B$4,"&amp;" 0) + IF($B2307 &gt;= 9, IFERROR(SUM(FILTER('Fund Investment Data'!$V:$V, 'Fund Investment Data'!$C:$C = $C2307, 'Fund Investment Data'!$A:$A = $A2307, 'Fund Investment Data'!$B:$B &lt;= 3)) * Parameters!$B$4, 0),0)))"),0.0)</f>
        <v>0</v>
      </c>
      <c r="AB2307" s="32">
        <f>IFERROR(__xludf.DUMMYFUNCTION("IFERROR(((IFERROR(SUM(FILTER('Fund Investment Data'!$V:$V, 'Fund Investment Data'!$C:$C = $C2307, 'Fund Investment Data'!$A:$A = $A2307 - 2, 'Fund Investment Data'!$B:$B &gt;= 4)) * Parameters!$B$4,0) + IFERROR(SUM(FILTER('Fund Investment Data'!$V:$V, 'Fund "&amp;"Investment Data'!$C:$C = $C2307, 'Fund Investment Data'!$A:$A = $A2307 - 1, 'Fund Investment Data'!$B:$B &lt;= 3)) * Parameters!$B$4,0))),0)"),0.0)</f>
        <v>0</v>
      </c>
      <c r="AC2307" s="32">
        <f>IFERROR(__xludf.DUMMYFUNCTION("IFERROR(FILTER($AF:$AF,$C:$C = $C2307,$A:$A = $A2307 - 1,$B:$B = 12),0)"),0.0)</f>
        <v>0</v>
      </c>
      <c r="AD2307" s="32">
        <f t="shared" si="23"/>
        <v>0</v>
      </c>
      <c r="AE2307" s="32">
        <f t="shared" si="2"/>
        <v>0</v>
      </c>
      <c r="AF2307" s="32"/>
    </row>
    <row r="2308">
      <c r="A2308" s="86"/>
      <c r="B2308" s="87"/>
      <c r="C2308" s="88"/>
      <c r="D2308" s="104"/>
      <c r="E2308" s="104"/>
      <c r="F2308" s="104"/>
      <c r="G2308" s="104"/>
      <c r="H2308" s="104"/>
      <c r="I2308" s="104"/>
      <c r="J2308" s="104"/>
      <c r="K2308" s="32"/>
      <c r="L2308" s="32"/>
      <c r="M2308" s="32"/>
      <c r="N2308" s="32"/>
      <c r="O2308" s="106"/>
      <c r="P2308" s="91">
        <f>IFERROR(__xludf.DUMMYFUNCTION("IFERROR(sum(FILTER($D:$N,$C:$C = $C2308,$A:$A &lt; $A2308,$B:$B = 12)),0) + sum($D2308:$N2308)"),0.0)</f>
        <v>0</v>
      </c>
      <c r="Q2308" s="92">
        <f t="shared" si="1"/>
        <v>0</v>
      </c>
      <c r="R2308" s="91">
        <f t="array" ref="R2308">IFERROR(INDEX('Fund YTD Target Values'!$1:$1000, MATCH($C2308,'Fund YTD Target Values'!$A:$A,0), MATCH($A2308,'Fund YTD Target Values'!$1:$1,0)),0)</f>
        <v>0</v>
      </c>
      <c r="S2308" s="91">
        <f>IFERROR(__xludf.DUMMYFUNCTION("IFERROR(sum(FILTER('Fund Investment Data'!$V:$V, 'Fund Investment Data'!$C:$C = $C2308, 'Fund Investment Data'!$A:$A &lt; $A2308)),0) + IFERROR(sum(FILTER('Fund Investment Data'!$V:$V, 'Fund Investment Data'!$C:$C = $C2308, 'Fund Investment Data'!$A:$A = $A2"&amp;"308, 'Fund Investment Data'!$B:$B &lt;= $B2308)),0)"),0.0)</f>
        <v>0</v>
      </c>
      <c r="T2308" s="32"/>
      <c r="U2308" s="32"/>
      <c r="V2308" s="32">
        <f>IFERROR(__xludf.DUMMYFUNCTION("$D2308 - IFERROR(FILTER($D:$D,$C:$C = $C2308, $A:$A = $A2308, $B:$B = $B2308 - 1),0)"),0.0)</f>
        <v>0</v>
      </c>
      <c r="W2308" s="93">
        <f>IFERROR(__xludf.DUMMYFUNCTION("$E2308 - IFERROR(FILTER($E:$E,$C:$C = $C2308, $A:$A = $A2308, $B:$B = $B2308 - 1),0)"),0.0)</f>
        <v>0</v>
      </c>
      <c r="X2308" s="91">
        <f>IFERROR(__xludf.DUMMYFUNCTION("iFERROR((FILTER('Fund Investment Data'!$Z:$Z, 'Fund Investment Data'!$C:$C = $C2308, 'Fund Investment Data'!$A:$A = $A2308 - 1, 'Fund Investment Data'!$B:$B = 12) + FILTER('Fund Investment Data'!$AB:$AB, 'Fund Investment Data'!$C:$C = $C2308, 'Fund Invest"&amp;"ment Data'!$A:$A = $A2308 - 1, 'Fund Investment Data'!$B:$B = 12)) * (1 + AVERAGE(FILTER('Inflation Data'!$C:$C,'Inflation Data'!$A:$A = ($A2308 - 2)))) * Parameters!$A$4,0)"),0.0)</f>
        <v>0</v>
      </c>
      <c r="Y2308" s="91">
        <f>IFERROR(__xludf.DUMMYFUNCTION("IFERROR((IFERROR(FILTER('Fund Investment Data'!$P:$P,'Fund Investment Data'!$C:$C = $C2308,'Fund Investment Data'!$A:$A = ($A2308 - 2), 'Fund Investment Data'!$B:$B = 12),0) - SUM(FILTER('Fund Investment Data'!$V:$V, 'Fund Investment Data'!$C:$C = $C2308,"&amp;" 'Fund Investment Data'!$A:$A = ($A2308 - 2), 'Fund Investment Data'!$B:$B &gt; 3)))  * Parameters!$B$4 * (1 - Parameters!$A$4),0)"),0.0)</f>
        <v>0</v>
      </c>
      <c r="Z2308" s="91">
        <f t="shared" si="24"/>
        <v>0</v>
      </c>
      <c r="AA2308" s="91">
        <f>IFERROR(__xludf.DUMMYFUNCTION("((IFERROR((SUM(FILTER('Fund Investment Data'!$V:$V, 'Fund Investment Data'!$C:$C = $C2308, 'Fund Investment Data'!$A:$A = $A2308 - 1, 'Fund Investment Data'!$B:$B &gt;= 4, 'Fund Investment Data'!$B:$B &lt;= ($B2308 + 5))) / 12) * ($B2308 - 3) * Parameters!$B$4,"&amp;" 0) + IF($B2308 &gt;= 9, IFERROR(SUM(FILTER('Fund Investment Data'!$V:$V, 'Fund Investment Data'!$C:$C = $C2308, 'Fund Investment Data'!$A:$A = $A2308, 'Fund Investment Data'!$B:$B &lt;= 3)) * Parameters!$B$4, 0),0)))"),0.0)</f>
        <v>0</v>
      </c>
      <c r="AB2308" s="32">
        <f>IFERROR(__xludf.DUMMYFUNCTION("IFERROR(((IFERROR(SUM(FILTER('Fund Investment Data'!$V:$V, 'Fund Investment Data'!$C:$C = $C2308, 'Fund Investment Data'!$A:$A = $A2308 - 2, 'Fund Investment Data'!$B:$B &gt;= 4)) * Parameters!$B$4,0) + IFERROR(SUM(FILTER('Fund Investment Data'!$V:$V, 'Fund "&amp;"Investment Data'!$C:$C = $C2308, 'Fund Investment Data'!$A:$A = $A2308 - 1, 'Fund Investment Data'!$B:$B &lt;= 3)) * Parameters!$B$4,0))),0)"),0.0)</f>
        <v>0</v>
      </c>
      <c r="AC2308" s="32">
        <f>IFERROR(__xludf.DUMMYFUNCTION("IFERROR(FILTER($AF:$AF,$C:$C = $C2308,$A:$A = $A2308 - 1,$B:$B = 12),0)"),0.0)</f>
        <v>0</v>
      </c>
      <c r="AD2308" s="32">
        <f t="shared" si="23"/>
        <v>0</v>
      </c>
      <c r="AE2308" s="32">
        <f t="shared" si="2"/>
        <v>0</v>
      </c>
      <c r="AF2308" s="32"/>
    </row>
    <row r="2309">
      <c r="A2309" s="86"/>
      <c r="B2309" s="87"/>
      <c r="C2309" s="88"/>
      <c r="D2309" s="104"/>
      <c r="E2309" s="104"/>
      <c r="F2309" s="104"/>
      <c r="G2309" s="104"/>
      <c r="H2309" s="104"/>
      <c r="I2309" s="104"/>
      <c r="J2309" s="104"/>
      <c r="K2309" s="32"/>
      <c r="L2309" s="32"/>
      <c r="M2309" s="32"/>
      <c r="N2309" s="32"/>
      <c r="O2309" s="106"/>
      <c r="P2309" s="91">
        <f>IFERROR(__xludf.DUMMYFUNCTION("IFERROR(sum(FILTER($D:$N,$C:$C = $C2309,$A:$A &lt; $A2309,$B:$B = 12)),0) + sum($D2309:$N2309)"),0.0)</f>
        <v>0</v>
      </c>
      <c r="Q2309" s="92">
        <f t="shared" si="1"/>
        <v>0</v>
      </c>
      <c r="R2309" s="91">
        <f t="array" ref="R2309">IFERROR(INDEX('Fund YTD Target Values'!$1:$1000, MATCH($C2309,'Fund YTD Target Values'!$A:$A,0), MATCH($A2309,'Fund YTD Target Values'!$1:$1,0)),0)</f>
        <v>0</v>
      </c>
      <c r="S2309" s="91">
        <f>IFERROR(__xludf.DUMMYFUNCTION("IFERROR(sum(FILTER('Fund Investment Data'!$V:$V, 'Fund Investment Data'!$C:$C = $C2309, 'Fund Investment Data'!$A:$A &lt; $A2309)),0) + IFERROR(sum(FILTER('Fund Investment Data'!$V:$V, 'Fund Investment Data'!$C:$C = $C2309, 'Fund Investment Data'!$A:$A = $A2"&amp;"309, 'Fund Investment Data'!$B:$B &lt;= $B2309)),0)"),0.0)</f>
        <v>0</v>
      </c>
      <c r="T2309" s="32"/>
      <c r="U2309" s="32"/>
      <c r="V2309" s="32">
        <f>IFERROR(__xludf.DUMMYFUNCTION("$D2309 - IFERROR(FILTER($D:$D,$C:$C = $C2309, $A:$A = $A2309, $B:$B = $B2309 - 1),0)"),0.0)</f>
        <v>0</v>
      </c>
      <c r="W2309" s="93">
        <f>IFERROR(__xludf.DUMMYFUNCTION("$E2309 - IFERROR(FILTER($E:$E,$C:$C = $C2309, $A:$A = $A2309, $B:$B = $B2309 - 1),0)"),0.0)</f>
        <v>0</v>
      </c>
      <c r="X2309" s="91">
        <f>IFERROR(__xludf.DUMMYFUNCTION("iFERROR((FILTER('Fund Investment Data'!$Z:$Z, 'Fund Investment Data'!$C:$C = $C2309, 'Fund Investment Data'!$A:$A = $A2309 - 1, 'Fund Investment Data'!$B:$B = 12) + FILTER('Fund Investment Data'!$AB:$AB, 'Fund Investment Data'!$C:$C = $C2309, 'Fund Invest"&amp;"ment Data'!$A:$A = $A2309 - 1, 'Fund Investment Data'!$B:$B = 12)) * (1 + AVERAGE(FILTER('Inflation Data'!$C:$C,'Inflation Data'!$A:$A = ($A2309 - 2)))) * Parameters!$A$4,0)"),0.0)</f>
        <v>0</v>
      </c>
      <c r="Y2309" s="91">
        <f>IFERROR(__xludf.DUMMYFUNCTION("IFERROR((IFERROR(FILTER('Fund Investment Data'!$P:$P,'Fund Investment Data'!$C:$C = $C2309,'Fund Investment Data'!$A:$A = ($A2309 - 2), 'Fund Investment Data'!$B:$B = 12),0) - SUM(FILTER('Fund Investment Data'!$V:$V, 'Fund Investment Data'!$C:$C = $C2309,"&amp;" 'Fund Investment Data'!$A:$A = ($A2309 - 2), 'Fund Investment Data'!$B:$B &gt; 3)))  * Parameters!$B$4 * (1 - Parameters!$A$4),0)"),0.0)</f>
        <v>0</v>
      </c>
      <c r="Z2309" s="91">
        <f t="shared" si="24"/>
        <v>0</v>
      </c>
      <c r="AA2309" s="91">
        <f>IFERROR(__xludf.DUMMYFUNCTION("((IFERROR((SUM(FILTER('Fund Investment Data'!$V:$V, 'Fund Investment Data'!$C:$C = $C2309, 'Fund Investment Data'!$A:$A = $A2309 - 1, 'Fund Investment Data'!$B:$B &gt;= 4, 'Fund Investment Data'!$B:$B &lt;= ($B2309 + 5))) / 12) * ($B2309 - 3) * Parameters!$B$4,"&amp;" 0) + IF($B2309 &gt;= 9, IFERROR(SUM(FILTER('Fund Investment Data'!$V:$V, 'Fund Investment Data'!$C:$C = $C2309, 'Fund Investment Data'!$A:$A = $A2309, 'Fund Investment Data'!$B:$B &lt;= 3)) * Parameters!$B$4, 0),0)))"),0.0)</f>
        <v>0</v>
      </c>
      <c r="AB2309" s="32">
        <f>IFERROR(__xludf.DUMMYFUNCTION("IFERROR(((IFERROR(SUM(FILTER('Fund Investment Data'!$V:$V, 'Fund Investment Data'!$C:$C = $C2309, 'Fund Investment Data'!$A:$A = $A2309 - 2, 'Fund Investment Data'!$B:$B &gt;= 4)) * Parameters!$B$4,0) + IFERROR(SUM(FILTER('Fund Investment Data'!$V:$V, 'Fund "&amp;"Investment Data'!$C:$C = $C2309, 'Fund Investment Data'!$A:$A = $A2309 - 1, 'Fund Investment Data'!$B:$B &lt;= 3)) * Parameters!$B$4,0))),0)"),0.0)</f>
        <v>0</v>
      </c>
      <c r="AC2309" s="32">
        <f>IFERROR(__xludf.DUMMYFUNCTION("IFERROR(FILTER($AF:$AF,$C:$C = $C2309,$A:$A = $A2309 - 1,$B:$B = 12),0)"),0.0)</f>
        <v>0</v>
      </c>
      <c r="AD2309" s="32">
        <f t="shared" si="23"/>
        <v>0</v>
      </c>
      <c r="AE2309" s="32">
        <f t="shared" si="2"/>
        <v>0</v>
      </c>
      <c r="AF2309" s="32"/>
    </row>
    <row r="2310">
      <c r="A2310" s="86"/>
      <c r="B2310" s="87"/>
      <c r="C2310" s="88"/>
      <c r="D2310" s="104"/>
      <c r="E2310" s="104"/>
      <c r="F2310" s="104"/>
      <c r="G2310" s="104"/>
      <c r="H2310" s="104"/>
      <c r="I2310" s="104"/>
      <c r="J2310" s="104"/>
      <c r="K2310" s="32"/>
      <c r="L2310" s="32"/>
      <c r="M2310" s="32"/>
      <c r="N2310" s="32"/>
      <c r="O2310" s="106"/>
      <c r="P2310" s="91">
        <f>IFERROR(__xludf.DUMMYFUNCTION("IFERROR(sum(FILTER($D:$N,$C:$C = $C2310,$A:$A &lt; $A2310,$B:$B = 12)),0) + sum($D2310:$N2310)"),0.0)</f>
        <v>0</v>
      </c>
      <c r="Q2310" s="92">
        <f t="shared" si="1"/>
        <v>0</v>
      </c>
      <c r="R2310" s="91">
        <f t="array" ref="R2310">IFERROR(INDEX('Fund YTD Target Values'!$1:$1000, MATCH($C2310,'Fund YTD Target Values'!$A:$A,0), MATCH($A2310,'Fund YTD Target Values'!$1:$1,0)),0)</f>
        <v>0</v>
      </c>
      <c r="S2310" s="91">
        <f>IFERROR(__xludf.DUMMYFUNCTION("IFERROR(sum(FILTER('Fund Investment Data'!$V:$V, 'Fund Investment Data'!$C:$C = $C2310, 'Fund Investment Data'!$A:$A &lt; $A2310)),0) + IFERROR(sum(FILTER('Fund Investment Data'!$V:$V, 'Fund Investment Data'!$C:$C = $C2310, 'Fund Investment Data'!$A:$A = $A2"&amp;"310, 'Fund Investment Data'!$B:$B &lt;= $B2310)),0)"),0.0)</f>
        <v>0</v>
      </c>
      <c r="T2310" s="32"/>
      <c r="U2310" s="32"/>
      <c r="V2310" s="32">
        <f>IFERROR(__xludf.DUMMYFUNCTION("$D2310 - IFERROR(FILTER($D:$D,$C:$C = $C2310, $A:$A = $A2310, $B:$B = $B2310 - 1),0)"),0.0)</f>
        <v>0</v>
      </c>
      <c r="W2310" s="93">
        <f>IFERROR(__xludf.DUMMYFUNCTION("$E2310 - IFERROR(FILTER($E:$E,$C:$C = $C2310, $A:$A = $A2310, $B:$B = $B2310 - 1),0)"),0.0)</f>
        <v>0</v>
      </c>
      <c r="X2310" s="91">
        <f>IFERROR(__xludf.DUMMYFUNCTION("iFERROR((FILTER('Fund Investment Data'!$Z:$Z, 'Fund Investment Data'!$C:$C = $C2310, 'Fund Investment Data'!$A:$A = $A2310 - 1, 'Fund Investment Data'!$B:$B = 12) + FILTER('Fund Investment Data'!$AB:$AB, 'Fund Investment Data'!$C:$C = $C2310, 'Fund Invest"&amp;"ment Data'!$A:$A = $A2310 - 1, 'Fund Investment Data'!$B:$B = 12)) * (1 + AVERAGE(FILTER('Inflation Data'!$C:$C,'Inflation Data'!$A:$A = ($A2310 - 2)))) * Parameters!$A$4,0)"),0.0)</f>
        <v>0</v>
      </c>
      <c r="Y2310" s="91">
        <f>IFERROR(__xludf.DUMMYFUNCTION("IFERROR((IFERROR(FILTER('Fund Investment Data'!$P:$P,'Fund Investment Data'!$C:$C = $C2310,'Fund Investment Data'!$A:$A = ($A2310 - 2), 'Fund Investment Data'!$B:$B = 12),0) - SUM(FILTER('Fund Investment Data'!$V:$V, 'Fund Investment Data'!$C:$C = $C2310,"&amp;" 'Fund Investment Data'!$A:$A = ($A2310 - 2), 'Fund Investment Data'!$B:$B &gt; 3)))  * Parameters!$B$4 * (1 - Parameters!$A$4),0)"),0.0)</f>
        <v>0</v>
      </c>
      <c r="Z2310" s="91">
        <f t="shared" si="24"/>
        <v>0</v>
      </c>
      <c r="AA2310" s="91">
        <f>IFERROR(__xludf.DUMMYFUNCTION("((IFERROR((SUM(FILTER('Fund Investment Data'!$V:$V, 'Fund Investment Data'!$C:$C = $C2310, 'Fund Investment Data'!$A:$A = $A2310 - 1, 'Fund Investment Data'!$B:$B &gt;= 4, 'Fund Investment Data'!$B:$B &lt;= ($B2310 + 5))) / 12) * ($B2310 - 3) * Parameters!$B$4,"&amp;" 0) + IF($B2310 &gt;= 9, IFERROR(SUM(FILTER('Fund Investment Data'!$V:$V, 'Fund Investment Data'!$C:$C = $C2310, 'Fund Investment Data'!$A:$A = $A2310, 'Fund Investment Data'!$B:$B &lt;= 3)) * Parameters!$B$4, 0),0)))"),0.0)</f>
        <v>0</v>
      </c>
      <c r="AB2310" s="32">
        <f>IFERROR(__xludf.DUMMYFUNCTION("IFERROR(((IFERROR(SUM(FILTER('Fund Investment Data'!$V:$V, 'Fund Investment Data'!$C:$C = $C2310, 'Fund Investment Data'!$A:$A = $A2310 - 2, 'Fund Investment Data'!$B:$B &gt;= 4)) * Parameters!$B$4,0) + IFERROR(SUM(FILTER('Fund Investment Data'!$V:$V, 'Fund "&amp;"Investment Data'!$C:$C = $C2310, 'Fund Investment Data'!$A:$A = $A2310 - 1, 'Fund Investment Data'!$B:$B &lt;= 3)) * Parameters!$B$4,0))),0)"),0.0)</f>
        <v>0</v>
      </c>
      <c r="AC2310" s="32">
        <f>IFERROR(__xludf.DUMMYFUNCTION("IFERROR(FILTER($AF:$AF,$C:$C = $C2310,$A:$A = $A2310 - 1,$B:$B = 12),0)"),0.0)</f>
        <v>0</v>
      </c>
      <c r="AD2310" s="32">
        <f t="shared" si="23"/>
        <v>0</v>
      </c>
      <c r="AE2310" s="32">
        <f t="shared" si="2"/>
        <v>0</v>
      </c>
      <c r="AF2310" s="32"/>
    </row>
    <row r="2311">
      <c r="A2311" s="86"/>
      <c r="B2311" s="87"/>
      <c r="C2311" s="88"/>
      <c r="D2311" s="104"/>
      <c r="E2311" s="104"/>
      <c r="F2311" s="104"/>
      <c r="G2311" s="104"/>
      <c r="H2311" s="104"/>
      <c r="I2311" s="104"/>
      <c r="J2311" s="104"/>
      <c r="K2311" s="32"/>
      <c r="L2311" s="32"/>
      <c r="M2311" s="32"/>
      <c r="N2311" s="32"/>
      <c r="O2311" s="106"/>
      <c r="P2311" s="91">
        <f>IFERROR(__xludf.DUMMYFUNCTION("IFERROR(sum(FILTER($D:$N,$C:$C = $C2311,$A:$A &lt; $A2311,$B:$B = 12)),0) + sum($D2311:$N2311)"),0.0)</f>
        <v>0</v>
      </c>
      <c r="Q2311" s="92">
        <f t="shared" si="1"/>
        <v>0</v>
      </c>
      <c r="R2311" s="91">
        <f t="array" ref="R2311">IFERROR(INDEX('Fund YTD Target Values'!$1:$1000, MATCH($C2311,'Fund YTD Target Values'!$A:$A,0), MATCH($A2311,'Fund YTD Target Values'!$1:$1,0)),0)</f>
        <v>0</v>
      </c>
      <c r="S2311" s="91">
        <f>IFERROR(__xludf.DUMMYFUNCTION("IFERROR(sum(FILTER('Fund Investment Data'!$V:$V, 'Fund Investment Data'!$C:$C = $C2311, 'Fund Investment Data'!$A:$A &lt; $A2311)),0) + IFERROR(sum(FILTER('Fund Investment Data'!$V:$V, 'Fund Investment Data'!$C:$C = $C2311, 'Fund Investment Data'!$A:$A = $A2"&amp;"311, 'Fund Investment Data'!$B:$B &lt;= $B2311)),0)"),0.0)</f>
        <v>0</v>
      </c>
      <c r="T2311" s="32"/>
      <c r="U2311" s="32"/>
      <c r="V2311" s="32">
        <f>IFERROR(__xludf.DUMMYFUNCTION("$D2311 - IFERROR(FILTER($D:$D,$C:$C = $C2311, $A:$A = $A2311, $B:$B = $B2311 - 1),0)"),0.0)</f>
        <v>0</v>
      </c>
      <c r="W2311" s="93">
        <f>IFERROR(__xludf.DUMMYFUNCTION("$E2311 - IFERROR(FILTER($E:$E,$C:$C = $C2311, $A:$A = $A2311, $B:$B = $B2311 - 1),0)"),0.0)</f>
        <v>0</v>
      </c>
      <c r="X2311" s="91">
        <f>IFERROR(__xludf.DUMMYFUNCTION("iFERROR((FILTER('Fund Investment Data'!$Z:$Z, 'Fund Investment Data'!$C:$C = $C2311, 'Fund Investment Data'!$A:$A = $A2311 - 1, 'Fund Investment Data'!$B:$B = 12) + FILTER('Fund Investment Data'!$AB:$AB, 'Fund Investment Data'!$C:$C = $C2311, 'Fund Invest"&amp;"ment Data'!$A:$A = $A2311 - 1, 'Fund Investment Data'!$B:$B = 12)) * (1 + AVERAGE(FILTER('Inflation Data'!$C:$C,'Inflation Data'!$A:$A = ($A2311 - 2)))) * Parameters!$A$4,0)"),0.0)</f>
        <v>0</v>
      </c>
      <c r="Y2311" s="91">
        <f>IFERROR(__xludf.DUMMYFUNCTION("IFERROR((IFERROR(FILTER('Fund Investment Data'!$P:$P,'Fund Investment Data'!$C:$C = $C2311,'Fund Investment Data'!$A:$A = ($A2311 - 2), 'Fund Investment Data'!$B:$B = 12),0) - SUM(FILTER('Fund Investment Data'!$V:$V, 'Fund Investment Data'!$C:$C = $C2311,"&amp;" 'Fund Investment Data'!$A:$A = ($A2311 - 2), 'Fund Investment Data'!$B:$B &gt; 3)))  * Parameters!$B$4 * (1 - Parameters!$A$4),0)"),0.0)</f>
        <v>0</v>
      </c>
      <c r="Z2311" s="91">
        <f t="shared" si="24"/>
        <v>0</v>
      </c>
      <c r="AA2311" s="91">
        <f>IFERROR(__xludf.DUMMYFUNCTION("((IFERROR((SUM(FILTER('Fund Investment Data'!$V:$V, 'Fund Investment Data'!$C:$C = $C2311, 'Fund Investment Data'!$A:$A = $A2311 - 1, 'Fund Investment Data'!$B:$B &gt;= 4, 'Fund Investment Data'!$B:$B &lt;= ($B2311 + 5))) / 12) * ($B2311 - 3) * Parameters!$B$4,"&amp;" 0) + IF($B2311 &gt;= 9, IFERROR(SUM(FILTER('Fund Investment Data'!$V:$V, 'Fund Investment Data'!$C:$C = $C2311, 'Fund Investment Data'!$A:$A = $A2311, 'Fund Investment Data'!$B:$B &lt;= 3)) * Parameters!$B$4, 0),0)))"),0.0)</f>
        <v>0</v>
      </c>
      <c r="AB2311" s="32">
        <f>IFERROR(__xludf.DUMMYFUNCTION("IFERROR(((IFERROR(SUM(FILTER('Fund Investment Data'!$V:$V, 'Fund Investment Data'!$C:$C = $C2311, 'Fund Investment Data'!$A:$A = $A2311 - 2, 'Fund Investment Data'!$B:$B &gt;= 4)) * Parameters!$B$4,0) + IFERROR(SUM(FILTER('Fund Investment Data'!$V:$V, 'Fund "&amp;"Investment Data'!$C:$C = $C2311, 'Fund Investment Data'!$A:$A = $A2311 - 1, 'Fund Investment Data'!$B:$B &lt;= 3)) * Parameters!$B$4,0))),0)"),0.0)</f>
        <v>0</v>
      </c>
      <c r="AC2311" s="32">
        <f>IFERROR(__xludf.DUMMYFUNCTION("IFERROR(FILTER($AF:$AF,$C:$C = $C2311,$A:$A = $A2311 - 1,$B:$B = 12),0)"),0.0)</f>
        <v>0</v>
      </c>
      <c r="AD2311" s="32">
        <f t="shared" si="23"/>
        <v>0</v>
      </c>
      <c r="AE2311" s="32">
        <f t="shared" si="2"/>
        <v>0</v>
      </c>
      <c r="AF2311" s="32"/>
    </row>
    <row r="2312">
      <c r="A2312" s="86"/>
      <c r="B2312" s="87"/>
      <c r="C2312" s="88"/>
      <c r="D2312" s="104"/>
      <c r="E2312" s="104"/>
      <c r="F2312" s="104"/>
      <c r="G2312" s="104"/>
      <c r="H2312" s="104"/>
      <c r="I2312" s="104"/>
      <c r="J2312" s="104"/>
      <c r="K2312" s="32"/>
      <c r="L2312" s="32"/>
      <c r="M2312" s="32"/>
      <c r="N2312" s="32"/>
      <c r="O2312" s="106"/>
      <c r="P2312" s="91">
        <f>IFERROR(__xludf.DUMMYFUNCTION("IFERROR(sum(FILTER($D:$N,$C:$C = $C2312,$A:$A &lt; $A2312,$B:$B = 12)),0) + sum($D2312:$N2312)"),0.0)</f>
        <v>0</v>
      </c>
      <c r="Q2312" s="92">
        <f t="shared" si="1"/>
        <v>0</v>
      </c>
      <c r="R2312" s="91">
        <f t="array" ref="R2312">IFERROR(INDEX('Fund YTD Target Values'!$1:$1000, MATCH($C2312,'Fund YTD Target Values'!$A:$A,0), MATCH($A2312,'Fund YTD Target Values'!$1:$1,0)),0)</f>
        <v>0</v>
      </c>
      <c r="S2312" s="91">
        <f>IFERROR(__xludf.DUMMYFUNCTION("IFERROR(sum(FILTER('Fund Investment Data'!$V:$V, 'Fund Investment Data'!$C:$C = $C2312, 'Fund Investment Data'!$A:$A &lt; $A2312)),0) + IFERROR(sum(FILTER('Fund Investment Data'!$V:$V, 'Fund Investment Data'!$C:$C = $C2312, 'Fund Investment Data'!$A:$A = $A2"&amp;"312, 'Fund Investment Data'!$B:$B &lt;= $B2312)),0)"),0.0)</f>
        <v>0</v>
      </c>
      <c r="T2312" s="32"/>
      <c r="U2312" s="32"/>
      <c r="V2312" s="32">
        <f>IFERROR(__xludf.DUMMYFUNCTION("$D2312 - IFERROR(FILTER($D:$D,$C:$C = $C2312, $A:$A = $A2312, $B:$B = $B2312 - 1),0)"),0.0)</f>
        <v>0</v>
      </c>
      <c r="W2312" s="93">
        <f>IFERROR(__xludf.DUMMYFUNCTION("$E2312 - IFERROR(FILTER($E:$E,$C:$C = $C2312, $A:$A = $A2312, $B:$B = $B2312 - 1),0)"),0.0)</f>
        <v>0</v>
      </c>
      <c r="X2312" s="91">
        <f>IFERROR(__xludf.DUMMYFUNCTION("iFERROR((FILTER('Fund Investment Data'!$Z:$Z, 'Fund Investment Data'!$C:$C = $C2312, 'Fund Investment Data'!$A:$A = $A2312 - 1, 'Fund Investment Data'!$B:$B = 12) + FILTER('Fund Investment Data'!$AB:$AB, 'Fund Investment Data'!$C:$C = $C2312, 'Fund Invest"&amp;"ment Data'!$A:$A = $A2312 - 1, 'Fund Investment Data'!$B:$B = 12)) * (1 + AVERAGE(FILTER('Inflation Data'!$C:$C,'Inflation Data'!$A:$A = ($A2312 - 2)))) * Parameters!$A$4,0)"),0.0)</f>
        <v>0</v>
      </c>
      <c r="Y2312" s="91">
        <f>IFERROR(__xludf.DUMMYFUNCTION("IFERROR((IFERROR(FILTER('Fund Investment Data'!$P:$P,'Fund Investment Data'!$C:$C = $C2312,'Fund Investment Data'!$A:$A = ($A2312 - 2), 'Fund Investment Data'!$B:$B = 12),0) - SUM(FILTER('Fund Investment Data'!$V:$V, 'Fund Investment Data'!$C:$C = $C2312,"&amp;" 'Fund Investment Data'!$A:$A = ($A2312 - 2), 'Fund Investment Data'!$B:$B &gt; 3)))  * Parameters!$B$4 * (1 - Parameters!$A$4),0)"),0.0)</f>
        <v>0</v>
      </c>
      <c r="Z2312" s="91">
        <f t="shared" si="24"/>
        <v>0</v>
      </c>
      <c r="AA2312" s="91">
        <f>IFERROR(__xludf.DUMMYFUNCTION("((IFERROR((SUM(FILTER('Fund Investment Data'!$V:$V, 'Fund Investment Data'!$C:$C = $C2312, 'Fund Investment Data'!$A:$A = $A2312 - 1, 'Fund Investment Data'!$B:$B &gt;= 4, 'Fund Investment Data'!$B:$B &lt;= ($B2312 + 5))) / 12) * ($B2312 - 3) * Parameters!$B$4,"&amp;" 0) + IF($B2312 &gt;= 9, IFERROR(SUM(FILTER('Fund Investment Data'!$V:$V, 'Fund Investment Data'!$C:$C = $C2312, 'Fund Investment Data'!$A:$A = $A2312, 'Fund Investment Data'!$B:$B &lt;= 3)) * Parameters!$B$4, 0),0)))"),0.0)</f>
        <v>0</v>
      </c>
      <c r="AB2312" s="32">
        <f>IFERROR(__xludf.DUMMYFUNCTION("IFERROR(((IFERROR(SUM(FILTER('Fund Investment Data'!$V:$V, 'Fund Investment Data'!$C:$C = $C2312, 'Fund Investment Data'!$A:$A = $A2312 - 2, 'Fund Investment Data'!$B:$B &gt;= 4)) * Parameters!$B$4,0) + IFERROR(SUM(FILTER('Fund Investment Data'!$V:$V, 'Fund "&amp;"Investment Data'!$C:$C = $C2312, 'Fund Investment Data'!$A:$A = $A2312 - 1, 'Fund Investment Data'!$B:$B &lt;= 3)) * Parameters!$B$4,0))),0)"),0.0)</f>
        <v>0</v>
      </c>
      <c r="AC2312" s="32">
        <f>IFERROR(__xludf.DUMMYFUNCTION("IFERROR(FILTER($AF:$AF,$C:$C = $C2312,$A:$A = $A2312 - 1,$B:$B = 12),0)"),0.0)</f>
        <v>0</v>
      </c>
      <c r="AD2312" s="32">
        <f t="shared" si="23"/>
        <v>0</v>
      </c>
      <c r="AE2312" s="32">
        <f t="shared" si="2"/>
        <v>0</v>
      </c>
      <c r="AF2312" s="32"/>
    </row>
    <row r="2313">
      <c r="A2313" s="86"/>
      <c r="B2313" s="87"/>
      <c r="C2313" s="88"/>
      <c r="D2313" s="104"/>
      <c r="E2313" s="104"/>
      <c r="F2313" s="104"/>
      <c r="G2313" s="104"/>
      <c r="H2313" s="104"/>
      <c r="I2313" s="104"/>
      <c r="J2313" s="104"/>
      <c r="K2313" s="32"/>
      <c r="L2313" s="32"/>
      <c r="M2313" s="32"/>
      <c r="N2313" s="32"/>
      <c r="O2313" s="106"/>
      <c r="P2313" s="91">
        <f>IFERROR(__xludf.DUMMYFUNCTION("IFERROR(sum(FILTER($D:$N,$C:$C = $C2313,$A:$A &lt; $A2313,$B:$B = 12)),0) + sum($D2313:$N2313)"),0.0)</f>
        <v>0</v>
      </c>
      <c r="Q2313" s="92">
        <f t="shared" si="1"/>
        <v>0</v>
      </c>
      <c r="R2313" s="91">
        <f t="array" ref="R2313">IFERROR(INDEX('Fund YTD Target Values'!$1:$1000, MATCH($C2313,'Fund YTD Target Values'!$A:$A,0), MATCH($A2313,'Fund YTD Target Values'!$1:$1,0)),0)</f>
        <v>0</v>
      </c>
      <c r="S2313" s="91">
        <f>IFERROR(__xludf.DUMMYFUNCTION("IFERROR(sum(FILTER('Fund Investment Data'!$V:$V, 'Fund Investment Data'!$C:$C = $C2313, 'Fund Investment Data'!$A:$A &lt; $A2313)),0) + IFERROR(sum(FILTER('Fund Investment Data'!$V:$V, 'Fund Investment Data'!$C:$C = $C2313, 'Fund Investment Data'!$A:$A = $A2"&amp;"313, 'Fund Investment Data'!$B:$B &lt;= $B2313)),0)"),0.0)</f>
        <v>0</v>
      </c>
      <c r="T2313" s="32"/>
      <c r="U2313" s="32"/>
      <c r="V2313" s="32">
        <f>IFERROR(__xludf.DUMMYFUNCTION("$D2313 - IFERROR(FILTER($D:$D,$C:$C = $C2313, $A:$A = $A2313, $B:$B = $B2313 - 1),0)"),0.0)</f>
        <v>0</v>
      </c>
      <c r="W2313" s="93">
        <f>IFERROR(__xludf.DUMMYFUNCTION("$E2313 - IFERROR(FILTER($E:$E,$C:$C = $C2313, $A:$A = $A2313, $B:$B = $B2313 - 1),0)"),0.0)</f>
        <v>0</v>
      </c>
      <c r="X2313" s="91">
        <f>IFERROR(__xludf.DUMMYFUNCTION("iFERROR((FILTER('Fund Investment Data'!$Z:$Z, 'Fund Investment Data'!$C:$C = $C2313, 'Fund Investment Data'!$A:$A = $A2313 - 1, 'Fund Investment Data'!$B:$B = 12) + FILTER('Fund Investment Data'!$AB:$AB, 'Fund Investment Data'!$C:$C = $C2313, 'Fund Invest"&amp;"ment Data'!$A:$A = $A2313 - 1, 'Fund Investment Data'!$B:$B = 12)) * (1 + AVERAGE(FILTER('Inflation Data'!$C:$C,'Inflation Data'!$A:$A = ($A2313 - 2)))) * Parameters!$A$4,0)"),0.0)</f>
        <v>0</v>
      </c>
      <c r="Y2313" s="91">
        <f>IFERROR(__xludf.DUMMYFUNCTION("IFERROR((IFERROR(FILTER('Fund Investment Data'!$P:$P,'Fund Investment Data'!$C:$C = $C2313,'Fund Investment Data'!$A:$A = ($A2313 - 2), 'Fund Investment Data'!$B:$B = 12),0) - SUM(FILTER('Fund Investment Data'!$V:$V, 'Fund Investment Data'!$C:$C = $C2313,"&amp;" 'Fund Investment Data'!$A:$A = ($A2313 - 2), 'Fund Investment Data'!$B:$B &gt; 3)))  * Parameters!$B$4 * (1 - Parameters!$A$4),0)"),0.0)</f>
        <v>0</v>
      </c>
      <c r="Z2313" s="91">
        <f t="shared" si="24"/>
        <v>0</v>
      </c>
      <c r="AA2313" s="91">
        <f>IFERROR(__xludf.DUMMYFUNCTION("((IFERROR((SUM(FILTER('Fund Investment Data'!$V:$V, 'Fund Investment Data'!$C:$C = $C2313, 'Fund Investment Data'!$A:$A = $A2313 - 1, 'Fund Investment Data'!$B:$B &gt;= 4, 'Fund Investment Data'!$B:$B &lt;= ($B2313 + 5))) / 12) * ($B2313 - 3) * Parameters!$B$4,"&amp;" 0) + IF($B2313 &gt;= 9, IFERROR(SUM(FILTER('Fund Investment Data'!$V:$V, 'Fund Investment Data'!$C:$C = $C2313, 'Fund Investment Data'!$A:$A = $A2313, 'Fund Investment Data'!$B:$B &lt;= 3)) * Parameters!$B$4, 0),0)))"),0.0)</f>
        <v>0</v>
      </c>
      <c r="AB2313" s="32">
        <f>IFERROR(__xludf.DUMMYFUNCTION("IFERROR(((IFERROR(SUM(FILTER('Fund Investment Data'!$V:$V, 'Fund Investment Data'!$C:$C = $C2313, 'Fund Investment Data'!$A:$A = $A2313 - 2, 'Fund Investment Data'!$B:$B &gt;= 4)) * Parameters!$B$4,0) + IFERROR(SUM(FILTER('Fund Investment Data'!$V:$V, 'Fund "&amp;"Investment Data'!$C:$C = $C2313, 'Fund Investment Data'!$A:$A = $A2313 - 1, 'Fund Investment Data'!$B:$B &lt;= 3)) * Parameters!$B$4,0))),0)"),0.0)</f>
        <v>0</v>
      </c>
      <c r="AC2313" s="32">
        <f>IFERROR(__xludf.DUMMYFUNCTION("IFERROR(FILTER($AF:$AF,$C:$C = $C2313,$A:$A = $A2313 - 1,$B:$B = 12),0)"),0.0)</f>
        <v>0</v>
      </c>
      <c r="AD2313" s="32">
        <f t="shared" si="23"/>
        <v>0</v>
      </c>
      <c r="AE2313" s="32">
        <f t="shared" si="2"/>
        <v>0</v>
      </c>
      <c r="AF2313" s="32"/>
    </row>
    <row r="2314">
      <c r="A2314" s="86"/>
      <c r="B2314" s="87"/>
      <c r="C2314" s="88"/>
      <c r="D2314" s="104"/>
      <c r="E2314" s="104"/>
      <c r="F2314" s="104"/>
      <c r="G2314" s="104"/>
      <c r="H2314" s="104"/>
      <c r="I2314" s="104"/>
      <c r="J2314" s="104"/>
      <c r="K2314" s="32"/>
      <c r="L2314" s="32"/>
      <c r="M2314" s="32"/>
      <c r="N2314" s="32"/>
      <c r="O2314" s="106"/>
      <c r="P2314" s="91">
        <f>IFERROR(__xludf.DUMMYFUNCTION("IFERROR(sum(FILTER($D:$N,$C:$C = $C2314,$A:$A &lt; $A2314,$B:$B = 12)),0) + sum($D2314:$N2314)"),0.0)</f>
        <v>0</v>
      </c>
      <c r="Q2314" s="92">
        <f t="shared" si="1"/>
        <v>0</v>
      </c>
      <c r="R2314" s="91">
        <f t="array" ref="R2314">IFERROR(INDEX('Fund YTD Target Values'!$1:$1000, MATCH($C2314,'Fund YTD Target Values'!$A:$A,0), MATCH($A2314,'Fund YTD Target Values'!$1:$1,0)),0)</f>
        <v>0</v>
      </c>
      <c r="S2314" s="91">
        <f>IFERROR(__xludf.DUMMYFUNCTION("IFERROR(sum(FILTER('Fund Investment Data'!$V:$V, 'Fund Investment Data'!$C:$C = $C2314, 'Fund Investment Data'!$A:$A &lt; $A2314)),0) + IFERROR(sum(FILTER('Fund Investment Data'!$V:$V, 'Fund Investment Data'!$C:$C = $C2314, 'Fund Investment Data'!$A:$A = $A2"&amp;"314, 'Fund Investment Data'!$B:$B &lt;= $B2314)),0)"),0.0)</f>
        <v>0</v>
      </c>
      <c r="T2314" s="32"/>
      <c r="U2314" s="32"/>
      <c r="V2314" s="32">
        <f>IFERROR(__xludf.DUMMYFUNCTION("$D2314 - IFERROR(FILTER($D:$D,$C:$C = $C2314, $A:$A = $A2314, $B:$B = $B2314 - 1),0)"),0.0)</f>
        <v>0</v>
      </c>
      <c r="W2314" s="93">
        <f>IFERROR(__xludf.DUMMYFUNCTION("$E2314 - IFERROR(FILTER($E:$E,$C:$C = $C2314, $A:$A = $A2314, $B:$B = $B2314 - 1),0)"),0.0)</f>
        <v>0</v>
      </c>
      <c r="X2314" s="91">
        <f>IFERROR(__xludf.DUMMYFUNCTION("iFERROR((FILTER('Fund Investment Data'!$Z:$Z, 'Fund Investment Data'!$C:$C = $C2314, 'Fund Investment Data'!$A:$A = $A2314 - 1, 'Fund Investment Data'!$B:$B = 12) + FILTER('Fund Investment Data'!$AB:$AB, 'Fund Investment Data'!$C:$C = $C2314, 'Fund Invest"&amp;"ment Data'!$A:$A = $A2314 - 1, 'Fund Investment Data'!$B:$B = 12)) * (1 + AVERAGE(FILTER('Inflation Data'!$C:$C,'Inflation Data'!$A:$A = ($A2314 - 2)))) * Parameters!$A$4,0)"),0.0)</f>
        <v>0</v>
      </c>
      <c r="Y2314" s="91">
        <f>IFERROR(__xludf.DUMMYFUNCTION("IFERROR((IFERROR(FILTER('Fund Investment Data'!$P:$P,'Fund Investment Data'!$C:$C = $C2314,'Fund Investment Data'!$A:$A = ($A2314 - 2), 'Fund Investment Data'!$B:$B = 12),0) - SUM(FILTER('Fund Investment Data'!$V:$V, 'Fund Investment Data'!$C:$C = $C2314,"&amp;" 'Fund Investment Data'!$A:$A = ($A2314 - 2), 'Fund Investment Data'!$B:$B &gt; 3)))  * Parameters!$B$4 * (1 - Parameters!$A$4),0)"),0.0)</f>
        <v>0</v>
      </c>
      <c r="Z2314" s="91">
        <f t="shared" si="24"/>
        <v>0</v>
      </c>
      <c r="AA2314" s="91">
        <f>IFERROR(__xludf.DUMMYFUNCTION("((IFERROR((SUM(FILTER('Fund Investment Data'!$V:$V, 'Fund Investment Data'!$C:$C = $C2314, 'Fund Investment Data'!$A:$A = $A2314 - 1, 'Fund Investment Data'!$B:$B &gt;= 4, 'Fund Investment Data'!$B:$B &lt;= ($B2314 + 5))) / 12) * ($B2314 - 3) * Parameters!$B$4,"&amp;" 0) + IF($B2314 &gt;= 9, IFERROR(SUM(FILTER('Fund Investment Data'!$V:$V, 'Fund Investment Data'!$C:$C = $C2314, 'Fund Investment Data'!$A:$A = $A2314, 'Fund Investment Data'!$B:$B &lt;= 3)) * Parameters!$B$4, 0),0)))"),0.0)</f>
        <v>0</v>
      </c>
      <c r="AB2314" s="32">
        <f>IFERROR(__xludf.DUMMYFUNCTION("IFERROR(((IFERROR(SUM(FILTER('Fund Investment Data'!$V:$V, 'Fund Investment Data'!$C:$C = $C2314, 'Fund Investment Data'!$A:$A = $A2314 - 2, 'Fund Investment Data'!$B:$B &gt;= 4)) * Parameters!$B$4,0) + IFERROR(SUM(FILTER('Fund Investment Data'!$V:$V, 'Fund "&amp;"Investment Data'!$C:$C = $C2314, 'Fund Investment Data'!$A:$A = $A2314 - 1, 'Fund Investment Data'!$B:$B &lt;= 3)) * Parameters!$B$4,0))),0)"),0.0)</f>
        <v>0</v>
      </c>
      <c r="AC2314" s="32">
        <f>IFERROR(__xludf.DUMMYFUNCTION("IFERROR(FILTER($AF:$AF,$C:$C = $C2314,$A:$A = $A2314 - 1,$B:$B = 12),0)"),0.0)</f>
        <v>0</v>
      </c>
      <c r="AD2314" s="32">
        <f t="shared" si="23"/>
        <v>0</v>
      </c>
      <c r="AE2314" s="32">
        <f t="shared" si="2"/>
        <v>0</v>
      </c>
      <c r="AF2314" s="32"/>
    </row>
    <row r="2315">
      <c r="A2315" s="86"/>
      <c r="B2315" s="87"/>
      <c r="C2315" s="88"/>
      <c r="D2315" s="104"/>
      <c r="E2315" s="104"/>
      <c r="F2315" s="104"/>
      <c r="G2315" s="104"/>
      <c r="H2315" s="104"/>
      <c r="I2315" s="104"/>
      <c r="J2315" s="104"/>
      <c r="K2315" s="32"/>
      <c r="L2315" s="32"/>
      <c r="M2315" s="32"/>
      <c r="N2315" s="32"/>
      <c r="O2315" s="106"/>
      <c r="P2315" s="91">
        <f>IFERROR(__xludf.DUMMYFUNCTION("IFERROR(sum(FILTER($D:$N,$C:$C = $C2315,$A:$A &lt; $A2315,$B:$B = 12)),0) + sum($D2315:$N2315)"),0.0)</f>
        <v>0</v>
      </c>
      <c r="Q2315" s="92">
        <f t="shared" si="1"/>
        <v>0</v>
      </c>
      <c r="R2315" s="91">
        <f t="array" ref="R2315">IFERROR(INDEX('Fund YTD Target Values'!$1:$1000, MATCH($C2315,'Fund YTD Target Values'!$A:$A,0), MATCH($A2315,'Fund YTD Target Values'!$1:$1,0)),0)</f>
        <v>0</v>
      </c>
      <c r="S2315" s="91">
        <f>IFERROR(__xludf.DUMMYFUNCTION("IFERROR(sum(FILTER('Fund Investment Data'!$V:$V, 'Fund Investment Data'!$C:$C = $C2315, 'Fund Investment Data'!$A:$A &lt; $A2315)),0) + IFERROR(sum(FILTER('Fund Investment Data'!$V:$V, 'Fund Investment Data'!$C:$C = $C2315, 'Fund Investment Data'!$A:$A = $A2"&amp;"315, 'Fund Investment Data'!$B:$B &lt;= $B2315)),0)"),0.0)</f>
        <v>0</v>
      </c>
      <c r="T2315" s="32"/>
      <c r="U2315" s="32"/>
      <c r="V2315" s="32">
        <f>IFERROR(__xludf.DUMMYFUNCTION("$D2315 - IFERROR(FILTER($D:$D,$C:$C = $C2315, $A:$A = $A2315, $B:$B = $B2315 - 1),0)"),0.0)</f>
        <v>0</v>
      </c>
      <c r="W2315" s="93">
        <f>IFERROR(__xludf.DUMMYFUNCTION("$E2315 - IFERROR(FILTER($E:$E,$C:$C = $C2315, $A:$A = $A2315, $B:$B = $B2315 - 1),0)"),0.0)</f>
        <v>0</v>
      </c>
      <c r="X2315" s="91">
        <f>IFERROR(__xludf.DUMMYFUNCTION("iFERROR((FILTER('Fund Investment Data'!$Z:$Z, 'Fund Investment Data'!$C:$C = $C2315, 'Fund Investment Data'!$A:$A = $A2315 - 1, 'Fund Investment Data'!$B:$B = 12) + FILTER('Fund Investment Data'!$AB:$AB, 'Fund Investment Data'!$C:$C = $C2315, 'Fund Invest"&amp;"ment Data'!$A:$A = $A2315 - 1, 'Fund Investment Data'!$B:$B = 12)) * (1 + AVERAGE(FILTER('Inflation Data'!$C:$C,'Inflation Data'!$A:$A = ($A2315 - 2)))) * Parameters!$A$4,0)"),0.0)</f>
        <v>0</v>
      </c>
      <c r="Y2315" s="91">
        <f>IFERROR(__xludf.DUMMYFUNCTION("IFERROR((IFERROR(FILTER('Fund Investment Data'!$P:$P,'Fund Investment Data'!$C:$C = $C2315,'Fund Investment Data'!$A:$A = ($A2315 - 2), 'Fund Investment Data'!$B:$B = 12),0) - SUM(FILTER('Fund Investment Data'!$V:$V, 'Fund Investment Data'!$C:$C = $C2315,"&amp;" 'Fund Investment Data'!$A:$A = ($A2315 - 2), 'Fund Investment Data'!$B:$B &gt; 3)))  * Parameters!$B$4 * (1 - Parameters!$A$4),0)"),0.0)</f>
        <v>0</v>
      </c>
      <c r="Z2315" s="91">
        <f t="shared" si="24"/>
        <v>0</v>
      </c>
      <c r="AA2315" s="91">
        <f>IFERROR(__xludf.DUMMYFUNCTION("((IFERROR((SUM(FILTER('Fund Investment Data'!$V:$V, 'Fund Investment Data'!$C:$C = $C2315, 'Fund Investment Data'!$A:$A = $A2315 - 1, 'Fund Investment Data'!$B:$B &gt;= 4, 'Fund Investment Data'!$B:$B &lt;= ($B2315 + 5))) / 12) * ($B2315 - 3) * Parameters!$B$4,"&amp;" 0) + IF($B2315 &gt;= 9, IFERROR(SUM(FILTER('Fund Investment Data'!$V:$V, 'Fund Investment Data'!$C:$C = $C2315, 'Fund Investment Data'!$A:$A = $A2315, 'Fund Investment Data'!$B:$B &lt;= 3)) * Parameters!$B$4, 0),0)))"),0.0)</f>
        <v>0</v>
      </c>
      <c r="AB2315" s="32">
        <f>IFERROR(__xludf.DUMMYFUNCTION("IFERROR(((IFERROR(SUM(FILTER('Fund Investment Data'!$V:$V, 'Fund Investment Data'!$C:$C = $C2315, 'Fund Investment Data'!$A:$A = $A2315 - 2, 'Fund Investment Data'!$B:$B &gt;= 4)) * Parameters!$B$4,0) + IFERROR(SUM(FILTER('Fund Investment Data'!$V:$V, 'Fund "&amp;"Investment Data'!$C:$C = $C2315, 'Fund Investment Data'!$A:$A = $A2315 - 1, 'Fund Investment Data'!$B:$B &lt;= 3)) * Parameters!$B$4,0))),0)"),0.0)</f>
        <v>0</v>
      </c>
      <c r="AC2315" s="32">
        <f>IFERROR(__xludf.DUMMYFUNCTION("IFERROR(FILTER($AF:$AF,$C:$C = $C2315,$A:$A = $A2315 - 1,$B:$B = 12),0)"),0.0)</f>
        <v>0</v>
      </c>
      <c r="AD2315" s="32">
        <f t="shared" si="23"/>
        <v>0</v>
      </c>
      <c r="AE2315" s="32">
        <f t="shared" si="2"/>
        <v>0</v>
      </c>
      <c r="AF2315" s="32"/>
    </row>
    <row r="2316">
      <c r="A2316" s="86"/>
      <c r="B2316" s="87"/>
      <c r="C2316" s="88"/>
      <c r="D2316" s="104"/>
      <c r="E2316" s="104"/>
      <c r="F2316" s="104"/>
      <c r="G2316" s="104"/>
      <c r="H2316" s="104"/>
      <c r="I2316" s="104"/>
      <c r="J2316" s="104"/>
      <c r="K2316" s="32"/>
      <c r="L2316" s="32"/>
      <c r="M2316" s="32"/>
      <c r="N2316" s="32"/>
      <c r="O2316" s="106"/>
      <c r="P2316" s="91">
        <f>IFERROR(__xludf.DUMMYFUNCTION("IFERROR(sum(FILTER($D:$N,$C:$C = $C2316,$A:$A &lt; $A2316,$B:$B = 12)),0) + sum($D2316:$N2316)"),0.0)</f>
        <v>0</v>
      </c>
      <c r="Q2316" s="92">
        <f t="shared" si="1"/>
        <v>0</v>
      </c>
      <c r="R2316" s="91">
        <f t="array" ref="R2316">IFERROR(INDEX('Fund YTD Target Values'!$1:$1000, MATCH($C2316,'Fund YTD Target Values'!$A:$A,0), MATCH($A2316,'Fund YTD Target Values'!$1:$1,0)),0)</f>
        <v>0</v>
      </c>
      <c r="S2316" s="91">
        <f>IFERROR(__xludf.DUMMYFUNCTION("IFERROR(sum(FILTER('Fund Investment Data'!$V:$V, 'Fund Investment Data'!$C:$C = $C2316, 'Fund Investment Data'!$A:$A &lt; $A2316)),0) + IFERROR(sum(FILTER('Fund Investment Data'!$V:$V, 'Fund Investment Data'!$C:$C = $C2316, 'Fund Investment Data'!$A:$A = $A2"&amp;"316, 'Fund Investment Data'!$B:$B &lt;= $B2316)),0)"),0.0)</f>
        <v>0</v>
      </c>
      <c r="T2316" s="32"/>
      <c r="U2316" s="32"/>
      <c r="V2316" s="32">
        <f>IFERROR(__xludf.DUMMYFUNCTION("$D2316 - IFERROR(FILTER($D:$D,$C:$C = $C2316, $A:$A = $A2316, $B:$B = $B2316 - 1),0)"),0.0)</f>
        <v>0</v>
      </c>
      <c r="W2316" s="93">
        <f>IFERROR(__xludf.DUMMYFUNCTION("$E2316 - IFERROR(FILTER($E:$E,$C:$C = $C2316, $A:$A = $A2316, $B:$B = $B2316 - 1),0)"),0.0)</f>
        <v>0</v>
      </c>
      <c r="X2316" s="91">
        <f>IFERROR(__xludf.DUMMYFUNCTION("iFERROR((FILTER('Fund Investment Data'!$Z:$Z, 'Fund Investment Data'!$C:$C = $C2316, 'Fund Investment Data'!$A:$A = $A2316 - 1, 'Fund Investment Data'!$B:$B = 12) + FILTER('Fund Investment Data'!$AB:$AB, 'Fund Investment Data'!$C:$C = $C2316, 'Fund Invest"&amp;"ment Data'!$A:$A = $A2316 - 1, 'Fund Investment Data'!$B:$B = 12)) * (1 + AVERAGE(FILTER('Inflation Data'!$C:$C,'Inflation Data'!$A:$A = ($A2316 - 2)))) * Parameters!$A$4,0)"),0.0)</f>
        <v>0</v>
      </c>
      <c r="Y2316" s="91">
        <f>IFERROR(__xludf.DUMMYFUNCTION("IFERROR((IFERROR(FILTER('Fund Investment Data'!$P:$P,'Fund Investment Data'!$C:$C = $C2316,'Fund Investment Data'!$A:$A = ($A2316 - 2), 'Fund Investment Data'!$B:$B = 12),0) - SUM(FILTER('Fund Investment Data'!$V:$V, 'Fund Investment Data'!$C:$C = $C2316,"&amp;" 'Fund Investment Data'!$A:$A = ($A2316 - 2), 'Fund Investment Data'!$B:$B &gt; 3)))  * Parameters!$B$4 * (1 - Parameters!$A$4),0)"),0.0)</f>
        <v>0</v>
      </c>
      <c r="Z2316" s="91">
        <f t="shared" si="24"/>
        <v>0</v>
      </c>
      <c r="AA2316" s="91">
        <f>IFERROR(__xludf.DUMMYFUNCTION("((IFERROR((SUM(FILTER('Fund Investment Data'!$V:$V, 'Fund Investment Data'!$C:$C = $C2316, 'Fund Investment Data'!$A:$A = $A2316 - 1, 'Fund Investment Data'!$B:$B &gt;= 4, 'Fund Investment Data'!$B:$B &lt;= ($B2316 + 5))) / 12) * ($B2316 - 3) * Parameters!$B$4,"&amp;" 0) + IF($B2316 &gt;= 9, IFERROR(SUM(FILTER('Fund Investment Data'!$V:$V, 'Fund Investment Data'!$C:$C = $C2316, 'Fund Investment Data'!$A:$A = $A2316, 'Fund Investment Data'!$B:$B &lt;= 3)) * Parameters!$B$4, 0),0)))"),0.0)</f>
        <v>0</v>
      </c>
      <c r="AB2316" s="32">
        <f>IFERROR(__xludf.DUMMYFUNCTION("IFERROR(((IFERROR(SUM(FILTER('Fund Investment Data'!$V:$V, 'Fund Investment Data'!$C:$C = $C2316, 'Fund Investment Data'!$A:$A = $A2316 - 2, 'Fund Investment Data'!$B:$B &gt;= 4)) * Parameters!$B$4,0) + IFERROR(SUM(FILTER('Fund Investment Data'!$V:$V, 'Fund "&amp;"Investment Data'!$C:$C = $C2316, 'Fund Investment Data'!$A:$A = $A2316 - 1, 'Fund Investment Data'!$B:$B &lt;= 3)) * Parameters!$B$4,0))),0)"),0.0)</f>
        <v>0</v>
      </c>
      <c r="AC2316" s="32">
        <f>IFERROR(__xludf.DUMMYFUNCTION("IFERROR(FILTER($AF:$AF,$C:$C = $C2316,$A:$A = $A2316 - 1,$B:$B = 12),0)"),0.0)</f>
        <v>0</v>
      </c>
      <c r="AD2316" s="32">
        <f t="shared" si="23"/>
        <v>0</v>
      </c>
      <c r="AE2316" s="32">
        <f t="shared" si="2"/>
        <v>0</v>
      </c>
      <c r="AF2316" s="32"/>
    </row>
    <row r="2317">
      <c r="A2317" s="86"/>
      <c r="B2317" s="87"/>
      <c r="C2317" s="88"/>
      <c r="D2317" s="104"/>
      <c r="E2317" s="104"/>
      <c r="F2317" s="104"/>
      <c r="G2317" s="104"/>
      <c r="H2317" s="104"/>
      <c r="I2317" s="104"/>
      <c r="J2317" s="104"/>
      <c r="K2317" s="32"/>
      <c r="L2317" s="32"/>
      <c r="M2317" s="32"/>
      <c r="N2317" s="32"/>
      <c r="O2317" s="106"/>
      <c r="P2317" s="91">
        <f>IFERROR(__xludf.DUMMYFUNCTION("IFERROR(sum(FILTER($D:$N,$C:$C = $C2317,$A:$A &lt; $A2317,$B:$B = 12)),0) + sum($D2317:$N2317)"),0.0)</f>
        <v>0</v>
      </c>
      <c r="Q2317" s="92">
        <f t="shared" si="1"/>
        <v>0</v>
      </c>
      <c r="R2317" s="91">
        <f t="array" ref="R2317">IFERROR(INDEX('Fund YTD Target Values'!$1:$1000, MATCH($C2317,'Fund YTD Target Values'!$A:$A,0), MATCH($A2317,'Fund YTD Target Values'!$1:$1,0)),0)</f>
        <v>0</v>
      </c>
      <c r="S2317" s="91">
        <f>IFERROR(__xludf.DUMMYFUNCTION("IFERROR(sum(FILTER('Fund Investment Data'!$V:$V, 'Fund Investment Data'!$C:$C = $C2317, 'Fund Investment Data'!$A:$A &lt; $A2317)),0) + IFERROR(sum(FILTER('Fund Investment Data'!$V:$V, 'Fund Investment Data'!$C:$C = $C2317, 'Fund Investment Data'!$A:$A = $A2"&amp;"317, 'Fund Investment Data'!$B:$B &lt;= $B2317)),0)"),0.0)</f>
        <v>0</v>
      </c>
      <c r="T2317" s="32"/>
      <c r="U2317" s="32"/>
      <c r="V2317" s="32">
        <f>IFERROR(__xludf.DUMMYFUNCTION("$D2317 - IFERROR(FILTER($D:$D,$C:$C = $C2317, $A:$A = $A2317, $B:$B = $B2317 - 1),0)"),0.0)</f>
        <v>0</v>
      </c>
      <c r="W2317" s="93">
        <f>IFERROR(__xludf.DUMMYFUNCTION("$E2317 - IFERROR(FILTER($E:$E,$C:$C = $C2317, $A:$A = $A2317, $B:$B = $B2317 - 1),0)"),0.0)</f>
        <v>0</v>
      </c>
      <c r="X2317" s="91">
        <f>IFERROR(__xludf.DUMMYFUNCTION("iFERROR((FILTER('Fund Investment Data'!$Z:$Z, 'Fund Investment Data'!$C:$C = $C2317, 'Fund Investment Data'!$A:$A = $A2317 - 1, 'Fund Investment Data'!$B:$B = 12) + FILTER('Fund Investment Data'!$AB:$AB, 'Fund Investment Data'!$C:$C = $C2317, 'Fund Invest"&amp;"ment Data'!$A:$A = $A2317 - 1, 'Fund Investment Data'!$B:$B = 12)) * (1 + AVERAGE(FILTER('Inflation Data'!$C:$C,'Inflation Data'!$A:$A = ($A2317 - 2)))) * Parameters!$A$4,0)"),0.0)</f>
        <v>0</v>
      </c>
      <c r="Y2317" s="91">
        <f>IFERROR(__xludf.DUMMYFUNCTION("IFERROR((IFERROR(FILTER('Fund Investment Data'!$P:$P,'Fund Investment Data'!$C:$C = $C2317,'Fund Investment Data'!$A:$A = ($A2317 - 2), 'Fund Investment Data'!$B:$B = 12),0) - SUM(FILTER('Fund Investment Data'!$V:$V, 'Fund Investment Data'!$C:$C = $C2317,"&amp;" 'Fund Investment Data'!$A:$A = ($A2317 - 2), 'Fund Investment Data'!$B:$B &gt; 3)))  * Parameters!$B$4 * (1 - Parameters!$A$4),0)"),0.0)</f>
        <v>0</v>
      </c>
      <c r="Z2317" s="91">
        <f t="shared" si="24"/>
        <v>0</v>
      </c>
      <c r="AA2317" s="91">
        <f>IFERROR(__xludf.DUMMYFUNCTION("((IFERROR((SUM(FILTER('Fund Investment Data'!$V:$V, 'Fund Investment Data'!$C:$C = $C2317, 'Fund Investment Data'!$A:$A = $A2317 - 1, 'Fund Investment Data'!$B:$B &gt;= 4, 'Fund Investment Data'!$B:$B &lt;= ($B2317 + 5))) / 12) * ($B2317 - 3) * Parameters!$B$4,"&amp;" 0) + IF($B2317 &gt;= 9, IFERROR(SUM(FILTER('Fund Investment Data'!$V:$V, 'Fund Investment Data'!$C:$C = $C2317, 'Fund Investment Data'!$A:$A = $A2317, 'Fund Investment Data'!$B:$B &lt;= 3)) * Parameters!$B$4, 0),0)))"),0.0)</f>
        <v>0</v>
      </c>
      <c r="AB2317" s="32">
        <f>IFERROR(__xludf.DUMMYFUNCTION("IFERROR(((IFERROR(SUM(FILTER('Fund Investment Data'!$V:$V, 'Fund Investment Data'!$C:$C = $C2317, 'Fund Investment Data'!$A:$A = $A2317 - 2, 'Fund Investment Data'!$B:$B &gt;= 4)) * Parameters!$B$4,0) + IFERROR(SUM(FILTER('Fund Investment Data'!$V:$V, 'Fund "&amp;"Investment Data'!$C:$C = $C2317, 'Fund Investment Data'!$A:$A = $A2317 - 1, 'Fund Investment Data'!$B:$B &lt;= 3)) * Parameters!$B$4,0))),0)"),0.0)</f>
        <v>0</v>
      </c>
      <c r="AC2317" s="32">
        <f>IFERROR(__xludf.DUMMYFUNCTION("IFERROR(FILTER($AF:$AF,$C:$C = $C2317,$A:$A = $A2317 - 1,$B:$B = 12),0)"),0.0)</f>
        <v>0</v>
      </c>
      <c r="AD2317" s="32">
        <f t="shared" si="23"/>
        <v>0</v>
      </c>
      <c r="AE2317" s="32">
        <f t="shared" si="2"/>
        <v>0</v>
      </c>
      <c r="AF2317" s="32"/>
    </row>
    <row r="2318">
      <c r="A2318" s="86"/>
      <c r="B2318" s="87"/>
      <c r="C2318" s="88"/>
      <c r="D2318" s="104"/>
      <c r="E2318" s="104"/>
      <c r="F2318" s="104"/>
      <c r="G2318" s="104"/>
      <c r="H2318" s="104"/>
      <c r="I2318" s="104"/>
      <c r="J2318" s="104"/>
      <c r="K2318" s="32"/>
      <c r="L2318" s="32"/>
      <c r="M2318" s="32"/>
      <c r="N2318" s="32"/>
      <c r="O2318" s="106"/>
      <c r="P2318" s="91">
        <f>IFERROR(__xludf.DUMMYFUNCTION("IFERROR(sum(FILTER($D:$N,$C:$C = $C2318,$A:$A &lt; $A2318,$B:$B = 12)),0) + sum($D2318:$N2318)"),0.0)</f>
        <v>0</v>
      </c>
      <c r="Q2318" s="92">
        <f t="shared" si="1"/>
        <v>0</v>
      </c>
      <c r="R2318" s="91">
        <f t="array" ref="R2318">IFERROR(INDEX('Fund YTD Target Values'!$1:$1000, MATCH($C2318,'Fund YTD Target Values'!$A:$A,0), MATCH($A2318,'Fund YTD Target Values'!$1:$1,0)),0)</f>
        <v>0</v>
      </c>
      <c r="S2318" s="91">
        <f>IFERROR(__xludf.DUMMYFUNCTION("IFERROR(sum(FILTER('Fund Investment Data'!$V:$V, 'Fund Investment Data'!$C:$C = $C2318, 'Fund Investment Data'!$A:$A &lt; $A2318)),0) + IFERROR(sum(FILTER('Fund Investment Data'!$V:$V, 'Fund Investment Data'!$C:$C = $C2318, 'Fund Investment Data'!$A:$A = $A2"&amp;"318, 'Fund Investment Data'!$B:$B &lt;= $B2318)),0)"),0.0)</f>
        <v>0</v>
      </c>
      <c r="T2318" s="32"/>
      <c r="U2318" s="32"/>
      <c r="V2318" s="32">
        <f>IFERROR(__xludf.DUMMYFUNCTION("$D2318 - IFERROR(FILTER($D:$D,$C:$C = $C2318, $A:$A = $A2318, $B:$B = $B2318 - 1),0)"),0.0)</f>
        <v>0</v>
      </c>
      <c r="W2318" s="93">
        <f>IFERROR(__xludf.DUMMYFUNCTION("$E2318 - IFERROR(FILTER($E:$E,$C:$C = $C2318, $A:$A = $A2318, $B:$B = $B2318 - 1),0)"),0.0)</f>
        <v>0</v>
      </c>
      <c r="X2318" s="91">
        <f>IFERROR(__xludf.DUMMYFUNCTION("iFERROR((FILTER('Fund Investment Data'!$Z:$Z, 'Fund Investment Data'!$C:$C = $C2318, 'Fund Investment Data'!$A:$A = $A2318 - 1, 'Fund Investment Data'!$B:$B = 12) + FILTER('Fund Investment Data'!$AB:$AB, 'Fund Investment Data'!$C:$C = $C2318, 'Fund Invest"&amp;"ment Data'!$A:$A = $A2318 - 1, 'Fund Investment Data'!$B:$B = 12)) * (1 + AVERAGE(FILTER('Inflation Data'!$C:$C,'Inflation Data'!$A:$A = ($A2318 - 2)))) * Parameters!$A$4,0)"),0.0)</f>
        <v>0</v>
      </c>
      <c r="Y2318" s="91">
        <f>IFERROR(__xludf.DUMMYFUNCTION("IFERROR((IFERROR(FILTER('Fund Investment Data'!$P:$P,'Fund Investment Data'!$C:$C = $C2318,'Fund Investment Data'!$A:$A = ($A2318 - 2), 'Fund Investment Data'!$B:$B = 12),0) - SUM(FILTER('Fund Investment Data'!$V:$V, 'Fund Investment Data'!$C:$C = $C2318,"&amp;" 'Fund Investment Data'!$A:$A = ($A2318 - 2), 'Fund Investment Data'!$B:$B &gt; 3)))  * Parameters!$B$4 * (1 - Parameters!$A$4),0)"),0.0)</f>
        <v>0</v>
      </c>
      <c r="Z2318" s="91">
        <f t="shared" si="24"/>
        <v>0</v>
      </c>
      <c r="AA2318" s="91">
        <f>IFERROR(__xludf.DUMMYFUNCTION("((IFERROR((SUM(FILTER('Fund Investment Data'!$V:$V, 'Fund Investment Data'!$C:$C = $C2318, 'Fund Investment Data'!$A:$A = $A2318 - 1, 'Fund Investment Data'!$B:$B &gt;= 4, 'Fund Investment Data'!$B:$B &lt;= ($B2318 + 5))) / 12) * ($B2318 - 3) * Parameters!$B$4,"&amp;" 0) + IF($B2318 &gt;= 9, IFERROR(SUM(FILTER('Fund Investment Data'!$V:$V, 'Fund Investment Data'!$C:$C = $C2318, 'Fund Investment Data'!$A:$A = $A2318, 'Fund Investment Data'!$B:$B &lt;= 3)) * Parameters!$B$4, 0),0)))"),0.0)</f>
        <v>0</v>
      </c>
      <c r="AB2318" s="32">
        <f>IFERROR(__xludf.DUMMYFUNCTION("IFERROR(((IFERROR(SUM(FILTER('Fund Investment Data'!$V:$V, 'Fund Investment Data'!$C:$C = $C2318, 'Fund Investment Data'!$A:$A = $A2318 - 2, 'Fund Investment Data'!$B:$B &gt;= 4)) * Parameters!$B$4,0) + IFERROR(SUM(FILTER('Fund Investment Data'!$V:$V, 'Fund "&amp;"Investment Data'!$C:$C = $C2318, 'Fund Investment Data'!$A:$A = $A2318 - 1, 'Fund Investment Data'!$B:$B &lt;= 3)) * Parameters!$B$4,0))),0)"),0.0)</f>
        <v>0</v>
      </c>
      <c r="AC2318" s="32">
        <f>IFERROR(__xludf.DUMMYFUNCTION("IFERROR(FILTER($AF:$AF,$C:$C = $C2318,$A:$A = $A2318 - 1,$B:$B = 12),0)"),0.0)</f>
        <v>0</v>
      </c>
      <c r="AD2318" s="32">
        <f t="shared" si="23"/>
        <v>0</v>
      </c>
      <c r="AE2318" s="32">
        <f t="shared" si="2"/>
        <v>0</v>
      </c>
      <c r="AF2318" s="32"/>
    </row>
    <row r="2319">
      <c r="A2319" s="86"/>
      <c r="B2319" s="87"/>
      <c r="C2319" s="88"/>
      <c r="D2319" s="104"/>
      <c r="E2319" s="104"/>
      <c r="F2319" s="104"/>
      <c r="G2319" s="104"/>
      <c r="H2319" s="104"/>
      <c r="I2319" s="104"/>
      <c r="J2319" s="104"/>
      <c r="K2319" s="32"/>
      <c r="L2319" s="32"/>
      <c r="M2319" s="32"/>
      <c r="N2319" s="32"/>
      <c r="O2319" s="106"/>
      <c r="P2319" s="91">
        <f>IFERROR(__xludf.DUMMYFUNCTION("IFERROR(sum(FILTER($D:$N,$C:$C = $C2319,$A:$A &lt; $A2319,$B:$B = 12)),0) + sum($D2319:$N2319)"),0.0)</f>
        <v>0</v>
      </c>
      <c r="Q2319" s="92">
        <f t="shared" si="1"/>
        <v>0</v>
      </c>
      <c r="R2319" s="91">
        <f t="array" ref="R2319">IFERROR(INDEX('Fund YTD Target Values'!$1:$1000, MATCH($C2319,'Fund YTD Target Values'!$A:$A,0), MATCH($A2319,'Fund YTD Target Values'!$1:$1,0)),0)</f>
        <v>0</v>
      </c>
      <c r="S2319" s="91">
        <f>IFERROR(__xludf.DUMMYFUNCTION("IFERROR(sum(FILTER('Fund Investment Data'!$V:$V, 'Fund Investment Data'!$C:$C = $C2319, 'Fund Investment Data'!$A:$A &lt; $A2319)),0) + IFERROR(sum(FILTER('Fund Investment Data'!$V:$V, 'Fund Investment Data'!$C:$C = $C2319, 'Fund Investment Data'!$A:$A = $A2"&amp;"319, 'Fund Investment Data'!$B:$B &lt;= $B2319)),0)"),0.0)</f>
        <v>0</v>
      </c>
      <c r="T2319" s="32"/>
      <c r="U2319" s="32"/>
      <c r="V2319" s="32">
        <f>IFERROR(__xludf.DUMMYFUNCTION("$D2319 - IFERROR(FILTER($D:$D,$C:$C = $C2319, $A:$A = $A2319, $B:$B = $B2319 - 1),0)"),0.0)</f>
        <v>0</v>
      </c>
      <c r="W2319" s="93">
        <f>IFERROR(__xludf.DUMMYFUNCTION("$E2319 - IFERROR(FILTER($E:$E,$C:$C = $C2319, $A:$A = $A2319, $B:$B = $B2319 - 1),0)"),0.0)</f>
        <v>0</v>
      </c>
      <c r="X2319" s="91">
        <f>IFERROR(__xludf.DUMMYFUNCTION("iFERROR((FILTER('Fund Investment Data'!$Z:$Z, 'Fund Investment Data'!$C:$C = $C2319, 'Fund Investment Data'!$A:$A = $A2319 - 1, 'Fund Investment Data'!$B:$B = 12) + FILTER('Fund Investment Data'!$AB:$AB, 'Fund Investment Data'!$C:$C = $C2319, 'Fund Invest"&amp;"ment Data'!$A:$A = $A2319 - 1, 'Fund Investment Data'!$B:$B = 12)) * (1 + AVERAGE(FILTER('Inflation Data'!$C:$C,'Inflation Data'!$A:$A = ($A2319 - 2)))) * Parameters!$A$4,0)"),0.0)</f>
        <v>0</v>
      </c>
      <c r="Y2319" s="91">
        <f>IFERROR(__xludf.DUMMYFUNCTION("IFERROR((IFERROR(FILTER('Fund Investment Data'!$P:$P,'Fund Investment Data'!$C:$C = $C2319,'Fund Investment Data'!$A:$A = ($A2319 - 2), 'Fund Investment Data'!$B:$B = 12),0) - SUM(FILTER('Fund Investment Data'!$V:$V, 'Fund Investment Data'!$C:$C = $C2319,"&amp;" 'Fund Investment Data'!$A:$A = ($A2319 - 2), 'Fund Investment Data'!$B:$B &gt; 3)))  * Parameters!$B$4 * (1 - Parameters!$A$4),0)"),0.0)</f>
        <v>0</v>
      </c>
      <c r="Z2319" s="91">
        <f t="shared" si="24"/>
        <v>0</v>
      </c>
      <c r="AA2319" s="91">
        <f>IFERROR(__xludf.DUMMYFUNCTION("((IFERROR((SUM(FILTER('Fund Investment Data'!$V:$V, 'Fund Investment Data'!$C:$C = $C2319, 'Fund Investment Data'!$A:$A = $A2319 - 1, 'Fund Investment Data'!$B:$B &gt;= 4, 'Fund Investment Data'!$B:$B &lt;= ($B2319 + 5))) / 12) * ($B2319 - 3) * Parameters!$B$4,"&amp;" 0) + IF($B2319 &gt;= 9, IFERROR(SUM(FILTER('Fund Investment Data'!$V:$V, 'Fund Investment Data'!$C:$C = $C2319, 'Fund Investment Data'!$A:$A = $A2319, 'Fund Investment Data'!$B:$B &lt;= 3)) * Parameters!$B$4, 0),0)))"),0.0)</f>
        <v>0</v>
      </c>
      <c r="AB2319" s="32">
        <f>IFERROR(__xludf.DUMMYFUNCTION("IFERROR(((IFERROR(SUM(FILTER('Fund Investment Data'!$V:$V, 'Fund Investment Data'!$C:$C = $C2319, 'Fund Investment Data'!$A:$A = $A2319 - 2, 'Fund Investment Data'!$B:$B &gt;= 4)) * Parameters!$B$4,0) + IFERROR(SUM(FILTER('Fund Investment Data'!$V:$V, 'Fund "&amp;"Investment Data'!$C:$C = $C2319, 'Fund Investment Data'!$A:$A = $A2319 - 1, 'Fund Investment Data'!$B:$B &lt;= 3)) * Parameters!$B$4,0))),0)"),0.0)</f>
        <v>0</v>
      </c>
      <c r="AC2319" s="32">
        <f>IFERROR(__xludf.DUMMYFUNCTION("IFERROR(FILTER($AF:$AF,$C:$C = $C2319,$A:$A = $A2319 - 1,$B:$B = 12),0)"),0.0)</f>
        <v>0</v>
      </c>
      <c r="AD2319" s="32">
        <f t="shared" si="23"/>
        <v>0</v>
      </c>
      <c r="AE2319" s="32">
        <f t="shared" si="2"/>
        <v>0</v>
      </c>
      <c r="AF2319" s="32"/>
    </row>
    <row r="2320">
      <c r="A2320" s="86"/>
      <c r="B2320" s="87"/>
      <c r="C2320" s="88"/>
      <c r="D2320" s="104"/>
      <c r="E2320" s="104"/>
      <c r="F2320" s="104"/>
      <c r="G2320" s="104"/>
      <c r="H2320" s="104"/>
      <c r="I2320" s="104"/>
      <c r="J2320" s="104"/>
      <c r="K2320" s="32"/>
      <c r="L2320" s="32"/>
      <c r="M2320" s="32"/>
      <c r="N2320" s="32"/>
      <c r="O2320" s="106"/>
      <c r="P2320" s="91">
        <f>IFERROR(__xludf.DUMMYFUNCTION("IFERROR(sum(FILTER($D:$N,$C:$C = $C2320,$A:$A &lt; $A2320,$B:$B = 12)),0) + sum($D2320:$N2320)"),0.0)</f>
        <v>0</v>
      </c>
      <c r="Q2320" s="92">
        <f t="shared" si="1"/>
        <v>0</v>
      </c>
      <c r="R2320" s="91">
        <f t="array" ref="R2320">IFERROR(INDEX('Fund YTD Target Values'!$1:$1000, MATCH($C2320,'Fund YTD Target Values'!$A:$A,0), MATCH($A2320,'Fund YTD Target Values'!$1:$1,0)),0)</f>
        <v>0</v>
      </c>
      <c r="S2320" s="91">
        <f>IFERROR(__xludf.DUMMYFUNCTION("IFERROR(sum(FILTER('Fund Investment Data'!$V:$V, 'Fund Investment Data'!$C:$C = $C2320, 'Fund Investment Data'!$A:$A &lt; $A2320)),0) + IFERROR(sum(FILTER('Fund Investment Data'!$V:$V, 'Fund Investment Data'!$C:$C = $C2320, 'Fund Investment Data'!$A:$A = $A2"&amp;"320, 'Fund Investment Data'!$B:$B &lt;= $B2320)),0)"),0.0)</f>
        <v>0</v>
      </c>
      <c r="T2320" s="32"/>
      <c r="U2320" s="32"/>
      <c r="V2320" s="32">
        <f>IFERROR(__xludf.DUMMYFUNCTION("$D2320 - IFERROR(FILTER($D:$D,$C:$C = $C2320, $A:$A = $A2320, $B:$B = $B2320 - 1),0)"),0.0)</f>
        <v>0</v>
      </c>
      <c r="W2320" s="93">
        <f>IFERROR(__xludf.DUMMYFUNCTION("$E2320 - IFERROR(FILTER($E:$E,$C:$C = $C2320, $A:$A = $A2320, $B:$B = $B2320 - 1),0)"),0.0)</f>
        <v>0</v>
      </c>
      <c r="X2320" s="91">
        <f>IFERROR(__xludf.DUMMYFUNCTION("iFERROR((FILTER('Fund Investment Data'!$Z:$Z, 'Fund Investment Data'!$C:$C = $C2320, 'Fund Investment Data'!$A:$A = $A2320 - 1, 'Fund Investment Data'!$B:$B = 12) + FILTER('Fund Investment Data'!$AB:$AB, 'Fund Investment Data'!$C:$C = $C2320, 'Fund Invest"&amp;"ment Data'!$A:$A = $A2320 - 1, 'Fund Investment Data'!$B:$B = 12)) * (1 + AVERAGE(FILTER('Inflation Data'!$C:$C,'Inflation Data'!$A:$A = ($A2320 - 2)))) * Parameters!$A$4,0)"),0.0)</f>
        <v>0</v>
      </c>
      <c r="Y2320" s="91">
        <f>IFERROR(__xludf.DUMMYFUNCTION("IFERROR((IFERROR(FILTER('Fund Investment Data'!$P:$P,'Fund Investment Data'!$C:$C = $C2320,'Fund Investment Data'!$A:$A = ($A2320 - 2), 'Fund Investment Data'!$B:$B = 12),0) - SUM(FILTER('Fund Investment Data'!$V:$V, 'Fund Investment Data'!$C:$C = $C2320,"&amp;" 'Fund Investment Data'!$A:$A = ($A2320 - 2), 'Fund Investment Data'!$B:$B &gt; 3)))  * Parameters!$B$4 * (1 - Parameters!$A$4),0)"),0.0)</f>
        <v>0</v>
      </c>
      <c r="Z2320" s="91">
        <f t="shared" si="24"/>
        <v>0</v>
      </c>
      <c r="AA2320" s="91">
        <f>IFERROR(__xludf.DUMMYFUNCTION("((IFERROR((SUM(FILTER('Fund Investment Data'!$V:$V, 'Fund Investment Data'!$C:$C = $C2320, 'Fund Investment Data'!$A:$A = $A2320 - 1, 'Fund Investment Data'!$B:$B &gt;= 4, 'Fund Investment Data'!$B:$B &lt;= ($B2320 + 5))) / 12) * ($B2320 - 3) * Parameters!$B$4,"&amp;" 0) + IF($B2320 &gt;= 9, IFERROR(SUM(FILTER('Fund Investment Data'!$V:$V, 'Fund Investment Data'!$C:$C = $C2320, 'Fund Investment Data'!$A:$A = $A2320, 'Fund Investment Data'!$B:$B &lt;= 3)) * Parameters!$B$4, 0),0)))"),0.0)</f>
        <v>0</v>
      </c>
      <c r="AB2320" s="32">
        <f>IFERROR(__xludf.DUMMYFUNCTION("IFERROR(((IFERROR(SUM(FILTER('Fund Investment Data'!$V:$V, 'Fund Investment Data'!$C:$C = $C2320, 'Fund Investment Data'!$A:$A = $A2320 - 2, 'Fund Investment Data'!$B:$B &gt;= 4)) * Parameters!$B$4,0) + IFERROR(SUM(FILTER('Fund Investment Data'!$V:$V, 'Fund "&amp;"Investment Data'!$C:$C = $C2320, 'Fund Investment Data'!$A:$A = $A2320 - 1, 'Fund Investment Data'!$B:$B &lt;= 3)) * Parameters!$B$4,0))),0)"),0.0)</f>
        <v>0</v>
      </c>
      <c r="AC2320" s="32">
        <f>IFERROR(__xludf.DUMMYFUNCTION("IFERROR(FILTER($AF:$AF,$C:$C = $C2320,$A:$A = $A2320 - 1,$B:$B = 12),0)"),0.0)</f>
        <v>0</v>
      </c>
      <c r="AD2320" s="32">
        <f t="shared" si="23"/>
        <v>0</v>
      </c>
      <c r="AE2320" s="32">
        <f t="shared" si="2"/>
        <v>0</v>
      </c>
      <c r="AF2320" s="32"/>
    </row>
    <row r="2321">
      <c r="A2321" s="86"/>
      <c r="B2321" s="87"/>
      <c r="C2321" s="88"/>
      <c r="D2321" s="104"/>
      <c r="E2321" s="104"/>
      <c r="F2321" s="104"/>
      <c r="G2321" s="104"/>
      <c r="H2321" s="104"/>
      <c r="I2321" s="104"/>
      <c r="J2321" s="104"/>
      <c r="K2321" s="32"/>
      <c r="L2321" s="32"/>
      <c r="M2321" s="32"/>
      <c r="N2321" s="32"/>
      <c r="O2321" s="106"/>
      <c r="P2321" s="91">
        <f>IFERROR(__xludf.DUMMYFUNCTION("IFERROR(sum(FILTER($D:$N,$C:$C = $C2321,$A:$A &lt; $A2321,$B:$B = 12)),0) + sum($D2321:$N2321)"),0.0)</f>
        <v>0</v>
      </c>
      <c r="Q2321" s="92">
        <f t="shared" si="1"/>
        <v>0</v>
      </c>
      <c r="R2321" s="91">
        <f t="array" ref="R2321">IFERROR(INDEX('Fund YTD Target Values'!$1:$1000, MATCH($C2321,'Fund YTD Target Values'!$A:$A,0), MATCH($A2321,'Fund YTD Target Values'!$1:$1,0)),0)</f>
        <v>0</v>
      </c>
      <c r="S2321" s="91">
        <f>IFERROR(__xludf.DUMMYFUNCTION("IFERROR(sum(FILTER('Fund Investment Data'!$V:$V, 'Fund Investment Data'!$C:$C = $C2321, 'Fund Investment Data'!$A:$A &lt; $A2321)),0) + IFERROR(sum(FILTER('Fund Investment Data'!$V:$V, 'Fund Investment Data'!$C:$C = $C2321, 'Fund Investment Data'!$A:$A = $A2"&amp;"321, 'Fund Investment Data'!$B:$B &lt;= $B2321)),0)"),0.0)</f>
        <v>0</v>
      </c>
      <c r="T2321" s="32"/>
      <c r="U2321" s="32"/>
      <c r="V2321" s="32">
        <f>IFERROR(__xludf.DUMMYFUNCTION("$D2321 - IFERROR(FILTER($D:$D,$C:$C = $C2321, $A:$A = $A2321, $B:$B = $B2321 - 1),0)"),0.0)</f>
        <v>0</v>
      </c>
      <c r="W2321" s="93">
        <f>IFERROR(__xludf.DUMMYFUNCTION("$E2321 - IFERROR(FILTER($E:$E,$C:$C = $C2321, $A:$A = $A2321, $B:$B = $B2321 - 1),0)"),0.0)</f>
        <v>0</v>
      </c>
      <c r="X2321" s="91">
        <f>IFERROR(__xludf.DUMMYFUNCTION("iFERROR((FILTER('Fund Investment Data'!$Z:$Z, 'Fund Investment Data'!$C:$C = $C2321, 'Fund Investment Data'!$A:$A = $A2321 - 1, 'Fund Investment Data'!$B:$B = 12) + FILTER('Fund Investment Data'!$AB:$AB, 'Fund Investment Data'!$C:$C = $C2321, 'Fund Invest"&amp;"ment Data'!$A:$A = $A2321 - 1, 'Fund Investment Data'!$B:$B = 12)) * (1 + AVERAGE(FILTER('Inflation Data'!$C:$C,'Inflation Data'!$A:$A = ($A2321 - 2)))) * Parameters!$A$4,0)"),0.0)</f>
        <v>0</v>
      </c>
      <c r="Y2321" s="91">
        <f>IFERROR(__xludf.DUMMYFUNCTION("IFERROR((IFERROR(FILTER('Fund Investment Data'!$P:$P,'Fund Investment Data'!$C:$C = $C2321,'Fund Investment Data'!$A:$A = ($A2321 - 2), 'Fund Investment Data'!$B:$B = 12),0) - SUM(FILTER('Fund Investment Data'!$V:$V, 'Fund Investment Data'!$C:$C = $C2321,"&amp;" 'Fund Investment Data'!$A:$A = ($A2321 - 2), 'Fund Investment Data'!$B:$B &gt; 3)))  * Parameters!$B$4 * (1 - Parameters!$A$4),0)"),0.0)</f>
        <v>0</v>
      </c>
      <c r="Z2321" s="91">
        <f t="shared" si="24"/>
        <v>0</v>
      </c>
      <c r="AA2321" s="91">
        <f>IFERROR(__xludf.DUMMYFUNCTION("((IFERROR((SUM(FILTER('Fund Investment Data'!$V:$V, 'Fund Investment Data'!$C:$C = $C2321, 'Fund Investment Data'!$A:$A = $A2321 - 1, 'Fund Investment Data'!$B:$B &gt;= 4, 'Fund Investment Data'!$B:$B &lt;= ($B2321 + 5))) / 12) * ($B2321 - 3) * Parameters!$B$4,"&amp;" 0) + IF($B2321 &gt;= 9, IFERROR(SUM(FILTER('Fund Investment Data'!$V:$V, 'Fund Investment Data'!$C:$C = $C2321, 'Fund Investment Data'!$A:$A = $A2321, 'Fund Investment Data'!$B:$B &lt;= 3)) * Parameters!$B$4, 0),0)))"),0.0)</f>
        <v>0</v>
      </c>
      <c r="AB2321" s="32">
        <f>IFERROR(__xludf.DUMMYFUNCTION("IFERROR(((IFERROR(SUM(FILTER('Fund Investment Data'!$V:$V, 'Fund Investment Data'!$C:$C = $C2321, 'Fund Investment Data'!$A:$A = $A2321 - 2, 'Fund Investment Data'!$B:$B &gt;= 4)) * Parameters!$B$4,0) + IFERROR(SUM(FILTER('Fund Investment Data'!$V:$V, 'Fund "&amp;"Investment Data'!$C:$C = $C2321, 'Fund Investment Data'!$A:$A = $A2321 - 1, 'Fund Investment Data'!$B:$B &lt;= 3)) * Parameters!$B$4,0))),0)"),0.0)</f>
        <v>0</v>
      </c>
      <c r="AC2321" s="32">
        <f>IFERROR(__xludf.DUMMYFUNCTION("IFERROR(FILTER($AF:$AF,$C:$C = $C2321,$A:$A = $A2321 - 1,$B:$B = 12),0)"),0.0)</f>
        <v>0</v>
      </c>
      <c r="AD2321" s="32">
        <f t="shared" si="23"/>
        <v>0</v>
      </c>
      <c r="AE2321" s="32">
        <f t="shared" si="2"/>
        <v>0</v>
      </c>
      <c r="AF2321" s="32"/>
    </row>
    <row r="2322">
      <c r="A2322" s="86"/>
      <c r="B2322" s="87"/>
      <c r="C2322" s="88"/>
      <c r="D2322" s="104"/>
      <c r="E2322" s="104"/>
      <c r="F2322" s="104"/>
      <c r="G2322" s="104"/>
      <c r="H2322" s="104"/>
      <c r="I2322" s="104"/>
      <c r="J2322" s="104"/>
      <c r="K2322" s="32"/>
      <c r="L2322" s="32"/>
      <c r="M2322" s="32"/>
      <c r="N2322" s="32"/>
      <c r="O2322" s="106"/>
      <c r="P2322" s="91">
        <f>IFERROR(__xludf.DUMMYFUNCTION("IFERROR(sum(FILTER($D:$N,$C:$C = $C2322,$A:$A &lt; $A2322,$B:$B = 12)),0) + sum($D2322:$N2322)"),0.0)</f>
        <v>0</v>
      </c>
      <c r="Q2322" s="92">
        <f t="shared" si="1"/>
        <v>0</v>
      </c>
      <c r="R2322" s="91">
        <f t="array" ref="R2322">IFERROR(INDEX('Fund YTD Target Values'!$1:$1000, MATCH($C2322,'Fund YTD Target Values'!$A:$A,0), MATCH($A2322,'Fund YTD Target Values'!$1:$1,0)),0)</f>
        <v>0</v>
      </c>
      <c r="S2322" s="91">
        <f>IFERROR(__xludf.DUMMYFUNCTION("IFERROR(sum(FILTER('Fund Investment Data'!$V:$V, 'Fund Investment Data'!$C:$C = $C2322, 'Fund Investment Data'!$A:$A &lt; $A2322)),0) + IFERROR(sum(FILTER('Fund Investment Data'!$V:$V, 'Fund Investment Data'!$C:$C = $C2322, 'Fund Investment Data'!$A:$A = $A2"&amp;"322, 'Fund Investment Data'!$B:$B &lt;= $B2322)),0)"),0.0)</f>
        <v>0</v>
      </c>
      <c r="T2322" s="32"/>
      <c r="U2322" s="32"/>
      <c r="V2322" s="32">
        <f>IFERROR(__xludf.DUMMYFUNCTION("$D2322 - IFERROR(FILTER($D:$D,$C:$C = $C2322, $A:$A = $A2322, $B:$B = $B2322 - 1),0)"),0.0)</f>
        <v>0</v>
      </c>
      <c r="W2322" s="93">
        <f>IFERROR(__xludf.DUMMYFUNCTION("$E2322 - IFERROR(FILTER($E:$E,$C:$C = $C2322, $A:$A = $A2322, $B:$B = $B2322 - 1),0)"),0.0)</f>
        <v>0</v>
      </c>
      <c r="X2322" s="91">
        <f>IFERROR(__xludf.DUMMYFUNCTION("iFERROR((FILTER('Fund Investment Data'!$Z:$Z, 'Fund Investment Data'!$C:$C = $C2322, 'Fund Investment Data'!$A:$A = $A2322 - 1, 'Fund Investment Data'!$B:$B = 12) + FILTER('Fund Investment Data'!$AB:$AB, 'Fund Investment Data'!$C:$C = $C2322, 'Fund Invest"&amp;"ment Data'!$A:$A = $A2322 - 1, 'Fund Investment Data'!$B:$B = 12)) * (1 + AVERAGE(FILTER('Inflation Data'!$C:$C,'Inflation Data'!$A:$A = ($A2322 - 2)))) * Parameters!$A$4,0)"),0.0)</f>
        <v>0</v>
      </c>
      <c r="Y2322" s="91">
        <f>IFERROR(__xludf.DUMMYFUNCTION("IFERROR((IFERROR(FILTER('Fund Investment Data'!$P:$P,'Fund Investment Data'!$C:$C = $C2322,'Fund Investment Data'!$A:$A = ($A2322 - 2), 'Fund Investment Data'!$B:$B = 12),0) - SUM(FILTER('Fund Investment Data'!$V:$V, 'Fund Investment Data'!$C:$C = $C2322,"&amp;" 'Fund Investment Data'!$A:$A = ($A2322 - 2), 'Fund Investment Data'!$B:$B &gt; 3)))  * Parameters!$B$4 * (1 - Parameters!$A$4),0)"),0.0)</f>
        <v>0</v>
      </c>
      <c r="Z2322" s="91">
        <f t="shared" si="24"/>
        <v>0</v>
      </c>
      <c r="AA2322" s="91">
        <f>IFERROR(__xludf.DUMMYFUNCTION("((IFERROR((SUM(FILTER('Fund Investment Data'!$V:$V, 'Fund Investment Data'!$C:$C = $C2322, 'Fund Investment Data'!$A:$A = $A2322 - 1, 'Fund Investment Data'!$B:$B &gt;= 4, 'Fund Investment Data'!$B:$B &lt;= ($B2322 + 5))) / 12) * ($B2322 - 3) * Parameters!$B$4,"&amp;" 0) + IF($B2322 &gt;= 9, IFERROR(SUM(FILTER('Fund Investment Data'!$V:$V, 'Fund Investment Data'!$C:$C = $C2322, 'Fund Investment Data'!$A:$A = $A2322, 'Fund Investment Data'!$B:$B &lt;= 3)) * Parameters!$B$4, 0),0)))"),0.0)</f>
        <v>0</v>
      </c>
      <c r="AB2322" s="32">
        <f>IFERROR(__xludf.DUMMYFUNCTION("IFERROR(((IFERROR(SUM(FILTER('Fund Investment Data'!$V:$V, 'Fund Investment Data'!$C:$C = $C2322, 'Fund Investment Data'!$A:$A = $A2322 - 2, 'Fund Investment Data'!$B:$B &gt;= 4)) * Parameters!$B$4,0) + IFERROR(SUM(FILTER('Fund Investment Data'!$V:$V, 'Fund "&amp;"Investment Data'!$C:$C = $C2322, 'Fund Investment Data'!$A:$A = $A2322 - 1, 'Fund Investment Data'!$B:$B &lt;= 3)) * Parameters!$B$4,0))),0)"),0.0)</f>
        <v>0</v>
      </c>
      <c r="AC2322" s="32">
        <f>IFERROR(__xludf.DUMMYFUNCTION("IFERROR(FILTER($AF:$AF,$C:$C = $C2322,$A:$A = $A2322 - 1,$B:$B = 12),0)"),0.0)</f>
        <v>0</v>
      </c>
      <c r="AD2322" s="32">
        <f t="shared" si="23"/>
        <v>0</v>
      </c>
      <c r="AE2322" s="32">
        <f t="shared" si="2"/>
        <v>0</v>
      </c>
      <c r="AF2322" s="32"/>
    </row>
    <row r="2323">
      <c r="A2323" s="86"/>
      <c r="B2323" s="87"/>
      <c r="C2323" s="88"/>
      <c r="D2323" s="104"/>
      <c r="E2323" s="104"/>
      <c r="F2323" s="104"/>
      <c r="G2323" s="104"/>
      <c r="H2323" s="104"/>
      <c r="I2323" s="104"/>
      <c r="J2323" s="104"/>
      <c r="K2323" s="32"/>
      <c r="L2323" s="32"/>
      <c r="M2323" s="32"/>
      <c r="N2323" s="32"/>
      <c r="O2323" s="106"/>
      <c r="P2323" s="91">
        <f>IFERROR(__xludf.DUMMYFUNCTION("IFERROR(sum(FILTER($D:$N,$C:$C = $C2323,$A:$A &lt; $A2323,$B:$B = 12)),0) + sum($D2323:$N2323)"),0.0)</f>
        <v>0</v>
      </c>
      <c r="Q2323" s="92">
        <f t="shared" si="1"/>
        <v>0</v>
      </c>
      <c r="R2323" s="91">
        <f t="array" ref="R2323">IFERROR(INDEX('Fund YTD Target Values'!$1:$1000, MATCH($C2323,'Fund YTD Target Values'!$A:$A,0), MATCH($A2323,'Fund YTD Target Values'!$1:$1,0)),0)</f>
        <v>0</v>
      </c>
      <c r="S2323" s="91">
        <f>IFERROR(__xludf.DUMMYFUNCTION("IFERROR(sum(FILTER('Fund Investment Data'!$V:$V, 'Fund Investment Data'!$C:$C = $C2323, 'Fund Investment Data'!$A:$A &lt; $A2323)),0) + IFERROR(sum(FILTER('Fund Investment Data'!$V:$V, 'Fund Investment Data'!$C:$C = $C2323, 'Fund Investment Data'!$A:$A = $A2"&amp;"323, 'Fund Investment Data'!$B:$B &lt;= $B2323)),0)"),0.0)</f>
        <v>0</v>
      </c>
      <c r="T2323" s="32"/>
      <c r="U2323" s="32"/>
      <c r="V2323" s="32">
        <f>IFERROR(__xludf.DUMMYFUNCTION("$D2323 - IFERROR(FILTER($D:$D,$C:$C = $C2323, $A:$A = $A2323, $B:$B = $B2323 - 1),0)"),0.0)</f>
        <v>0</v>
      </c>
      <c r="W2323" s="93">
        <f>IFERROR(__xludf.DUMMYFUNCTION("$E2323 - IFERROR(FILTER($E:$E,$C:$C = $C2323, $A:$A = $A2323, $B:$B = $B2323 - 1),0)"),0.0)</f>
        <v>0</v>
      </c>
      <c r="X2323" s="91">
        <f>IFERROR(__xludf.DUMMYFUNCTION("iFERROR((FILTER('Fund Investment Data'!$Z:$Z, 'Fund Investment Data'!$C:$C = $C2323, 'Fund Investment Data'!$A:$A = $A2323 - 1, 'Fund Investment Data'!$B:$B = 12) + FILTER('Fund Investment Data'!$AB:$AB, 'Fund Investment Data'!$C:$C = $C2323, 'Fund Invest"&amp;"ment Data'!$A:$A = $A2323 - 1, 'Fund Investment Data'!$B:$B = 12)) * (1 + AVERAGE(FILTER('Inflation Data'!$C:$C,'Inflation Data'!$A:$A = ($A2323 - 2)))) * Parameters!$A$4,0)"),0.0)</f>
        <v>0</v>
      </c>
      <c r="Y2323" s="91">
        <f>IFERROR(__xludf.DUMMYFUNCTION("IFERROR((IFERROR(FILTER('Fund Investment Data'!$P:$P,'Fund Investment Data'!$C:$C = $C2323,'Fund Investment Data'!$A:$A = ($A2323 - 2), 'Fund Investment Data'!$B:$B = 12),0) - SUM(FILTER('Fund Investment Data'!$V:$V, 'Fund Investment Data'!$C:$C = $C2323,"&amp;" 'Fund Investment Data'!$A:$A = ($A2323 - 2), 'Fund Investment Data'!$B:$B &gt; 3)))  * Parameters!$B$4 * (1 - Parameters!$A$4),0)"),0.0)</f>
        <v>0</v>
      </c>
      <c r="Z2323" s="91">
        <f t="shared" si="24"/>
        <v>0</v>
      </c>
      <c r="AA2323" s="91">
        <f>IFERROR(__xludf.DUMMYFUNCTION("((IFERROR((SUM(FILTER('Fund Investment Data'!$V:$V, 'Fund Investment Data'!$C:$C = $C2323, 'Fund Investment Data'!$A:$A = $A2323 - 1, 'Fund Investment Data'!$B:$B &gt;= 4, 'Fund Investment Data'!$B:$B &lt;= ($B2323 + 5))) / 12) * ($B2323 - 3) * Parameters!$B$4,"&amp;" 0) + IF($B2323 &gt;= 9, IFERROR(SUM(FILTER('Fund Investment Data'!$V:$V, 'Fund Investment Data'!$C:$C = $C2323, 'Fund Investment Data'!$A:$A = $A2323, 'Fund Investment Data'!$B:$B &lt;= 3)) * Parameters!$B$4, 0),0)))"),0.0)</f>
        <v>0</v>
      </c>
      <c r="AB2323" s="32">
        <f>IFERROR(__xludf.DUMMYFUNCTION("IFERROR(((IFERROR(SUM(FILTER('Fund Investment Data'!$V:$V, 'Fund Investment Data'!$C:$C = $C2323, 'Fund Investment Data'!$A:$A = $A2323 - 2, 'Fund Investment Data'!$B:$B &gt;= 4)) * Parameters!$B$4,0) + IFERROR(SUM(FILTER('Fund Investment Data'!$V:$V, 'Fund "&amp;"Investment Data'!$C:$C = $C2323, 'Fund Investment Data'!$A:$A = $A2323 - 1, 'Fund Investment Data'!$B:$B &lt;= 3)) * Parameters!$B$4,0))),0)"),0.0)</f>
        <v>0</v>
      </c>
      <c r="AC2323" s="32">
        <f>IFERROR(__xludf.DUMMYFUNCTION("IFERROR(FILTER($AF:$AF,$C:$C = $C2323,$A:$A = $A2323 - 1,$B:$B = 12),0)"),0.0)</f>
        <v>0</v>
      </c>
      <c r="AD2323" s="32">
        <f t="shared" si="23"/>
        <v>0</v>
      </c>
      <c r="AE2323" s="32">
        <f t="shared" si="2"/>
        <v>0</v>
      </c>
      <c r="AF2323" s="32"/>
    </row>
    <row r="2324">
      <c r="A2324" s="86"/>
      <c r="B2324" s="87"/>
      <c r="C2324" s="88"/>
      <c r="D2324" s="104"/>
      <c r="E2324" s="104"/>
      <c r="F2324" s="104"/>
      <c r="G2324" s="104"/>
      <c r="H2324" s="104"/>
      <c r="I2324" s="104"/>
      <c r="J2324" s="104"/>
      <c r="K2324" s="32"/>
      <c r="L2324" s="32"/>
      <c r="M2324" s="32"/>
      <c r="N2324" s="32"/>
      <c r="O2324" s="106"/>
      <c r="P2324" s="91">
        <f>IFERROR(__xludf.DUMMYFUNCTION("IFERROR(sum(FILTER($D:$N,$C:$C = $C2324,$A:$A &lt; $A2324,$B:$B = 12)),0) + sum($D2324:$N2324)"),0.0)</f>
        <v>0</v>
      </c>
      <c r="Q2324" s="92">
        <f t="shared" si="1"/>
        <v>0</v>
      </c>
      <c r="R2324" s="91">
        <f t="array" ref="R2324">IFERROR(INDEX('Fund YTD Target Values'!$1:$1000, MATCH($C2324,'Fund YTD Target Values'!$A:$A,0), MATCH($A2324,'Fund YTD Target Values'!$1:$1,0)),0)</f>
        <v>0</v>
      </c>
      <c r="S2324" s="91">
        <f>IFERROR(__xludf.DUMMYFUNCTION("IFERROR(sum(FILTER('Fund Investment Data'!$V:$V, 'Fund Investment Data'!$C:$C = $C2324, 'Fund Investment Data'!$A:$A &lt; $A2324)),0) + IFERROR(sum(FILTER('Fund Investment Data'!$V:$V, 'Fund Investment Data'!$C:$C = $C2324, 'Fund Investment Data'!$A:$A = $A2"&amp;"324, 'Fund Investment Data'!$B:$B &lt;= $B2324)),0)"),0.0)</f>
        <v>0</v>
      </c>
      <c r="T2324" s="32"/>
      <c r="U2324" s="32"/>
      <c r="V2324" s="32">
        <f>IFERROR(__xludf.DUMMYFUNCTION("$D2324 - IFERROR(FILTER($D:$D,$C:$C = $C2324, $A:$A = $A2324, $B:$B = $B2324 - 1),0)"),0.0)</f>
        <v>0</v>
      </c>
      <c r="W2324" s="93">
        <f>IFERROR(__xludf.DUMMYFUNCTION("$E2324 - IFERROR(FILTER($E:$E,$C:$C = $C2324, $A:$A = $A2324, $B:$B = $B2324 - 1),0)"),0.0)</f>
        <v>0</v>
      </c>
      <c r="X2324" s="91">
        <f>IFERROR(__xludf.DUMMYFUNCTION("iFERROR((FILTER('Fund Investment Data'!$Z:$Z, 'Fund Investment Data'!$C:$C = $C2324, 'Fund Investment Data'!$A:$A = $A2324 - 1, 'Fund Investment Data'!$B:$B = 12) + FILTER('Fund Investment Data'!$AB:$AB, 'Fund Investment Data'!$C:$C = $C2324, 'Fund Invest"&amp;"ment Data'!$A:$A = $A2324 - 1, 'Fund Investment Data'!$B:$B = 12)) * (1 + AVERAGE(FILTER('Inflation Data'!$C:$C,'Inflation Data'!$A:$A = ($A2324 - 2)))) * Parameters!$A$4,0)"),0.0)</f>
        <v>0</v>
      </c>
      <c r="Y2324" s="91">
        <f>IFERROR(__xludf.DUMMYFUNCTION("IFERROR((IFERROR(FILTER('Fund Investment Data'!$P:$P,'Fund Investment Data'!$C:$C = $C2324,'Fund Investment Data'!$A:$A = ($A2324 - 2), 'Fund Investment Data'!$B:$B = 12),0) - SUM(FILTER('Fund Investment Data'!$V:$V, 'Fund Investment Data'!$C:$C = $C2324,"&amp;" 'Fund Investment Data'!$A:$A = ($A2324 - 2), 'Fund Investment Data'!$B:$B &gt; 3)))  * Parameters!$B$4 * (1 - Parameters!$A$4),0)"),0.0)</f>
        <v>0</v>
      </c>
      <c r="Z2324" s="91">
        <f t="shared" si="24"/>
        <v>0</v>
      </c>
      <c r="AA2324" s="91">
        <f>IFERROR(__xludf.DUMMYFUNCTION("((IFERROR((SUM(FILTER('Fund Investment Data'!$V:$V, 'Fund Investment Data'!$C:$C = $C2324, 'Fund Investment Data'!$A:$A = $A2324 - 1, 'Fund Investment Data'!$B:$B &gt;= 4, 'Fund Investment Data'!$B:$B &lt;= ($B2324 + 5))) / 12) * ($B2324 - 3) * Parameters!$B$4,"&amp;" 0) + IF($B2324 &gt;= 9, IFERROR(SUM(FILTER('Fund Investment Data'!$V:$V, 'Fund Investment Data'!$C:$C = $C2324, 'Fund Investment Data'!$A:$A = $A2324, 'Fund Investment Data'!$B:$B &lt;= 3)) * Parameters!$B$4, 0),0)))"),0.0)</f>
        <v>0</v>
      </c>
      <c r="AB2324" s="32">
        <f>IFERROR(__xludf.DUMMYFUNCTION("IFERROR(((IFERROR(SUM(FILTER('Fund Investment Data'!$V:$V, 'Fund Investment Data'!$C:$C = $C2324, 'Fund Investment Data'!$A:$A = $A2324 - 2, 'Fund Investment Data'!$B:$B &gt;= 4)) * Parameters!$B$4,0) + IFERROR(SUM(FILTER('Fund Investment Data'!$V:$V, 'Fund "&amp;"Investment Data'!$C:$C = $C2324, 'Fund Investment Data'!$A:$A = $A2324 - 1, 'Fund Investment Data'!$B:$B &lt;= 3)) * Parameters!$B$4,0))),0)"),0.0)</f>
        <v>0</v>
      </c>
      <c r="AC2324" s="32">
        <f>IFERROR(__xludf.DUMMYFUNCTION("IFERROR(FILTER($AF:$AF,$C:$C = $C2324,$A:$A = $A2324 - 1,$B:$B = 12),0)"),0.0)</f>
        <v>0</v>
      </c>
      <c r="AD2324" s="32">
        <f t="shared" si="23"/>
        <v>0</v>
      </c>
      <c r="AE2324" s="32">
        <f t="shared" si="2"/>
        <v>0</v>
      </c>
      <c r="AF2324" s="32"/>
    </row>
    <row r="2325">
      <c r="A2325" s="86"/>
      <c r="B2325" s="87"/>
      <c r="C2325" s="88"/>
      <c r="D2325" s="104"/>
      <c r="E2325" s="104"/>
      <c r="F2325" s="104"/>
      <c r="G2325" s="104"/>
      <c r="H2325" s="104"/>
      <c r="I2325" s="104"/>
      <c r="J2325" s="104"/>
      <c r="K2325" s="32"/>
      <c r="L2325" s="32"/>
      <c r="M2325" s="32"/>
      <c r="N2325" s="32"/>
      <c r="O2325" s="106"/>
      <c r="P2325" s="91">
        <f>IFERROR(__xludf.DUMMYFUNCTION("IFERROR(sum(FILTER($D:$N,$C:$C = $C2325,$A:$A &lt; $A2325,$B:$B = 12)),0) + sum($D2325:$N2325)"),0.0)</f>
        <v>0</v>
      </c>
      <c r="Q2325" s="92">
        <f t="shared" si="1"/>
        <v>0</v>
      </c>
      <c r="R2325" s="91">
        <f t="array" ref="R2325">IFERROR(INDEX('Fund YTD Target Values'!$1:$1000, MATCH($C2325,'Fund YTD Target Values'!$A:$A,0), MATCH($A2325,'Fund YTD Target Values'!$1:$1,0)),0)</f>
        <v>0</v>
      </c>
      <c r="S2325" s="91">
        <f>IFERROR(__xludf.DUMMYFUNCTION("IFERROR(sum(FILTER('Fund Investment Data'!$V:$V, 'Fund Investment Data'!$C:$C = $C2325, 'Fund Investment Data'!$A:$A &lt; $A2325)),0) + IFERROR(sum(FILTER('Fund Investment Data'!$V:$V, 'Fund Investment Data'!$C:$C = $C2325, 'Fund Investment Data'!$A:$A = $A2"&amp;"325, 'Fund Investment Data'!$B:$B &lt;= $B2325)),0)"),0.0)</f>
        <v>0</v>
      </c>
      <c r="T2325" s="32"/>
      <c r="U2325" s="32"/>
      <c r="V2325" s="32">
        <f>IFERROR(__xludf.DUMMYFUNCTION("$D2325 - IFERROR(FILTER($D:$D,$C:$C = $C2325, $A:$A = $A2325, $B:$B = $B2325 - 1),0)"),0.0)</f>
        <v>0</v>
      </c>
      <c r="W2325" s="93">
        <f>IFERROR(__xludf.DUMMYFUNCTION("$E2325 - IFERROR(FILTER($E:$E,$C:$C = $C2325, $A:$A = $A2325, $B:$B = $B2325 - 1),0)"),0.0)</f>
        <v>0</v>
      </c>
      <c r="X2325" s="91">
        <f>IFERROR(__xludf.DUMMYFUNCTION("iFERROR((FILTER('Fund Investment Data'!$Z:$Z, 'Fund Investment Data'!$C:$C = $C2325, 'Fund Investment Data'!$A:$A = $A2325 - 1, 'Fund Investment Data'!$B:$B = 12) + FILTER('Fund Investment Data'!$AB:$AB, 'Fund Investment Data'!$C:$C = $C2325, 'Fund Invest"&amp;"ment Data'!$A:$A = $A2325 - 1, 'Fund Investment Data'!$B:$B = 12)) * (1 + AVERAGE(FILTER('Inflation Data'!$C:$C,'Inflation Data'!$A:$A = ($A2325 - 2)))) * Parameters!$A$4,0)"),0.0)</f>
        <v>0</v>
      </c>
      <c r="Y2325" s="91">
        <f>IFERROR(__xludf.DUMMYFUNCTION("IFERROR((IFERROR(FILTER('Fund Investment Data'!$P:$P,'Fund Investment Data'!$C:$C = $C2325,'Fund Investment Data'!$A:$A = ($A2325 - 2), 'Fund Investment Data'!$B:$B = 12),0) - SUM(FILTER('Fund Investment Data'!$V:$V, 'Fund Investment Data'!$C:$C = $C2325,"&amp;" 'Fund Investment Data'!$A:$A = ($A2325 - 2), 'Fund Investment Data'!$B:$B &gt; 3)))  * Parameters!$B$4 * (1 - Parameters!$A$4),0)"),0.0)</f>
        <v>0</v>
      </c>
      <c r="Z2325" s="91">
        <f t="shared" si="24"/>
        <v>0</v>
      </c>
      <c r="AA2325" s="91">
        <f>IFERROR(__xludf.DUMMYFUNCTION("((IFERROR((SUM(FILTER('Fund Investment Data'!$V:$V, 'Fund Investment Data'!$C:$C = $C2325, 'Fund Investment Data'!$A:$A = $A2325 - 1, 'Fund Investment Data'!$B:$B &gt;= 4, 'Fund Investment Data'!$B:$B &lt;= ($B2325 + 5))) / 12) * ($B2325 - 3) * Parameters!$B$4,"&amp;" 0) + IF($B2325 &gt;= 9, IFERROR(SUM(FILTER('Fund Investment Data'!$V:$V, 'Fund Investment Data'!$C:$C = $C2325, 'Fund Investment Data'!$A:$A = $A2325, 'Fund Investment Data'!$B:$B &lt;= 3)) * Parameters!$B$4, 0),0)))"),0.0)</f>
        <v>0</v>
      </c>
      <c r="AB2325" s="32">
        <f>IFERROR(__xludf.DUMMYFUNCTION("IFERROR(((IFERROR(SUM(FILTER('Fund Investment Data'!$V:$V, 'Fund Investment Data'!$C:$C = $C2325, 'Fund Investment Data'!$A:$A = $A2325 - 2, 'Fund Investment Data'!$B:$B &gt;= 4)) * Parameters!$B$4,0) + IFERROR(SUM(FILTER('Fund Investment Data'!$V:$V, 'Fund "&amp;"Investment Data'!$C:$C = $C2325, 'Fund Investment Data'!$A:$A = $A2325 - 1, 'Fund Investment Data'!$B:$B &lt;= 3)) * Parameters!$B$4,0))),0)"),0.0)</f>
        <v>0</v>
      </c>
      <c r="AC2325" s="32">
        <f>IFERROR(__xludf.DUMMYFUNCTION("IFERROR(FILTER($AF:$AF,$C:$C = $C2325,$A:$A = $A2325 - 1,$B:$B = 12),0)"),0.0)</f>
        <v>0</v>
      </c>
      <c r="AD2325" s="32">
        <f t="shared" si="23"/>
        <v>0</v>
      </c>
      <c r="AE2325" s="32">
        <f t="shared" si="2"/>
        <v>0</v>
      </c>
      <c r="AF2325" s="32"/>
    </row>
    <row r="2326">
      <c r="A2326" s="86"/>
      <c r="B2326" s="87"/>
      <c r="C2326" s="88"/>
      <c r="D2326" s="104"/>
      <c r="E2326" s="104"/>
      <c r="F2326" s="104"/>
      <c r="G2326" s="104"/>
      <c r="H2326" s="104"/>
      <c r="I2326" s="104"/>
      <c r="J2326" s="104"/>
      <c r="K2326" s="32"/>
      <c r="L2326" s="32"/>
      <c r="M2326" s="32"/>
      <c r="N2326" s="32"/>
      <c r="O2326" s="106"/>
      <c r="P2326" s="91">
        <f>IFERROR(__xludf.DUMMYFUNCTION("IFERROR(sum(FILTER($D:$N,$C:$C = $C2326,$A:$A &lt; $A2326,$B:$B = 12)),0) + sum($D2326:$N2326)"),0.0)</f>
        <v>0</v>
      </c>
      <c r="Q2326" s="92">
        <f t="shared" si="1"/>
        <v>0</v>
      </c>
      <c r="R2326" s="91">
        <f t="array" ref="R2326">IFERROR(INDEX('Fund YTD Target Values'!$1:$1000, MATCH($C2326,'Fund YTD Target Values'!$A:$A,0), MATCH($A2326,'Fund YTD Target Values'!$1:$1,0)),0)</f>
        <v>0</v>
      </c>
      <c r="S2326" s="91">
        <f>IFERROR(__xludf.DUMMYFUNCTION("IFERROR(sum(FILTER('Fund Investment Data'!$V:$V, 'Fund Investment Data'!$C:$C = $C2326, 'Fund Investment Data'!$A:$A &lt; $A2326)),0) + IFERROR(sum(FILTER('Fund Investment Data'!$V:$V, 'Fund Investment Data'!$C:$C = $C2326, 'Fund Investment Data'!$A:$A = $A2"&amp;"326, 'Fund Investment Data'!$B:$B &lt;= $B2326)),0)"),0.0)</f>
        <v>0</v>
      </c>
      <c r="T2326" s="32"/>
      <c r="U2326" s="32"/>
      <c r="V2326" s="32">
        <f>IFERROR(__xludf.DUMMYFUNCTION("$D2326 - IFERROR(FILTER($D:$D,$C:$C = $C2326, $A:$A = $A2326, $B:$B = $B2326 - 1),0)"),0.0)</f>
        <v>0</v>
      </c>
      <c r="W2326" s="93">
        <f>IFERROR(__xludf.DUMMYFUNCTION("$E2326 - IFERROR(FILTER($E:$E,$C:$C = $C2326, $A:$A = $A2326, $B:$B = $B2326 - 1),0)"),0.0)</f>
        <v>0</v>
      </c>
      <c r="X2326" s="91">
        <f>IFERROR(__xludf.DUMMYFUNCTION("iFERROR((FILTER('Fund Investment Data'!$Z:$Z, 'Fund Investment Data'!$C:$C = $C2326, 'Fund Investment Data'!$A:$A = $A2326 - 1, 'Fund Investment Data'!$B:$B = 12) + FILTER('Fund Investment Data'!$AB:$AB, 'Fund Investment Data'!$C:$C = $C2326, 'Fund Invest"&amp;"ment Data'!$A:$A = $A2326 - 1, 'Fund Investment Data'!$B:$B = 12)) * (1 + AVERAGE(FILTER('Inflation Data'!$C:$C,'Inflation Data'!$A:$A = ($A2326 - 2)))) * Parameters!$A$4,0)"),0.0)</f>
        <v>0</v>
      </c>
      <c r="Y2326" s="91">
        <f>IFERROR(__xludf.DUMMYFUNCTION("IFERROR((IFERROR(FILTER('Fund Investment Data'!$P:$P,'Fund Investment Data'!$C:$C = $C2326,'Fund Investment Data'!$A:$A = ($A2326 - 2), 'Fund Investment Data'!$B:$B = 12),0) - SUM(FILTER('Fund Investment Data'!$V:$V, 'Fund Investment Data'!$C:$C = $C2326,"&amp;" 'Fund Investment Data'!$A:$A = ($A2326 - 2), 'Fund Investment Data'!$B:$B &gt; 3)))  * Parameters!$B$4 * (1 - Parameters!$A$4),0)"),0.0)</f>
        <v>0</v>
      </c>
      <c r="Z2326" s="91">
        <f t="shared" si="24"/>
        <v>0</v>
      </c>
      <c r="AA2326" s="91">
        <f>IFERROR(__xludf.DUMMYFUNCTION("((IFERROR((SUM(FILTER('Fund Investment Data'!$V:$V, 'Fund Investment Data'!$C:$C = $C2326, 'Fund Investment Data'!$A:$A = $A2326 - 1, 'Fund Investment Data'!$B:$B &gt;= 4, 'Fund Investment Data'!$B:$B &lt;= ($B2326 + 5))) / 12) * ($B2326 - 3) * Parameters!$B$4,"&amp;" 0) + IF($B2326 &gt;= 9, IFERROR(SUM(FILTER('Fund Investment Data'!$V:$V, 'Fund Investment Data'!$C:$C = $C2326, 'Fund Investment Data'!$A:$A = $A2326, 'Fund Investment Data'!$B:$B &lt;= 3)) * Parameters!$B$4, 0),0)))"),0.0)</f>
        <v>0</v>
      </c>
      <c r="AB2326" s="32">
        <f>IFERROR(__xludf.DUMMYFUNCTION("IFERROR(((IFERROR(SUM(FILTER('Fund Investment Data'!$V:$V, 'Fund Investment Data'!$C:$C = $C2326, 'Fund Investment Data'!$A:$A = $A2326 - 2, 'Fund Investment Data'!$B:$B &gt;= 4)) * Parameters!$B$4,0) + IFERROR(SUM(FILTER('Fund Investment Data'!$V:$V, 'Fund "&amp;"Investment Data'!$C:$C = $C2326, 'Fund Investment Data'!$A:$A = $A2326 - 1, 'Fund Investment Data'!$B:$B &lt;= 3)) * Parameters!$B$4,0))),0)"),0.0)</f>
        <v>0</v>
      </c>
      <c r="AC2326" s="32">
        <f>IFERROR(__xludf.DUMMYFUNCTION("IFERROR(FILTER($AF:$AF,$C:$C = $C2326,$A:$A = $A2326 - 1,$B:$B = 12),0)"),0.0)</f>
        <v>0</v>
      </c>
      <c r="AD2326" s="32">
        <f t="shared" si="23"/>
        <v>0</v>
      </c>
      <c r="AE2326" s="32">
        <f t="shared" si="2"/>
        <v>0</v>
      </c>
      <c r="AF2326" s="32"/>
    </row>
    <row r="2327">
      <c r="A2327" s="86"/>
      <c r="B2327" s="87"/>
      <c r="C2327" s="88"/>
      <c r="D2327" s="104"/>
      <c r="E2327" s="104"/>
      <c r="F2327" s="104"/>
      <c r="G2327" s="104"/>
      <c r="H2327" s="104"/>
      <c r="I2327" s="104"/>
      <c r="J2327" s="104"/>
      <c r="K2327" s="32"/>
      <c r="L2327" s="32"/>
      <c r="M2327" s="32"/>
      <c r="N2327" s="32"/>
      <c r="O2327" s="106"/>
      <c r="P2327" s="91">
        <f>IFERROR(__xludf.DUMMYFUNCTION("IFERROR(sum(FILTER($D:$N,$C:$C = $C2327,$A:$A &lt; $A2327,$B:$B = 12)),0) + sum($D2327:$N2327)"),0.0)</f>
        <v>0</v>
      </c>
      <c r="Q2327" s="92">
        <f t="shared" si="1"/>
        <v>0</v>
      </c>
      <c r="R2327" s="91">
        <f t="array" ref="R2327">IFERROR(INDEX('Fund YTD Target Values'!$1:$1000, MATCH($C2327,'Fund YTD Target Values'!$A:$A,0), MATCH($A2327,'Fund YTD Target Values'!$1:$1,0)),0)</f>
        <v>0</v>
      </c>
      <c r="S2327" s="91">
        <f>IFERROR(__xludf.DUMMYFUNCTION("IFERROR(sum(FILTER('Fund Investment Data'!$V:$V, 'Fund Investment Data'!$C:$C = $C2327, 'Fund Investment Data'!$A:$A &lt; $A2327)),0) + IFERROR(sum(FILTER('Fund Investment Data'!$V:$V, 'Fund Investment Data'!$C:$C = $C2327, 'Fund Investment Data'!$A:$A = $A2"&amp;"327, 'Fund Investment Data'!$B:$B &lt;= $B2327)),0)"),0.0)</f>
        <v>0</v>
      </c>
      <c r="T2327" s="32"/>
      <c r="U2327" s="32"/>
      <c r="V2327" s="32">
        <f>IFERROR(__xludf.DUMMYFUNCTION("$D2327 - IFERROR(FILTER($D:$D,$C:$C = $C2327, $A:$A = $A2327, $B:$B = $B2327 - 1),0)"),0.0)</f>
        <v>0</v>
      </c>
      <c r="W2327" s="93">
        <f>IFERROR(__xludf.DUMMYFUNCTION("$E2327 - IFERROR(FILTER($E:$E,$C:$C = $C2327, $A:$A = $A2327, $B:$B = $B2327 - 1),0)"),0.0)</f>
        <v>0</v>
      </c>
      <c r="X2327" s="91">
        <f>IFERROR(__xludf.DUMMYFUNCTION("iFERROR((FILTER('Fund Investment Data'!$Z:$Z, 'Fund Investment Data'!$C:$C = $C2327, 'Fund Investment Data'!$A:$A = $A2327 - 1, 'Fund Investment Data'!$B:$B = 12) + FILTER('Fund Investment Data'!$AB:$AB, 'Fund Investment Data'!$C:$C = $C2327, 'Fund Invest"&amp;"ment Data'!$A:$A = $A2327 - 1, 'Fund Investment Data'!$B:$B = 12)) * (1 + AVERAGE(FILTER('Inflation Data'!$C:$C,'Inflation Data'!$A:$A = ($A2327 - 2)))) * Parameters!$A$4,0)"),0.0)</f>
        <v>0</v>
      </c>
      <c r="Y2327" s="91">
        <f>IFERROR(__xludf.DUMMYFUNCTION("IFERROR((IFERROR(FILTER('Fund Investment Data'!$P:$P,'Fund Investment Data'!$C:$C = $C2327,'Fund Investment Data'!$A:$A = ($A2327 - 2), 'Fund Investment Data'!$B:$B = 12),0) - SUM(FILTER('Fund Investment Data'!$V:$V, 'Fund Investment Data'!$C:$C = $C2327,"&amp;" 'Fund Investment Data'!$A:$A = ($A2327 - 2), 'Fund Investment Data'!$B:$B &gt; 3)))  * Parameters!$B$4 * (1 - Parameters!$A$4),0)"),0.0)</f>
        <v>0</v>
      </c>
      <c r="Z2327" s="91">
        <f t="shared" si="24"/>
        <v>0</v>
      </c>
      <c r="AA2327" s="91">
        <f>IFERROR(__xludf.DUMMYFUNCTION("((IFERROR((SUM(FILTER('Fund Investment Data'!$V:$V, 'Fund Investment Data'!$C:$C = $C2327, 'Fund Investment Data'!$A:$A = $A2327 - 1, 'Fund Investment Data'!$B:$B &gt;= 4, 'Fund Investment Data'!$B:$B &lt;= ($B2327 + 5))) / 12) * ($B2327 - 3) * Parameters!$B$4,"&amp;" 0) + IF($B2327 &gt;= 9, IFERROR(SUM(FILTER('Fund Investment Data'!$V:$V, 'Fund Investment Data'!$C:$C = $C2327, 'Fund Investment Data'!$A:$A = $A2327, 'Fund Investment Data'!$B:$B &lt;= 3)) * Parameters!$B$4, 0),0)))"),0.0)</f>
        <v>0</v>
      </c>
      <c r="AB2327" s="32">
        <f>IFERROR(__xludf.DUMMYFUNCTION("IFERROR(((IFERROR(SUM(FILTER('Fund Investment Data'!$V:$V, 'Fund Investment Data'!$C:$C = $C2327, 'Fund Investment Data'!$A:$A = $A2327 - 2, 'Fund Investment Data'!$B:$B &gt;= 4)) * Parameters!$B$4,0) + IFERROR(SUM(FILTER('Fund Investment Data'!$V:$V, 'Fund "&amp;"Investment Data'!$C:$C = $C2327, 'Fund Investment Data'!$A:$A = $A2327 - 1, 'Fund Investment Data'!$B:$B &lt;= 3)) * Parameters!$B$4,0))),0)"),0.0)</f>
        <v>0</v>
      </c>
      <c r="AC2327" s="32">
        <f>IFERROR(__xludf.DUMMYFUNCTION("IFERROR(FILTER($AF:$AF,$C:$C = $C2327,$A:$A = $A2327 - 1,$B:$B = 12),0)"),0.0)</f>
        <v>0</v>
      </c>
      <c r="AD2327" s="32">
        <f t="shared" si="23"/>
        <v>0</v>
      </c>
      <c r="AE2327" s="32">
        <f t="shared" si="2"/>
        <v>0</v>
      </c>
      <c r="AF2327" s="32"/>
    </row>
    <row r="2328">
      <c r="A2328" s="86"/>
      <c r="B2328" s="87"/>
      <c r="C2328" s="88"/>
      <c r="D2328" s="104"/>
      <c r="E2328" s="104"/>
      <c r="F2328" s="104"/>
      <c r="G2328" s="104"/>
      <c r="H2328" s="104"/>
      <c r="I2328" s="104"/>
      <c r="J2328" s="104"/>
      <c r="K2328" s="32"/>
      <c r="L2328" s="32"/>
      <c r="M2328" s="32"/>
      <c r="N2328" s="32"/>
      <c r="O2328" s="106"/>
      <c r="P2328" s="91">
        <f>IFERROR(__xludf.DUMMYFUNCTION("IFERROR(sum(FILTER($D:$N,$C:$C = $C2328,$A:$A &lt; $A2328,$B:$B = 12)),0) + sum($D2328:$N2328)"),0.0)</f>
        <v>0</v>
      </c>
      <c r="Q2328" s="92">
        <f t="shared" si="1"/>
        <v>0</v>
      </c>
      <c r="R2328" s="91">
        <f t="array" ref="R2328">IFERROR(INDEX('Fund YTD Target Values'!$1:$1000, MATCH($C2328,'Fund YTD Target Values'!$A:$A,0), MATCH($A2328,'Fund YTD Target Values'!$1:$1,0)),0)</f>
        <v>0</v>
      </c>
      <c r="S2328" s="91">
        <f>IFERROR(__xludf.DUMMYFUNCTION("IFERROR(sum(FILTER('Fund Investment Data'!$V:$V, 'Fund Investment Data'!$C:$C = $C2328, 'Fund Investment Data'!$A:$A &lt; $A2328)),0) + IFERROR(sum(FILTER('Fund Investment Data'!$V:$V, 'Fund Investment Data'!$C:$C = $C2328, 'Fund Investment Data'!$A:$A = $A2"&amp;"328, 'Fund Investment Data'!$B:$B &lt;= $B2328)),0)"),0.0)</f>
        <v>0</v>
      </c>
      <c r="T2328" s="32"/>
      <c r="U2328" s="32"/>
      <c r="V2328" s="32">
        <f>IFERROR(__xludf.DUMMYFUNCTION("$D2328 - IFERROR(FILTER($D:$D,$C:$C = $C2328, $A:$A = $A2328, $B:$B = $B2328 - 1),0)"),0.0)</f>
        <v>0</v>
      </c>
      <c r="W2328" s="93">
        <f>IFERROR(__xludf.DUMMYFUNCTION("$E2328 - IFERROR(FILTER($E:$E,$C:$C = $C2328, $A:$A = $A2328, $B:$B = $B2328 - 1),0)"),0.0)</f>
        <v>0</v>
      </c>
      <c r="X2328" s="91">
        <f>IFERROR(__xludf.DUMMYFUNCTION("iFERROR((FILTER('Fund Investment Data'!$Z:$Z, 'Fund Investment Data'!$C:$C = $C2328, 'Fund Investment Data'!$A:$A = $A2328 - 1, 'Fund Investment Data'!$B:$B = 12) + FILTER('Fund Investment Data'!$AB:$AB, 'Fund Investment Data'!$C:$C = $C2328, 'Fund Invest"&amp;"ment Data'!$A:$A = $A2328 - 1, 'Fund Investment Data'!$B:$B = 12)) * (1 + AVERAGE(FILTER('Inflation Data'!$C:$C,'Inflation Data'!$A:$A = ($A2328 - 2)))) * Parameters!$A$4,0)"),0.0)</f>
        <v>0</v>
      </c>
      <c r="Y2328" s="91">
        <f>IFERROR(__xludf.DUMMYFUNCTION("IFERROR((IFERROR(FILTER('Fund Investment Data'!$P:$P,'Fund Investment Data'!$C:$C = $C2328,'Fund Investment Data'!$A:$A = ($A2328 - 2), 'Fund Investment Data'!$B:$B = 12),0) - SUM(FILTER('Fund Investment Data'!$V:$V, 'Fund Investment Data'!$C:$C = $C2328,"&amp;" 'Fund Investment Data'!$A:$A = ($A2328 - 2), 'Fund Investment Data'!$B:$B &gt; 3)))  * Parameters!$B$4 * (1 - Parameters!$A$4),0)"),0.0)</f>
        <v>0</v>
      </c>
      <c r="Z2328" s="91">
        <f t="shared" si="24"/>
        <v>0</v>
      </c>
      <c r="AA2328" s="91">
        <f>IFERROR(__xludf.DUMMYFUNCTION("((IFERROR((SUM(FILTER('Fund Investment Data'!$V:$V, 'Fund Investment Data'!$C:$C = $C2328, 'Fund Investment Data'!$A:$A = $A2328 - 1, 'Fund Investment Data'!$B:$B &gt;= 4, 'Fund Investment Data'!$B:$B &lt;= ($B2328 + 5))) / 12) * ($B2328 - 3) * Parameters!$B$4,"&amp;" 0) + IF($B2328 &gt;= 9, IFERROR(SUM(FILTER('Fund Investment Data'!$V:$V, 'Fund Investment Data'!$C:$C = $C2328, 'Fund Investment Data'!$A:$A = $A2328, 'Fund Investment Data'!$B:$B &lt;= 3)) * Parameters!$B$4, 0),0)))"),0.0)</f>
        <v>0</v>
      </c>
      <c r="AB2328" s="32">
        <f>IFERROR(__xludf.DUMMYFUNCTION("IFERROR(((IFERROR(SUM(FILTER('Fund Investment Data'!$V:$V, 'Fund Investment Data'!$C:$C = $C2328, 'Fund Investment Data'!$A:$A = $A2328 - 2, 'Fund Investment Data'!$B:$B &gt;= 4)) * Parameters!$B$4,0) + IFERROR(SUM(FILTER('Fund Investment Data'!$V:$V, 'Fund "&amp;"Investment Data'!$C:$C = $C2328, 'Fund Investment Data'!$A:$A = $A2328 - 1, 'Fund Investment Data'!$B:$B &lt;= 3)) * Parameters!$B$4,0))),0)"),0.0)</f>
        <v>0</v>
      </c>
      <c r="AC2328" s="32">
        <f>IFERROR(__xludf.DUMMYFUNCTION("IFERROR(FILTER($AF:$AF,$C:$C = $C2328,$A:$A = $A2328 - 1,$B:$B = 12),0)"),0.0)</f>
        <v>0</v>
      </c>
      <c r="AD2328" s="32">
        <f t="shared" si="23"/>
        <v>0</v>
      </c>
      <c r="AE2328" s="32">
        <f t="shared" si="2"/>
        <v>0</v>
      </c>
      <c r="AF2328" s="32"/>
    </row>
    <row r="2329">
      <c r="A2329" s="86"/>
      <c r="B2329" s="87"/>
      <c r="C2329" s="88"/>
      <c r="D2329" s="104"/>
      <c r="E2329" s="104"/>
      <c r="F2329" s="104"/>
      <c r="G2329" s="104"/>
      <c r="H2329" s="104"/>
      <c r="I2329" s="104"/>
      <c r="J2329" s="104"/>
      <c r="K2329" s="32"/>
      <c r="L2329" s="32"/>
      <c r="M2329" s="32"/>
      <c r="N2329" s="32"/>
      <c r="O2329" s="106"/>
      <c r="P2329" s="91">
        <f>IFERROR(__xludf.DUMMYFUNCTION("IFERROR(sum(FILTER($D:$N,$C:$C = $C2329,$A:$A &lt; $A2329,$B:$B = 12)),0) + sum($D2329:$N2329)"),0.0)</f>
        <v>0</v>
      </c>
      <c r="Q2329" s="92">
        <f t="shared" si="1"/>
        <v>0</v>
      </c>
      <c r="R2329" s="91">
        <f t="array" ref="R2329">IFERROR(INDEX('Fund YTD Target Values'!$1:$1000, MATCH($C2329,'Fund YTD Target Values'!$A:$A,0), MATCH($A2329,'Fund YTD Target Values'!$1:$1,0)),0)</f>
        <v>0</v>
      </c>
      <c r="S2329" s="91">
        <f>IFERROR(__xludf.DUMMYFUNCTION("IFERROR(sum(FILTER('Fund Investment Data'!$V:$V, 'Fund Investment Data'!$C:$C = $C2329, 'Fund Investment Data'!$A:$A &lt; $A2329)),0) + IFERROR(sum(FILTER('Fund Investment Data'!$V:$V, 'Fund Investment Data'!$C:$C = $C2329, 'Fund Investment Data'!$A:$A = $A2"&amp;"329, 'Fund Investment Data'!$B:$B &lt;= $B2329)),0)"),0.0)</f>
        <v>0</v>
      </c>
      <c r="T2329" s="32"/>
      <c r="U2329" s="32"/>
      <c r="V2329" s="32">
        <f>IFERROR(__xludf.DUMMYFUNCTION("$D2329 - IFERROR(FILTER($D:$D,$C:$C = $C2329, $A:$A = $A2329, $B:$B = $B2329 - 1),0)"),0.0)</f>
        <v>0</v>
      </c>
      <c r="W2329" s="93">
        <f>IFERROR(__xludf.DUMMYFUNCTION("$E2329 - IFERROR(FILTER($E:$E,$C:$C = $C2329, $A:$A = $A2329, $B:$B = $B2329 - 1),0)"),0.0)</f>
        <v>0</v>
      </c>
      <c r="X2329" s="91">
        <f>IFERROR(__xludf.DUMMYFUNCTION("iFERROR((FILTER('Fund Investment Data'!$Z:$Z, 'Fund Investment Data'!$C:$C = $C2329, 'Fund Investment Data'!$A:$A = $A2329 - 1, 'Fund Investment Data'!$B:$B = 12) + FILTER('Fund Investment Data'!$AB:$AB, 'Fund Investment Data'!$C:$C = $C2329, 'Fund Invest"&amp;"ment Data'!$A:$A = $A2329 - 1, 'Fund Investment Data'!$B:$B = 12)) * (1 + AVERAGE(FILTER('Inflation Data'!$C:$C,'Inflation Data'!$A:$A = ($A2329 - 2)))) * Parameters!$A$4,0)"),0.0)</f>
        <v>0</v>
      </c>
      <c r="Y2329" s="91">
        <f>IFERROR(__xludf.DUMMYFUNCTION("IFERROR((IFERROR(FILTER('Fund Investment Data'!$P:$P,'Fund Investment Data'!$C:$C = $C2329,'Fund Investment Data'!$A:$A = ($A2329 - 2), 'Fund Investment Data'!$B:$B = 12),0) - SUM(FILTER('Fund Investment Data'!$V:$V, 'Fund Investment Data'!$C:$C = $C2329,"&amp;" 'Fund Investment Data'!$A:$A = ($A2329 - 2), 'Fund Investment Data'!$B:$B &gt; 3)))  * Parameters!$B$4 * (1 - Parameters!$A$4),0)"),0.0)</f>
        <v>0</v>
      </c>
      <c r="Z2329" s="91">
        <f t="shared" si="24"/>
        <v>0</v>
      </c>
      <c r="AA2329" s="91">
        <f>IFERROR(__xludf.DUMMYFUNCTION("((IFERROR((SUM(FILTER('Fund Investment Data'!$V:$V, 'Fund Investment Data'!$C:$C = $C2329, 'Fund Investment Data'!$A:$A = $A2329 - 1, 'Fund Investment Data'!$B:$B &gt;= 4, 'Fund Investment Data'!$B:$B &lt;= ($B2329 + 5))) / 12) * ($B2329 - 3) * Parameters!$B$4,"&amp;" 0) + IF($B2329 &gt;= 9, IFERROR(SUM(FILTER('Fund Investment Data'!$V:$V, 'Fund Investment Data'!$C:$C = $C2329, 'Fund Investment Data'!$A:$A = $A2329, 'Fund Investment Data'!$B:$B &lt;= 3)) * Parameters!$B$4, 0),0)))"),0.0)</f>
        <v>0</v>
      </c>
      <c r="AB2329" s="32">
        <f>IFERROR(__xludf.DUMMYFUNCTION("IFERROR(((IFERROR(SUM(FILTER('Fund Investment Data'!$V:$V, 'Fund Investment Data'!$C:$C = $C2329, 'Fund Investment Data'!$A:$A = $A2329 - 2, 'Fund Investment Data'!$B:$B &gt;= 4)) * Parameters!$B$4,0) + IFERROR(SUM(FILTER('Fund Investment Data'!$V:$V, 'Fund "&amp;"Investment Data'!$C:$C = $C2329, 'Fund Investment Data'!$A:$A = $A2329 - 1, 'Fund Investment Data'!$B:$B &lt;= 3)) * Parameters!$B$4,0))),0)"),0.0)</f>
        <v>0</v>
      </c>
      <c r="AC2329" s="32">
        <f>IFERROR(__xludf.DUMMYFUNCTION("IFERROR(FILTER($AF:$AF,$C:$C = $C2329,$A:$A = $A2329 - 1,$B:$B = 12),0)"),0.0)</f>
        <v>0</v>
      </c>
      <c r="AD2329" s="32">
        <f t="shared" si="23"/>
        <v>0</v>
      </c>
      <c r="AE2329" s="32">
        <f t="shared" si="2"/>
        <v>0</v>
      </c>
      <c r="AF2329" s="32"/>
    </row>
    <row r="2330">
      <c r="A2330" s="86"/>
      <c r="B2330" s="87"/>
      <c r="C2330" s="88"/>
      <c r="D2330" s="104"/>
      <c r="E2330" s="104"/>
      <c r="F2330" s="104"/>
      <c r="G2330" s="104"/>
      <c r="H2330" s="104"/>
      <c r="I2330" s="104"/>
      <c r="J2330" s="104"/>
      <c r="K2330" s="32"/>
      <c r="L2330" s="32"/>
      <c r="M2330" s="32"/>
      <c r="N2330" s="32"/>
      <c r="O2330" s="106"/>
      <c r="P2330" s="91">
        <f>IFERROR(__xludf.DUMMYFUNCTION("IFERROR(sum(FILTER($D:$N,$C:$C = $C2330,$A:$A &lt; $A2330,$B:$B = 12)),0) + sum($D2330:$N2330)"),0.0)</f>
        <v>0</v>
      </c>
      <c r="Q2330" s="92">
        <f t="shared" si="1"/>
        <v>0</v>
      </c>
      <c r="R2330" s="91">
        <f t="array" ref="R2330">IFERROR(INDEX('Fund YTD Target Values'!$1:$1000, MATCH($C2330,'Fund YTD Target Values'!$A:$A,0), MATCH($A2330,'Fund YTD Target Values'!$1:$1,0)),0)</f>
        <v>0</v>
      </c>
      <c r="S2330" s="91">
        <f>IFERROR(__xludf.DUMMYFUNCTION("IFERROR(sum(FILTER('Fund Investment Data'!$V:$V, 'Fund Investment Data'!$C:$C = $C2330, 'Fund Investment Data'!$A:$A &lt; $A2330)),0) + IFERROR(sum(FILTER('Fund Investment Data'!$V:$V, 'Fund Investment Data'!$C:$C = $C2330, 'Fund Investment Data'!$A:$A = $A2"&amp;"330, 'Fund Investment Data'!$B:$B &lt;= $B2330)),0)"),0.0)</f>
        <v>0</v>
      </c>
      <c r="T2330" s="32"/>
      <c r="U2330" s="32"/>
      <c r="V2330" s="32">
        <f>IFERROR(__xludf.DUMMYFUNCTION("$D2330 - IFERROR(FILTER($D:$D,$C:$C = $C2330, $A:$A = $A2330, $B:$B = $B2330 - 1),0)"),0.0)</f>
        <v>0</v>
      </c>
      <c r="W2330" s="93">
        <f>IFERROR(__xludf.DUMMYFUNCTION("$E2330 - IFERROR(FILTER($E:$E,$C:$C = $C2330, $A:$A = $A2330, $B:$B = $B2330 - 1),0)"),0.0)</f>
        <v>0</v>
      </c>
      <c r="X2330" s="91">
        <f>IFERROR(__xludf.DUMMYFUNCTION("iFERROR((FILTER('Fund Investment Data'!$Z:$Z, 'Fund Investment Data'!$C:$C = $C2330, 'Fund Investment Data'!$A:$A = $A2330 - 1, 'Fund Investment Data'!$B:$B = 12) + FILTER('Fund Investment Data'!$AB:$AB, 'Fund Investment Data'!$C:$C = $C2330, 'Fund Invest"&amp;"ment Data'!$A:$A = $A2330 - 1, 'Fund Investment Data'!$B:$B = 12)) * (1 + AVERAGE(FILTER('Inflation Data'!$C:$C,'Inflation Data'!$A:$A = ($A2330 - 2)))) * Parameters!$A$4,0)"),0.0)</f>
        <v>0</v>
      </c>
      <c r="Y2330" s="91">
        <f>IFERROR(__xludf.DUMMYFUNCTION("IFERROR((IFERROR(FILTER('Fund Investment Data'!$P:$P,'Fund Investment Data'!$C:$C = $C2330,'Fund Investment Data'!$A:$A = ($A2330 - 2), 'Fund Investment Data'!$B:$B = 12),0) - SUM(FILTER('Fund Investment Data'!$V:$V, 'Fund Investment Data'!$C:$C = $C2330,"&amp;" 'Fund Investment Data'!$A:$A = ($A2330 - 2), 'Fund Investment Data'!$B:$B &gt; 3)))  * Parameters!$B$4 * (1 - Parameters!$A$4),0)"),0.0)</f>
        <v>0</v>
      </c>
      <c r="Z2330" s="91">
        <f t="shared" si="24"/>
        <v>0</v>
      </c>
      <c r="AA2330" s="91">
        <f>IFERROR(__xludf.DUMMYFUNCTION("((IFERROR((SUM(FILTER('Fund Investment Data'!$V:$V, 'Fund Investment Data'!$C:$C = $C2330, 'Fund Investment Data'!$A:$A = $A2330 - 1, 'Fund Investment Data'!$B:$B &gt;= 4, 'Fund Investment Data'!$B:$B &lt;= ($B2330 + 5))) / 12) * ($B2330 - 3) * Parameters!$B$4,"&amp;" 0) + IF($B2330 &gt;= 9, IFERROR(SUM(FILTER('Fund Investment Data'!$V:$V, 'Fund Investment Data'!$C:$C = $C2330, 'Fund Investment Data'!$A:$A = $A2330, 'Fund Investment Data'!$B:$B &lt;= 3)) * Parameters!$B$4, 0),0)))"),0.0)</f>
        <v>0</v>
      </c>
      <c r="AB2330" s="32">
        <f>IFERROR(__xludf.DUMMYFUNCTION("IFERROR(((IFERROR(SUM(FILTER('Fund Investment Data'!$V:$V, 'Fund Investment Data'!$C:$C = $C2330, 'Fund Investment Data'!$A:$A = $A2330 - 2, 'Fund Investment Data'!$B:$B &gt;= 4)) * Parameters!$B$4,0) + IFERROR(SUM(FILTER('Fund Investment Data'!$V:$V, 'Fund "&amp;"Investment Data'!$C:$C = $C2330, 'Fund Investment Data'!$A:$A = $A2330 - 1, 'Fund Investment Data'!$B:$B &lt;= 3)) * Parameters!$B$4,0))),0)"),0.0)</f>
        <v>0</v>
      </c>
      <c r="AC2330" s="32">
        <f>IFERROR(__xludf.DUMMYFUNCTION("IFERROR(FILTER($AF:$AF,$C:$C = $C2330,$A:$A = $A2330 - 1,$B:$B = 12),0)"),0.0)</f>
        <v>0</v>
      </c>
      <c r="AD2330" s="32">
        <f t="shared" si="23"/>
        <v>0</v>
      </c>
      <c r="AE2330" s="32">
        <f t="shared" si="2"/>
        <v>0</v>
      </c>
      <c r="AF2330" s="32"/>
    </row>
    <row r="2331">
      <c r="A2331" s="86"/>
      <c r="B2331" s="87"/>
      <c r="C2331" s="88"/>
      <c r="D2331" s="104"/>
      <c r="E2331" s="104"/>
      <c r="F2331" s="104"/>
      <c r="G2331" s="104"/>
      <c r="H2331" s="104"/>
      <c r="I2331" s="104"/>
      <c r="J2331" s="104"/>
      <c r="K2331" s="32"/>
      <c r="L2331" s="32"/>
      <c r="M2331" s="32"/>
      <c r="N2331" s="32"/>
      <c r="O2331" s="106"/>
      <c r="P2331" s="91">
        <f>IFERROR(__xludf.DUMMYFUNCTION("IFERROR(sum(FILTER($D:$N,$C:$C = $C2331,$A:$A &lt; $A2331,$B:$B = 12)),0) + sum($D2331:$N2331)"),0.0)</f>
        <v>0</v>
      </c>
      <c r="Q2331" s="92">
        <f t="shared" si="1"/>
        <v>0</v>
      </c>
      <c r="R2331" s="91">
        <f t="array" ref="R2331">IFERROR(INDEX('Fund YTD Target Values'!$1:$1000, MATCH($C2331,'Fund YTD Target Values'!$A:$A,0), MATCH($A2331,'Fund YTD Target Values'!$1:$1,0)),0)</f>
        <v>0</v>
      </c>
      <c r="S2331" s="91">
        <f>IFERROR(__xludf.DUMMYFUNCTION("IFERROR(sum(FILTER('Fund Investment Data'!$V:$V, 'Fund Investment Data'!$C:$C = $C2331, 'Fund Investment Data'!$A:$A &lt; $A2331)),0) + IFERROR(sum(FILTER('Fund Investment Data'!$V:$V, 'Fund Investment Data'!$C:$C = $C2331, 'Fund Investment Data'!$A:$A = $A2"&amp;"331, 'Fund Investment Data'!$B:$B &lt;= $B2331)),0)"),0.0)</f>
        <v>0</v>
      </c>
      <c r="T2331" s="32"/>
      <c r="U2331" s="32"/>
      <c r="V2331" s="32">
        <f>IFERROR(__xludf.DUMMYFUNCTION("$D2331 - IFERROR(FILTER($D:$D,$C:$C = $C2331, $A:$A = $A2331, $B:$B = $B2331 - 1),0)"),0.0)</f>
        <v>0</v>
      </c>
      <c r="W2331" s="93">
        <f>IFERROR(__xludf.DUMMYFUNCTION("$E2331 - IFERROR(FILTER($E:$E,$C:$C = $C2331, $A:$A = $A2331, $B:$B = $B2331 - 1),0)"),0.0)</f>
        <v>0</v>
      </c>
      <c r="X2331" s="91">
        <f>IFERROR(__xludf.DUMMYFUNCTION("iFERROR((FILTER('Fund Investment Data'!$Z:$Z, 'Fund Investment Data'!$C:$C = $C2331, 'Fund Investment Data'!$A:$A = $A2331 - 1, 'Fund Investment Data'!$B:$B = 12) + FILTER('Fund Investment Data'!$AB:$AB, 'Fund Investment Data'!$C:$C = $C2331, 'Fund Invest"&amp;"ment Data'!$A:$A = $A2331 - 1, 'Fund Investment Data'!$B:$B = 12)) * (1 + AVERAGE(FILTER('Inflation Data'!$C:$C,'Inflation Data'!$A:$A = ($A2331 - 2)))) * Parameters!$A$4,0)"),0.0)</f>
        <v>0</v>
      </c>
      <c r="Y2331" s="91">
        <f>IFERROR(__xludf.DUMMYFUNCTION("IFERROR((IFERROR(FILTER('Fund Investment Data'!$P:$P,'Fund Investment Data'!$C:$C = $C2331,'Fund Investment Data'!$A:$A = ($A2331 - 2), 'Fund Investment Data'!$B:$B = 12),0) - SUM(FILTER('Fund Investment Data'!$V:$V, 'Fund Investment Data'!$C:$C = $C2331,"&amp;" 'Fund Investment Data'!$A:$A = ($A2331 - 2), 'Fund Investment Data'!$B:$B &gt; 3)))  * Parameters!$B$4 * (1 - Parameters!$A$4),0)"),0.0)</f>
        <v>0</v>
      </c>
      <c r="Z2331" s="91">
        <f t="shared" si="24"/>
        <v>0</v>
      </c>
      <c r="AA2331" s="91">
        <f>IFERROR(__xludf.DUMMYFUNCTION("((IFERROR((SUM(FILTER('Fund Investment Data'!$V:$V, 'Fund Investment Data'!$C:$C = $C2331, 'Fund Investment Data'!$A:$A = $A2331 - 1, 'Fund Investment Data'!$B:$B &gt;= 4, 'Fund Investment Data'!$B:$B &lt;= ($B2331 + 5))) / 12) * ($B2331 - 3) * Parameters!$B$4,"&amp;" 0) + IF($B2331 &gt;= 9, IFERROR(SUM(FILTER('Fund Investment Data'!$V:$V, 'Fund Investment Data'!$C:$C = $C2331, 'Fund Investment Data'!$A:$A = $A2331, 'Fund Investment Data'!$B:$B &lt;= 3)) * Parameters!$B$4, 0),0)))"),0.0)</f>
        <v>0</v>
      </c>
      <c r="AB2331" s="32">
        <f>IFERROR(__xludf.DUMMYFUNCTION("IFERROR(((IFERROR(SUM(FILTER('Fund Investment Data'!$V:$V, 'Fund Investment Data'!$C:$C = $C2331, 'Fund Investment Data'!$A:$A = $A2331 - 2, 'Fund Investment Data'!$B:$B &gt;= 4)) * Parameters!$B$4,0) + IFERROR(SUM(FILTER('Fund Investment Data'!$V:$V, 'Fund "&amp;"Investment Data'!$C:$C = $C2331, 'Fund Investment Data'!$A:$A = $A2331 - 1, 'Fund Investment Data'!$B:$B &lt;= 3)) * Parameters!$B$4,0))),0)"),0.0)</f>
        <v>0</v>
      </c>
      <c r="AC2331" s="32">
        <f>IFERROR(__xludf.DUMMYFUNCTION("IFERROR(FILTER($AF:$AF,$C:$C = $C2331,$A:$A = $A2331 - 1,$B:$B = 12),0)"),0.0)</f>
        <v>0</v>
      </c>
      <c r="AD2331" s="32">
        <f t="shared" si="23"/>
        <v>0</v>
      </c>
      <c r="AE2331" s="32">
        <f t="shared" si="2"/>
        <v>0</v>
      </c>
      <c r="AF2331" s="32"/>
    </row>
    <row r="2332">
      <c r="A2332" s="86"/>
      <c r="B2332" s="87"/>
      <c r="C2332" s="88"/>
      <c r="D2332" s="104"/>
      <c r="E2332" s="104"/>
      <c r="F2332" s="104"/>
      <c r="G2332" s="104"/>
      <c r="H2332" s="104"/>
      <c r="I2332" s="104"/>
      <c r="J2332" s="104"/>
      <c r="K2332" s="32"/>
      <c r="L2332" s="32"/>
      <c r="M2332" s="32"/>
      <c r="N2332" s="32"/>
      <c r="O2332" s="106"/>
      <c r="P2332" s="91">
        <f>IFERROR(__xludf.DUMMYFUNCTION("IFERROR(sum(FILTER($D:$N,$C:$C = $C2332,$A:$A &lt; $A2332,$B:$B = 12)),0) + sum($D2332:$N2332)"),0.0)</f>
        <v>0</v>
      </c>
      <c r="Q2332" s="92">
        <f t="shared" si="1"/>
        <v>0</v>
      </c>
      <c r="R2332" s="91">
        <f t="array" ref="R2332">IFERROR(INDEX('Fund YTD Target Values'!$1:$1000, MATCH($C2332,'Fund YTD Target Values'!$A:$A,0), MATCH($A2332,'Fund YTD Target Values'!$1:$1,0)),0)</f>
        <v>0</v>
      </c>
      <c r="S2332" s="91">
        <f>IFERROR(__xludf.DUMMYFUNCTION("IFERROR(sum(FILTER('Fund Investment Data'!$V:$V, 'Fund Investment Data'!$C:$C = $C2332, 'Fund Investment Data'!$A:$A &lt; $A2332)),0) + IFERROR(sum(FILTER('Fund Investment Data'!$V:$V, 'Fund Investment Data'!$C:$C = $C2332, 'Fund Investment Data'!$A:$A = $A2"&amp;"332, 'Fund Investment Data'!$B:$B &lt;= $B2332)),0)"),0.0)</f>
        <v>0</v>
      </c>
      <c r="T2332" s="32"/>
      <c r="U2332" s="32"/>
      <c r="V2332" s="32">
        <f>IFERROR(__xludf.DUMMYFUNCTION("$D2332 - IFERROR(FILTER($D:$D,$C:$C = $C2332, $A:$A = $A2332, $B:$B = $B2332 - 1),0)"),0.0)</f>
        <v>0</v>
      </c>
      <c r="W2332" s="93">
        <f>IFERROR(__xludf.DUMMYFUNCTION("$E2332 - IFERROR(FILTER($E:$E,$C:$C = $C2332, $A:$A = $A2332, $B:$B = $B2332 - 1),0)"),0.0)</f>
        <v>0</v>
      </c>
      <c r="X2332" s="91">
        <f>IFERROR(__xludf.DUMMYFUNCTION("iFERROR((FILTER('Fund Investment Data'!$Z:$Z, 'Fund Investment Data'!$C:$C = $C2332, 'Fund Investment Data'!$A:$A = $A2332 - 1, 'Fund Investment Data'!$B:$B = 12) + FILTER('Fund Investment Data'!$AB:$AB, 'Fund Investment Data'!$C:$C = $C2332, 'Fund Invest"&amp;"ment Data'!$A:$A = $A2332 - 1, 'Fund Investment Data'!$B:$B = 12)) * (1 + AVERAGE(FILTER('Inflation Data'!$C:$C,'Inflation Data'!$A:$A = ($A2332 - 2)))) * Parameters!$A$4,0)"),0.0)</f>
        <v>0</v>
      </c>
      <c r="Y2332" s="91">
        <f>IFERROR(__xludf.DUMMYFUNCTION("IFERROR((IFERROR(FILTER('Fund Investment Data'!$P:$P,'Fund Investment Data'!$C:$C = $C2332,'Fund Investment Data'!$A:$A = ($A2332 - 2), 'Fund Investment Data'!$B:$B = 12),0) - SUM(FILTER('Fund Investment Data'!$V:$V, 'Fund Investment Data'!$C:$C = $C2332,"&amp;" 'Fund Investment Data'!$A:$A = ($A2332 - 2), 'Fund Investment Data'!$B:$B &gt; 3)))  * Parameters!$B$4 * (1 - Parameters!$A$4),0)"),0.0)</f>
        <v>0</v>
      </c>
      <c r="Z2332" s="91">
        <f t="shared" si="24"/>
        <v>0</v>
      </c>
      <c r="AA2332" s="91">
        <f>IFERROR(__xludf.DUMMYFUNCTION("((IFERROR((SUM(FILTER('Fund Investment Data'!$V:$V, 'Fund Investment Data'!$C:$C = $C2332, 'Fund Investment Data'!$A:$A = $A2332 - 1, 'Fund Investment Data'!$B:$B &gt;= 4, 'Fund Investment Data'!$B:$B &lt;= ($B2332 + 5))) / 12) * ($B2332 - 3) * Parameters!$B$4,"&amp;" 0) + IF($B2332 &gt;= 9, IFERROR(SUM(FILTER('Fund Investment Data'!$V:$V, 'Fund Investment Data'!$C:$C = $C2332, 'Fund Investment Data'!$A:$A = $A2332, 'Fund Investment Data'!$B:$B &lt;= 3)) * Parameters!$B$4, 0),0)))"),0.0)</f>
        <v>0</v>
      </c>
      <c r="AB2332" s="32">
        <f>IFERROR(__xludf.DUMMYFUNCTION("IFERROR(((IFERROR(SUM(FILTER('Fund Investment Data'!$V:$V, 'Fund Investment Data'!$C:$C = $C2332, 'Fund Investment Data'!$A:$A = $A2332 - 2, 'Fund Investment Data'!$B:$B &gt;= 4)) * Parameters!$B$4,0) + IFERROR(SUM(FILTER('Fund Investment Data'!$V:$V, 'Fund "&amp;"Investment Data'!$C:$C = $C2332, 'Fund Investment Data'!$A:$A = $A2332 - 1, 'Fund Investment Data'!$B:$B &lt;= 3)) * Parameters!$B$4,0))),0)"),0.0)</f>
        <v>0</v>
      </c>
      <c r="AC2332" s="32">
        <f>IFERROR(__xludf.DUMMYFUNCTION("IFERROR(FILTER($AF:$AF,$C:$C = $C2332,$A:$A = $A2332 - 1,$B:$B = 12),0)"),0.0)</f>
        <v>0</v>
      </c>
      <c r="AD2332" s="32">
        <f t="shared" si="23"/>
        <v>0</v>
      </c>
      <c r="AE2332" s="32">
        <f t="shared" si="2"/>
        <v>0</v>
      </c>
      <c r="AF2332" s="32"/>
    </row>
    <row r="2333">
      <c r="A2333" s="86"/>
      <c r="B2333" s="87"/>
      <c r="C2333" s="88"/>
      <c r="D2333" s="104"/>
      <c r="E2333" s="104"/>
      <c r="F2333" s="104"/>
      <c r="G2333" s="104"/>
      <c r="H2333" s="104"/>
      <c r="I2333" s="104"/>
      <c r="J2333" s="104"/>
      <c r="K2333" s="32"/>
      <c r="L2333" s="32"/>
      <c r="M2333" s="32"/>
      <c r="N2333" s="32"/>
      <c r="O2333" s="106"/>
      <c r="P2333" s="91">
        <f>IFERROR(__xludf.DUMMYFUNCTION("IFERROR(sum(FILTER($D:$N,$C:$C = $C2333,$A:$A &lt; $A2333,$B:$B = 12)),0) + sum($D2333:$N2333)"),0.0)</f>
        <v>0</v>
      </c>
      <c r="Q2333" s="92">
        <f t="shared" si="1"/>
        <v>0</v>
      </c>
      <c r="R2333" s="91">
        <f t="array" ref="R2333">IFERROR(INDEX('Fund YTD Target Values'!$1:$1000, MATCH($C2333,'Fund YTD Target Values'!$A:$A,0), MATCH($A2333,'Fund YTD Target Values'!$1:$1,0)),0)</f>
        <v>0</v>
      </c>
      <c r="S2333" s="91">
        <f>IFERROR(__xludf.DUMMYFUNCTION("IFERROR(sum(FILTER('Fund Investment Data'!$V:$V, 'Fund Investment Data'!$C:$C = $C2333, 'Fund Investment Data'!$A:$A &lt; $A2333)),0) + IFERROR(sum(FILTER('Fund Investment Data'!$V:$V, 'Fund Investment Data'!$C:$C = $C2333, 'Fund Investment Data'!$A:$A = $A2"&amp;"333, 'Fund Investment Data'!$B:$B &lt;= $B2333)),0)"),0.0)</f>
        <v>0</v>
      </c>
      <c r="T2333" s="32"/>
      <c r="U2333" s="32"/>
      <c r="V2333" s="32">
        <f>IFERROR(__xludf.DUMMYFUNCTION("$D2333 - IFERROR(FILTER($D:$D,$C:$C = $C2333, $A:$A = $A2333, $B:$B = $B2333 - 1),0)"),0.0)</f>
        <v>0</v>
      </c>
      <c r="W2333" s="93">
        <f>IFERROR(__xludf.DUMMYFUNCTION("$E2333 - IFERROR(FILTER($E:$E,$C:$C = $C2333, $A:$A = $A2333, $B:$B = $B2333 - 1),0)"),0.0)</f>
        <v>0</v>
      </c>
      <c r="X2333" s="91">
        <f>IFERROR(__xludf.DUMMYFUNCTION("iFERROR((FILTER('Fund Investment Data'!$Z:$Z, 'Fund Investment Data'!$C:$C = $C2333, 'Fund Investment Data'!$A:$A = $A2333 - 1, 'Fund Investment Data'!$B:$B = 12) + FILTER('Fund Investment Data'!$AB:$AB, 'Fund Investment Data'!$C:$C = $C2333, 'Fund Invest"&amp;"ment Data'!$A:$A = $A2333 - 1, 'Fund Investment Data'!$B:$B = 12)) * (1 + AVERAGE(FILTER('Inflation Data'!$C:$C,'Inflation Data'!$A:$A = ($A2333 - 2)))) * Parameters!$A$4,0)"),0.0)</f>
        <v>0</v>
      </c>
      <c r="Y2333" s="91">
        <f>IFERROR(__xludf.DUMMYFUNCTION("IFERROR((IFERROR(FILTER('Fund Investment Data'!$P:$P,'Fund Investment Data'!$C:$C = $C2333,'Fund Investment Data'!$A:$A = ($A2333 - 2), 'Fund Investment Data'!$B:$B = 12),0) - SUM(FILTER('Fund Investment Data'!$V:$V, 'Fund Investment Data'!$C:$C = $C2333,"&amp;" 'Fund Investment Data'!$A:$A = ($A2333 - 2), 'Fund Investment Data'!$B:$B &gt; 3)))  * Parameters!$B$4 * (1 - Parameters!$A$4),0)"),0.0)</f>
        <v>0</v>
      </c>
      <c r="Z2333" s="91">
        <f t="shared" si="24"/>
        <v>0</v>
      </c>
      <c r="AA2333" s="91">
        <f>IFERROR(__xludf.DUMMYFUNCTION("((IFERROR((SUM(FILTER('Fund Investment Data'!$V:$V, 'Fund Investment Data'!$C:$C = $C2333, 'Fund Investment Data'!$A:$A = $A2333 - 1, 'Fund Investment Data'!$B:$B &gt;= 4, 'Fund Investment Data'!$B:$B &lt;= ($B2333 + 5))) / 12) * ($B2333 - 3) * Parameters!$B$4,"&amp;" 0) + IF($B2333 &gt;= 9, IFERROR(SUM(FILTER('Fund Investment Data'!$V:$V, 'Fund Investment Data'!$C:$C = $C2333, 'Fund Investment Data'!$A:$A = $A2333, 'Fund Investment Data'!$B:$B &lt;= 3)) * Parameters!$B$4, 0),0)))"),0.0)</f>
        <v>0</v>
      </c>
      <c r="AB2333" s="32">
        <f>IFERROR(__xludf.DUMMYFUNCTION("IFERROR(((IFERROR(SUM(FILTER('Fund Investment Data'!$V:$V, 'Fund Investment Data'!$C:$C = $C2333, 'Fund Investment Data'!$A:$A = $A2333 - 2, 'Fund Investment Data'!$B:$B &gt;= 4)) * Parameters!$B$4,0) + IFERROR(SUM(FILTER('Fund Investment Data'!$V:$V, 'Fund "&amp;"Investment Data'!$C:$C = $C2333, 'Fund Investment Data'!$A:$A = $A2333 - 1, 'Fund Investment Data'!$B:$B &lt;= 3)) * Parameters!$B$4,0))),0)"),0.0)</f>
        <v>0</v>
      </c>
      <c r="AC2333" s="32">
        <f>IFERROR(__xludf.DUMMYFUNCTION("IFERROR(FILTER($AF:$AF,$C:$C = $C2333,$A:$A = $A2333 - 1,$B:$B = 12),0)"),0.0)</f>
        <v>0</v>
      </c>
      <c r="AD2333" s="32">
        <f t="shared" si="23"/>
        <v>0</v>
      </c>
      <c r="AE2333" s="32">
        <f t="shared" si="2"/>
        <v>0</v>
      </c>
      <c r="AF2333" s="32"/>
    </row>
    <row r="2334">
      <c r="A2334" s="86"/>
      <c r="B2334" s="87"/>
      <c r="C2334" s="88"/>
      <c r="D2334" s="104"/>
      <c r="E2334" s="104"/>
      <c r="F2334" s="104"/>
      <c r="G2334" s="104"/>
      <c r="H2334" s="104"/>
      <c r="I2334" s="104"/>
      <c r="J2334" s="104"/>
      <c r="K2334" s="32"/>
      <c r="L2334" s="32"/>
      <c r="M2334" s="32"/>
      <c r="N2334" s="32"/>
      <c r="O2334" s="106"/>
      <c r="P2334" s="91">
        <f>IFERROR(__xludf.DUMMYFUNCTION("IFERROR(sum(FILTER($D:$N,$C:$C = $C2334,$A:$A &lt; $A2334,$B:$B = 12)),0) + sum($D2334:$N2334)"),0.0)</f>
        <v>0</v>
      </c>
      <c r="Q2334" s="92">
        <f t="shared" si="1"/>
        <v>0</v>
      </c>
      <c r="R2334" s="91">
        <f t="array" ref="R2334">IFERROR(INDEX('Fund YTD Target Values'!$1:$1000, MATCH($C2334,'Fund YTD Target Values'!$A:$A,0), MATCH($A2334,'Fund YTD Target Values'!$1:$1,0)),0)</f>
        <v>0</v>
      </c>
      <c r="S2334" s="91">
        <f>IFERROR(__xludf.DUMMYFUNCTION("IFERROR(sum(FILTER('Fund Investment Data'!$V:$V, 'Fund Investment Data'!$C:$C = $C2334, 'Fund Investment Data'!$A:$A &lt; $A2334)),0) + IFERROR(sum(FILTER('Fund Investment Data'!$V:$V, 'Fund Investment Data'!$C:$C = $C2334, 'Fund Investment Data'!$A:$A = $A2"&amp;"334, 'Fund Investment Data'!$B:$B &lt;= $B2334)),0)"),0.0)</f>
        <v>0</v>
      </c>
      <c r="T2334" s="32"/>
      <c r="U2334" s="32"/>
      <c r="V2334" s="32">
        <f>IFERROR(__xludf.DUMMYFUNCTION("$D2334 - IFERROR(FILTER($D:$D,$C:$C = $C2334, $A:$A = $A2334, $B:$B = $B2334 - 1),0)"),0.0)</f>
        <v>0</v>
      </c>
      <c r="W2334" s="93">
        <f>IFERROR(__xludf.DUMMYFUNCTION("$E2334 - IFERROR(FILTER($E:$E,$C:$C = $C2334, $A:$A = $A2334, $B:$B = $B2334 - 1),0)"),0.0)</f>
        <v>0</v>
      </c>
      <c r="X2334" s="91">
        <f>IFERROR(__xludf.DUMMYFUNCTION("iFERROR((FILTER('Fund Investment Data'!$Z:$Z, 'Fund Investment Data'!$C:$C = $C2334, 'Fund Investment Data'!$A:$A = $A2334 - 1, 'Fund Investment Data'!$B:$B = 12) + FILTER('Fund Investment Data'!$AB:$AB, 'Fund Investment Data'!$C:$C = $C2334, 'Fund Invest"&amp;"ment Data'!$A:$A = $A2334 - 1, 'Fund Investment Data'!$B:$B = 12)) * (1 + AVERAGE(FILTER('Inflation Data'!$C:$C,'Inflation Data'!$A:$A = ($A2334 - 2)))) * Parameters!$A$4,0)"),0.0)</f>
        <v>0</v>
      </c>
      <c r="Y2334" s="91">
        <f>IFERROR(__xludf.DUMMYFUNCTION("IFERROR((IFERROR(FILTER('Fund Investment Data'!$P:$P,'Fund Investment Data'!$C:$C = $C2334,'Fund Investment Data'!$A:$A = ($A2334 - 2), 'Fund Investment Data'!$B:$B = 12),0) - SUM(FILTER('Fund Investment Data'!$V:$V, 'Fund Investment Data'!$C:$C = $C2334,"&amp;" 'Fund Investment Data'!$A:$A = ($A2334 - 2), 'Fund Investment Data'!$B:$B &gt; 3)))  * Parameters!$B$4 * (1 - Parameters!$A$4),0)"),0.0)</f>
        <v>0</v>
      </c>
      <c r="Z2334" s="91">
        <f t="shared" si="24"/>
        <v>0</v>
      </c>
      <c r="AA2334" s="91">
        <f>IFERROR(__xludf.DUMMYFUNCTION("((IFERROR((SUM(FILTER('Fund Investment Data'!$V:$V, 'Fund Investment Data'!$C:$C = $C2334, 'Fund Investment Data'!$A:$A = $A2334 - 1, 'Fund Investment Data'!$B:$B &gt;= 4, 'Fund Investment Data'!$B:$B &lt;= ($B2334 + 5))) / 12) * ($B2334 - 3) * Parameters!$B$4,"&amp;" 0) + IF($B2334 &gt;= 9, IFERROR(SUM(FILTER('Fund Investment Data'!$V:$V, 'Fund Investment Data'!$C:$C = $C2334, 'Fund Investment Data'!$A:$A = $A2334, 'Fund Investment Data'!$B:$B &lt;= 3)) * Parameters!$B$4, 0),0)))"),0.0)</f>
        <v>0</v>
      </c>
      <c r="AB2334" s="32">
        <f>IFERROR(__xludf.DUMMYFUNCTION("IFERROR(((IFERROR(SUM(FILTER('Fund Investment Data'!$V:$V, 'Fund Investment Data'!$C:$C = $C2334, 'Fund Investment Data'!$A:$A = $A2334 - 2, 'Fund Investment Data'!$B:$B &gt;= 4)) * Parameters!$B$4,0) + IFERROR(SUM(FILTER('Fund Investment Data'!$V:$V, 'Fund "&amp;"Investment Data'!$C:$C = $C2334, 'Fund Investment Data'!$A:$A = $A2334 - 1, 'Fund Investment Data'!$B:$B &lt;= 3)) * Parameters!$B$4,0))),0)"),0.0)</f>
        <v>0</v>
      </c>
      <c r="AC2334" s="32">
        <f>IFERROR(__xludf.DUMMYFUNCTION("IFERROR(FILTER($AF:$AF,$C:$C = $C2334,$A:$A = $A2334 - 1,$B:$B = 12),0)"),0.0)</f>
        <v>0</v>
      </c>
      <c r="AD2334" s="32">
        <f t="shared" si="23"/>
        <v>0</v>
      </c>
      <c r="AE2334" s="32">
        <f t="shared" si="2"/>
        <v>0</v>
      </c>
      <c r="AF2334" s="32"/>
    </row>
    <row r="2335">
      <c r="A2335" s="86"/>
      <c r="B2335" s="87"/>
      <c r="C2335" s="88"/>
      <c r="D2335" s="104"/>
      <c r="E2335" s="104"/>
      <c r="F2335" s="104"/>
      <c r="G2335" s="104"/>
      <c r="H2335" s="104"/>
      <c r="I2335" s="104"/>
      <c r="J2335" s="104"/>
      <c r="K2335" s="32"/>
      <c r="L2335" s="32"/>
      <c r="M2335" s="32"/>
      <c r="N2335" s="32"/>
      <c r="O2335" s="106"/>
      <c r="P2335" s="91">
        <f>IFERROR(__xludf.DUMMYFUNCTION("IFERROR(sum(FILTER($D:$N,$C:$C = $C2335,$A:$A &lt; $A2335,$B:$B = 12)),0) + sum($D2335:$N2335)"),0.0)</f>
        <v>0</v>
      </c>
      <c r="Q2335" s="92">
        <f t="shared" si="1"/>
        <v>0</v>
      </c>
      <c r="R2335" s="91">
        <f t="array" ref="R2335">IFERROR(INDEX('Fund YTD Target Values'!$1:$1000, MATCH($C2335,'Fund YTD Target Values'!$A:$A,0), MATCH($A2335,'Fund YTD Target Values'!$1:$1,0)),0)</f>
        <v>0</v>
      </c>
      <c r="S2335" s="91">
        <f>IFERROR(__xludf.DUMMYFUNCTION("IFERROR(sum(FILTER('Fund Investment Data'!$V:$V, 'Fund Investment Data'!$C:$C = $C2335, 'Fund Investment Data'!$A:$A &lt; $A2335)),0) + IFERROR(sum(FILTER('Fund Investment Data'!$V:$V, 'Fund Investment Data'!$C:$C = $C2335, 'Fund Investment Data'!$A:$A = $A2"&amp;"335, 'Fund Investment Data'!$B:$B &lt;= $B2335)),0)"),0.0)</f>
        <v>0</v>
      </c>
      <c r="T2335" s="32"/>
      <c r="U2335" s="32"/>
      <c r="V2335" s="32">
        <f>IFERROR(__xludf.DUMMYFUNCTION("$D2335 - IFERROR(FILTER($D:$D,$C:$C = $C2335, $A:$A = $A2335, $B:$B = $B2335 - 1),0)"),0.0)</f>
        <v>0</v>
      </c>
      <c r="W2335" s="93">
        <f>IFERROR(__xludf.DUMMYFUNCTION("$E2335 - IFERROR(FILTER($E:$E,$C:$C = $C2335, $A:$A = $A2335, $B:$B = $B2335 - 1),0)"),0.0)</f>
        <v>0</v>
      </c>
      <c r="X2335" s="91">
        <f>IFERROR(__xludf.DUMMYFUNCTION("iFERROR((FILTER('Fund Investment Data'!$Z:$Z, 'Fund Investment Data'!$C:$C = $C2335, 'Fund Investment Data'!$A:$A = $A2335 - 1, 'Fund Investment Data'!$B:$B = 12) + FILTER('Fund Investment Data'!$AB:$AB, 'Fund Investment Data'!$C:$C = $C2335, 'Fund Invest"&amp;"ment Data'!$A:$A = $A2335 - 1, 'Fund Investment Data'!$B:$B = 12)) * (1 + AVERAGE(FILTER('Inflation Data'!$C:$C,'Inflation Data'!$A:$A = ($A2335 - 2)))) * Parameters!$A$4,0)"),0.0)</f>
        <v>0</v>
      </c>
      <c r="Y2335" s="91">
        <f>IFERROR(__xludf.DUMMYFUNCTION("IFERROR((IFERROR(FILTER('Fund Investment Data'!$P:$P,'Fund Investment Data'!$C:$C = $C2335,'Fund Investment Data'!$A:$A = ($A2335 - 2), 'Fund Investment Data'!$B:$B = 12),0) - SUM(FILTER('Fund Investment Data'!$V:$V, 'Fund Investment Data'!$C:$C = $C2335,"&amp;" 'Fund Investment Data'!$A:$A = ($A2335 - 2), 'Fund Investment Data'!$B:$B &gt; 3)))  * Parameters!$B$4 * (1 - Parameters!$A$4),0)"),0.0)</f>
        <v>0</v>
      </c>
      <c r="Z2335" s="91">
        <f t="shared" si="24"/>
        <v>0</v>
      </c>
      <c r="AA2335" s="91">
        <f>IFERROR(__xludf.DUMMYFUNCTION("((IFERROR((SUM(FILTER('Fund Investment Data'!$V:$V, 'Fund Investment Data'!$C:$C = $C2335, 'Fund Investment Data'!$A:$A = $A2335 - 1, 'Fund Investment Data'!$B:$B &gt;= 4, 'Fund Investment Data'!$B:$B &lt;= ($B2335 + 5))) / 12) * ($B2335 - 3) * Parameters!$B$4,"&amp;" 0) + IF($B2335 &gt;= 9, IFERROR(SUM(FILTER('Fund Investment Data'!$V:$V, 'Fund Investment Data'!$C:$C = $C2335, 'Fund Investment Data'!$A:$A = $A2335, 'Fund Investment Data'!$B:$B &lt;= 3)) * Parameters!$B$4, 0),0)))"),0.0)</f>
        <v>0</v>
      </c>
      <c r="AB2335" s="32">
        <f>IFERROR(__xludf.DUMMYFUNCTION("IFERROR(((IFERROR(SUM(FILTER('Fund Investment Data'!$V:$V, 'Fund Investment Data'!$C:$C = $C2335, 'Fund Investment Data'!$A:$A = $A2335 - 2, 'Fund Investment Data'!$B:$B &gt;= 4)) * Parameters!$B$4,0) + IFERROR(SUM(FILTER('Fund Investment Data'!$V:$V, 'Fund "&amp;"Investment Data'!$C:$C = $C2335, 'Fund Investment Data'!$A:$A = $A2335 - 1, 'Fund Investment Data'!$B:$B &lt;= 3)) * Parameters!$B$4,0))),0)"),0.0)</f>
        <v>0</v>
      </c>
      <c r="AC2335" s="32">
        <f>IFERROR(__xludf.DUMMYFUNCTION("IFERROR(FILTER($AF:$AF,$C:$C = $C2335,$A:$A = $A2335 - 1,$B:$B = 12),0)"),0.0)</f>
        <v>0</v>
      </c>
      <c r="AD2335" s="32">
        <f t="shared" si="23"/>
        <v>0</v>
      </c>
      <c r="AE2335" s="32">
        <f t="shared" si="2"/>
        <v>0</v>
      </c>
      <c r="AF2335" s="32"/>
    </row>
    <row r="2336">
      <c r="A2336" s="86"/>
      <c r="B2336" s="87"/>
      <c r="C2336" s="88"/>
      <c r="D2336" s="104"/>
      <c r="E2336" s="104"/>
      <c r="F2336" s="104"/>
      <c r="G2336" s="104"/>
      <c r="H2336" s="104"/>
      <c r="I2336" s="104"/>
      <c r="J2336" s="104"/>
      <c r="K2336" s="32"/>
      <c r="L2336" s="32"/>
      <c r="M2336" s="32"/>
      <c r="N2336" s="32"/>
      <c r="O2336" s="106"/>
      <c r="P2336" s="91">
        <f>IFERROR(__xludf.DUMMYFUNCTION("IFERROR(sum(FILTER($D:$N,$C:$C = $C2336,$A:$A &lt; $A2336,$B:$B = 12)),0) + sum($D2336:$N2336)"),0.0)</f>
        <v>0</v>
      </c>
      <c r="Q2336" s="92">
        <f t="shared" si="1"/>
        <v>0</v>
      </c>
      <c r="R2336" s="91">
        <f t="array" ref="R2336">IFERROR(INDEX('Fund YTD Target Values'!$1:$1000, MATCH($C2336,'Fund YTD Target Values'!$A:$A,0), MATCH($A2336,'Fund YTD Target Values'!$1:$1,0)),0)</f>
        <v>0</v>
      </c>
      <c r="S2336" s="91">
        <f>IFERROR(__xludf.DUMMYFUNCTION("IFERROR(sum(FILTER('Fund Investment Data'!$V:$V, 'Fund Investment Data'!$C:$C = $C2336, 'Fund Investment Data'!$A:$A &lt; $A2336)),0) + IFERROR(sum(FILTER('Fund Investment Data'!$V:$V, 'Fund Investment Data'!$C:$C = $C2336, 'Fund Investment Data'!$A:$A = $A2"&amp;"336, 'Fund Investment Data'!$B:$B &lt;= $B2336)),0)"),0.0)</f>
        <v>0</v>
      </c>
      <c r="T2336" s="32"/>
      <c r="U2336" s="32"/>
      <c r="V2336" s="32">
        <f>IFERROR(__xludf.DUMMYFUNCTION("$D2336 - IFERROR(FILTER($D:$D,$C:$C = $C2336, $A:$A = $A2336, $B:$B = $B2336 - 1),0)"),0.0)</f>
        <v>0</v>
      </c>
      <c r="W2336" s="93">
        <f>IFERROR(__xludf.DUMMYFUNCTION("$E2336 - IFERROR(FILTER($E:$E,$C:$C = $C2336, $A:$A = $A2336, $B:$B = $B2336 - 1),0)"),0.0)</f>
        <v>0</v>
      </c>
      <c r="X2336" s="91">
        <f>IFERROR(__xludf.DUMMYFUNCTION("iFERROR((FILTER('Fund Investment Data'!$Z:$Z, 'Fund Investment Data'!$C:$C = $C2336, 'Fund Investment Data'!$A:$A = $A2336 - 1, 'Fund Investment Data'!$B:$B = 12) + FILTER('Fund Investment Data'!$AB:$AB, 'Fund Investment Data'!$C:$C = $C2336, 'Fund Invest"&amp;"ment Data'!$A:$A = $A2336 - 1, 'Fund Investment Data'!$B:$B = 12)) * (1 + AVERAGE(FILTER('Inflation Data'!$C:$C,'Inflation Data'!$A:$A = ($A2336 - 2)))) * Parameters!$A$4,0)"),0.0)</f>
        <v>0</v>
      </c>
      <c r="Y2336" s="91">
        <f>IFERROR(__xludf.DUMMYFUNCTION("IFERROR((IFERROR(FILTER('Fund Investment Data'!$P:$P,'Fund Investment Data'!$C:$C = $C2336,'Fund Investment Data'!$A:$A = ($A2336 - 2), 'Fund Investment Data'!$B:$B = 12),0) - SUM(FILTER('Fund Investment Data'!$V:$V, 'Fund Investment Data'!$C:$C = $C2336,"&amp;" 'Fund Investment Data'!$A:$A = ($A2336 - 2), 'Fund Investment Data'!$B:$B &gt; 3)))  * Parameters!$B$4 * (1 - Parameters!$A$4),0)"),0.0)</f>
        <v>0</v>
      </c>
      <c r="Z2336" s="91">
        <f t="shared" si="24"/>
        <v>0</v>
      </c>
      <c r="AA2336" s="91">
        <f>IFERROR(__xludf.DUMMYFUNCTION("((IFERROR((SUM(FILTER('Fund Investment Data'!$V:$V, 'Fund Investment Data'!$C:$C = $C2336, 'Fund Investment Data'!$A:$A = $A2336 - 1, 'Fund Investment Data'!$B:$B &gt;= 4, 'Fund Investment Data'!$B:$B &lt;= ($B2336 + 5))) / 12) * ($B2336 - 3) * Parameters!$B$4,"&amp;" 0) + IF($B2336 &gt;= 9, IFERROR(SUM(FILTER('Fund Investment Data'!$V:$V, 'Fund Investment Data'!$C:$C = $C2336, 'Fund Investment Data'!$A:$A = $A2336, 'Fund Investment Data'!$B:$B &lt;= 3)) * Parameters!$B$4, 0),0)))"),0.0)</f>
        <v>0</v>
      </c>
      <c r="AB2336" s="32">
        <f>IFERROR(__xludf.DUMMYFUNCTION("IFERROR(((IFERROR(SUM(FILTER('Fund Investment Data'!$V:$V, 'Fund Investment Data'!$C:$C = $C2336, 'Fund Investment Data'!$A:$A = $A2336 - 2, 'Fund Investment Data'!$B:$B &gt;= 4)) * Parameters!$B$4,0) + IFERROR(SUM(FILTER('Fund Investment Data'!$V:$V, 'Fund "&amp;"Investment Data'!$C:$C = $C2336, 'Fund Investment Data'!$A:$A = $A2336 - 1, 'Fund Investment Data'!$B:$B &lt;= 3)) * Parameters!$B$4,0))),0)"),0.0)</f>
        <v>0</v>
      </c>
      <c r="AC2336" s="32">
        <f>IFERROR(__xludf.DUMMYFUNCTION("IFERROR(FILTER($AF:$AF,$C:$C = $C2336,$A:$A = $A2336 - 1,$B:$B = 12),0)"),0.0)</f>
        <v>0</v>
      </c>
      <c r="AD2336" s="32">
        <f t="shared" si="23"/>
        <v>0</v>
      </c>
      <c r="AE2336" s="32">
        <f t="shared" si="2"/>
        <v>0</v>
      </c>
      <c r="AF2336" s="32"/>
    </row>
    <row r="2337">
      <c r="A2337" s="86"/>
      <c r="B2337" s="87"/>
      <c r="C2337" s="88"/>
      <c r="D2337" s="104"/>
      <c r="E2337" s="104"/>
      <c r="F2337" s="104"/>
      <c r="G2337" s="104"/>
      <c r="H2337" s="104"/>
      <c r="I2337" s="104"/>
      <c r="J2337" s="104"/>
      <c r="K2337" s="32"/>
      <c r="L2337" s="32"/>
      <c r="M2337" s="32"/>
      <c r="N2337" s="32"/>
      <c r="O2337" s="106"/>
      <c r="P2337" s="91">
        <f>IFERROR(__xludf.DUMMYFUNCTION("IFERROR(sum(FILTER($D:$N,$C:$C = $C2337,$A:$A &lt; $A2337,$B:$B = 12)),0) + sum($D2337:$N2337)"),0.0)</f>
        <v>0</v>
      </c>
      <c r="Q2337" s="92">
        <f t="shared" si="1"/>
        <v>0</v>
      </c>
      <c r="R2337" s="91">
        <f t="array" ref="R2337">IFERROR(INDEX('Fund YTD Target Values'!$1:$1000, MATCH($C2337,'Fund YTD Target Values'!$A:$A,0), MATCH($A2337,'Fund YTD Target Values'!$1:$1,0)),0)</f>
        <v>0</v>
      </c>
      <c r="S2337" s="91">
        <f>IFERROR(__xludf.DUMMYFUNCTION("IFERROR(sum(FILTER('Fund Investment Data'!$V:$V, 'Fund Investment Data'!$C:$C = $C2337, 'Fund Investment Data'!$A:$A &lt; $A2337)),0) + IFERROR(sum(FILTER('Fund Investment Data'!$V:$V, 'Fund Investment Data'!$C:$C = $C2337, 'Fund Investment Data'!$A:$A = $A2"&amp;"337, 'Fund Investment Data'!$B:$B &lt;= $B2337)),0)"),0.0)</f>
        <v>0</v>
      </c>
      <c r="T2337" s="32"/>
      <c r="U2337" s="32"/>
      <c r="V2337" s="32">
        <f>IFERROR(__xludf.DUMMYFUNCTION("$D2337 - IFERROR(FILTER($D:$D,$C:$C = $C2337, $A:$A = $A2337, $B:$B = $B2337 - 1),0)"),0.0)</f>
        <v>0</v>
      </c>
      <c r="W2337" s="93">
        <f>IFERROR(__xludf.DUMMYFUNCTION("$E2337 - IFERROR(FILTER($E:$E,$C:$C = $C2337, $A:$A = $A2337, $B:$B = $B2337 - 1),0)"),0.0)</f>
        <v>0</v>
      </c>
      <c r="X2337" s="91">
        <f>IFERROR(__xludf.DUMMYFUNCTION("iFERROR((FILTER('Fund Investment Data'!$Z:$Z, 'Fund Investment Data'!$C:$C = $C2337, 'Fund Investment Data'!$A:$A = $A2337 - 1, 'Fund Investment Data'!$B:$B = 12) + FILTER('Fund Investment Data'!$AB:$AB, 'Fund Investment Data'!$C:$C = $C2337, 'Fund Invest"&amp;"ment Data'!$A:$A = $A2337 - 1, 'Fund Investment Data'!$B:$B = 12)) * (1 + AVERAGE(FILTER('Inflation Data'!$C:$C,'Inflation Data'!$A:$A = ($A2337 - 2)))) * Parameters!$A$4,0)"),0.0)</f>
        <v>0</v>
      </c>
      <c r="Y2337" s="91">
        <f>IFERROR(__xludf.DUMMYFUNCTION("IFERROR((IFERROR(FILTER('Fund Investment Data'!$P:$P,'Fund Investment Data'!$C:$C = $C2337,'Fund Investment Data'!$A:$A = ($A2337 - 2), 'Fund Investment Data'!$B:$B = 12),0) - SUM(FILTER('Fund Investment Data'!$V:$V, 'Fund Investment Data'!$C:$C = $C2337,"&amp;" 'Fund Investment Data'!$A:$A = ($A2337 - 2), 'Fund Investment Data'!$B:$B &gt; 3)))  * Parameters!$B$4 * (1 - Parameters!$A$4),0)"),0.0)</f>
        <v>0</v>
      </c>
      <c r="Z2337" s="91">
        <f t="shared" si="24"/>
        <v>0</v>
      </c>
      <c r="AA2337" s="91">
        <f>IFERROR(__xludf.DUMMYFUNCTION("((IFERROR((SUM(FILTER('Fund Investment Data'!$V:$V, 'Fund Investment Data'!$C:$C = $C2337, 'Fund Investment Data'!$A:$A = $A2337 - 1, 'Fund Investment Data'!$B:$B &gt;= 4, 'Fund Investment Data'!$B:$B &lt;= ($B2337 + 5))) / 12) * ($B2337 - 3) * Parameters!$B$4,"&amp;" 0) + IF($B2337 &gt;= 9, IFERROR(SUM(FILTER('Fund Investment Data'!$V:$V, 'Fund Investment Data'!$C:$C = $C2337, 'Fund Investment Data'!$A:$A = $A2337, 'Fund Investment Data'!$B:$B &lt;= 3)) * Parameters!$B$4, 0),0)))"),0.0)</f>
        <v>0</v>
      </c>
      <c r="AB2337" s="32">
        <f>IFERROR(__xludf.DUMMYFUNCTION("IFERROR(((IFERROR(SUM(FILTER('Fund Investment Data'!$V:$V, 'Fund Investment Data'!$C:$C = $C2337, 'Fund Investment Data'!$A:$A = $A2337 - 2, 'Fund Investment Data'!$B:$B &gt;= 4)) * Parameters!$B$4,0) + IFERROR(SUM(FILTER('Fund Investment Data'!$V:$V, 'Fund "&amp;"Investment Data'!$C:$C = $C2337, 'Fund Investment Data'!$A:$A = $A2337 - 1, 'Fund Investment Data'!$B:$B &lt;= 3)) * Parameters!$B$4,0))),0)"),0.0)</f>
        <v>0</v>
      </c>
      <c r="AC2337" s="32">
        <f>IFERROR(__xludf.DUMMYFUNCTION("IFERROR(FILTER($AF:$AF,$C:$C = $C2337,$A:$A = $A2337 - 1,$B:$B = 12),0)"),0.0)</f>
        <v>0</v>
      </c>
      <c r="AD2337" s="32">
        <f t="shared" si="23"/>
        <v>0</v>
      </c>
      <c r="AE2337" s="32">
        <f t="shared" si="2"/>
        <v>0</v>
      </c>
      <c r="AF2337" s="32"/>
    </row>
    <row r="2338">
      <c r="A2338" s="86"/>
      <c r="B2338" s="87"/>
      <c r="C2338" s="88"/>
      <c r="D2338" s="104"/>
      <c r="E2338" s="104"/>
      <c r="F2338" s="104"/>
      <c r="G2338" s="104"/>
      <c r="H2338" s="104"/>
      <c r="I2338" s="104"/>
      <c r="J2338" s="104"/>
      <c r="K2338" s="32"/>
      <c r="L2338" s="32"/>
      <c r="M2338" s="32"/>
      <c r="N2338" s="32"/>
      <c r="O2338" s="106"/>
      <c r="P2338" s="91">
        <f>IFERROR(__xludf.DUMMYFUNCTION("IFERROR(sum(FILTER($D:$N,$C:$C = $C2338,$A:$A &lt; $A2338,$B:$B = 12)),0) + sum($D2338:$N2338)"),0.0)</f>
        <v>0</v>
      </c>
      <c r="Q2338" s="92">
        <f t="shared" si="1"/>
        <v>0</v>
      </c>
      <c r="R2338" s="91">
        <f t="array" ref="R2338">IFERROR(INDEX('Fund YTD Target Values'!$1:$1000, MATCH($C2338,'Fund YTD Target Values'!$A:$A,0), MATCH($A2338,'Fund YTD Target Values'!$1:$1,0)),0)</f>
        <v>0</v>
      </c>
      <c r="S2338" s="91">
        <f>IFERROR(__xludf.DUMMYFUNCTION("IFERROR(sum(FILTER('Fund Investment Data'!$V:$V, 'Fund Investment Data'!$C:$C = $C2338, 'Fund Investment Data'!$A:$A &lt; $A2338)),0) + IFERROR(sum(FILTER('Fund Investment Data'!$V:$V, 'Fund Investment Data'!$C:$C = $C2338, 'Fund Investment Data'!$A:$A = $A2"&amp;"338, 'Fund Investment Data'!$B:$B &lt;= $B2338)),0)"),0.0)</f>
        <v>0</v>
      </c>
      <c r="T2338" s="32"/>
      <c r="U2338" s="32"/>
      <c r="V2338" s="32">
        <f>IFERROR(__xludf.DUMMYFUNCTION("$D2338 - IFERROR(FILTER($D:$D,$C:$C = $C2338, $A:$A = $A2338, $B:$B = $B2338 - 1),0)"),0.0)</f>
        <v>0</v>
      </c>
      <c r="W2338" s="93">
        <f>IFERROR(__xludf.DUMMYFUNCTION("$E2338 - IFERROR(FILTER($E:$E,$C:$C = $C2338, $A:$A = $A2338, $B:$B = $B2338 - 1),0)"),0.0)</f>
        <v>0</v>
      </c>
      <c r="X2338" s="91">
        <f>IFERROR(__xludf.DUMMYFUNCTION("iFERROR((FILTER('Fund Investment Data'!$Z:$Z, 'Fund Investment Data'!$C:$C = $C2338, 'Fund Investment Data'!$A:$A = $A2338 - 1, 'Fund Investment Data'!$B:$B = 12) + FILTER('Fund Investment Data'!$AB:$AB, 'Fund Investment Data'!$C:$C = $C2338, 'Fund Invest"&amp;"ment Data'!$A:$A = $A2338 - 1, 'Fund Investment Data'!$B:$B = 12)) * (1 + AVERAGE(FILTER('Inflation Data'!$C:$C,'Inflation Data'!$A:$A = ($A2338 - 2)))) * Parameters!$A$4,0)"),0.0)</f>
        <v>0</v>
      </c>
      <c r="Y2338" s="91">
        <f>IFERROR(__xludf.DUMMYFUNCTION("IFERROR((IFERROR(FILTER('Fund Investment Data'!$P:$P,'Fund Investment Data'!$C:$C = $C2338,'Fund Investment Data'!$A:$A = ($A2338 - 2), 'Fund Investment Data'!$B:$B = 12),0) - SUM(FILTER('Fund Investment Data'!$V:$V, 'Fund Investment Data'!$C:$C = $C2338,"&amp;" 'Fund Investment Data'!$A:$A = ($A2338 - 2), 'Fund Investment Data'!$B:$B &gt; 3)))  * Parameters!$B$4 * (1 - Parameters!$A$4),0)"),0.0)</f>
        <v>0</v>
      </c>
      <c r="Z2338" s="91">
        <f t="shared" si="24"/>
        <v>0</v>
      </c>
      <c r="AA2338" s="91">
        <f>IFERROR(__xludf.DUMMYFUNCTION("((IFERROR((SUM(FILTER('Fund Investment Data'!$V:$V, 'Fund Investment Data'!$C:$C = $C2338, 'Fund Investment Data'!$A:$A = $A2338 - 1, 'Fund Investment Data'!$B:$B &gt;= 4, 'Fund Investment Data'!$B:$B &lt;= ($B2338 + 5))) / 12) * ($B2338 - 3) * Parameters!$B$4,"&amp;" 0) + IF($B2338 &gt;= 9, IFERROR(SUM(FILTER('Fund Investment Data'!$V:$V, 'Fund Investment Data'!$C:$C = $C2338, 'Fund Investment Data'!$A:$A = $A2338, 'Fund Investment Data'!$B:$B &lt;= 3)) * Parameters!$B$4, 0),0)))"),0.0)</f>
        <v>0</v>
      </c>
      <c r="AB2338" s="32">
        <f>IFERROR(__xludf.DUMMYFUNCTION("IFERROR(((IFERROR(SUM(FILTER('Fund Investment Data'!$V:$V, 'Fund Investment Data'!$C:$C = $C2338, 'Fund Investment Data'!$A:$A = $A2338 - 2, 'Fund Investment Data'!$B:$B &gt;= 4)) * Parameters!$B$4,0) + IFERROR(SUM(FILTER('Fund Investment Data'!$V:$V, 'Fund "&amp;"Investment Data'!$C:$C = $C2338, 'Fund Investment Data'!$A:$A = $A2338 - 1, 'Fund Investment Data'!$B:$B &lt;= 3)) * Parameters!$B$4,0))),0)"),0.0)</f>
        <v>0</v>
      </c>
      <c r="AC2338" s="32">
        <f>IFERROR(__xludf.DUMMYFUNCTION("IFERROR(FILTER($AF:$AF,$C:$C = $C2338,$A:$A = $A2338 - 1,$B:$B = 12),0)"),0.0)</f>
        <v>0</v>
      </c>
      <c r="AD2338" s="32">
        <f t="shared" si="23"/>
        <v>0</v>
      </c>
      <c r="AE2338" s="32">
        <f t="shared" si="2"/>
        <v>0</v>
      </c>
      <c r="AF2338" s="32"/>
    </row>
    <row r="2339">
      <c r="A2339" s="86"/>
      <c r="B2339" s="87"/>
      <c r="C2339" s="88"/>
      <c r="D2339" s="104"/>
      <c r="E2339" s="104"/>
      <c r="F2339" s="104"/>
      <c r="G2339" s="104"/>
      <c r="H2339" s="104"/>
      <c r="I2339" s="104"/>
      <c r="J2339" s="104"/>
      <c r="K2339" s="32"/>
      <c r="L2339" s="32"/>
      <c r="M2339" s="32"/>
      <c r="N2339" s="32"/>
      <c r="O2339" s="106"/>
      <c r="P2339" s="91">
        <f>IFERROR(__xludf.DUMMYFUNCTION("IFERROR(sum(FILTER($D:$N,$C:$C = $C2339,$A:$A &lt; $A2339,$B:$B = 12)),0) + sum($D2339:$N2339)"),0.0)</f>
        <v>0</v>
      </c>
      <c r="Q2339" s="92">
        <f t="shared" si="1"/>
        <v>0</v>
      </c>
      <c r="R2339" s="91">
        <f t="array" ref="R2339">IFERROR(INDEX('Fund YTD Target Values'!$1:$1000, MATCH($C2339,'Fund YTD Target Values'!$A:$A,0), MATCH($A2339,'Fund YTD Target Values'!$1:$1,0)),0)</f>
        <v>0</v>
      </c>
      <c r="S2339" s="91">
        <f>IFERROR(__xludf.DUMMYFUNCTION("IFERROR(sum(FILTER('Fund Investment Data'!$V:$V, 'Fund Investment Data'!$C:$C = $C2339, 'Fund Investment Data'!$A:$A &lt; $A2339)),0) + IFERROR(sum(FILTER('Fund Investment Data'!$V:$V, 'Fund Investment Data'!$C:$C = $C2339, 'Fund Investment Data'!$A:$A = $A2"&amp;"339, 'Fund Investment Data'!$B:$B &lt;= $B2339)),0)"),0.0)</f>
        <v>0</v>
      </c>
      <c r="T2339" s="32"/>
      <c r="U2339" s="32"/>
      <c r="V2339" s="32">
        <f>IFERROR(__xludf.DUMMYFUNCTION("$D2339 - IFERROR(FILTER($D:$D,$C:$C = $C2339, $A:$A = $A2339, $B:$B = $B2339 - 1),0)"),0.0)</f>
        <v>0</v>
      </c>
      <c r="W2339" s="93">
        <f>IFERROR(__xludf.DUMMYFUNCTION("$E2339 - IFERROR(FILTER($E:$E,$C:$C = $C2339, $A:$A = $A2339, $B:$B = $B2339 - 1),0)"),0.0)</f>
        <v>0</v>
      </c>
      <c r="X2339" s="91">
        <f>IFERROR(__xludf.DUMMYFUNCTION("iFERROR((FILTER('Fund Investment Data'!$Z:$Z, 'Fund Investment Data'!$C:$C = $C2339, 'Fund Investment Data'!$A:$A = $A2339 - 1, 'Fund Investment Data'!$B:$B = 12) + FILTER('Fund Investment Data'!$AB:$AB, 'Fund Investment Data'!$C:$C = $C2339, 'Fund Invest"&amp;"ment Data'!$A:$A = $A2339 - 1, 'Fund Investment Data'!$B:$B = 12)) * (1 + AVERAGE(FILTER('Inflation Data'!$C:$C,'Inflation Data'!$A:$A = ($A2339 - 2)))) * Parameters!$A$4,0)"),0.0)</f>
        <v>0</v>
      </c>
      <c r="Y2339" s="91">
        <f>IFERROR(__xludf.DUMMYFUNCTION("IFERROR((IFERROR(FILTER('Fund Investment Data'!$P:$P,'Fund Investment Data'!$C:$C = $C2339,'Fund Investment Data'!$A:$A = ($A2339 - 2), 'Fund Investment Data'!$B:$B = 12),0) - SUM(FILTER('Fund Investment Data'!$V:$V, 'Fund Investment Data'!$C:$C = $C2339,"&amp;" 'Fund Investment Data'!$A:$A = ($A2339 - 2), 'Fund Investment Data'!$B:$B &gt; 3)))  * Parameters!$B$4 * (1 - Parameters!$A$4),0)"),0.0)</f>
        <v>0</v>
      </c>
      <c r="Z2339" s="91">
        <f t="shared" si="24"/>
        <v>0</v>
      </c>
      <c r="AA2339" s="91">
        <f>IFERROR(__xludf.DUMMYFUNCTION("((IFERROR((SUM(FILTER('Fund Investment Data'!$V:$V, 'Fund Investment Data'!$C:$C = $C2339, 'Fund Investment Data'!$A:$A = $A2339 - 1, 'Fund Investment Data'!$B:$B &gt;= 4, 'Fund Investment Data'!$B:$B &lt;= ($B2339 + 5))) / 12) * ($B2339 - 3) * Parameters!$B$4,"&amp;" 0) + IF($B2339 &gt;= 9, IFERROR(SUM(FILTER('Fund Investment Data'!$V:$V, 'Fund Investment Data'!$C:$C = $C2339, 'Fund Investment Data'!$A:$A = $A2339, 'Fund Investment Data'!$B:$B &lt;= 3)) * Parameters!$B$4, 0),0)))"),0.0)</f>
        <v>0</v>
      </c>
      <c r="AB2339" s="32">
        <f>IFERROR(__xludf.DUMMYFUNCTION("IFERROR(((IFERROR(SUM(FILTER('Fund Investment Data'!$V:$V, 'Fund Investment Data'!$C:$C = $C2339, 'Fund Investment Data'!$A:$A = $A2339 - 2, 'Fund Investment Data'!$B:$B &gt;= 4)) * Parameters!$B$4,0) + IFERROR(SUM(FILTER('Fund Investment Data'!$V:$V, 'Fund "&amp;"Investment Data'!$C:$C = $C2339, 'Fund Investment Data'!$A:$A = $A2339 - 1, 'Fund Investment Data'!$B:$B &lt;= 3)) * Parameters!$B$4,0))),0)"),0.0)</f>
        <v>0</v>
      </c>
      <c r="AC2339" s="32">
        <f>IFERROR(__xludf.DUMMYFUNCTION("IFERROR(FILTER($AF:$AF,$C:$C = $C2339,$A:$A = $A2339 - 1,$B:$B = 12),0)"),0.0)</f>
        <v>0</v>
      </c>
      <c r="AD2339" s="32">
        <f t="shared" si="23"/>
        <v>0</v>
      </c>
      <c r="AE2339" s="32">
        <f t="shared" si="2"/>
        <v>0</v>
      </c>
      <c r="AF2339" s="32"/>
    </row>
    <row r="2340">
      <c r="A2340" s="86"/>
      <c r="B2340" s="87"/>
      <c r="C2340" s="88"/>
      <c r="D2340" s="104"/>
      <c r="E2340" s="104"/>
      <c r="F2340" s="104"/>
      <c r="G2340" s="104"/>
      <c r="H2340" s="104"/>
      <c r="I2340" s="104"/>
      <c r="J2340" s="104"/>
      <c r="K2340" s="32"/>
      <c r="L2340" s="32"/>
      <c r="M2340" s="32"/>
      <c r="N2340" s="32"/>
      <c r="O2340" s="106"/>
      <c r="P2340" s="91">
        <f>IFERROR(__xludf.DUMMYFUNCTION("IFERROR(sum(FILTER($D:$N,$C:$C = $C2340,$A:$A &lt; $A2340,$B:$B = 12)),0) + sum($D2340:$N2340)"),0.0)</f>
        <v>0</v>
      </c>
      <c r="Q2340" s="92">
        <f t="shared" si="1"/>
        <v>0</v>
      </c>
      <c r="R2340" s="91">
        <f t="array" ref="R2340">IFERROR(INDEX('Fund YTD Target Values'!$1:$1000, MATCH($C2340,'Fund YTD Target Values'!$A:$A,0), MATCH($A2340,'Fund YTD Target Values'!$1:$1,0)),0)</f>
        <v>0</v>
      </c>
      <c r="S2340" s="91">
        <f>IFERROR(__xludf.DUMMYFUNCTION("IFERROR(sum(FILTER('Fund Investment Data'!$V:$V, 'Fund Investment Data'!$C:$C = $C2340, 'Fund Investment Data'!$A:$A &lt; $A2340)),0) + IFERROR(sum(FILTER('Fund Investment Data'!$V:$V, 'Fund Investment Data'!$C:$C = $C2340, 'Fund Investment Data'!$A:$A = $A2"&amp;"340, 'Fund Investment Data'!$B:$B &lt;= $B2340)),0)"),0.0)</f>
        <v>0</v>
      </c>
      <c r="T2340" s="32"/>
      <c r="U2340" s="32"/>
      <c r="V2340" s="32">
        <f>IFERROR(__xludf.DUMMYFUNCTION("$D2340 - IFERROR(FILTER($D:$D,$C:$C = $C2340, $A:$A = $A2340, $B:$B = $B2340 - 1),0)"),0.0)</f>
        <v>0</v>
      </c>
      <c r="W2340" s="93">
        <f>IFERROR(__xludf.DUMMYFUNCTION("$E2340 - IFERROR(FILTER($E:$E,$C:$C = $C2340, $A:$A = $A2340, $B:$B = $B2340 - 1),0)"),0.0)</f>
        <v>0</v>
      </c>
      <c r="X2340" s="91">
        <f>IFERROR(__xludf.DUMMYFUNCTION("iFERROR((FILTER('Fund Investment Data'!$Z:$Z, 'Fund Investment Data'!$C:$C = $C2340, 'Fund Investment Data'!$A:$A = $A2340 - 1, 'Fund Investment Data'!$B:$B = 12) + FILTER('Fund Investment Data'!$AB:$AB, 'Fund Investment Data'!$C:$C = $C2340, 'Fund Invest"&amp;"ment Data'!$A:$A = $A2340 - 1, 'Fund Investment Data'!$B:$B = 12)) * (1 + AVERAGE(FILTER('Inflation Data'!$C:$C,'Inflation Data'!$A:$A = ($A2340 - 2)))) * Parameters!$A$4,0)"),0.0)</f>
        <v>0</v>
      </c>
      <c r="Y2340" s="91">
        <f>IFERROR(__xludf.DUMMYFUNCTION("IFERROR((IFERROR(FILTER('Fund Investment Data'!$P:$P,'Fund Investment Data'!$C:$C = $C2340,'Fund Investment Data'!$A:$A = ($A2340 - 2), 'Fund Investment Data'!$B:$B = 12),0) - SUM(FILTER('Fund Investment Data'!$V:$V, 'Fund Investment Data'!$C:$C = $C2340,"&amp;" 'Fund Investment Data'!$A:$A = ($A2340 - 2), 'Fund Investment Data'!$B:$B &gt; 3)))  * Parameters!$B$4 * (1 - Parameters!$A$4),0)"),0.0)</f>
        <v>0</v>
      </c>
      <c r="Z2340" s="91">
        <f t="shared" si="24"/>
        <v>0</v>
      </c>
      <c r="AA2340" s="91">
        <f>IFERROR(__xludf.DUMMYFUNCTION("((IFERROR((SUM(FILTER('Fund Investment Data'!$V:$V, 'Fund Investment Data'!$C:$C = $C2340, 'Fund Investment Data'!$A:$A = $A2340 - 1, 'Fund Investment Data'!$B:$B &gt;= 4, 'Fund Investment Data'!$B:$B &lt;= ($B2340 + 5))) / 12) * ($B2340 - 3) * Parameters!$B$4,"&amp;" 0) + IF($B2340 &gt;= 9, IFERROR(SUM(FILTER('Fund Investment Data'!$V:$V, 'Fund Investment Data'!$C:$C = $C2340, 'Fund Investment Data'!$A:$A = $A2340, 'Fund Investment Data'!$B:$B &lt;= 3)) * Parameters!$B$4, 0),0)))"),0.0)</f>
        <v>0</v>
      </c>
      <c r="AB2340" s="32">
        <f>IFERROR(__xludf.DUMMYFUNCTION("IFERROR(((IFERROR(SUM(FILTER('Fund Investment Data'!$V:$V, 'Fund Investment Data'!$C:$C = $C2340, 'Fund Investment Data'!$A:$A = $A2340 - 2, 'Fund Investment Data'!$B:$B &gt;= 4)) * Parameters!$B$4,0) + IFERROR(SUM(FILTER('Fund Investment Data'!$V:$V, 'Fund "&amp;"Investment Data'!$C:$C = $C2340, 'Fund Investment Data'!$A:$A = $A2340 - 1, 'Fund Investment Data'!$B:$B &lt;= 3)) * Parameters!$B$4,0))),0)"),0.0)</f>
        <v>0</v>
      </c>
      <c r="AC2340" s="32">
        <f>IFERROR(__xludf.DUMMYFUNCTION("IFERROR(FILTER($AF:$AF,$C:$C = $C2340,$A:$A = $A2340 - 1,$B:$B = 12),0)"),0.0)</f>
        <v>0</v>
      </c>
      <c r="AD2340" s="32">
        <f t="shared" si="23"/>
        <v>0</v>
      </c>
      <c r="AE2340" s="32">
        <f t="shared" si="2"/>
        <v>0</v>
      </c>
      <c r="AF2340" s="32"/>
    </row>
    <row r="2341">
      <c r="A2341" s="86"/>
      <c r="B2341" s="87"/>
      <c r="C2341" s="88"/>
      <c r="D2341" s="104"/>
      <c r="E2341" s="104"/>
      <c r="F2341" s="104"/>
      <c r="G2341" s="104"/>
      <c r="H2341" s="104"/>
      <c r="I2341" s="104"/>
      <c r="J2341" s="104"/>
      <c r="K2341" s="32"/>
      <c r="L2341" s="32"/>
      <c r="M2341" s="32"/>
      <c r="N2341" s="32"/>
      <c r="O2341" s="106"/>
      <c r="P2341" s="91">
        <f>IFERROR(__xludf.DUMMYFUNCTION("IFERROR(sum(FILTER($D:$N,$C:$C = $C2341,$A:$A &lt; $A2341,$B:$B = 12)),0) + sum($D2341:$N2341)"),0.0)</f>
        <v>0</v>
      </c>
      <c r="Q2341" s="92">
        <f t="shared" si="1"/>
        <v>0</v>
      </c>
      <c r="R2341" s="91">
        <f t="array" ref="R2341">IFERROR(INDEX('Fund YTD Target Values'!$1:$1000, MATCH($C2341,'Fund YTD Target Values'!$A:$A,0), MATCH($A2341,'Fund YTD Target Values'!$1:$1,0)),0)</f>
        <v>0</v>
      </c>
      <c r="S2341" s="91">
        <f>IFERROR(__xludf.DUMMYFUNCTION("IFERROR(sum(FILTER('Fund Investment Data'!$V:$V, 'Fund Investment Data'!$C:$C = $C2341, 'Fund Investment Data'!$A:$A &lt; $A2341)),0) + IFERROR(sum(FILTER('Fund Investment Data'!$V:$V, 'Fund Investment Data'!$C:$C = $C2341, 'Fund Investment Data'!$A:$A = $A2"&amp;"341, 'Fund Investment Data'!$B:$B &lt;= $B2341)),0)"),0.0)</f>
        <v>0</v>
      </c>
      <c r="T2341" s="32"/>
      <c r="U2341" s="32"/>
      <c r="V2341" s="32">
        <f>IFERROR(__xludf.DUMMYFUNCTION("$D2341 - IFERROR(FILTER($D:$D,$C:$C = $C2341, $A:$A = $A2341, $B:$B = $B2341 - 1),0)"),0.0)</f>
        <v>0</v>
      </c>
      <c r="W2341" s="93">
        <f>IFERROR(__xludf.DUMMYFUNCTION("$E2341 - IFERROR(FILTER($E:$E,$C:$C = $C2341, $A:$A = $A2341, $B:$B = $B2341 - 1),0)"),0.0)</f>
        <v>0</v>
      </c>
      <c r="X2341" s="91">
        <f>IFERROR(__xludf.DUMMYFUNCTION("iFERROR((FILTER('Fund Investment Data'!$Z:$Z, 'Fund Investment Data'!$C:$C = $C2341, 'Fund Investment Data'!$A:$A = $A2341 - 1, 'Fund Investment Data'!$B:$B = 12) + FILTER('Fund Investment Data'!$AB:$AB, 'Fund Investment Data'!$C:$C = $C2341, 'Fund Invest"&amp;"ment Data'!$A:$A = $A2341 - 1, 'Fund Investment Data'!$B:$B = 12)) * (1 + AVERAGE(FILTER('Inflation Data'!$C:$C,'Inflation Data'!$A:$A = ($A2341 - 2)))) * Parameters!$A$4,0)"),0.0)</f>
        <v>0</v>
      </c>
      <c r="Y2341" s="91">
        <f>IFERROR(__xludf.DUMMYFUNCTION("IFERROR((IFERROR(FILTER('Fund Investment Data'!$P:$P,'Fund Investment Data'!$C:$C = $C2341,'Fund Investment Data'!$A:$A = ($A2341 - 2), 'Fund Investment Data'!$B:$B = 12),0) - SUM(FILTER('Fund Investment Data'!$V:$V, 'Fund Investment Data'!$C:$C = $C2341,"&amp;" 'Fund Investment Data'!$A:$A = ($A2341 - 2), 'Fund Investment Data'!$B:$B &gt; 3)))  * Parameters!$B$4 * (1 - Parameters!$A$4),0)"),0.0)</f>
        <v>0</v>
      </c>
      <c r="Z2341" s="91">
        <f t="shared" si="24"/>
        <v>0</v>
      </c>
      <c r="AA2341" s="91">
        <f>IFERROR(__xludf.DUMMYFUNCTION("((IFERROR((SUM(FILTER('Fund Investment Data'!$V:$V, 'Fund Investment Data'!$C:$C = $C2341, 'Fund Investment Data'!$A:$A = $A2341 - 1, 'Fund Investment Data'!$B:$B &gt;= 4, 'Fund Investment Data'!$B:$B &lt;= ($B2341 + 5))) / 12) * ($B2341 - 3) * Parameters!$B$4,"&amp;" 0) + IF($B2341 &gt;= 9, IFERROR(SUM(FILTER('Fund Investment Data'!$V:$V, 'Fund Investment Data'!$C:$C = $C2341, 'Fund Investment Data'!$A:$A = $A2341, 'Fund Investment Data'!$B:$B &lt;= 3)) * Parameters!$B$4, 0),0)))"),0.0)</f>
        <v>0</v>
      </c>
      <c r="AB2341" s="32">
        <f>IFERROR(__xludf.DUMMYFUNCTION("IFERROR(((IFERROR(SUM(FILTER('Fund Investment Data'!$V:$V, 'Fund Investment Data'!$C:$C = $C2341, 'Fund Investment Data'!$A:$A = $A2341 - 2, 'Fund Investment Data'!$B:$B &gt;= 4)) * Parameters!$B$4,0) + IFERROR(SUM(FILTER('Fund Investment Data'!$V:$V, 'Fund "&amp;"Investment Data'!$C:$C = $C2341, 'Fund Investment Data'!$A:$A = $A2341 - 1, 'Fund Investment Data'!$B:$B &lt;= 3)) * Parameters!$B$4,0))),0)"),0.0)</f>
        <v>0</v>
      </c>
      <c r="AC2341" s="32">
        <f>IFERROR(__xludf.DUMMYFUNCTION("IFERROR(FILTER($AF:$AF,$C:$C = $C2341,$A:$A = $A2341 - 1,$B:$B = 12),0)"),0.0)</f>
        <v>0</v>
      </c>
      <c r="AD2341" s="32">
        <f t="shared" si="23"/>
        <v>0</v>
      </c>
      <c r="AE2341" s="32">
        <f t="shared" si="2"/>
        <v>0</v>
      </c>
      <c r="AF2341" s="32"/>
    </row>
    <row r="2342">
      <c r="A2342" s="86"/>
      <c r="B2342" s="87"/>
      <c r="C2342" s="88"/>
      <c r="D2342" s="104"/>
      <c r="E2342" s="104"/>
      <c r="F2342" s="104"/>
      <c r="G2342" s="104"/>
      <c r="H2342" s="104"/>
      <c r="I2342" s="104"/>
      <c r="J2342" s="104"/>
      <c r="K2342" s="32"/>
      <c r="L2342" s="32"/>
      <c r="M2342" s="32"/>
      <c r="N2342" s="32"/>
      <c r="O2342" s="106"/>
      <c r="P2342" s="91">
        <f>IFERROR(__xludf.DUMMYFUNCTION("IFERROR(sum(FILTER($D:$N,$C:$C = $C2342,$A:$A &lt; $A2342,$B:$B = 12)),0) + sum($D2342:$N2342)"),0.0)</f>
        <v>0</v>
      </c>
      <c r="Q2342" s="92">
        <f t="shared" si="1"/>
        <v>0</v>
      </c>
      <c r="R2342" s="91">
        <f t="array" ref="R2342">IFERROR(INDEX('Fund YTD Target Values'!$1:$1000, MATCH($C2342,'Fund YTD Target Values'!$A:$A,0), MATCH($A2342,'Fund YTD Target Values'!$1:$1,0)),0)</f>
        <v>0</v>
      </c>
      <c r="S2342" s="91">
        <f>IFERROR(__xludf.DUMMYFUNCTION("IFERROR(sum(FILTER('Fund Investment Data'!$V:$V, 'Fund Investment Data'!$C:$C = $C2342, 'Fund Investment Data'!$A:$A &lt; $A2342)),0) + IFERROR(sum(FILTER('Fund Investment Data'!$V:$V, 'Fund Investment Data'!$C:$C = $C2342, 'Fund Investment Data'!$A:$A = $A2"&amp;"342, 'Fund Investment Data'!$B:$B &lt;= $B2342)),0)"),0.0)</f>
        <v>0</v>
      </c>
      <c r="T2342" s="32"/>
      <c r="U2342" s="32"/>
      <c r="V2342" s="32">
        <f>IFERROR(__xludf.DUMMYFUNCTION("$D2342 - IFERROR(FILTER($D:$D,$C:$C = $C2342, $A:$A = $A2342, $B:$B = $B2342 - 1),0)"),0.0)</f>
        <v>0</v>
      </c>
      <c r="W2342" s="93">
        <f>IFERROR(__xludf.DUMMYFUNCTION("$E2342 - IFERROR(FILTER($E:$E,$C:$C = $C2342, $A:$A = $A2342, $B:$B = $B2342 - 1),0)"),0.0)</f>
        <v>0</v>
      </c>
      <c r="X2342" s="91">
        <f>IFERROR(__xludf.DUMMYFUNCTION("iFERROR((FILTER('Fund Investment Data'!$Z:$Z, 'Fund Investment Data'!$C:$C = $C2342, 'Fund Investment Data'!$A:$A = $A2342 - 1, 'Fund Investment Data'!$B:$B = 12) + FILTER('Fund Investment Data'!$AB:$AB, 'Fund Investment Data'!$C:$C = $C2342, 'Fund Invest"&amp;"ment Data'!$A:$A = $A2342 - 1, 'Fund Investment Data'!$B:$B = 12)) * (1 + AVERAGE(FILTER('Inflation Data'!$C:$C,'Inflation Data'!$A:$A = ($A2342 - 2)))) * Parameters!$A$4,0)"),0.0)</f>
        <v>0</v>
      </c>
      <c r="Y2342" s="91">
        <f>IFERROR(__xludf.DUMMYFUNCTION("IFERROR((IFERROR(FILTER('Fund Investment Data'!$P:$P,'Fund Investment Data'!$C:$C = $C2342,'Fund Investment Data'!$A:$A = ($A2342 - 2), 'Fund Investment Data'!$B:$B = 12),0) - SUM(FILTER('Fund Investment Data'!$V:$V, 'Fund Investment Data'!$C:$C = $C2342,"&amp;" 'Fund Investment Data'!$A:$A = ($A2342 - 2), 'Fund Investment Data'!$B:$B &gt; 3)))  * Parameters!$B$4 * (1 - Parameters!$A$4),0)"),0.0)</f>
        <v>0</v>
      </c>
      <c r="Z2342" s="91">
        <f t="shared" si="24"/>
        <v>0</v>
      </c>
      <c r="AA2342" s="91">
        <f>IFERROR(__xludf.DUMMYFUNCTION("((IFERROR((SUM(FILTER('Fund Investment Data'!$V:$V, 'Fund Investment Data'!$C:$C = $C2342, 'Fund Investment Data'!$A:$A = $A2342 - 1, 'Fund Investment Data'!$B:$B &gt;= 4, 'Fund Investment Data'!$B:$B &lt;= ($B2342 + 5))) / 12) * ($B2342 - 3) * Parameters!$B$4,"&amp;" 0) + IF($B2342 &gt;= 9, IFERROR(SUM(FILTER('Fund Investment Data'!$V:$V, 'Fund Investment Data'!$C:$C = $C2342, 'Fund Investment Data'!$A:$A = $A2342, 'Fund Investment Data'!$B:$B &lt;= 3)) * Parameters!$B$4, 0),0)))"),0.0)</f>
        <v>0</v>
      </c>
      <c r="AB2342" s="32">
        <f>IFERROR(__xludf.DUMMYFUNCTION("IFERROR(((IFERROR(SUM(FILTER('Fund Investment Data'!$V:$V, 'Fund Investment Data'!$C:$C = $C2342, 'Fund Investment Data'!$A:$A = $A2342 - 2, 'Fund Investment Data'!$B:$B &gt;= 4)) * Parameters!$B$4,0) + IFERROR(SUM(FILTER('Fund Investment Data'!$V:$V, 'Fund "&amp;"Investment Data'!$C:$C = $C2342, 'Fund Investment Data'!$A:$A = $A2342 - 1, 'Fund Investment Data'!$B:$B &lt;= 3)) * Parameters!$B$4,0))),0)"),0.0)</f>
        <v>0</v>
      </c>
      <c r="AC2342" s="32">
        <f>IFERROR(__xludf.DUMMYFUNCTION("IFERROR(FILTER($AF:$AF,$C:$C = $C2342,$A:$A = $A2342 - 1,$B:$B = 12),0)"),0.0)</f>
        <v>0</v>
      </c>
      <c r="AD2342" s="32">
        <f t="shared" si="23"/>
        <v>0</v>
      </c>
      <c r="AE2342" s="32">
        <f t="shared" si="2"/>
        <v>0</v>
      </c>
      <c r="AF2342" s="32"/>
    </row>
    <row r="2343">
      <c r="A2343" s="86"/>
      <c r="B2343" s="87"/>
      <c r="C2343" s="88"/>
      <c r="D2343" s="104"/>
      <c r="E2343" s="104"/>
      <c r="F2343" s="104"/>
      <c r="G2343" s="104"/>
      <c r="H2343" s="104"/>
      <c r="I2343" s="104"/>
      <c r="J2343" s="104"/>
      <c r="K2343" s="32"/>
      <c r="L2343" s="32"/>
      <c r="M2343" s="32"/>
      <c r="N2343" s="32"/>
      <c r="O2343" s="106"/>
      <c r="P2343" s="91">
        <f>IFERROR(__xludf.DUMMYFUNCTION("IFERROR(sum(FILTER($D:$N,$C:$C = $C2343,$A:$A &lt; $A2343,$B:$B = 12)),0) + sum($D2343:$N2343)"),0.0)</f>
        <v>0</v>
      </c>
      <c r="Q2343" s="92">
        <f t="shared" si="1"/>
        <v>0</v>
      </c>
      <c r="R2343" s="91">
        <f t="array" ref="R2343">IFERROR(INDEX('Fund YTD Target Values'!$1:$1000, MATCH($C2343,'Fund YTD Target Values'!$A:$A,0), MATCH($A2343,'Fund YTD Target Values'!$1:$1,0)),0)</f>
        <v>0</v>
      </c>
      <c r="S2343" s="91">
        <f>IFERROR(__xludf.DUMMYFUNCTION("IFERROR(sum(FILTER('Fund Investment Data'!$V:$V, 'Fund Investment Data'!$C:$C = $C2343, 'Fund Investment Data'!$A:$A &lt; $A2343)),0) + IFERROR(sum(FILTER('Fund Investment Data'!$V:$V, 'Fund Investment Data'!$C:$C = $C2343, 'Fund Investment Data'!$A:$A = $A2"&amp;"343, 'Fund Investment Data'!$B:$B &lt;= $B2343)),0)"),0.0)</f>
        <v>0</v>
      </c>
      <c r="T2343" s="32"/>
      <c r="U2343" s="32"/>
      <c r="V2343" s="32">
        <f>IFERROR(__xludf.DUMMYFUNCTION("$D2343 - IFERROR(FILTER($D:$D,$C:$C = $C2343, $A:$A = $A2343, $B:$B = $B2343 - 1),0)"),0.0)</f>
        <v>0</v>
      </c>
      <c r="W2343" s="93">
        <f>IFERROR(__xludf.DUMMYFUNCTION("$E2343 - IFERROR(FILTER($E:$E,$C:$C = $C2343, $A:$A = $A2343, $B:$B = $B2343 - 1),0)"),0.0)</f>
        <v>0</v>
      </c>
      <c r="X2343" s="91">
        <f>IFERROR(__xludf.DUMMYFUNCTION("iFERROR((FILTER('Fund Investment Data'!$Z:$Z, 'Fund Investment Data'!$C:$C = $C2343, 'Fund Investment Data'!$A:$A = $A2343 - 1, 'Fund Investment Data'!$B:$B = 12) + FILTER('Fund Investment Data'!$AB:$AB, 'Fund Investment Data'!$C:$C = $C2343, 'Fund Invest"&amp;"ment Data'!$A:$A = $A2343 - 1, 'Fund Investment Data'!$B:$B = 12)) * (1 + AVERAGE(FILTER('Inflation Data'!$C:$C,'Inflation Data'!$A:$A = ($A2343 - 2)))) * Parameters!$A$4,0)"),0.0)</f>
        <v>0</v>
      </c>
      <c r="Y2343" s="91">
        <f>IFERROR(__xludf.DUMMYFUNCTION("IFERROR((IFERROR(FILTER('Fund Investment Data'!$P:$P,'Fund Investment Data'!$C:$C = $C2343,'Fund Investment Data'!$A:$A = ($A2343 - 2), 'Fund Investment Data'!$B:$B = 12),0) - SUM(FILTER('Fund Investment Data'!$V:$V, 'Fund Investment Data'!$C:$C = $C2343,"&amp;" 'Fund Investment Data'!$A:$A = ($A2343 - 2), 'Fund Investment Data'!$B:$B &gt; 3)))  * Parameters!$B$4 * (1 - Parameters!$A$4),0)"),0.0)</f>
        <v>0</v>
      </c>
      <c r="Z2343" s="91">
        <f t="shared" si="24"/>
        <v>0</v>
      </c>
      <c r="AA2343" s="91">
        <f>IFERROR(__xludf.DUMMYFUNCTION("((IFERROR((SUM(FILTER('Fund Investment Data'!$V:$V, 'Fund Investment Data'!$C:$C = $C2343, 'Fund Investment Data'!$A:$A = $A2343 - 1, 'Fund Investment Data'!$B:$B &gt;= 4, 'Fund Investment Data'!$B:$B &lt;= ($B2343 + 5))) / 12) * ($B2343 - 3) * Parameters!$B$4,"&amp;" 0) + IF($B2343 &gt;= 9, IFERROR(SUM(FILTER('Fund Investment Data'!$V:$V, 'Fund Investment Data'!$C:$C = $C2343, 'Fund Investment Data'!$A:$A = $A2343, 'Fund Investment Data'!$B:$B &lt;= 3)) * Parameters!$B$4, 0),0)))"),0.0)</f>
        <v>0</v>
      </c>
      <c r="AB2343" s="32">
        <f>IFERROR(__xludf.DUMMYFUNCTION("IFERROR(((IFERROR(SUM(FILTER('Fund Investment Data'!$V:$V, 'Fund Investment Data'!$C:$C = $C2343, 'Fund Investment Data'!$A:$A = $A2343 - 2, 'Fund Investment Data'!$B:$B &gt;= 4)) * Parameters!$B$4,0) + IFERROR(SUM(FILTER('Fund Investment Data'!$V:$V, 'Fund "&amp;"Investment Data'!$C:$C = $C2343, 'Fund Investment Data'!$A:$A = $A2343 - 1, 'Fund Investment Data'!$B:$B &lt;= 3)) * Parameters!$B$4,0))),0)"),0.0)</f>
        <v>0</v>
      </c>
      <c r="AC2343" s="32">
        <f>IFERROR(__xludf.DUMMYFUNCTION("IFERROR(FILTER($AF:$AF,$C:$C = $C2343,$A:$A = $A2343 - 1,$B:$B = 12),0)"),0.0)</f>
        <v>0</v>
      </c>
      <c r="AD2343" s="32">
        <f t="shared" si="23"/>
        <v>0</v>
      </c>
      <c r="AE2343" s="32">
        <f t="shared" si="2"/>
        <v>0</v>
      </c>
      <c r="AF2343" s="32"/>
    </row>
    <row r="2344">
      <c r="A2344" s="86"/>
      <c r="B2344" s="87"/>
      <c r="C2344" s="88"/>
      <c r="D2344" s="104"/>
      <c r="E2344" s="104"/>
      <c r="F2344" s="104"/>
      <c r="G2344" s="104"/>
      <c r="H2344" s="104"/>
      <c r="I2344" s="104"/>
      <c r="J2344" s="104"/>
      <c r="K2344" s="32"/>
      <c r="L2344" s="32"/>
      <c r="M2344" s="32"/>
      <c r="N2344" s="32"/>
      <c r="O2344" s="106"/>
      <c r="P2344" s="91">
        <f>IFERROR(__xludf.DUMMYFUNCTION("IFERROR(sum(FILTER($D:$N,$C:$C = $C2344,$A:$A &lt; $A2344,$B:$B = 12)),0) + sum($D2344:$N2344)"),0.0)</f>
        <v>0</v>
      </c>
      <c r="Q2344" s="92">
        <f t="shared" si="1"/>
        <v>0</v>
      </c>
      <c r="R2344" s="91">
        <f t="array" ref="R2344">IFERROR(INDEX('Fund YTD Target Values'!$1:$1000, MATCH($C2344,'Fund YTD Target Values'!$A:$A,0), MATCH($A2344,'Fund YTD Target Values'!$1:$1,0)),0)</f>
        <v>0</v>
      </c>
      <c r="S2344" s="91">
        <f>IFERROR(__xludf.DUMMYFUNCTION("IFERROR(sum(FILTER('Fund Investment Data'!$V:$V, 'Fund Investment Data'!$C:$C = $C2344, 'Fund Investment Data'!$A:$A &lt; $A2344)),0) + IFERROR(sum(FILTER('Fund Investment Data'!$V:$V, 'Fund Investment Data'!$C:$C = $C2344, 'Fund Investment Data'!$A:$A = $A2"&amp;"344, 'Fund Investment Data'!$B:$B &lt;= $B2344)),0)"),0.0)</f>
        <v>0</v>
      </c>
      <c r="T2344" s="32"/>
      <c r="U2344" s="32"/>
      <c r="V2344" s="32">
        <f>IFERROR(__xludf.DUMMYFUNCTION("$D2344 - IFERROR(FILTER($D:$D,$C:$C = $C2344, $A:$A = $A2344, $B:$B = $B2344 - 1),0)"),0.0)</f>
        <v>0</v>
      </c>
      <c r="W2344" s="93">
        <f>IFERROR(__xludf.DUMMYFUNCTION("$E2344 - IFERROR(FILTER($E:$E,$C:$C = $C2344, $A:$A = $A2344, $B:$B = $B2344 - 1),0)"),0.0)</f>
        <v>0</v>
      </c>
      <c r="X2344" s="91">
        <f>IFERROR(__xludf.DUMMYFUNCTION("iFERROR((FILTER('Fund Investment Data'!$Z:$Z, 'Fund Investment Data'!$C:$C = $C2344, 'Fund Investment Data'!$A:$A = $A2344 - 1, 'Fund Investment Data'!$B:$B = 12) + FILTER('Fund Investment Data'!$AB:$AB, 'Fund Investment Data'!$C:$C = $C2344, 'Fund Invest"&amp;"ment Data'!$A:$A = $A2344 - 1, 'Fund Investment Data'!$B:$B = 12)) * (1 + AVERAGE(FILTER('Inflation Data'!$C:$C,'Inflation Data'!$A:$A = ($A2344 - 2)))) * Parameters!$A$4,0)"),0.0)</f>
        <v>0</v>
      </c>
      <c r="Y2344" s="91">
        <f>IFERROR(__xludf.DUMMYFUNCTION("IFERROR((IFERROR(FILTER('Fund Investment Data'!$P:$P,'Fund Investment Data'!$C:$C = $C2344,'Fund Investment Data'!$A:$A = ($A2344 - 2), 'Fund Investment Data'!$B:$B = 12),0) - SUM(FILTER('Fund Investment Data'!$V:$V, 'Fund Investment Data'!$C:$C = $C2344,"&amp;" 'Fund Investment Data'!$A:$A = ($A2344 - 2), 'Fund Investment Data'!$B:$B &gt; 3)))  * Parameters!$B$4 * (1 - Parameters!$A$4),0)"),0.0)</f>
        <v>0</v>
      </c>
      <c r="Z2344" s="91">
        <f t="shared" si="24"/>
        <v>0</v>
      </c>
      <c r="AA2344" s="91">
        <f>IFERROR(__xludf.DUMMYFUNCTION("((IFERROR((SUM(FILTER('Fund Investment Data'!$V:$V, 'Fund Investment Data'!$C:$C = $C2344, 'Fund Investment Data'!$A:$A = $A2344 - 1, 'Fund Investment Data'!$B:$B &gt;= 4, 'Fund Investment Data'!$B:$B &lt;= ($B2344 + 5))) / 12) * ($B2344 - 3) * Parameters!$B$4,"&amp;" 0) + IF($B2344 &gt;= 9, IFERROR(SUM(FILTER('Fund Investment Data'!$V:$V, 'Fund Investment Data'!$C:$C = $C2344, 'Fund Investment Data'!$A:$A = $A2344, 'Fund Investment Data'!$B:$B &lt;= 3)) * Parameters!$B$4, 0),0)))"),0.0)</f>
        <v>0</v>
      </c>
      <c r="AB2344" s="32">
        <f>IFERROR(__xludf.DUMMYFUNCTION("IFERROR(((IFERROR(SUM(FILTER('Fund Investment Data'!$V:$V, 'Fund Investment Data'!$C:$C = $C2344, 'Fund Investment Data'!$A:$A = $A2344 - 2, 'Fund Investment Data'!$B:$B &gt;= 4)) * Parameters!$B$4,0) + IFERROR(SUM(FILTER('Fund Investment Data'!$V:$V, 'Fund "&amp;"Investment Data'!$C:$C = $C2344, 'Fund Investment Data'!$A:$A = $A2344 - 1, 'Fund Investment Data'!$B:$B &lt;= 3)) * Parameters!$B$4,0))),0)"),0.0)</f>
        <v>0</v>
      </c>
      <c r="AC2344" s="32">
        <f>IFERROR(__xludf.DUMMYFUNCTION("IFERROR(FILTER($AF:$AF,$C:$C = $C2344,$A:$A = $A2344 - 1,$B:$B = 12),0)"),0.0)</f>
        <v>0</v>
      </c>
      <c r="AD2344" s="32">
        <f t="shared" si="23"/>
        <v>0</v>
      </c>
      <c r="AE2344" s="32">
        <f t="shared" si="2"/>
        <v>0</v>
      </c>
      <c r="AF2344" s="32"/>
    </row>
    <row r="2345">
      <c r="A2345" s="86"/>
      <c r="B2345" s="87"/>
      <c r="C2345" s="88"/>
      <c r="D2345" s="104"/>
      <c r="E2345" s="104"/>
      <c r="F2345" s="104"/>
      <c r="G2345" s="104"/>
      <c r="H2345" s="104"/>
      <c r="I2345" s="104"/>
      <c r="J2345" s="104"/>
      <c r="K2345" s="32"/>
      <c r="L2345" s="32"/>
      <c r="M2345" s="32"/>
      <c r="N2345" s="32"/>
      <c r="O2345" s="106"/>
      <c r="P2345" s="91">
        <f>IFERROR(__xludf.DUMMYFUNCTION("IFERROR(sum(FILTER($D:$N,$C:$C = $C2345,$A:$A &lt; $A2345,$B:$B = 12)),0) + sum($D2345:$N2345)"),0.0)</f>
        <v>0</v>
      </c>
      <c r="Q2345" s="92">
        <f t="shared" si="1"/>
        <v>0</v>
      </c>
      <c r="R2345" s="91">
        <f t="array" ref="R2345">IFERROR(INDEX('Fund YTD Target Values'!$1:$1000, MATCH($C2345,'Fund YTD Target Values'!$A:$A,0), MATCH($A2345,'Fund YTD Target Values'!$1:$1,0)),0)</f>
        <v>0</v>
      </c>
      <c r="S2345" s="91">
        <f>IFERROR(__xludf.DUMMYFUNCTION("IFERROR(sum(FILTER('Fund Investment Data'!$V:$V, 'Fund Investment Data'!$C:$C = $C2345, 'Fund Investment Data'!$A:$A &lt; $A2345)),0) + IFERROR(sum(FILTER('Fund Investment Data'!$V:$V, 'Fund Investment Data'!$C:$C = $C2345, 'Fund Investment Data'!$A:$A = $A2"&amp;"345, 'Fund Investment Data'!$B:$B &lt;= $B2345)),0)"),0.0)</f>
        <v>0</v>
      </c>
      <c r="T2345" s="32"/>
      <c r="U2345" s="32"/>
      <c r="V2345" s="32">
        <f>IFERROR(__xludf.DUMMYFUNCTION("$D2345 - IFERROR(FILTER($D:$D,$C:$C = $C2345, $A:$A = $A2345, $B:$B = $B2345 - 1),0)"),0.0)</f>
        <v>0</v>
      </c>
      <c r="W2345" s="93">
        <f>IFERROR(__xludf.DUMMYFUNCTION("$E2345 - IFERROR(FILTER($E:$E,$C:$C = $C2345, $A:$A = $A2345, $B:$B = $B2345 - 1),0)"),0.0)</f>
        <v>0</v>
      </c>
      <c r="X2345" s="91">
        <f>IFERROR(__xludf.DUMMYFUNCTION("iFERROR((FILTER('Fund Investment Data'!$Z:$Z, 'Fund Investment Data'!$C:$C = $C2345, 'Fund Investment Data'!$A:$A = $A2345 - 1, 'Fund Investment Data'!$B:$B = 12) + FILTER('Fund Investment Data'!$AB:$AB, 'Fund Investment Data'!$C:$C = $C2345, 'Fund Invest"&amp;"ment Data'!$A:$A = $A2345 - 1, 'Fund Investment Data'!$B:$B = 12)) * (1 + AVERAGE(FILTER('Inflation Data'!$C:$C,'Inflation Data'!$A:$A = ($A2345 - 2)))) * Parameters!$A$4,0)"),0.0)</f>
        <v>0</v>
      </c>
      <c r="Y2345" s="91">
        <f>IFERROR(__xludf.DUMMYFUNCTION("IFERROR((IFERROR(FILTER('Fund Investment Data'!$P:$P,'Fund Investment Data'!$C:$C = $C2345,'Fund Investment Data'!$A:$A = ($A2345 - 2), 'Fund Investment Data'!$B:$B = 12),0) - SUM(FILTER('Fund Investment Data'!$V:$V, 'Fund Investment Data'!$C:$C = $C2345,"&amp;" 'Fund Investment Data'!$A:$A = ($A2345 - 2), 'Fund Investment Data'!$B:$B &gt; 3)))  * Parameters!$B$4 * (1 - Parameters!$A$4),0)"),0.0)</f>
        <v>0</v>
      </c>
      <c r="Z2345" s="91">
        <f t="shared" si="24"/>
        <v>0</v>
      </c>
      <c r="AA2345" s="91">
        <f>IFERROR(__xludf.DUMMYFUNCTION("((IFERROR((SUM(FILTER('Fund Investment Data'!$V:$V, 'Fund Investment Data'!$C:$C = $C2345, 'Fund Investment Data'!$A:$A = $A2345 - 1, 'Fund Investment Data'!$B:$B &gt;= 4, 'Fund Investment Data'!$B:$B &lt;= ($B2345 + 5))) / 12) * ($B2345 - 3) * Parameters!$B$4,"&amp;" 0) + IF($B2345 &gt;= 9, IFERROR(SUM(FILTER('Fund Investment Data'!$V:$V, 'Fund Investment Data'!$C:$C = $C2345, 'Fund Investment Data'!$A:$A = $A2345, 'Fund Investment Data'!$B:$B &lt;= 3)) * Parameters!$B$4, 0),0)))"),0.0)</f>
        <v>0</v>
      </c>
      <c r="AB2345" s="32">
        <f>IFERROR(__xludf.DUMMYFUNCTION("IFERROR(((IFERROR(SUM(FILTER('Fund Investment Data'!$V:$V, 'Fund Investment Data'!$C:$C = $C2345, 'Fund Investment Data'!$A:$A = $A2345 - 2, 'Fund Investment Data'!$B:$B &gt;= 4)) * Parameters!$B$4,0) + IFERROR(SUM(FILTER('Fund Investment Data'!$V:$V, 'Fund "&amp;"Investment Data'!$C:$C = $C2345, 'Fund Investment Data'!$A:$A = $A2345 - 1, 'Fund Investment Data'!$B:$B &lt;= 3)) * Parameters!$B$4,0))),0)"),0.0)</f>
        <v>0</v>
      </c>
      <c r="AC2345" s="32">
        <f>IFERROR(__xludf.DUMMYFUNCTION("IFERROR(FILTER($AF:$AF,$C:$C = $C2345,$A:$A = $A2345 - 1,$B:$B = 12),0)"),0.0)</f>
        <v>0</v>
      </c>
      <c r="AD2345" s="32">
        <f t="shared" si="23"/>
        <v>0</v>
      </c>
      <c r="AE2345" s="32">
        <f t="shared" si="2"/>
        <v>0</v>
      </c>
      <c r="AF2345" s="32"/>
    </row>
    <row r="2346">
      <c r="A2346" s="86"/>
      <c r="B2346" s="87"/>
      <c r="C2346" s="88"/>
      <c r="D2346" s="104"/>
      <c r="E2346" s="104"/>
      <c r="F2346" s="104"/>
      <c r="G2346" s="104"/>
      <c r="H2346" s="104"/>
      <c r="I2346" s="104"/>
      <c r="J2346" s="104"/>
      <c r="K2346" s="32"/>
      <c r="L2346" s="32"/>
      <c r="M2346" s="32"/>
      <c r="N2346" s="32"/>
      <c r="O2346" s="106"/>
      <c r="P2346" s="91">
        <f>IFERROR(__xludf.DUMMYFUNCTION("IFERROR(sum(FILTER($D:$N,$C:$C = $C2346,$A:$A &lt; $A2346,$B:$B = 12)),0) + sum($D2346:$N2346)"),0.0)</f>
        <v>0</v>
      </c>
      <c r="Q2346" s="92">
        <f t="shared" si="1"/>
        <v>0</v>
      </c>
      <c r="R2346" s="91">
        <f t="array" ref="R2346">IFERROR(INDEX('Fund YTD Target Values'!$1:$1000, MATCH($C2346,'Fund YTD Target Values'!$A:$A,0), MATCH($A2346,'Fund YTD Target Values'!$1:$1,0)),0)</f>
        <v>0</v>
      </c>
      <c r="S2346" s="91">
        <f>IFERROR(__xludf.DUMMYFUNCTION("IFERROR(sum(FILTER('Fund Investment Data'!$V:$V, 'Fund Investment Data'!$C:$C = $C2346, 'Fund Investment Data'!$A:$A &lt; $A2346)),0) + IFERROR(sum(FILTER('Fund Investment Data'!$V:$V, 'Fund Investment Data'!$C:$C = $C2346, 'Fund Investment Data'!$A:$A = $A2"&amp;"346, 'Fund Investment Data'!$B:$B &lt;= $B2346)),0)"),0.0)</f>
        <v>0</v>
      </c>
      <c r="T2346" s="32"/>
      <c r="U2346" s="32"/>
      <c r="V2346" s="32">
        <f>IFERROR(__xludf.DUMMYFUNCTION("$D2346 - IFERROR(FILTER($D:$D,$C:$C = $C2346, $A:$A = $A2346, $B:$B = $B2346 - 1),0)"),0.0)</f>
        <v>0</v>
      </c>
      <c r="W2346" s="93">
        <f>IFERROR(__xludf.DUMMYFUNCTION("$E2346 - IFERROR(FILTER($E:$E,$C:$C = $C2346, $A:$A = $A2346, $B:$B = $B2346 - 1),0)"),0.0)</f>
        <v>0</v>
      </c>
      <c r="X2346" s="91">
        <f>IFERROR(__xludf.DUMMYFUNCTION("iFERROR((FILTER('Fund Investment Data'!$Z:$Z, 'Fund Investment Data'!$C:$C = $C2346, 'Fund Investment Data'!$A:$A = $A2346 - 1, 'Fund Investment Data'!$B:$B = 12) + FILTER('Fund Investment Data'!$AB:$AB, 'Fund Investment Data'!$C:$C = $C2346, 'Fund Invest"&amp;"ment Data'!$A:$A = $A2346 - 1, 'Fund Investment Data'!$B:$B = 12)) * (1 + AVERAGE(FILTER('Inflation Data'!$C:$C,'Inflation Data'!$A:$A = ($A2346 - 2)))) * Parameters!$A$4,0)"),0.0)</f>
        <v>0</v>
      </c>
      <c r="Y2346" s="91">
        <f>IFERROR(__xludf.DUMMYFUNCTION("IFERROR((IFERROR(FILTER('Fund Investment Data'!$P:$P,'Fund Investment Data'!$C:$C = $C2346,'Fund Investment Data'!$A:$A = ($A2346 - 2), 'Fund Investment Data'!$B:$B = 12),0) - SUM(FILTER('Fund Investment Data'!$V:$V, 'Fund Investment Data'!$C:$C = $C2346,"&amp;" 'Fund Investment Data'!$A:$A = ($A2346 - 2), 'Fund Investment Data'!$B:$B &gt; 3)))  * Parameters!$B$4 * (1 - Parameters!$A$4),0)"),0.0)</f>
        <v>0</v>
      </c>
      <c r="Z2346" s="91">
        <f t="shared" si="24"/>
        <v>0</v>
      </c>
      <c r="AA2346" s="91">
        <f>IFERROR(__xludf.DUMMYFUNCTION("((IFERROR((SUM(FILTER('Fund Investment Data'!$V:$V, 'Fund Investment Data'!$C:$C = $C2346, 'Fund Investment Data'!$A:$A = $A2346 - 1, 'Fund Investment Data'!$B:$B &gt;= 4, 'Fund Investment Data'!$B:$B &lt;= ($B2346 + 5))) / 12) * ($B2346 - 3) * Parameters!$B$4,"&amp;" 0) + IF($B2346 &gt;= 9, IFERROR(SUM(FILTER('Fund Investment Data'!$V:$V, 'Fund Investment Data'!$C:$C = $C2346, 'Fund Investment Data'!$A:$A = $A2346, 'Fund Investment Data'!$B:$B &lt;= 3)) * Parameters!$B$4, 0),0)))"),0.0)</f>
        <v>0</v>
      </c>
      <c r="AB2346" s="32">
        <f>IFERROR(__xludf.DUMMYFUNCTION("IFERROR(((IFERROR(SUM(FILTER('Fund Investment Data'!$V:$V, 'Fund Investment Data'!$C:$C = $C2346, 'Fund Investment Data'!$A:$A = $A2346 - 2, 'Fund Investment Data'!$B:$B &gt;= 4)) * Parameters!$B$4,0) + IFERROR(SUM(FILTER('Fund Investment Data'!$V:$V, 'Fund "&amp;"Investment Data'!$C:$C = $C2346, 'Fund Investment Data'!$A:$A = $A2346 - 1, 'Fund Investment Data'!$B:$B &lt;= 3)) * Parameters!$B$4,0))),0)"),0.0)</f>
        <v>0</v>
      </c>
      <c r="AC2346" s="32">
        <f>IFERROR(__xludf.DUMMYFUNCTION("IFERROR(FILTER($AF:$AF,$C:$C = $C2346,$A:$A = $A2346 - 1,$B:$B = 12),0)"),0.0)</f>
        <v>0</v>
      </c>
      <c r="AD2346" s="32">
        <f t="shared" si="23"/>
        <v>0</v>
      </c>
      <c r="AE2346" s="32">
        <f t="shared" si="2"/>
        <v>0</v>
      </c>
      <c r="AF2346" s="32"/>
    </row>
    <row r="2347">
      <c r="A2347" s="86"/>
      <c r="B2347" s="87"/>
      <c r="C2347" s="88"/>
      <c r="D2347" s="104"/>
      <c r="E2347" s="104"/>
      <c r="F2347" s="104"/>
      <c r="G2347" s="104"/>
      <c r="H2347" s="104"/>
      <c r="I2347" s="104"/>
      <c r="J2347" s="104"/>
      <c r="K2347" s="32"/>
      <c r="L2347" s="32"/>
      <c r="M2347" s="32"/>
      <c r="N2347" s="32"/>
      <c r="O2347" s="106"/>
      <c r="P2347" s="91">
        <f>IFERROR(__xludf.DUMMYFUNCTION("IFERROR(sum(FILTER($D:$N,$C:$C = $C2347,$A:$A &lt; $A2347,$B:$B = 12)),0) + sum($D2347:$N2347)"),0.0)</f>
        <v>0</v>
      </c>
      <c r="Q2347" s="92">
        <f t="shared" si="1"/>
        <v>0</v>
      </c>
      <c r="R2347" s="91">
        <f t="array" ref="R2347">IFERROR(INDEX('Fund YTD Target Values'!$1:$1000, MATCH($C2347,'Fund YTD Target Values'!$A:$A,0), MATCH($A2347,'Fund YTD Target Values'!$1:$1,0)),0)</f>
        <v>0</v>
      </c>
      <c r="S2347" s="91">
        <f>IFERROR(__xludf.DUMMYFUNCTION("IFERROR(sum(FILTER('Fund Investment Data'!$V:$V, 'Fund Investment Data'!$C:$C = $C2347, 'Fund Investment Data'!$A:$A &lt; $A2347)),0) + IFERROR(sum(FILTER('Fund Investment Data'!$V:$V, 'Fund Investment Data'!$C:$C = $C2347, 'Fund Investment Data'!$A:$A = $A2"&amp;"347, 'Fund Investment Data'!$B:$B &lt;= $B2347)),0)"),0.0)</f>
        <v>0</v>
      </c>
      <c r="T2347" s="32"/>
      <c r="U2347" s="32"/>
      <c r="V2347" s="32">
        <f>IFERROR(__xludf.DUMMYFUNCTION("$D2347 - IFERROR(FILTER($D:$D,$C:$C = $C2347, $A:$A = $A2347, $B:$B = $B2347 - 1),0)"),0.0)</f>
        <v>0</v>
      </c>
      <c r="W2347" s="93">
        <f>IFERROR(__xludf.DUMMYFUNCTION("$E2347 - IFERROR(FILTER($E:$E,$C:$C = $C2347, $A:$A = $A2347, $B:$B = $B2347 - 1),0)"),0.0)</f>
        <v>0</v>
      </c>
      <c r="X2347" s="91">
        <f>IFERROR(__xludf.DUMMYFUNCTION("iFERROR((FILTER('Fund Investment Data'!$Z:$Z, 'Fund Investment Data'!$C:$C = $C2347, 'Fund Investment Data'!$A:$A = $A2347 - 1, 'Fund Investment Data'!$B:$B = 12) + FILTER('Fund Investment Data'!$AB:$AB, 'Fund Investment Data'!$C:$C = $C2347, 'Fund Invest"&amp;"ment Data'!$A:$A = $A2347 - 1, 'Fund Investment Data'!$B:$B = 12)) * (1 + AVERAGE(FILTER('Inflation Data'!$C:$C,'Inflation Data'!$A:$A = ($A2347 - 2)))) * Parameters!$A$4,0)"),0.0)</f>
        <v>0</v>
      </c>
      <c r="Y2347" s="91">
        <f>IFERROR(__xludf.DUMMYFUNCTION("IFERROR((IFERROR(FILTER('Fund Investment Data'!$P:$P,'Fund Investment Data'!$C:$C = $C2347,'Fund Investment Data'!$A:$A = ($A2347 - 2), 'Fund Investment Data'!$B:$B = 12),0) - SUM(FILTER('Fund Investment Data'!$V:$V, 'Fund Investment Data'!$C:$C = $C2347,"&amp;" 'Fund Investment Data'!$A:$A = ($A2347 - 2), 'Fund Investment Data'!$B:$B &gt; 3)))  * Parameters!$B$4 * (1 - Parameters!$A$4),0)"),0.0)</f>
        <v>0</v>
      </c>
      <c r="Z2347" s="91">
        <f t="shared" si="24"/>
        <v>0</v>
      </c>
      <c r="AA2347" s="91">
        <f>IFERROR(__xludf.DUMMYFUNCTION("((IFERROR((SUM(FILTER('Fund Investment Data'!$V:$V, 'Fund Investment Data'!$C:$C = $C2347, 'Fund Investment Data'!$A:$A = $A2347 - 1, 'Fund Investment Data'!$B:$B &gt;= 4, 'Fund Investment Data'!$B:$B &lt;= ($B2347 + 5))) / 12) * ($B2347 - 3) * Parameters!$B$4,"&amp;" 0) + IF($B2347 &gt;= 9, IFERROR(SUM(FILTER('Fund Investment Data'!$V:$V, 'Fund Investment Data'!$C:$C = $C2347, 'Fund Investment Data'!$A:$A = $A2347, 'Fund Investment Data'!$B:$B &lt;= 3)) * Parameters!$B$4, 0),0)))"),0.0)</f>
        <v>0</v>
      </c>
      <c r="AB2347" s="32">
        <f>IFERROR(__xludf.DUMMYFUNCTION("IFERROR(((IFERROR(SUM(FILTER('Fund Investment Data'!$V:$V, 'Fund Investment Data'!$C:$C = $C2347, 'Fund Investment Data'!$A:$A = $A2347 - 2, 'Fund Investment Data'!$B:$B &gt;= 4)) * Parameters!$B$4,0) + IFERROR(SUM(FILTER('Fund Investment Data'!$V:$V, 'Fund "&amp;"Investment Data'!$C:$C = $C2347, 'Fund Investment Data'!$A:$A = $A2347 - 1, 'Fund Investment Data'!$B:$B &lt;= 3)) * Parameters!$B$4,0))),0)"),0.0)</f>
        <v>0</v>
      </c>
      <c r="AC2347" s="32">
        <f>IFERROR(__xludf.DUMMYFUNCTION("IFERROR(FILTER($AF:$AF,$C:$C = $C2347,$A:$A = $A2347 - 1,$B:$B = 12),0)"),0.0)</f>
        <v>0</v>
      </c>
      <c r="AD2347" s="32">
        <f t="shared" si="23"/>
        <v>0</v>
      </c>
      <c r="AE2347" s="32">
        <f t="shared" si="2"/>
        <v>0</v>
      </c>
      <c r="AF2347" s="32"/>
    </row>
    <row r="2348">
      <c r="A2348" s="86"/>
      <c r="B2348" s="87"/>
      <c r="C2348" s="88"/>
      <c r="D2348" s="104"/>
      <c r="E2348" s="104"/>
      <c r="F2348" s="104"/>
      <c r="G2348" s="104"/>
      <c r="H2348" s="104"/>
      <c r="I2348" s="104"/>
      <c r="J2348" s="104"/>
      <c r="K2348" s="32"/>
      <c r="L2348" s="32"/>
      <c r="M2348" s="32"/>
      <c r="N2348" s="32"/>
      <c r="O2348" s="106"/>
      <c r="P2348" s="91">
        <f>IFERROR(__xludf.DUMMYFUNCTION("IFERROR(sum(FILTER($D:$N,$C:$C = $C2348,$A:$A &lt; $A2348,$B:$B = 12)),0) + sum($D2348:$N2348)"),0.0)</f>
        <v>0</v>
      </c>
      <c r="Q2348" s="92">
        <f t="shared" si="1"/>
        <v>0</v>
      </c>
      <c r="R2348" s="91">
        <f t="array" ref="R2348">IFERROR(INDEX('Fund YTD Target Values'!$1:$1000, MATCH($C2348,'Fund YTD Target Values'!$A:$A,0), MATCH($A2348,'Fund YTD Target Values'!$1:$1,0)),0)</f>
        <v>0</v>
      </c>
      <c r="S2348" s="91">
        <f>IFERROR(__xludf.DUMMYFUNCTION("IFERROR(sum(FILTER('Fund Investment Data'!$V:$V, 'Fund Investment Data'!$C:$C = $C2348, 'Fund Investment Data'!$A:$A &lt; $A2348)),0) + IFERROR(sum(FILTER('Fund Investment Data'!$V:$V, 'Fund Investment Data'!$C:$C = $C2348, 'Fund Investment Data'!$A:$A = $A2"&amp;"348, 'Fund Investment Data'!$B:$B &lt;= $B2348)),0)"),0.0)</f>
        <v>0</v>
      </c>
      <c r="T2348" s="32"/>
      <c r="U2348" s="32"/>
      <c r="V2348" s="32">
        <f>IFERROR(__xludf.DUMMYFUNCTION("$D2348 - IFERROR(FILTER($D:$D,$C:$C = $C2348, $A:$A = $A2348, $B:$B = $B2348 - 1),0)"),0.0)</f>
        <v>0</v>
      </c>
      <c r="W2348" s="93">
        <f>IFERROR(__xludf.DUMMYFUNCTION("$E2348 - IFERROR(FILTER($E:$E,$C:$C = $C2348, $A:$A = $A2348, $B:$B = $B2348 - 1),0)"),0.0)</f>
        <v>0</v>
      </c>
      <c r="X2348" s="91">
        <f>IFERROR(__xludf.DUMMYFUNCTION("iFERROR((FILTER('Fund Investment Data'!$Z:$Z, 'Fund Investment Data'!$C:$C = $C2348, 'Fund Investment Data'!$A:$A = $A2348 - 1, 'Fund Investment Data'!$B:$B = 12) + FILTER('Fund Investment Data'!$AB:$AB, 'Fund Investment Data'!$C:$C = $C2348, 'Fund Invest"&amp;"ment Data'!$A:$A = $A2348 - 1, 'Fund Investment Data'!$B:$B = 12)) * (1 + AVERAGE(FILTER('Inflation Data'!$C:$C,'Inflation Data'!$A:$A = ($A2348 - 2)))) * Parameters!$A$4,0)"),0.0)</f>
        <v>0</v>
      </c>
      <c r="Y2348" s="91">
        <f>IFERROR(__xludf.DUMMYFUNCTION("IFERROR((IFERROR(FILTER('Fund Investment Data'!$P:$P,'Fund Investment Data'!$C:$C = $C2348,'Fund Investment Data'!$A:$A = ($A2348 - 2), 'Fund Investment Data'!$B:$B = 12),0) - SUM(FILTER('Fund Investment Data'!$V:$V, 'Fund Investment Data'!$C:$C = $C2348,"&amp;" 'Fund Investment Data'!$A:$A = ($A2348 - 2), 'Fund Investment Data'!$B:$B &gt; 3)))  * Parameters!$B$4 * (1 - Parameters!$A$4),0)"),0.0)</f>
        <v>0</v>
      </c>
      <c r="Z2348" s="91">
        <f t="shared" si="24"/>
        <v>0</v>
      </c>
      <c r="AA2348" s="91">
        <f>IFERROR(__xludf.DUMMYFUNCTION("((IFERROR((SUM(FILTER('Fund Investment Data'!$V:$V, 'Fund Investment Data'!$C:$C = $C2348, 'Fund Investment Data'!$A:$A = $A2348 - 1, 'Fund Investment Data'!$B:$B &gt;= 4, 'Fund Investment Data'!$B:$B &lt;= ($B2348 + 5))) / 12) * ($B2348 - 3) * Parameters!$B$4,"&amp;" 0) + IF($B2348 &gt;= 9, IFERROR(SUM(FILTER('Fund Investment Data'!$V:$V, 'Fund Investment Data'!$C:$C = $C2348, 'Fund Investment Data'!$A:$A = $A2348, 'Fund Investment Data'!$B:$B &lt;= 3)) * Parameters!$B$4, 0),0)))"),0.0)</f>
        <v>0</v>
      </c>
      <c r="AB2348" s="32">
        <f>IFERROR(__xludf.DUMMYFUNCTION("IFERROR(((IFERROR(SUM(FILTER('Fund Investment Data'!$V:$V, 'Fund Investment Data'!$C:$C = $C2348, 'Fund Investment Data'!$A:$A = $A2348 - 2, 'Fund Investment Data'!$B:$B &gt;= 4)) * Parameters!$B$4,0) + IFERROR(SUM(FILTER('Fund Investment Data'!$V:$V, 'Fund "&amp;"Investment Data'!$C:$C = $C2348, 'Fund Investment Data'!$A:$A = $A2348 - 1, 'Fund Investment Data'!$B:$B &lt;= 3)) * Parameters!$B$4,0))),0)"),0.0)</f>
        <v>0</v>
      </c>
      <c r="AC2348" s="32">
        <f>IFERROR(__xludf.DUMMYFUNCTION("IFERROR(FILTER($AF:$AF,$C:$C = $C2348,$A:$A = $A2348 - 1,$B:$B = 12),0)"),0.0)</f>
        <v>0</v>
      </c>
      <c r="AD2348" s="32">
        <f t="shared" si="23"/>
        <v>0</v>
      </c>
      <c r="AE2348" s="32">
        <f t="shared" si="2"/>
        <v>0</v>
      </c>
      <c r="AF2348" s="32"/>
    </row>
    <row r="2349">
      <c r="A2349" s="86"/>
      <c r="B2349" s="87"/>
      <c r="C2349" s="88"/>
      <c r="D2349" s="104"/>
      <c r="E2349" s="104"/>
      <c r="F2349" s="104"/>
      <c r="G2349" s="104"/>
      <c r="H2349" s="104"/>
      <c r="I2349" s="104"/>
      <c r="J2349" s="104"/>
      <c r="K2349" s="32"/>
      <c r="L2349" s="32"/>
      <c r="M2349" s="32"/>
      <c r="N2349" s="32"/>
      <c r="O2349" s="106"/>
      <c r="P2349" s="91">
        <f>IFERROR(__xludf.DUMMYFUNCTION("IFERROR(sum(FILTER($D:$N,$C:$C = $C2349,$A:$A &lt; $A2349,$B:$B = 12)),0) + sum($D2349:$N2349)"),0.0)</f>
        <v>0</v>
      </c>
      <c r="Q2349" s="92">
        <f t="shared" si="1"/>
        <v>0</v>
      </c>
      <c r="R2349" s="91">
        <f t="array" ref="R2349">IFERROR(INDEX('Fund YTD Target Values'!$1:$1000, MATCH($C2349,'Fund YTD Target Values'!$A:$A,0), MATCH($A2349,'Fund YTD Target Values'!$1:$1,0)),0)</f>
        <v>0</v>
      </c>
      <c r="S2349" s="91">
        <f>IFERROR(__xludf.DUMMYFUNCTION("IFERROR(sum(FILTER('Fund Investment Data'!$V:$V, 'Fund Investment Data'!$C:$C = $C2349, 'Fund Investment Data'!$A:$A &lt; $A2349)),0) + IFERROR(sum(FILTER('Fund Investment Data'!$V:$V, 'Fund Investment Data'!$C:$C = $C2349, 'Fund Investment Data'!$A:$A = $A2"&amp;"349, 'Fund Investment Data'!$B:$B &lt;= $B2349)),0)"),0.0)</f>
        <v>0</v>
      </c>
      <c r="T2349" s="32"/>
      <c r="U2349" s="32"/>
      <c r="V2349" s="32">
        <f>IFERROR(__xludf.DUMMYFUNCTION("$D2349 - IFERROR(FILTER($D:$D,$C:$C = $C2349, $A:$A = $A2349, $B:$B = $B2349 - 1),0)"),0.0)</f>
        <v>0</v>
      </c>
      <c r="W2349" s="93">
        <f>IFERROR(__xludf.DUMMYFUNCTION("$E2349 - IFERROR(FILTER($E:$E,$C:$C = $C2349, $A:$A = $A2349, $B:$B = $B2349 - 1),0)"),0.0)</f>
        <v>0</v>
      </c>
      <c r="X2349" s="91">
        <f>IFERROR(__xludf.DUMMYFUNCTION("iFERROR((FILTER('Fund Investment Data'!$Z:$Z, 'Fund Investment Data'!$C:$C = $C2349, 'Fund Investment Data'!$A:$A = $A2349 - 1, 'Fund Investment Data'!$B:$B = 12) + FILTER('Fund Investment Data'!$AB:$AB, 'Fund Investment Data'!$C:$C = $C2349, 'Fund Invest"&amp;"ment Data'!$A:$A = $A2349 - 1, 'Fund Investment Data'!$B:$B = 12)) * (1 + AVERAGE(FILTER('Inflation Data'!$C:$C,'Inflation Data'!$A:$A = ($A2349 - 2)))) * Parameters!$A$4,0)"),0.0)</f>
        <v>0</v>
      </c>
      <c r="Y2349" s="91">
        <f>IFERROR(__xludf.DUMMYFUNCTION("IFERROR((IFERROR(FILTER('Fund Investment Data'!$P:$P,'Fund Investment Data'!$C:$C = $C2349,'Fund Investment Data'!$A:$A = ($A2349 - 2), 'Fund Investment Data'!$B:$B = 12),0) - SUM(FILTER('Fund Investment Data'!$V:$V, 'Fund Investment Data'!$C:$C = $C2349,"&amp;" 'Fund Investment Data'!$A:$A = ($A2349 - 2), 'Fund Investment Data'!$B:$B &gt; 3)))  * Parameters!$B$4 * (1 - Parameters!$A$4),0)"),0.0)</f>
        <v>0</v>
      </c>
      <c r="Z2349" s="91">
        <f t="shared" si="24"/>
        <v>0</v>
      </c>
      <c r="AA2349" s="91">
        <f>IFERROR(__xludf.DUMMYFUNCTION("((IFERROR((SUM(FILTER('Fund Investment Data'!$V:$V, 'Fund Investment Data'!$C:$C = $C2349, 'Fund Investment Data'!$A:$A = $A2349 - 1, 'Fund Investment Data'!$B:$B &gt;= 4, 'Fund Investment Data'!$B:$B &lt;= ($B2349 + 5))) / 12) * ($B2349 - 3) * Parameters!$B$4,"&amp;" 0) + IF($B2349 &gt;= 9, IFERROR(SUM(FILTER('Fund Investment Data'!$V:$V, 'Fund Investment Data'!$C:$C = $C2349, 'Fund Investment Data'!$A:$A = $A2349, 'Fund Investment Data'!$B:$B &lt;= 3)) * Parameters!$B$4, 0),0)))"),0.0)</f>
        <v>0</v>
      </c>
      <c r="AB2349" s="32">
        <f>IFERROR(__xludf.DUMMYFUNCTION("IFERROR(((IFERROR(SUM(FILTER('Fund Investment Data'!$V:$V, 'Fund Investment Data'!$C:$C = $C2349, 'Fund Investment Data'!$A:$A = $A2349 - 2, 'Fund Investment Data'!$B:$B &gt;= 4)) * Parameters!$B$4,0) + IFERROR(SUM(FILTER('Fund Investment Data'!$V:$V, 'Fund "&amp;"Investment Data'!$C:$C = $C2349, 'Fund Investment Data'!$A:$A = $A2349 - 1, 'Fund Investment Data'!$B:$B &lt;= 3)) * Parameters!$B$4,0))),0)"),0.0)</f>
        <v>0</v>
      </c>
      <c r="AC2349" s="32">
        <f>IFERROR(__xludf.DUMMYFUNCTION("IFERROR(FILTER($AF:$AF,$C:$C = $C2349,$A:$A = $A2349 - 1,$B:$B = 12),0)"),0.0)</f>
        <v>0</v>
      </c>
      <c r="AD2349" s="32">
        <f t="shared" si="23"/>
        <v>0</v>
      </c>
      <c r="AE2349" s="32">
        <f t="shared" si="2"/>
        <v>0</v>
      </c>
      <c r="AF2349" s="32"/>
    </row>
    <row r="2350">
      <c r="A2350" s="86"/>
      <c r="B2350" s="87"/>
      <c r="C2350" s="88"/>
      <c r="D2350" s="104"/>
      <c r="E2350" s="104"/>
      <c r="F2350" s="104"/>
      <c r="G2350" s="104"/>
      <c r="H2350" s="104"/>
      <c r="I2350" s="104"/>
      <c r="J2350" s="104"/>
      <c r="K2350" s="32"/>
      <c r="L2350" s="32"/>
      <c r="M2350" s="32"/>
      <c r="N2350" s="32"/>
      <c r="O2350" s="106"/>
      <c r="P2350" s="91">
        <f>IFERROR(__xludf.DUMMYFUNCTION("IFERROR(sum(FILTER($D:$N,$C:$C = $C2350,$A:$A &lt; $A2350,$B:$B = 12)),0) + sum($D2350:$N2350)"),0.0)</f>
        <v>0</v>
      </c>
      <c r="Q2350" s="92">
        <f t="shared" si="1"/>
        <v>0</v>
      </c>
      <c r="R2350" s="91">
        <f t="array" ref="R2350">IFERROR(INDEX('Fund YTD Target Values'!$1:$1000, MATCH($C2350,'Fund YTD Target Values'!$A:$A,0), MATCH($A2350,'Fund YTD Target Values'!$1:$1,0)),0)</f>
        <v>0</v>
      </c>
      <c r="S2350" s="91">
        <f>IFERROR(__xludf.DUMMYFUNCTION("IFERROR(sum(FILTER('Fund Investment Data'!$V:$V, 'Fund Investment Data'!$C:$C = $C2350, 'Fund Investment Data'!$A:$A &lt; $A2350)),0) + IFERROR(sum(FILTER('Fund Investment Data'!$V:$V, 'Fund Investment Data'!$C:$C = $C2350, 'Fund Investment Data'!$A:$A = $A2"&amp;"350, 'Fund Investment Data'!$B:$B &lt;= $B2350)),0)"),0.0)</f>
        <v>0</v>
      </c>
      <c r="T2350" s="32"/>
      <c r="U2350" s="32"/>
      <c r="V2350" s="32">
        <f>IFERROR(__xludf.DUMMYFUNCTION("$D2350 - IFERROR(FILTER($D:$D,$C:$C = $C2350, $A:$A = $A2350, $B:$B = $B2350 - 1),0)"),0.0)</f>
        <v>0</v>
      </c>
      <c r="W2350" s="93">
        <f>IFERROR(__xludf.DUMMYFUNCTION("$E2350 - IFERROR(FILTER($E:$E,$C:$C = $C2350, $A:$A = $A2350, $B:$B = $B2350 - 1),0)"),0.0)</f>
        <v>0</v>
      </c>
      <c r="X2350" s="91">
        <f>IFERROR(__xludf.DUMMYFUNCTION("iFERROR((FILTER('Fund Investment Data'!$Z:$Z, 'Fund Investment Data'!$C:$C = $C2350, 'Fund Investment Data'!$A:$A = $A2350 - 1, 'Fund Investment Data'!$B:$B = 12) + FILTER('Fund Investment Data'!$AB:$AB, 'Fund Investment Data'!$C:$C = $C2350, 'Fund Invest"&amp;"ment Data'!$A:$A = $A2350 - 1, 'Fund Investment Data'!$B:$B = 12)) * (1 + AVERAGE(FILTER('Inflation Data'!$C:$C,'Inflation Data'!$A:$A = ($A2350 - 2)))) * Parameters!$A$4,0)"),0.0)</f>
        <v>0</v>
      </c>
      <c r="Y2350" s="91">
        <f>IFERROR(__xludf.DUMMYFUNCTION("IFERROR((IFERROR(FILTER('Fund Investment Data'!$P:$P,'Fund Investment Data'!$C:$C = $C2350,'Fund Investment Data'!$A:$A = ($A2350 - 2), 'Fund Investment Data'!$B:$B = 12),0) - SUM(FILTER('Fund Investment Data'!$V:$V, 'Fund Investment Data'!$C:$C = $C2350,"&amp;" 'Fund Investment Data'!$A:$A = ($A2350 - 2), 'Fund Investment Data'!$B:$B &gt; 3)))  * Parameters!$B$4 * (1 - Parameters!$A$4),0)"),0.0)</f>
        <v>0</v>
      </c>
      <c r="Z2350" s="91">
        <f t="shared" si="24"/>
        <v>0</v>
      </c>
      <c r="AA2350" s="91">
        <f>IFERROR(__xludf.DUMMYFUNCTION("((IFERROR((SUM(FILTER('Fund Investment Data'!$V:$V, 'Fund Investment Data'!$C:$C = $C2350, 'Fund Investment Data'!$A:$A = $A2350 - 1, 'Fund Investment Data'!$B:$B &gt;= 4, 'Fund Investment Data'!$B:$B &lt;= ($B2350 + 5))) / 12) * ($B2350 - 3) * Parameters!$B$4,"&amp;" 0) + IF($B2350 &gt;= 9, IFERROR(SUM(FILTER('Fund Investment Data'!$V:$V, 'Fund Investment Data'!$C:$C = $C2350, 'Fund Investment Data'!$A:$A = $A2350, 'Fund Investment Data'!$B:$B &lt;= 3)) * Parameters!$B$4, 0),0)))"),0.0)</f>
        <v>0</v>
      </c>
      <c r="AB2350" s="32">
        <f>IFERROR(__xludf.DUMMYFUNCTION("IFERROR(((IFERROR(SUM(FILTER('Fund Investment Data'!$V:$V, 'Fund Investment Data'!$C:$C = $C2350, 'Fund Investment Data'!$A:$A = $A2350 - 2, 'Fund Investment Data'!$B:$B &gt;= 4)) * Parameters!$B$4,0) + IFERROR(SUM(FILTER('Fund Investment Data'!$V:$V, 'Fund "&amp;"Investment Data'!$C:$C = $C2350, 'Fund Investment Data'!$A:$A = $A2350 - 1, 'Fund Investment Data'!$B:$B &lt;= 3)) * Parameters!$B$4,0))),0)"),0.0)</f>
        <v>0</v>
      </c>
      <c r="AC2350" s="32">
        <f>IFERROR(__xludf.DUMMYFUNCTION("IFERROR(FILTER($AF:$AF,$C:$C = $C2350,$A:$A = $A2350 - 1,$B:$B = 12),0)"),0.0)</f>
        <v>0</v>
      </c>
      <c r="AD2350" s="32">
        <f t="shared" si="23"/>
        <v>0</v>
      </c>
      <c r="AE2350" s="32">
        <f t="shared" si="2"/>
        <v>0</v>
      </c>
      <c r="AF2350" s="32"/>
    </row>
    <row r="2351">
      <c r="A2351" s="86"/>
      <c r="B2351" s="87"/>
      <c r="C2351" s="88"/>
      <c r="D2351" s="104"/>
      <c r="E2351" s="104"/>
      <c r="F2351" s="104"/>
      <c r="G2351" s="104"/>
      <c r="H2351" s="104"/>
      <c r="I2351" s="104"/>
      <c r="J2351" s="104"/>
      <c r="K2351" s="32"/>
      <c r="L2351" s="32"/>
      <c r="M2351" s="32"/>
      <c r="N2351" s="32"/>
      <c r="O2351" s="106"/>
      <c r="P2351" s="91">
        <f>IFERROR(__xludf.DUMMYFUNCTION("IFERROR(sum(FILTER($D:$N,$C:$C = $C2351,$A:$A &lt; $A2351,$B:$B = 12)),0) + sum($D2351:$N2351)"),0.0)</f>
        <v>0</v>
      </c>
      <c r="Q2351" s="92">
        <f t="shared" si="1"/>
        <v>0</v>
      </c>
      <c r="R2351" s="91">
        <f t="array" ref="R2351">IFERROR(INDEX('Fund YTD Target Values'!$1:$1000, MATCH($C2351,'Fund YTD Target Values'!$A:$A,0), MATCH($A2351,'Fund YTD Target Values'!$1:$1,0)),0)</f>
        <v>0</v>
      </c>
      <c r="S2351" s="91">
        <f>IFERROR(__xludf.DUMMYFUNCTION("IFERROR(sum(FILTER('Fund Investment Data'!$V:$V, 'Fund Investment Data'!$C:$C = $C2351, 'Fund Investment Data'!$A:$A &lt; $A2351)),0) + IFERROR(sum(FILTER('Fund Investment Data'!$V:$V, 'Fund Investment Data'!$C:$C = $C2351, 'Fund Investment Data'!$A:$A = $A2"&amp;"351, 'Fund Investment Data'!$B:$B &lt;= $B2351)),0)"),0.0)</f>
        <v>0</v>
      </c>
      <c r="T2351" s="32"/>
      <c r="U2351" s="32"/>
      <c r="V2351" s="32">
        <f>IFERROR(__xludf.DUMMYFUNCTION("$D2351 - IFERROR(FILTER($D:$D,$C:$C = $C2351, $A:$A = $A2351, $B:$B = $B2351 - 1),0)"),0.0)</f>
        <v>0</v>
      </c>
      <c r="W2351" s="93">
        <f>IFERROR(__xludf.DUMMYFUNCTION("$E2351 - IFERROR(FILTER($E:$E,$C:$C = $C2351, $A:$A = $A2351, $B:$B = $B2351 - 1),0)"),0.0)</f>
        <v>0</v>
      </c>
      <c r="X2351" s="91">
        <f>IFERROR(__xludf.DUMMYFUNCTION("iFERROR((FILTER('Fund Investment Data'!$Z:$Z, 'Fund Investment Data'!$C:$C = $C2351, 'Fund Investment Data'!$A:$A = $A2351 - 1, 'Fund Investment Data'!$B:$B = 12) + FILTER('Fund Investment Data'!$AB:$AB, 'Fund Investment Data'!$C:$C = $C2351, 'Fund Invest"&amp;"ment Data'!$A:$A = $A2351 - 1, 'Fund Investment Data'!$B:$B = 12)) * (1 + AVERAGE(FILTER('Inflation Data'!$C:$C,'Inflation Data'!$A:$A = ($A2351 - 2)))) * Parameters!$A$4,0)"),0.0)</f>
        <v>0</v>
      </c>
      <c r="Y2351" s="91">
        <f>IFERROR(__xludf.DUMMYFUNCTION("IFERROR((IFERROR(FILTER('Fund Investment Data'!$P:$P,'Fund Investment Data'!$C:$C = $C2351,'Fund Investment Data'!$A:$A = ($A2351 - 2), 'Fund Investment Data'!$B:$B = 12),0) - SUM(FILTER('Fund Investment Data'!$V:$V, 'Fund Investment Data'!$C:$C = $C2351,"&amp;" 'Fund Investment Data'!$A:$A = ($A2351 - 2), 'Fund Investment Data'!$B:$B &gt; 3)))  * Parameters!$B$4 * (1 - Parameters!$A$4),0)"),0.0)</f>
        <v>0</v>
      </c>
      <c r="Z2351" s="91">
        <f t="shared" si="24"/>
        <v>0</v>
      </c>
      <c r="AA2351" s="91">
        <f>IFERROR(__xludf.DUMMYFUNCTION("((IFERROR((SUM(FILTER('Fund Investment Data'!$V:$V, 'Fund Investment Data'!$C:$C = $C2351, 'Fund Investment Data'!$A:$A = $A2351 - 1, 'Fund Investment Data'!$B:$B &gt;= 4, 'Fund Investment Data'!$B:$B &lt;= ($B2351 + 5))) / 12) * ($B2351 - 3) * Parameters!$B$4,"&amp;" 0) + IF($B2351 &gt;= 9, IFERROR(SUM(FILTER('Fund Investment Data'!$V:$V, 'Fund Investment Data'!$C:$C = $C2351, 'Fund Investment Data'!$A:$A = $A2351, 'Fund Investment Data'!$B:$B &lt;= 3)) * Parameters!$B$4, 0),0)))"),0.0)</f>
        <v>0</v>
      </c>
      <c r="AB2351" s="32">
        <f>IFERROR(__xludf.DUMMYFUNCTION("IFERROR(((IFERROR(SUM(FILTER('Fund Investment Data'!$V:$V, 'Fund Investment Data'!$C:$C = $C2351, 'Fund Investment Data'!$A:$A = $A2351 - 2, 'Fund Investment Data'!$B:$B &gt;= 4)) * Parameters!$B$4,0) + IFERROR(SUM(FILTER('Fund Investment Data'!$V:$V, 'Fund "&amp;"Investment Data'!$C:$C = $C2351, 'Fund Investment Data'!$A:$A = $A2351 - 1, 'Fund Investment Data'!$B:$B &lt;= 3)) * Parameters!$B$4,0))),0)"),0.0)</f>
        <v>0</v>
      </c>
      <c r="AC2351" s="32">
        <f>IFERROR(__xludf.DUMMYFUNCTION("IFERROR(FILTER($AF:$AF,$C:$C = $C2351,$A:$A = $A2351 - 1,$B:$B = 12),0)"),0.0)</f>
        <v>0</v>
      </c>
      <c r="AD2351" s="32">
        <f t="shared" si="23"/>
        <v>0</v>
      </c>
      <c r="AE2351" s="32">
        <f t="shared" si="2"/>
        <v>0</v>
      </c>
      <c r="AF2351" s="32"/>
    </row>
    <row r="2352">
      <c r="A2352" s="86"/>
      <c r="B2352" s="87"/>
      <c r="C2352" s="88"/>
      <c r="D2352" s="104"/>
      <c r="E2352" s="104"/>
      <c r="F2352" s="104"/>
      <c r="G2352" s="104"/>
      <c r="H2352" s="104"/>
      <c r="I2352" s="104"/>
      <c r="J2352" s="104"/>
      <c r="K2352" s="32"/>
      <c r="L2352" s="32"/>
      <c r="M2352" s="32"/>
      <c r="N2352" s="32"/>
      <c r="O2352" s="106"/>
      <c r="P2352" s="91">
        <f>IFERROR(__xludf.DUMMYFUNCTION("IFERROR(sum(FILTER($D:$N,$C:$C = $C2352,$A:$A &lt; $A2352,$B:$B = 12)),0) + sum($D2352:$N2352)"),0.0)</f>
        <v>0</v>
      </c>
      <c r="Q2352" s="92">
        <f t="shared" si="1"/>
        <v>0</v>
      </c>
      <c r="R2352" s="91">
        <f t="array" ref="R2352">IFERROR(INDEX('Fund YTD Target Values'!$1:$1000, MATCH($C2352,'Fund YTD Target Values'!$A:$A,0), MATCH($A2352,'Fund YTD Target Values'!$1:$1,0)),0)</f>
        <v>0</v>
      </c>
      <c r="S2352" s="91">
        <f>IFERROR(__xludf.DUMMYFUNCTION("IFERROR(sum(FILTER('Fund Investment Data'!$V:$V, 'Fund Investment Data'!$C:$C = $C2352, 'Fund Investment Data'!$A:$A &lt; $A2352)),0) + IFERROR(sum(FILTER('Fund Investment Data'!$V:$V, 'Fund Investment Data'!$C:$C = $C2352, 'Fund Investment Data'!$A:$A = $A2"&amp;"352, 'Fund Investment Data'!$B:$B &lt;= $B2352)),0)"),0.0)</f>
        <v>0</v>
      </c>
      <c r="T2352" s="32"/>
      <c r="U2352" s="32"/>
      <c r="V2352" s="32">
        <f>IFERROR(__xludf.DUMMYFUNCTION("$D2352 - IFERROR(FILTER($D:$D,$C:$C = $C2352, $A:$A = $A2352, $B:$B = $B2352 - 1),0)"),0.0)</f>
        <v>0</v>
      </c>
      <c r="W2352" s="93">
        <f>IFERROR(__xludf.DUMMYFUNCTION("$E2352 - IFERROR(FILTER($E:$E,$C:$C = $C2352, $A:$A = $A2352, $B:$B = $B2352 - 1),0)"),0.0)</f>
        <v>0</v>
      </c>
      <c r="X2352" s="91">
        <f>IFERROR(__xludf.DUMMYFUNCTION("iFERROR((FILTER('Fund Investment Data'!$Z:$Z, 'Fund Investment Data'!$C:$C = $C2352, 'Fund Investment Data'!$A:$A = $A2352 - 1, 'Fund Investment Data'!$B:$B = 12) + FILTER('Fund Investment Data'!$AB:$AB, 'Fund Investment Data'!$C:$C = $C2352, 'Fund Invest"&amp;"ment Data'!$A:$A = $A2352 - 1, 'Fund Investment Data'!$B:$B = 12)) * (1 + AVERAGE(FILTER('Inflation Data'!$C:$C,'Inflation Data'!$A:$A = ($A2352 - 2)))) * Parameters!$A$4,0)"),0.0)</f>
        <v>0</v>
      </c>
      <c r="Y2352" s="91">
        <f>IFERROR(__xludf.DUMMYFUNCTION("IFERROR((IFERROR(FILTER('Fund Investment Data'!$P:$P,'Fund Investment Data'!$C:$C = $C2352,'Fund Investment Data'!$A:$A = ($A2352 - 2), 'Fund Investment Data'!$B:$B = 12),0) - SUM(FILTER('Fund Investment Data'!$V:$V, 'Fund Investment Data'!$C:$C = $C2352,"&amp;" 'Fund Investment Data'!$A:$A = ($A2352 - 2), 'Fund Investment Data'!$B:$B &gt; 3)))  * Parameters!$B$4 * (1 - Parameters!$A$4),0)"),0.0)</f>
        <v>0</v>
      </c>
      <c r="Z2352" s="91">
        <f t="shared" si="24"/>
        <v>0</v>
      </c>
      <c r="AA2352" s="91">
        <f>IFERROR(__xludf.DUMMYFUNCTION("((IFERROR((SUM(FILTER('Fund Investment Data'!$V:$V, 'Fund Investment Data'!$C:$C = $C2352, 'Fund Investment Data'!$A:$A = $A2352 - 1, 'Fund Investment Data'!$B:$B &gt;= 4, 'Fund Investment Data'!$B:$B &lt;= ($B2352 + 5))) / 12) * ($B2352 - 3) * Parameters!$B$4,"&amp;" 0) + IF($B2352 &gt;= 9, IFERROR(SUM(FILTER('Fund Investment Data'!$V:$V, 'Fund Investment Data'!$C:$C = $C2352, 'Fund Investment Data'!$A:$A = $A2352, 'Fund Investment Data'!$B:$B &lt;= 3)) * Parameters!$B$4, 0),0)))"),0.0)</f>
        <v>0</v>
      </c>
      <c r="AB2352" s="32">
        <f>IFERROR(__xludf.DUMMYFUNCTION("IFERROR(((IFERROR(SUM(FILTER('Fund Investment Data'!$V:$V, 'Fund Investment Data'!$C:$C = $C2352, 'Fund Investment Data'!$A:$A = $A2352 - 2, 'Fund Investment Data'!$B:$B &gt;= 4)) * Parameters!$B$4,0) + IFERROR(SUM(FILTER('Fund Investment Data'!$V:$V, 'Fund "&amp;"Investment Data'!$C:$C = $C2352, 'Fund Investment Data'!$A:$A = $A2352 - 1, 'Fund Investment Data'!$B:$B &lt;= 3)) * Parameters!$B$4,0))),0)"),0.0)</f>
        <v>0</v>
      </c>
      <c r="AC2352" s="32">
        <f>IFERROR(__xludf.DUMMYFUNCTION("IFERROR(FILTER($AF:$AF,$C:$C = $C2352,$A:$A = $A2352 - 1,$B:$B = 12),0)"),0.0)</f>
        <v>0</v>
      </c>
      <c r="AD2352" s="32">
        <f t="shared" si="23"/>
        <v>0</v>
      </c>
      <c r="AE2352" s="32">
        <f t="shared" si="2"/>
        <v>0</v>
      </c>
      <c r="AF2352" s="32"/>
    </row>
    <row r="2353">
      <c r="A2353" s="86"/>
      <c r="B2353" s="87"/>
      <c r="C2353" s="88"/>
      <c r="D2353" s="104"/>
      <c r="E2353" s="104"/>
      <c r="F2353" s="104"/>
      <c r="G2353" s="104"/>
      <c r="H2353" s="104"/>
      <c r="I2353" s="104"/>
      <c r="J2353" s="104"/>
      <c r="K2353" s="32"/>
      <c r="L2353" s="32"/>
      <c r="M2353" s="32"/>
      <c r="N2353" s="32"/>
      <c r="O2353" s="106"/>
      <c r="P2353" s="91">
        <f>IFERROR(__xludf.DUMMYFUNCTION("IFERROR(sum(FILTER($D:$N,$C:$C = $C2353,$A:$A &lt; $A2353,$B:$B = 12)),0) + sum($D2353:$N2353)"),0.0)</f>
        <v>0</v>
      </c>
      <c r="Q2353" s="92">
        <f t="shared" si="1"/>
        <v>0</v>
      </c>
      <c r="R2353" s="91">
        <f t="array" ref="R2353">IFERROR(INDEX('Fund YTD Target Values'!$1:$1000, MATCH($C2353,'Fund YTD Target Values'!$A:$A,0), MATCH($A2353,'Fund YTD Target Values'!$1:$1,0)),0)</f>
        <v>0</v>
      </c>
      <c r="S2353" s="91">
        <f>IFERROR(__xludf.DUMMYFUNCTION("IFERROR(sum(FILTER('Fund Investment Data'!$V:$V, 'Fund Investment Data'!$C:$C = $C2353, 'Fund Investment Data'!$A:$A &lt; $A2353)),0) + IFERROR(sum(FILTER('Fund Investment Data'!$V:$V, 'Fund Investment Data'!$C:$C = $C2353, 'Fund Investment Data'!$A:$A = $A2"&amp;"353, 'Fund Investment Data'!$B:$B &lt;= $B2353)),0)"),0.0)</f>
        <v>0</v>
      </c>
      <c r="T2353" s="32"/>
      <c r="U2353" s="32"/>
      <c r="V2353" s="32">
        <f>IFERROR(__xludf.DUMMYFUNCTION("$D2353 - IFERROR(FILTER($D:$D,$C:$C = $C2353, $A:$A = $A2353, $B:$B = $B2353 - 1),0)"),0.0)</f>
        <v>0</v>
      </c>
      <c r="W2353" s="93">
        <f>IFERROR(__xludf.DUMMYFUNCTION("$E2353 - IFERROR(FILTER($E:$E,$C:$C = $C2353, $A:$A = $A2353, $B:$B = $B2353 - 1),0)"),0.0)</f>
        <v>0</v>
      </c>
      <c r="X2353" s="91">
        <f>IFERROR(__xludf.DUMMYFUNCTION("iFERROR((FILTER('Fund Investment Data'!$Z:$Z, 'Fund Investment Data'!$C:$C = $C2353, 'Fund Investment Data'!$A:$A = $A2353 - 1, 'Fund Investment Data'!$B:$B = 12) + FILTER('Fund Investment Data'!$AB:$AB, 'Fund Investment Data'!$C:$C = $C2353, 'Fund Invest"&amp;"ment Data'!$A:$A = $A2353 - 1, 'Fund Investment Data'!$B:$B = 12)) * (1 + AVERAGE(FILTER('Inflation Data'!$C:$C,'Inflation Data'!$A:$A = ($A2353 - 2)))) * Parameters!$A$4,0)"),0.0)</f>
        <v>0</v>
      </c>
      <c r="Y2353" s="91">
        <f>IFERROR(__xludf.DUMMYFUNCTION("IFERROR((IFERROR(FILTER('Fund Investment Data'!$P:$P,'Fund Investment Data'!$C:$C = $C2353,'Fund Investment Data'!$A:$A = ($A2353 - 2), 'Fund Investment Data'!$B:$B = 12),0) - SUM(FILTER('Fund Investment Data'!$V:$V, 'Fund Investment Data'!$C:$C = $C2353,"&amp;" 'Fund Investment Data'!$A:$A = ($A2353 - 2), 'Fund Investment Data'!$B:$B &gt; 3)))  * Parameters!$B$4 * (1 - Parameters!$A$4),0)"),0.0)</f>
        <v>0</v>
      </c>
      <c r="Z2353" s="91">
        <f t="shared" si="24"/>
        <v>0</v>
      </c>
      <c r="AA2353" s="91">
        <f>IFERROR(__xludf.DUMMYFUNCTION("((IFERROR((SUM(FILTER('Fund Investment Data'!$V:$V, 'Fund Investment Data'!$C:$C = $C2353, 'Fund Investment Data'!$A:$A = $A2353 - 1, 'Fund Investment Data'!$B:$B &gt;= 4, 'Fund Investment Data'!$B:$B &lt;= ($B2353 + 5))) / 12) * ($B2353 - 3) * Parameters!$B$4,"&amp;" 0) + IF($B2353 &gt;= 9, IFERROR(SUM(FILTER('Fund Investment Data'!$V:$V, 'Fund Investment Data'!$C:$C = $C2353, 'Fund Investment Data'!$A:$A = $A2353, 'Fund Investment Data'!$B:$B &lt;= 3)) * Parameters!$B$4, 0),0)))"),0.0)</f>
        <v>0</v>
      </c>
      <c r="AB2353" s="32">
        <f>IFERROR(__xludf.DUMMYFUNCTION("IFERROR(((IFERROR(SUM(FILTER('Fund Investment Data'!$V:$V, 'Fund Investment Data'!$C:$C = $C2353, 'Fund Investment Data'!$A:$A = $A2353 - 2, 'Fund Investment Data'!$B:$B &gt;= 4)) * Parameters!$B$4,0) + IFERROR(SUM(FILTER('Fund Investment Data'!$V:$V, 'Fund "&amp;"Investment Data'!$C:$C = $C2353, 'Fund Investment Data'!$A:$A = $A2353 - 1, 'Fund Investment Data'!$B:$B &lt;= 3)) * Parameters!$B$4,0))),0)"),0.0)</f>
        <v>0</v>
      </c>
      <c r="AC2353" s="32">
        <f>IFERROR(__xludf.DUMMYFUNCTION("IFERROR(FILTER($AF:$AF,$C:$C = $C2353,$A:$A = $A2353 - 1,$B:$B = 12),0)"),0.0)</f>
        <v>0</v>
      </c>
      <c r="AD2353" s="32">
        <f t="shared" si="23"/>
        <v>0</v>
      </c>
      <c r="AE2353" s="32">
        <f t="shared" si="2"/>
        <v>0</v>
      </c>
      <c r="AF2353" s="32"/>
    </row>
    <row r="2354">
      <c r="A2354" s="86"/>
      <c r="B2354" s="87"/>
      <c r="C2354" s="88"/>
      <c r="D2354" s="104"/>
      <c r="E2354" s="104"/>
      <c r="F2354" s="104"/>
      <c r="G2354" s="104"/>
      <c r="H2354" s="104"/>
      <c r="I2354" s="104"/>
      <c r="J2354" s="104"/>
      <c r="K2354" s="32"/>
      <c r="L2354" s="32"/>
      <c r="M2354" s="32"/>
      <c r="N2354" s="32"/>
      <c r="O2354" s="106"/>
      <c r="P2354" s="91">
        <f>IFERROR(__xludf.DUMMYFUNCTION("IFERROR(sum(FILTER($D:$N,$C:$C = $C2354,$A:$A &lt; $A2354,$B:$B = 12)),0) + sum($D2354:$N2354)"),0.0)</f>
        <v>0</v>
      </c>
      <c r="Q2354" s="92">
        <f t="shared" si="1"/>
        <v>0</v>
      </c>
      <c r="R2354" s="91">
        <f t="array" ref="R2354">IFERROR(INDEX('Fund YTD Target Values'!$1:$1000, MATCH($C2354,'Fund YTD Target Values'!$A:$A,0), MATCH($A2354,'Fund YTD Target Values'!$1:$1,0)),0)</f>
        <v>0</v>
      </c>
      <c r="S2354" s="91">
        <f>IFERROR(__xludf.DUMMYFUNCTION("IFERROR(sum(FILTER('Fund Investment Data'!$V:$V, 'Fund Investment Data'!$C:$C = $C2354, 'Fund Investment Data'!$A:$A &lt; $A2354)),0) + IFERROR(sum(FILTER('Fund Investment Data'!$V:$V, 'Fund Investment Data'!$C:$C = $C2354, 'Fund Investment Data'!$A:$A = $A2"&amp;"354, 'Fund Investment Data'!$B:$B &lt;= $B2354)),0)"),0.0)</f>
        <v>0</v>
      </c>
      <c r="T2354" s="32"/>
      <c r="U2354" s="32"/>
      <c r="V2354" s="32">
        <f>IFERROR(__xludf.DUMMYFUNCTION("$D2354 - IFERROR(FILTER($D:$D,$C:$C = $C2354, $A:$A = $A2354, $B:$B = $B2354 - 1),0)"),0.0)</f>
        <v>0</v>
      </c>
      <c r="W2354" s="93">
        <f>IFERROR(__xludf.DUMMYFUNCTION("$E2354 - IFERROR(FILTER($E:$E,$C:$C = $C2354, $A:$A = $A2354, $B:$B = $B2354 - 1),0)"),0.0)</f>
        <v>0</v>
      </c>
      <c r="X2354" s="91">
        <f>IFERROR(__xludf.DUMMYFUNCTION("iFERROR((FILTER('Fund Investment Data'!$Z:$Z, 'Fund Investment Data'!$C:$C = $C2354, 'Fund Investment Data'!$A:$A = $A2354 - 1, 'Fund Investment Data'!$B:$B = 12) + FILTER('Fund Investment Data'!$AB:$AB, 'Fund Investment Data'!$C:$C = $C2354, 'Fund Invest"&amp;"ment Data'!$A:$A = $A2354 - 1, 'Fund Investment Data'!$B:$B = 12)) * (1 + AVERAGE(FILTER('Inflation Data'!$C:$C,'Inflation Data'!$A:$A = ($A2354 - 2)))) * Parameters!$A$4,0)"),0.0)</f>
        <v>0</v>
      </c>
      <c r="Y2354" s="91">
        <f>IFERROR(__xludf.DUMMYFUNCTION("IFERROR((IFERROR(FILTER('Fund Investment Data'!$P:$P,'Fund Investment Data'!$C:$C = $C2354,'Fund Investment Data'!$A:$A = ($A2354 - 2), 'Fund Investment Data'!$B:$B = 12),0) - SUM(FILTER('Fund Investment Data'!$V:$V, 'Fund Investment Data'!$C:$C = $C2354,"&amp;" 'Fund Investment Data'!$A:$A = ($A2354 - 2), 'Fund Investment Data'!$B:$B &gt; 3)))  * Parameters!$B$4 * (1 - Parameters!$A$4),0)"),0.0)</f>
        <v>0</v>
      </c>
      <c r="Z2354" s="91">
        <f t="shared" si="24"/>
        <v>0</v>
      </c>
      <c r="AA2354" s="91">
        <f>IFERROR(__xludf.DUMMYFUNCTION("((IFERROR((SUM(FILTER('Fund Investment Data'!$V:$V, 'Fund Investment Data'!$C:$C = $C2354, 'Fund Investment Data'!$A:$A = $A2354 - 1, 'Fund Investment Data'!$B:$B &gt;= 4, 'Fund Investment Data'!$B:$B &lt;= ($B2354 + 5))) / 12) * ($B2354 - 3) * Parameters!$B$4,"&amp;" 0) + IF($B2354 &gt;= 9, IFERROR(SUM(FILTER('Fund Investment Data'!$V:$V, 'Fund Investment Data'!$C:$C = $C2354, 'Fund Investment Data'!$A:$A = $A2354, 'Fund Investment Data'!$B:$B &lt;= 3)) * Parameters!$B$4, 0),0)))"),0.0)</f>
        <v>0</v>
      </c>
      <c r="AB2354" s="32">
        <f>IFERROR(__xludf.DUMMYFUNCTION("IFERROR(((IFERROR(SUM(FILTER('Fund Investment Data'!$V:$V, 'Fund Investment Data'!$C:$C = $C2354, 'Fund Investment Data'!$A:$A = $A2354 - 2, 'Fund Investment Data'!$B:$B &gt;= 4)) * Parameters!$B$4,0) + IFERROR(SUM(FILTER('Fund Investment Data'!$V:$V, 'Fund "&amp;"Investment Data'!$C:$C = $C2354, 'Fund Investment Data'!$A:$A = $A2354 - 1, 'Fund Investment Data'!$B:$B &lt;= 3)) * Parameters!$B$4,0))),0)"),0.0)</f>
        <v>0</v>
      </c>
      <c r="AC2354" s="32">
        <f>IFERROR(__xludf.DUMMYFUNCTION("IFERROR(FILTER($AF:$AF,$C:$C = $C2354,$A:$A = $A2354 - 1,$B:$B = 12),0)"),0.0)</f>
        <v>0</v>
      </c>
      <c r="AD2354" s="32">
        <f t="shared" si="23"/>
        <v>0</v>
      </c>
      <c r="AE2354" s="32">
        <f t="shared" si="2"/>
        <v>0</v>
      </c>
      <c r="AF2354" s="32"/>
    </row>
    <row r="2355">
      <c r="A2355" s="86"/>
      <c r="B2355" s="87"/>
      <c r="C2355" s="88"/>
      <c r="D2355" s="104"/>
      <c r="E2355" s="104"/>
      <c r="F2355" s="104"/>
      <c r="G2355" s="104"/>
      <c r="H2355" s="104"/>
      <c r="I2355" s="104"/>
      <c r="J2355" s="104"/>
      <c r="K2355" s="32"/>
      <c r="L2355" s="32"/>
      <c r="M2355" s="32"/>
      <c r="N2355" s="32"/>
      <c r="O2355" s="106"/>
      <c r="P2355" s="91">
        <f>IFERROR(__xludf.DUMMYFUNCTION("IFERROR(sum(FILTER($D:$N,$C:$C = $C2355,$A:$A &lt; $A2355,$B:$B = 12)),0) + sum($D2355:$N2355)"),0.0)</f>
        <v>0</v>
      </c>
      <c r="Q2355" s="92">
        <f t="shared" si="1"/>
        <v>0</v>
      </c>
      <c r="R2355" s="91">
        <f t="array" ref="R2355">IFERROR(INDEX('Fund YTD Target Values'!$1:$1000, MATCH($C2355,'Fund YTD Target Values'!$A:$A,0), MATCH($A2355,'Fund YTD Target Values'!$1:$1,0)),0)</f>
        <v>0</v>
      </c>
      <c r="S2355" s="91">
        <f>IFERROR(__xludf.DUMMYFUNCTION("IFERROR(sum(FILTER('Fund Investment Data'!$V:$V, 'Fund Investment Data'!$C:$C = $C2355, 'Fund Investment Data'!$A:$A &lt; $A2355)),0) + IFERROR(sum(FILTER('Fund Investment Data'!$V:$V, 'Fund Investment Data'!$C:$C = $C2355, 'Fund Investment Data'!$A:$A = $A2"&amp;"355, 'Fund Investment Data'!$B:$B &lt;= $B2355)),0)"),0.0)</f>
        <v>0</v>
      </c>
      <c r="T2355" s="32"/>
      <c r="U2355" s="32"/>
      <c r="V2355" s="32">
        <f>IFERROR(__xludf.DUMMYFUNCTION("$D2355 - IFERROR(FILTER($D:$D,$C:$C = $C2355, $A:$A = $A2355, $B:$B = $B2355 - 1),0)"),0.0)</f>
        <v>0</v>
      </c>
      <c r="W2355" s="93">
        <f>IFERROR(__xludf.DUMMYFUNCTION("$E2355 - IFERROR(FILTER($E:$E,$C:$C = $C2355, $A:$A = $A2355, $B:$B = $B2355 - 1),0)"),0.0)</f>
        <v>0</v>
      </c>
      <c r="X2355" s="91">
        <f>IFERROR(__xludf.DUMMYFUNCTION("iFERROR((FILTER('Fund Investment Data'!$Z:$Z, 'Fund Investment Data'!$C:$C = $C2355, 'Fund Investment Data'!$A:$A = $A2355 - 1, 'Fund Investment Data'!$B:$B = 12) + FILTER('Fund Investment Data'!$AB:$AB, 'Fund Investment Data'!$C:$C = $C2355, 'Fund Invest"&amp;"ment Data'!$A:$A = $A2355 - 1, 'Fund Investment Data'!$B:$B = 12)) * (1 + AVERAGE(FILTER('Inflation Data'!$C:$C,'Inflation Data'!$A:$A = ($A2355 - 2)))) * Parameters!$A$4,0)"),0.0)</f>
        <v>0</v>
      </c>
      <c r="Y2355" s="91">
        <f>IFERROR(__xludf.DUMMYFUNCTION("IFERROR((IFERROR(FILTER('Fund Investment Data'!$P:$P,'Fund Investment Data'!$C:$C = $C2355,'Fund Investment Data'!$A:$A = ($A2355 - 2), 'Fund Investment Data'!$B:$B = 12),0) - SUM(FILTER('Fund Investment Data'!$V:$V, 'Fund Investment Data'!$C:$C = $C2355,"&amp;" 'Fund Investment Data'!$A:$A = ($A2355 - 2), 'Fund Investment Data'!$B:$B &gt; 3)))  * Parameters!$B$4 * (1 - Parameters!$A$4),0)"),0.0)</f>
        <v>0</v>
      </c>
      <c r="Z2355" s="91">
        <f t="shared" si="24"/>
        <v>0</v>
      </c>
      <c r="AA2355" s="91">
        <f>IFERROR(__xludf.DUMMYFUNCTION("((IFERROR((SUM(FILTER('Fund Investment Data'!$V:$V, 'Fund Investment Data'!$C:$C = $C2355, 'Fund Investment Data'!$A:$A = $A2355 - 1, 'Fund Investment Data'!$B:$B &gt;= 4, 'Fund Investment Data'!$B:$B &lt;= ($B2355 + 5))) / 12) * ($B2355 - 3) * Parameters!$B$4,"&amp;" 0) + IF($B2355 &gt;= 9, IFERROR(SUM(FILTER('Fund Investment Data'!$V:$V, 'Fund Investment Data'!$C:$C = $C2355, 'Fund Investment Data'!$A:$A = $A2355, 'Fund Investment Data'!$B:$B &lt;= 3)) * Parameters!$B$4, 0),0)))"),0.0)</f>
        <v>0</v>
      </c>
      <c r="AB2355" s="32">
        <f>IFERROR(__xludf.DUMMYFUNCTION("IFERROR(((IFERROR(SUM(FILTER('Fund Investment Data'!$V:$V, 'Fund Investment Data'!$C:$C = $C2355, 'Fund Investment Data'!$A:$A = $A2355 - 2, 'Fund Investment Data'!$B:$B &gt;= 4)) * Parameters!$B$4,0) + IFERROR(SUM(FILTER('Fund Investment Data'!$V:$V, 'Fund "&amp;"Investment Data'!$C:$C = $C2355, 'Fund Investment Data'!$A:$A = $A2355 - 1, 'Fund Investment Data'!$B:$B &lt;= 3)) * Parameters!$B$4,0))),0)"),0.0)</f>
        <v>0</v>
      </c>
      <c r="AC2355" s="32">
        <f>IFERROR(__xludf.DUMMYFUNCTION("IFERROR(FILTER($AF:$AF,$C:$C = $C2355,$A:$A = $A2355 - 1,$B:$B = 12),0)"),0.0)</f>
        <v>0</v>
      </c>
      <c r="AD2355" s="32">
        <f t="shared" si="23"/>
        <v>0</v>
      </c>
      <c r="AE2355" s="32">
        <f t="shared" si="2"/>
        <v>0</v>
      </c>
      <c r="AF2355" s="32"/>
    </row>
    <row r="2356">
      <c r="A2356" s="86"/>
      <c r="B2356" s="87"/>
      <c r="C2356" s="88"/>
      <c r="D2356" s="104"/>
      <c r="E2356" s="104"/>
      <c r="F2356" s="104"/>
      <c r="G2356" s="104"/>
      <c r="H2356" s="104"/>
      <c r="I2356" s="104"/>
      <c r="J2356" s="104"/>
      <c r="K2356" s="32"/>
      <c r="L2356" s="32"/>
      <c r="M2356" s="32"/>
      <c r="N2356" s="32"/>
      <c r="O2356" s="106"/>
      <c r="P2356" s="91">
        <f>IFERROR(__xludf.DUMMYFUNCTION("IFERROR(sum(FILTER($D:$N,$C:$C = $C2356,$A:$A &lt; $A2356,$B:$B = 12)),0) + sum($D2356:$N2356)"),0.0)</f>
        <v>0</v>
      </c>
      <c r="Q2356" s="92">
        <f t="shared" si="1"/>
        <v>0</v>
      </c>
      <c r="R2356" s="91">
        <f t="array" ref="R2356">IFERROR(INDEX('Fund YTD Target Values'!$1:$1000, MATCH($C2356,'Fund YTD Target Values'!$A:$A,0), MATCH($A2356,'Fund YTD Target Values'!$1:$1,0)),0)</f>
        <v>0</v>
      </c>
      <c r="S2356" s="91">
        <f>IFERROR(__xludf.DUMMYFUNCTION("IFERROR(sum(FILTER('Fund Investment Data'!$V:$V, 'Fund Investment Data'!$C:$C = $C2356, 'Fund Investment Data'!$A:$A &lt; $A2356)),0) + IFERROR(sum(FILTER('Fund Investment Data'!$V:$V, 'Fund Investment Data'!$C:$C = $C2356, 'Fund Investment Data'!$A:$A = $A2"&amp;"356, 'Fund Investment Data'!$B:$B &lt;= $B2356)),0)"),0.0)</f>
        <v>0</v>
      </c>
      <c r="T2356" s="32"/>
      <c r="U2356" s="32"/>
      <c r="V2356" s="32">
        <f>IFERROR(__xludf.DUMMYFUNCTION("$D2356 - IFERROR(FILTER($D:$D,$C:$C = $C2356, $A:$A = $A2356, $B:$B = $B2356 - 1),0)"),0.0)</f>
        <v>0</v>
      </c>
      <c r="W2356" s="93">
        <f>IFERROR(__xludf.DUMMYFUNCTION("$E2356 - IFERROR(FILTER($E:$E,$C:$C = $C2356, $A:$A = $A2356, $B:$B = $B2356 - 1),0)"),0.0)</f>
        <v>0</v>
      </c>
      <c r="X2356" s="91">
        <f>IFERROR(__xludf.DUMMYFUNCTION("iFERROR((FILTER('Fund Investment Data'!$Z:$Z, 'Fund Investment Data'!$C:$C = $C2356, 'Fund Investment Data'!$A:$A = $A2356 - 1, 'Fund Investment Data'!$B:$B = 12) + FILTER('Fund Investment Data'!$AB:$AB, 'Fund Investment Data'!$C:$C = $C2356, 'Fund Invest"&amp;"ment Data'!$A:$A = $A2356 - 1, 'Fund Investment Data'!$B:$B = 12)) * (1 + AVERAGE(FILTER('Inflation Data'!$C:$C,'Inflation Data'!$A:$A = ($A2356 - 2)))) * Parameters!$A$4,0)"),0.0)</f>
        <v>0</v>
      </c>
      <c r="Y2356" s="91">
        <f>IFERROR(__xludf.DUMMYFUNCTION("IFERROR((IFERROR(FILTER('Fund Investment Data'!$P:$P,'Fund Investment Data'!$C:$C = $C2356,'Fund Investment Data'!$A:$A = ($A2356 - 2), 'Fund Investment Data'!$B:$B = 12),0) - SUM(FILTER('Fund Investment Data'!$V:$V, 'Fund Investment Data'!$C:$C = $C2356,"&amp;" 'Fund Investment Data'!$A:$A = ($A2356 - 2), 'Fund Investment Data'!$B:$B &gt; 3)))  * Parameters!$B$4 * (1 - Parameters!$A$4),0)"),0.0)</f>
        <v>0</v>
      </c>
      <c r="Z2356" s="91">
        <f t="shared" si="24"/>
        <v>0</v>
      </c>
      <c r="AA2356" s="91">
        <f>IFERROR(__xludf.DUMMYFUNCTION("((IFERROR((SUM(FILTER('Fund Investment Data'!$V:$V, 'Fund Investment Data'!$C:$C = $C2356, 'Fund Investment Data'!$A:$A = $A2356 - 1, 'Fund Investment Data'!$B:$B &gt;= 4, 'Fund Investment Data'!$B:$B &lt;= ($B2356 + 5))) / 12) * ($B2356 - 3) * Parameters!$B$4,"&amp;" 0) + IF($B2356 &gt;= 9, IFERROR(SUM(FILTER('Fund Investment Data'!$V:$V, 'Fund Investment Data'!$C:$C = $C2356, 'Fund Investment Data'!$A:$A = $A2356, 'Fund Investment Data'!$B:$B &lt;= 3)) * Parameters!$B$4, 0),0)))"),0.0)</f>
        <v>0</v>
      </c>
      <c r="AB2356" s="32">
        <f>IFERROR(__xludf.DUMMYFUNCTION("IFERROR(((IFERROR(SUM(FILTER('Fund Investment Data'!$V:$V, 'Fund Investment Data'!$C:$C = $C2356, 'Fund Investment Data'!$A:$A = $A2356 - 2, 'Fund Investment Data'!$B:$B &gt;= 4)) * Parameters!$B$4,0) + IFERROR(SUM(FILTER('Fund Investment Data'!$V:$V, 'Fund "&amp;"Investment Data'!$C:$C = $C2356, 'Fund Investment Data'!$A:$A = $A2356 - 1, 'Fund Investment Data'!$B:$B &lt;= 3)) * Parameters!$B$4,0))),0)"),0.0)</f>
        <v>0</v>
      </c>
      <c r="AC2356" s="32">
        <f>IFERROR(__xludf.DUMMYFUNCTION("IFERROR(FILTER($AF:$AF,$C:$C = $C2356,$A:$A = $A2356 - 1,$B:$B = 12),0)"),0.0)</f>
        <v>0</v>
      </c>
      <c r="AD2356" s="32">
        <f t="shared" si="23"/>
        <v>0</v>
      </c>
      <c r="AE2356" s="32">
        <f t="shared" si="2"/>
        <v>0</v>
      </c>
      <c r="AF2356" s="32"/>
    </row>
    <row r="2357">
      <c r="A2357" s="86"/>
      <c r="B2357" s="87"/>
      <c r="C2357" s="88"/>
      <c r="D2357" s="104"/>
      <c r="E2357" s="104"/>
      <c r="F2357" s="104"/>
      <c r="G2357" s="104"/>
      <c r="H2357" s="104"/>
      <c r="I2357" s="104"/>
      <c r="J2357" s="104"/>
      <c r="K2357" s="32"/>
      <c r="L2357" s="32"/>
      <c r="M2357" s="32"/>
      <c r="N2357" s="32"/>
      <c r="O2357" s="106"/>
      <c r="P2357" s="91">
        <f>IFERROR(__xludf.DUMMYFUNCTION("IFERROR(sum(FILTER($D:$N,$C:$C = $C2357,$A:$A &lt; $A2357,$B:$B = 12)),0) + sum($D2357:$N2357)"),0.0)</f>
        <v>0</v>
      </c>
      <c r="Q2357" s="92">
        <f t="shared" si="1"/>
        <v>0</v>
      </c>
      <c r="R2357" s="91">
        <f t="array" ref="R2357">IFERROR(INDEX('Fund YTD Target Values'!$1:$1000, MATCH($C2357,'Fund YTD Target Values'!$A:$A,0), MATCH($A2357,'Fund YTD Target Values'!$1:$1,0)),0)</f>
        <v>0</v>
      </c>
      <c r="S2357" s="91">
        <f>IFERROR(__xludf.DUMMYFUNCTION("IFERROR(sum(FILTER('Fund Investment Data'!$V:$V, 'Fund Investment Data'!$C:$C = $C2357, 'Fund Investment Data'!$A:$A &lt; $A2357)),0) + IFERROR(sum(FILTER('Fund Investment Data'!$V:$V, 'Fund Investment Data'!$C:$C = $C2357, 'Fund Investment Data'!$A:$A = $A2"&amp;"357, 'Fund Investment Data'!$B:$B &lt;= $B2357)),0)"),0.0)</f>
        <v>0</v>
      </c>
      <c r="T2357" s="32"/>
      <c r="U2357" s="32"/>
      <c r="V2357" s="32">
        <f>IFERROR(__xludf.DUMMYFUNCTION("$D2357 - IFERROR(FILTER($D:$D,$C:$C = $C2357, $A:$A = $A2357, $B:$B = $B2357 - 1),0)"),0.0)</f>
        <v>0</v>
      </c>
      <c r="W2357" s="93">
        <f>IFERROR(__xludf.DUMMYFUNCTION("$E2357 - IFERROR(FILTER($E:$E,$C:$C = $C2357, $A:$A = $A2357, $B:$B = $B2357 - 1),0)"),0.0)</f>
        <v>0</v>
      </c>
      <c r="X2357" s="91">
        <f>IFERROR(__xludf.DUMMYFUNCTION("iFERROR((FILTER('Fund Investment Data'!$Z:$Z, 'Fund Investment Data'!$C:$C = $C2357, 'Fund Investment Data'!$A:$A = $A2357 - 1, 'Fund Investment Data'!$B:$B = 12) + FILTER('Fund Investment Data'!$AB:$AB, 'Fund Investment Data'!$C:$C = $C2357, 'Fund Invest"&amp;"ment Data'!$A:$A = $A2357 - 1, 'Fund Investment Data'!$B:$B = 12)) * (1 + AVERAGE(FILTER('Inflation Data'!$C:$C,'Inflation Data'!$A:$A = ($A2357 - 2)))) * Parameters!$A$4,0)"),0.0)</f>
        <v>0</v>
      </c>
      <c r="Y2357" s="91">
        <f>IFERROR(__xludf.DUMMYFUNCTION("IFERROR((IFERROR(FILTER('Fund Investment Data'!$P:$P,'Fund Investment Data'!$C:$C = $C2357,'Fund Investment Data'!$A:$A = ($A2357 - 2), 'Fund Investment Data'!$B:$B = 12),0) - SUM(FILTER('Fund Investment Data'!$V:$V, 'Fund Investment Data'!$C:$C = $C2357,"&amp;" 'Fund Investment Data'!$A:$A = ($A2357 - 2), 'Fund Investment Data'!$B:$B &gt; 3)))  * Parameters!$B$4 * (1 - Parameters!$A$4),0)"),0.0)</f>
        <v>0</v>
      </c>
      <c r="Z2357" s="91">
        <f t="shared" si="24"/>
        <v>0</v>
      </c>
      <c r="AA2357" s="91">
        <f>IFERROR(__xludf.DUMMYFUNCTION("((IFERROR((SUM(FILTER('Fund Investment Data'!$V:$V, 'Fund Investment Data'!$C:$C = $C2357, 'Fund Investment Data'!$A:$A = $A2357 - 1, 'Fund Investment Data'!$B:$B &gt;= 4, 'Fund Investment Data'!$B:$B &lt;= ($B2357 + 5))) / 12) * ($B2357 - 3) * Parameters!$B$4,"&amp;" 0) + IF($B2357 &gt;= 9, IFERROR(SUM(FILTER('Fund Investment Data'!$V:$V, 'Fund Investment Data'!$C:$C = $C2357, 'Fund Investment Data'!$A:$A = $A2357, 'Fund Investment Data'!$B:$B &lt;= 3)) * Parameters!$B$4, 0),0)))"),0.0)</f>
        <v>0</v>
      </c>
      <c r="AB2357" s="32">
        <f>IFERROR(__xludf.DUMMYFUNCTION("IFERROR(((IFERROR(SUM(FILTER('Fund Investment Data'!$V:$V, 'Fund Investment Data'!$C:$C = $C2357, 'Fund Investment Data'!$A:$A = $A2357 - 2, 'Fund Investment Data'!$B:$B &gt;= 4)) * Parameters!$B$4,0) + IFERROR(SUM(FILTER('Fund Investment Data'!$V:$V, 'Fund "&amp;"Investment Data'!$C:$C = $C2357, 'Fund Investment Data'!$A:$A = $A2357 - 1, 'Fund Investment Data'!$B:$B &lt;= 3)) * Parameters!$B$4,0))),0)"),0.0)</f>
        <v>0</v>
      </c>
      <c r="AC2357" s="32">
        <f>IFERROR(__xludf.DUMMYFUNCTION("IFERROR(FILTER($AF:$AF,$C:$C = $C2357,$A:$A = $A2357 - 1,$B:$B = 12),0)"),0.0)</f>
        <v>0</v>
      </c>
      <c r="AD2357" s="32">
        <f t="shared" si="23"/>
        <v>0</v>
      </c>
      <c r="AE2357" s="32">
        <f t="shared" si="2"/>
        <v>0</v>
      </c>
      <c r="AF2357" s="32"/>
    </row>
    <row r="2358">
      <c r="A2358" s="86"/>
      <c r="B2358" s="87"/>
      <c r="C2358" s="88"/>
      <c r="D2358" s="104"/>
      <c r="E2358" s="104"/>
      <c r="F2358" s="104"/>
      <c r="G2358" s="104"/>
      <c r="H2358" s="104"/>
      <c r="I2358" s="104"/>
      <c r="J2358" s="104"/>
      <c r="K2358" s="32"/>
      <c r="L2358" s="32"/>
      <c r="M2358" s="32"/>
      <c r="N2358" s="32"/>
      <c r="O2358" s="106"/>
      <c r="P2358" s="91">
        <f>IFERROR(__xludf.DUMMYFUNCTION("IFERROR(sum(FILTER($D:$N,$C:$C = $C2358,$A:$A &lt; $A2358,$B:$B = 12)),0) + sum($D2358:$N2358)"),0.0)</f>
        <v>0</v>
      </c>
      <c r="Q2358" s="92">
        <f t="shared" si="1"/>
        <v>0</v>
      </c>
      <c r="R2358" s="91">
        <f t="array" ref="R2358">IFERROR(INDEX('Fund YTD Target Values'!$1:$1000, MATCH($C2358,'Fund YTD Target Values'!$A:$A,0), MATCH($A2358,'Fund YTD Target Values'!$1:$1,0)),0)</f>
        <v>0</v>
      </c>
      <c r="S2358" s="91">
        <f>IFERROR(__xludf.DUMMYFUNCTION("IFERROR(sum(FILTER('Fund Investment Data'!$V:$V, 'Fund Investment Data'!$C:$C = $C2358, 'Fund Investment Data'!$A:$A &lt; $A2358)),0) + IFERROR(sum(FILTER('Fund Investment Data'!$V:$V, 'Fund Investment Data'!$C:$C = $C2358, 'Fund Investment Data'!$A:$A = $A2"&amp;"358, 'Fund Investment Data'!$B:$B &lt;= $B2358)),0)"),0.0)</f>
        <v>0</v>
      </c>
      <c r="T2358" s="32"/>
      <c r="U2358" s="32"/>
      <c r="V2358" s="32">
        <f>IFERROR(__xludf.DUMMYFUNCTION("$D2358 - IFERROR(FILTER($D:$D,$C:$C = $C2358, $A:$A = $A2358, $B:$B = $B2358 - 1),0)"),0.0)</f>
        <v>0</v>
      </c>
      <c r="W2358" s="93">
        <f>IFERROR(__xludf.DUMMYFUNCTION("$E2358 - IFERROR(FILTER($E:$E,$C:$C = $C2358, $A:$A = $A2358, $B:$B = $B2358 - 1),0)"),0.0)</f>
        <v>0</v>
      </c>
      <c r="X2358" s="91">
        <f>IFERROR(__xludf.DUMMYFUNCTION("iFERROR((FILTER('Fund Investment Data'!$Z:$Z, 'Fund Investment Data'!$C:$C = $C2358, 'Fund Investment Data'!$A:$A = $A2358 - 1, 'Fund Investment Data'!$B:$B = 12) + FILTER('Fund Investment Data'!$AB:$AB, 'Fund Investment Data'!$C:$C = $C2358, 'Fund Invest"&amp;"ment Data'!$A:$A = $A2358 - 1, 'Fund Investment Data'!$B:$B = 12)) * (1 + AVERAGE(FILTER('Inflation Data'!$C:$C,'Inflation Data'!$A:$A = ($A2358 - 2)))) * Parameters!$A$4,0)"),0.0)</f>
        <v>0</v>
      </c>
      <c r="Y2358" s="91">
        <f>IFERROR(__xludf.DUMMYFUNCTION("IFERROR((IFERROR(FILTER('Fund Investment Data'!$P:$P,'Fund Investment Data'!$C:$C = $C2358,'Fund Investment Data'!$A:$A = ($A2358 - 2), 'Fund Investment Data'!$B:$B = 12),0) - SUM(FILTER('Fund Investment Data'!$V:$V, 'Fund Investment Data'!$C:$C = $C2358,"&amp;" 'Fund Investment Data'!$A:$A = ($A2358 - 2), 'Fund Investment Data'!$B:$B &gt; 3)))  * Parameters!$B$4 * (1 - Parameters!$A$4),0)"),0.0)</f>
        <v>0</v>
      </c>
      <c r="Z2358" s="91">
        <f t="shared" si="24"/>
        <v>0</v>
      </c>
      <c r="AA2358" s="91">
        <f>IFERROR(__xludf.DUMMYFUNCTION("((IFERROR((SUM(FILTER('Fund Investment Data'!$V:$V, 'Fund Investment Data'!$C:$C = $C2358, 'Fund Investment Data'!$A:$A = $A2358 - 1, 'Fund Investment Data'!$B:$B &gt;= 4, 'Fund Investment Data'!$B:$B &lt;= ($B2358 + 5))) / 12) * ($B2358 - 3) * Parameters!$B$4,"&amp;" 0) + IF($B2358 &gt;= 9, IFERROR(SUM(FILTER('Fund Investment Data'!$V:$V, 'Fund Investment Data'!$C:$C = $C2358, 'Fund Investment Data'!$A:$A = $A2358, 'Fund Investment Data'!$B:$B &lt;= 3)) * Parameters!$B$4, 0),0)))"),0.0)</f>
        <v>0</v>
      </c>
      <c r="AB2358" s="32">
        <f>IFERROR(__xludf.DUMMYFUNCTION("IFERROR(((IFERROR(SUM(FILTER('Fund Investment Data'!$V:$V, 'Fund Investment Data'!$C:$C = $C2358, 'Fund Investment Data'!$A:$A = $A2358 - 2, 'Fund Investment Data'!$B:$B &gt;= 4)) * Parameters!$B$4,0) + IFERROR(SUM(FILTER('Fund Investment Data'!$V:$V, 'Fund "&amp;"Investment Data'!$C:$C = $C2358, 'Fund Investment Data'!$A:$A = $A2358 - 1, 'Fund Investment Data'!$B:$B &lt;= 3)) * Parameters!$B$4,0))),0)"),0.0)</f>
        <v>0</v>
      </c>
      <c r="AC2358" s="32">
        <f>IFERROR(__xludf.DUMMYFUNCTION("IFERROR(FILTER($AF:$AF,$C:$C = $C2358,$A:$A = $A2358 - 1,$B:$B = 12),0)"),0.0)</f>
        <v>0</v>
      </c>
      <c r="AD2358" s="32">
        <f t="shared" si="23"/>
        <v>0</v>
      </c>
      <c r="AE2358" s="32">
        <f t="shared" si="2"/>
        <v>0</v>
      </c>
      <c r="AF2358" s="32"/>
    </row>
    <row r="2359">
      <c r="A2359" s="86"/>
      <c r="B2359" s="87"/>
      <c r="C2359" s="88"/>
      <c r="D2359" s="104"/>
      <c r="E2359" s="104"/>
      <c r="F2359" s="104"/>
      <c r="G2359" s="104"/>
      <c r="H2359" s="104"/>
      <c r="I2359" s="104"/>
      <c r="J2359" s="104"/>
      <c r="K2359" s="32"/>
      <c r="L2359" s="32"/>
      <c r="M2359" s="32"/>
      <c r="N2359" s="32"/>
      <c r="O2359" s="106"/>
      <c r="P2359" s="91">
        <f>IFERROR(__xludf.DUMMYFUNCTION("IFERROR(sum(FILTER($D:$N,$C:$C = $C2359,$A:$A &lt; $A2359,$B:$B = 12)),0) + sum($D2359:$N2359)"),0.0)</f>
        <v>0</v>
      </c>
      <c r="Q2359" s="92">
        <f t="shared" si="1"/>
        <v>0</v>
      </c>
      <c r="R2359" s="91">
        <f t="array" ref="R2359">IFERROR(INDEX('Fund YTD Target Values'!$1:$1000, MATCH($C2359,'Fund YTD Target Values'!$A:$A,0), MATCH($A2359,'Fund YTD Target Values'!$1:$1,0)),0)</f>
        <v>0</v>
      </c>
      <c r="S2359" s="91">
        <f>IFERROR(__xludf.DUMMYFUNCTION("IFERROR(sum(FILTER('Fund Investment Data'!$V:$V, 'Fund Investment Data'!$C:$C = $C2359, 'Fund Investment Data'!$A:$A &lt; $A2359)),0) + IFERROR(sum(FILTER('Fund Investment Data'!$V:$V, 'Fund Investment Data'!$C:$C = $C2359, 'Fund Investment Data'!$A:$A = $A2"&amp;"359, 'Fund Investment Data'!$B:$B &lt;= $B2359)),0)"),0.0)</f>
        <v>0</v>
      </c>
      <c r="T2359" s="32"/>
      <c r="U2359" s="32"/>
      <c r="V2359" s="32">
        <f>IFERROR(__xludf.DUMMYFUNCTION("$D2359 - IFERROR(FILTER($D:$D,$C:$C = $C2359, $A:$A = $A2359, $B:$B = $B2359 - 1),0)"),0.0)</f>
        <v>0</v>
      </c>
      <c r="W2359" s="93">
        <f>IFERROR(__xludf.DUMMYFUNCTION("$E2359 - IFERROR(FILTER($E:$E,$C:$C = $C2359, $A:$A = $A2359, $B:$B = $B2359 - 1),0)"),0.0)</f>
        <v>0</v>
      </c>
      <c r="X2359" s="91">
        <f>IFERROR(__xludf.DUMMYFUNCTION("iFERROR((FILTER('Fund Investment Data'!$Z:$Z, 'Fund Investment Data'!$C:$C = $C2359, 'Fund Investment Data'!$A:$A = $A2359 - 1, 'Fund Investment Data'!$B:$B = 12) + FILTER('Fund Investment Data'!$AB:$AB, 'Fund Investment Data'!$C:$C = $C2359, 'Fund Invest"&amp;"ment Data'!$A:$A = $A2359 - 1, 'Fund Investment Data'!$B:$B = 12)) * (1 + AVERAGE(FILTER('Inflation Data'!$C:$C,'Inflation Data'!$A:$A = ($A2359 - 2)))) * Parameters!$A$4,0)"),0.0)</f>
        <v>0</v>
      </c>
      <c r="Y2359" s="91">
        <f>IFERROR(__xludf.DUMMYFUNCTION("IFERROR((IFERROR(FILTER('Fund Investment Data'!$P:$P,'Fund Investment Data'!$C:$C = $C2359,'Fund Investment Data'!$A:$A = ($A2359 - 2), 'Fund Investment Data'!$B:$B = 12),0) - SUM(FILTER('Fund Investment Data'!$V:$V, 'Fund Investment Data'!$C:$C = $C2359,"&amp;" 'Fund Investment Data'!$A:$A = ($A2359 - 2), 'Fund Investment Data'!$B:$B &gt; 3)))  * Parameters!$B$4 * (1 - Parameters!$A$4),0)"),0.0)</f>
        <v>0</v>
      </c>
      <c r="Z2359" s="91">
        <f t="shared" si="24"/>
        <v>0</v>
      </c>
      <c r="AA2359" s="91">
        <f>IFERROR(__xludf.DUMMYFUNCTION("((IFERROR((SUM(FILTER('Fund Investment Data'!$V:$V, 'Fund Investment Data'!$C:$C = $C2359, 'Fund Investment Data'!$A:$A = $A2359 - 1, 'Fund Investment Data'!$B:$B &gt;= 4, 'Fund Investment Data'!$B:$B &lt;= ($B2359 + 5))) / 12) * ($B2359 - 3) * Parameters!$B$4,"&amp;" 0) + IF($B2359 &gt;= 9, IFERROR(SUM(FILTER('Fund Investment Data'!$V:$V, 'Fund Investment Data'!$C:$C = $C2359, 'Fund Investment Data'!$A:$A = $A2359, 'Fund Investment Data'!$B:$B &lt;= 3)) * Parameters!$B$4, 0),0)))"),0.0)</f>
        <v>0</v>
      </c>
      <c r="AB2359" s="32">
        <f>IFERROR(__xludf.DUMMYFUNCTION("IFERROR(((IFERROR(SUM(FILTER('Fund Investment Data'!$V:$V, 'Fund Investment Data'!$C:$C = $C2359, 'Fund Investment Data'!$A:$A = $A2359 - 2, 'Fund Investment Data'!$B:$B &gt;= 4)) * Parameters!$B$4,0) + IFERROR(SUM(FILTER('Fund Investment Data'!$V:$V, 'Fund "&amp;"Investment Data'!$C:$C = $C2359, 'Fund Investment Data'!$A:$A = $A2359 - 1, 'Fund Investment Data'!$B:$B &lt;= 3)) * Parameters!$B$4,0))),0)"),0.0)</f>
        <v>0</v>
      </c>
      <c r="AC2359" s="32">
        <f>IFERROR(__xludf.DUMMYFUNCTION("IFERROR(FILTER($AF:$AF,$C:$C = $C2359,$A:$A = $A2359 - 1,$B:$B = 12),0)"),0.0)</f>
        <v>0</v>
      </c>
      <c r="AD2359" s="32">
        <f t="shared" si="23"/>
        <v>0</v>
      </c>
      <c r="AE2359" s="32">
        <f t="shared" si="2"/>
        <v>0</v>
      </c>
      <c r="AF2359" s="32"/>
    </row>
    <row r="2360">
      <c r="A2360" s="86"/>
      <c r="B2360" s="87"/>
      <c r="C2360" s="88"/>
      <c r="D2360" s="104"/>
      <c r="E2360" s="104"/>
      <c r="F2360" s="104"/>
      <c r="G2360" s="104"/>
      <c r="H2360" s="104"/>
      <c r="I2360" s="104"/>
      <c r="J2360" s="104"/>
      <c r="K2360" s="32"/>
      <c r="L2360" s="32"/>
      <c r="M2360" s="32"/>
      <c r="N2360" s="32"/>
      <c r="O2360" s="106"/>
      <c r="P2360" s="91">
        <f>IFERROR(__xludf.DUMMYFUNCTION("IFERROR(sum(FILTER($D:$N,$C:$C = $C2360,$A:$A &lt; $A2360,$B:$B = 12)),0) + sum($D2360:$N2360)"),0.0)</f>
        <v>0</v>
      </c>
      <c r="Q2360" s="92">
        <f t="shared" si="1"/>
        <v>0</v>
      </c>
      <c r="R2360" s="91">
        <f t="array" ref="R2360">IFERROR(INDEX('Fund YTD Target Values'!$1:$1000, MATCH($C2360,'Fund YTD Target Values'!$A:$A,0), MATCH($A2360,'Fund YTD Target Values'!$1:$1,0)),0)</f>
        <v>0</v>
      </c>
      <c r="S2360" s="91">
        <f>IFERROR(__xludf.DUMMYFUNCTION("IFERROR(sum(FILTER('Fund Investment Data'!$V:$V, 'Fund Investment Data'!$C:$C = $C2360, 'Fund Investment Data'!$A:$A &lt; $A2360)),0) + IFERROR(sum(FILTER('Fund Investment Data'!$V:$V, 'Fund Investment Data'!$C:$C = $C2360, 'Fund Investment Data'!$A:$A = $A2"&amp;"360, 'Fund Investment Data'!$B:$B &lt;= $B2360)),0)"),0.0)</f>
        <v>0</v>
      </c>
      <c r="T2360" s="32"/>
      <c r="U2360" s="32"/>
      <c r="V2360" s="32">
        <f>IFERROR(__xludf.DUMMYFUNCTION("$D2360 - IFERROR(FILTER($D:$D,$C:$C = $C2360, $A:$A = $A2360, $B:$B = $B2360 - 1),0)"),0.0)</f>
        <v>0</v>
      </c>
      <c r="W2360" s="93">
        <f>IFERROR(__xludf.DUMMYFUNCTION("$E2360 - IFERROR(FILTER($E:$E,$C:$C = $C2360, $A:$A = $A2360, $B:$B = $B2360 - 1),0)"),0.0)</f>
        <v>0</v>
      </c>
      <c r="X2360" s="91">
        <f>IFERROR(__xludf.DUMMYFUNCTION("iFERROR((FILTER('Fund Investment Data'!$Z:$Z, 'Fund Investment Data'!$C:$C = $C2360, 'Fund Investment Data'!$A:$A = $A2360 - 1, 'Fund Investment Data'!$B:$B = 12) + FILTER('Fund Investment Data'!$AB:$AB, 'Fund Investment Data'!$C:$C = $C2360, 'Fund Invest"&amp;"ment Data'!$A:$A = $A2360 - 1, 'Fund Investment Data'!$B:$B = 12)) * (1 + AVERAGE(FILTER('Inflation Data'!$C:$C,'Inflation Data'!$A:$A = ($A2360 - 2)))) * Parameters!$A$4,0)"),0.0)</f>
        <v>0</v>
      </c>
      <c r="Y2360" s="91">
        <f>IFERROR(__xludf.DUMMYFUNCTION("IFERROR((IFERROR(FILTER('Fund Investment Data'!$P:$P,'Fund Investment Data'!$C:$C = $C2360,'Fund Investment Data'!$A:$A = ($A2360 - 2), 'Fund Investment Data'!$B:$B = 12),0) - SUM(FILTER('Fund Investment Data'!$V:$V, 'Fund Investment Data'!$C:$C = $C2360,"&amp;" 'Fund Investment Data'!$A:$A = ($A2360 - 2), 'Fund Investment Data'!$B:$B &gt; 3)))  * Parameters!$B$4 * (1 - Parameters!$A$4),0)"),0.0)</f>
        <v>0</v>
      </c>
      <c r="Z2360" s="91">
        <f t="shared" si="24"/>
        <v>0</v>
      </c>
      <c r="AA2360" s="91">
        <f>IFERROR(__xludf.DUMMYFUNCTION("((IFERROR((SUM(FILTER('Fund Investment Data'!$V:$V, 'Fund Investment Data'!$C:$C = $C2360, 'Fund Investment Data'!$A:$A = $A2360 - 1, 'Fund Investment Data'!$B:$B &gt;= 4, 'Fund Investment Data'!$B:$B &lt;= ($B2360 + 5))) / 12) * ($B2360 - 3) * Parameters!$B$4,"&amp;" 0) + IF($B2360 &gt;= 9, IFERROR(SUM(FILTER('Fund Investment Data'!$V:$V, 'Fund Investment Data'!$C:$C = $C2360, 'Fund Investment Data'!$A:$A = $A2360, 'Fund Investment Data'!$B:$B &lt;= 3)) * Parameters!$B$4, 0),0)))"),0.0)</f>
        <v>0</v>
      </c>
      <c r="AB2360" s="32">
        <f>IFERROR(__xludf.DUMMYFUNCTION("IFERROR(((IFERROR(SUM(FILTER('Fund Investment Data'!$V:$V, 'Fund Investment Data'!$C:$C = $C2360, 'Fund Investment Data'!$A:$A = $A2360 - 2, 'Fund Investment Data'!$B:$B &gt;= 4)) * Parameters!$B$4,0) + IFERROR(SUM(FILTER('Fund Investment Data'!$V:$V, 'Fund "&amp;"Investment Data'!$C:$C = $C2360, 'Fund Investment Data'!$A:$A = $A2360 - 1, 'Fund Investment Data'!$B:$B &lt;= 3)) * Parameters!$B$4,0))),0)"),0.0)</f>
        <v>0</v>
      </c>
      <c r="AC2360" s="32">
        <f>IFERROR(__xludf.DUMMYFUNCTION("IFERROR(FILTER($AF:$AF,$C:$C = $C2360,$A:$A = $A2360 - 1,$B:$B = 12),0)"),0.0)</f>
        <v>0</v>
      </c>
      <c r="AD2360" s="32">
        <f t="shared" si="23"/>
        <v>0</v>
      </c>
      <c r="AE2360" s="32">
        <f t="shared" si="2"/>
        <v>0</v>
      </c>
      <c r="AF2360" s="32"/>
    </row>
    <row r="2361">
      <c r="A2361" s="86"/>
      <c r="B2361" s="87"/>
      <c r="C2361" s="88"/>
      <c r="D2361" s="104"/>
      <c r="E2361" s="104"/>
      <c r="F2361" s="104"/>
      <c r="G2361" s="104"/>
      <c r="H2361" s="104"/>
      <c r="I2361" s="104"/>
      <c r="J2361" s="104"/>
      <c r="K2361" s="32"/>
      <c r="L2361" s="32"/>
      <c r="M2361" s="32"/>
      <c r="N2361" s="32"/>
      <c r="O2361" s="106"/>
      <c r="P2361" s="91">
        <f>IFERROR(__xludf.DUMMYFUNCTION("IFERROR(sum(FILTER($D:$N,$C:$C = $C2361,$A:$A &lt; $A2361,$B:$B = 12)),0) + sum($D2361:$N2361)"),0.0)</f>
        <v>0</v>
      </c>
      <c r="Q2361" s="92">
        <f t="shared" si="1"/>
        <v>0</v>
      </c>
      <c r="R2361" s="91">
        <f t="array" ref="R2361">IFERROR(INDEX('Fund YTD Target Values'!$1:$1000, MATCH($C2361,'Fund YTD Target Values'!$A:$A,0), MATCH($A2361,'Fund YTD Target Values'!$1:$1,0)),0)</f>
        <v>0</v>
      </c>
      <c r="S2361" s="91">
        <f>IFERROR(__xludf.DUMMYFUNCTION("IFERROR(sum(FILTER('Fund Investment Data'!$V:$V, 'Fund Investment Data'!$C:$C = $C2361, 'Fund Investment Data'!$A:$A &lt; $A2361)),0) + IFERROR(sum(FILTER('Fund Investment Data'!$V:$V, 'Fund Investment Data'!$C:$C = $C2361, 'Fund Investment Data'!$A:$A = $A2"&amp;"361, 'Fund Investment Data'!$B:$B &lt;= $B2361)),0)"),0.0)</f>
        <v>0</v>
      </c>
      <c r="T2361" s="32"/>
      <c r="U2361" s="32"/>
      <c r="V2361" s="32">
        <f>IFERROR(__xludf.DUMMYFUNCTION("$D2361 - IFERROR(FILTER($D:$D,$C:$C = $C2361, $A:$A = $A2361, $B:$B = $B2361 - 1),0)"),0.0)</f>
        <v>0</v>
      </c>
      <c r="W2361" s="93">
        <f>IFERROR(__xludf.DUMMYFUNCTION("$E2361 - IFERROR(FILTER($E:$E,$C:$C = $C2361, $A:$A = $A2361, $B:$B = $B2361 - 1),0)"),0.0)</f>
        <v>0</v>
      </c>
      <c r="X2361" s="91">
        <f>IFERROR(__xludf.DUMMYFUNCTION("iFERROR((FILTER('Fund Investment Data'!$Z:$Z, 'Fund Investment Data'!$C:$C = $C2361, 'Fund Investment Data'!$A:$A = $A2361 - 1, 'Fund Investment Data'!$B:$B = 12) + FILTER('Fund Investment Data'!$AB:$AB, 'Fund Investment Data'!$C:$C = $C2361, 'Fund Invest"&amp;"ment Data'!$A:$A = $A2361 - 1, 'Fund Investment Data'!$B:$B = 12)) * (1 + AVERAGE(FILTER('Inflation Data'!$C:$C,'Inflation Data'!$A:$A = ($A2361 - 2)))) * Parameters!$A$4,0)"),0.0)</f>
        <v>0</v>
      </c>
      <c r="Y2361" s="91">
        <f>IFERROR(__xludf.DUMMYFUNCTION("IFERROR((IFERROR(FILTER('Fund Investment Data'!$P:$P,'Fund Investment Data'!$C:$C = $C2361,'Fund Investment Data'!$A:$A = ($A2361 - 2), 'Fund Investment Data'!$B:$B = 12),0) - SUM(FILTER('Fund Investment Data'!$V:$V, 'Fund Investment Data'!$C:$C = $C2361,"&amp;" 'Fund Investment Data'!$A:$A = ($A2361 - 2), 'Fund Investment Data'!$B:$B &gt; 3)))  * Parameters!$B$4 * (1 - Parameters!$A$4),0)"),0.0)</f>
        <v>0</v>
      </c>
      <c r="Z2361" s="91">
        <f t="shared" si="24"/>
        <v>0</v>
      </c>
      <c r="AA2361" s="91">
        <f>IFERROR(__xludf.DUMMYFUNCTION("((IFERROR((SUM(FILTER('Fund Investment Data'!$V:$V, 'Fund Investment Data'!$C:$C = $C2361, 'Fund Investment Data'!$A:$A = $A2361 - 1, 'Fund Investment Data'!$B:$B &gt;= 4, 'Fund Investment Data'!$B:$B &lt;= ($B2361 + 5))) / 12) * ($B2361 - 3) * Parameters!$B$4,"&amp;" 0) + IF($B2361 &gt;= 9, IFERROR(SUM(FILTER('Fund Investment Data'!$V:$V, 'Fund Investment Data'!$C:$C = $C2361, 'Fund Investment Data'!$A:$A = $A2361, 'Fund Investment Data'!$B:$B &lt;= 3)) * Parameters!$B$4, 0),0)))"),0.0)</f>
        <v>0</v>
      </c>
      <c r="AB2361" s="32">
        <f>IFERROR(__xludf.DUMMYFUNCTION("IFERROR(((IFERROR(SUM(FILTER('Fund Investment Data'!$V:$V, 'Fund Investment Data'!$C:$C = $C2361, 'Fund Investment Data'!$A:$A = $A2361 - 2, 'Fund Investment Data'!$B:$B &gt;= 4)) * Parameters!$B$4,0) + IFERROR(SUM(FILTER('Fund Investment Data'!$V:$V, 'Fund "&amp;"Investment Data'!$C:$C = $C2361, 'Fund Investment Data'!$A:$A = $A2361 - 1, 'Fund Investment Data'!$B:$B &lt;= 3)) * Parameters!$B$4,0))),0)"),0.0)</f>
        <v>0</v>
      </c>
      <c r="AC2361" s="32">
        <f>IFERROR(__xludf.DUMMYFUNCTION("IFERROR(FILTER($AF:$AF,$C:$C = $C2361,$A:$A = $A2361 - 1,$B:$B = 12),0)"),0.0)</f>
        <v>0</v>
      </c>
      <c r="AD2361" s="32">
        <f t="shared" si="23"/>
        <v>0</v>
      </c>
      <c r="AE2361" s="32">
        <f t="shared" si="2"/>
        <v>0</v>
      </c>
      <c r="AF2361" s="32"/>
    </row>
    <row r="2362">
      <c r="A2362" s="86"/>
      <c r="B2362" s="87"/>
      <c r="C2362" s="88"/>
      <c r="D2362" s="104"/>
      <c r="E2362" s="104"/>
      <c r="F2362" s="104"/>
      <c r="G2362" s="104"/>
      <c r="H2362" s="104"/>
      <c r="I2362" s="104"/>
      <c r="J2362" s="104"/>
      <c r="K2362" s="32"/>
      <c r="L2362" s="32"/>
      <c r="M2362" s="32"/>
      <c r="N2362" s="32"/>
      <c r="O2362" s="106"/>
      <c r="P2362" s="91">
        <f>IFERROR(__xludf.DUMMYFUNCTION("IFERROR(sum(FILTER($D:$N,$C:$C = $C2362,$A:$A &lt; $A2362,$B:$B = 12)),0) + sum($D2362:$N2362)"),0.0)</f>
        <v>0</v>
      </c>
      <c r="Q2362" s="92">
        <f t="shared" si="1"/>
        <v>0</v>
      </c>
      <c r="R2362" s="91">
        <f t="array" ref="R2362">IFERROR(INDEX('Fund YTD Target Values'!$1:$1000, MATCH($C2362,'Fund YTD Target Values'!$A:$A,0), MATCH($A2362,'Fund YTD Target Values'!$1:$1,0)),0)</f>
        <v>0</v>
      </c>
      <c r="S2362" s="91">
        <f>IFERROR(__xludf.DUMMYFUNCTION("IFERROR(sum(FILTER('Fund Investment Data'!$V:$V, 'Fund Investment Data'!$C:$C = $C2362, 'Fund Investment Data'!$A:$A &lt; $A2362)),0) + IFERROR(sum(FILTER('Fund Investment Data'!$V:$V, 'Fund Investment Data'!$C:$C = $C2362, 'Fund Investment Data'!$A:$A = $A2"&amp;"362, 'Fund Investment Data'!$B:$B &lt;= $B2362)),0)"),0.0)</f>
        <v>0</v>
      </c>
      <c r="T2362" s="32"/>
      <c r="U2362" s="32"/>
      <c r="V2362" s="32">
        <f>IFERROR(__xludf.DUMMYFUNCTION("$D2362 - IFERROR(FILTER($D:$D,$C:$C = $C2362, $A:$A = $A2362, $B:$B = $B2362 - 1),0)"),0.0)</f>
        <v>0</v>
      </c>
      <c r="W2362" s="93">
        <f>IFERROR(__xludf.DUMMYFUNCTION("$E2362 - IFERROR(FILTER($E:$E,$C:$C = $C2362, $A:$A = $A2362, $B:$B = $B2362 - 1),0)"),0.0)</f>
        <v>0</v>
      </c>
      <c r="X2362" s="91">
        <f>IFERROR(__xludf.DUMMYFUNCTION("iFERROR((FILTER('Fund Investment Data'!$Z:$Z, 'Fund Investment Data'!$C:$C = $C2362, 'Fund Investment Data'!$A:$A = $A2362 - 1, 'Fund Investment Data'!$B:$B = 12) + FILTER('Fund Investment Data'!$AB:$AB, 'Fund Investment Data'!$C:$C = $C2362, 'Fund Invest"&amp;"ment Data'!$A:$A = $A2362 - 1, 'Fund Investment Data'!$B:$B = 12)) * (1 + AVERAGE(FILTER('Inflation Data'!$C:$C,'Inflation Data'!$A:$A = ($A2362 - 2)))) * Parameters!$A$4,0)"),0.0)</f>
        <v>0</v>
      </c>
      <c r="Y2362" s="91">
        <f>IFERROR(__xludf.DUMMYFUNCTION("IFERROR((IFERROR(FILTER('Fund Investment Data'!$P:$P,'Fund Investment Data'!$C:$C = $C2362,'Fund Investment Data'!$A:$A = ($A2362 - 2), 'Fund Investment Data'!$B:$B = 12),0) - SUM(FILTER('Fund Investment Data'!$V:$V, 'Fund Investment Data'!$C:$C = $C2362,"&amp;" 'Fund Investment Data'!$A:$A = ($A2362 - 2), 'Fund Investment Data'!$B:$B &gt; 3)))  * Parameters!$B$4 * (1 - Parameters!$A$4),0)"),0.0)</f>
        <v>0</v>
      </c>
      <c r="Z2362" s="91">
        <f t="shared" si="24"/>
        <v>0</v>
      </c>
      <c r="AA2362" s="91">
        <f>IFERROR(__xludf.DUMMYFUNCTION("((IFERROR((SUM(FILTER('Fund Investment Data'!$V:$V, 'Fund Investment Data'!$C:$C = $C2362, 'Fund Investment Data'!$A:$A = $A2362 - 1, 'Fund Investment Data'!$B:$B &gt;= 4, 'Fund Investment Data'!$B:$B &lt;= ($B2362 + 5))) / 12) * ($B2362 - 3) * Parameters!$B$4,"&amp;" 0) + IF($B2362 &gt;= 9, IFERROR(SUM(FILTER('Fund Investment Data'!$V:$V, 'Fund Investment Data'!$C:$C = $C2362, 'Fund Investment Data'!$A:$A = $A2362, 'Fund Investment Data'!$B:$B &lt;= 3)) * Parameters!$B$4, 0),0)))"),0.0)</f>
        <v>0</v>
      </c>
      <c r="AB2362" s="32">
        <f>IFERROR(__xludf.DUMMYFUNCTION("IFERROR(((IFERROR(SUM(FILTER('Fund Investment Data'!$V:$V, 'Fund Investment Data'!$C:$C = $C2362, 'Fund Investment Data'!$A:$A = $A2362 - 2, 'Fund Investment Data'!$B:$B &gt;= 4)) * Parameters!$B$4,0) + IFERROR(SUM(FILTER('Fund Investment Data'!$V:$V, 'Fund "&amp;"Investment Data'!$C:$C = $C2362, 'Fund Investment Data'!$A:$A = $A2362 - 1, 'Fund Investment Data'!$B:$B &lt;= 3)) * Parameters!$B$4,0))),0)"),0.0)</f>
        <v>0</v>
      </c>
      <c r="AC2362" s="32">
        <f>IFERROR(__xludf.DUMMYFUNCTION("IFERROR(FILTER($AF:$AF,$C:$C = $C2362,$A:$A = $A2362 - 1,$B:$B = 12),0)"),0.0)</f>
        <v>0</v>
      </c>
      <c r="AD2362" s="32">
        <f t="shared" si="23"/>
        <v>0</v>
      </c>
      <c r="AE2362" s="32">
        <f t="shared" si="2"/>
        <v>0</v>
      </c>
      <c r="AF2362" s="32"/>
    </row>
    <row r="2363">
      <c r="A2363" s="86"/>
      <c r="B2363" s="87"/>
      <c r="C2363" s="88"/>
      <c r="D2363" s="104"/>
      <c r="E2363" s="104"/>
      <c r="F2363" s="104"/>
      <c r="G2363" s="104"/>
      <c r="H2363" s="104"/>
      <c r="I2363" s="104"/>
      <c r="J2363" s="104"/>
      <c r="K2363" s="32"/>
      <c r="L2363" s="32"/>
      <c r="M2363" s="32"/>
      <c r="N2363" s="32"/>
      <c r="O2363" s="106"/>
      <c r="P2363" s="91">
        <f>IFERROR(__xludf.DUMMYFUNCTION("IFERROR(sum(FILTER($D:$N,$C:$C = $C2363,$A:$A &lt; $A2363,$B:$B = 12)),0) + sum($D2363:$N2363)"),0.0)</f>
        <v>0</v>
      </c>
      <c r="Q2363" s="92">
        <f t="shared" si="1"/>
        <v>0</v>
      </c>
      <c r="R2363" s="91">
        <f t="array" ref="R2363">IFERROR(INDEX('Fund YTD Target Values'!$1:$1000, MATCH($C2363,'Fund YTD Target Values'!$A:$A,0), MATCH($A2363,'Fund YTD Target Values'!$1:$1,0)),0)</f>
        <v>0</v>
      </c>
      <c r="S2363" s="91">
        <f>IFERROR(__xludf.DUMMYFUNCTION("IFERROR(sum(FILTER('Fund Investment Data'!$V:$V, 'Fund Investment Data'!$C:$C = $C2363, 'Fund Investment Data'!$A:$A &lt; $A2363)),0) + IFERROR(sum(FILTER('Fund Investment Data'!$V:$V, 'Fund Investment Data'!$C:$C = $C2363, 'Fund Investment Data'!$A:$A = $A2"&amp;"363, 'Fund Investment Data'!$B:$B &lt;= $B2363)),0)"),0.0)</f>
        <v>0</v>
      </c>
      <c r="T2363" s="32"/>
      <c r="U2363" s="32"/>
      <c r="V2363" s="32">
        <f>IFERROR(__xludf.DUMMYFUNCTION("$D2363 - IFERROR(FILTER($D:$D,$C:$C = $C2363, $A:$A = $A2363, $B:$B = $B2363 - 1),0)"),0.0)</f>
        <v>0</v>
      </c>
      <c r="W2363" s="93">
        <f>IFERROR(__xludf.DUMMYFUNCTION("$E2363 - IFERROR(FILTER($E:$E,$C:$C = $C2363, $A:$A = $A2363, $B:$B = $B2363 - 1),0)"),0.0)</f>
        <v>0</v>
      </c>
      <c r="X2363" s="91">
        <f>IFERROR(__xludf.DUMMYFUNCTION("iFERROR((FILTER('Fund Investment Data'!$Z:$Z, 'Fund Investment Data'!$C:$C = $C2363, 'Fund Investment Data'!$A:$A = $A2363 - 1, 'Fund Investment Data'!$B:$B = 12) + FILTER('Fund Investment Data'!$AB:$AB, 'Fund Investment Data'!$C:$C = $C2363, 'Fund Invest"&amp;"ment Data'!$A:$A = $A2363 - 1, 'Fund Investment Data'!$B:$B = 12)) * (1 + AVERAGE(FILTER('Inflation Data'!$C:$C,'Inflation Data'!$A:$A = ($A2363 - 2)))) * Parameters!$A$4,0)"),0.0)</f>
        <v>0</v>
      </c>
      <c r="Y2363" s="91">
        <f>IFERROR(__xludf.DUMMYFUNCTION("IFERROR((IFERROR(FILTER('Fund Investment Data'!$P:$P,'Fund Investment Data'!$C:$C = $C2363,'Fund Investment Data'!$A:$A = ($A2363 - 2), 'Fund Investment Data'!$B:$B = 12),0) - SUM(FILTER('Fund Investment Data'!$V:$V, 'Fund Investment Data'!$C:$C = $C2363,"&amp;" 'Fund Investment Data'!$A:$A = ($A2363 - 2), 'Fund Investment Data'!$B:$B &gt; 3)))  * Parameters!$B$4 * (1 - Parameters!$A$4),0)"),0.0)</f>
        <v>0</v>
      </c>
      <c r="Z2363" s="91">
        <f t="shared" si="24"/>
        <v>0</v>
      </c>
      <c r="AA2363" s="91">
        <f>IFERROR(__xludf.DUMMYFUNCTION("((IFERROR((SUM(FILTER('Fund Investment Data'!$V:$V, 'Fund Investment Data'!$C:$C = $C2363, 'Fund Investment Data'!$A:$A = $A2363 - 1, 'Fund Investment Data'!$B:$B &gt;= 4, 'Fund Investment Data'!$B:$B &lt;= ($B2363 + 5))) / 12) * ($B2363 - 3) * Parameters!$B$4,"&amp;" 0) + IF($B2363 &gt;= 9, IFERROR(SUM(FILTER('Fund Investment Data'!$V:$V, 'Fund Investment Data'!$C:$C = $C2363, 'Fund Investment Data'!$A:$A = $A2363, 'Fund Investment Data'!$B:$B &lt;= 3)) * Parameters!$B$4, 0),0)))"),0.0)</f>
        <v>0</v>
      </c>
      <c r="AB2363" s="32">
        <f>IFERROR(__xludf.DUMMYFUNCTION("IFERROR(((IFERROR(SUM(FILTER('Fund Investment Data'!$V:$V, 'Fund Investment Data'!$C:$C = $C2363, 'Fund Investment Data'!$A:$A = $A2363 - 2, 'Fund Investment Data'!$B:$B &gt;= 4)) * Parameters!$B$4,0) + IFERROR(SUM(FILTER('Fund Investment Data'!$V:$V, 'Fund "&amp;"Investment Data'!$C:$C = $C2363, 'Fund Investment Data'!$A:$A = $A2363 - 1, 'Fund Investment Data'!$B:$B &lt;= 3)) * Parameters!$B$4,0))),0)"),0.0)</f>
        <v>0</v>
      </c>
      <c r="AC2363" s="32">
        <f>IFERROR(__xludf.DUMMYFUNCTION("IFERROR(FILTER($AF:$AF,$C:$C = $C2363,$A:$A = $A2363 - 1,$B:$B = 12),0)"),0.0)</f>
        <v>0</v>
      </c>
      <c r="AD2363" s="32">
        <f t="shared" si="23"/>
        <v>0</v>
      </c>
      <c r="AE2363" s="32">
        <f t="shared" si="2"/>
        <v>0</v>
      </c>
      <c r="AF2363" s="32"/>
    </row>
    <row r="2364">
      <c r="A2364" s="86"/>
      <c r="B2364" s="87"/>
      <c r="C2364" s="88"/>
      <c r="D2364" s="104"/>
      <c r="E2364" s="104"/>
      <c r="F2364" s="104"/>
      <c r="G2364" s="104"/>
      <c r="H2364" s="104"/>
      <c r="I2364" s="104"/>
      <c r="J2364" s="104"/>
      <c r="K2364" s="32"/>
      <c r="L2364" s="32"/>
      <c r="M2364" s="32"/>
      <c r="N2364" s="32"/>
      <c r="O2364" s="106"/>
      <c r="P2364" s="91">
        <f>IFERROR(__xludf.DUMMYFUNCTION("IFERROR(sum(FILTER($D:$N,$C:$C = $C2364,$A:$A &lt; $A2364,$B:$B = 12)),0) + sum($D2364:$N2364)"),0.0)</f>
        <v>0</v>
      </c>
      <c r="Q2364" s="92">
        <f t="shared" si="1"/>
        <v>0</v>
      </c>
      <c r="R2364" s="91">
        <f t="array" ref="R2364">IFERROR(INDEX('Fund YTD Target Values'!$1:$1000, MATCH($C2364,'Fund YTD Target Values'!$A:$A,0), MATCH($A2364,'Fund YTD Target Values'!$1:$1,0)),0)</f>
        <v>0</v>
      </c>
      <c r="S2364" s="91">
        <f>IFERROR(__xludf.DUMMYFUNCTION("IFERROR(sum(FILTER('Fund Investment Data'!$V:$V, 'Fund Investment Data'!$C:$C = $C2364, 'Fund Investment Data'!$A:$A &lt; $A2364)),0) + IFERROR(sum(FILTER('Fund Investment Data'!$V:$V, 'Fund Investment Data'!$C:$C = $C2364, 'Fund Investment Data'!$A:$A = $A2"&amp;"364, 'Fund Investment Data'!$B:$B &lt;= $B2364)),0)"),0.0)</f>
        <v>0</v>
      </c>
      <c r="T2364" s="32"/>
      <c r="U2364" s="32"/>
      <c r="V2364" s="32">
        <f>IFERROR(__xludf.DUMMYFUNCTION("$D2364 - IFERROR(FILTER($D:$D,$C:$C = $C2364, $A:$A = $A2364, $B:$B = $B2364 - 1),0)"),0.0)</f>
        <v>0</v>
      </c>
      <c r="W2364" s="93">
        <f>IFERROR(__xludf.DUMMYFUNCTION("$E2364 - IFERROR(FILTER($E:$E,$C:$C = $C2364, $A:$A = $A2364, $B:$B = $B2364 - 1),0)"),0.0)</f>
        <v>0</v>
      </c>
      <c r="X2364" s="91">
        <f>IFERROR(__xludf.DUMMYFUNCTION("iFERROR((FILTER('Fund Investment Data'!$Z:$Z, 'Fund Investment Data'!$C:$C = $C2364, 'Fund Investment Data'!$A:$A = $A2364 - 1, 'Fund Investment Data'!$B:$B = 12) + FILTER('Fund Investment Data'!$AB:$AB, 'Fund Investment Data'!$C:$C = $C2364, 'Fund Invest"&amp;"ment Data'!$A:$A = $A2364 - 1, 'Fund Investment Data'!$B:$B = 12)) * (1 + AVERAGE(FILTER('Inflation Data'!$C:$C,'Inflation Data'!$A:$A = ($A2364 - 2)))) * Parameters!$A$4,0)"),0.0)</f>
        <v>0</v>
      </c>
      <c r="Y2364" s="91">
        <f>IFERROR(__xludf.DUMMYFUNCTION("IFERROR((IFERROR(FILTER('Fund Investment Data'!$P:$P,'Fund Investment Data'!$C:$C = $C2364,'Fund Investment Data'!$A:$A = ($A2364 - 2), 'Fund Investment Data'!$B:$B = 12),0) - SUM(FILTER('Fund Investment Data'!$V:$V, 'Fund Investment Data'!$C:$C = $C2364,"&amp;" 'Fund Investment Data'!$A:$A = ($A2364 - 2), 'Fund Investment Data'!$B:$B &gt; 3)))  * Parameters!$B$4 * (1 - Parameters!$A$4),0)"),0.0)</f>
        <v>0</v>
      </c>
      <c r="Z2364" s="91">
        <f t="shared" si="24"/>
        <v>0</v>
      </c>
      <c r="AA2364" s="91">
        <f>IFERROR(__xludf.DUMMYFUNCTION("((IFERROR((SUM(FILTER('Fund Investment Data'!$V:$V, 'Fund Investment Data'!$C:$C = $C2364, 'Fund Investment Data'!$A:$A = $A2364 - 1, 'Fund Investment Data'!$B:$B &gt;= 4, 'Fund Investment Data'!$B:$B &lt;= ($B2364 + 5))) / 12) * ($B2364 - 3) * Parameters!$B$4,"&amp;" 0) + IF($B2364 &gt;= 9, IFERROR(SUM(FILTER('Fund Investment Data'!$V:$V, 'Fund Investment Data'!$C:$C = $C2364, 'Fund Investment Data'!$A:$A = $A2364, 'Fund Investment Data'!$B:$B &lt;= 3)) * Parameters!$B$4, 0),0)))"),0.0)</f>
        <v>0</v>
      </c>
      <c r="AB2364" s="32">
        <f>IFERROR(__xludf.DUMMYFUNCTION("IFERROR(((IFERROR(SUM(FILTER('Fund Investment Data'!$V:$V, 'Fund Investment Data'!$C:$C = $C2364, 'Fund Investment Data'!$A:$A = $A2364 - 2, 'Fund Investment Data'!$B:$B &gt;= 4)) * Parameters!$B$4,0) + IFERROR(SUM(FILTER('Fund Investment Data'!$V:$V, 'Fund "&amp;"Investment Data'!$C:$C = $C2364, 'Fund Investment Data'!$A:$A = $A2364 - 1, 'Fund Investment Data'!$B:$B &lt;= 3)) * Parameters!$B$4,0))),0)"),0.0)</f>
        <v>0</v>
      </c>
      <c r="AC2364" s="32">
        <f>IFERROR(__xludf.DUMMYFUNCTION("IFERROR(FILTER($AF:$AF,$C:$C = $C2364,$A:$A = $A2364 - 1,$B:$B = 12),0)"),0.0)</f>
        <v>0</v>
      </c>
      <c r="AD2364" s="32">
        <f t="shared" si="23"/>
        <v>0</v>
      </c>
      <c r="AE2364" s="32">
        <f t="shared" si="2"/>
        <v>0</v>
      </c>
      <c r="AF2364" s="32"/>
    </row>
    <row r="2365">
      <c r="A2365" s="86"/>
      <c r="B2365" s="87"/>
      <c r="C2365" s="88"/>
      <c r="D2365" s="104"/>
      <c r="E2365" s="104"/>
      <c r="F2365" s="104"/>
      <c r="G2365" s="104"/>
      <c r="H2365" s="104"/>
      <c r="I2365" s="104"/>
      <c r="J2365" s="104"/>
      <c r="K2365" s="32"/>
      <c r="L2365" s="32"/>
      <c r="M2365" s="32"/>
      <c r="N2365" s="32"/>
      <c r="O2365" s="106"/>
      <c r="P2365" s="91">
        <f>IFERROR(__xludf.DUMMYFUNCTION("IFERROR(sum(FILTER($D:$N,$C:$C = $C2365,$A:$A &lt; $A2365,$B:$B = 12)),0) + sum($D2365:$N2365)"),0.0)</f>
        <v>0</v>
      </c>
      <c r="Q2365" s="92">
        <f t="shared" si="1"/>
        <v>0</v>
      </c>
      <c r="R2365" s="91">
        <f t="array" ref="R2365">IFERROR(INDEX('Fund YTD Target Values'!$1:$1000, MATCH($C2365,'Fund YTD Target Values'!$A:$A,0), MATCH($A2365,'Fund YTD Target Values'!$1:$1,0)),0)</f>
        <v>0</v>
      </c>
      <c r="S2365" s="91">
        <f>IFERROR(__xludf.DUMMYFUNCTION("IFERROR(sum(FILTER('Fund Investment Data'!$V:$V, 'Fund Investment Data'!$C:$C = $C2365, 'Fund Investment Data'!$A:$A &lt; $A2365)),0) + IFERROR(sum(FILTER('Fund Investment Data'!$V:$V, 'Fund Investment Data'!$C:$C = $C2365, 'Fund Investment Data'!$A:$A = $A2"&amp;"365, 'Fund Investment Data'!$B:$B &lt;= $B2365)),0)"),0.0)</f>
        <v>0</v>
      </c>
      <c r="T2365" s="32"/>
      <c r="U2365" s="32"/>
      <c r="V2365" s="32">
        <f>IFERROR(__xludf.DUMMYFUNCTION("$D2365 - IFERROR(FILTER($D:$D,$C:$C = $C2365, $A:$A = $A2365, $B:$B = $B2365 - 1),0)"),0.0)</f>
        <v>0</v>
      </c>
      <c r="W2365" s="93">
        <f>IFERROR(__xludf.DUMMYFUNCTION("$E2365 - IFERROR(FILTER($E:$E,$C:$C = $C2365, $A:$A = $A2365, $B:$B = $B2365 - 1),0)"),0.0)</f>
        <v>0</v>
      </c>
      <c r="X2365" s="91">
        <f>IFERROR(__xludf.DUMMYFUNCTION("iFERROR((FILTER('Fund Investment Data'!$Z:$Z, 'Fund Investment Data'!$C:$C = $C2365, 'Fund Investment Data'!$A:$A = $A2365 - 1, 'Fund Investment Data'!$B:$B = 12) + FILTER('Fund Investment Data'!$AB:$AB, 'Fund Investment Data'!$C:$C = $C2365, 'Fund Invest"&amp;"ment Data'!$A:$A = $A2365 - 1, 'Fund Investment Data'!$B:$B = 12)) * (1 + AVERAGE(FILTER('Inflation Data'!$C:$C,'Inflation Data'!$A:$A = ($A2365 - 2)))) * Parameters!$A$4,0)"),0.0)</f>
        <v>0</v>
      </c>
      <c r="Y2365" s="91">
        <f>IFERROR(__xludf.DUMMYFUNCTION("IFERROR((IFERROR(FILTER('Fund Investment Data'!$P:$P,'Fund Investment Data'!$C:$C = $C2365,'Fund Investment Data'!$A:$A = ($A2365 - 2), 'Fund Investment Data'!$B:$B = 12),0) - SUM(FILTER('Fund Investment Data'!$V:$V, 'Fund Investment Data'!$C:$C = $C2365,"&amp;" 'Fund Investment Data'!$A:$A = ($A2365 - 2), 'Fund Investment Data'!$B:$B &gt; 3)))  * Parameters!$B$4 * (1 - Parameters!$A$4),0)"),0.0)</f>
        <v>0</v>
      </c>
      <c r="Z2365" s="91">
        <f t="shared" si="24"/>
        <v>0</v>
      </c>
      <c r="AA2365" s="91">
        <f>IFERROR(__xludf.DUMMYFUNCTION("((IFERROR((SUM(FILTER('Fund Investment Data'!$V:$V, 'Fund Investment Data'!$C:$C = $C2365, 'Fund Investment Data'!$A:$A = $A2365 - 1, 'Fund Investment Data'!$B:$B &gt;= 4, 'Fund Investment Data'!$B:$B &lt;= ($B2365 + 5))) / 12) * ($B2365 - 3) * Parameters!$B$4,"&amp;" 0) + IF($B2365 &gt;= 9, IFERROR(SUM(FILTER('Fund Investment Data'!$V:$V, 'Fund Investment Data'!$C:$C = $C2365, 'Fund Investment Data'!$A:$A = $A2365, 'Fund Investment Data'!$B:$B &lt;= 3)) * Parameters!$B$4, 0),0)))"),0.0)</f>
        <v>0</v>
      </c>
      <c r="AB2365" s="32">
        <f>IFERROR(__xludf.DUMMYFUNCTION("IFERROR(((IFERROR(SUM(FILTER('Fund Investment Data'!$V:$V, 'Fund Investment Data'!$C:$C = $C2365, 'Fund Investment Data'!$A:$A = $A2365 - 2, 'Fund Investment Data'!$B:$B &gt;= 4)) * Parameters!$B$4,0) + IFERROR(SUM(FILTER('Fund Investment Data'!$V:$V, 'Fund "&amp;"Investment Data'!$C:$C = $C2365, 'Fund Investment Data'!$A:$A = $A2365 - 1, 'Fund Investment Data'!$B:$B &lt;= 3)) * Parameters!$B$4,0))),0)"),0.0)</f>
        <v>0</v>
      </c>
      <c r="AC2365" s="32">
        <f>IFERROR(__xludf.DUMMYFUNCTION("IFERROR(FILTER($AF:$AF,$C:$C = $C2365,$A:$A = $A2365 - 1,$B:$B = 12),0)"),0.0)</f>
        <v>0</v>
      </c>
      <c r="AD2365" s="32">
        <f t="shared" si="23"/>
        <v>0</v>
      </c>
      <c r="AE2365" s="32">
        <f t="shared" si="2"/>
        <v>0</v>
      </c>
      <c r="AF2365" s="32"/>
    </row>
    <row r="2366">
      <c r="A2366" s="86"/>
      <c r="B2366" s="87"/>
      <c r="C2366" s="88"/>
      <c r="D2366" s="104"/>
      <c r="E2366" s="104"/>
      <c r="F2366" s="104"/>
      <c r="G2366" s="104"/>
      <c r="H2366" s="104"/>
      <c r="I2366" s="104"/>
      <c r="J2366" s="104"/>
      <c r="K2366" s="32"/>
      <c r="L2366" s="32"/>
      <c r="M2366" s="32"/>
      <c r="N2366" s="32"/>
      <c r="O2366" s="106"/>
      <c r="P2366" s="91">
        <f>IFERROR(__xludf.DUMMYFUNCTION("IFERROR(sum(FILTER($D:$N,$C:$C = $C2366,$A:$A &lt; $A2366,$B:$B = 12)),0) + sum($D2366:$N2366)"),0.0)</f>
        <v>0</v>
      </c>
      <c r="Q2366" s="92">
        <f t="shared" si="1"/>
        <v>0</v>
      </c>
      <c r="R2366" s="91">
        <f t="array" ref="R2366">IFERROR(INDEX('Fund YTD Target Values'!$1:$1000, MATCH($C2366,'Fund YTD Target Values'!$A:$A,0), MATCH($A2366,'Fund YTD Target Values'!$1:$1,0)),0)</f>
        <v>0</v>
      </c>
      <c r="S2366" s="91">
        <f>IFERROR(__xludf.DUMMYFUNCTION("IFERROR(sum(FILTER('Fund Investment Data'!$V:$V, 'Fund Investment Data'!$C:$C = $C2366, 'Fund Investment Data'!$A:$A &lt; $A2366)),0) + IFERROR(sum(FILTER('Fund Investment Data'!$V:$V, 'Fund Investment Data'!$C:$C = $C2366, 'Fund Investment Data'!$A:$A = $A2"&amp;"366, 'Fund Investment Data'!$B:$B &lt;= $B2366)),0)"),0.0)</f>
        <v>0</v>
      </c>
      <c r="T2366" s="32"/>
      <c r="U2366" s="32"/>
      <c r="V2366" s="32">
        <f>IFERROR(__xludf.DUMMYFUNCTION("$D2366 - IFERROR(FILTER($D:$D,$C:$C = $C2366, $A:$A = $A2366, $B:$B = $B2366 - 1),0)"),0.0)</f>
        <v>0</v>
      </c>
      <c r="W2366" s="93">
        <f>IFERROR(__xludf.DUMMYFUNCTION("$E2366 - IFERROR(FILTER($E:$E,$C:$C = $C2366, $A:$A = $A2366, $B:$B = $B2366 - 1),0)"),0.0)</f>
        <v>0</v>
      </c>
      <c r="X2366" s="91">
        <f>IFERROR(__xludf.DUMMYFUNCTION("iFERROR((FILTER('Fund Investment Data'!$Z:$Z, 'Fund Investment Data'!$C:$C = $C2366, 'Fund Investment Data'!$A:$A = $A2366 - 1, 'Fund Investment Data'!$B:$B = 12) + FILTER('Fund Investment Data'!$AB:$AB, 'Fund Investment Data'!$C:$C = $C2366, 'Fund Invest"&amp;"ment Data'!$A:$A = $A2366 - 1, 'Fund Investment Data'!$B:$B = 12)) * (1 + AVERAGE(FILTER('Inflation Data'!$C:$C,'Inflation Data'!$A:$A = ($A2366 - 2)))) * Parameters!$A$4,0)"),0.0)</f>
        <v>0</v>
      </c>
      <c r="Y2366" s="91">
        <f>IFERROR(__xludf.DUMMYFUNCTION("IFERROR((IFERROR(FILTER('Fund Investment Data'!$P:$P,'Fund Investment Data'!$C:$C = $C2366,'Fund Investment Data'!$A:$A = ($A2366 - 2), 'Fund Investment Data'!$B:$B = 12),0) - SUM(FILTER('Fund Investment Data'!$V:$V, 'Fund Investment Data'!$C:$C = $C2366,"&amp;" 'Fund Investment Data'!$A:$A = ($A2366 - 2), 'Fund Investment Data'!$B:$B &gt; 3)))  * Parameters!$B$4 * (1 - Parameters!$A$4),0)"),0.0)</f>
        <v>0</v>
      </c>
      <c r="Z2366" s="91">
        <f t="shared" si="24"/>
        <v>0</v>
      </c>
      <c r="AA2366" s="91">
        <f>IFERROR(__xludf.DUMMYFUNCTION("((IFERROR((SUM(FILTER('Fund Investment Data'!$V:$V, 'Fund Investment Data'!$C:$C = $C2366, 'Fund Investment Data'!$A:$A = $A2366 - 1, 'Fund Investment Data'!$B:$B &gt;= 4, 'Fund Investment Data'!$B:$B &lt;= ($B2366 + 5))) / 12) * ($B2366 - 3) * Parameters!$B$4,"&amp;" 0) + IF($B2366 &gt;= 9, IFERROR(SUM(FILTER('Fund Investment Data'!$V:$V, 'Fund Investment Data'!$C:$C = $C2366, 'Fund Investment Data'!$A:$A = $A2366, 'Fund Investment Data'!$B:$B &lt;= 3)) * Parameters!$B$4, 0),0)))"),0.0)</f>
        <v>0</v>
      </c>
      <c r="AB2366" s="32">
        <f>IFERROR(__xludf.DUMMYFUNCTION("IFERROR(((IFERROR(SUM(FILTER('Fund Investment Data'!$V:$V, 'Fund Investment Data'!$C:$C = $C2366, 'Fund Investment Data'!$A:$A = $A2366 - 2, 'Fund Investment Data'!$B:$B &gt;= 4)) * Parameters!$B$4,0) + IFERROR(SUM(FILTER('Fund Investment Data'!$V:$V, 'Fund "&amp;"Investment Data'!$C:$C = $C2366, 'Fund Investment Data'!$A:$A = $A2366 - 1, 'Fund Investment Data'!$B:$B &lt;= 3)) * Parameters!$B$4,0))),0)"),0.0)</f>
        <v>0</v>
      </c>
      <c r="AC2366" s="32">
        <f>IFERROR(__xludf.DUMMYFUNCTION("IFERROR(FILTER($AF:$AF,$C:$C = $C2366,$A:$A = $A2366 - 1,$B:$B = 12),0)"),0.0)</f>
        <v>0</v>
      </c>
      <c r="AD2366" s="32">
        <f t="shared" si="23"/>
        <v>0</v>
      </c>
      <c r="AE2366" s="32">
        <f t="shared" si="2"/>
        <v>0</v>
      </c>
      <c r="AF2366" s="32"/>
    </row>
    <row r="2367">
      <c r="A2367" s="86"/>
      <c r="B2367" s="87"/>
      <c r="C2367" s="88"/>
      <c r="D2367" s="104"/>
      <c r="E2367" s="104"/>
      <c r="F2367" s="104"/>
      <c r="G2367" s="104"/>
      <c r="H2367" s="104"/>
      <c r="I2367" s="104"/>
      <c r="J2367" s="104"/>
      <c r="K2367" s="32"/>
      <c r="L2367" s="32"/>
      <c r="M2367" s="32"/>
      <c r="N2367" s="32"/>
      <c r="O2367" s="106"/>
      <c r="P2367" s="91">
        <f>IFERROR(__xludf.DUMMYFUNCTION("IFERROR(sum(FILTER($D:$N,$C:$C = $C2367,$A:$A &lt; $A2367,$B:$B = 12)),0) + sum($D2367:$N2367)"),0.0)</f>
        <v>0</v>
      </c>
      <c r="Q2367" s="92">
        <f t="shared" si="1"/>
        <v>0</v>
      </c>
      <c r="R2367" s="91">
        <f t="array" ref="R2367">IFERROR(INDEX('Fund YTD Target Values'!$1:$1000, MATCH($C2367,'Fund YTD Target Values'!$A:$A,0), MATCH($A2367,'Fund YTD Target Values'!$1:$1,0)),0)</f>
        <v>0</v>
      </c>
      <c r="S2367" s="91">
        <f>IFERROR(__xludf.DUMMYFUNCTION("IFERROR(sum(FILTER('Fund Investment Data'!$V:$V, 'Fund Investment Data'!$C:$C = $C2367, 'Fund Investment Data'!$A:$A &lt; $A2367)),0) + IFERROR(sum(FILTER('Fund Investment Data'!$V:$V, 'Fund Investment Data'!$C:$C = $C2367, 'Fund Investment Data'!$A:$A = $A2"&amp;"367, 'Fund Investment Data'!$B:$B &lt;= $B2367)),0)"),0.0)</f>
        <v>0</v>
      </c>
      <c r="T2367" s="32"/>
      <c r="U2367" s="32"/>
      <c r="V2367" s="32">
        <f>IFERROR(__xludf.DUMMYFUNCTION("$D2367 - IFERROR(FILTER($D:$D,$C:$C = $C2367, $A:$A = $A2367, $B:$B = $B2367 - 1),0)"),0.0)</f>
        <v>0</v>
      </c>
      <c r="W2367" s="93">
        <f>IFERROR(__xludf.DUMMYFUNCTION("$E2367 - IFERROR(FILTER($E:$E,$C:$C = $C2367, $A:$A = $A2367, $B:$B = $B2367 - 1),0)"),0.0)</f>
        <v>0</v>
      </c>
      <c r="X2367" s="91">
        <f>IFERROR(__xludf.DUMMYFUNCTION("iFERROR((FILTER('Fund Investment Data'!$Z:$Z, 'Fund Investment Data'!$C:$C = $C2367, 'Fund Investment Data'!$A:$A = $A2367 - 1, 'Fund Investment Data'!$B:$B = 12) + FILTER('Fund Investment Data'!$AB:$AB, 'Fund Investment Data'!$C:$C = $C2367, 'Fund Invest"&amp;"ment Data'!$A:$A = $A2367 - 1, 'Fund Investment Data'!$B:$B = 12)) * (1 + AVERAGE(FILTER('Inflation Data'!$C:$C,'Inflation Data'!$A:$A = ($A2367 - 2)))) * Parameters!$A$4,0)"),0.0)</f>
        <v>0</v>
      </c>
      <c r="Y2367" s="91">
        <f>IFERROR(__xludf.DUMMYFUNCTION("IFERROR((IFERROR(FILTER('Fund Investment Data'!$P:$P,'Fund Investment Data'!$C:$C = $C2367,'Fund Investment Data'!$A:$A = ($A2367 - 2), 'Fund Investment Data'!$B:$B = 12),0) - SUM(FILTER('Fund Investment Data'!$V:$V, 'Fund Investment Data'!$C:$C = $C2367,"&amp;" 'Fund Investment Data'!$A:$A = ($A2367 - 2), 'Fund Investment Data'!$B:$B &gt; 3)))  * Parameters!$B$4 * (1 - Parameters!$A$4),0)"),0.0)</f>
        <v>0</v>
      </c>
      <c r="Z2367" s="91">
        <f t="shared" si="24"/>
        <v>0</v>
      </c>
      <c r="AA2367" s="91">
        <f>IFERROR(__xludf.DUMMYFUNCTION("((IFERROR((SUM(FILTER('Fund Investment Data'!$V:$V, 'Fund Investment Data'!$C:$C = $C2367, 'Fund Investment Data'!$A:$A = $A2367 - 1, 'Fund Investment Data'!$B:$B &gt;= 4, 'Fund Investment Data'!$B:$B &lt;= ($B2367 + 5))) / 12) * ($B2367 - 3) * Parameters!$B$4,"&amp;" 0) + IF($B2367 &gt;= 9, IFERROR(SUM(FILTER('Fund Investment Data'!$V:$V, 'Fund Investment Data'!$C:$C = $C2367, 'Fund Investment Data'!$A:$A = $A2367, 'Fund Investment Data'!$B:$B &lt;= 3)) * Parameters!$B$4, 0),0)))"),0.0)</f>
        <v>0</v>
      </c>
      <c r="AB2367" s="32">
        <f>IFERROR(__xludf.DUMMYFUNCTION("IFERROR(((IFERROR(SUM(FILTER('Fund Investment Data'!$V:$V, 'Fund Investment Data'!$C:$C = $C2367, 'Fund Investment Data'!$A:$A = $A2367 - 2, 'Fund Investment Data'!$B:$B &gt;= 4)) * Parameters!$B$4,0) + IFERROR(SUM(FILTER('Fund Investment Data'!$V:$V, 'Fund "&amp;"Investment Data'!$C:$C = $C2367, 'Fund Investment Data'!$A:$A = $A2367 - 1, 'Fund Investment Data'!$B:$B &lt;= 3)) * Parameters!$B$4,0))),0)"),0.0)</f>
        <v>0</v>
      </c>
      <c r="AC2367" s="32">
        <f>IFERROR(__xludf.DUMMYFUNCTION("IFERROR(FILTER($AF:$AF,$C:$C = $C2367,$A:$A = $A2367 - 1,$B:$B = 12),0)"),0.0)</f>
        <v>0</v>
      </c>
      <c r="AD2367" s="32">
        <f t="shared" si="23"/>
        <v>0</v>
      </c>
      <c r="AE2367" s="32">
        <f t="shared" si="2"/>
        <v>0</v>
      </c>
      <c r="AF2367" s="32"/>
    </row>
    <row r="2368">
      <c r="A2368" s="86"/>
      <c r="B2368" s="87"/>
      <c r="C2368" s="88"/>
      <c r="D2368" s="104"/>
      <c r="E2368" s="104"/>
      <c r="F2368" s="104"/>
      <c r="G2368" s="104"/>
      <c r="H2368" s="104"/>
      <c r="I2368" s="104"/>
      <c r="J2368" s="104"/>
      <c r="K2368" s="32"/>
      <c r="L2368" s="32"/>
      <c r="M2368" s="32"/>
      <c r="N2368" s="32"/>
      <c r="O2368" s="106"/>
      <c r="P2368" s="91">
        <f>IFERROR(__xludf.DUMMYFUNCTION("IFERROR(sum(FILTER($D:$N,$C:$C = $C2368,$A:$A &lt; $A2368,$B:$B = 12)),0) + sum($D2368:$N2368)"),0.0)</f>
        <v>0</v>
      </c>
      <c r="Q2368" s="92">
        <f t="shared" si="1"/>
        <v>0</v>
      </c>
      <c r="R2368" s="91">
        <f t="array" ref="R2368">IFERROR(INDEX('Fund YTD Target Values'!$1:$1000, MATCH($C2368,'Fund YTD Target Values'!$A:$A,0), MATCH($A2368,'Fund YTD Target Values'!$1:$1,0)),0)</f>
        <v>0</v>
      </c>
      <c r="S2368" s="91">
        <f>IFERROR(__xludf.DUMMYFUNCTION("IFERROR(sum(FILTER('Fund Investment Data'!$V:$V, 'Fund Investment Data'!$C:$C = $C2368, 'Fund Investment Data'!$A:$A &lt; $A2368)),0) + IFERROR(sum(FILTER('Fund Investment Data'!$V:$V, 'Fund Investment Data'!$C:$C = $C2368, 'Fund Investment Data'!$A:$A = $A2"&amp;"368, 'Fund Investment Data'!$B:$B &lt;= $B2368)),0)"),0.0)</f>
        <v>0</v>
      </c>
      <c r="T2368" s="32"/>
      <c r="U2368" s="32"/>
      <c r="V2368" s="32">
        <f>IFERROR(__xludf.DUMMYFUNCTION("$D2368 - IFERROR(FILTER($D:$D,$C:$C = $C2368, $A:$A = $A2368, $B:$B = $B2368 - 1),0)"),0.0)</f>
        <v>0</v>
      </c>
      <c r="W2368" s="93">
        <f>IFERROR(__xludf.DUMMYFUNCTION("$E2368 - IFERROR(FILTER($E:$E,$C:$C = $C2368, $A:$A = $A2368, $B:$B = $B2368 - 1),0)"),0.0)</f>
        <v>0</v>
      </c>
      <c r="X2368" s="91">
        <f>IFERROR(__xludf.DUMMYFUNCTION("iFERROR((FILTER('Fund Investment Data'!$Z:$Z, 'Fund Investment Data'!$C:$C = $C2368, 'Fund Investment Data'!$A:$A = $A2368 - 1, 'Fund Investment Data'!$B:$B = 12) + FILTER('Fund Investment Data'!$AB:$AB, 'Fund Investment Data'!$C:$C = $C2368, 'Fund Invest"&amp;"ment Data'!$A:$A = $A2368 - 1, 'Fund Investment Data'!$B:$B = 12)) * (1 + AVERAGE(FILTER('Inflation Data'!$C:$C,'Inflation Data'!$A:$A = ($A2368 - 2)))) * Parameters!$A$4,0)"),0.0)</f>
        <v>0</v>
      </c>
      <c r="Y2368" s="91">
        <f>IFERROR(__xludf.DUMMYFUNCTION("IFERROR((IFERROR(FILTER('Fund Investment Data'!$P:$P,'Fund Investment Data'!$C:$C = $C2368,'Fund Investment Data'!$A:$A = ($A2368 - 2), 'Fund Investment Data'!$B:$B = 12),0) - SUM(FILTER('Fund Investment Data'!$V:$V, 'Fund Investment Data'!$C:$C = $C2368,"&amp;" 'Fund Investment Data'!$A:$A = ($A2368 - 2), 'Fund Investment Data'!$B:$B &gt; 3)))  * Parameters!$B$4 * (1 - Parameters!$A$4),0)"),0.0)</f>
        <v>0</v>
      </c>
      <c r="Z2368" s="91">
        <f t="shared" si="24"/>
        <v>0</v>
      </c>
      <c r="AA2368" s="91">
        <f>IFERROR(__xludf.DUMMYFUNCTION("((IFERROR((SUM(FILTER('Fund Investment Data'!$V:$V, 'Fund Investment Data'!$C:$C = $C2368, 'Fund Investment Data'!$A:$A = $A2368 - 1, 'Fund Investment Data'!$B:$B &gt;= 4, 'Fund Investment Data'!$B:$B &lt;= ($B2368 + 5))) / 12) * ($B2368 - 3) * Parameters!$B$4,"&amp;" 0) + IF($B2368 &gt;= 9, IFERROR(SUM(FILTER('Fund Investment Data'!$V:$V, 'Fund Investment Data'!$C:$C = $C2368, 'Fund Investment Data'!$A:$A = $A2368, 'Fund Investment Data'!$B:$B &lt;= 3)) * Parameters!$B$4, 0),0)))"),0.0)</f>
        <v>0</v>
      </c>
      <c r="AB2368" s="32">
        <f>IFERROR(__xludf.DUMMYFUNCTION("IFERROR(((IFERROR(SUM(FILTER('Fund Investment Data'!$V:$V, 'Fund Investment Data'!$C:$C = $C2368, 'Fund Investment Data'!$A:$A = $A2368 - 2, 'Fund Investment Data'!$B:$B &gt;= 4)) * Parameters!$B$4,0) + IFERROR(SUM(FILTER('Fund Investment Data'!$V:$V, 'Fund "&amp;"Investment Data'!$C:$C = $C2368, 'Fund Investment Data'!$A:$A = $A2368 - 1, 'Fund Investment Data'!$B:$B &lt;= 3)) * Parameters!$B$4,0))),0)"),0.0)</f>
        <v>0</v>
      </c>
      <c r="AC2368" s="32">
        <f>IFERROR(__xludf.DUMMYFUNCTION("IFERROR(FILTER($AF:$AF,$C:$C = $C2368,$A:$A = $A2368 - 1,$B:$B = 12),0)"),0.0)</f>
        <v>0</v>
      </c>
      <c r="AD2368" s="32">
        <f t="shared" si="23"/>
        <v>0</v>
      </c>
      <c r="AE2368" s="32">
        <f t="shared" si="2"/>
        <v>0</v>
      </c>
      <c r="AF2368" s="32"/>
    </row>
    <row r="2369">
      <c r="A2369" s="86"/>
      <c r="B2369" s="87"/>
      <c r="C2369" s="88"/>
      <c r="D2369" s="104"/>
      <c r="E2369" s="104"/>
      <c r="F2369" s="104"/>
      <c r="G2369" s="104"/>
      <c r="H2369" s="104"/>
      <c r="I2369" s="104"/>
      <c r="J2369" s="104"/>
      <c r="K2369" s="32"/>
      <c r="L2369" s="32"/>
      <c r="M2369" s="32"/>
      <c r="N2369" s="32"/>
      <c r="O2369" s="106"/>
      <c r="P2369" s="91">
        <f>IFERROR(__xludf.DUMMYFUNCTION("IFERROR(sum(FILTER($D:$N,$C:$C = $C2369,$A:$A &lt; $A2369,$B:$B = 12)),0) + sum($D2369:$N2369)"),0.0)</f>
        <v>0</v>
      </c>
      <c r="Q2369" s="92">
        <f t="shared" si="1"/>
        <v>0</v>
      </c>
      <c r="R2369" s="91">
        <f t="array" ref="R2369">IFERROR(INDEX('Fund YTD Target Values'!$1:$1000, MATCH($C2369,'Fund YTD Target Values'!$A:$A,0), MATCH($A2369,'Fund YTD Target Values'!$1:$1,0)),0)</f>
        <v>0</v>
      </c>
      <c r="S2369" s="91">
        <f>IFERROR(__xludf.DUMMYFUNCTION("IFERROR(sum(FILTER('Fund Investment Data'!$V:$V, 'Fund Investment Data'!$C:$C = $C2369, 'Fund Investment Data'!$A:$A &lt; $A2369)),0) + IFERROR(sum(FILTER('Fund Investment Data'!$V:$V, 'Fund Investment Data'!$C:$C = $C2369, 'Fund Investment Data'!$A:$A = $A2"&amp;"369, 'Fund Investment Data'!$B:$B &lt;= $B2369)),0)"),0.0)</f>
        <v>0</v>
      </c>
      <c r="T2369" s="32"/>
      <c r="U2369" s="32"/>
      <c r="V2369" s="32">
        <f>IFERROR(__xludf.DUMMYFUNCTION("$D2369 - IFERROR(FILTER($D:$D,$C:$C = $C2369, $A:$A = $A2369, $B:$B = $B2369 - 1),0)"),0.0)</f>
        <v>0</v>
      </c>
      <c r="W2369" s="93">
        <f>IFERROR(__xludf.DUMMYFUNCTION("$E2369 - IFERROR(FILTER($E:$E,$C:$C = $C2369, $A:$A = $A2369, $B:$B = $B2369 - 1),0)"),0.0)</f>
        <v>0</v>
      </c>
      <c r="X2369" s="91">
        <f>IFERROR(__xludf.DUMMYFUNCTION("iFERROR((FILTER('Fund Investment Data'!$Z:$Z, 'Fund Investment Data'!$C:$C = $C2369, 'Fund Investment Data'!$A:$A = $A2369 - 1, 'Fund Investment Data'!$B:$B = 12) + FILTER('Fund Investment Data'!$AB:$AB, 'Fund Investment Data'!$C:$C = $C2369, 'Fund Invest"&amp;"ment Data'!$A:$A = $A2369 - 1, 'Fund Investment Data'!$B:$B = 12)) * (1 + AVERAGE(FILTER('Inflation Data'!$C:$C,'Inflation Data'!$A:$A = ($A2369 - 2)))) * Parameters!$A$4,0)"),0.0)</f>
        <v>0</v>
      </c>
      <c r="Y2369" s="91">
        <f>IFERROR(__xludf.DUMMYFUNCTION("IFERROR((IFERROR(FILTER('Fund Investment Data'!$P:$P,'Fund Investment Data'!$C:$C = $C2369,'Fund Investment Data'!$A:$A = ($A2369 - 2), 'Fund Investment Data'!$B:$B = 12),0) - SUM(FILTER('Fund Investment Data'!$V:$V, 'Fund Investment Data'!$C:$C = $C2369,"&amp;" 'Fund Investment Data'!$A:$A = ($A2369 - 2), 'Fund Investment Data'!$B:$B &gt; 3)))  * Parameters!$B$4 * (1 - Parameters!$A$4),0)"),0.0)</f>
        <v>0</v>
      </c>
      <c r="Z2369" s="91">
        <f t="shared" si="24"/>
        <v>0</v>
      </c>
      <c r="AA2369" s="91">
        <f>IFERROR(__xludf.DUMMYFUNCTION("((IFERROR((SUM(FILTER('Fund Investment Data'!$V:$V, 'Fund Investment Data'!$C:$C = $C2369, 'Fund Investment Data'!$A:$A = $A2369 - 1, 'Fund Investment Data'!$B:$B &gt;= 4, 'Fund Investment Data'!$B:$B &lt;= ($B2369 + 5))) / 12) * ($B2369 - 3) * Parameters!$B$4,"&amp;" 0) + IF($B2369 &gt;= 9, IFERROR(SUM(FILTER('Fund Investment Data'!$V:$V, 'Fund Investment Data'!$C:$C = $C2369, 'Fund Investment Data'!$A:$A = $A2369, 'Fund Investment Data'!$B:$B &lt;= 3)) * Parameters!$B$4, 0),0)))"),0.0)</f>
        <v>0</v>
      </c>
      <c r="AB2369" s="32">
        <f>IFERROR(__xludf.DUMMYFUNCTION("IFERROR(((IFERROR(SUM(FILTER('Fund Investment Data'!$V:$V, 'Fund Investment Data'!$C:$C = $C2369, 'Fund Investment Data'!$A:$A = $A2369 - 2, 'Fund Investment Data'!$B:$B &gt;= 4)) * Parameters!$B$4,0) + IFERROR(SUM(FILTER('Fund Investment Data'!$V:$V, 'Fund "&amp;"Investment Data'!$C:$C = $C2369, 'Fund Investment Data'!$A:$A = $A2369 - 1, 'Fund Investment Data'!$B:$B &lt;= 3)) * Parameters!$B$4,0))),0)"),0.0)</f>
        <v>0</v>
      </c>
      <c r="AC2369" s="32">
        <f>IFERROR(__xludf.DUMMYFUNCTION("IFERROR(FILTER($AF:$AF,$C:$C = $C2369,$A:$A = $A2369 - 1,$B:$B = 12),0)"),0.0)</f>
        <v>0</v>
      </c>
      <c r="AD2369" s="32">
        <f t="shared" si="23"/>
        <v>0</v>
      </c>
      <c r="AE2369" s="32">
        <f t="shared" si="2"/>
        <v>0</v>
      </c>
      <c r="AF2369" s="32"/>
    </row>
    <row r="2370">
      <c r="A2370" s="86"/>
      <c r="B2370" s="87"/>
      <c r="C2370" s="88"/>
      <c r="D2370" s="104"/>
      <c r="E2370" s="104"/>
      <c r="F2370" s="104"/>
      <c r="G2370" s="104"/>
      <c r="H2370" s="104"/>
      <c r="I2370" s="104"/>
      <c r="J2370" s="104"/>
      <c r="K2370" s="32"/>
      <c r="L2370" s="32"/>
      <c r="M2370" s="32"/>
      <c r="N2370" s="32"/>
      <c r="O2370" s="106"/>
      <c r="P2370" s="91">
        <f>IFERROR(__xludf.DUMMYFUNCTION("IFERROR(sum(FILTER($D:$N,$C:$C = $C2370,$A:$A &lt; $A2370,$B:$B = 12)),0) + sum($D2370:$N2370)"),0.0)</f>
        <v>0</v>
      </c>
      <c r="Q2370" s="92">
        <f t="shared" si="1"/>
        <v>0</v>
      </c>
      <c r="R2370" s="91">
        <f t="array" ref="R2370">IFERROR(INDEX('Fund YTD Target Values'!$1:$1000, MATCH($C2370,'Fund YTD Target Values'!$A:$A,0), MATCH($A2370,'Fund YTD Target Values'!$1:$1,0)),0)</f>
        <v>0</v>
      </c>
      <c r="S2370" s="91">
        <f>IFERROR(__xludf.DUMMYFUNCTION("IFERROR(sum(FILTER('Fund Investment Data'!$V:$V, 'Fund Investment Data'!$C:$C = $C2370, 'Fund Investment Data'!$A:$A &lt; $A2370)),0) + IFERROR(sum(FILTER('Fund Investment Data'!$V:$V, 'Fund Investment Data'!$C:$C = $C2370, 'Fund Investment Data'!$A:$A = $A2"&amp;"370, 'Fund Investment Data'!$B:$B &lt;= $B2370)),0)"),0.0)</f>
        <v>0</v>
      </c>
      <c r="T2370" s="32"/>
      <c r="U2370" s="32"/>
      <c r="V2370" s="32">
        <f>IFERROR(__xludf.DUMMYFUNCTION("$D2370 - IFERROR(FILTER($D:$D,$C:$C = $C2370, $A:$A = $A2370, $B:$B = $B2370 - 1),0)"),0.0)</f>
        <v>0</v>
      </c>
      <c r="W2370" s="93">
        <f>IFERROR(__xludf.DUMMYFUNCTION("$E2370 - IFERROR(FILTER($E:$E,$C:$C = $C2370, $A:$A = $A2370, $B:$B = $B2370 - 1),0)"),0.0)</f>
        <v>0</v>
      </c>
      <c r="X2370" s="91">
        <f>IFERROR(__xludf.DUMMYFUNCTION("iFERROR((FILTER('Fund Investment Data'!$Z:$Z, 'Fund Investment Data'!$C:$C = $C2370, 'Fund Investment Data'!$A:$A = $A2370 - 1, 'Fund Investment Data'!$B:$B = 12) + FILTER('Fund Investment Data'!$AB:$AB, 'Fund Investment Data'!$C:$C = $C2370, 'Fund Invest"&amp;"ment Data'!$A:$A = $A2370 - 1, 'Fund Investment Data'!$B:$B = 12)) * (1 + AVERAGE(FILTER('Inflation Data'!$C:$C,'Inflation Data'!$A:$A = ($A2370 - 2)))) * Parameters!$A$4,0)"),0.0)</f>
        <v>0</v>
      </c>
      <c r="Y2370" s="91">
        <f>IFERROR(__xludf.DUMMYFUNCTION("IFERROR((IFERROR(FILTER('Fund Investment Data'!$P:$P,'Fund Investment Data'!$C:$C = $C2370,'Fund Investment Data'!$A:$A = ($A2370 - 2), 'Fund Investment Data'!$B:$B = 12),0) - SUM(FILTER('Fund Investment Data'!$V:$V, 'Fund Investment Data'!$C:$C = $C2370,"&amp;" 'Fund Investment Data'!$A:$A = ($A2370 - 2), 'Fund Investment Data'!$B:$B &gt; 3)))  * Parameters!$B$4 * (1 - Parameters!$A$4),0)"),0.0)</f>
        <v>0</v>
      </c>
      <c r="Z2370" s="91">
        <f t="shared" si="24"/>
        <v>0</v>
      </c>
      <c r="AA2370" s="91">
        <f>IFERROR(__xludf.DUMMYFUNCTION("((IFERROR((SUM(FILTER('Fund Investment Data'!$V:$V, 'Fund Investment Data'!$C:$C = $C2370, 'Fund Investment Data'!$A:$A = $A2370 - 1, 'Fund Investment Data'!$B:$B &gt;= 4, 'Fund Investment Data'!$B:$B &lt;= ($B2370 + 5))) / 12) * ($B2370 - 3) * Parameters!$B$4,"&amp;" 0) + IF($B2370 &gt;= 9, IFERROR(SUM(FILTER('Fund Investment Data'!$V:$V, 'Fund Investment Data'!$C:$C = $C2370, 'Fund Investment Data'!$A:$A = $A2370, 'Fund Investment Data'!$B:$B &lt;= 3)) * Parameters!$B$4, 0),0)))"),0.0)</f>
        <v>0</v>
      </c>
      <c r="AB2370" s="32">
        <f>IFERROR(__xludf.DUMMYFUNCTION("IFERROR(((IFERROR(SUM(FILTER('Fund Investment Data'!$V:$V, 'Fund Investment Data'!$C:$C = $C2370, 'Fund Investment Data'!$A:$A = $A2370 - 2, 'Fund Investment Data'!$B:$B &gt;= 4)) * Parameters!$B$4,0) + IFERROR(SUM(FILTER('Fund Investment Data'!$V:$V, 'Fund "&amp;"Investment Data'!$C:$C = $C2370, 'Fund Investment Data'!$A:$A = $A2370 - 1, 'Fund Investment Data'!$B:$B &lt;= 3)) * Parameters!$B$4,0))),0)"),0.0)</f>
        <v>0</v>
      </c>
      <c r="AC2370" s="32">
        <f>IFERROR(__xludf.DUMMYFUNCTION("IFERROR(FILTER($AF:$AF,$C:$C = $C2370,$A:$A = $A2370 - 1,$B:$B = 12),0)"),0.0)</f>
        <v>0</v>
      </c>
      <c r="AD2370" s="32">
        <f t="shared" si="23"/>
        <v>0</v>
      </c>
      <c r="AE2370" s="32">
        <f t="shared" si="2"/>
        <v>0</v>
      </c>
      <c r="AF2370" s="32"/>
    </row>
    <row r="2371">
      <c r="A2371" s="86"/>
      <c r="B2371" s="87"/>
      <c r="C2371" s="88"/>
      <c r="D2371" s="104"/>
      <c r="E2371" s="104"/>
      <c r="F2371" s="104"/>
      <c r="G2371" s="104"/>
      <c r="H2371" s="104"/>
      <c r="I2371" s="104"/>
      <c r="J2371" s="104"/>
      <c r="K2371" s="32"/>
      <c r="L2371" s="32"/>
      <c r="M2371" s="32"/>
      <c r="N2371" s="32"/>
      <c r="O2371" s="106"/>
      <c r="P2371" s="91">
        <f>IFERROR(__xludf.DUMMYFUNCTION("IFERROR(sum(FILTER($D:$N,$C:$C = $C2371,$A:$A &lt; $A2371,$B:$B = 12)),0) + sum($D2371:$N2371)"),0.0)</f>
        <v>0</v>
      </c>
      <c r="Q2371" s="92">
        <f t="shared" si="1"/>
        <v>0</v>
      </c>
      <c r="R2371" s="91">
        <f t="array" ref="R2371">IFERROR(INDEX('Fund YTD Target Values'!$1:$1000, MATCH($C2371,'Fund YTD Target Values'!$A:$A,0), MATCH($A2371,'Fund YTD Target Values'!$1:$1,0)),0)</f>
        <v>0</v>
      </c>
      <c r="S2371" s="91">
        <f>IFERROR(__xludf.DUMMYFUNCTION("IFERROR(sum(FILTER('Fund Investment Data'!$V:$V, 'Fund Investment Data'!$C:$C = $C2371, 'Fund Investment Data'!$A:$A &lt; $A2371)),0) + IFERROR(sum(FILTER('Fund Investment Data'!$V:$V, 'Fund Investment Data'!$C:$C = $C2371, 'Fund Investment Data'!$A:$A = $A2"&amp;"371, 'Fund Investment Data'!$B:$B &lt;= $B2371)),0)"),0.0)</f>
        <v>0</v>
      </c>
      <c r="T2371" s="32"/>
      <c r="U2371" s="32"/>
      <c r="V2371" s="32">
        <f>IFERROR(__xludf.DUMMYFUNCTION("$D2371 - IFERROR(FILTER($D:$D,$C:$C = $C2371, $A:$A = $A2371, $B:$B = $B2371 - 1),0)"),0.0)</f>
        <v>0</v>
      </c>
      <c r="W2371" s="93">
        <f>IFERROR(__xludf.DUMMYFUNCTION("$E2371 - IFERROR(FILTER($E:$E,$C:$C = $C2371, $A:$A = $A2371, $B:$B = $B2371 - 1),0)"),0.0)</f>
        <v>0</v>
      </c>
      <c r="X2371" s="91">
        <f>IFERROR(__xludf.DUMMYFUNCTION("iFERROR((FILTER('Fund Investment Data'!$Z:$Z, 'Fund Investment Data'!$C:$C = $C2371, 'Fund Investment Data'!$A:$A = $A2371 - 1, 'Fund Investment Data'!$B:$B = 12) + FILTER('Fund Investment Data'!$AB:$AB, 'Fund Investment Data'!$C:$C = $C2371, 'Fund Invest"&amp;"ment Data'!$A:$A = $A2371 - 1, 'Fund Investment Data'!$B:$B = 12)) * (1 + AVERAGE(FILTER('Inflation Data'!$C:$C,'Inflation Data'!$A:$A = ($A2371 - 2)))) * Parameters!$A$4,0)"),0.0)</f>
        <v>0</v>
      </c>
      <c r="Y2371" s="91">
        <f>IFERROR(__xludf.DUMMYFUNCTION("IFERROR((IFERROR(FILTER('Fund Investment Data'!$P:$P,'Fund Investment Data'!$C:$C = $C2371,'Fund Investment Data'!$A:$A = ($A2371 - 2), 'Fund Investment Data'!$B:$B = 12),0) - SUM(FILTER('Fund Investment Data'!$V:$V, 'Fund Investment Data'!$C:$C = $C2371,"&amp;" 'Fund Investment Data'!$A:$A = ($A2371 - 2), 'Fund Investment Data'!$B:$B &gt; 3)))  * Parameters!$B$4 * (1 - Parameters!$A$4),0)"),0.0)</f>
        <v>0</v>
      </c>
      <c r="Z2371" s="91">
        <f t="shared" si="24"/>
        <v>0</v>
      </c>
      <c r="AA2371" s="91">
        <f>IFERROR(__xludf.DUMMYFUNCTION("((IFERROR((SUM(FILTER('Fund Investment Data'!$V:$V, 'Fund Investment Data'!$C:$C = $C2371, 'Fund Investment Data'!$A:$A = $A2371 - 1, 'Fund Investment Data'!$B:$B &gt;= 4, 'Fund Investment Data'!$B:$B &lt;= ($B2371 + 5))) / 12) * ($B2371 - 3) * Parameters!$B$4,"&amp;" 0) + IF($B2371 &gt;= 9, IFERROR(SUM(FILTER('Fund Investment Data'!$V:$V, 'Fund Investment Data'!$C:$C = $C2371, 'Fund Investment Data'!$A:$A = $A2371, 'Fund Investment Data'!$B:$B &lt;= 3)) * Parameters!$B$4, 0),0)))"),0.0)</f>
        <v>0</v>
      </c>
      <c r="AB2371" s="32">
        <f>IFERROR(__xludf.DUMMYFUNCTION("IFERROR(((IFERROR(SUM(FILTER('Fund Investment Data'!$V:$V, 'Fund Investment Data'!$C:$C = $C2371, 'Fund Investment Data'!$A:$A = $A2371 - 2, 'Fund Investment Data'!$B:$B &gt;= 4)) * Parameters!$B$4,0) + IFERROR(SUM(FILTER('Fund Investment Data'!$V:$V, 'Fund "&amp;"Investment Data'!$C:$C = $C2371, 'Fund Investment Data'!$A:$A = $A2371 - 1, 'Fund Investment Data'!$B:$B &lt;= 3)) * Parameters!$B$4,0))),0)"),0.0)</f>
        <v>0</v>
      </c>
      <c r="AC2371" s="32">
        <f>IFERROR(__xludf.DUMMYFUNCTION("IFERROR(FILTER($AF:$AF,$C:$C = $C2371,$A:$A = $A2371 - 1,$B:$B = 12),0)"),0.0)</f>
        <v>0</v>
      </c>
      <c r="AD2371" s="32">
        <f t="shared" si="23"/>
        <v>0</v>
      </c>
      <c r="AE2371" s="32">
        <f t="shared" si="2"/>
        <v>0</v>
      </c>
      <c r="AF2371" s="32"/>
    </row>
    <row r="2372">
      <c r="A2372" s="86"/>
      <c r="B2372" s="87"/>
      <c r="C2372" s="88"/>
      <c r="D2372" s="104"/>
      <c r="E2372" s="104"/>
      <c r="F2372" s="104"/>
      <c r="G2372" s="104"/>
      <c r="H2372" s="104"/>
      <c r="I2372" s="104"/>
      <c r="J2372" s="104"/>
      <c r="K2372" s="32"/>
      <c r="L2372" s="32"/>
      <c r="M2372" s="32"/>
      <c r="N2372" s="32"/>
      <c r="O2372" s="106"/>
      <c r="P2372" s="91">
        <f>IFERROR(__xludf.DUMMYFUNCTION("IFERROR(sum(FILTER($D:$N,$C:$C = $C2372,$A:$A &lt; $A2372,$B:$B = 12)),0) + sum($D2372:$N2372)"),0.0)</f>
        <v>0</v>
      </c>
      <c r="Q2372" s="92">
        <f t="shared" si="1"/>
        <v>0</v>
      </c>
      <c r="R2372" s="91">
        <f t="array" ref="R2372">IFERROR(INDEX('Fund YTD Target Values'!$1:$1000, MATCH($C2372,'Fund YTD Target Values'!$A:$A,0), MATCH($A2372,'Fund YTD Target Values'!$1:$1,0)),0)</f>
        <v>0</v>
      </c>
      <c r="S2372" s="91">
        <f>IFERROR(__xludf.DUMMYFUNCTION("IFERROR(sum(FILTER('Fund Investment Data'!$V:$V, 'Fund Investment Data'!$C:$C = $C2372, 'Fund Investment Data'!$A:$A &lt; $A2372)),0) + IFERROR(sum(FILTER('Fund Investment Data'!$V:$V, 'Fund Investment Data'!$C:$C = $C2372, 'Fund Investment Data'!$A:$A = $A2"&amp;"372, 'Fund Investment Data'!$B:$B &lt;= $B2372)),0)"),0.0)</f>
        <v>0</v>
      </c>
      <c r="T2372" s="32"/>
      <c r="U2372" s="32"/>
      <c r="V2372" s="32">
        <f>IFERROR(__xludf.DUMMYFUNCTION("$D2372 - IFERROR(FILTER($D:$D,$C:$C = $C2372, $A:$A = $A2372, $B:$B = $B2372 - 1),0)"),0.0)</f>
        <v>0</v>
      </c>
      <c r="W2372" s="93">
        <f>IFERROR(__xludf.DUMMYFUNCTION("$E2372 - IFERROR(FILTER($E:$E,$C:$C = $C2372, $A:$A = $A2372, $B:$B = $B2372 - 1),0)"),0.0)</f>
        <v>0</v>
      </c>
      <c r="X2372" s="91">
        <f>IFERROR(__xludf.DUMMYFUNCTION("iFERROR((FILTER('Fund Investment Data'!$Z:$Z, 'Fund Investment Data'!$C:$C = $C2372, 'Fund Investment Data'!$A:$A = $A2372 - 1, 'Fund Investment Data'!$B:$B = 12) + FILTER('Fund Investment Data'!$AB:$AB, 'Fund Investment Data'!$C:$C = $C2372, 'Fund Invest"&amp;"ment Data'!$A:$A = $A2372 - 1, 'Fund Investment Data'!$B:$B = 12)) * (1 + AVERAGE(FILTER('Inflation Data'!$C:$C,'Inflation Data'!$A:$A = ($A2372 - 2)))) * Parameters!$A$4,0)"),0.0)</f>
        <v>0</v>
      </c>
      <c r="Y2372" s="91">
        <f>IFERROR(__xludf.DUMMYFUNCTION("IFERROR((IFERROR(FILTER('Fund Investment Data'!$P:$P,'Fund Investment Data'!$C:$C = $C2372,'Fund Investment Data'!$A:$A = ($A2372 - 2), 'Fund Investment Data'!$B:$B = 12),0) - SUM(FILTER('Fund Investment Data'!$V:$V, 'Fund Investment Data'!$C:$C = $C2372,"&amp;" 'Fund Investment Data'!$A:$A = ($A2372 - 2), 'Fund Investment Data'!$B:$B &gt; 3)))  * Parameters!$B$4 * (1 - Parameters!$A$4),0)"),0.0)</f>
        <v>0</v>
      </c>
      <c r="Z2372" s="91">
        <f t="shared" si="24"/>
        <v>0</v>
      </c>
      <c r="AA2372" s="91">
        <f>IFERROR(__xludf.DUMMYFUNCTION("((IFERROR((SUM(FILTER('Fund Investment Data'!$V:$V, 'Fund Investment Data'!$C:$C = $C2372, 'Fund Investment Data'!$A:$A = $A2372 - 1, 'Fund Investment Data'!$B:$B &gt;= 4, 'Fund Investment Data'!$B:$B &lt;= ($B2372 + 5))) / 12) * ($B2372 - 3) * Parameters!$B$4,"&amp;" 0) + IF($B2372 &gt;= 9, IFERROR(SUM(FILTER('Fund Investment Data'!$V:$V, 'Fund Investment Data'!$C:$C = $C2372, 'Fund Investment Data'!$A:$A = $A2372, 'Fund Investment Data'!$B:$B &lt;= 3)) * Parameters!$B$4, 0),0)))"),0.0)</f>
        <v>0</v>
      </c>
      <c r="AB2372" s="32">
        <f>IFERROR(__xludf.DUMMYFUNCTION("IFERROR(((IFERROR(SUM(FILTER('Fund Investment Data'!$V:$V, 'Fund Investment Data'!$C:$C = $C2372, 'Fund Investment Data'!$A:$A = $A2372 - 2, 'Fund Investment Data'!$B:$B &gt;= 4)) * Parameters!$B$4,0) + IFERROR(SUM(FILTER('Fund Investment Data'!$V:$V, 'Fund "&amp;"Investment Data'!$C:$C = $C2372, 'Fund Investment Data'!$A:$A = $A2372 - 1, 'Fund Investment Data'!$B:$B &lt;= 3)) * Parameters!$B$4,0))),0)"),0.0)</f>
        <v>0</v>
      </c>
      <c r="AC2372" s="32">
        <f>IFERROR(__xludf.DUMMYFUNCTION("IFERROR(FILTER($AF:$AF,$C:$C = $C2372,$A:$A = $A2372 - 1,$B:$B = 12),0)"),0.0)</f>
        <v>0</v>
      </c>
      <c r="AD2372" s="32">
        <f t="shared" si="23"/>
        <v>0</v>
      </c>
      <c r="AE2372" s="32">
        <f t="shared" si="2"/>
        <v>0</v>
      </c>
      <c r="AF2372" s="32"/>
    </row>
    <row r="2373">
      <c r="A2373" s="86"/>
      <c r="B2373" s="87"/>
      <c r="C2373" s="88"/>
      <c r="D2373" s="104"/>
      <c r="E2373" s="104"/>
      <c r="F2373" s="104"/>
      <c r="G2373" s="104"/>
      <c r="H2373" s="104"/>
      <c r="I2373" s="104"/>
      <c r="J2373" s="104"/>
      <c r="K2373" s="32"/>
      <c r="L2373" s="32"/>
      <c r="M2373" s="32"/>
      <c r="N2373" s="32"/>
      <c r="O2373" s="106"/>
      <c r="P2373" s="91">
        <f>IFERROR(__xludf.DUMMYFUNCTION("IFERROR(sum(FILTER($D:$N,$C:$C = $C2373,$A:$A &lt; $A2373,$B:$B = 12)),0) + sum($D2373:$N2373)"),0.0)</f>
        <v>0</v>
      </c>
      <c r="Q2373" s="92">
        <f t="shared" si="1"/>
        <v>0</v>
      </c>
      <c r="R2373" s="91">
        <f t="array" ref="R2373">IFERROR(INDEX('Fund YTD Target Values'!$1:$1000, MATCH($C2373,'Fund YTD Target Values'!$A:$A,0), MATCH($A2373,'Fund YTD Target Values'!$1:$1,0)),0)</f>
        <v>0</v>
      </c>
      <c r="S2373" s="91">
        <f>IFERROR(__xludf.DUMMYFUNCTION("IFERROR(sum(FILTER('Fund Investment Data'!$V:$V, 'Fund Investment Data'!$C:$C = $C2373, 'Fund Investment Data'!$A:$A &lt; $A2373)),0) + IFERROR(sum(FILTER('Fund Investment Data'!$V:$V, 'Fund Investment Data'!$C:$C = $C2373, 'Fund Investment Data'!$A:$A = $A2"&amp;"373, 'Fund Investment Data'!$B:$B &lt;= $B2373)),0)"),0.0)</f>
        <v>0</v>
      </c>
      <c r="T2373" s="32"/>
      <c r="U2373" s="32"/>
      <c r="V2373" s="32">
        <f>IFERROR(__xludf.DUMMYFUNCTION("$D2373 - IFERROR(FILTER($D:$D,$C:$C = $C2373, $A:$A = $A2373, $B:$B = $B2373 - 1),0)"),0.0)</f>
        <v>0</v>
      </c>
      <c r="W2373" s="93">
        <f>IFERROR(__xludf.DUMMYFUNCTION("$E2373 - IFERROR(FILTER($E:$E,$C:$C = $C2373, $A:$A = $A2373, $B:$B = $B2373 - 1),0)"),0.0)</f>
        <v>0</v>
      </c>
      <c r="X2373" s="91">
        <f>IFERROR(__xludf.DUMMYFUNCTION("iFERROR((FILTER('Fund Investment Data'!$Z:$Z, 'Fund Investment Data'!$C:$C = $C2373, 'Fund Investment Data'!$A:$A = $A2373 - 1, 'Fund Investment Data'!$B:$B = 12) + FILTER('Fund Investment Data'!$AB:$AB, 'Fund Investment Data'!$C:$C = $C2373, 'Fund Invest"&amp;"ment Data'!$A:$A = $A2373 - 1, 'Fund Investment Data'!$B:$B = 12)) * (1 + AVERAGE(FILTER('Inflation Data'!$C:$C,'Inflation Data'!$A:$A = ($A2373 - 2)))) * Parameters!$A$4,0)"),0.0)</f>
        <v>0</v>
      </c>
      <c r="Y2373" s="91">
        <f>IFERROR(__xludf.DUMMYFUNCTION("IFERROR((IFERROR(FILTER('Fund Investment Data'!$P:$P,'Fund Investment Data'!$C:$C = $C2373,'Fund Investment Data'!$A:$A = ($A2373 - 2), 'Fund Investment Data'!$B:$B = 12),0) - SUM(FILTER('Fund Investment Data'!$V:$V, 'Fund Investment Data'!$C:$C = $C2373,"&amp;" 'Fund Investment Data'!$A:$A = ($A2373 - 2), 'Fund Investment Data'!$B:$B &gt; 3)))  * Parameters!$B$4 * (1 - Parameters!$A$4),0)"),0.0)</f>
        <v>0</v>
      </c>
      <c r="Z2373" s="91">
        <f t="shared" si="24"/>
        <v>0</v>
      </c>
      <c r="AA2373" s="91">
        <f>IFERROR(__xludf.DUMMYFUNCTION("((IFERROR((SUM(FILTER('Fund Investment Data'!$V:$V, 'Fund Investment Data'!$C:$C = $C2373, 'Fund Investment Data'!$A:$A = $A2373 - 1, 'Fund Investment Data'!$B:$B &gt;= 4, 'Fund Investment Data'!$B:$B &lt;= ($B2373 + 5))) / 12) * ($B2373 - 3) * Parameters!$B$4,"&amp;" 0) + IF($B2373 &gt;= 9, IFERROR(SUM(FILTER('Fund Investment Data'!$V:$V, 'Fund Investment Data'!$C:$C = $C2373, 'Fund Investment Data'!$A:$A = $A2373, 'Fund Investment Data'!$B:$B &lt;= 3)) * Parameters!$B$4, 0),0)))"),0.0)</f>
        <v>0</v>
      </c>
      <c r="AB2373" s="32">
        <f>IFERROR(__xludf.DUMMYFUNCTION("IFERROR(((IFERROR(SUM(FILTER('Fund Investment Data'!$V:$V, 'Fund Investment Data'!$C:$C = $C2373, 'Fund Investment Data'!$A:$A = $A2373 - 2, 'Fund Investment Data'!$B:$B &gt;= 4)) * Parameters!$B$4,0) + IFERROR(SUM(FILTER('Fund Investment Data'!$V:$V, 'Fund "&amp;"Investment Data'!$C:$C = $C2373, 'Fund Investment Data'!$A:$A = $A2373 - 1, 'Fund Investment Data'!$B:$B &lt;= 3)) * Parameters!$B$4,0))),0)"),0.0)</f>
        <v>0</v>
      </c>
      <c r="AC2373" s="32">
        <f>IFERROR(__xludf.DUMMYFUNCTION("IFERROR(FILTER($AF:$AF,$C:$C = $C2373,$A:$A = $A2373 - 1,$B:$B = 12),0)"),0.0)</f>
        <v>0</v>
      </c>
      <c r="AD2373" s="32">
        <f t="shared" si="23"/>
        <v>0</v>
      </c>
      <c r="AE2373" s="32">
        <f t="shared" si="2"/>
        <v>0</v>
      </c>
      <c r="AF2373" s="32"/>
    </row>
    <row r="2374">
      <c r="A2374" s="86"/>
      <c r="B2374" s="87"/>
      <c r="C2374" s="88"/>
      <c r="D2374" s="104"/>
      <c r="E2374" s="104"/>
      <c r="F2374" s="104"/>
      <c r="G2374" s="104"/>
      <c r="H2374" s="104"/>
      <c r="I2374" s="104"/>
      <c r="J2374" s="104"/>
      <c r="K2374" s="32"/>
      <c r="L2374" s="32"/>
      <c r="M2374" s="32"/>
      <c r="N2374" s="32"/>
      <c r="O2374" s="106"/>
      <c r="P2374" s="91">
        <f>IFERROR(__xludf.DUMMYFUNCTION("IFERROR(sum(FILTER($D:$N,$C:$C = $C2374,$A:$A &lt; $A2374,$B:$B = 12)),0) + sum($D2374:$N2374)"),0.0)</f>
        <v>0</v>
      </c>
      <c r="Q2374" s="92">
        <f t="shared" si="1"/>
        <v>0</v>
      </c>
      <c r="R2374" s="91">
        <f t="array" ref="R2374">IFERROR(INDEX('Fund YTD Target Values'!$1:$1000, MATCH($C2374,'Fund YTD Target Values'!$A:$A,0), MATCH($A2374,'Fund YTD Target Values'!$1:$1,0)),0)</f>
        <v>0</v>
      </c>
      <c r="S2374" s="91">
        <f>IFERROR(__xludf.DUMMYFUNCTION("IFERROR(sum(FILTER('Fund Investment Data'!$V:$V, 'Fund Investment Data'!$C:$C = $C2374, 'Fund Investment Data'!$A:$A &lt; $A2374)),0) + IFERROR(sum(FILTER('Fund Investment Data'!$V:$V, 'Fund Investment Data'!$C:$C = $C2374, 'Fund Investment Data'!$A:$A = $A2"&amp;"374, 'Fund Investment Data'!$B:$B &lt;= $B2374)),0)"),0.0)</f>
        <v>0</v>
      </c>
      <c r="T2374" s="32"/>
      <c r="U2374" s="32"/>
      <c r="V2374" s="32">
        <f>IFERROR(__xludf.DUMMYFUNCTION("$D2374 - IFERROR(FILTER($D:$D,$C:$C = $C2374, $A:$A = $A2374, $B:$B = $B2374 - 1),0)"),0.0)</f>
        <v>0</v>
      </c>
      <c r="W2374" s="93">
        <f>IFERROR(__xludf.DUMMYFUNCTION("$E2374 - IFERROR(FILTER($E:$E,$C:$C = $C2374, $A:$A = $A2374, $B:$B = $B2374 - 1),0)"),0.0)</f>
        <v>0</v>
      </c>
      <c r="X2374" s="91">
        <f>IFERROR(__xludf.DUMMYFUNCTION("iFERROR((FILTER('Fund Investment Data'!$Z:$Z, 'Fund Investment Data'!$C:$C = $C2374, 'Fund Investment Data'!$A:$A = $A2374 - 1, 'Fund Investment Data'!$B:$B = 12) + FILTER('Fund Investment Data'!$AB:$AB, 'Fund Investment Data'!$C:$C = $C2374, 'Fund Invest"&amp;"ment Data'!$A:$A = $A2374 - 1, 'Fund Investment Data'!$B:$B = 12)) * (1 + AVERAGE(FILTER('Inflation Data'!$C:$C,'Inflation Data'!$A:$A = ($A2374 - 2)))) * Parameters!$A$4,0)"),0.0)</f>
        <v>0</v>
      </c>
      <c r="Y2374" s="91">
        <f>IFERROR(__xludf.DUMMYFUNCTION("IFERROR((IFERROR(FILTER('Fund Investment Data'!$P:$P,'Fund Investment Data'!$C:$C = $C2374,'Fund Investment Data'!$A:$A = ($A2374 - 2), 'Fund Investment Data'!$B:$B = 12),0) - SUM(FILTER('Fund Investment Data'!$V:$V, 'Fund Investment Data'!$C:$C = $C2374,"&amp;" 'Fund Investment Data'!$A:$A = ($A2374 - 2), 'Fund Investment Data'!$B:$B &gt; 3)))  * Parameters!$B$4 * (1 - Parameters!$A$4),0)"),0.0)</f>
        <v>0</v>
      </c>
      <c r="Z2374" s="91">
        <f t="shared" si="24"/>
        <v>0</v>
      </c>
      <c r="AA2374" s="91">
        <f>IFERROR(__xludf.DUMMYFUNCTION("((IFERROR((SUM(FILTER('Fund Investment Data'!$V:$V, 'Fund Investment Data'!$C:$C = $C2374, 'Fund Investment Data'!$A:$A = $A2374 - 1, 'Fund Investment Data'!$B:$B &gt;= 4, 'Fund Investment Data'!$B:$B &lt;= ($B2374 + 5))) / 12) * ($B2374 - 3) * Parameters!$B$4,"&amp;" 0) + IF($B2374 &gt;= 9, IFERROR(SUM(FILTER('Fund Investment Data'!$V:$V, 'Fund Investment Data'!$C:$C = $C2374, 'Fund Investment Data'!$A:$A = $A2374, 'Fund Investment Data'!$B:$B &lt;= 3)) * Parameters!$B$4, 0),0)))"),0.0)</f>
        <v>0</v>
      </c>
      <c r="AB2374" s="32">
        <f>IFERROR(__xludf.DUMMYFUNCTION("IFERROR(((IFERROR(SUM(FILTER('Fund Investment Data'!$V:$V, 'Fund Investment Data'!$C:$C = $C2374, 'Fund Investment Data'!$A:$A = $A2374 - 2, 'Fund Investment Data'!$B:$B &gt;= 4)) * Parameters!$B$4,0) + IFERROR(SUM(FILTER('Fund Investment Data'!$V:$V, 'Fund "&amp;"Investment Data'!$C:$C = $C2374, 'Fund Investment Data'!$A:$A = $A2374 - 1, 'Fund Investment Data'!$B:$B &lt;= 3)) * Parameters!$B$4,0))),0)"),0.0)</f>
        <v>0</v>
      </c>
      <c r="AC2374" s="32">
        <f>IFERROR(__xludf.DUMMYFUNCTION("IFERROR(FILTER($AF:$AF,$C:$C = $C2374,$A:$A = $A2374 - 1,$B:$B = 12),0)"),0.0)</f>
        <v>0</v>
      </c>
      <c r="AD2374" s="32">
        <f t="shared" si="23"/>
        <v>0</v>
      </c>
      <c r="AE2374" s="32">
        <f t="shared" si="2"/>
        <v>0</v>
      </c>
      <c r="AF2374" s="32"/>
    </row>
    <row r="2375">
      <c r="A2375" s="86"/>
      <c r="B2375" s="87"/>
      <c r="C2375" s="88"/>
      <c r="D2375" s="104"/>
      <c r="E2375" s="104"/>
      <c r="F2375" s="104"/>
      <c r="G2375" s="104"/>
      <c r="H2375" s="104"/>
      <c r="I2375" s="104"/>
      <c r="J2375" s="104"/>
      <c r="K2375" s="32"/>
      <c r="L2375" s="32"/>
      <c r="M2375" s="32"/>
      <c r="N2375" s="32"/>
      <c r="O2375" s="106"/>
      <c r="P2375" s="91">
        <f>IFERROR(__xludf.DUMMYFUNCTION("IFERROR(sum(FILTER($D:$N,$C:$C = $C2375,$A:$A &lt; $A2375,$B:$B = 12)),0) + sum($D2375:$N2375)"),0.0)</f>
        <v>0</v>
      </c>
      <c r="Q2375" s="92">
        <f t="shared" si="1"/>
        <v>0</v>
      </c>
      <c r="R2375" s="91">
        <f t="array" ref="R2375">IFERROR(INDEX('Fund YTD Target Values'!$1:$1000, MATCH($C2375,'Fund YTD Target Values'!$A:$A,0), MATCH($A2375,'Fund YTD Target Values'!$1:$1,0)),0)</f>
        <v>0</v>
      </c>
      <c r="S2375" s="91">
        <f>IFERROR(__xludf.DUMMYFUNCTION("IFERROR(sum(FILTER('Fund Investment Data'!$V:$V, 'Fund Investment Data'!$C:$C = $C2375, 'Fund Investment Data'!$A:$A &lt; $A2375)),0) + IFERROR(sum(FILTER('Fund Investment Data'!$V:$V, 'Fund Investment Data'!$C:$C = $C2375, 'Fund Investment Data'!$A:$A = $A2"&amp;"375, 'Fund Investment Data'!$B:$B &lt;= $B2375)),0)"),0.0)</f>
        <v>0</v>
      </c>
      <c r="T2375" s="32"/>
      <c r="U2375" s="32"/>
      <c r="V2375" s="32">
        <f>IFERROR(__xludf.DUMMYFUNCTION("$D2375 - IFERROR(FILTER($D:$D,$C:$C = $C2375, $A:$A = $A2375, $B:$B = $B2375 - 1),0)"),0.0)</f>
        <v>0</v>
      </c>
      <c r="W2375" s="93">
        <f>IFERROR(__xludf.DUMMYFUNCTION("$E2375 - IFERROR(FILTER($E:$E,$C:$C = $C2375, $A:$A = $A2375, $B:$B = $B2375 - 1),0)"),0.0)</f>
        <v>0</v>
      </c>
      <c r="X2375" s="91">
        <f>IFERROR(__xludf.DUMMYFUNCTION("iFERROR((FILTER('Fund Investment Data'!$Z:$Z, 'Fund Investment Data'!$C:$C = $C2375, 'Fund Investment Data'!$A:$A = $A2375 - 1, 'Fund Investment Data'!$B:$B = 12) + FILTER('Fund Investment Data'!$AB:$AB, 'Fund Investment Data'!$C:$C = $C2375, 'Fund Invest"&amp;"ment Data'!$A:$A = $A2375 - 1, 'Fund Investment Data'!$B:$B = 12)) * (1 + AVERAGE(FILTER('Inflation Data'!$C:$C,'Inflation Data'!$A:$A = ($A2375 - 2)))) * Parameters!$A$4,0)"),0.0)</f>
        <v>0</v>
      </c>
      <c r="Y2375" s="91">
        <f>IFERROR(__xludf.DUMMYFUNCTION("IFERROR((IFERROR(FILTER('Fund Investment Data'!$P:$P,'Fund Investment Data'!$C:$C = $C2375,'Fund Investment Data'!$A:$A = ($A2375 - 2), 'Fund Investment Data'!$B:$B = 12),0) - SUM(FILTER('Fund Investment Data'!$V:$V, 'Fund Investment Data'!$C:$C = $C2375,"&amp;" 'Fund Investment Data'!$A:$A = ($A2375 - 2), 'Fund Investment Data'!$B:$B &gt; 3)))  * Parameters!$B$4 * (1 - Parameters!$A$4),0)"),0.0)</f>
        <v>0</v>
      </c>
      <c r="Z2375" s="91">
        <f t="shared" si="24"/>
        <v>0</v>
      </c>
      <c r="AA2375" s="91">
        <f>IFERROR(__xludf.DUMMYFUNCTION("((IFERROR((SUM(FILTER('Fund Investment Data'!$V:$V, 'Fund Investment Data'!$C:$C = $C2375, 'Fund Investment Data'!$A:$A = $A2375 - 1, 'Fund Investment Data'!$B:$B &gt;= 4, 'Fund Investment Data'!$B:$B &lt;= ($B2375 + 5))) / 12) * ($B2375 - 3) * Parameters!$B$4,"&amp;" 0) + IF($B2375 &gt;= 9, IFERROR(SUM(FILTER('Fund Investment Data'!$V:$V, 'Fund Investment Data'!$C:$C = $C2375, 'Fund Investment Data'!$A:$A = $A2375, 'Fund Investment Data'!$B:$B &lt;= 3)) * Parameters!$B$4, 0),0)))"),0.0)</f>
        <v>0</v>
      </c>
      <c r="AB2375" s="32">
        <f>IFERROR(__xludf.DUMMYFUNCTION("IFERROR(((IFERROR(SUM(FILTER('Fund Investment Data'!$V:$V, 'Fund Investment Data'!$C:$C = $C2375, 'Fund Investment Data'!$A:$A = $A2375 - 2, 'Fund Investment Data'!$B:$B &gt;= 4)) * Parameters!$B$4,0) + IFERROR(SUM(FILTER('Fund Investment Data'!$V:$V, 'Fund "&amp;"Investment Data'!$C:$C = $C2375, 'Fund Investment Data'!$A:$A = $A2375 - 1, 'Fund Investment Data'!$B:$B &lt;= 3)) * Parameters!$B$4,0))),0)"),0.0)</f>
        <v>0</v>
      </c>
      <c r="AC2375" s="32">
        <f>IFERROR(__xludf.DUMMYFUNCTION("IFERROR(FILTER($AF:$AF,$C:$C = $C2375,$A:$A = $A2375 - 1,$B:$B = 12),0)"),0.0)</f>
        <v>0</v>
      </c>
      <c r="AD2375" s="32">
        <f t="shared" si="23"/>
        <v>0</v>
      </c>
      <c r="AE2375" s="32">
        <f t="shared" si="2"/>
        <v>0</v>
      </c>
      <c r="AF2375" s="32"/>
    </row>
    <row r="2376">
      <c r="A2376" s="86"/>
      <c r="B2376" s="87"/>
      <c r="C2376" s="88"/>
      <c r="D2376" s="104"/>
      <c r="E2376" s="104"/>
      <c r="F2376" s="104"/>
      <c r="G2376" s="104"/>
      <c r="H2376" s="104"/>
      <c r="I2376" s="104"/>
      <c r="J2376" s="104"/>
      <c r="K2376" s="32"/>
      <c r="L2376" s="32"/>
      <c r="M2376" s="32"/>
      <c r="N2376" s="32"/>
      <c r="O2376" s="106"/>
      <c r="P2376" s="91">
        <f>IFERROR(__xludf.DUMMYFUNCTION("IFERROR(sum(FILTER($D:$N,$C:$C = $C2376,$A:$A &lt; $A2376,$B:$B = 12)),0) + sum($D2376:$N2376)"),0.0)</f>
        <v>0</v>
      </c>
      <c r="Q2376" s="92">
        <f t="shared" si="1"/>
        <v>0</v>
      </c>
      <c r="R2376" s="91">
        <f t="array" ref="R2376">IFERROR(INDEX('Fund YTD Target Values'!$1:$1000, MATCH($C2376,'Fund YTD Target Values'!$A:$A,0), MATCH($A2376,'Fund YTD Target Values'!$1:$1,0)),0)</f>
        <v>0</v>
      </c>
      <c r="S2376" s="91">
        <f>IFERROR(__xludf.DUMMYFUNCTION("IFERROR(sum(FILTER('Fund Investment Data'!$V:$V, 'Fund Investment Data'!$C:$C = $C2376, 'Fund Investment Data'!$A:$A &lt; $A2376)),0) + IFERROR(sum(FILTER('Fund Investment Data'!$V:$V, 'Fund Investment Data'!$C:$C = $C2376, 'Fund Investment Data'!$A:$A = $A2"&amp;"376, 'Fund Investment Data'!$B:$B &lt;= $B2376)),0)"),0.0)</f>
        <v>0</v>
      </c>
      <c r="T2376" s="32"/>
      <c r="U2376" s="32"/>
      <c r="V2376" s="32">
        <f>IFERROR(__xludf.DUMMYFUNCTION("$D2376 - IFERROR(FILTER($D:$D,$C:$C = $C2376, $A:$A = $A2376, $B:$B = $B2376 - 1),0)"),0.0)</f>
        <v>0</v>
      </c>
      <c r="W2376" s="93">
        <f>IFERROR(__xludf.DUMMYFUNCTION("$E2376 - IFERROR(FILTER($E:$E,$C:$C = $C2376, $A:$A = $A2376, $B:$B = $B2376 - 1),0)"),0.0)</f>
        <v>0</v>
      </c>
      <c r="X2376" s="91">
        <f>IFERROR(__xludf.DUMMYFUNCTION("iFERROR((FILTER('Fund Investment Data'!$Z:$Z, 'Fund Investment Data'!$C:$C = $C2376, 'Fund Investment Data'!$A:$A = $A2376 - 1, 'Fund Investment Data'!$B:$B = 12) + FILTER('Fund Investment Data'!$AB:$AB, 'Fund Investment Data'!$C:$C = $C2376, 'Fund Invest"&amp;"ment Data'!$A:$A = $A2376 - 1, 'Fund Investment Data'!$B:$B = 12)) * (1 + AVERAGE(FILTER('Inflation Data'!$C:$C,'Inflation Data'!$A:$A = ($A2376 - 2)))) * Parameters!$A$4,0)"),0.0)</f>
        <v>0</v>
      </c>
      <c r="Y2376" s="91">
        <f>IFERROR(__xludf.DUMMYFUNCTION("IFERROR((IFERROR(FILTER('Fund Investment Data'!$P:$P,'Fund Investment Data'!$C:$C = $C2376,'Fund Investment Data'!$A:$A = ($A2376 - 2), 'Fund Investment Data'!$B:$B = 12),0) - SUM(FILTER('Fund Investment Data'!$V:$V, 'Fund Investment Data'!$C:$C = $C2376,"&amp;" 'Fund Investment Data'!$A:$A = ($A2376 - 2), 'Fund Investment Data'!$B:$B &gt; 3)))  * Parameters!$B$4 * (1 - Parameters!$A$4),0)"),0.0)</f>
        <v>0</v>
      </c>
      <c r="Z2376" s="91">
        <f t="shared" si="24"/>
        <v>0</v>
      </c>
      <c r="AA2376" s="91">
        <f>IFERROR(__xludf.DUMMYFUNCTION("((IFERROR((SUM(FILTER('Fund Investment Data'!$V:$V, 'Fund Investment Data'!$C:$C = $C2376, 'Fund Investment Data'!$A:$A = $A2376 - 1, 'Fund Investment Data'!$B:$B &gt;= 4, 'Fund Investment Data'!$B:$B &lt;= ($B2376 + 5))) / 12) * ($B2376 - 3) * Parameters!$B$4,"&amp;" 0) + IF($B2376 &gt;= 9, IFERROR(SUM(FILTER('Fund Investment Data'!$V:$V, 'Fund Investment Data'!$C:$C = $C2376, 'Fund Investment Data'!$A:$A = $A2376, 'Fund Investment Data'!$B:$B &lt;= 3)) * Parameters!$B$4, 0),0)))"),0.0)</f>
        <v>0</v>
      </c>
      <c r="AB2376" s="32">
        <f>IFERROR(__xludf.DUMMYFUNCTION("IFERROR(((IFERROR(SUM(FILTER('Fund Investment Data'!$V:$V, 'Fund Investment Data'!$C:$C = $C2376, 'Fund Investment Data'!$A:$A = $A2376 - 2, 'Fund Investment Data'!$B:$B &gt;= 4)) * Parameters!$B$4,0) + IFERROR(SUM(FILTER('Fund Investment Data'!$V:$V, 'Fund "&amp;"Investment Data'!$C:$C = $C2376, 'Fund Investment Data'!$A:$A = $A2376 - 1, 'Fund Investment Data'!$B:$B &lt;= 3)) * Parameters!$B$4,0))),0)"),0.0)</f>
        <v>0</v>
      </c>
      <c r="AC2376" s="32">
        <f>IFERROR(__xludf.DUMMYFUNCTION("IFERROR(FILTER($AF:$AF,$C:$C = $C2376,$A:$A = $A2376 - 1,$B:$B = 12),0)"),0.0)</f>
        <v>0</v>
      </c>
      <c r="AD2376" s="32">
        <f t="shared" si="23"/>
        <v>0</v>
      </c>
      <c r="AE2376" s="32">
        <f t="shared" si="2"/>
        <v>0</v>
      </c>
      <c r="AF2376" s="32"/>
    </row>
    <row r="2377">
      <c r="A2377" s="86"/>
      <c r="B2377" s="87"/>
      <c r="C2377" s="88"/>
      <c r="D2377" s="104"/>
      <c r="E2377" s="104"/>
      <c r="F2377" s="104"/>
      <c r="G2377" s="104"/>
      <c r="H2377" s="104"/>
      <c r="I2377" s="104"/>
      <c r="J2377" s="104"/>
      <c r="K2377" s="32"/>
      <c r="L2377" s="32"/>
      <c r="M2377" s="32"/>
      <c r="N2377" s="32"/>
      <c r="O2377" s="106"/>
      <c r="P2377" s="91">
        <f>IFERROR(__xludf.DUMMYFUNCTION("IFERROR(sum(FILTER($D:$N,$C:$C = $C2377,$A:$A &lt; $A2377,$B:$B = 12)),0) + sum($D2377:$N2377)"),0.0)</f>
        <v>0</v>
      </c>
      <c r="Q2377" s="92">
        <f t="shared" si="1"/>
        <v>0</v>
      </c>
      <c r="R2377" s="91">
        <f t="array" ref="R2377">IFERROR(INDEX('Fund YTD Target Values'!$1:$1000, MATCH($C2377,'Fund YTD Target Values'!$A:$A,0), MATCH($A2377,'Fund YTD Target Values'!$1:$1,0)),0)</f>
        <v>0</v>
      </c>
      <c r="S2377" s="91">
        <f>IFERROR(__xludf.DUMMYFUNCTION("IFERROR(sum(FILTER('Fund Investment Data'!$V:$V, 'Fund Investment Data'!$C:$C = $C2377, 'Fund Investment Data'!$A:$A &lt; $A2377)),0) + IFERROR(sum(FILTER('Fund Investment Data'!$V:$V, 'Fund Investment Data'!$C:$C = $C2377, 'Fund Investment Data'!$A:$A = $A2"&amp;"377, 'Fund Investment Data'!$B:$B &lt;= $B2377)),0)"),0.0)</f>
        <v>0</v>
      </c>
      <c r="T2377" s="32"/>
      <c r="U2377" s="32"/>
      <c r="V2377" s="32">
        <f>IFERROR(__xludf.DUMMYFUNCTION("$D2377 - IFERROR(FILTER($D:$D,$C:$C = $C2377, $A:$A = $A2377, $B:$B = $B2377 - 1),0)"),0.0)</f>
        <v>0</v>
      </c>
      <c r="W2377" s="93">
        <f>IFERROR(__xludf.DUMMYFUNCTION("$E2377 - IFERROR(FILTER($E:$E,$C:$C = $C2377, $A:$A = $A2377, $B:$B = $B2377 - 1),0)"),0.0)</f>
        <v>0</v>
      </c>
      <c r="X2377" s="91">
        <f>IFERROR(__xludf.DUMMYFUNCTION("iFERROR((FILTER('Fund Investment Data'!$Z:$Z, 'Fund Investment Data'!$C:$C = $C2377, 'Fund Investment Data'!$A:$A = $A2377 - 1, 'Fund Investment Data'!$B:$B = 12) + FILTER('Fund Investment Data'!$AB:$AB, 'Fund Investment Data'!$C:$C = $C2377, 'Fund Invest"&amp;"ment Data'!$A:$A = $A2377 - 1, 'Fund Investment Data'!$B:$B = 12)) * (1 + AVERAGE(FILTER('Inflation Data'!$C:$C,'Inflation Data'!$A:$A = ($A2377 - 2)))) * Parameters!$A$4,0)"),0.0)</f>
        <v>0</v>
      </c>
      <c r="Y2377" s="91">
        <f>IFERROR(__xludf.DUMMYFUNCTION("IFERROR((IFERROR(FILTER('Fund Investment Data'!$P:$P,'Fund Investment Data'!$C:$C = $C2377,'Fund Investment Data'!$A:$A = ($A2377 - 2), 'Fund Investment Data'!$B:$B = 12),0) - SUM(FILTER('Fund Investment Data'!$V:$V, 'Fund Investment Data'!$C:$C = $C2377,"&amp;" 'Fund Investment Data'!$A:$A = ($A2377 - 2), 'Fund Investment Data'!$B:$B &gt; 3)))  * Parameters!$B$4 * (1 - Parameters!$A$4),0)"),0.0)</f>
        <v>0</v>
      </c>
      <c r="Z2377" s="91">
        <f t="shared" si="24"/>
        <v>0</v>
      </c>
      <c r="AA2377" s="91">
        <f>IFERROR(__xludf.DUMMYFUNCTION("((IFERROR((SUM(FILTER('Fund Investment Data'!$V:$V, 'Fund Investment Data'!$C:$C = $C2377, 'Fund Investment Data'!$A:$A = $A2377 - 1, 'Fund Investment Data'!$B:$B &gt;= 4, 'Fund Investment Data'!$B:$B &lt;= ($B2377 + 5))) / 12) * ($B2377 - 3) * Parameters!$B$4,"&amp;" 0) + IF($B2377 &gt;= 9, IFERROR(SUM(FILTER('Fund Investment Data'!$V:$V, 'Fund Investment Data'!$C:$C = $C2377, 'Fund Investment Data'!$A:$A = $A2377, 'Fund Investment Data'!$B:$B &lt;= 3)) * Parameters!$B$4, 0),0)))"),0.0)</f>
        <v>0</v>
      </c>
      <c r="AB2377" s="32">
        <f>IFERROR(__xludf.DUMMYFUNCTION("IFERROR(((IFERROR(SUM(FILTER('Fund Investment Data'!$V:$V, 'Fund Investment Data'!$C:$C = $C2377, 'Fund Investment Data'!$A:$A = $A2377 - 2, 'Fund Investment Data'!$B:$B &gt;= 4)) * Parameters!$B$4,0) + IFERROR(SUM(FILTER('Fund Investment Data'!$V:$V, 'Fund "&amp;"Investment Data'!$C:$C = $C2377, 'Fund Investment Data'!$A:$A = $A2377 - 1, 'Fund Investment Data'!$B:$B &lt;= 3)) * Parameters!$B$4,0))),0)"),0.0)</f>
        <v>0</v>
      </c>
      <c r="AC2377" s="32">
        <f>IFERROR(__xludf.DUMMYFUNCTION("IFERROR(FILTER($AF:$AF,$C:$C = $C2377,$A:$A = $A2377 - 1,$B:$B = 12),0)"),0.0)</f>
        <v>0</v>
      </c>
      <c r="AD2377" s="32">
        <f t="shared" si="23"/>
        <v>0</v>
      </c>
      <c r="AE2377" s="32">
        <f t="shared" si="2"/>
        <v>0</v>
      </c>
      <c r="AF2377" s="32"/>
    </row>
    <row r="2378">
      <c r="A2378" s="86"/>
      <c r="B2378" s="87"/>
      <c r="C2378" s="88"/>
      <c r="D2378" s="104"/>
      <c r="E2378" s="104"/>
      <c r="F2378" s="104"/>
      <c r="G2378" s="104"/>
      <c r="H2378" s="104"/>
      <c r="I2378" s="104"/>
      <c r="J2378" s="104"/>
      <c r="K2378" s="32"/>
      <c r="L2378" s="32"/>
      <c r="M2378" s="32"/>
      <c r="N2378" s="32"/>
      <c r="O2378" s="106"/>
      <c r="P2378" s="91">
        <f>IFERROR(__xludf.DUMMYFUNCTION("IFERROR(sum(FILTER($D:$N,$C:$C = $C2378,$A:$A &lt; $A2378,$B:$B = 12)),0) + sum($D2378:$N2378)"),0.0)</f>
        <v>0</v>
      </c>
      <c r="Q2378" s="92">
        <f t="shared" si="1"/>
        <v>0</v>
      </c>
      <c r="R2378" s="91">
        <f t="array" ref="R2378">IFERROR(INDEX('Fund YTD Target Values'!$1:$1000, MATCH($C2378,'Fund YTD Target Values'!$A:$A,0), MATCH($A2378,'Fund YTD Target Values'!$1:$1,0)),0)</f>
        <v>0</v>
      </c>
      <c r="S2378" s="91">
        <f>IFERROR(__xludf.DUMMYFUNCTION("IFERROR(sum(FILTER('Fund Investment Data'!$V:$V, 'Fund Investment Data'!$C:$C = $C2378, 'Fund Investment Data'!$A:$A &lt; $A2378)),0) + IFERROR(sum(FILTER('Fund Investment Data'!$V:$V, 'Fund Investment Data'!$C:$C = $C2378, 'Fund Investment Data'!$A:$A = $A2"&amp;"378, 'Fund Investment Data'!$B:$B &lt;= $B2378)),0)"),0.0)</f>
        <v>0</v>
      </c>
      <c r="T2378" s="32"/>
      <c r="U2378" s="32"/>
      <c r="V2378" s="32">
        <f>IFERROR(__xludf.DUMMYFUNCTION("$D2378 - IFERROR(FILTER($D:$D,$C:$C = $C2378, $A:$A = $A2378, $B:$B = $B2378 - 1),0)"),0.0)</f>
        <v>0</v>
      </c>
      <c r="W2378" s="93">
        <f>IFERROR(__xludf.DUMMYFUNCTION("$E2378 - IFERROR(FILTER($E:$E,$C:$C = $C2378, $A:$A = $A2378, $B:$B = $B2378 - 1),0)"),0.0)</f>
        <v>0</v>
      </c>
      <c r="X2378" s="91">
        <f>IFERROR(__xludf.DUMMYFUNCTION("iFERROR((FILTER('Fund Investment Data'!$Z:$Z, 'Fund Investment Data'!$C:$C = $C2378, 'Fund Investment Data'!$A:$A = $A2378 - 1, 'Fund Investment Data'!$B:$B = 12) + FILTER('Fund Investment Data'!$AB:$AB, 'Fund Investment Data'!$C:$C = $C2378, 'Fund Invest"&amp;"ment Data'!$A:$A = $A2378 - 1, 'Fund Investment Data'!$B:$B = 12)) * (1 + AVERAGE(FILTER('Inflation Data'!$C:$C,'Inflation Data'!$A:$A = ($A2378 - 2)))) * Parameters!$A$4,0)"),0.0)</f>
        <v>0</v>
      </c>
      <c r="Y2378" s="91">
        <f>IFERROR(__xludf.DUMMYFUNCTION("IFERROR((IFERROR(FILTER('Fund Investment Data'!$P:$P,'Fund Investment Data'!$C:$C = $C2378,'Fund Investment Data'!$A:$A = ($A2378 - 2), 'Fund Investment Data'!$B:$B = 12),0) - SUM(FILTER('Fund Investment Data'!$V:$V, 'Fund Investment Data'!$C:$C = $C2378,"&amp;" 'Fund Investment Data'!$A:$A = ($A2378 - 2), 'Fund Investment Data'!$B:$B &gt; 3)))  * Parameters!$B$4 * (1 - Parameters!$A$4),0)"),0.0)</f>
        <v>0</v>
      </c>
      <c r="Z2378" s="91">
        <f t="shared" si="24"/>
        <v>0</v>
      </c>
      <c r="AA2378" s="91">
        <f>IFERROR(__xludf.DUMMYFUNCTION("((IFERROR((SUM(FILTER('Fund Investment Data'!$V:$V, 'Fund Investment Data'!$C:$C = $C2378, 'Fund Investment Data'!$A:$A = $A2378 - 1, 'Fund Investment Data'!$B:$B &gt;= 4, 'Fund Investment Data'!$B:$B &lt;= ($B2378 + 5))) / 12) * ($B2378 - 3) * Parameters!$B$4,"&amp;" 0) + IF($B2378 &gt;= 9, IFERROR(SUM(FILTER('Fund Investment Data'!$V:$V, 'Fund Investment Data'!$C:$C = $C2378, 'Fund Investment Data'!$A:$A = $A2378, 'Fund Investment Data'!$B:$B &lt;= 3)) * Parameters!$B$4, 0),0)))"),0.0)</f>
        <v>0</v>
      </c>
      <c r="AB2378" s="32">
        <f>IFERROR(__xludf.DUMMYFUNCTION("IFERROR(((IFERROR(SUM(FILTER('Fund Investment Data'!$V:$V, 'Fund Investment Data'!$C:$C = $C2378, 'Fund Investment Data'!$A:$A = $A2378 - 2, 'Fund Investment Data'!$B:$B &gt;= 4)) * Parameters!$B$4,0) + IFERROR(SUM(FILTER('Fund Investment Data'!$V:$V, 'Fund "&amp;"Investment Data'!$C:$C = $C2378, 'Fund Investment Data'!$A:$A = $A2378 - 1, 'Fund Investment Data'!$B:$B &lt;= 3)) * Parameters!$B$4,0))),0)"),0.0)</f>
        <v>0</v>
      </c>
      <c r="AC2378" s="32">
        <f>IFERROR(__xludf.DUMMYFUNCTION("IFERROR(FILTER($AF:$AF,$C:$C = $C2378,$A:$A = $A2378 - 1,$B:$B = 12),0)"),0.0)</f>
        <v>0</v>
      </c>
      <c r="AD2378" s="32">
        <f t="shared" si="23"/>
        <v>0</v>
      </c>
      <c r="AE2378" s="32">
        <f t="shared" si="2"/>
        <v>0</v>
      </c>
      <c r="AF2378" s="32"/>
    </row>
    <row r="2379">
      <c r="A2379" s="86"/>
      <c r="B2379" s="87"/>
      <c r="C2379" s="88"/>
      <c r="D2379" s="104"/>
      <c r="E2379" s="104"/>
      <c r="F2379" s="104"/>
      <c r="G2379" s="104"/>
      <c r="H2379" s="104"/>
      <c r="I2379" s="104"/>
      <c r="J2379" s="104"/>
      <c r="K2379" s="32"/>
      <c r="L2379" s="32"/>
      <c r="M2379" s="32"/>
      <c r="N2379" s="32"/>
      <c r="O2379" s="106"/>
      <c r="P2379" s="91">
        <f>IFERROR(__xludf.DUMMYFUNCTION("IFERROR(sum(FILTER($D:$N,$C:$C = $C2379,$A:$A &lt; $A2379,$B:$B = 12)),0) + sum($D2379:$N2379)"),0.0)</f>
        <v>0</v>
      </c>
      <c r="Q2379" s="92">
        <f t="shared" si="1"/>
        <v>0</v>
      </c>
      <c r="R2379" s="91">
        <f t="array" ref="R2379">IFERROR(INDEX('Fund YTD Target Values'!$1:$1000, MATCH($C2379,'Fund YTD Target Values'!$A:$A,0), MATCH($A2379,'Fund YTD Target Values'!$1:$1,0)),0)</f>
        <v>0</v>
      </c>
      <c r="S2379" s="91">
        <f>IFERROR(__xludf.DUMMYFUNCTION("IFERROR(sum(FILTER('Fund Investment Data'!$V:$V, 'Fund Investment Data'!$C:$C = $C2379, 'Fund Investment Data'!$A:$A &lt; $A2379)),0) + IFERROR(sum(FILTER('Fund Investment Data'!$V:$V, 'Fund Investment Data'!$C:$C = $C2379, 'Fund Investment Data'!$A:$A = $A2"&amp;"379, 'Fund Investment Data'!$B:$B &lt;= $B2379)),0)"),0.0)</f>
        <v>0</v>
      </c>
      <c r="T2379" s="32"/>
      <c r="U2379" s="32"/>
      <c r="V2379" s="32">
        <f>IFERROR(__xludf.DUMMYFUNCTION("$D2379 - IFERROR(FILTER($D:$D,$C:$C = $C2379, $A:$A = $A2379, $B:$B = $B2379 - 1),0)"),0.0)</f>
        <v>0</v>
      </c>
      <c r="W2379" s="93">
        <f>IFERROR(__xludf.DUMMYFUNCTION("$E2379 - IFERROR(FILTER($E:$E,$C:$C = $C2379, $A:$A = $A2379, $B:$B = $B2379 - 1),0)"),0.0)</f>
        <v>0</v>
      </c>
      <c r="X2379" s="91">
        <f>IFERROR(__xludf.DUMMYFUNCTION("iFERROR((FILTER('Fund Investment Data'!$Z:$Z, 'Fund Investment Data'!$C:$C = $C2379, 'Fund Investment Data'!$A:$A = $A2379 - 1, 'Fund Investment Data'!$B:$B = 12) + FILTER('Fund Investment Data'!$AB:$AB, 'Fund Investment Data'!$C:$C = $C2379, 'Fund Invest"&amp;"ment Data'!$A:$A = $A2379 - 1, 'Fund Investment Data'!$B:$B = 12)) * (1 + AVERAGE(FILTER('Inflation Data'!$C:$C,'Inflation Data'!$A:$A = ($A2379 - 2)))) * Parameters!$A$4,0)"),0.0)</f>
        <v>0</v>
      </c>
      <c r="Y2379" s="91">
        <f>IFERROR(__xludf.DUMMYFUNCTION("IFERROR((IFERROR(FILTER('Fund Investment Data'!$P:$P,'Fund Investment Data'!$C:$C = $C2379,'Fund Investment Data'!$A:$A = ($A2379 - 2), 'Fund Investment Data'!$B:$B = 12),0) - SUM(FILTER('Fund Investment Data'!$V:$V, 'Fund Investment Data'!$C:$C = $C2379,"&amp;" 'Fund Investment Data'!$A:$A = ($A2379 - 2), 'Fund Investment Data'!$B:$B &gt; 3)))  * Parameters!$B$4 * (1 - Parameters!$A$4),0)"),0.0)</f>
        <v>0</v>
      </c>
      <c r="Z2379" s="91">
        <f t="shared" si="24"/>
        <v>0</v>
      </c>
      <c r="AA2379" s="91">
        <f>IFERROR(__xludf.DUMMYFUNCTION("((IFERROR((SUM(FILTER('Fund Investment Data'!$V:$V, 'Fund Investment Data'!$C:$C = $C2379, 'Fund Investment Data'!$A:$A = $A2379 - 1, 'Fund Investment Data'!$B:$B &gt;= 4, 'Fund Investment Data'!$B:$B &lt;= ($B2379 + 5))) / 12) * ($B2379 - 3) * Parameters!$B$4,"&amp;" 0) + IF($B2379 &gt;= 9, IFERROR(SUM(FILTER('Fund Investment Data'!$V:$V, 'Fund Investment Data'!$C:$C = $C2379, 'Fund Investment Data'!$A:$A = $A2379, 'Fund Investment Data'!$B:$B &lt;= 3)) * Parameters!$B$4, 0),0)))"),0.0)</f>
        <v>0</v>
      </c>
      <c r="AB2379" s="32">
        <f>IFERROR(__xludf.DUMMYFUNCTION("IFERROR(((IFERROR(SUM(FILTER('Fund Investment Data'!$V:$V, 'Fund Investment Data'!$C:$C = $C2379, 'Fund Investment Data'!$A:$A = $A2379 - 2, 'Fund Investment Data'!$B:$B &gt;= 4)) * Parameters!$B$4,0) + IFERROR(SUM(FILTER('Fund Investment Data'!$V:$V, 'Fund "&amp;"Investment Data'!$C:$C = $C2379, 'Fund Investment Data'!$A:$A = $A2379 - 1, 'Fund Investment Data'!$B:$B &lt;= 3)) * Parameters!$B$4,0))),0)"),0.0)</f>
        <v>0</v>
      </c>
      <c r="AC2379" s="32">
        <f>IFERROR(__xludf.DUMMYFUNCTION("IFERROR(FILTER($AF:$AF,$C:$C = $C2379,$A:$A = $A2379 - 1,$B:$B = 12),0)"),0.0)</f>
        <v>0</v>
      </c>
      <c r="AD2379" s="32">
        <f t="shared" si="23"/>
        <v>0</v>
      </c>
      <c r="AE2379" s="32">
        <f t="shared" si="2"/>
        <v>0</v>
      </c>
      <c r="AF2379" s="32"/>
    </row>
    <row r="2380">
      <c r="A2380" s="86"/>
      <c r="B2380" s="87"/>
      <c r="C2380" s="88"/>
      <c r="D2380" s="104"/>
      <c r="E2380" s="104"/>
      <c r="F2380" s="104"/>
      <c r="G2380" s="104"/>
      <c r="H2380" s="104"/>
      <c r="I2380" s="104"/>
      <c r="J2380" s="104"/>
      <c r="K2380" s="32"/>
      <c r="L2380" s="32"/>
      <c r="M2380" s="32"/>
      <c r="N2380" s="32"/>
      <c r="O2380" s="106"/>
      <c r="P2380" s="91">
        <f>IFERROR(__xludf.DUMMYFUNCTION("IFERROR(sum(FILTER($D:$N,$C:$C = $C2380,$A:$A &lt; $A2380,$B:$B = 12)),0) + sum($D2380:$N2380)"),0.0)</f>
        <v>0</v>
      </c>
      <c r="Q2380" s="92">
        <f t="shared" si="1"/>
        <v>0</v>
      </c>
      <c r="R2380" s="91">
        <f t="array" ref="R2380">IFERROR(INDEX('Fund YTD Target Values'!$1:$1000, MATCH($C2380,'Fund YTD Target Values'!$A:$A,0), MATCH($A2380,'Fund YTD Target Values'!$1:$1,0)),0)</f>
        <v>0</v>
      </c>
      <c r="S2380" s="91">
        <f>IFERROR(__xludf.DUMMYFUNCTION("IFERROR(sum(FILTER('Fund Investment Data'!$V:$V, 'Fund Investment Data'!$C:$C = $C2380, 'Fund Investment Data'!$A:$A &lt; $A2380)),0) + IFERROR(sum(FILTER('Fund Investment Data'!$V:$V, 'Fund Investment Data'!$C:$C = $C2380, 'Fund Investment Data'!$A:$A = $A2"&amp;"380, 'Fund Investment Data'!$B:$B &lt;= $B2380)),0)"),0.0)</f>
        <v>0</v>
      </c>
      <c r="T2380" s="32"/>
      <c r="U2380" s="32"/>
      <c r="V2380" s="32">
        <f>IFERROR(__xludf.DUMMYFUNCTION("$D2380 - IFERROR(FILTER($D:$D,$C:$C = $C2380, $A:$A = $A2380, $B:$B = $B2380 - 1),0)"),0.0)</f>
        <v>0</v>
      </c>
      <c r="W2380" s="93">
        <f>IFERROR(__xludf.DUMMYFUNCTION("$E2380 - IFERROR(FILTER($E:$E,$C:$C = $C2380, $A:$A = $A2380, $B:$B = $B2380 - 1),0)"),0.0)</f>
        <v>0</v>
      </c>
      <c r="X2380" s="91">
        <f>IFERROR(__xludf.DUMMYFUNCTION("iFERROR((FILTER('Fund Investment Data'!$Z:$Z, 'Fund Investment Data'!$C:$C = $C2380, 'Fund Investment Data'!$A:$A = $A2380 - 1, 'Fund Investment Data'!$B:$B = 12) + FILTER('Fund Investment Data'!$AB:$AB, 'Fund Investment Data'!$C:$C = $C2380, 'Fund Invest"&amp;"ment Data'!$A:$A = $A2380 - 1, 'Fund Investment Data'!$B:$B = 12)) * (1 + AVERAGE(FILTER('Inflation Data'!$C:$C,'Inflation Data'!$A:$A = ($A2380 - 2)))) * Parameters!$A$4,0)"),0.0)</f>
        <v>0</v>
      </c>
      <c r="Y2380" s="91">
        <f>IFERROR(__xludf.DUMMYFUNCTION("IFERROR((IFERROR(FILTER('Fund Investment Data'!$P:$P,'Fund Investment Data'!$C:$C = $C2380,'Fund Investment Data'!$A:$A = ($A2380 - 2), 'Fund Investment Data'!$B:$B = 12),0) - SUM(FILTER('Fund Investment Data'!$V:$V, 'Fund Investment Data'!$C:$C = $C2380,"&amp;" 'Fund Investment Data'!$A:$A = ($A2380 - 2), 'Fund Investment Data'!$B:$B &gt; 3)))  * Parameters!$B$4 * (1 - Parameters!$A$4),0)"),0.0)</f>
        <v>0</v>
      </c>
      <c r="Z2380" s="91">
        <f t="shared" si="24"/>
        <v>0</v>
      </c>
      <c r="AA2380" s="91">
        <f>IFERROR(__xludf.DUMMYFUNCTION("((IFERROR((SUM(FILTER('Fund Investment Data'!$V:$V, 'Fund Investment Data'!$C:$C = $C2380, 'Fund Investment Data'!$A:$A = $A2380 - 1, 'Fund Investment Data'!$B:$B &gt;= 4, 'Fund Investment Data'!$B:$B &lt;= ($B2380 + 5))) / 12) * ($B2380 - 3) * Parameters!$B$4,"&amp;" 0) + IF($B2380 &gt;= 9, IFERROR(SUM(FILTER('Fund Investment Data'!$V:$V, 'Fund Investment Data'!$C:$C = $C2380, 'Fund Investment Data'!$A:$A = $A2380, 'Fund Investment Data'!$B:$B &lt;= 3)) * Parameters!$B$4, 0),0)))"),0.0)</f>
        <v>0</v>
      </c>
      <c r="AB2380" s="32">
        <f>IFERROR(__xludf.DUMMYFUNCTION("IFERROR(((IFERROR(SUM(FILTER('Fund Investment Data'!$V:$V, 'Fund Investment Data'!$C:$C = $C2380, 'Fund Investment Data'!$A:$A = $A2380 - 2, 'Fund Investment Data'!$B:$B &gt;= 4)) * Parameters!$B$4,0) + IFERROR(SUM(FILTER('Fund Investment Data'!$V:$V, 'Fund "&amp;"Investment Data'!$C:$C = $C2380, 'Fund Investment Data'!$A:$A = $A2380 - 1, 'Fund Investment Data'!$B:$B &lt;= 3)) * Parameters!$B$4,0))),0)"),0.0)</f>
        <v>0</v>
      </c>
      <c r="AC2380" s="32">
        <f>IFERROR(__xludf.DUMMYFUNCTION("IFERROR(FILTER($AF:$AF,$C:$C = $C2380,$A:$A = $A2380 - 1,$B:$B = 12),0)"),0.0)</f>
        <v>0</v>
      </c>
      <c r="AD2380" s="32">
        <f t="shared" si="23"/>
        <v>0</v>
      </c>
      <c r="AE2380" s="32">
        <f t="shared" si="2"/>
        <v>0</v>
      </c>
      <c r="AF2380" s="32"/>
    </row>
    <row r="2381">
      <c r="A2381" s="86"/>
      <c r="B2381" s="87"/>
      <c r="C2381" s="88"/>
      <c r="D2381" s="104"/>
      <c r="E2381" s="104"/>
      <c r="F2381" s="104"/>
      <c r="G2381" s="104"/>
      <c r="H2381" s="104"/>
      <c r="I2381" s="104"/>
      <c r="J2381" s="104"/>
      <c r="K2381" s="32"/>
      <c r="L2381" s="32"/>
      <c r="M2381" s="32"/>
      <c r="N2381" s="32"/>
      <c r="O2381" s="106"/>
      <c r="P2381" s="91">
        <f>IFERROR(__xludf.DUMMYFUNCTION("IFERROR(sum(FILTER($D:$N,$C:$C = $C2381,$A:$A &lt; $A2381,$B:$B = 12)),0) + sum($D2381:$N2381)"),0.0)</f>
        <v>0</v>
      </c>
      <c r="Q2381" s="92">
        <f t="shared" si="1"/>
        <v>0</v>
      </c>
      <c r="R2381" s="91">
        <f t="array" ref="R2381">IFERROR(INDEX('Fund YTD Target Values'!$1:$1000, MATCH($C2381,'Fund YTD Target Values'!$A:$A,0), MATCH($A2381,'Fund YTD Target Values'!$1:$1,0)),0)</f>
        <v>0</v>
      </c>
      <c r="S2381" s="91">
        <f>IFERROR(__xludf.DUMMYFUNCTION("IFERROR(sum(FILTER('Fund Investment Data'!$V:$V, 'Fund Investment Data'!$C:$C = $C2381, 'Fund Investment Data'!$A:$A &lt; $A2381)),0) + IFERROR(sum(FILTER('Fund Investment Data'!$V:$V, 'Fund Investment Data'!$C:$C = $C2381, 'Fund Investment Data'!$A:$A = $A2"&amp;"381, 'Fund Investment Data'!$B:$B &lt;= $B2381)),0)"),0.0)</f>
        <v>0</v>
      </c>
      <c r="T2381" s="32"/>
      <c r="U2381" s="32"/>
      <c r="V2381" s="32">
        <f>IFERROR(__xludf.DUMMYFUNCTION("$D2381 - IFERROR(FILTER($D:$D,$C:$C = $C2381, $A:$A = $A2381, $B:$B = $B2381 - 1),0)"),0.0)</f>
        <v>0</v>
      </c>
      <c r="W2381" s="93">
        <f>IFERROR(__xludf.DUMMYFUNCTION("$E2381 - IFERROR(FILTER($E:$E,$C:$C = $C2381, $A:$A = $A2381, $B:$B = $B2381 - 1),0)"),0.0)</f>
        <v>0</v>
      </c>
      <c r="X2381" s="91">
        <f>IFERROR(__xludf.DUMMYFUNCTION("iFERROR((FILTER('Fund Investment Data'!$Z:$Z, 'Fund Investment Data'!$C:$C = $C2381, 'Fund Investment Data'!$A:$A = $A2381 - 1, 'Fund Investment Data'!$B:$B = 12) + FILTER('Fund Investment Data'!$AB:$AB, 'Fund Investment Data'!$C:$C = $C2381, 'Fund Invest"&amp;"ment Data'!$A:$A = $A2381 - 1, 'Fund Investment Data'!$B:$B = 12)) * (1 + AVERAGE(FILTER('Inflation Data'!$C:$C,'Inflation Data'!$A:$A = ($A2381 - 2)))) * Parameters!$A$4,0)"),0.0)</f>
        <v>0</v>
      </c>
      <c r="Y2381" s="91">
        <f>IFERROR(__xludf.DUMMYFUNCTION("IFERROR((IFERROR(FILTER('Fund Investment Data'!$P:$P,'Fund Investment Data'!$C:$C = $C2381,'Fund Investment Data'!$A:$A = ($A2381 - 2), 'Fund Investment Data'!$B:$B = 12),0) - SUM(FILTER('Fund Investment Data'!$V:$V, 'Fund Investment Data'!$C:$C = $C2381,"&amp;" 'Fund Investment Data'!$A:$A = ($A2381 - 2), 'Fund Investment Data'!$B:$B &gt; 3)))  * Parameters!$B$4 * (1 - Parameters!$A$4),0)"),0.0)</f>
        <v>0</v>
      </c>
      <c r="Z2381" s="91">
        <f t="shared" si="24"/>
        <v>0</v>
      </c>
      <c r="AA2381" s="91">
        <f>IFERROR(__xludf.DUMMYFUNCTION("((IFERROR((SUM(FILTER('Fund Investment Data'!$V:$V, 'Fund Investment Data'!$C:$C = $C2381, 'Fund Investment Data'!$A:$A = $A2381 - 1, 'Fund Investment Data'!$B:$B &gt;= 4, 'Fund Investment Data'!$B:$B &lt;= ($B2381 + 5))) / 12) * ($B2381 - 3) * Parameters!$B$4,"&amp;" 0) + IF($B2381 &gt;= 9, IFERROR(SUM(FILTER('Fund Investment Data'!$V:$V, 'Fund Investment Data'!$C:$C = $C2381, 'Fund Investment Data'!$A:$A = $A2381, 'Fund Investment Data'!$B:$B &lt;= 3)) * Parameters!$B$4, 0),0)))"),0.0)</f>
        <v>0</v>
      </c>
      <c r="AB2381" s="32">
        <f>IFERROR(__xludf.DUMMYFUNCTION("IFERROR(((IFERROR(SUM(FILTER('Fund Investment Data'!$V:$V, 'Fund Investment Data'!$C:$C = $C2381, 'Fund Investment Data'!$A:$A = $A2381 - 2, 'Fund Investment Data'!$B:$B &gt;= 4)) * Parameters!$B$4,0) + IFERROR(SUM(FILTER('Fund Investment Data'!$V:$V, 'Fund "&amp;"Investment Data'!$C:$C = $C2381, 'Fund Investment Data'!$A:$A = $A2381 - 1, 'Fund Investment Data'!$B:$B &lt;= 3)) * Parameters!$B$4,0))),0)"),0.0)</f>
        <v>0</v>
      </c>
      <c r="AC2381" s="32">
        <f>IFERROR(__xludf.DUMMYFUNCTION("IFERROR(FILTER($AF:$AF,$C:$C = $C2381,$A:$A = $A2381 - 1,$B:$B = 12),0)"),0.0)</f>
        <v>0</v>
      </c>
      <c r="AD2381" s="32">
        <f t="shared" si="23"/>
        <v>0</v>
      </c>
      <c r="AE2381" s="32">
        <f t="shared" si="2"/>
        <v>0</v>
      </c>
      <c r="AF2381" s="32"/>
    </row>
    <row r="2382">
      <c r="A2382" s="86"/>
      <c r="B2382" s="87"/>
      <c r="C2382" s="88"/>
      <c r="D2382" s="104"/>
      <c r="E2382" s="104"/>
      <c r="F2382" s="104"/>
      <c r="G2382" s="104"/>
      <c r="H2382" s="104"/>
      <c r="I2382" s="104"/>
      <c r="J2382" s="104"/>
      <c r="K2382" s="32"/>
      <c r="L2382" s="32"/>
      <c r="M2382" s="32"/>
      <c r="N2382" s="32"/>
      <c r="O2382" s="106"/>
      <c r="P2382" s="91">
        <f>IFERROR(__xludf.DUMMYFUNCTION("IFERROR(sum(FILTER($D:$N,$C:$C = $C2382,$A:$A &lt; $A2382,$B:$B = 12)),0) + sum($D2382:$N2382)"),0.0)</f>
        <v>0</v>
      </c>
      <c r="Q2382" s="92">
        <f t="shared" si="1"/>
        <v>0</v>
      </c>
      <c r="R2382" s="91">
        <f t="array" ref="R2382">IFERROR(INDEX('Fund YTD Target Values'!$1:$1000, MATCH($C2382,'Fund YTD Target Values'!$A:$A,0), MATCH($A2382,'Fund YTD Target Values'!$1:$1,0)),0)</f>
        <v>0</v>
      </c>
      <c r="S2382" s="91">
        <f>IFERROR(__xludf.DUMMYFUNCTION("IFERROR(sum(FILTER('Fund Investment Data'!$V:$V, 'Fund Investment Data'!$C:$C = $C2382, 'Fund Investment Data'!$A:$A &lt; $A2382)),0) + IFERROR(sum(FILTER('Fund Investment Data'!$V:$V, 'Fund Investment Data'!$C:$C = $C2382, 'Fund Investment Data'!$A:$A = $A2"&amp;"382, 'Fund Investment Data'!$B:$B &lt;= $B2382)),0)"),0.0)</f>
        <v>0</v>
      </c>
      <c r="T2382" s="32"/>
      <c r="U2382" s="32"/>
      <c r="V2382" s="32">
        <f>IFERROR(__xludf.DUMMYFUNCTION("$D2382 - IFERROR(FILTER($D:$D,$C:$C = $C2382, $A:$A = $A2382, $B:$B = $B2382 - 1),0)"),0.0)</f>
        <v>0</v>
      </c>
      <c r="W2382" s="93">
        <f>IFERROR(__xludf.DUMMYFUNCTION("$E2382 - IFERROR(FILTER($E:$E,$C:$C = $C2382, $A:$A = $A2382, $B:$B = $B2382 - 1),0)"),0.0)</f>
        <v>0</v>
      </c>
      <c r="X2382" s="91">
        <f>IFERROR(__xludf.DUMMYFUNCTION("iFERROR((FILTER('Fund Investment Data'!$Z:$Z, 'Fund Investment Data'!$C:$C = $C2382, 'Fund Investment Data'!$A:$A = $A2382 - 1, 'Fund Investment Data'!$B:$B = 12) + FILTER('Fund Investment Data'!$AB:$AB, 'Fund Investment Data'!$C:$C = $C2382, 'Fund Invest"&amp;"ment Data'!$A:$A = $A2382 - 1, 'Fund Investment Data'!$B:$B = 12)) * (1 + AVERAGE(FILTER('Inflation Data'!$C:$C,'Inflation Data'!$A:$A = ($A2382 - 2)))) * Parameters!$A$4,0)"),0.0)</f>
        <v>0</v>
      </c>
      <c r="Y2382" s="91">
        <f>IFERROR(__xludf.DUMMYFUNCTION("IFERROR((IFERROR(FILTER('Fund Investment Data'!$P:$P,'Fund Investment Data'!$C:$C = $C2382,'Fund Investment Data'!$A:$A = ($A2382 - 2), 'Fund Investment Data'!$B:$B = 12),0) - SUM(FILTER('Fund Investment Data'!$V:$V, 'Fund Investment Data'!$C:$C = $C2382,"&amp;" 'Fund Investment Data'!$A:$A = ($A2382 - 2), 'Fund Investment Data'!$B:$B &gt; 3)))  * Parameters!$B$4 * (1 - Parameters!$A$4),0)"),0.0)</f>
        <v>0</v>
      </c>
      <c r="Z2382" s="91">
        <f t="shared" si="24"/>
        <v>0</v>
      </c>
      <c r="AA2382" s="91">
        <f>IFERROR(__xludf.DUMMYFUNCTION("((IFERROR((SUM(FILTER('Fund Investment Data'!$V:$V, 'Fund Investment Data'!$C:$C = $C2382, 'Fund Investment Data'!$A:$A = $A2382 - 1, 'Fund Investment Data'!$B:$B &gt;= 4, 'Fund Investment Data'!$B:$B &lt;= ($B2382 + 5))) / 12) * ($B2382 - 3) * Parameters!$B$4,"&amp;" 0) + IF($B2382 &gt;= 9, IFERROR(SUM(FILTER('Fund Investment Data'!$V:$V, 'Fund Investment Data'!$C:$C = $C2382, 'Fund Investment Data'!$A:$A = $A2382, 'Fund Investment Data'!$B:$B &lt;= 3)) * Parameters!$B$4, 0),0)))"),0.0)</f>
        <v>0</v>
      </c>
      <c r="AB2382" s="32">
        <f>IFERROR(__xludf.DUMMYFUNCTION("IFERROR(((IFERROR(SUM(FILTER('Fund Investment Data'!$V:$V, 'Fund Investment Data'!$C:$C = $C2382, 'Fund Investment Data'!$A:$A = $A2382 - 2, 'Fund Investment Data'!$B:$B &gt;= 4)) * Parameters!$B$4,0) + IFERROR(SUM(FILTER('Fund Investment Data'!$V:$V, 'Fund "&amp;"Investment Data'!$C:$C = $C2382, 'Fund Investment Data'!$A:$A = $A2382 - 1, 'Fund Investment Data'!$B:$B &lt;= 3)) * Parameters!$B$4,0))),0)"),0.0)</f>
        <v>0</v>
      </c>
      <c r="AC2382" s="32">
        <f>IFERROR(__xludf.DUMMYFUNCTION("IFERROR(FILTER($AF:$AF,$C:$C = $C2382,$A:$A = $A2382 - 1,$B:$B = 12),0)"),0.0)</f>
        <v>0</v>
      </c>
      <c r="AD2382" s="32">
        <f t="shared" si="23"/>
        <v>0</v>
      </c>
      <c r="AE2382" s="32">
        <f t="shared" si="2"/>
        <v>0</v>
      </c>
      <c r="AF2382" s="32"/>
    </row>
    <row r="2383">
      <c r="A2383" s="86"/>
      <c r="B2383" s="87"/>
      <c r="C2383" s="88"/>
      <c r="D2383" s="104"/>
      <c r="E2383" s="104"/>
      <c r="F2383" s="104"/>
      <c r="G2383" s="104"/>
      <c r="H2383" s="104"/>
      <c r="I2383" s="104"/>
      <c r="J2383" s="104"/>
      <c r="K2383" s="32"/>
      <c r="L2383" s="32"/>
      <c r="M2383" s="32"/>
      <c r="N2383" s="32"/>
      <c r="O2383" s="106"/>
      <c r="P2383" s="91">
        <f>IFERROR(__xludf.DUMMYFUNCTION("IFERROR(sum(FILTER($D:$N,$C:$C = $C2383,$A:$A &lt; $A2383,$B:$B = 12)),0) + sum($D2383:$N2383)"),0.0)</f>
        <v>0</v>
      </c>
      <c r="Q2383" s="92">
        <f t="shared" si="1"/>
        <v>0</v>
      </c>
      <c r="R2383" s="91">
        <f t="array" ref="R2383">IFERROR(INDEX('Fund YTD Target Values'!$1:$1000, MATCH($C2383,'Fund YTD Target Values'!$A:$A,0), MATCH($A2383,'Fund YTD Target Values'!$1:$1,0)),0)</f>
        <v>0</v>
      </c>
      <c r="S2383" s="91">
        <f>IFERROR(__xludf.DUMMYFUNCTION("IFERROR(sum(FILTER('Fund Investment Data'!$V:$V, 'Fund Investment Data'!$C:$C = $C2383, 'Fund Investment Data'!$A:$A &lt; $A2383)),0) + IFERROR(sum(FILTER('Fund Investment Data'!$V:$V, 'Fund Investment Data'!$C:$C = $C2383, 'Fund Investment Data'!$A:$A = $A2"&amp;"383, 'Fund Investment Data'!$B:$B &lt;= $B2383)),0)"),0.0)</f>
        <v>0</v>
      </c>
      <c r="T2383" s="32"/>
      <c r="U2383" s="32"/>
      <c r="V2383" s="32">
        <f>IFERROR(__xludf.DUMMYFUNCTION("$D2383 - IFERROR(FILTER($D:$D,$C:$C = $C2383, $A:$A = $A2383, $B:$B = $B2383 - 1),0)"),0.0)</f>
        <v>0</v>
      </c>
      <c r="W2383" s="93">
        <f>IFERROR(__xludf.DUMMYFUNCTION("$E2383 - IFERROR(FILTER($E:$E,$C:$C = $C2383, $A:$A = $A2383, $B:$B = $B2383 - 1),0)"),0.0)</f>
        <v>0</v>
      </c>
      <c r="X2383" s="91">
        <f>IFERROR(__xludf.DUMMYFUNCTION("iFERROR((FILTER('Fund Investment Data'!$Z:$Z, 'Fund Investment Data'!$C:$C = $C2383, 'Fund Investment Data'!$A:$A = $A2383 - 1, 'Fund Investment Data'!$B:$B = 12) + FILTER('Fund Investment Data'!$AB:$AB, 'Fund Investment Data'!$C:$C = $C2383, 'Fund Invest"&amp;"ment Data'!$A:$A = $A2383 - 1, 'Fund Investment Data'!$B:$B = 12)) * (1 + AVERAGE(FILTER('Inflation Data'!$C:$C,'Inflation Data'!$A:$A = ($A2383 - 2)))) * Parameters!$A$4,0)"),0.0)</f>
        <v>0</v>
      </c>
      <c r="Y2383" s="91">
        <f>IFERROR(__xludf.DUMMYFUNCTION("IFERROR((IFERROR(FILTER('Fund Investment Data'!$P:$P,'Fund Investment Data'!$C:$C = $C2383,'Fund Investment Data'!$A:$A = ($A2383 - 2), 'Fund Investment Data'!$B:$B = 12),0) - SUM(FILTER('Fund Investment Data'!$V:$V, 'Fund Investment Data'!$C:$C = $C2383,"&amp;" 'Fund Investment Data'!$A:$A = ($A2383 - 2), 'Fund Investment Data'!$B:$B &gt; 3)))  * Parameters!$B$4 * (1 - Parameters!$A$4),0)"),0.0)</f>
        <v>0</v>
      </c>
      <c r="Z2383" s="91">
        <f t="shared" si="24"/>
        <v>0</v>
      </c>
      <c r="AA2383" s="91">
        <f>IFERROR(__xludf.DUMMYFUNCTION("((IFERROR((SUM(FILTER('Fund Investment Data'!$V:$V, 'Fund Investment Data'!$C:$C = $C2383, 'Fund Investment Data'!$A:$A = $A2383 - 1, 'Fund Investment Data'!$B:$B &gt;= 4, 'Fund Investment Data'!$B:$B &lt;= ($B2383 + 5))) / 12) * ($B2383 - 3) * Parameters!$B$4,"&amp;" 0) + IF($B2383 &gt;= 9, IFERROR(SUM(FILTER('Fund Investment Data'!$V:$V, 'Fund Investment Data'!$C:$C = $C2383, 'Fund Investment Data'!$A:$A = $A2383, 'Fund Investment Data'!$B:$B &lt;= 3)) * Parameters!$B$4, 0),0)))"),0.0)</f>
        <v>0</v>
      </c>
      <c r="AB2383" s="32">
        <f>IFERROR(__xludf.DUMMYFUNCTION("IFERROR(((IFERROR(SUM(FILTER('Fund Investment Data'!$V:$V, 'Fund Investment Data'!$C:$C = $C2383, 'Fund Investment Data'!$A:$A = $A2383 - 2, 'Fund Investment Data'!$B:$B &gt;= 4)) * Parameters!$B$4,0) + IFERROR(SUM(FILTER('Fund Investment Data'!$V:$V, 'Fund "&amp;"Investment Data'!$C:$C = $C2383, 'Fund Investment Data'!$A:$A = $A2383 - 1, 'Fund Investment Data'!$B:$B &lt;= 3)) * Parameters!$B$4,0))),0)"),0.0)</f>
        <v>0</v>
      </c>
      <c r="AC2383" s="32">
        <f>IFERROR(__xludf.DUMMYFUNCTION("IFERROR(FILTER($AF:$AF,$C:$C = $C2383,$A:$A = $A2383 - 1,$B:$B = 12),0)"),0.0)</f>
        <v>0</v>
      </c>
      <c r="AD2383" s="32">
        <f t="shared" si="23"/>
        <v>0</v>
      </c>
      <c r="AE2383" s="32">
        <f t="shared" si="2"/>
        <v>0</v>
      </c>
      <c r="AF2383" s="32"/>
    </row>
    <row r="2384">
      <c r="A2384" s="86"/>
      <c r="B2384" s="87"/>
      <c r="C2384" s="88"/>
      <c r="D2384" s="104"/>
      <c r="E2384" s="104"/>
      <c r="F2384" s="104"/>
      <c r="G2384" s="104"/>
      <c r="H2384" s="104"/>
      <c r="I2384" s="104"/>
      <c r="J2384" s="104"/>
      <c r="K2384" s="32"/>
      <c r="L2384" s="32"/>
      <c r="M2384" s="32"/>
      <c r="N2384" s="32"/>
      <c r="O2384" s="106"/>
      <c r="P2384" s="91">
        <f>IFERROR(__xludf.DUMMYFUNCTION("IFERROR(sum(FILTER($D:$N,$C:$C = $C2384,$A:$A &lt; $A2384,$B:$B = 12)),0) + sum($D2384:$N2384)"),0.0)</f>
        <v>0</v>
      </c>
      <c r="Q2384" s="92">
        <f t="shared" si="1"/>
        <v>0</v>
      </c>
      <c r="R2384" s="91">
        <f t="array" ref="R2384">IFERROR(INDEX('Fund YTD Target Values'!$1:$1000, MATCH($C2384,'Fund YTD Target Values'!$A:$A,0), MATCH($A2384,'Fund YTD Target Values'!$1:$1,0)),0)</f>
        <v>0</v>
      </c>
      <c r="S2384" s="91">
        <f>IFERROR(__xludf.DUMMYFUNCTION("IFERROR(sum(FILTER('Fund Investment Data'!$V:$V, 'Fund Investment Data'!$C:$C = $C2384, 'Fund Investment Data'!$A:$A &lt; $A2384)),0) + IFERROR(sum(FILTER('Fund Investment Data'!$V:$V, 'Fund Investment Data'!$C:$C = $C2384, 'Fund Investment Data'!$A:$A = $A2"&amp;"384, 'Fund Investment Data'!$B:$B &lt;= $B2384)),0)"),0.0)</f>
        <v>0</v>
      </c>
      <c r="T2384" s="32"/>
      <c r="U2384" s="32"/>
      <c r="V2384" s="32">
        <f>IFERROR(__xludf.DUMMYFUNCTION("$D2384 - IFERROR(FILTER($D:$D,$C:$C = $C2384, $A:$A = $A2384, $B:$B = $B2384 - 1),0)"),0.0)</f>
        <v>0</v>
      </c>
      <c r="W2384" s="93">
        <f>IFERROR(__xludf.DUMMYFUNCTION("$E2384 - IFERROR(FILTER($E:$E,$C:$C = $C2384, $A:$A = $A2384, $B:$B = $B2384 - 1),0)"),0.0)</f>
        <v>0</v>
      </c>
      <c r="X2384" s="91">
        <f>IFERROR(__xludf.DUMMYFUNCTION("iFERROR((FILTER('Fund Investment Data'!$Z:$Z, 'Fund Investment Data'!$C:$C = $C2384, 'Fund Investment Data'!$A:$A = $A2384 - 1, 'Fund Investment Data'!$B:$B = 12) + FILTER('Fund Investment Data'!$AB:$AB, 'Fund Investment Data'!$C:$C = $C2384, 'Fund Invest"&amp;"ment Data'!$A:$A = $A2384 - 1, 'Fund Investment Data'!$B:$B = 12)) * (1 + AVERAGE(FILTER('Inflation Data'!$C:$C,'Inflation Data'!$A:$A = ($A2384 - 2)))) * Parameters!$A$4,0)"),0.0)</f>
        <v>0</v>
      </c>
      <c r="Y2384" s="91">
        <f>IFERROR(__xludf.DUMMYFUNCTION("IFERROR((IFERROR(FILTER('Fund Investment Data'!$P:$P,'Fund Investment Data'!$C:$C = $C2384,'Fund Investment Data'!$A:$A = ($A2384 - 2), 'Fund Investment Data'!$B:$B = 12),0) - SUM(FILTER('Fund Investment Data'!$V:$V, 'Fund Investment Data'!$C:$C = $C2384,"&amp;" 'Fund Investment Data'!$A:$A = ($A2384 - 2), 'Fund Investment Data'!$B:$B &gt; 3)))  * Parameters!$B$4 * (1 - Parameters!$A$4),0)"),0.0)</f>
        <v>0</v>
      </c>
      <c r="Z2384" s="91">
        <f t="shared" si="24"/>
        <v>0</v>
      </c>
      <c r="AA2384" s="91">
        <f>IFERROR(__xludf.DUMMYFUNCTION("((IFERROR((SUM(FILTER('Fund Investment Data'!$V:$V, 'Fund Investment Data'!$C:$C = $C2384, 'Fund Investment Data'!$A:$A = $A2384 - 1, 'Fund Investment Data'!$B:$B &gt;= 4, 'Fund Investment Data'!$B:$B &lt;= ($B2384 + 5))) / 12) * ($B2384 - 3) * Parameters!$B$4,"&amp;" 0) + IF($B2384 &gt;= 9, IFERROR(SUM(FILTER('Fund Investment Data'!$V:$V, 'Fund Investment Data'!$C:$C = $C2384, 'Fund Investment Data'!$A:$A = $A2384, 'Fund Investment Data'!$B:$B &lt;= 3)) * Parameters!$B$4, 0),0)))"),0.0)</f>
        <v>0</v>
      </c>
      <c r="AB2384" s="32">
        <f>IFERROR(__xludf.DUMMYFUNCTION("IFERROR(((IFERROR(SUM(FILTER('Fund Investment Data'!$V:$V, 'Fund Investment Data'!$C:$C = $C2384, 'Fund Investment Data'!$A:$A = $A2384 - 2, 'Fund Investment Data'!$B:$B &gt;= 4)) * Parameters!$B$4,0) + IFERROR(SUM(FILTER('Fund Investment Data'!$V:$V, 'Fund "&amp;"Investment Data'!$C:$C = $C2384, 'Fund Investment Data'!$A:$A = $A2384 - 1, 'Fund Investment Data'!$B:$B &lt;= 3)) * Parameters!$B$4,0))),0)"),0.0)</f>
        <v>0</v>
      </c>
      <c r="AC2384" s="32">
        <f>IFERROR(__xludf.DUMMYFUNCTION("IFERROR(FILTER($AF:$AF,$C:$C = $C2384,$A:$A = $A2384 - 1,$B:$B = 12),0)"),0.0)</f>
        <v>0</v>
      </c>
      <c r="AD2384" s="32">
        <f t="shared" si="23"/>
        <v>0</v>
      </c>
      <c r="AE2384" s="32">
        <f t="shared" si="2"/>
        <v>0</v>
      </c>
      <c r="AF2384" s="32"/>
    </row>
    <row r="2385">
      <c r="A2385" s="86"/>
      <c r="B2385" s="87"/>
      <c r="C2385" s="88"/>
      <c r="D2385" s="104"/>
      <c r="E2385" s="104"/>
      <c r="F2385" s="104"/>
      <c r="G2385" s="104"/>
      <c r="H2385" s="104"/>
      <c r="I2385" s="104"/>
      <c r="J2385" s="104"/>
      <c r="K2385" s="32"/>
      <c r="L2385" s="32"/>
      <c r="M2385" s="32"/>
      <c r="N2385" s="32"/>
      <c r="O2385" s="106"/>
      <c r="P2385" s="91">
        <f>IFERROR(__xludf.DUMMYFUNCTION("IFERROR(sum(FILTER($D:$N,$C:$C = $C2385,$A:$A &lt; $A2385,$B:$B = 12)),0) + sum($D2385:$N2385)"),0.0)</f>
        <v>0</v>
      </c>
      <c r="Q2385" s="92">
        <f t="shared" si="1"/>
        <v>0</v>
      </c>
      <c r="R2385" s="91">
        <f t="array" ref="R2385">IFERROR(INDEX('Fund YTD Target Values'!$1:$1000, MATCH($C2385,'Fund YTD Target Values'!$A:$A,0), MATCH($A2385,'Fund YTD Target Values'!$1:$1,0)),0)</f>
        <v>0</v>
      </c>
      <c r="S2385" s="91">
        <f>IFERROR(__xludf.DUMMYFUNCTION("IFERROR(sum(FILTER('Fund Investment Data'!$V:$V, 'Fund Investment Data'!$C:$C = $C2385, 'Fund Investment Data'!$A:$A &lt; $A2385)),0) + IFERROR(sum(FILTER('Fund Investment Data'!$V:$V, 'Fund Investment Data'!$C:$C = $C2385, 'Fund Investment Data'!$A:$A = $A2"&amp;"385, 'Fund Investment Data'!$B:$B &lt;= $B2385)),0)"),0.0)</f>
        <v>0</v>
      </c>
      <c r="T2385" s="32"/>
      <c r="U2385" s="32"/>
      <c r="V2385" s="32">
        <f>IFERROR(__xludf.DUMMYFUNCTION("$D2385 - IFERROR(FILTER($D:$D,$C:$C = $C2385, $A:$A = $A2385, $B:$B = $B2385 - 1),0)"),0.0)</f>
        <v>0</v>
      </c>
      <c r="W2385" s="93">
        <f>IFERROR(__xludf.DUMMYFUNCTION("$E2385 - IFERROR(FILTER($E:$E,$C:$C = $C2385, $A:$A = $A2385, $B:$B = $B2385 - 1),0)"),0.0)</f>
        <v>0</v>
      </c>
      <c r="X2385" s="91">
        <f>IFERROR(__xludf.DUMMYFUNCTION("iFERROR((FILTER('Fund Investment Data'!$Z:$Z, 'Fund Investment Data'!$C:$C = $C2385, 'Fund Investment Data'!$A:$A = $A2385 - 1, 'Fund Investment Data'!$B:$B = 12) + FILTER('Fund Investment Data'!$AB:$AB, 'Fund Investment Data'!$C:$C = $C2385, 'Fund Invest"&amp;"ment Data'!$A:$A = $A2385 - 1, 'Fund Investment Data'!$B:$B = 12)) * (1 + AVERAGE(FILTER('Inflation Data'!$C:$C,'Inflation Data'!$A:$A = ($A2385 - 2)))) * Parameters!$A$4,0)"),0.0)</f>
        <v>0</v>
      </c>
      <c r="Y2385" s="91">
        <f>IFERROR(__xludf.DUMMYFUNCTION("IFERROR((IFERROR(FILTER('Fund Investment Data'!$P:$P,'Fund Investment Data'!$C:$C = $C2385,'Fund Investment Data'!$A:$A = ($A2385 - 2), 'Fund Investment Data'!$B:$B = 12),0) - SUM(FILTER('Fund Investment Data'!$V:$V, 'Fund Investment Data'!$C:$C = $C2385,"&amp;" 'Fund Investment Data'!$A:$A = ($A2385 - 2), 'Fund Investment Data'!$B:$B &gt; 3)))  * Parameters!$B$4 * (1 - Parameters!$A$4),0)"),0.0)</f>
        <v>0</v>
      </c>
      <c r="Z2385" s="91">
        <f t="shared" si="24"/>
        <v>0</v>
      </c>
      <c r="AA2385" s="91">
        <f>IFERROR(__xludf.DUMMYFUNCTION("((IFERROR((SUM(FILTER('Fund Investment Data'!$V:$V, 'Fund Investment Data'!$C:$C = $C2385, 'Fund Investment Data'!$A:$A = $A2385 - 1, 'Fund Investment Data'!$B:$B &gt;= 4, 'Fund Investment Data'!$B:$B &lt;= ($B2385 + 5))) / 12) * ($B2385 - 3) * Parameters!$B$4,"&amp;" 0) + IF($B2385 &gt;= 9, IFERROR(SUM(FILTER('Fund Investment Data'!$V:$V, 'Fund Investment Data'!$C:$C = $C2385, 'Fund Investment Data'!$A:$A = $A2385, 'Fund Investment Data'!$B:$B &lt;= 3)) * Parameters!$B$4, 0),0)))"),0.0)</f>
        <v>0</v>
      </c>
      <c r="AB2385" s="32">
        <f>IFERROR(__xludf.DUMMYFUNCTION("IFERROR(((IFERROR(SUM(FILTER('Fund Investment Data'!$V:$V, 'Fund Investment Data'!$C:$C = $C2385, 'Fund Investment Data'!$A:$A = $A2385 - 2, 'Fund Investment Data'!$B:$B &gt;= 4)) * Parameters!$B$4,0) + IFERROR(SUM(FILTER('Fund Investment Data'!$V:$V, 'Fund "&amp;"Investment Data'!$C:$C = $C2385, 'Fund Investment Data'!$A:$A = $A2385 - 1, 'Fund Investment Data'!$B:$B &lt;= 3)) * Parameters!$B$4,0))),0)"),0.0)</f>
        <v>0</v>
      </c>
      <c r="AC2385" s="32">
        <f>IFERROR(__xludf.DUMMYFUNCTION("IFERROR(FILTER($AF:$AF,$C:$C = $C2385,$A:$A = $A2385 - 1,$B:$B = 12),0)"),0.0)</f>
        <v>0</v>
      </c>
      <c r="AD2385" s="32">
        <f t="shared" si="23"/>
        <v>0</v>
      </c>
      <c r="AE2385" s="32">
        <f t="shared" si="2"/>
        <v>0</v>
      </c>
      <c r="AF2385" s="32"/>
    </row>
    <row r="2386">
      <c r="A2386" s="86"/>
      <c r="B2386" s="87"/>
      <c r="C2386" s="88"/>
      <c r="D2386" s="104"/>
      <c r="E2386" s="104"/>
      <c r="F2386" s="104"/>
      <c r="G2386" s="104"/>
      <c r="H2386" s="104"/>
      <c r="I2386" s="104"/>
      <c r="J2386" s="104"/>
      <c r="K2386" s="32"/>
      <c r="L2386" s="32"/>
      <c r="M2386" s="32"/>
      <c r="N2386" s="32"/>
      <c r="O2386" s="106"/>
      <c r="P2386" s="91">
        <f>IFERROR(__xludf.DUMMYFUNCTION("IFERROR(sum(FILTER($D:$N,$C:$C = $C2386,$A:$A &lt; $A2386,$B:$B = 12)),0) + sum($D2386:$N2386)"),0.0)</f>
        <v>0</v>
      </c>
      <c r="Q2386" s="92">
        <f t="shared" si="1"/>
        <v>0</v>
      </c>
      <c r="R2386" s="91">
        <f t="array" ref="R2386">IFERROR(INDEX('Fund YTD Target Values'!$1:$1000, MATCH($C2386,'Fund YTD Target Values'!$A:$A,0), MATCH($A2386,'Fund YTD Target Values'!$1:$1,0)),0)</f>
        <v>0</v>
      </c>
      <c r="S2386" s="91">
        <f>IFERROR(__xludf.DUMMYFUNCTION("IFERROR(sum(FILTER('Fund Investment Data'!$V:$V, 'Fund Investment Data'!$C:$C = $C2386, 'Fund Investment Data'!$A:$A &lt; $A2386)),0) + IFERROR(sum(FILTER('Fund Investment Data'!$V:$V, 'Fund Investment Data'!$C:$C = $C2386, 'Fund Investment Data'!$A:$A = $A2"&amp;"386, 'Fund Investment Data'!$B:$B &lt;= $B2386)),0)"),0.0)</f>
        <v>0</v>
      </c>
      <c r="T2386" s="32"/>
      <c r="U2386" s="32"/>
      <c r="V2386" s="32">
        <f>IFERROR(__xludf.DUMMYFUNCTION("$D2386 - IFERROR(FILTER($D:$D,$C:$C = $C2386, $A:$A = $A2386, $B:$B = $B2386 - 1),0)"),0.0)</f>
        <v>0</v>
      </c>
      <c r="W2386" s="93">
        <f>IFERROR(__xludf.DUMMYFUNCTION("$E2386 - IFERROR(FILTER($E:$E,$C:$C = $C2386, $A:$A = $A2386, $B:$B = $B2386 - 1),0)"),0.0)</f>
        <v>0</v>
      </c>
      <c r="X2386" s="91">
        <f>IFERROR(__xludf.DUMMYFUNCTION("iFERROR((FILTER('Fund Investment Data'!$Z:$Z, 'Fund Investment Data'!$C:$C = $C2386, 'Fund Investment Data'!$A:$A = $A2386 - 1, 'Fund Investment Data'!$B:$B = 12) + FILTER('Fund Investment Data'!$AB:$AB, 'Fund Investment Data'!$C:$C = $C2386, 'Fund Invest"&amp;"ment Data'!$A:$A = $A2386 - 1, 'Fund Investment Data'!$B:$B = 12)) * (1 + AVERAGE(FILTER('Inflation Data'!$C:$C,'Inflation Data'!$A:$A = ($A2386 - 2)))) * Parameters!$A$4,0)"),0.0)</f>
        <v>0</v>
      </c>
      <c r="Y2386" s="91">
        <f>IFERROR(__xludf.DUMMYFUNCTION("IFERROR((IFERROR(FILTER('Fund Investment Data'!$P:$P,'Fund Investment Data'!$C:$C = $C2386,'Fund Investment Data'!$A:$A = ($A2386 - 2), 'Fund Investment Data'!$B:$B = 12),0) - SUM(FILTER('Fund Investment Data'!$V:$V, 'Fund Investment Data'!$C:$C = $C2386,"&amp;" 'Fund Investment Data'!$A:$A = ($A2386 - 2), 'Fund Investment Data'!$B:$B &gt; 3)))  * Parameters!$B$4 * (1 - Parameters!$A$4),0)"),0.0)</f>
        <v>0</v>
      </c>
      <c r="Z2386" s="91">
        <f t="shared" si="24"/>
        <v>0</v>
      </c>
      <c r="AA2386" s="91">
        <f>IFERROR(__xludf.DUMMYFUNCTION("((IFERROR((SUM(FILTER('Fund Investment Data'!$V:$V, 'Fund Investment Data'!$C:$C = $C2386, 'Fund Investment Data'!$A:$A = $A2386 - 1, 'Fund Investment Data'!$B:$B &gt;= 4, 'Fund Investment Data'!$B:$B &lt;= ($B2386 + 5))) / 12) * ($B2386 - 3) * Parameters!$B$4,"&amp;" 0) + IF($B2386 &gt;= 9, IFERROR(SUM(FILTER('Fund Investment Data'!$V:$V, 'Fund Investment Data'!$C:$C = $C2386, 'Fund Investment Data'!$A:$A = $A2386, 'Fund Investment Data'!$B:$B &lt;= 3)) * Parameters!$B$4, 0),0)))"),0.0)</f>
        <v>0</v>
      </c>
      <c r="AB2386" s="32">
        <f>IFERROR(__xludf.DUMMYFUNCTION("IFERROR(((IFERROR(SUM(FILTER('Fund Investment Data'!$V:$V, 'Fund Investment Data'!$C:$C = $C2386, 'Fund Investment Data'!$A:$A = $A2386 - 2, 'Fund Investment Data'!$B:$B &gt;= 4)) * Parameters!$B$4,0) + IFERROR(SUM(FILTER('Fund Investment Data'!$V:$V, 'Fund "&amp;"Investment Data'!$C:$C = $C2386, 'Fund Investment Data'!$A:$A = $A2386 - 1, 'Fund Investment Data'!$B:$B &lt;= 3)) * Parameters!$B$4,0))),0)"),0.0)</f>
        <v>0</v>
      </c>
      <c r="AC2386" s="32">
        <f>IFERROR(__xludf.DUMMYFUNCTION("IFERROR(FILTER($AF:$AF,$C:$C = $C2386,$A:$A = $A2386 - 1,$B:$B = 12),0)"),0.0)</f>
        <v>0</v>
      </c>
      <c r="AD2386" s="32">
        <f t="shared" si="23"/>
        <v>0</v>
      </c>
      <c r="AE2386" s="32">
        <f t="shared" si="2"/>
        <v>0</v>
      </c>
      <c r="AF2386" s="32"/>
    </row>
    <row r="2387">
      <c r="A2387" s="86"/>
      <c r="B2387" s="87"/>
      <c r="C2387" s="88"/>
      <c r="D2387" s="104"/>
      <c r="E2387" s="104"/>
      <c r="F2387" s="104"/>
      <c r="G2387" s="104"/>
      <c r="H2387" s="104"/>
      <c r="I2387" s="104"/>
      <c r="J2387" s="104"/>
      <c r="K2387" s="32"/>
      <c r="L2387" s="32"/>
      <c r="M2387" s="32"/>
      <c r="N2387" s="32"/>
      <c r="O2387" s="106"/>
      <c r="P2387" s="91">
        <f>IFERROR(__xludf.DUMMYFUNCTION("IFERROR(sum(FILTER($D:$N,$C:$C = $C2387,$A:$A &lt; $A2387,$B:$B = 12)),0) + sum($D2387:$N2387)"),0.0)</f>
        <v>0</v>
      </c>
      <c r="Q2387" s="92">
        <f t="shared" si="1"/>
        <v>0</v>
      </c>
      <c r="R2387" s="91">
        <f t="array" ref="R2387">IFERROR(INDEX('Fund YTD Target Values'!$1:$1000, MATCH($C2387,'Fund YTD Target Values'!$A:$A,0), MATCH($A2387,'Fund YTD Target Values'!$1:$1,0)),0)</f>
        <v>0</v>
      </c>
      <c r="S2387" s="91">
        <f>IFERROR(__xludf.DUMMYFUNCTION("IFERROR(sum(FILTER('Fund Investment Data'!$V:$V, 'Fund Investment Data'!$C:$C = $C2387, 'Fund Investment Data'!$A:$A &lt; $A2387)),0) + IFERROR(sum(FILTER('Fund Investment Data'!$V:$V, 'Fund Investment Data'!$C:$C = $C2387, 'Fund Investment Data'!$A:$A = $A2"&amp;"387, 'Fund Investment Data'!$B:$B &lt;= $B2387)),0)"),0.0)</f>
        <v>0</v>
      </c>
      <c r="T2387" s="32"/>
      <c r="U2387" s="32"/>
      <c r="V2387" s="32">
        <f>IFERROR(__xludf.DUMMYFUNCTION("$D2387 - IFERROR(FILTER($D:$D,$C:$C = $C2387, $A:$A = $A2387, $B:$B = $B2387 - 1),0)"),0.0)</f>
        <v>0</v>
      </c>
      <c r="W2387" s="93">
        <f>IFERROR(__xludf.DUMMYFUNCTION("$E2387 - IFERROR(FILTER($E:$E,$C:$C = $C2387, $A:$A = $A2387, $B:$B = $B2387 - 1),0)"),0.0)</f>
        <v>0</v>
      </c>
      <c r="X2387" s="91">
        <f>IFERROR(__xludf.DUMMYFUNCTION("iFERROR((FILTER('Fund Investment Data'!$Z:$Z, 'Fund Investment Data'!$C:$C = $C2387, 'Fund Investment Data'!$A:$A = $A2387 - 1, 'Fund Investment Data'!$B:$B = 12) + FILTER('Fund Investment Data'!$AB:$AB, 'Fund Investment Data'!$C:$C = $C2387, 'Fund Invest"&amp;"ment Data'!$A:$A = $A2387 - 1, 'Fund Investment Data'!$B:$B = 12)) * (1 + AVERAGE(FILTER('Inflation Data'!$C:$C,'Inflation Data'!$A:$A = ($A2387 - 2)))) * Parameters!$A$4,0)"),0.0)</f>
        <v>0</v>
      </c>
      <c r="Y2387" s="91">
        <f>IFERROR(__xludf.DUMMYFUNCTION("IFERROR((IFERROR(FILTER('Fund Investment Data'!$P:$P,'Fund Investment Data'!$C:$C = $C2387,'Fund Investment Data'!$A:$A = ($A2387 - 2), 'Fund Investment Data'!$B:$B = 12),0) - SUM(FILTER('Fund Investment Data'!$V:$V, 'Fund Investment Data'!$C:$C = $C2387,"&amp;" 'Fund Investment Data'!$A:$A = ($A2387 - 2), 'Fund Investment Data'!$B:$B &gt; 3)))  * Parameters!$B$4 * (1 - Parameters!$A$4),0)"),0.0)</f>
        <v>0</v>
      </c>
      <c r="Z2387" s="91">
        <f t="shared" si="24"/>
        <v>0</v>
      </c>
      <c r="AA2387" s="91">
        <f>IFERROR(__xludf.DUMMYFUNCTION("((IFERROR((SUM(FILTER('Fund Investment Data'!$V:$V, 'Fund Investment Data'!$C:$C = $C2387, 'Fund Investment Data'!$A:$A = $A2387 - 1, 'Fund Investment Data'!$B:$B &gt;= 4, 'Fund Investment Data'!$B:$B &lt;= ($B2387 + 5))) / 12) * ($B2387 - 3) * Parameters!$B$4,"&amp;" 0) + IF($B2387 &gt;= 9, IFERROR(SUM(FILTER('Fund Investment Data'!$V:$V, 'Fund Investment Data'!$C:$C = $C2387, 'Fund Investment Data'!$A:$A = $A2387, 'Fund Investment Data'!$B:$B &lt;= 3)) * Parameters!$B$4, 0),0)))"),0.0)</f>
        <v>0</v>
      </c>
      <c r="AB2387" s="32">
        <f>IFERROR(__xludf.DUMMYFUNCTION("IFERROR(((IFERROR(SUM(FILTER('Fund Investment Data'!$V:$V, 'Fund Investment Data'!$C:$C = $C2387, 'Fund Investment Data'!$A:$A = $A2387 - 2, 'Fund Investment Data'!$B:$B &gt;= 4)) * Parameters!$B$4,0) + IFERROR(SUM(FILTER('Fund Investment Data'!$V:$V, 'Fund "&amp;"Investment Data'!$C:$C = $C2387, 'Fund Investment Data'!$A:$A = $A2387 - 1, 'Fund Investment Data'!$B:$B &lt;= 3)) * Parameters!$B$4,0))),0)"),0.0)</f>
        <v>0</v>
      </c>
      <c r="AC2387" s="32">
        <f>IFERROR(__xludf.DUMMYFUNCTION("IFERROR(FILTER($AF:$AF,$C:$C = $C2387,$A:$A = $A2387 - 1,$B:$B = 12),0)"),0.0)</f>
        <v>0</v>
      </c>
      <c r="AD2387" s="32">
        <f t="shared" si="23"/>
        <v>0</v>
      </c>
      <c r="AE2387" s="32">
        <f t="shared" si="2"/>
        <v>0</v>
      </c>
      <c r="AF2387" s="32"/>
    </row>
    <row r="2388">
      <c r="A2388" s="86"/>
      <c r="B2388" s="87"/>
      <c r="C2388" s="88"/>
      <c r="D2388" s="104"/>
      <c r="E2388" s="104"/>
      <c r="F2388" s="104"/>
      <c r="G2388" s="104"/>
      <c r="H2388" s="104"/>
      <c r="I2388" s="104"/>
      <c r="J2388" s="104"/>
      <c r="K2388" s="32"/>
      <c r="L2388" s="32"/>
      <c r="M2388" s="32"/>
      <c r="N2388" s="32"/>
      <c r="O2388" s="106"/>
      <c r="P2388" s="91">
        <f>IFERROR(__xludf.DUMMYFUNCTION("IFERROR(sum(FILTER($D:$N,$C:$C = $C2388,$A:$A &lt; $A2388,$B:$B = 12)),0) + sum($D2388:$N2388)"),0.0)</f>
        <v>0</v>
      </c>
      <c r="Q2388" s="92">
        <f t="shared" si="1"/>
        <v>0</v>
      </c>
      <c r="R2388" s="91">
        <f t="array" ref="R2388">IFERROR(INDEX('Fund YTD Target Values'!$1:$1000, MATCH($C2388,'Fund YTD Target Values'!$A:$A,0), MATCH($A2388,'Fund YTD Target Values'!$1:$1,0)),0)</f>
        <v>0</v>
      </c>
      <c r="S2388" s="91">
        <f>IFERROR(__xludf.DUMMYFUNCTION("IFERROR(sum(FILTER('Fund Investment Data'!$V:$V, 'Fund Investment Data'!$C:$C = $C2388, 'Fund Investment Data'!$A:$A &lt; $A2388)),0) + IFERROR(sum(FILTER('Fund Investment Data'!$V:$V, 'Fund Investment Data'!$C:$C = $C2388, 'Fund Investment Data'!$A:$A = $A2"&amp;"388, 'Fund Investment Data'!$B:$B &lt;= $B2388)),0)"),0.0)</f>
        <v>0</v>
      </c>
      <c r="T2388" s="32"/>
      <c r="U2388" s="32"/>
      <c r="V2388" s="32">
        <f>IFERROR(__xludf.DUMMYFUNCTION("$D2388 - IFERROR(FILTER($D:$D,$C:$C = $C2388, $A:$A = $A2388, $B:$B = $B2388 - 1),0)"),0.0)</f>
        <v>0</v>
      </c>
      <c r="W2388" s="93">
        <f>IFERROR(__xludf.DUMMYFUNCTION("$E2388 - IFERROR(FILTER($E:$E,$C:$C = $C2388, $A:$A = $A2388, $B:$B = $B2388 - 1),0)"),0.0)</f>
        <v>0</v>
      </c>
      <c r="X2388" s="91">
        <f>IFERROR(__xludf.DUMMYFUNCTION("iFERROR((FILTER('Fund Investment Data'!$Z:$Z, 'Fund Investment Data'!$C:$C = $C2388, 'Fund Investment Data'!$A:$A = $A2388 - 1, 'Fund Investment Data'!$B:$B = 12) + FILTER('Fund Investment Data'!$AB:$AB, 'Fund Investment Data'!$C:$C = $C2388, 'Fund Invest"&amp;"ment Data'!$A:$A = $A2388 - 1, 'Fund Investment Data'!$B:$B = 12)) * (1 + AVERAGE(FILTER('Inflation Data'!$C:$C,'Inflation Data'!$A:$A = ($A2388 - 2)))) * Parameters!$A$4,0)"),0.0)</f>
        <v>0</v>
      </c>
      <c r="Y2388" s="91">
        <f>IFERROR(__xludf.DUMMYFUNCTION("IFERROR((IFERROR(FILTER('Fund Investment Data'!$P:$P,'Fund Investment Data'!$C:$C = $C2388,'Fund Investment Data'!$A:$A = ($A2388 - 2), 'Fund Investment Data'!$B:$B = 12),0) - SUM(FILTER('Fund Investment Data'!$V:$V, 'Fund Investment Data'!$C:$C = $C2388,"&amp;" 'Fund Investment Data'!$A:$A = ($A2388 - 2), 'Fund Investment Data'!$B:$B &gt; 3)))  * Parameters!$B$4 * (1 - Parameters!$A$4),0)"),0.0)</f>
        <v>0</v>
      </c>
      <c r="Z2388" s="91">
        <f t="shared" si="24"/>
        <v>0</v>
      </c>
      <c r="AA2388" s="91">
        <f>IFERROR(__xludf.DUMMYFUNCTION("((IFERROR((SUM(FILTER('Fund Investment Data'!$V:$V, 'Fund Investment Data'!$C:$C = $C2388, 'Fund Investment Data'!$A:$A = $A2388 - 1, 'Fund Investment Data'!$B:$B &gt;= 4, 'Fund Investment Data'!$B:$B &lt;= ($B2388 + 5))) / 12) * ($B2388 - 3) * Parameters!$B$4,"&amp;" 0) + IF($B2388 &gt;= 9, IFERROR(SUM(FILTER('Fund Investment Data'!$V:$V, 'Fund Investment Data'!$C:$C = $C2388, 'Fund Investment Data'!$A:$A = $A2388, 'Fund Investment Data'!$B:$B &lt;= 3)) * Parameters!$B$4, 0),0)))"),0.0)</f>
        <v>0</v>
      </c>
      <c r="AB2388" s="32">
        <f>IFERROR(__xludf.DUMMYFUNCTION("IFERROR(((IFERROR(SUM(FILTER('Fund Investment Data'!$V:$V, 'Fund Investment Data'!$C:$C = $C2388, 'Fund Investment Data'!$A:$A = $A2388 - 2, 'Fund Investment Data'!$B:$B &gt;= 4)) * Parameters!$B$4,0) + IFERROR(SUM(FILTER('Fund Investment Data'!$V:$V, 'Fund "&amp;"Investment Data'!$C:$C = $C2388, 'Fund Investment Data'!$A:$A = $A2388 - 1, 'Fund Investment Data'!$B:$B &lt;= 3)) * Parameters!$B$4,0))),0)"),0.0)</f>
        <v>0</v>
      </c>
      <c r="AC2388" s="32">
        <f>IFERROR(__xludf.DUMMYFUNCTION("IFERROR(FILTER($AF:$AF,$C:$C = $C2388,$A:$A = $A2388 - 1,$B:$B = 12),0)"),0.0)</f>
        <v>0</v>
      </c>
      <c r="AD2388" s="32">
        <f t="shared" si="23"/>
        <v>0</v>
      </c>
      <c r="AE2388" s="32">
        <f t="shared" si="2"/>
        <v>0</v>
      </c>
      <c r="AF2388" s="32"/>
    </row>
    <row r="2389">
      <c r="A2389" s="86"/>
      <c r="B2389" s="87"/>
      <c r="C2389" s="88"/>
      <c r="D2389" s="104"/>
      <c r="E2389" s="104"/>
      <c r="F2389" s="104"/>
      <c r="G2389" s="104"/>
      <c r="H2389" s="104"/>
      <c r="I2389" s="104"/>
      <c r="J2389" s="104"/>
      <c r="K2389" s="32"/>
      <c r="L2389" s="32"/>
      <c r="M2389" s="32"/>
      <c r="N2389" s="32"/>
      <c r="O2389" s="106"/>
      <c r="P2389" s="91">
        <f>IFERROR(__xludf.DUMMYFUNCTION("IFERROR(sum(FILTER($D:$N,$C:$C = $C2389,$A:$A &lt; $A2389,$B:$B = 12)),0) + sum($D2389:$N2389)"),0.0)</f>
        <v>0</v>
      </c>
      <c r="Q2389" s="92">
        <f t="shared" si="1"/>
        <v>0</v>
      </c>
      <c r="R2389" s="91">
        <f t="array" ref="R2389">IFERROR(INDEX('Fund YTD Target Values'!$1:$1000, MATCH($C2389,'Fund YTD Target Values'!$A:$A,0), MATCH($A2389,'Fund YTD Target Values'!$1:$1,0)),0)</f>
        <v>0</v>
      </c>
      <c r="S2389" s="91">
        <f>IFERROR(__xludf.DUMMYFUNCTION("IFERROR(sum(FILTER('Fund Investment Data'!$V:$V, 'Fund Investment Data'!$C:$C = $C2389, 'Fund Investment Data'!$A:$A &lt; $A2389)),0) + IFERROR(sum(FILTER('Fund Investment Data'!$V:$V, 'Fund Investment Data'!$C:$C = $C2389, 'Fund Investment Data'!$A:$A = $A2"&amp;"389, 'Fund Investment Data'!$B:$B &lt;= $B2389)),0)"),0.0)</f>
        <v>0</v>
      </c>
      <c r="T2389" s="32"/>
      <c r="U2389" s="32"/>
      <c r="V2389" s="32">
        <f>IFERROR(__xludf.DUMMYFUNCTION("$D2389 - IFERROR(FILTER($D:$D,$C:$C = $C2389, $A:$A = $A2389, $B:$B = $B2389 - 1),0)"),0.0)</f>
        <v>0</v>
      </c>
      <c r="W2389" s="93">
        <f>IFERROR(__xludf.DUMMYFUNCTION("$E2389 - IFERROR(FILTER($E:$E,$C:$C = $C2389, $A:$A = $A2389, $B:$B = $B2389 - 1),0)"),0.0)</f>
        <v>0</v>
      </c>
      <c r="X2389" s="91">
        <f>IFERROR(__xludf.DUMMYFUNCTION("iFERROR((FILTER('Fund Investment Data'!$Z:$Z, 'Fund Investment Data'!$C:$C = $C2389, 'Fund Investment Data'!$A:$A = $A2389 - 1, 'Fund Investment Data'!$B:$B = 12) + FILTER('Fund Investment Data'!$AB:$AB, 'Fund Investment Data'!$C:$C = $C2389, 'Fund Invest"&amp;"ment Data'!$A:$A = $A2389 - 1, 'Fund Investment Data'!$B:$B = 12)) * (1 + AVERAGE(FILTER('Inflation Data'!$C:$C,'Inflation Data'!$A:$A = ($A2389 - 2)))) * Parameters!$A$4,0)"),0.0)</f>
        <v>0</v>
      </c>
      <c r="Y2389" s="91">
        <f>IFERROR(__xludf.DUMMYFUNCTION("IFERROR((IFERROR(FILTER('Fund Investment Data'!$P:$P,'Fund Investment Data'!$C:$C = $C2389,'Fund Investment Data'!$A:$A = ($A2389 - 2), 'Fund Investment Data'!$B:$B = 12),0) - SUM(FILTER('Fund Investment Data'!$V:$V, 'Fund Investment Data'!$C:$C = $C2389,"&amp;" 'Fund Investment Data'!$A:$A = ($A2389 - 2), 'Fund Investment Data'!$B:$B &gt; 3)))  * Parameters!$B$4 * (1 - Parameters!$A$4),0)"),0.0)</f>
        <v>0</v>
      </c>
      <c r="Z2389" s="91">
        <f t="shared" si="24"/>
        <v>0</v>
      </c>
      <c r="AA2389" s="91">
        <f>IFERROR(__xludf.DUMMYFUNCTION("((IFERROR((SUM(FILTER('Fund Investment Data'!$V:$V, 'Fund Investment Data'!$C:$C = $C2389, 'Fund Investment Data'!$A:$A = $A2389 - 1, 'Fund Investment Data'!$B:$B &gt;= 4, 'Fund Investment Data'!$B:$B &lt;= ($B2389 + 5))) / 12) * ($B2389 - 3) * Parameters!$B$4,"&amp;" 0) + IF($B2389 &gt;= 9, IFERROR(SUM(FILTER('Fund Investment Data'!$V:$V, 'Fund Investment Data'!$C:$C = $C2389, 'Fund Investment Data'!$A:$A = $A2389, 'Fund Investment Data'!$B:$B &lt;= 3)) * Parameters!$B$4, 0),0)))"),0.0)</f>
        <v>0</v>
      </c>
      <c r="AB2389" s="32">
        <f>IFERROR(__xludf.DUMMYFUNCTION("IFERROR(((IFERROR(SUM(FILTER('Fund Investment Data'!$V:$V, 'Fund Investment Data'!$C:$C = $C2389, 'Fund Investment Data'!$A:$A = $A2389 - 2, 'Fund Investment Data'!$B:$B &gt;= 4)) * Parameters!$B$4,0) + IFERROR(SUM(FILTER('Fund Investment Data'!$V:$V, 'Fund "&amp;"Investment Data'!$C:$C = $C2389, 'Fund Investment Data'!$A:$A = $A2389 - 1, 'Fund Investment Data'!$B:$B &lt;= 3)) * Parameters!$B$4,0))),0)"),0.0)</f>
        <v>0</v>
      </c>
      <c r="AC2389" s="32">
        <f>IFERROR(__xludf.DUMMYFUNCTION("IFERROR(FILTER($AF:$AF,$C:$C = $C2389,$A:$A = $A2389 - 1,$B:$B = 12),0)"),0.0)</f>
        <v>0</v>
      </c>
      <c r="AD2389" s="32">
        <f t="shared" si="23"/>
        <v>0</v>
      </c>
      <c r="AE2389" s="32">
        <f t="shared" si="2"/>
        <v>0</v>
      </c>
      <c r="AF2389" s="32"/>
    </row>
    <row r="2390">
      <c r="A2390" s="86"/>
      <c r="B2390" s="87"/>
      <c r="C2390" s="88"/>
      <c r="D2390" s="104"/>
      <c r="E2390" s="104"/>
      <c r="F2390" s="104"/>
      <c r="G2390" s="104"/>
      <c r="H2390" s="104"/>
      <c r="I2390" s="104"/>
      <c r="J2390" s="104"/>
      <c r="K2390" s="32"/>
      <c r="L2390" s="32"/>
      <c r="M2390" s="32"/>
      <c r="N2390" s="32"/>
      <c r="O2390" s="106"/>
      <c r="P2390" s="91">
        <f>IFERROR(__xludf.DUMMYFUNCTION("IFERROR(sum(FILTER($D:$N,$C:$C = $C2390,$A:$A &lt; $A2390,$B:$B = 12)),0) + sum($D2390:$N2390)"),0.0)</f>
        <v>0</v>
      </c>
      <c r="Q2390" s="92">
        <f t="shared" si="1"/>
        <v>0</v>
      </c>
      <c r="R2390" s="91">
        <f t="array" ref="R2390">IFERROR(INDEX('Fund YTD Target Values'!$1:$1000, MATCH($C2390,'Fund YTD Target Values'!$A:$A,0), MATCH($A2390,'Fund YTD Target Values'!$1:$1,0)),0)</f>
        <v>0</v>
      </c>
      <c r="S2390" s="91">
        <f>IFERROR(__xludf.DUMMYFUNCTION("IFERROR(sum(FILTER('Fund Investment Data'!$V:$V, 'Fund Investment Data'!$C:$C = $C2390, 'Fund Investment Data'!$A:$A &lt; $A2390)),0) + IFERROR(sum(FILTER('Fund Investment Data'!$V:$V, 'Fund Investment Data'!$C:$C = $C2390, 'Fund Investment Data'!$A:$A = $A2"&amp;"390, 'Fund Investment Data'!$B:$B &lt;= $B2390)),0)"),0.0)</f>
        <v>0</v>
      </c>
      <c r="T2390" s="32"/>
      <c r="U2390" s="32"/>
      <c r="V2390" s="32">
        <f>IFERROR(__xludf.DUMMYFUNCTION("$D2390 - IFERROR(FILTER($D:$D,$C:$C = $C2390, $A:$A = $A2390, $B:$B = $B2390 - 1),0)"),0.0)</f>
        <v>0</v>
      </c>
      <c r="W2390" s="93">
        <f>IFERROR(__xludf.DUMMYFUNCTION("$E2390 - IFERROR(FILTER($E:$E,$C:$C = $C2390, $A:$A = $A2390, $B:$B = $B2390 - 1),0)"),0.0)</f>
        <v>0</v>
      </c>
      <c r="X2390" s="91">
        <f>IFERROR(__xludf.DUMMYFUNCTION("iFERROR((FILTER('Fund Investment Data'!$Z:$Z, 'Fund Investment Data'!$C:$C = $C2390, 'Fund Investment Data'!$A:$A = $A2390 - 1, 'Fund Investment Data'!$B:$B = 12) + FILTER('Fund Investment Data'!$AB:$AB, 'Fund Investment Data'!$C:$C = $C2390, 'Fund Invest"&amp;"ment Data'!$A:$A = $A2390 - 1, 'Fund Investment Data'!$B:$B = 12)) * (1 + AVERAGE(FILTER('Inflation Data'!$C:$C,'Inflation Data'!$A:$A = ($A2390 - 2)))) * Parameters!$A$4,0)"),0.0)</f>
        <v>0</v>
      </c>
      <c r="Y2390" s="91">
        <f>IFERROR(__xludf.DUMMYFUNCTION("IFERROR((IFERROR(FILTER('Fund Investment Data'!$P:$P,'Fund Investment Data'!$C:$C = $C2390,'Fund Investment Data'!$A:$A = ($A2390 - 2), 'Fund Investment Data'!$B:$B = 12),0) - SUM(FILTER('Fund Investment Data'!$V:$V, 'Fund Investment Data'!$C:$C = $C2390,"&amp;" 'Fund Investment Data'!$A:$A = ($A2390 - 2), 'Fund Investment Data'!$B:$B &gt; 3)))  * Parameters!$B$4 * (1 - Parameters!$A$4),0)"),0.0)</f>
        <v>0</v>
      </c>
      <c r="Z2390" s="91">
        <f t="shared" si="24"/>
        <v>0</v>
      </c>
      <c r="AA2390" s="91">
        <f>IFERROR(__xludf.DUMMYFUNCTION("((IFERROR((SUM(FILTER('Fund Investment Data'!$V:$V, 'Fund Investment Data'!$C:$C = $C2390, 'Fund Investment Data'!$A:$A = $A2390 - 1, 'Fund Investment Data'!$B:$B &gt;= 4, 'Fund Investment Data'!$B:$B &lt;= ($B2390 + 5))) / 12) * ($B2390 - 3) * Parameters!$B$4,"&amp;" 0) + IF($B2390 &gt;= 9, IFERROR(SUM(FILTER('Fund Investment Data'!$V:$V, 'Fund Investment Data'!$C:$C = $C2390, 'Fund Investment Data'!$A:$A = $A2390, 'Fund Investment Data'!$B:$B &lt;= 3)) * Parameters!$B$4, 0),0)))"),0.0)</f>
        <v>0</v>
      </c>
      <c r="AB2390" s="32">
        <f>IFERROR(__xludf.DUMMYFUNCTION("IFERROR(((IFERROR(SUM(FILTER('Fund Investment Data'!$V:$V, 'Fund Investment Data'!$C:$C = $C2390, 'Fund Investment Data'!$A:$A = $A2390 - 2, 'Fund Investment Data'!$B:$B &gt;= 4)) * Parameters!$B$4,0) + IFERROR(SUM(FILTER('Fund Investment Data'!$V:$V, 'Fund "&amp;"Investment Data'!$C:$C = $C2390, 'Fund Investment Data'!$A:$A = $A2390 - 1, 'Fund Investment Data'!$B:$B &lt;= 3)) * Parameters!$B$4,0))),0)"),0.0)</f>
        <v>0</v>
      </c>
      <c r="AC2390" s="32">
        <f>IFERROR(__xludf.DUMMYFUNCTION("IFERROR(FILTER($AF:$AF,$C:$C = $C2390,$A:$A = $A2390 - 1,$B:$B = 12),0)"),0.0)</f>
        <v>0</v>
      </c>
      <c r="AD2390" s="32">
        <f t="shared" si="23"/>
        <v>0</v>
      </c>
      <c r="AE2390" s="32">
        <f t="shared" si="2"/>
        <v>0</v>
      </c>
      <c r="AF2390" s="32"/>
    </row>
    <row r="2391">
      <c r="A2391" s="86"/>
      <c r="B2391" s="87"/>
      <c r="C2391" s="88"/>
      <c r="D2391" s="104"/>
      <c r="E2391" s="104"/>
      <c r="F2391" s="104"/>
      <c r="G2391" s="104"/>
      <c r="H2391" s="104"/>
      <c r="I2391" s="104"/>
      <c r="J2391" s="104"/>
      <c r="K2391" s="32"/>
      <c r="L2391" s="32"/>
      <c r="M2391" s="32"/>
      <c r="N2391" s="32"/>
      <c r="O2391" s="106"/>
      <c r="P2391" s="91">
        <f>IFERROR(__xludf.DUMMYFUNCTION("IFERROR(sum(FILTER($D:$N,$C:$C = $C2391,$A:$A &lt; $A2391,$B:$B = 12)),0) + sum($D2391:$N2391)"),0.0)</f>
        <v>0</v>
      </c>
      <c r="Q2391" s="92">
        <f t="shared" si="1"/>
        <v>0</v>
      </c>
      <c r="R2391" s="91">
        <f t="array" ref="R2391">IFERROR(INDEX('Fund YTD Target Values'!$1:$1000, MATCH($C2391,'Fund YTD Target Values'!$A:$A,0), MATCH($A2391,'Fund YTD Target Values'!$1:$1,0)),0)</f>
        <v>0</v>
      </c>
      <c r="S2391" s="91">
        <f>IFERROR(__xludf.DUMMYFUNCTION("IFERROR(sum(FILTER('Fund Investment Data'!$V:$V, 'Fund Investment Data'!$C:$C = $C2391, 'Fund Investment Data'!$A:$A &lt; $A2391)),0) + IFERROR(sum(FILTER('Fund Investment Data'!$V:$V, 'Fund Investment Data'!$C:$C = $C2391, 'Fund Investment Data'!$A:$A = $A2"&amp;"391, 'Fund Investment Data'!$B:$B &lt;= $B2391)),0)"),0.0)</f>
        <v>0</v>
      </c>
      <c r="T2391" s="32"/>
      <c r="U2391" s="32"/>
      <c r="V2391" s="32">
        <f>IFERROR(__xludf.DUMMYFUNCTION("$D2391 - IFERROR(FILTER($D:$D,$C:$C = $C2391, $A:$A = $A2391, $B:$B = $B2391 - 1),0)"),0.0)</f>
        <v>0</v>
      </c>
      <c r="W2391" s="93">
        <f>IFERROR(__xludf.DUMMYFUNCTION("$E2391 - IFERROR(FILTER($E:$E,$C:$C = $C2391, $A:$A = $A2391, $B:$B = $B2391 - 1),0)"),0.0)</f>
        <v>0</v>
      </c>
      <c r="X2391" s="91">
        <f>IFERROR(__xludf.DUMMYFUNCTION("iFERROR((FILTER('Fund Investment Data'!$Z:$Z, 'Fund Investment Data'!$C:$C = $C2391, 'Fund Investment Data'!$A:$A = $A2391 - 1, 'Fund Investment Data'!$B:$B = 12) + FILTER('Fund Investment Data'!$AB:$AB, 'Fund Investment Data'!$C:$C = $C2391, 'Fund Invest"&amp;"ment Data'!$A:$A = $A2391 - 1, 'Fund Investment Data'!$B:$B = 12)) * (1 + AVERAGE(FILTER('Inflation Data'!$C:$C,'Inflation Data'!$A:$A = ($A2391 - 2)))) * Parameters!$A$4,0)"),0.0)</f>
        <v>0</v>
      </c>
      <c r="Y2391" s="91">
        <f>IFERROR(__xludf.DUMMYFUNCTION("IFERROR((IFERROR(FILTER('Fund Investment Data'!$P:$P,'Fund Investment Data'!$C:$C = $C2391,'Fund Investment Data'!$A:$A = ($A2391 - 2), 'Fund Investment Data'!$B:$B = 12),0) - SUM(FILTER('Fund Investment Data'!$V:$V, 'Fund Investment Data'!$C:$C = $C2391,"&amp;" 'Fund Investment Data'!$A:$A = ($A2391 - 2), 'Fund Investment Data'!$B:$B &gt; 3)))  * Parameters!$B$4 * (1 - Parameters!$A$4),0)"),0.0)</f>
        <v>0</v>
      </c>
      <c r="Z2391" s="91">
        <f t="shared" si="24"/>
        <v>0</v>
      </c>
      <c r="AA2391" s="91">
        <f>IFERROR(__xludf.DUMMYFUNCTION("((IFERROR((SUM(FILTER('Fund Investment Data'!$V:$V, 'Fund Investment Data'!$C:$C = $C2391, 'Fund Investment Data'!$A:$A = $A2391 - 1, 'Fund Investment Data'!$B:$B &gt;= 4, 'Fund Investment Data'!$B:$B &lt;= ($B2391 + 5))) / 12) * ($B2391 - 3) * Parameters!$B$4,"&amp;" 0) + IF($B2391 &gt;= 9, IFERROR(SUM(FILTER('Fund Investment Data'!$V:$V, 'Fund Investment Data'!$C:$C = $C2391, 'Fund Investment Data'!$A:$A = $A2391, 'Fund Investment Data'!$B:$B &lt;= 3)) * Parameters!$B$4, 0),0)))"),0.0)</f>
        <v>0</v>
      </c>
      <c r="AB2391" s="32">
        <f>IFERROR(__xludf.DUMMYFUNCTION("IFERROR(((IFERROR(SUM(FILTER('Fund Investment Data'!$V:$V, 'Fund Investment Data'!$C:$C = $C2391, 'Fund Investment Data'!$A:$A = $A2391 - 2, 'Fund Investment Data'!$B:$B &gt;= 4)) * Parameters!$B$4,0) + IFERROR(SUM(FILTER('Fund Investment Data'!$V:$V, 'Fund "&amp;"Investment Data'!$C:$C = $C2391, 'Fund Investment Data'!$A:$A = $A2391 - 1, 'Fund Investment Data'!$B:$B &lt;= 3)) * Parameters!$B$4,0))),0)"),0.0)</f>
        <v>0</v>
      </c>
      <c r="AC2391" s="32">
        <f>IFERROR(__xludf.DUMMYFUNCTION("IFERROR(FILTER($AF:$AF,$C:$C = $C2391,$A:$A = $A2391 - 1,$B:$B = 12),0)"),0.0)</f>
        <v>0</v>
      </c>
      <c r="AD2391" s="32">
        <f t="shared" si="23"/>
        <v>0</v>
      </c>
      <c r="AE2391" s="32">
        <f t="shared" si="2"/>
        <v>0</v>
      </c>
      <c r="AF2391" s="32"/>
    </row>
    <row r="2392">
      <c r="A2392" s="86"/>
      <c r="B2392" s="87"/>
      <c r="C2392" s="88"/>
      <c r="D2392" s="104"/>
      <c r="E2392" s="104"/>
      <c r="F2392" s="104"/>
      <c r="G2392" s="104"/>
      <c r="H2392" s="104"/>
      <c r="I2392" s="104"/>
      <c r="J2392" s="104"/>
      <c r="K2392" s="32"/>
      <c r="L2392" s="32"/>
      <c r="M2392" s="32"/>
      <c r="N2392" s="32"/>
      <c r="O2392" s="106"/>
      <c r="P2392" s="91">
        <f>IFERROR(__xludf.DUMMYFUNCTION("IFERROR(sum(FILTER($D:$N,$C:$C = $C2392,$A:$A &lt; $A2392,$B:$B = 12)),0) + sum($D2392:$N2392)"),0.0)</f>
        <v>0</v>
      </c>
      <c r="Q2392" s="92">
        <f t="shared" si="1"/>
        <v>0</v>
      </c>
      <c r="R2392" s="91">
        <f t="array" ref="R2392">IFERROR(INDEX('Fund YTD Target Values'!$1:$1000, MATCH($C2392,'Fund YTD Target Values'!$A:$A,0), MATCH($A2392,'Fund YTD Target Values'!$1:$1,0)),0)</f>
        <v>0</v>
      </c>
      <c r="S2392" s="91">
        <f>IFERROR(__xludf.DUMMYFUNCTION("IFERROR(sum(FILTER('Fund Investment Data'!$V:$V, 'Fund Investment Data'!$C:$C = $C2392, 'Fund Investment Data'!$A:$A &lt; $A2392)),0) + IFERROR(sum(FILTER('Fund Investment Data'!$V:$V, 'Fund Investment Data'!$C:$C = $C2392, 'Fund Investment Data'!$A:$A = $A2"&amp;"392, 'Fund Investment Data'!$B:$B &lt;= $B2392)),0)"),0.0)</f>
        <v>0</v>
      </c>
      <c r="T2392" s="32"/>
      <c r="U2392" s="32"/>
      <c r="V2392" s="32">
        <f>IFERROR(__xludf.DUMMYFUNCTION("$D2392 - IFERROR(FILTER($D:$D,$C:$C = $C2392, $A:$A = $A2392, $B:$B = $B2392 - 1),0)"),0.0)</f>
        <v>0</v>
      </c>
      <c r="W2392" s="93">
        <f>IFERROR(__xludf.DUMMYFUNCTION("$E2392 - IFERROR(FILTER($E:$E,$C:$C = $C2392, $A:$A = $A2392, $B:$B = $B2392 - 1),0)"),0.0)</f>
        <v>0</v>
      </c>
      <c r="X2392" s="91">
        <f>IFERROR(__xludf.DUMMYFUNCTION("iFERROR((FILTER('Fund Investment Data'!$Z:$Z, 'Fund Investment Data'!$C:$C = $C2392, 'Fund Investment Data'!$A:$A = $A2392 - 1, 'Fund Investment Data'!$B:$B = 12) + FILTER('Fund Investment Data'!$AB:$AB, 'Fund Investment Data'!$C:$C = $C2392, 'Fund Invest"&amp;"ment Data'!$A:$A = $A2392 - 1, 'Fund Investment Data'!$B:$B = 12)) * (1 + AVERAGE(FILTER('Inflation Data'!$C:$C,'Inflation Data'!$A:$A = ($A2392 - 2)))) * Parameters!$A$4,0)"),0.0)</f>
        <v>0</v>
      </c>
      <c r="Y2392" s="91">
        <f>IFERROR(__xludf.DUMMYFUNCTION("IFERROR((IFERROR(FILTER('Fund Investment Data'!$P:$P,'Fund Investment Data'!$C:$C = $C2392,'Fund Investment Data'!$A:$A = ($A2392 - 2), 'Fund Investment Data'!$B:$B = 12),0) - SUM(FILTER('Fund Investment Data'!$V:$V, 'Fund Investment Data'!$C:$C = $C2392,"&amp;" 'Fund Investment Data'!$A:$A = ($A2392 - 2), 'Fund Investment Data'!$B:$B &gt; 3)))  * Parameters!$B$4 * (1 - Parameters!$A$4),0)"),0.0)</f>
        <v>0</v>
      </c>
      <c r="Z2392" s="91">
        <f t="shared" si="24"/>
        <v>0</v>
      </c>
      <c r="AA2392" s="91">
        <f>IFERROR(__xludf.DUMMYFUNCTION("((IFERROR((SUM(FILTER('Fund Investment Data'!$V:$V, 'Fund Investment Data'!$C:$C = $C2392, 'Fund Investment Data'!$A:$A = $A2392 - 1, 'Fund Investment Data'!$B:$B &gt;= 4, 'Fund Investment Data'!$B:$B &lt;= ($B2392 + 5))) / 12) * ($B2392 - 3) * Parameters!$B$4,"&amp;" 0) + IF($B2392 &gt;= 9, IFERROR(SUM(FILTER('Fund Investment Data'!$V:$V, 'Fund Investment Data'!$C:$C = $C2392, 'Fund Investment Data'!$A:$A = $A2392, 'Fund Investment Data'!$B:$B &lt;= 3)) * Parameters!$B$4, 0),0)))"),0.0)</f>
        <v>0</v>
      </c>
      <c r="AB2392" s="32">
        <f>IFERROR(__xludf.DUMMYFUNCTION("IFERROR(((IFERROR(SUM(FILTER('Fund Investment Data'!$V:$V, 'Fund Investment Data'!$C:$C = $C2392, 'Fund Investment Data'!$A:$A = $A2392 - 2, 'Fund Investment Data'!$B:$B &gt;= 4)) * Parameters!$B$4,0) + IFERROR(SUM(FILTER('Fund Investment Data'!$V:$V, 'Fund "&amp;"Investment Data'!$C:$C = $C2392, 'Fund Investment Data'!$A:$A = $A2392 - 1, 'Fund Investment Data'!$B:$B &lt;= 3)) * Parameters!$B$4,0))),0)"),0.0)</f>
        <v>0</v>
      </c>
      <c r="AC2392" s="32">
        <f>IFERROR(__xludf.DUMMYFUNCTION("IFERROR(FILTER($AF:$AF,$C:$C = $C2392,$A:$A = $A2392 - 1,$B:$B = 12),0)"),0.0)</f>
        <v>0</v>
      </c>
      <c r="AD2392" s="32">
        <f t="shared" si="23"/>
        <v>0</v>
      </c>
      <c r="AE2392" s="32">
        <f t="shared" si="2"/>
        <v>0</v>
      </c>
      <c r="AF2392" s="32"/>
    </row>
    <row r="2393">
      <c r="A2393" s="86"/>
      <c r="B2393" s="87"/>
      <c r="C2393" s="88"/>
      <c r="D2393" s="104"/>
      <c r="E2393" s="104"/>
      <c r="F2393" s="104"/>
      <c r="G2393" s="104"/>
      <c r="H2393" s="104"/>
      <c r="I2393" s="104"/>
      <c r="J2393" s="104"/>
      <c r="K2393" s="32"/>
      <c r="L2393" s="32"/>
      <c r="M2393" s="32"/>
      <c r="N2393" s="32"/>
      <c r="O2393" s="106"/>
      <c r="P2393" s="91">
        <f>IFERROR(__xludf.DUMMYFUNCTION("IFERROR(sum(FILTER($D:$N,$C:$C = $C2393,$A:$A &lt; $A2393,$B:$B = 12)),0) + sum($D2393:$N2393)"),0.0)</f>
        <v>0</v>
      </c>
      <c r="Q2393" s="92">
        <f t="shared" si="1"/>
        <v>0</v>
      </c>
      <c r="R2393" s="91">
        <f t="array" ref="R2393">IFERROR(INDEX('Fund YTD Target Values'!$1:$1000, MATCH($C2393,'Fund YTD Target Values'!$A:$A,0), MATCH($A2393,'Fund YTD Target Values'!$1:$1,0)),0)</f>
        <v>0</v>
      </c>
      <c r="S2393" s="91">
        <f>IFERROR(__xludf.DUMMYFUNCTION("IFERROR(sum(FILTER('Fund Investment Data'!$V:$V, 'Fund Investment Data'!$C:$C = $C2393, 'Fund Investment Data'!$A:$A &lt; $A2393)),0) + IFERROR(sum(FILTER('Fund Investment Data'!$V:$V, 'Fund Investment Data'!$C:$C = $C2393, 'Fund Investment Data'!$A:$A = $A2"&amp;"393, 'Fund Investment Data'!$B:$B &lt;= $B2393)),0)"),0.0)</f>
        <v>0</v>
      </c>
      <c r="T2393" s="32"/>
      <c r="U2393" s="32"/>
      <c r="V2393" s="32">
        <f>IFERROR(__xludf.DUMMYFUNCTION("$D2393 - IFERROR(FILTER($D:$D,$C:$C = $C2393, $A:$A = $A2393, $B:$B = $B2393 - 1),0)"),0.0)</f>
        <v>0</v>
      </c>
      <c r="W2393" s="93">
        <f>IFERROR(__xludf.DUMMYFUNCTION("$E2393 - IFERROR(FILTER($E:$E,$C:$C = $C2393, $A:$A = $A2393, $B:$B = $B2393 - 1),0)"),0.0)</f>
        <v>0</v>
      </c>
      <c r="X2393" s="91">
        <f>IFERROR(__xludf.DUMMYFUNCTION("iFERROR((FILTER('Fund Investment Data'!$Z:$Z, 'Fund Investment Data'!$C:$C = $C2393, 'Fund Investment Data'!$A:$A = $A2393 - 1, 'Fund Investment Data'!$B:$B = 12) + FILTER('Fund Investment Data'!$AB:$AB, 'Fund Investment Data'!$C:$C = $C2393, 'Fund Invest"&amp;"ment Data'!$A:$A = $A2393 - 1, 'Fund Investment Data'!$B:$B = 12)) * (1 + AVERAGE(FILTER('Inflation Data'!$C:$C,'Inflation Data'!$A:$A = ($A2393 - 2)))) * Parameters!$A$4,0)"),0.0)</f>
        <v>0</v>
      </c>
      <c r="Y2393" s="91">
        <f>IFERROR(__xludf.DUMMYFUNCTION("IFERROR((IFERROR(FILTER('Fund Investment Data'!$P:$P,'Fund Investment Data'!$C:$C = $C2393,'Fund Investment Data'!$A:$A = ($A2393 - 2), 'Fund Investment Data'!$B:$B = 12),0) - SUM(FILTER('Fund Investment Data'!$V:$V, 'Fund Investment Data'!$C:$C = $C2393,"&amp;" 'Fund Investment Data'!$A:$A = ($A2393 - 2), 'Fund Investment Data'!$B:$B &gt; 3)))  * Parameters!$B$4 * (1 - Parameters!$A$4),0)"),0.0)</f>
        <v>0</v>
      </c>
      <c r="Z2393" s="91">
        <f t="shared" si="24"/>
        <v>0</v>
      </c>
      <c r="AA2393" s="91">
        <f>IFERROR(__xludf.DUMMYFUNCTION("((IFERROR((SUM(FILTER('Fund Investment Data'!$V:$V, 'Fund Investment Data'!$C:$C = $C2393, 'Fund Investment Data'!$A:$A = $A2393 - 1, 'Fund Investment Data'!$B:$B &gt;= 4, 'Fund Investment Data'!$B:$B &lt;= ($B2393 + 5))) / 12) * ($B2393 - 3) * Parameters!$B$4,"&amp;" 0) + IF($B2393 &gt;= 9, IFERROR(SUM(FILTER('Fund Investment Data'!$V:$V, 'Fund Investment Data'!$C:$C = $C2393, 'Fund Investment Data'!$A:$A = $A2393, 'Fund Investment Data'!$B:$B &lt;= 3)) * Parameters!$B$4, 0),0)))"),0.0)</f>
        <v>0</v>
      </c>
      <c r="AB2393" s="32">
        <f>IFERROR(__xludf.DUMMYFUNCTION("IFERROR(((IFERROR(SUM(FILTER('Fund Investment Data'!$V:$V, 'Fund Investment Data'!$C:$C = $C2393, 'Fund Investment Data'!$A:$A = $A2393 - 2, 'Fund Investment Data'!$B:$B &gt;= 4)) * Parameters!$B$4,0) + IFERROR(SUM(FILTER('Fund Investment Data'!$V:$V, 'Fund "&amp;"Investment Data'!$C:$C = $C2393, 'Fund Investment Data'!$A:$A = $A2393 - 1, 'Fund Investment Data'!$B:$B &lt;= 3)) * Parameters!$B$4,0))),0)"),0.0)</f>
        <v>0</v>
      </c>
      <c r="AC2393" s="32">
        <f>IFERROR(__xludf.DUMMYFUNCTION("IFERROR(FILTER($AF:$AF,$C:$C = $C2393,$A:$A = $A2393 - 1,$B:$B = 12),0)"),0.0)</f>
        <v>0</v>
      </c>
      <c r="AD2393" s="32">
        <f t="shared" si="23"/>
        <v>0</v>
      </c>
      <c r="AE2393" s="32">
        <f t="shared" si="2"/>
        <v>0</v>
      </c>
      <c r="AF2393" s="32"/>
    </row>
    <row r="2394">
      <c r="A2394" s="86"/>
      <c r="B2394" s="87"/>
      <c r="C2394" s="88"/>
      <c r="D2394" s="104"/>
      <c r="E2394" s="104"/>
      <c r="F2394" s="104"/>
      <c r="G2394" s="104"/>
      <c r="H2394" s="104"/>
      <c r="I2394" s="104"/>
      <c r="J2394" s="104"/>
      <c r="K2394" s="32"/>
      <c r="L2394" s="32"/>
      <c r="M2394" s="32"/>
      <c r="N2394" s="32"/>
      <c r="O2394" s="106"/>
      <c r="P2394" s="91">
        <f>IFERROR(__xludf.DUMMYFUNCTION("IFERROR(sum(FILTER($D:$N,$C:$C = $C2394,$A:$A &lt; $A2394,$B:$B = 12)),0) + sum($D2394:$N2394)"),0.0)</f>
        <v>0</v>
      </c>
      <c r="Q2394" s="92">
        <f t="shared" si="1"/>
        <v>0</v>
      </c>
      <c r="R2394" s="91">
        <f t="array" ref="R2394">IFERROR(INDEX('Fund YTD Target Values'!$1:$1000, MATCH($C2394,'Fund YTD Target Values'!$A:$A,0), MATCH($A2394,'Fund YTD Target Values'!$1:$1,0)),0)</f>
        <v>0</v>
      </c>
      <c r="S2394" s="91">
        <f>IFERROR(__xludf.DUMMYFUNCTION("IFERROR(sum(FILTER('Fund Investment Data'!$V:$V, 'Fund Investment Data'!$C:$C = $C2394, 'Fund Investment Data'!$A:$A &lt; $A2394)),0) + IFERROR(sum(FILTER('Fund Investment Data'!$V:$V, 'Fund Investment Data'!$C:$C = $C2394, 'Fund Investment Data'!$A:$A = $A2"&amp;"394, 'Fund Investment Data'!$B:$B &lt;= $B2394)),0)"),0.0)</f>
        <v>0</v>
      </c>
      <c r="T2394" s="32"/>
      <c r="U2394" s="32"/>
      <c r="V2394" s="32">
        <f>IFERROR(__xludf.DUMMYFUNCTION("$D2394 - IFERROR(FILTER($D:$D,$C:$C = $C2394, $A:$A = $A2394, $B:$B = $B2394 - 1),0)"),0.0)</f>
        <v>0</v>
      </c>
      <c r="W2394" s="93">
        <f>IFERROR(__xludf.DUMMYFUNCTION("$E2394 - IFERROR(FILTER($E:$E,$C:$C = $C2394, $A:$A = $A2394, $B:$B = $B2394 - 1),0)"),0.0)</f>
        <v>0</v>
      </c>
      <c r="X2394" s="91">
        <f>IFERROR(__xludf.DUMMYFUNCTION("iFERROR((FILTER('Fund Investment Data'!$Z:$Z, 'Fund Investment Data'!$C:$C = $C2394, 'Fund Investment Data'!$A:$A = $A2394 - 1, 'Fund Investment Data'!$B:$B = 12) + FILTER('Fund Investment Data'!$AB:$AB, 'Fund Investment Data'!$C:$C = $C2394, 'Fund Invest"&amp;"ment Data'!$A:$A = $A2394 - 1, 'Fund Investment Data'!$B:$B = 12)) * (1 + AVERAGE(FILTER('Inflation Data'!$C:$C,'Inflation Data'!$A:$A = ($A2394 - 2)))) * Parameters!$A$4,0)"),0.0)</f>
        <v>0</v>
      </c>
      <c r="Y2394" s="91">
        <f>IFERROR(__xludf.DUMMYFUNCTION("IFERROR((IFERROR(FILTER('Fund Investment Data'!$P:$P,'Fund Investment Data'!$C:$C = $C2394,'Fund Investment Data'!$A:$A = ($A2394 - 2), 'Fund Investment Data'!$B:$B = 12),0) - SUM(FILTER('Fund Investment Data'!$V:$V, 'Fund Investment Data'!$C:$C = $C2394,"&amp;" 'Fund Investment Data'!$A:$A = ($A2394 - 2), 'Fund Investment Data'!$B:$B &gt; 3)))  * Parameters!$B$4 * (1 - Parameters!$A$4),0)"),0.0)</f>
        <v>0</v>
      </c>
      <c r="Z2394" s="91">
        <f t="shared" si="24"/>
        <v>0</v>
      </c>
      <c r="AA2394" s="91">
        <f>IFERROR(__xludf.DUMMYFUNCTION("((IFERROR((SUM(FILTER('Fund Investment Data'!$V:$V, 'Fund Investment Data'!$C:$C = $C2394, 'Fund Investment Data'!$A:$A = $A2394 - 1, 'Fund Investment Data'!$B:$B &gt;= 4, 'Fund Investment Data'!$B:$B &lt;= ($B2394 + 5))) / 12) * ($B2394 - 3) * Parameters!$B$4,"&amp;" 0) + IF($B2394 &gt;= 9, IFERROR(SUM(FILTER('Fund Investment Data'!$V:$V, 'Fund Investment Data'!$C:$C = $C2394, 'Fund Investment Data'!$A:$A = $A2394, 'Fund Investment Data'!$B:$B &lt;= 3)) * Parameters!$B$4, 0),0)))"),0.0)</f>
        <v>0</v>
      </c>
      <c r="AB2394" s="32">
        <f>IFERROR(__xludf.DUMMYFUNCTION("IFERROR(((IFERROR(SUM(FILTER('Fund Investment Data'!$V:$V, 'Fund Investment Data'!$C:$C = $C2394, 'Fund Investment Data'!$A:$A = $A2394 - 2, 'Fund Investment Data'!$B:$B &gt;= 4)) * Parameters!$B$4,0) + IFERROR(SUM(FILTER('Fund Investment Data'!$V:$V, 'Fund "&amp;"Investment Data'!$C:$C = $C2394, 'Fund Investment Data'!$A:$A = $A2394 - 1, 'Fund Investment Data'!$B:$B &lt;= 3)) * Parameters!$B$4,0))),0)"),0.0)</f>
        <v>0</v>
      </c>
      <c r="AC2394" s="32">
        <f>IFERROR(__xludf.DUMMYFUNCTION("IFERROR(FILTER($AF:$AF,$C:$C = $C2394,$A:$A = $A2394 - 1,$B:$B = 12),0)"),0.0)</f>
        <v>0</v>
      </c>
      <c r="AD2394" s="32">
        <f t="shared" si="23"/>
        <v>0</v>
      </c>
      <c r="AE2394" s="32">
        <f t="shared" si="2"/>
        <v>0</v>
      </c>
      <c r="AF2394" s="32"/>
    </row>
    <row r="2395">
      <c r="A2395" s="86"/>
      <c r="B2395" s="87"/>
      <c r="C2395" s="88"/>
      <c r="D2395" s="104"/>
      <c r="E2395" s="104"/>
      <c r="F2395" s="104"/>
      <c r="G2395" s="104"/>
      <c r="H2395" s="104"/>
      <c r="I2395" s="104"/>
      <c r="J2395" s="104"/>
      <c r="K2395" s="32"/>
      <c r="L2395" s="32"/>
      <c r="M2395" s="32"/>
      <c r="N2395" s="32"/>
      <c r="O2395" s="106"/>
      <c r="P2395" s="91">
        <f>IFERROR(__xludf.DUMMYFUNCTION("IFERROR(sum(FILTER($D:$N,$C:$C = $C2395,$A:$A &lt; $A2395,$B:$B = 12)),0) + sum($D2395:$N2395)"),0.0)</f>
        <v>0</v>
      </c>
      <c r="Q2395" s="92">
        <f t="shared" si="1"/>
        <v>0</v>
      </c>
      <c r="R2395" s="91">
        <f t="array" ref="R2395">IFERROR(INDEX('Fund YTD Target Values'!$1:$1000, MATCH($C2395,'Fund YTD Target Values'!$A:$A,0), MATCH($A2395,'Fund YTD Target Values'!$1:$1,0)),0)</f>
        <v>0</v>
      </c>
      <c r="S2395" s="91">
        <f>IFERROR(__xludf.DUMMYFUNCTION("IFERROR(sum(FILTER('Fund Investment Data'!$V:$V, 'Fund Investment Data'!$C:$C = $C2395, 'Fund Investment Data'!$A:$A &lt; $A2395)),0) + IFERROR(sum(FILTER('Fund Investment Data'!$V:$V, 'Fund Investment Data'!$C:$C = $C2395, 'Fund Investment Data'!$A:$A = $A2"&amp;"395, 'Fund Investment Data'!$B:$B &lt;= $B2395)),0)"),0.0)</f>
        <v>0</v>
      </c>
      <c r="T2395" s="32"/>
      <c r="U2395" s="32"/>
      <c r="V2395" s="32">
        <f>IFERROR(__xludf.DUMMYFUNCTION("$D2395 - IFERROR(FILTER($D:$D,$C:$C = $C2395, $A:$A = $A2395, $B:$B = $B2395 - 1),0)"),0.0)</f>
        <v>0</v>
      </c>
      <c r="W2395" s="93">
        <f>IFERROR(__xludf.DUMMYFUNCTION("$E2395 - IFERROR(FILTER($E:$E,$C:$C = $C2395, $A:$A = $A2395, $B:$B = $B2395 - 1),0)"),0.0)</f>
        <v>0</v>
      </c>
      <c r="X2395" s="91">
        <f>IFERROR(__xludf.DUMMYFUNCTION("iFERROR((FILTER('Fund Investment Data'!$Z:$Z, 'Fund Investment Data'!$C:$C = $C2395, 'Fund Investment Data'!$A:$A = $A2395 - 1, 'Fund Investment Data'!$B:$B = 12) + FILTER('Fund Investment Data'!$AB:$AB, 'Fund Investment Data'!$C:$C = $C2395, 'Fund Invest"&amp;"ment Data'!$A:$A = $A2395 - 1, 'Fund Investment Data'!$B:$B = 12)) * (1 + AVERAGE(FILTER('Inflation Data'!$C:$C,'Inflation Data'!$A:$A = ($A2395 - 2)))) * Parameters!$A$4,0)"),0.0)</f>
        <v>0</v>
      </c>
      <c r="Y2395" s="91">
        <f>IFERROR(__xludf.DUMMYFUNCTION("IFERROR((IFERROR(FILTER('Fund Investment Data'!$P:$P,'Fund Investment Data'!$C:$C = $C2395,'Fund Investment Data'!$A:$A = ($A2395 - 2), 'Fund Investment Data'!$B:$B = 12),0) - SUM(FILTER('Fund Investment Data'!$V:$V, 'Fund Investment Data'!$C:$C = $C2395,"&amp;" 'Fund Investment Data'!$A:$A = ($A2395 - 2), 'Fund Investment Data'!$B:$B &gt; 3)))  * Parameters!$B$4 * (1 - Parameters!$A$4),0)"),0.0)</f>
        <v>0</v>
      </c>
      <c r="Z2395" s="91">
        <f t="shared" si="24"/>
        <v>0</v>
      </c>
      <c r="AA2395" s="91">
        <f>IFERROR(__xludf.DUMMYFUNCTION("((IFERROR((SUM(FILTER('Fund Investment Data'!$V:$V, 'Fund Investment Data'!$C:$C = $C2395, 'Fund Investment Data'!$A:$A = $A2395 - 1, 'Fund Investment Data'!$B:$B &gt;= 4, 'Fund Investment Data'!$B:$B &lt;= ($B2395 + 5))) / 12) * ($B2395 - 3) * Parameters!$B$4,"&amp;" 0) + IF($B2395 &gt;= 9, IFERROR(SUM(FILTER('Fund Investment Data'!$V:$V, 'Fund Investment Data'!$C:$C = $C2395, 'Fund Investment Data'!$A:$A = $A2395, 'Fund Investment Data'!$B:$B &lt;= 3)) * Parameters!$B$4, 0),0)))"),0.0)</f>
        <v>0</v>
      </c>
      <c r="AB2395" s="32">
        <f>IFERROR(__xludf.DUMMYFUNCTION("IFERROR(((IFERROR(SUM(FILTER('Fund Investment Data'!$V:$V, 'Fund Investment Data'!$C:$C = $C2395, 'Fund Investment Data'!$A:$A = $A2395 - 2, 'Fund Investment Data'!$B:$B &gt;= 4)) * Parameters!$B$4,0) + IFERROR(SUM(FILTER('Fund Investment Data'!$V:$V, 'Fund "&amp;"Investment Data'!$C:$C = $C2395, 'Fund Investment Data'!$A:$A = $A2395 - 1, 'Fund Investment Data'!$B:$B &lt;= 3)) * Parameters!$B$4,0))),0)"),0.0)</f>
        <v>0</v>
      </c>
      <c r="AC2395" s="32">
        <f>IFERROR(__xludf.DUMMYFUNCTION("IFERROR(FILTER($AF:$AF,$C:$C = $C2395,$A:$A = $A2395 - 1,$B:$B = 12),0)"),0.0)</f>
        <v>0</v>
      </c>
      <c r="AD2395" s="32">
        <f t="shared" si="23"/>
        <v>0</v>
      </c>
      <c r="AE2395" s="32">
        <f t="shared" si="2"/>
        <v>0</v>
      </c>
      <c r="AF2395" s="32"/>
    </row>
    <row r="2396">
      <c r="A2396" s="86"/>
      <c r="B2396" s="87"/>
      <c r="C2396" s="88"/>
      <c r="D2396" s="104"/>
      <c r="E2396" s="104"/>
      <c r="F2396" s="104"/>
      <c r="G2396" s="104"/>
      <c r="H2396" s="104"/>
      <c r="I2396" s="104"/>
      <c r="J2396" s="104"/>
      <c r="K2396" s="32"/>
      <c r="L2396" s="32"/>
      <c r="M2396" s="32"/>
      <c r="N2396" s="32"/>
      <c r="O2396" s="106"/>
      <c r="P2396" s="91">
        <f>IFERROR(__xludf.DUMMYFUNCTION("IFERROR(sum(FILTER($D:$N,$C:$C = $C2396,$A:$A &lt; $A2396,$B:$B = 12)),0) + sum($D2396:$N2396)"),0.0)</f>
        <v>0</v>
      </c>
      <c r="Q2396" s="92">
        <f t="shared" si="1"/>
        <v>0</v>
      </c>
      <c r="R2396" s="91">
        <f t="array" ref="R2396">IFERROR(INDEX('Fund YTD Target Values'!$1:$1000, MATCH($C2396,'Fund YTD Target Values'!$A:$A,0), MATCH($A2396,'Fund YTD Target Values'!$1:$1,0)),0)</f>
        <v>0</v>
      </c>
      <c r="S2396" s="91">
        <f>IFERROR(__xludf.DUMMYFUNCTION("IFERROR(sum(FILTER('Fund Investment Data'!$V:$V, 'Fund Investment Data'!$C:$C = $C2396, 'Fund Investment Data'!$A:$A &lt; $A2396)),0) + IFERROR(sum(FILTER('Fund Investment Data'!$V:$V, 'Fund Investment Data'!$C:$C = $C2396, 'Fund Investment Data'!$A:$A = $A2"&amp;"396, 'Fund Investment Data'!$B:$B &lt;= $B2396)),0)"),0.0)</f>
        <v>0</v>
      </c>
      <c r="T2396" s="32"/>
      <c r="U2396" s="32"/>
      <c r="V2396" s="32">
        <f>IFERROR(__xludf.DUMMYFUNCTION("$D2396 - IFERROR(FILTER($D:$D,$C:$C = $C2396, $A:$A = $A2396, $B:$B = $B2396 - 1),0)"),0.0)</f>
        <v>0</v>
      </c>
      <c r="W2396" s="93">
        <f>IFERROR(__xludf.DUMMYFUNCTION("$E2396 - IFERROR(FILTER($E:$E,$C:$C = $C2396, $A:$A = $A2396, $B:$B = $B2396 - 1),0)"),0.0)</f>
        <v>0</v>
      </c>
      <c r="X2396" s="91">
        <f>IFERROR(__xludf.DUMMYFUNCTION("iFERROR((FILTER('Fund Investment Data'!$Z:$Z, 'Fund Investment Data'!$C:$C = $C2396, 'Fund Investment Data'!$A:$A = $A2396 - 1, 'Fund Investment Data'!$B:$B = 12) + FILTER('Fund Investment Data'!$AB:$AB, 'Fund Investment Data'!$C:$C = $C2396, 'Fund Invest"&amp;"ment Data'!$A:$A = $A2396 - 1, 'Fund Investment Data'!$B:$B = 12)) * (1 + AVERAGE(FILTER('Inflation Data'!$C:$C,'Inflation Data'!$A:$A = ($A2396 - 2)))) * Parameters!$A$4,0)"),0.0)</f>
        <v>0</v>
      </c>
      <c r="Y2396" s="91">
        <f>IFERROR(__xludf.DUMMYFUNCTION("IFERROR((IFERROR(FILTER('Fund Investment Data'!$P:$P,'Fund Investment Data'!$C:$C = $C2396,'Fund Investment Data'!$A:$A = ($A2396 - 2), 'Fund Investment Data'!$B:$B = 12),0) - SUM(FILTER('Fund Investment Data'!$V:$V, 'Fund Investment Data'!$C:$C = $C2396,"&amp;" 'Fund Investment Data'!$A:$A = ($A2396 - 2), 'Fund Investment Data'!$B:$B &gt; 3)))  * Parameters!$B$4 * (1 - Parameters!$A$4),0)"),0.0)</f>
        <v>0</v>
      </c>
      <c r="Z2396" s="91">
        <f t="shared" si="24"/>
        <v>0</v>
      </c>
      <c r="AA2396" s="91">
        <f>IFERROR(__xludf.DUMMYFUNCTION("((IFERROR((SUM(FILTER('Fund Investment Data'!$V:$V, 'Fund Investment Data'!$C:$C = $C2396, 'Fund Investment Data'!$A:$A = $A2396 - 1, 'Fund Investment Data'!$B:$B &gt;= 4, 'Fund Investment Data'!$B:$B &lt;= ($B2396 + 5))) / 12) * ($B2396 - 3) * Parameters!$B$4,"&amp;" 0) + IF($B2396 &gt;= 9, IFERROR(SUM(FILTER('Fund Investment Data'!$V:$V, 'Fund Investment Data'!$C:$C = $C2396, 'Fund Investment Data'!$A:$A = $A2396, 'Fund Investment Data'!$B:$B &lt;= 3)) * Parameters!$B$4, 0),0)))"),0.0)</f>
        <v>0</v>
      </c>
      <c r="AB2396" s="32">
        <f>IFERROR(__xludf.DUMMYFUNCTION("IFERROR(((IFERROR(SUM(FILTER('Fund Investment Data'!$V:$V, 'Fund Investment Data'!$C:$C = $C2396, 'Fund Investment Data'!$A:$A = $A2396 - 2, 'Fund Investment Data'!$B:$B &gt;= 4)) * Parameters!$B$4,0) + IFERROR(SUM(FILTER('Fund Investment Data'!$V:$V, 'Fund "&amp;"Investment Data'!$C:$C = $C2396, 'Fund Investment Data'!$A:$A = $A2396 - 1, 'Fund Investment Data'!$B:$B &lt;= 3)) * Parameters!$B$4,0))),0)"),0.0)</f>
        <v>0</v>
      </c>
      <c r="AC2396" s="32">
        <f>IFERROR(__xludf.DUMMYFUNCTION("IFERROR(FILTER($AF:$AF,$C:$C = $C2396,$A:$A = $A2396 - 1,$B:$B = 12),0)"),0.0)</f>
        <v>0</v>
      </c>
      <c r="AD2396" s="32">
        <f t="shared" si="23"/>
        <v>0</v>
      </c>
      <c r="AE2396" s="32">
        <f t="shared" si="2"/>
        <v>0</v>
      </c>
      <c r="AF2396" s="32"/>
    </row>
    <row r="2397">
      <c r="A2397" s="86"/>
      <c r="B2397" s="87"/>
      <c r="C2397" s="88"/>
      <c r="D2397" s="104"/>
      <c r="E2397" s="104"/>
      <c r="F2397" s="104"/>
      <c r="G2397" s="104"/>
      <c r="H2397" s="104"/>
      <c r="I2397" s="104"/>
      <c r="J2397" s="104"/>
      <c r="K2397" s="32"/>
      <c r="L2397" s="32"/>
      <c r="M2397" s="32"/>
      <c r="N2397" s="32"/>
      <c r="O2397" s="106"/>
      <c r="P2397" s="91">
        <f>IFERROR(__xludf.DUMMYFUNCTION("IFERROR(sum(FILTER($D:$N,$C:$C = $C2397,$A:$A &lt; $A2397,$B:$B = 12)),0) + sum($D2397:$N2397)"),0.0)</f>
        <v>0</v>
      </c>
      <c r="Q2397" s="92">
        <f t="shared" si="1"/>
        <v>0</v>
      </c>
      <c r="R2397" s="91">
        <f t="array" ref="R2397">IFERROR(INDEX('Fund YTD Target Values'!$1:$1000, MATCH($C2397,'Fund YTD Target Values'!$A:$A,0), MATCH($A2397,'Fund YTD Target Values'!$1:$1,0)),0)</f>
        <v>0</v>
      </c>
      <c r="S2397" s="91">
        <f>IFERROR(__xludf.DUMMYFUNCTION("IFERROR(sum(FILTER('Fund Investment Data'!$V:$V, 'Fund Investment Data'!$C:$C = $C2397, 'Fund Investment Data'!$A:$A &lt; $A2397)),0) + IFERROR(sum(FILTER('Fund Investment Data'!$V:$V, 'Fund Investment Data'!$C:$C = $C2397, 'Fund Investment Data'!$A:$A = $A2"&amp;"397, 'Fund Investment Data'!$B:$B &lt;= $B2397)),0)"),0.0)</f>
        <v>0</v>
      </c>
      <c r="T2397" s="32"/>
      <c r="U2397" s="32"/>
      <c r="V2397" s="32">
        <f>IFERROR(__xludf.DUMMYFUNCTION("$D2397 - IFERROR(FILTER($D:$D,$C:$C = $C2397, $A:$A = $A2397, $B:$B = $B2397 - 1),0)"),0.0)</f>
        <v>0</v>
      </c>
      <c r="W2397" s="93">
        <f>IFERROR(__xludf.DUMMYFUNCTION("$E2397 - IFERROR(FILTER($E:$E,$C:$C = $C2397, $A:$A = $A2397, $B:$B = $B2397 - 1),0)"),0.0)</f>
        <v>0</v>
      </c>
      <c r="X2397" s="91">
        <f>IFERROR(__xludf.DUMMYFUNCTION("iFERROR((FILTER('Fund Investment Data'!$Z:$Z, 'Fund Investment Data'!$C:$C = $C2397, 'Fund Investment Data'!$A:$A = $A2397 - 1, 'Fund Investment Data'!$B:$B = 12) + FILTER('Fund Investment Data'!$AB:$AB, 'Fund Investment Data'!$C:$C = $C2397, 'Fund Invest"&amp;"ment Data'!$A:$A = $A2397 - 1, 'Fund Investment Data'!$B:$B = 12)) * (1 + AVERAGE(FILTER('Inflation Data'!$C:$C,'Inflation Data'!$A:$A = ($A2397 - 2)))) * Parameters!$A$4,0)"),0.0)</f>
        <v>0</v>
      </c>
      <c r="Y2397" s="91">
        <f>IFERROR(__xludf.DUMMYFUNCTION("IFERROR((IFERROR(FILTER('Fund Investment Data'!$P:$P,'Fund Investment Data'!$C:$C = $C2397,'Fund Investment Data'!$A:$A = ($A2397 - 2), 'Fund Investment Data'!$B:$B = 12),0) - SUM(FILTER('Fund Investment Data'!$V:$V, 'Fund Investment Data'!$C:$C = $C2397,"&amp;" 'Fund Investment Data'!$A:$A = ($A2397 - 2), 'Fund Investment Data'!$B:$B &gt; 3)))  * Parameters!$B$4 * (1 - Parameters!$A$4),0)"),0.0)</f>
        <v>0</v>
      </c>
      <c r="Z2397" s="91">
        <f t="shared" si="24"/>
        <v>0</v>
      </c>
      <c r="AA2397" s="91">
        <f>IFERROR(__xludf.DUMMYFUNCTION("((IFERROR((SUM(FILTER('Fund Investment Data'!$V:$V, 'Fund Investment Data'!$C:$C = $C2397, 'Fund Investment Data'!$A:$A = $A2397 - 1, 'Fund Investment Data'!$B:$B &gt;= 4, 'Fund Investment Data'!$B:$B &lt;= ($B2397 + 5))) / 12) * ($B2397 - 3) * Parameters!$B$4,"&amp;" 0) + IF($B2397 &gt;= 9, IFERROR(SUM(FILTER('Fund Investment Data'!$V:$V, 'Fund Investment Data'!$C:$C = $C2397, 'Fund Investment Data'!$A:$A = $A2397, 'Fund Investment Data'!$B:$B &lt;= 3)) * Parameters!$B$4, 0),0)))"),0.0)</f>
        <v>0</v>
      </c>
      <c r="AB2397" s="32">
        <f>IFERROR(__xludf.DUMMYFUNCTION("IFERROR(((IFERROR(SUM(FILTER('Fund Investment Data'!$V:$V, 'Fund Investment Data'!$C:$C = $C2397, 'Fund Investment Data'!$A:$A = $A2397 - 2, 'Fund Investment Data'!$B:$B &gt;= 4)) * Parameters!$B$4,0) + IFERROR(SUM(FILTER('Fund Investment Data'!$V:$V, 'Fund "&amp;"Investment Data'!$C:$C = $C2397, 'Fund Investment Data'!$A:$A = $A2397 - 1, 'Fund Investment Data'!$B:$B &lt;= 3)) * Parameters!$B$4,0))),0)"),0.0)</f>
        <v>0</v>
      </c>
      <c r="AC2397" s="32">
        <f>IFERROR(__xludf.DUMMYFUNCTION("IFERROR(FILTER($AF:$AF,$C:$C = $C2397,$A:$A = $A2397 - 1,$B:$B = 12),0)"),0.0)</f>
        <v>0</v>
      </c>
      <c r="AD2397" s="32">
        <f t="shared" si="23"/>
        <v>0</v>
      </c>
      <c r="AE2397" s="32">
        <f t="shared" si="2"/>
        <v>0</v>
      </c>
      <c r="AF2397" s="32"/>
    </row>
    <row r="2398">
      <c r="A2398" s="86"/>
      <c r="B2398" s="87"/>
      <c r="C2398" s="88"/>
      <c r="D2398" s="104"/>
      <c r="E2398" s="104"/>
      <c r="F2398" s="104"/>
      <c r="G2398" s="104"/>
      <c r="H2398" s="104"/>
      <c r="I2398" s="104"/>
      <c r="J2398" s="104"/>
      <c r="K2398" s="32"/>
      <c r="L2398" s="32"/>
      <c r="M2398" s="32"/>
      <c r="N2398" s="32"/>
      <c r="O2398" s="106"/>
      <c r="P2398" s="91">
        <f>IFERROR(__xludf.DUMMYFUNCTION("IFERROR(sum(FILTER($D:$N,$C:$C = $C2398,$A:$A &lt; $A2398,$B:$B = 12)),0) + sum($D2398:$N2398)"),0.0)</f>
        <v>0</v>
      </c>
      <c r="Q2398" s="92">
        <f t="shared" si="1"/>
        <v>0</v>
      </c>
      <c r="R2398" s="91">
        <f t="array" ref="R2398">IFERROR(INDEX('Fund YTD Target Values'!$1:$1000, MATCH($C2398,'Fund YTD Target Values'!$A:$A,0), MATCH($A2398,'Fund YTD Target Values'!$1:$1,0)),0)</f>
        <v>0</v>
      </c>
      <c r="S2398" s="91">
        <f>IFERROR(__xludf.DUMMYFUNCTION("IFERROR(sum(FILTER('Fund Investment Data'!$V:$V, 'Fund Investment Data'!$C:$C = $C2398, 'Fund Investment Data'!$A:$A &lt; $A2398)),0) + IFERROR(sum(FILTER('Fund Investment Data'!$V:$V, 'Fund Investment Data'!$C:$C = $C2398, 'Fund Investment Data'!$A:$A = $A2"&amp;"398, 'Fund Investment Data'!$B:$B &lt;= $B2398)),0)"),0.0)</f>
        <v>0</v>
      </c>
      <c r="T2398" s="32"/>
      <c r="U2398" s="32"/>
      <c r="V2398" s="32">
        <f>IFERROR(__xludf.DUMMYFUNCTION("$D2398 - IFERROR(FILTER($D:$D,$C:$C = $C2398, $A:$A = $A2398, $B:$B = $B2398 - 1),0)"),0.0)</f>
        <v>0</v>
      </c>
      <c r="W2398" s="93">
        <f>IFERROR(__xludf.DUMMYFUNCTION("$E2398 - IFERROR(FILTER($E:$E,$C:$C = $C2398, $A:$A = $A2398, $B:$B = $B2398 - 1),0)"),0.0)</f>
        <v>0</v>
      </c>
      <c r="X2398" s="91">
        <f>IFERROR(__xludf.DUMMYFUNCTION("iFERROR((FILTER('Fund Investment Data'!$Z:$Z, 'Fund Investment Data'!$C:$C = $C2398, 'Fund Investment Data'!$A:$A = $A2398 - 1, 'Fund Investment Data'!$B:$B = 12) + FILTER('Fund Investment Data'!$AB:$AB, 'Fund Investment Data'!$C:$C = $C2398, 'Fund Invest"&amp;"ment Data'!$A:$A = $A2398 - 1, 'Fund Investment Data'!$B:$B = 12)) * (1 + AVERAGE(FILTER('Inflation Data'!$C:$C,'Inflation Data'!$A:$A = ($A2398 - 2)))) * Parameters!$A$4,0)"),0.0)</f>
        <v>0</v>
      </c>
      <c r="Y2398" s="91">
        <f>IFERROR(__xludf.DUMMYFUNCTION("IFERROR((IFERROR(FILTER('Fund Investment Data'!$P:$P,'Fund Investment Data'!$C:$C = $C2398,'Fund Investment Data'!$A:$A = ($A2398 - 2), 'Fund Investment Data'!$B:$B = 12),0) - SUM(FILTER('Fund Investment Data'!$V:$V, 'Fund Investment Data'!$C:$C = $C2398,"&amp;" 'Fund Investment Data'!$A:$A = ($A2398 - 2), 'Fund Investment Data'!$B:$B &gt; 3)))  * Parameters!$B$4 * (1 - Parameters!$A$4),0)"),0.0)</f>
        <v>0</v>
      </c>
      <c r="Z2398" s="91">
        <f t="shared" si="24"/>
        <v>0</v>
      </c>
      <c r="AA2398" s="91">
        <f>IFERROR(__xludf.DUMMYFUNCTION("((IFERROR((SUM(FILTER('Fund Investment Data'!$V:$V, 'Fund Investment Data'!$C:$C = $C2398, 'Fund Investment Data'!$A:$A = $A2398 - 1, 'Fund Investment Data'!$B:$B &gt;= 4, 'Fund Investment Data'!$B:$B &lt;= ($B2398 + 5))) / 12) * ($B2398 - 3) * Parameters!$B$4,"&amp;" 0) + IF($B2398 &gt;= 9, IFERROR(SUM(FILTER('Fund Investment Data'!$V:$V, 'Fund Investment Data'!$C:$C = $C2398, 'Fund Investment Data'!$A:$A = $A2398, 'Fund Investment Data'!$B:$B &lt;= 3)) * Parameters!$B$4, 0),0)))"),0.0)</f>
        <v>0</v>
      </c>
      <c r="AB2398" s="32">
        <f>IFERROR(__xludf.DUMMYFUNCTION("IFERROR(((IFERROR(SUM(FILTER('Fund Investment Data'!$V:$V, 'Fund Investment Data'!$C:$C = $C2398, 'Fund Investment Data'!$A:$A = $A2398 - 2, 'Fund Investment Data'!$B:$B &gt;= 4)) * Parameters!$B$4,0) + IFERROR(SUM(FILTER('Fund Investment Data'!$V:$V, 'Fund "&amp;"Investment Data'!$C:$C = $C2398, 'Fund Investment Data'!$A:$A = $A2398 - 1, 'Fund Investment Data'!$B:$B &lt;= 3)) * Parameters!$B$4,0))),0)"),0.0)</f>
        <v>0</v>
      </c>
      <c r="AC2398" s="32">
        <f>IFERROR(__xludf.DUMMYFUNCTION("IFERROR(FILTER($AF:$AF,$C:$C = $C2398,$A:$A = $A2398 - 1,$B:$B = 12),0)"),0.0)</f>
        <v>0</v>
      </c>
      <c r="AD2398" s="32">
        <f t="shared" si="23"/>
        <v>0</v>
      </c>
      <c r="AE2398" s="32">
        <f t="shared" si="2"/>
        <v>0</v>
      </c>
      <c r="AF2398" s="32"/>
    </row>
    <row r="2399">
      <c r="A2399" s="86"/>
      <c r="B2399" s="87"/>
      <c r="C2399" s="88"/>
      <c r="D2399" s="104"/>
      <c r="E2399" s="104"/>
      <c r="F2399" s="104"/>
      <c r="G2399" s="104"/>
      <c r="H2399" s="104"/>
      <c r="I2399" s="104"/>
      <c r="J2399" s="104"/>
      <c r="K2399" s="32"/>
      <c r="L2399" s="32"/>
      <c r="M2399" s="32"/>
      <c r="N2399" s="32"/>
      <c r="O2399" s="106"/>
      <c r="P2399" s="91">
        <f>IFERROR(__xludf.DUMMYFUNCTION("IFERROR(sum(FILTER($D:$N,$C:$C = $C2399,$A:$A &lt; $A2399,$B:$B = 12)),0) + sum($D2399:$N2399)"),0.0)</f>
        <v>0</v>
      </c>
      <c r="Q2399" s="92">
        <f t="shared" si="1"/>
        <v>0</v>
      </c>
      <c r="R2399" s="91">
        <f t="array" ref="R2399">IFERROR(INDEX('Fund YTD Target Values'!$1:$1000, MATCH($C2399,'Fund YTD Target Values'!$A:$A,0), MATCH($A2399,'Fund YTD Target Values'!$1:$1,0)),0)</f>
        <v>0</v>
      </c>
      <c r="S2399" s="91">
        <f>IFERROR(__xludf.DUMMYFUNCTION("IFERROR(sum(FILTER('Fund Investment Data'!$V:$V, 'Fund Investment Data'!$C:$C = $C2399, 'Fund Investment Data'!$A:$A &lt; $A2399)),0) + IFERROR(sum(FILTER('Fund Investment Data'!$V:$V, 'Fund Investment Data'!$C:$C = $C2399, 'Fund Investment Data'!$A:$A = $A2"&amp;"399, 'Fund Investment Data'!$B:$B &lt;= $B2399)),0)"),0.0)</f>
        <v>0</v>
      </c>
      <c r="T2399" s="32"/>
      <c r="U2399" s="32"/>
      <c r="V2399" s="32">
        <f>IFERROR(__xludf.DUMMYFUNCTION("$D2399 - IFERROR(FILTER($D:$D,$C:$C = $C2399, $A:$A = $A2399, $B:$B = $B2399 - 1),0)"),0.0)</f>
        <v>0</v>
      </c>
      <c r="W2399" s="93">
        <f>IFERROR(__xludf.DUMMYFUNCTION("$E2399 - IFERROR(FILTER($E:$E,$C:$C = $C2399, $A:$A = $A2399, $B:$B = $B2399 - 1),0)"),0.0)</f>
        <v>0</v>
      </c>
      <c r="X2399" s="91">
        <f>IFERROR(__xludf.DUMMYFUNCTION("iFERROR((FILTER('Fund Investment Data'!$Z:$Z, 'Fund Investment Data'!$C:$C = $C2399, 'Fund Investment Data'!$A:$A = $A2399 - 1, 'Fund Investment Data'!$B:$B = 12) + FILTER('Fund Investment Data'!$AB:$AB, 'Fund Investment Data'!$C:$C = $C2399, 'Fund Invest"&amp;"ment Data'!$A:$A = $A2399 - 1, 'Fund Investment Data'!$B:$B = 12)) * (1 + AVERAGE(FILTER('Inflation Data'!$C:$C,'Inflation Data'!$A:$A = ($A2399 - 2)))) * Parameters!$A$4,0)"),0.0)</f>
        <v>0</v>
      </c>
      <c r="Y2399" s="91">
        <f>IFERROR(__xludf.DUMMYFUNCTION("IFERROR((IFERROR(FILTER('Fund Investment Data'!$P:$P,'Fund Investment Data'!$C:$C = $C2399,'Fund Investment Data'!$A:$A = ($A2399 - 2), 'Fund Investment Data'!$B:$B = 12),0) - SUM(FILTER('Fund Investment Data'!$V:$V, 'Fund Investment Data'!$C:$C = $C2399,"&amp;" 'Fund Investment Data'!$A:$A = ($A2399 - 2), 'Fund Investment Data'!$B:$B &gt; 3)))  * Parameters!$B$4 * (1 - Parameters!$A$4),0)"),0.0)</f>
        <v>0</v>
      </c>
      <c r="Z2399" s="91">
        <f t="shared" si="24"/>
        <v>0</v>
      </c>
      <c r="AA2399" s="91">
        <f>IFERROR(__xludf.DUMMYFUNCTION("((IFERROR((SUM(FILTER('Fund Investment Data'!$V:$V, 'Fund Investment Data'!$C:$C = $C2399, 'Fund Investment Data'!$A:$A = $A2399 - 1, 'Fund Investment Data'!$B:$B &gt;= 4, 'Fund Investment Data'!$B:$B &lt;= ($B2399 + 5))) / 12) * ($B2399 - 3) * Parameters!$B$4,"&amp;" 0) + IF($B2399 &gt;= 9, IFERROR(SUM(FILTER('Fund Investment Data'!$V:$V, 'Fund Investment Data'!$C:$C = $C2399, 'Fund Investment Data'!$A:$A = $A2399, 'Fund Investment Data'!$B:$B &lt;= 3)) * Parameters!$B$4, 0),0)))"),0.0)</f>
        <v>0</v>
      </c>
      <c r="AB2399" s="32">
        <f>IFERROR(__xludf.DUMMYFUNCTION("IFERROR(((IFERROR(SUM(FILTER('Fund Investment Data'!$V:$V, 'Fund Investment Data'!$C:$C = $C2399, 'Fund Investment Data'!$A:$A = $A2399 - 2, 'Fund Investment Data'!$B:$B &gt;= 4)) * Parameters!$B$4,0) + IFERROR(SUM(FILTER('Fund Investment Data'!$V:$V, 'Fund "&amp;"Investment Data'!$C:$C = $C2399, 'Fund Investment Data'!$A:$A = $A2399 - 1, 'Fund Investment Data'!$B:$B &lt;= 3)) * Parameters!$B$4,0))),0)"),0.0)</f>
        <v>0</v>
      </c>
      <c r="AC2399" s="32">
        <f>IFERROR(__xludf.DUMMYFUNCTION("IFERROR(FILTER($AF:$AF,$C:$C = $C2399,$A:$A = $A2399 - 1,$B:$B = 12),0)"),0.0)</f>
        <v>0</v>
      </c>
      <c r="AD2399" s="32">
        <f t="shared" si="23"/>
        <v>0</v>
      </c>
      <c r="AE2399" s="32">
        <f t="shared" si="2"/>
        <v>0</v>
      </c>
      <c r="AF2399" s="32"/>
    </row>
    <row r="2400">
      <c r="A2400" s="86"/>
      <c r="B2400" s="87"/>
      <c r="C2400" s="88"/>
      <c r="D2400" s="104"/>
      <c r="E2400" s="104"/>
      <c r="F2400" s="104"/>
      <c r="G2400" s="104"/>
      <c r="H2400" s="104"/>
      <c r="I2400" s="104"/>
      <c r="J2400" s="104"/>
      <c r="K2400" s="32"/>
      <c r="L2400" s="32"/>
      <c r="M2400" s="32"/>
      <c r="N2400" s="32"/>
      <c r="O2400" s="106"/>
      <c r="P2400" s="91">
        <f>IFERROR(__xludf.DUMMYFUNCTION("IFERROR(sum(FILTER($D:$N,$C:$C = $C2400,$A:$A &lt; $A2400,$B:$B = 12)),0) + sum($D2400:$N2400)"),0.0)</f>
        <v>0</v>
      </c>
      <c r="Q2400" s="92">
        <f t="shared" si="1"/>
        <v>0</v>
      </c>
      <c r="R2400" s="91">
        <f t="array" ref="R2400">IFERROR(INDEX('Fund YTD Target Values'!$1:$1000, MATCH($C2400,'Fund YTD Target Values'!$A:$A,0), MATCH($A2400,'Fund YTD Target Values'!$1:$1,0)),0)</f>
        <v>0</v>
      </c>
      <c r="S2400" s="91">
        <f>IFERROR(__xludf.DUMMYFUNCTION("IFERROR(sum(FILTER('Fund Investment Data'!$V:$V, 'Fund Investment Data'!$C:$C = $C2400, 'Fund Investment Data'!$A:$A &lt; $A2400)),0) + IFERROR(sum(FILTER('Fund Investment Data'!$V:$V, 'Fund Investment Data'!$C:$C = $C2400, 'Fund Investment Data'!$A:$A = $A2"&amp;"400, 'Fund Investment Data'!$B:$B &lt;= $B2400)),0)"),0.0)</f>
        <v>0</v>
      </c>
      <c r="T2400" s="32"/>
      <c r="U2400" s="32"/>
      <c r="V2400" s="32">
        <f>IFERROR(__xludf.DUMMYFUNCTION("$D2400 - IFERROR(FILTER($D:$D,$C:$C = $C2400, $A:$A = $A2400, $B:$B = $B2400 - 1),0)"),0.0)</f>
        <v>0</v>
      </c>
      <c r="W2400" s="93">
        <f>IFERROR(__xludf.DUMMYFUNCTION("$E2400 - IFERROR(FILTER($E:$E,$C:$C = $C2400, $A:$A = $A2400, $B:$B = $B2400 - 1),0)"),0.0)</f>
        <v>0</v>
      </c>
      <c r="X2400" s="91">
        <f>IFERROR(__xludf.DUMMYFUNCTION("iFERROR((FILTER('Fund Investment Data'!$Z:$Z, 'Fund Investment Data'!$C:$C = $C2400, 'Fund Investment Data'!$A:$A = $A2400 - 1, 'Fund Investment Data'!$B:$B = 12) + FILTER('Fund Investment Data'!$AB:$AB, 'Fund Investment Data'!$C:$C = $C2400, 'Fund Invest"&amp;"ment Data'!$A:$A = $A2400 - 1, 'Fund Investment Data'!$B:$B = 12)) * (1 + AVERAGE(FILTER('Inflation Data'!$C:$C,'Inflation Data'!$A:$A = ($A2400 - 2)))) * Parameters!$A$4,0)"),0.0)</f>
        <v>0</v>
      </c>
      <c r="Y2400" s="91">
        <f>IFERROR(__xludf.DUMMYFUNCTION("IFERROR((IFERROR(FILTER('Fund Investment Data'!$P:$P,'Fund Investment Data'!$C:$C = $C2400,'Fund Investment Data'!$A:$A = ($A2400 - 2), 'Fund Investment Data'!$B:$B = 12),0) - SUM(FILTER('Fund Investment Data'!$V:$V, 'Fund Investment Data'!$C:$C = $C2400,"&amp;" 'Fund Investment Data'!$A:$A = ($A2400 - 2), 'Fund Investment Data'!$B:$B &gt; 3)))  * Parameters!$B$4 * (1 - Parameters!$A$4),0)"),0.0)</f>
        <v>0</v>
      </c>
      <c r="Z2400" s="91">
        <f t="shared" si="24"/>
        <v>0</v>
      </c>
      <c r="AA2400" s="91">
        <f>IFERROR(__xludf.DUMMYFUNCTION("((IFERROR((SUM(FILTER('Fund Investment Data'!$V:$V, 'Fund Investment Data'!$C:$C = $C2400, 'Fund Investment Data'!$A:$A = $A2400 - 1, 'Fund Investment Data'!$B:$B &gt;= 4, 'Fund Investment Data'!$B:$B &lt;= ($B2400 + 5))) / 12) * ($B2400 - 3) * Parameters!$B$4,"&amp;" 0) + IF($B2400 &gt;= 9, IFERROR(SUM(FILTER('Fund Investment Data'!$V:$V, 'Fund Investment Data'!$C:$C = $C2400, 'Fund Investment Data'!$A:$A = $A2400, 'Fund Investment Data'!$B:$B &lt;= 3)) * Parameters!$B$4, 0),0)))"),0.0)</f>
        <v>0</v>
      </c>
      <c r="AB2400" s="32">
        <f>IFERROR(__xludf.DUMMYFUNCTION("IFERROR(((IFERROR(SUM(FILTER('Fund Investment Data'!$V:$V, 'Fund Investment Data'!$C:$C = $C2400, 'Fund Investment Data'!$A:$A = $A2400 - 2, 'Fund Investment Data'!$B:$B &gt;= 4)) * Parameters!$B$4,0) + IFERROR(SUM(FILTER('Fund Investment Data'!$V:$V, 'Fund "&amp;"Investment Data'!$C:$C = $C2400, 'Fund Investment Data'!$A:$A = $A2400 - 1, 'Fund Investment Data'!$B:$B &lt;= 3)) * Parameters!$B$4,0))),0)"),0.0)</f>
        <v>0</v>
      </c>
      <c r="AC2400" s="32">
        <f>IFERROR(__xludf.DUMMYFUNCTION("IFERROR(FILTER($AF:$AF,$C:$C = $C2400,$A:$A = $A2400 - 1,$B:$B = 12),0)"),0.0)</f>
        <v>0</v>
      </c>
      <c r="AD2400" s="32">
        <f t="shared" si="23"/>
        <v>0</v>
      </c>
      <c r="AE2400" s="32">
        <f t="shared" si="2"/>
        <v>0</v>
      </c>
      <c r="AF2400" s="32"/>
    </row>
    <row r="2401">
      <c r="A2401" s="86"/>
      <c r="B2401" s="87"/>
      <c r="C2401" s="88"/>
      <c r="D2401" s="104"/>
      <c r="E2401" s="104"/>
      <c r="F2401" s="104"/>
      <c r="G2401" s="104"/>
      <c r="H2401" s="104"/>
      <c r="I2401" s="104"/>
      <c r="J2401" s="104"/>
      <c r="K2401" s="32"/>
      <c r="L2401" s="32"/>
      <c r="M2401" s="32"/>
      <c r="N2401" s="32"/>
      <c r="O2401" s="106"/>
      <c r="P2401" s="91">
        <f>IFERROR(__xludf.DUMMYFUNCTION("IFERROR(sum(FILTER($D:$N,$C:$C = $C2401,$A:$A &lt; $A2401,$B:$B = 12)),0) + sum($D2401:$N2401)"),0.0)</f>
        <v>0</v>
      </c>
      <c r="Q2401" s="92">
        <f t="shared" si="1"/>
        <v>0</v>
      </c>
      <c r="R2401" s="91">
        <f t="array" ref="R2401">IFERROR(INDEX('Fund YTD Target Values'!$1:$1000, MATCH($C2401,'Fund YTD Target Values'!$A:$A,0), MATCH($A2401,'Fund YTD Target Values'!$1:$1,0)),0)</f>
        <v>0</v>
      </c>
      <c r="S2401" s="91">
        <f>IFERROR(__xludf.DUMMYFUNCTION("IFERROR(sum(FILTER('Fund Investment Data'!$V:$V, 'Fund Investment Data'!$C:$C = $C2401, 'Fund Investment Data'!$A:$A &lt; $A2401)),0) + IFERROR(sum(FILTER('Fund Investment Data'!$V:$V, 'Fund Investment Data'!$C:$C = $C2401, 'Fund Investment Data'!$A:$A = $A2"&amp;"401, 'Fund Investment Data'!$B:$B &lt;= $B2401)),0)"),0.0)</f>
        <v>0</v>
      </c>
      <c r="T2401" s="32"/>
      <c r="U2401" s="32"/>
      <c r="V2401" s="32">
        <f>IFERROR(__xludf.DUMMYFUNCTION("$D2401 - IFERROR(FILTER($D:$D,$C:$C = $C2401, $A:$A = $A2401, $B:$B = $B2401 - 1),0)"),0.0)</f>
        <v>0</v>
      </c>
      <c r="W2401" s="93">
        <f>IFERROR(__xludf.DUMMYFUNCTION("$E2401 - IFERROR(FILTER($E:$E,$C:$C = $C2401, $A:$A = $A2401, $B:$B = $B2401 - 1),0)"),0.0)</f>
        <v>0</v>
      </c>
      <c r="X2401" s="91">
        <f>IFERROR(__xludf.DUMMYFUNCTION("iFERROR((FILTER('Fund Investment Data'!$Z:$Z, 'Fund Investment Data'!$C:$C = $C2401, 'Fund Investment Data'!$A:$A = $A2401 - 1, 'Fund Investment Data'!$B:$B = 12) + FILTER('Fund Investment Data'!$AB:$AB, 'Fund Investment Data'!$C:$C = $C2401, 'Fund Invest"&amp;"ment Data'!$A:$A = $A2401 - 1, 'Fund Investment Data'!$B:$B = 12)) * (1 + AVERAGE(FILTER('Inflation Data'!$C:$C,'Inflation Data'!$A:$A = ($A2401 - 2)))) * Parameters!$A$4,0)"),0.0)</f>
        <v>0</v>
      </c>
      <c r="Y2401" s="91">
        <f>IFERROR(__xludf.DUMMYFUNCTION("IFERROR((IFERROR(FILTER('Fund Investment Data'!$P:$P,'Fund Investment Data'!$C:$C = $C2401,'Fund Investment Data'!$A:$A = ($A2401 - 2), 'Fund Investment Data'!$B:$B = 12),0) - SUM(FILTER('Fund Investment Data'!$V:$V, 'Fund Investment Data'!$C:$C = $C2401,"&amp;" 'Fund Investment Data'!$A:$A = ($A2401 - 2), 'Fund Investment Data'!$B:$B &gt; 3)))  * Parameters!$B$4 * (1 - Parameters!$A$4),0)"),0.0)</f>
        <v>0</v>
      </c>
      <c r="Z2401" s="91">
        <f t="shared" si="24"/>
        <v>0</v>
      </c>
      <c r="AA2401" s="91">
        <f>IFERROR(__xludf.DUMMYFUNCTION("((IFERROR((SUM(FILTER('Fund Investment Data'!$V:$V, 'Fund Investment Data'!$C:$C = $C2401, 'Fund Investment Data'!$A:$A = $A2401 - 1, 'Fund Investment Data'!$B:$B &gt;= 4, 'Fund Investment Data'!$B:$B &lt;= ($B2401 + 5))) / 12) * ($B2401 - 3) * Parameters!$B$4,"&amp;" 0) + IF($B2401 &gt;= 9, IFERROR(SUM(FILTER('Fund Investment Data'!$V:$V, 'Fund Investment Data'!$C:$C = $C2401, 'Fund Investment Data'!$A:$A = $A2401, 'Fund Investment Data'!$B:$B &lt;= 3)) * Parameters!$B$4, 0),0)))"),0.0)</f>
        <v>0</v>
      </c>
      <c r="AB2401" s="32">
        <f>IFERROR(__xludf.DUMMYFUNCTION("IFERROR(((IFERROR(SUM(FILTER('Fund Investment Data'!$V:$V, 'Fund Investment Data'!$C:$C = $C2401, 'Fund Investment Data'!$A:$A = $A2401 - 2, 'Fund Investment Data'!$B:$B &gt;= 4)) * Parameters!$B$4,0) + IFERROR(SUM(FILTER('Fund Investment Data'!$V:$V, 'Fund "&amp;"Investment Data'!$C:$C = $C2401, 'Fund Investment Data'!$A:$A = $A2401 - 1, 'Fund Investment Data'!$B:$B &lt;= 3)) * Parameters!$B$4,0))),0)"),0.0)</f>
        <v>0</v>
      </c>
      <c r="AC2401" s="32">
        <f>IFERROR(__xludf.DUMMYFUNCTION("IFERROR(FILTER($AF:$AF,$C:$C = $C2401,$A:$A = $A2401 - 1,$B:$B = 12),0)"),0.0)</f>
        <v>0</v>
      </c>
      <c r="AD2401" s="32">
        <f t="shared" si="23"/>
        <v>0</v>
      </c>
      <c r="AE2401" s="32">
        <f t="shared" si="2"/>
        <v>0</v>
      </c>
      <c r="AF2401" s="32"/>
    </row>
    <row r="2402">
      <c r="A2402" s="86"/>
      <c r="B2402" s="87"/>
      <c r="C2402" s="88"/>
      <c r="D2402" s="104"/>
      <c r="E2402" s="104"/>
      <c r="F2402" s="104"/>
      <c r="G2402" s="104"/>
      <c r="H2402" s="104"/>
      <c r="I2402" s="104"/>
      <c r="J2402" s="104"/>
      <c r="K2402" s="32"/>
      <c r="L2402" s="32"/>
      <c r="M2402" s="32"/>
      <c r="N2402" s="32"/>
      <c r="O2402" s="106"/>
      <c r="P2402" s="91">
        <f>IFERROR(__xludf.DUMMYFUNCTION("IFERROR(sum(FILTER($D:$N,$C:$C = $C2402,$A:$A &lt; $A2402,$B:$B = 12)),0) + sum($D2402:$N2402)"),0.0)</f>
        <v>0</v>
      </c>
      <c r="Q2402" s="92">
        <f t="shared" si="1"/>
        <v>0</v>
      </c>
      <c r="R2402" s="91">
        <f t="array" ref="R2402">IFERROR(INDEX('Fund YTD Target Values'!$1:$1000, MATCH($C2402,'Fund YTD Target Values'!$A:$A,0), MATCH($A2402,'Fund YTD Target Values'!$1:$1,0)),0)</f>
        <v>0</v>
      </c>
      <c r="S2402" s="91">
        <f>IFERROR(__xludf.DUMMYFUNCTION("IFERROR(sum(FILTER('Fund Investment Data'!$V:$V, 'Fund Investment Data'!$C:$C = $C2402, 'Fund Investment Data'!$A:$A &lt; $A2402)),0) + IFERROR(sum(FILTER('Fund Investment Data'!$V:$V, 'Fund Investment Data'!$C:$C = $C2402, 'Fund Investment Data'!$A:$A = $A2"&amp;"402, 'Fund Investment Data'!$B:$B &lt;= $B2402)),0)"),0.0)</f>
        <v>0</v>
      </c>
      <c r="T2402" s="32"/>
      <c r="U2402" s="32"/>
      <c r="V2402" s="32">
        <f>IFERROR(__xludf.DUMMYFUNCTION("$D2402 - IFERROR(FILTER($D:$D,$C:$C = $C2402, $A:$A = $A2402, $B:$B = $B2402 - 1),0)"),0.0)</f>
        <v>0</v>
      </c>
      <c r="W2402" s="93">
        <f>IFERROR(__xludf.DUMMYFUNCTION("$E2402 - IFERROR(FILTER($E:$E,$C:$C = $C2402, $A:$A = $A2402, $B:$B = $B2402 - 1),0)"),0.0)</f>
        <v>0</v>
      </c>
      <c r="X2402" s="91">
        <f>IFERROR(__xludf.DUMMYFUNCTION("iFERROR((FILTER('Fund Investment Data'!$Z:$Z, 'Fund Investment Data'!$C:$C = $C2402, 'Fund Investment Data'!$A:$A = $A2402 - 1, 'Fund Investment Data'!$B:$B = 12) + FILTER('Fund Investment Data'!$AB:$AB, 'Fund Investment Data'!$C:$C = $C2402, 'Fund Invest"&amp;"ment Data'!$A:$A = $A2402 - 1, 'Fund Investment Data'!$B:$B = 12)) * (1 + AVERAGE(FILTER('Inflation Data'!$C:$C,'Inflation Data'!$A:$A = ($A2402 - 2)))) * Parameters!$A$4,0)"),0.0)</f>
        <v>0</v>
      </c>
      <c r="Y2402" s="91">
        <f>IFERROR(__xludf.DUMMYFUNCTION("IFERROR((IFERROR(FILTER('Fund Investment Data'!$P:$P,'Fund Investment Data'!$C:$C = $C2402,'Fund Investment Data'!$A:$A = ($A2402 - 2), 'Fund Investment Data'!$B:$B = 12),0) - SUM(FILTER('Fund Investment Data'!$V:$V, 'Fund Investment Data'!$C:$C = $C2402,"&amp;" 'Fund Investment Data'!$A:$A = ($A2402 - 2), 'Fund Investment Data'!$B:$B &gt; 3)))  * Parameters!$B$4 * (1 - Parameters!$A$4),0)"),0.0)</f>
        <v>0</v>
      </c>
      <c r="Z2402" s="91">
        <f t="shared" si="24"/>
        <v>0</v>
      </c>
      <c r="AA2402" s="91">
        <f>IFERROR(__xludf.DUMMYFUNCTION("((IFERROR((SUM(FILTER('Fund Investment Data'!$V:$V, 'Fund Investment Data'!$C:$C = $C2402, 'Fund Investment Data'!$A:$A = $A2402 - 1, 'Fund Investment Data'!$B:$B &gt;= 4, 'Fund Investment Data'!$B:$B &lt;= ($B2402 + 5))) / 12) * ($B2402 - 3) * Parameters!$B$4,"&amp;" 0) + IF($B2402 &gt;= 9, IFERROR(SUM(FILTER('Fund Investment Data'!$V:$V, 'Fund Investment Data'!$C:$C = $C2402, 'Fund Investment Data'!$A:$A = $A2402, 'Fund Investment Data'!$B:$B &lt;= 3)) * Parameters!$B$4, 0),0)))"),0.0)</f>
        <v>0</v>
      </c>
      <c r="AB2402" s="32">
        <f>IFERROR(__xludf.DUMMYFUNCTION("IFERROR(((IFERROR(SUM(FILTER('Fund Investment Data'!$V:$V, 'Fund Investment Data'!$C:$C = $C2402, 'Fund Investment Data'!$A:$A = $A2402 - 2, 'Fund Investment Data'!$B:$B &gt;= 4)) * Parameters!$B$4,0) + IFERROR(SUM(FILTER('Fund Investment Data'!$V:$V, 'Fund "&amp;"Investment Data'!$C:$C = $C2402, 'Fund Investment Data'!$A:$A = $A2402 - 1, 'Fund Investment Data'!$B:$B &lt;= 3)) * Parameters!$B$4,0))),0)"),0.0)</f>
        <v>0</v>
      </c>
      <c r="AC2402" s="32">
        <f>IFERROR(__xludf.DUMMYFUNCTION("IFERROR(FILTER($AF:$AF,$C:$C = $C2402,$A:$A = $A2402 - 1,$B:$B = 12),0)"),0.0)</f>
        <v>0</v>
      </c>
      <c r="AD2402" s="32">
        <f t="shared" si="23"/>
        <v>0</v>
      </c>
      <c r="AE2402" s="32">
        <f t="shared" si="2"/>
        <v>0</v>
      </c>
      <c r="AF2402" s="32"/>
    </row>
    <row r="2403">
      <c r="A2403" s="86"/>
      <c r="B2403" s="87"/>
      <c r="C2403" s="88"/>
      <c r="D2403" s="104"/>
      <c r="E2403" s="104"/>
      <c r="F2403" s="104"/>
      <c r="G2403" s="104"/>
      <c r="H2403" s="104"/>
      <c r="I2403" s="104"/>
      <c r="J2403" s="104"/>
      <c r="K2403" s="32"/>
      <c r="L2403" s="32"/>
      <c r="M2403" s="32"/>
      <c r="N2403" s="32"/>
      <c r="O2403" s="106"/>
      <c r="P2403" s="91">
        <f>IFERROR(__xludf.DUMMYFUNCTION("IFERROR(sum(FILTER($D:$N,$C:$C = $C2403,$A:$A &lt; $A2403,$B:$B = 12)),0) + sum($D2403:$N2403)"),0.0)</f>
        <v>0</v>
      </c>
      <c r="Q2403" s="92">
        <f t="shared" si="1"/>
        <v>0</v>
      </c>
      <c r="R2403" s="91">
        <f t="array" ref="R2403">IFERROR(INDEX('Fund YTD Target Values'!$1:$1000, MATCH($C2403,'Fund YTD Target Values'!$A:$A,0), MATCH($A2403,'Fund YTD Target Values'!$1:$1,0)),0)</f>
        <v>0</v>
      </c>
      <c r="S2403" s="91">
        <f>IFERROR(__xludf.DUMMYFUNCTION("IFERROR(sum(FILTER('Fund Investment Data'!$V:$V, 'Fund Investment Data'!$C:$C = $C2403, 'Fund Investment Data'!$A:$A &lt; $A2403)),0) + IFERROR(sum(FILTER('Fund Investment Data'!$V:$V, 'Fund Investment Data'!$C:$C = $C2403, 'Fund Investment Data'!$A:$A = $A2"&amp;"403, 'Fund Investment Data'!$B:$B &lt;= $B2403)),0)"),0.0)</f>
        <v>0</v>
      </c>
      <c r="T2403" s="32"/>
      <c r="U2403" s="32"/>
      <c r="V2403" s="32">
        <f>IFERROR(__xludf.DUMMYFUNCTION("$D2403 - IFERROR(FILTER($D:$D,$C:$C = $C2403, $A:$A = $A2403, $B:$B = $B2403 - 1),0)"),0.0)</f>
        <v>0</v>
      </c>
      <c r="W2403" s="93">
        <f>IFERROR(__xludf.DUMMYFUNCTION("$E2403 - IFERROR(FILTER($E:$E,$C:$C = $C2403, $A:$A = $A2403, $B:$B = $B2403 - 1),0)"),0.0)</f>
        <v>0</v>
      </c>
      <c r="X2403" s="91">
        <f>IFERROR(__xludf.DUMMYFUNCTION("iFERROR((FILTER('Fund Investment Data'!$Z:$Z, 'Fund Investment Data'!$C:$C = $C2403, 'Fund Investment Data'!$A:$A = $A2403 - 1, 'Fund Investment Data'!$B:$B = 12) + FILTER('Fund Investment Data'!$AB:$AB, 'Fund Investment Data'!$C:$C = $C2403, 'Fund Invest"&amp;"ment Data'!$A:$A = $A2403 - 1, 'Fund Investment Data'!$B:$B = 12)) * (1 + AVERAGE(FILTER('Inflation Data'!$C:$C,'Inflation Data'!$A:$A = ($A2403 - 2)))) * Parameters!$A$4,0)"),0.0)</f>
        <v>0</v>
      </c>
      <c r="Y2403" s="91">
        <f>IFERROR(__xludf.DUMMYFUNCTION("IFERROR((IFERROR(FILTER('Fund Investment Data'!$P:$P,'Fund Investment Data'!$C:$C = $C2403,'Fund Investment Data'!$A:$A = ($A2403 - 2), 'Fund Investment Data'!$B:$B = 12),0) - SUM(FILTER('Fund Investment Data'!$V:$V, 'Fund Investment Data'!$C:$C = $C2403,"&amp;" 'Fund Investment Data'!$A:$A = ($A2403 - 2), 'Fund Investment Data'!$B:$B &gt; 3)))  * Parameters!$B$4 * (1 - Parameters!$A$4),0)"),0.0)</f>
        <v>0</v>
      </c>
      <c r="Z2403" s="91">
        <f t="shared" si="24"/>
        <v>0</v>
      </c>
      <c r="AA2403" s="91">
        <f>IFERROR(__xludf.DUMMYFUNCTION("((IFERROR((SUM(FILTER('Fund Investment Data'!$V:$V, 'Fund Investment Data'!$C:$C = $C2403, 'Fund Investment Data'!$A:$A = $A2403 - 1, 'Fund Investment Data'!$B:$B &gt;= 4, 'Fund Investment Data'!$B:$B &lt;= ($B2403 + 5))) / 12) * ($B2403 - 3) * Parameters!$B$4,"&amp;" 0) + IF($B2403 &gt;= 9, IFERROR(SUM(FILTER('Fund Investment Data'!$V:$V, 'Fund Investment Data'!$C:$C = $C2403, 'Fund Investment Data'!$A:$A = $A2403, 'Fund Investment Data'!$B:$B &lt;= 3)) * Parameters!$B$4, 0),0)))"),0.0)</f>
        <v>0</v>
      </c>
      <c r="AB2403" s="32">
        <f>IFERROR(__xludf.DUMMYFUNCTION("IFERROR(((IFERROR(SUM(FILTER('Fund Investment Data'!$V:$V, 'Fund Investment Data'!$C:$C = $C2403, 'Fund Investment Data'!$A:$A = $A2403 - 2, 'Fund Investment Data'!$B:$B &gt;= 4)) * Parameters!$B$4,0) + IFERROR(SUM(FILTER('Fund Investment Data'!$V:$V, 'Fund "&amp;"Investment Data'!$C:$C = $C2403, 'Fund Investment Data'!$A:$A = $A2403 - 1, 'Fund Investment Data'!$B:$B &lt;= 3)) * Parameters!$B$4,0))),0)"),0.0)</f>
        <v>0</v>
      </c>
      <c r="AC2403" s="32">
        <f>IFERROR(__xludf.DUMMYFUNCTION("IFERROR(FILTER($AF:$AF,$C:$C = $C2403,$A:$A = $A2403 - 1,$B:$B = 12),0)"),0.0)</f>
        <v>0</v>
      </c>
      <c r="AD2403" s="32">
        <f t="shared" si="23"/>
        <v>0</v>
      </c>
      <c r="AE2403" s="32">
        <f t="shared" si="2"/>
        <v>0</v>
      </c>
      <c r="AF2403" s="32"/>
    </row>
    <row r="2404">
      <c r="A2404" s="86"/>
      <c r="B2404" s="87"/>
      <c r="C2404" s="88"/>
      <c r="D2404" s="104"/>
      <c r="E2404" s="104"/>
      <c r="F2404" s="104"/>
      <c r="G2404" s="104"/>
      <c r="H2404" s="104"/>
      <c r="I2404" s="104"/>
      <c r="J2404" s="104"/>
      <c r="K2404" s="32"/>
      <c r="L2404" s="32"/>
      <c r="M2404" s="32"/>
      <c r="N2404" s="32"/>
      <c r="O2404" s="106"/>
      <c r="P2404" s="91">
        <f>IFERROR(__xludf.DUMMYFUNCTION("IFERROR(sum(FILTER($D:$N,$C:$C = $C2404,$A:$A &lt; $A2404,$B:$B = 12)),0) + sum($D2404:$N2404)"),0.0)</f>
        <v>0</v>
      </c>
      <c r="Q2404" s="92">
        <f t="shared" si="1"/>
        <v>0</v>
      </c>
      <c r="R2404" s="91">
        <f t="array" ref="R2404">IFERROR(INDEX('Fund YTD Target Values'!$1:$1000, MATCH($C2404,'Fund YTD Target Values'!$A:$A,0), MATCH($A2404,'Fund YTD Target Values'!$1:$1,0)),0)</f>
        <v>0</v>
      </c>
      <c r="S2404" s="91">
        <f>IFERROR(__xludf.DUMMYFUNCTION("IFERROR(sum(FILTER('Fund Investment Data'!$V:$V, 'Fund Investment Data'!$C:$C = $C2404, 'Fund Investment Data'!$A:$A &lt; $A2404)),0) + IFERROR(sum(FILTER('Fund Investment Data'!$V:$V, 'Fund Investment Data'!$C:$C = $C2404, 'Fund Investment Data'!$A:$A = $A2"&amp;"404, 'Fund Investment Data'!$B:$B &lt;= $B2404)),0)"),0.0)</f>
        <v>0</v>
      </c>
      <c r="T2404" s="32"/>
      <c r="U2404" s="32"/>
      <c r="V2404" s="32">
        <f>IFERROR(__xludf.DUMMYFUNCTION("$D2404 - IFERROR(FILTER($D:$D,$C:$C = $C2404, $A:$A = $A2404, $B:$B = $B2404 - 1),0)"),0.0)</f>
        <v>0</v>
      </c>
      <c r="W2404" s="93">
        <f>IFERROR(__xludf.DUMMYFUNCTION("$E2404 - IFERROR(FILTER($E:$E,$C:$C = $C2404, $A:$A = $A2404, $B:$B = $B2404 - 1),0)"),0.0)</f>
        <v>0</v>
      </c>
      <c r="X2404" s="91">
        <f>IFERROR(__xludf.DUMMYFUNCTION("iFERROR((FILTER('Fund Investment Data'!$Z:$Z, 'Fund Investment Data'!$C:$C = $C2404, 'Fund Investment Data'!$A:$A = $A2404 - 1, 'Fund Investment Data'!$B:$B = 12) + FILTER('Fund Investment Data'!$AB:$AB, 'Fund Investment Data'!$C:$C = $C2404, 'Fund Invest"&amp;"ment Data'!$A:$A = $A2404 - 1, 'Fund Investment Data'!$B:$B = 12)) * (1 + AVERAGE(FILTER('Inflation Data'!$C:$C,'Inflation Data'!$A:$A = ($A2404 - 2)))) * Parameters!$A$4,0)"),0.0)</f>
        <v>0</v>
      </c>
      <c r="Y2404" s="91">
        <f>IFERROR(__xludf.DUMMYFUNCTION("IFERROR((IFERROR(FILTER('Fund Investment Data'!$P:$P,'Fund Investment Data'!$C:$C = $C2404,'Fund Investment Data'!$A:$A = ($A2404 - 2), 'Fund Investment Data'!$B:$B = 12),0) - SUM(FILTER('Fund Investment Data'!$V:$V, 'Fund Investment Data'!$C:$C = $C2404,"&amp;" 'Fund Investment Data'!$A:$A = ($A2404 - 2), 'Fund Investment Data'!$B:$B &gt; 3)))  * Parameters!$B$4 * (1 - Parameters!$A$4),0)"),0.0)</f>
        <v>0</v>
      </c>
      <c r="Z2404" s="91">
        <f t="shared" si="24"/>
        <v>0</v>
      </c>
      <c r="AA2404" s="91">
        <f>IFERROR(__xludf.DUMMYFUNCTION("((IFERROR((SUM(FILTER('Fund Investment Data'!$V:$V, 'Fund Investment Data'!$C:$C = $C2404, 'Fund Investment Data'!$A:$A = $A2404 - 1, 'Fund Investment Data'!$B:$B &gt;= 4, 'Fund Investment Data'!$B:$B &lt;= ($B2404 + 5))) / 12) * ($B2404 - 3) * Parameters!$B$4,"&amp;" 0) + IF($B2404 &gt;= 9, IFERROR(SUM(FILTER('Fund Investment Data'!$V:$V, 'Fund Investment Data'!$C:$C = $C2404, 'Fund Investment Data'!$A:$A = $A2404, 'Fund Investment Data'!$B:$B &lt;= 3)) * Parameters!$B$4, 0),0)))"),0.0)</f>
        <v>0</v>
      </c>
      <c r="AB2404" s="32">
        <f>IFERROR(__xludf.DUMMYFUNCTION("IFERROR(((IFERROR(SUM(FILTER('Fund Investment Data'!$V:$V, 'Fund Investment Data'!$C:$C = $C2404, 'Fund Investment Data'!$A:$A = $A2404 - 2, 'Fund Investment Data'!$B:$B &gt;= 4)) * Parameters!$B$4,0) + IFERROR(SUM(FILTER('Fund Investment Data'!$V:$V, 'Fund "&amp;"Investment Data'!$C:$C = $C2404, 'Fund Investment Data'!$A:$A = $A2404 - 1, 'Fund Investment Data'!$B:$B &lt;= 3)) * Parameters!$B$4,0))),0)"),0.0)</f>
        <v>0</v>
      </c>
      <c r="AC2404" s="32">
        <f>IFERROR(__xludf.DUMMYFUNCTION("IFERROR(FILTER($AF:$AF,$C:$C = $C2404,$A:$A = $A2404 - 1,$B:$B = 12),0)"),0.0)</f>
        <v>0</v>
      </c>
      <c r="AD2404" s="32">
        <f t="shared" si="23"/>
        <v>0</v>
      </c>
      <c r="AE2404" s="32">
        <f t="shared" si="2"/>
        <v>0</v>
      </c>
      <c r="AF2404" s="32"/>
    </row>
    <row r="2405">
      <c r="A2405" s="86"/>
      <c r="B2405" s="87"/>
      <c r="C2405" s="88"/>
      <c r="D2405" s="104"/>
      <c r="E2405" s="104"/>
      <c r="F2405" s="104"/>
      <c r="G2405" s="104"/>
      <c r="H2405" s="104"/>
      <c r="I2405" s="104"/>
      <c r="J2405" s="104"/>
      <c r="K2405" s="32"/>
      <c r="L2405" s="32"/>
      <c r="M2405" s="32"/>
      <c r="N2405" s="32"/>
      <c r="O2405" s="106"/>
      <c r="P2405" s="91">
        <f>IFERROR(__xludf.DUMMYFUNCTION("IFERROR(sum(FILTER($D:$N,$C:$C = $C2405,$A:$A &lt; $A2405,$B:$B = 12)),0) + sum($D2405:$N2405)"),0.0)</f>
        <v>0</v>
      </c>
      <c r="Q2405" s="92">
        <f t="shared" si="1"/>
        <v>0</v>
      </c>
      <c r="R2405" s="91">
        <f t="array" ref="R2405">IFERROR(INDEX('Fund YTD Target Values'!$1:$1000, MATCH($C2405,'Fund YTD Target Values'!$A:$A,0), MATCH($A2405,'Fund YTD Target Values'!$1:$1,0)),0)</f>
        <v>0</v>
      </c>
      <c r="S2405" s="91">
        <f>IFERROR(__xludf.DUMMYFUNCTION("IFERROR(sum(FILTER('Fund Investment Data'!$V:$V, 'Fund Investment Data'!$C:$C = $C2405, 'Fund Investment Data'!$A:$A &lt; $A2405)),0) + IFERROR(sum(FILTER('Fund Investment Data'!$V:$V, 'Fund Investment Data'!$C:$C = $C2405, 'Fund Investment Data'!$A:$A = $A2"&amp;"405, 'Fund Investment Data'!$B:$B &lt;= $B2405)),0)"),0.0)</f>
        <v>0</v>
      </c>
      <c r="T2405" s="32"/>
      <c r="U2405" s="32"/>
      <c r="V2405" s="32">
        <f>IFERROR(__xludf.DUMMYFUNCTION("$D2405 - IFERROR(FILTER($D:$D,$C:$C = $C2405, $A:$A = $A2405, $B:$B = $B2405 - 1),0)"),0.0)</f>
        <v>0</v>
      </c>
      <c r="W2405" s="93">
        <f>IFERROR(__xludf.DUMMYFUNCTION("$E2405 - IFERROR(FILTER($E:$E,$C:$C = $C2405, $A:$A = $A2405, $B:$B = $B2405 - 1),0)"),0.0)</f>
        <v>0</v>
      </c>
      <c r="X2405" s="91">
        <f>IFERROR(__xludf.DUMMYFUNCTION("iFERROR((FILTER('Fund Investment Data'!$Z:$Z, 'Fund Investment Data'!$C:$C = $C2405, 'Fund Investment Data'!$A:$A = $A2405 - 1, 'Fund Investment Data'!$B:$B = 12) + FILTER('Fund Investment Data'!$AB:$AB, 'Fund Investment Data'!$C:$C = $C2405, 'Fund Invest"&amp;"ment Data'!$A:$A = $A2405 - 1, 'Fund Investment Data'!$B:$B = 12)) * (1 + AVERAGE(FILTER('Inflation Data'!$C:$C,'Inflation Data'!$A:$A = ($A2405 - 2)))) * Parameters!$A$4,0)"),0.0)</f>
        <v>0</v>
      </c>
      <c r="Y2405" s="91">
        <f>IFERROR(__xludf.DUMMYFUNCTION("IFERROR((IFERROR(FILTER('Fund Investment Data'!$P:$P,'Fund Investment Data'!$C:$C = $C2405,'Fund Investment Data'!$A:$A = ($A2405 - 2), 'Fund Investment Data'!$B:$B = 12),0) - SUM(FILTER('Fund Investment Data'!$V:$V, 'Fund Investment Data'!$C:$C = $C2405,"&amp;" 'Fund Investment Data'!$A:$A = ($A2405 - 2), 'Fund Investment Data'!$B:$B &gt; 3)))  * Parameters!$B$4 * (1 - Parameters!$A$4),0)"),0.0)</f>
        <v>0</v>
      </c>
      <c r="Z2405" s="91">
        <f t="shared" si="24"/>
        <v>0</v>
      </c>
      <c r="AA2405" s="91">
        <f>IFERROR(__xludf.DUMMYFUNCTION("((IFERROR((SUM(FILTER('Fund Investment Data'!$V:$V, 'Fund Investment Data'!$C:$C = $C2405, 'Fund Investment Data'!$A:$A = $A2405 - 1, 'Fund Investment Data'!$B:$B &gt;= 4, 'Fund Investment Data'!$B:$B &lt;= ($B2405 + 5))) / 12) * ($B2405 - 3) * Parameters!$B$4,"&amp;" 0) + IF($B2405 &gt;= 9, IFERROR(SUM(FILTER('Fund Investment Data'!$V:$V, 'Fund Investment Data'!$C:$C = $C2405, 'Fund Investment Data'!$A:$A = $A2405, 'Fund Investment Data'!$B:$B &lt;= 3)) * Parameters!$B$4, 0),0)))"),0.0)</f>
        <v>0</v>
      </c>
      <c r="AB2405" s="32">
        <f>IFERROR(__xludf.DUMMYFUNCTION("IFERROR(((IFERROR(SUM(FILTER('Fund Investment Data'!$V:$V, 'Fund Investment Data'!$C:$C = $C2405, 'Fund Investment Data'!$A:$A = $A2405 - 2, 'Fund Investment Data'!$B:$B &gt;= 4)) * Parameters!$B$4,0) + IFERROR(SUM(FILTER('Fund Investment Data'!$V:$V, 'Fund "&amp;"Investment Data'!$C:$C = $C2405, 'Fund Investment Data'!$A:$A = $A2405 - 1, 'Fund Investment Data'!$B:$B &lt;= 3)) * Parameters!$B$4,0))),0)"),0.0)</f>
        <v>0</v>
      </c>
      <c r="AC2405" s="32">
        <f>IFERROR(__xludf.DUMMYFUNCTION("IFERROR(FILTER($AF:$AF,$C:$C = $C2405,$A:$A = $A2405 - 1,$B:$B = 12),0)"),0.0)</f>
        <v>0</v>
      </c>
      <c r="AD2405" s="32">
        <f t="shared" si="23"/>
        <v>0</v>
      </c>
      <c r="AE2405" s="32">
        <f t="shared" si="2"/>
        <v>0</v>
      </c>
      <c r="AF2405" s="32"/>
    </row>
    <row r="2406">
      <c r="A2406" s="86"/>
      <c r="B2406" s="87"/>
      <c r="C2406" s="88"/>
      <c r="D2406" s="104"/>
      <c r="E2406" s="104"/>
      <c r="F2406" s="104"/>
      <c r="G2406" s="104"/>
      <c r="H2406" s="104"/>
      <c r="I2406" s="104"/>
      <c r="J2406" s="104"/>
      <c r="K2406" s="32"/>
      <c r="L2406" s="32"/>
      <c r="M2406" s="32"/>
      <c r="N2406" s="32"/>
      <c r="O2406" s="106"/>
      <c r="P2406" s="91">
        <f>IFERROR(__xludf.DUMMYFUNCTION("IFERROR(sum(FILTER($D:$N,$C:$C = $C2406,$A:$A &lt; $A2406,$B:$B = 12)),0) + sum($D2406:$N2406)"),0.0)</f>
        <v>0</v>
      </c>
      <c r="Q2406" s="92">
        <f t="shared" si="1"/>
        <v>0</v>
      </c>
      <c r="R2406" s="91">
        <f t="array" ref="R2406">IFERROR(INDEX('Fund YTD Target Values'!$1:$1000, MATCH($C2406,'Fund YTD Target Values'!$A:$A,0), MATCH($A2406,'Fund YTD Target Values'!$1:$1,0)),0)</f>
        <v>0</v>
      </c>
      <c r="S2406" s="91">
        <f>IFERROR(__xludf.DUMMYFUNCTION("IFERROR(sum(FILTER('Fund Investment Data'!$V:$V, 'Fund Investment Data'!$C:$C = $C2406, 'Fund Investment Data'!$A:$A &lt; $A2406)),0) + IFERROR(sum(FILTER('Fund Investment Data'!$V:$V, 'Fund Investment Data'!$C:$C = $C2406, 'Fund Investment Data'!$A:$A = $A2"&amp;"406, 'Fund Investment Data'!$B:$B &lt;= $B2406)),0)"),0.0)</f>
        <v>0</v>
      </c>
      <c r="T2406" s="32"/>
      <c r="U2406" s="32"/>
      <c r="V2406" s="32">
        <f>IFERROR(__xludf.DUMMYFUNCTION("$D2406 - IFERROR(FILTER($D:$D,$C:$C = $C2406, $A:$A = $A2406, $B:$B = $B2406 - 1),0)"),0.0)</f>
        <v>0</v>
      </c>
      <c r="W2406" s="93">
        <f>IFERROR(__xludf.DUMMYFUNCTION("$E2406 - IFERROR(FILTER($E:$E,$C:$C = $C2406, $A:$A = $A2406, $B:$B = $B2406 - 1),0)"),0.0)</f>
        <v>0</v>
      </c>
      <c r="X2406" s="91">
        <f>IFERROR(__xludf.DUMMYFUNCTION("iFERROR((FILTER('Fund Investment Data'!$Z:$Z, 'Fund Investment Data'!$C:$C = $C2406, 'Fund Investment Data'!$A:$A = $A2406 - 1, 'Fund Investment Data'!$B:$B = 12) + FILTER('Fund Investment Data'!$AB:$AB, 'Fund Investment Data'!$C:$C = $C2406, 'Fund Invest"&amp;"ment Data'!$A:$A = $A2406 - 1, 'Fund Investment Data'!$B:$B = 12)) * (1 + AVERAGE(FILTER('Inflation Data'!$C:$C,'Inflation Data'!$A:$A = ($A2406 - 2)))) * Parameters!$A$4,0)"),0.0)</f>
        <v>0</v>
      </c>
      <c r="Y2406" s="91">
        <f>IFERROR(__xludf.DUMMYFUNCTION("IFERROR((IFERROR(FILTER('Fund Investment Data'!$P:$P,'Fund Investment Data'!$C:$C = $C2406,'Fund Investment Data'!$A:$A = ($A2406 - 2), 'Fund Investment Data'!$B:$B = 12),0) - SUM(FILTER('Fund Investment Data'!$V:$V, 'Fund Investment Data'!$C:$C = $C2406,"&amp;" 'Fund Investment Data'!$A:$A = ($A2406 - 2), 'Fund Investment Data'!$B:$B &gt; 3)))  * Parameters!$B$4 * (1 - Parameters!$A$4),0)"),0.0)</f>
        <v>0</v>
      </c>
      <c r="Z2406" s="91">
        <f t="shared" si="24"/>
        <v>0</v>
      </c>
      <c r="AA2406" s="91">
        <f>IFERROR(__xludf.DUMMYFUNCTION("((IFERROR((SUM(FILTER('Fund Investment Data'!$V:$V, 'Fund Investment Data'!$C:$C = $C2406, 'Fund Investment Data'!$A:$A = $A2406 - 1, 'Fund Investment Data'!$B:$B &gt;= 4, 'Fund Investment Data'!$B:$B &lt;= ($B2406 + 5))) / 12) * ($B2406 - 3) * Parameters!$B$4,"&amp;" 0) + IF($B2406 &gt;= 9, IFERROR(SUM(FILTER('Fund Investment Data'!$V:$V, 'Fund Investment Data'!$C:$C = $C2406, 'Fund Investment Data'!$A:$A = $A2406, 'Fund Investment Data'!$B:$B &lt;= 3)) * Parameters!$B$4, 0),0)))"),0.0)</f>
        <v>0</v>
      </c>
      <c r="AB2406" s="32">
        <f>IFERROR(__xludf.DUMMYFUNCTION("IFERROR(((IFERROR(SUM(FILTER('Fund Investment Data'!$V:$V, 'Fund Investment Data'!$C:$C = $C2406, 'Fund Investment Data'!$A:$A = $A2406 - 2, 'Fund Investment Data'!$B:$B &gt;= 4)) * Parameters!$B$4,0) + IFERROR(SUM(FILTER('Fund Investment Data'!$V:$V, 'Fund "&amp;"Investment Data'!$C:$C = $C2406, 'Fund Investment Data'!$A:$A = $A2406 - 1, 'Fund Investment Data'!$B:$B &lt;= 3)) * Parameters!$B$4,0))),0)"),0.0)</f>
        <v>0</v>
      </c>
      <c r="AC2406" s="32">
        <f>IFERROR(__xludf.DUMMYFUNCTION("IFERROR(FILTER($AF:$AF,$C:$C = $C2406,$A:$A = $A2406 - 1,$B:$B = 12),0)"),0.0)</f>
        <v>0</v>
      </c>
      <c r="AD2406" s="32">
        <f t="shared" si="23"/>
        <v>0</v>
      </c>
      <c r="AE2406" s="32">
        <f t="shared" si="2"/>
        <v>0</v>
      </c>
      <c r="AF2406" s="32"/>
    </row>
    <row r="2407">
      <c r="A2407" s="86"/>
      <c r="B2407" s="87"/>
      <c r="C2407" s="88"/>
      <c r="D2407" s="104"/>
      <c r="E2407" s="104"/>
      <c r="F2407" s="104"/>
      <c r="G2407" s="104"/>
      <c r="H2407" s="104"/>
      <c r="I2407" s="104"/>
      <c r="J2407" s="104"/>
      <c r="K2407" s="32"/>
      <c r="L2407" s="32"/>
      <c r="M2407" s="32"/>
      <c r="N2407" s="32"/>
      <c r="O2407" s="106"/>
      <c r="P2407" s="91">
        <f>IFERROR(__xludf.DUMMYFUNCTION("IFERROR(sum(FILTER($D:$N,$C:$C = $C2407,$A:$A &lt; $A2407,$B:$B = 12)),0) + sum($D2407:$N2407)"),0.0)</f>
        <v>0</v>
      </c>
      <c r="Q2407" s="92">
        <f t="shared" si="1"/>
        <v>0</v>
      </c>
      <c r="R2407" s="91">
        <f t="array" ref="R2407">IFERROR(INDEX('Fund YTD Target Values'!$1:$1000, MATCH($C2407,'Fund YTD Target Values'!$A:$A,0), MATCH($A2407,'Fund YTD Target Values'!$1:$1,0)),0)</f>
        <v>0</v>
      </c>
      <c r="S2407" s="91">
        <f>IFERROR(__xludf.DUMMYFUNCTION("IFERROR(sum(FILTER('Fund Investment Data'!$V:$V, 'Fund Investment Data'!$C:$C = $C2407, 'Fund Investment Data'!$A:$A &lt; $A2407)),0) + IFERROR(sum(FILTER('Fund Investment Data'!$V:$V, 'Fund Investment Data'!$C:$C = $C2407, 'Fund Investment Data'!$A:$A = $A2"&amp;"407, 'Fund Investment Data'!$B:$B &lt;= $B2407)),0)"),0.0)</f>
        <v>0</v>
      </c>
      <c r="T2407" s="32"/>
      <c r="U2407" s="32"/>
      <c r="V2407" s="32">
        <f>IFERROR(__xludf.DUMMYFUNCTION("$D2407 - IFERROR(FILTER($D:$D,$C:$C = $C2407, $A:$A = $A2407, $B:$B = $B2407 - 1),0)"),0.0)</f>
        <v>0</v>
      </c>
      <c r="W2407" s="93">
        <f>IFERROR(__xludf.DUMMYFUNCTION("$E2407 - IFERROR(FILTER($E:$E,$C:$C = $C2407, $A:$A = $A2407, $B:$B = $B2407 - 1),0)"),0.0)</f>
        <v>0</v>
      </c>
      <c r="X2407" s="91">
        <f>IFERROR(__xludf.DUMMYFUNCTION("iFERROR((FILTER('Fund Investment Data'!$Z:$Z, 'Fund Investment Data'!$C:$C = $C2407, 'Fund Investment Data'!$A:$A = $A2407 - 1, 'Fund Investment Data'!$B:$B = 12) + FILTER('Fund Investment Data'!$AB:$AB, 'Fund Investment Data'!$C:$C = $C2407, 'Fund Invest"&amp;"ment Data'!$A:$A = $A2407 - 1, 'Fund Investment Data'!$B:$B = 12)) * (1 + AVERAGE(FILTER('Inflation Data'!$C:$C,'Inflation Data'!$A:$A = ($A2407 - 2)))) * Parameters!$A$4,0)"),0.0)</f>
        <v>0</v>
      </c>
      <c r="Y2407" s="91">
        <f>IFERROR(__xludf.DUMMYFUNCTION("IFERROR((IFERROR(FILTER('Fund Investment Data'!$P:$P,'Fund Investment Data'!$C:$C = $C2407,'Fund Investment Data'!$A:$A = ($A2407 - 2), 'Fund Investment Data'!$B:$B = 12),0) - SUM(FILTER('Fund Investment Data'!$V:$V, 'Fund Investment Data'!$C:$C = $C2407,"&amp;" 'Fund Investment Data'!$A:$A = ($A2407 - 2), 'Fund Investment Data'!$B:$B &gt; 3)))  * Parameters!$B$4 * (1 - Parameters!$A$4),0)"),0.0)</f>
        <v>0</v>
      </c>
      <c r="Z2407" s="91">
        <f t="shared" si="24"/>
        <v>0</v>
      </c>
      <c r="AA2407" s="91">
        <f>IFERROR(__xludf.DUMMYFUNCTION("((IFERROR((SUM(FILTER('Fund Investment Data'!$V:$V, 'Fund Investment Data'!$C:$C = $C2407, 'Fund Investment Data'!$A:$A = $A2407 - 1, 'Fund Investment Data'!$B:$B &gt;= 4, 'Fund Investment Data'!$B:$B &lt;= ($B2407 + 5))) / 12) * ($B2407 - 3) * Parameters!$B$4,"&amp;" 0) + IF($B2407 &gt;= 9, IFERROR(SUM(FILTER('Fund Investment Data'!$V:$V, 'Fund Investment Data'!$C:$C = $C2407, 'Fund Investment Data'!$A:$A = $A2407, 'Fund Investment Data'!$B:$B &lt;= 3)) * Parameters!$B$4, 0),0)))"),0.0)</f>
        <v>0</v>
      </c>
      <c r="AB2407" s="32">
        <f>IFERROR(__xludf.DUMMYFUNCTION("IFERROR(((IFERROR(SUM(FILTER('Fund Investment Data'!$V:$V, 'Fund Investment Data'!$C:$C = $C2407, 'Fund Investment Data'!$A:$A = $A2407 - 2, 'Fund Investment Data'!$B:$B &gt;= 4)) * Parameters!$B$4,0) + IFERROR(SUM(FILTER('Fund Investment Data'!$V:$V, 'Fund "&amp;"Investment Data'!$C:$C = $C2407, 'Fund Investment Data'!$A:$A = $A2407 - 1, 'Fund Investment Data'!$B:$B &lt;= 3)) * Parameters!$B$4,0))),0)"),0.0)</f>
        <v>0</v>
      </c>
      <c r="AC2407" s="32">
        <f>IFERROR(__xludf.DUMMYFUNCTION("IFERROR(FILTER($AF:$AF,$C:$C = $C2407,$A:$A = $A2407 - 1,$B:$B = 12),0)"),0.0)</f>
        <v>0</v>
      </c>
      <c r="AD2407" s="32">
        <f t="shared" si="23"/>
        <v>0</v>
      </c>
      <c r="AE2407" s="32">
        <f t="shared" si="2"/>
        <v>0</v>
      </c>
      <c r="AF2407" s="32"/>
    </row>
    <row r="2408">
      <c r="A2408" s="86"/>
      <c r="B2408" s="87"/>
      <c r="C2408" s="88"/>
      <c r="D2408" s="104"/>
      <c r="E2408" s="104"/>
      <c r="F2408" s="104"/>
      <c r="G2408" s="104"/>
      <c r="H2408" s="104"/>
      <c r="I2408" s="104"/>
      <c r="J2408" s="104"/>
      <c r="K2408" s="32"/>
      <c r="L2408" s="32"/>
      <c r="M2408" s="32"/>
      <c r="N2408" s="32"/>
      <c r="O2408" s="106"/>
      <c r="P2408" s="91">
        <f>IFERROR(__xludf.DUMMYFUNCTION("IFERROR(sum(FILTER($D:$N,$C:$C = $C2408,$A:$A &lt; $A2408,$B:$B = 12)),0) + sum($D2408:$N2408)"),0.0)</f>
        <v>0</v>
      </c>
      <c r="Q2408" s="92">
        <f t="shared" si="1"/>
        <v>0</v>
      </c>
      <c r="R2408" s="91">
        <f t="array" ref="R2408">IFERROR(INDEX('Fund YTD Target Values'!$1:$1000, MATCH($C2408,'Fund YTD Target Values'!$A:$A,0), MATCH($A2408,'Fund YTD Target Values'!$1:$1,0)),0)</f>
        <v>0</v>
      </c>
      <c r="S2408" s="91">
        <f>IFERROR(__xludf.DUMMYFUNCTION("IFERROR(sum(FILTER('Fund Investment Data'!$V:$V, 'Fund Investment Data'!$C:$C = $C2408, 'Fund Investment Data'!$A:$A &lt; $A2408)),0) + IFERROR(sum(FILTER('Fund Investment Data'!$V:$V, 'Fund Investment Data'!$C:$C = $C2408, 'Fund Investment Data'!$A:$A = $A2"&amp;"408, 'Fund Investment Data'!$B:$B &lt;= $B2408)),0)"),0.0)</f>
        <v>0</v>
      </c>
      <c r="T2408" s="32"/>
      <c r="U2408" s="32"/>
      <c r="V2408" s="32">
        <f>IFERROR(__xludf.DUMMYFUNCTION("$D2408 - IFERROR(FILTER($D:$D,$C:$C = $C2408, $A:$A = $A2408, $B:$B = $B2408 - 1),0)"),0.0)</f>
        <v>0</v>
      </c>
      <c r="W2408" s="93">
        <f>IFERROR(__xludf.DUMMYFUNCTION("$E2408 - IFERROR(FILTER($E:$E,$C:$C = $C2408, $A:$A = $A2408, $B:$B = $B2408 - 1),0)"),0.0)</f>
        <v>0</v>
      </c>
      <c r="X2408" s="91">
        <f>IFERROR(__xludf.DUMMYFUNCTION("iFERROR((FILTER('Fund Investment Data'!$Z:$Z, 'Fund Investment Data'!$C:$C = $C2408, 'Fund Investment Data'!$A:$A = $A2408 - 1, 'Fund Investment Data'!$B:$B = 12) + FILTER('Fund Investment Data'!$AB:$AB, 'Fund Investment Data'!$C:$C = $C2408, 'Fund Invest"&amp;"ment Data'!$A:$A = $A2408 - 1, 'Fund Investment Data'!$B:$B = 12)) * (1 + AVERAGE(FILTER('Inflation Data'!$C:$C,'Inflation Data'!$A:$A = ($A2408 - 2)))) * Parameters!$A$4,0)"),0.0)</f>
        <v>0</v>
      </c>
      <c r="Y2408" s="91">
        <f>IFERROR(__xludf.DUMMYFUNCTION("IFERROR((IFERROR(FILTER('Fund Investment Data'!$P:$P,'Fund Investment Data'!$C:$C = $C2408,'Fund Investment Data'!$A:$A = ($A2408 - 2), 'Fund Investment Data'!$B:$B = 12),0) - SUM(FILTER('Fund Investment Data'!$V:$V, 'Fund Investment Data'!$C:$C = $C2408,"&amp;" 'Fund Investment Data'!$A:$A = ($A2408 - 2), 'Fund Investment Data'!$B:$B &gt; 3)))  * Parameters!$B$4 * (1 - Parameters!$A$4),0)"),0.0)</f>
        <v>0</v>
      </c>
      <c r="Z2408" s="91">
        <f t="shared" si="24"/>
        <v>0</v>
      </c>
      <c r="AA2408" s="91">
        <f>IFERROR(__xludf.DUMMYFUNCTION("((IFERROR((SUM(FILTER('Fund Investment Data'!$V:$V, 'Fund Investment Data'!$C:$C = $C2408, 'Fund Investment Data'!$A:$A = $A2408 - 1, 'Fund Investment Data'!$B:$B &gt;= 4, 'Fund Investment Data'!$B:$B &lt;= ($B2408 + 5))) / 12) * ($B2408 - 3) * Parameters!$B$4,"&amp;" 0) + IF($B2408 &gt;= 9, IFERROR(SUM(FILTER('Fund Investment Data'!$V:$V, 'Fund Investment Data'!$C:$C = $C2408, 'Fund Investment Data'!$A:$A = $A2408, 'Fund Investment Data'!$B:$B &lt;= 3)) * Parameters!$B$4, 0),0)))"),0.0)</f>
        <v>0</v>
      </c>
      <c r="AB2408" s="32">
        <f>IFERROR(__xludf.DUMMYFUNCTION("IFERROR(((IFERROR(SUM(FILTER('Fund Investment Data'!$V:$V, 'Fund Investment Data'!$C:$C = $C2408, 'Fund Investment Data'!$A:$A = $A2408 - 2, 'Fund Investment Data'!$B:$B &gt;= 4)) * Parameters!$B$4,0) + IFERROR(SUM(FILTER('Fund Investment Data'!$V:$V, 'Fund "&amp;"Investment Data'!$C:$C = $C2408, 'Fund Investment Data'!$A:$A = $A2408 - 1, 'Fund Investment Data'!$B:$B &lt;= 3)) * Parameters!$B$4,0))),0)"),0.0)</f>
        <v>0</v>
      </c>
      <c r="AC2408" s="32">
        <f>IFERROR(__xludf.DUMMYFUNCTION("IFERROR(FILTER($AF:$AF,$C:$C = $C2408,$A:$A = $A2408 - 1,$B:$B = 12),0)"),0.0)</f>
        <v>0</v>
      </c>
      <c r="AD2408" s="32">
        <f t="shared" si="23"/>
        <v>0</v>
      </c>
      <c r="AE2408" s="32">
        <f t="shared" si="2"/>
        <v>0</v>
      </c>
      <c r="AF2408" s="32"/>
    </row>
    <row r="2409">
      <c r="A2409" s="86"/>
      <c r="B2409" s="87"/>
      <c r="C2409" s="88"/>
      <c r="D2409" s="104"/>
      <c r="E2409" s="104"/>
      <c r="F2409" s="104"/>
      <c r="G2409" s="104"/>
      <c r="H2409" s="104"/>
      <c r="I2409" s="104"/>
      <c r="J2409" s="104"/>
      <c r="K2409" s="32"/>
      <c r="L2409" s="32"/>
      <c r="M2409" s="32"/>
      <c r="N2409" s="32"/>
      <c r="O2409" s="106"/>
      <c r="P2409" s="91">
        <f>IFERROR(__xludf.DUMMYFUNCTION("IFERROR(sum(FILTER($D:$N,$C:$C = $C2409,$A:$A &lt; $A2409,$B:$B = 12)),0) + sum($D2409:$N2409)"),0.0)</f>
        <v>0</v>
      </c>
      <c r="Q2409" s="92">
        <f t="shared" si="1"/>
        <v>0</v>
      </c>
      <c r="R2409" s="91">
        <f t="array" ref="R2409">IFERROR(INDEX('Fund YTD Target Values'!$1:$1000, MATCH($C2409,'Fund YTD Target Values'!$A:$A,0), MATCH($A2409,'Fund YTD Target Values'!$1:$1,0)),0)</f>
        <v>0</v>
      </c>
      <c r="S2409" s="91">
        <f>IFERROR(__xludf.DUMMYFUNCTION("IFERROR(sum(FILTER('Fund Investment Data'!$V:$V, 'Fund Investment Data'!$C:$C = $C2409, 'Fund Investment Data'!$A:$A &lt; $A2409)),0) + IFERROR(sum(FILTER('Fund Investment Data'!$V:$V, 'Fund Investment Data'!$C:$C = $C2409, 'Fund Investment Data'!$A:$A = $A2"&amp;"409, 'Fund Investment Data'!$B:$B &lt;= $B2409)),0)"),0.0)</f>
        <v>0</v>
      </c>
      <c r="T2409" s="32"/>
      <c r="U2409" s="32"/>
      <c r="V2409" s="32">
        <f>IFERROR(__xludf.DUMMYFUNCTION("$D2409 - IFERROR(FILTER($D:$D,$C:$C = $C2409, $A:$A = $A2409, $B:$B = $B2409 - 1),0)"),0.0)</f>
        <v>0</v>
      </c>
      <c r="W2409" s="93">
        <f>IFERROR(__xludf.DUMMYFUNCTION("$E2409 - IFERROR(FILTER($E:$E,$C:$C = $C2409, $A:$A = $A2409, $B:$B = $B2409 - 1),0)"),0.0)</f>
        <v>0</v>
      </c>
      <c r="X2409" s="91">
        <f>IFERROR(__xludf.DUMMYFUNCTION("iFERROR((FILTER('Fund Investment Data'!$Z:$Z, 'Fund Investment Data'!$C:$C = $C2409, 'Fund Investment Data'!$A:$A = $A2409 - 1, 'Fund Investment Data'!$B:$B = 12) + FILTER('Fund Investment Data'!$AB:$AB, 'Fund Investment Data'!$C:$C = $C2409, 'Fund Invest"&amp;"ment Data'!$A:$A = $A2409 - 1, 'Fund Investment Data'!$B:$B = 12)) * (1 + AVERAGE(FILTER('Inflation Data'!$C:$C,'Inflation Data'!$A:$A = ($A2409 - 2)))) * Parameters!$A$4,0)"),0.0)</f>
        <v>0</v>
      </c>
      <c r="Y2409" s="91">
        <f>IFERROR(__xludf.DUMMYFUNCTION("IFERROR((IFERROR(FILTER('Fund Investment Data'!$P:$P,'Fund Investment Data'!$C:$C = $C2409,'Fund Investment Data'!$A:$A = ($A2409 - 2), 'Fund Investment Data'!$B:$B = 12),0) - SUM(FILTER('Fund Investment Data'!$V:$V, 'Fund Investment Data'!$C:$C = $C2409,"&amp;" 'Fund Investment Data'!$A:$A = ($A2409 - 2), 'Fund Investment Data'!$B:$B &gt; 3)))  * Parameters!$B$4 * (1 - Parameters!$A$4),0)"),0.0)</f>
        <v>0</v>
      </c>
      <c r="Z2409" s="91">
        <f t="shared" si="24"/>
        <v>0</v>
      </c>
      <c r="AA2409" s="91">
        <f>IFERROR(__xludf.DUMMYFUNCTION("((IFERROR((SUM(FILTER('Fund Investment Data'!$V:$V, 'Fund Investment Data'!$C:$C = $C2409, 'Fund Investment Data'!$A:$A = $A2409 - 1, 'Fund Investment Data'!$B:$B &gt;= 4, 'Fund Investment Data'!$B:$B &lt;= ($B2409 + 5))) / 12) * ($B2409 - 3) * Parameters!$B$4,"&amp;" 0) + IF($B2409 &gt;= 9, IFERROR(SUM(FILTER('Fund Investment Data'!$V:$V, 'Fund Investment Data'!$C:$C = $C2409, 'Fund Investment Data'!$A:$A = $A2409, 'Fund Investment Data'!$B:$B &lt;= 3)) * Parameters!$B$4, 0),0)))"),0.0)</f>
        <v>0</v>
      </c>
      <c r="AB2409" s="32">
        <f>IFERROR(__xludf.DUMMYFUNCTION("IFERROR(((IFERROR(SUM(FILTER('Fund Investment Data'!$V:$V, 'Fund Investment Data'!$C:$C = $C2409, 'Fund Investment Data'!$A:$A = $A2409 - 2, 'Fund Investment Data'!$B:$B &gt;= 4)) * Parameters!$B$4,0) + IFERROR(SUM(FILTER('Fund Investment Data'!$V:$V, 'Fund "&amp;"Investment Data'!$C:$C = $C2409, 'Fund Investment Data'!$A:$A = $A2409 - 1, 'Fund Investment Data'!$B:$B &lt;= 3)) * Parameters!$B$4,0))),0)"),0.0)</f>
        <v>0</v>
      </c>
      <c r="AC2409" s="32">
        <f>IFERROR(__xludf.DUMMYFUNCTION("IFERROR(FILTER($AF:$AF,$C:$C = $C2409,$A:$A = $A2409 - 1,$B:$B = 12),0)"),0.0)</f>
        <v>0</v>
      </c>
      <c r="AD2409" s="32">
        <f t="shared" si="23"/>
        <v>0</v>
      </c>
      <c r="AE2409" s="32">
        <f t="shared" si="2"/>
        <v>0</v>
      </c>
      <c r="AF2409" s="32"/>
    </row>
    <row r="2410">
      <c r="A2410" s="86"/>
      <c r="B2410" s="87"/>
      <c r="C2410" s="88"/>
      <c r="D2410" s="104"/>
      <c r="E2410" s="104"/>
      <c r="F2410" s="104"/>
      <c r="G2410" s="104"/>
      <c r="H2410" s="104"/>
      <c r="I2410" s="104"/>
      <c r="J2410" s="104"/>
      <c r="K2410" s="32"/>
      <c r="L2410" s="32"/>
      <c r="M2410" s="32"/>
      <c r="N2410" s="32"/>
      <c r="O2410" s="106"/>
      <c r="P2410" s="91">
        <f>IFERROR(__xludf.DUMMYFUNCTION("IFERROR(sum(FILTER($D:$N,$C:$C = $C2410,$A:$A &lt; $A2410,$B:$B = 12)),0) + sum($D2410:$N2410)"),0.0)</f>
        <v>0</v>
      </c>
      <c r="Q2410" s="92">
        <f t="shared" si="1"/>
        <v>0</v>
      </c>
      <c r="R2410" s="91">
        <f t="array" ref="R2410">IFERROR(INDEX('Fund YTD Target Values'!$1:$1000, MATCH($C2410,'Fund YTD Target Values'!$A:$A,0), MATCH($A2410,'Fund YTD Target Values'!$1:$1,0)),0)</f>
        <v>0</v>
      </c>
      <c r="S2410" s="91">
        <f>IFERROR(__xludf.DUMMYFUNCTION("IFERROR(sum(FILTER('Fund Investment Data'!$V:$V, 'Fund Investment Data'!$C:$C = $C2410, 'Fund Investment Data'!$A:$A &lt; $A2410)),0) + IFERROR(sum(FILTER('Fund Investment Data'!$V:$V, 'Fund Investment Data'!$C:$C = $C2410, 'Fund Investment Data'!$A:$A = $A2"&amp;"410, 'Fund Investment Data'!$B:$B &lt;= $B2410)),0)"),0.0)</f>
        <v>0</v>
      </c>
      <c r="T2410" s="32"/>
      <c r="U2410" s="32"/>
      <c r="V2410" s="32">
        <f>IFERROR(__xludf.DUMMYFUNCTION("$D2410 - IFERROR(FILTER($D:$D,$C:$C = $C2410, $A:$A = $A2410, $B:$B = $B2410 - 1),0)"),0.0)</f>
        <v>0</v>
      </c>
      <c r="W2410" s="93">
        <f>IFERROR(__xludf.DUMMYFUNCTION("$E2410 - IFERROR(FILTER($E:$E,$C:$C = $C2410, $A:$A = $A2410, $B:$B = $B2410 - 1),0)"),0.0)</f>
        <v>0</v>
      </c>
      <c r="X2410" s="91">
        <f>IFERROR(__xludf.DUMMYFUNCTION("iFERROR((FILTER('Fund Investment Data'!$Z:$Z, 'Fund Investment Data'!$C:$C = $C2410, 'Fund Investment Data'!$A:$A = $A2410 - 1, 'Fund Investment Data'!$B:$B = 12) + FILTER('Fund Investment Data'!$AB:$AB, 'Fund Investment Data'!$C:$C = $C2410, 'Fund Invest"&amp;"ment Data'!$A:$A = $A2410 - 1, 'Fund Investment Data'!$B:$B = 12)) * (1 + AVERAGE(FILTER('Inflation Data'!$C:$C,'Inflation Data'!$A:$A = ($A2410 - 2)))) * Parameters!$A$4,0)"),0.0)</f>
        <v>0</v>
      </c>
      <c r="Y2410" s="91">
        <f>IFERROR(__xludf.DUMMYFUNCTION("IFERROR((IFERROR(FILTER('Fund Investment Data'!$P:$P,'Fund Investment Data'!$C:$C = $C2410,'Fund Investment Data'!$A:$A = ($A2410 - 2), 'Fund Investment Data'!$B:$B = 12),0) - SUM(FILTER('Fund Investment Data'!$V:$V, 'Fund Investment Data'!$C:$C = $C2410,"&amp;" 'Fund Investment Data'!$A:$A = ($A2410 - 2), 'Fund Investment Data'!$B:$B &gt; 3)))  * Parameters!$B$4 * (1 - Parameters!$A$4),0)"),0.0)</f>
        <v>0</v>
      </c>
      <c r="Z2410" s="91">
        <f t="shared" si="24"/>
        <v>0</v>
      </c>
      <c r="AA2410" s="91">
        <f>IFERROR(__xludf.DUMMYFUNCTION("((IFERROR((SUM(FILTER('Fund Investment Data'!$V:$V, 'Fund Investment Data'!$C:$C = $C2410, 'Fund Investment Data'!$A:$A = $A2410 - 1, 'Fund Investment Data'!$B:$B &gt;= 4, 'Fund Investment Data'!$B:$B &lt;= ($B2410 + 5))) / 12) * ($B2410 - 3) * Parameters!$B$4,"&amp;" 0) + IF($B2410 &gt;= 9, IFERROR(SUM(FILTER('Fund Investment Data'!$V:$V, 'Fund Investment Data'!$C:$C = $C2410, 'Fund Investment Data'!$A:$A = $A2410, 'Fund Investment Data'!$B:$B &lt;= 3)) * Parameters!$B$4, 0),0)))"),0.0)</f>
        <v>0</v>
      </c>
      <c r="AB2410" s="32">
        <f>IFERROR(__xludf.DUMMYFUNCTION("IFERROR(((IFERROR(SUM(FILTER('Fund Investment Data'!$V:$V, 'Fund Investment Data'!$C:$C = $C2410, 'Fund Investment Data'!$A:$A = $A2410 - 2, 'Fund Investment Data'!$B:$B &gt;= 4)) * Parameters!$B$4,0) + IFERROR(SUM(FILTER('Fund Investment Data'!$V:$V, 'Fund "&amp;"Investment Data'!$C:$C = $C2410, 'Fund Investment Data'!$A:$A = $A2410 - 1, 'Fund Investment Data'!$B:$B &lt;= 3)) * Parameters!$B$4,0))),0)"),0.0)</f>
        <v>0</v>
      </c>
      <c r="AC2410" s="32">
        <f>IFERROR(__xludf.DUMMYFUNCTION("IFERROR(FILTER($AF:$AF,$C:$C = $C2410,$A:$A = $A2410 - 1,$B:$B = 12),0)"),0.0)</f>
        <v>0</v>
      </c>
      <c r="AD2410" s="32">
        <f t="shared" si="23"/>
        <v>0</v>
      </c>
      <c r="AE2410" s="32">
        <f t="shared" si="2"/>
        <v>0</v>
      </c>
      <c r="AF2410" s="32"/>
    </row>
    <row r="2411">
      <c r="A2411" s="86"/>
      <c r="B2411" s="87"/>
      <c r="C2411" s="88"/>
      <c r="D2411" s="104"/>
      <c r="E2411" s="104"/>
      <c r="F2411" s="104"/>
      <c r="G2411" s="104"/>
      <c r="H2411" s="104"/>
      <c r="I2411" s="104"/>
      <c r="J2411" s="104"/>
      <c r="K2411" s="32"/>
      <c r="L2411" s="32"/>
      <c r="M2411" s="32"/>
      <c r="N2411" s="32"/>
      <c r="O2411" s="106"/>
      <c r="P2411" s="91">
        <f>IFERROR(__xludf.DUMMYFUNCTION("IFERROR(sum(FILTER($D:$N,$C:$C = $C2411,$A:$A &lt; $A2411,$B:$B = 12)),0) + sum($D2411:$N2411)"),0.0)</f>
        <v>0</v>
      </c>
      <c r="Q2411" s="92">
        <f t="shared" si="1"/>
        <v>0</v>
      </c>
      <c r="R2411" s="91">
        <f t="array" ref="R2411">IFERROR(INDEX('Fund YTD Target Values'!$1:$1000, MATCH($C2411,'Fund YTD Target Values'!$A:$A,0), MATCH($A2411,'Fund YTD Target Values'!$1:$1,0)),0)</f>
        <v>0</v>
      </c>
      <c r="S2411" s="91">
        <f>IFERROR(__xludf.DUMMYFUNCTION("IFERROR(sum(FILTER('Fund Investment Data'!$V:$V, 'Fund Investment Data'!$C:$C = $C2411, 'Fund Investment Data'!$A:$A &lt; $A2411)),0) + IFERROR(sum(FILTER('Fund Investment Data'!$V:$V, 'Fund Investment Data'!$C:$C = $C2411, 'Fund Investment Data'!$A:$A = $A2"&amp;"411, 'Fund Investment Data'!$B:$B &lt;= $B2411)),0)"),0.0)</f>
        <v>0</v>
      </c>
      <c r="T2411" s="32"/>
      <c r="U2411" s="32"/>
      <c r="V2411" s="32">
        <f>IFERROR(__xludf.DUMMYFUNCTION("$D2411 - IFERROR(FILTER($D:$D,$C:$C = $C2411, $A:$A = $A2411, $B:$B = $B2411 - 1),0)"),0.0)</f>
        <v>0</v>
      </c>
      <c r="W2411" s="93">
        <f>IFERROR(__xludf.DUMMYFUNCTION("$E2411 - IFERROR(FILTER($E:$E,$C:$C = $C2411, $A:$A = $A2411, $B:$B = $B2411 - 1),0)"),0.0)</f>
        <v>0</v>
      </c>
      <c r="X2411" s="91">
        <f>IFERROR(__xludf.DUMMYFUNCTION("iFERROR((FILTER('Fund Investment Data'!$Z:$Z, 'Fund Investment Data'!$C:$C = $C2411, 'Fund Investment Data'!$A:$A = $A2411 - 1, 'Fund Investment Data'!$B:$B = 12) + FILTER('Fund Investment Data'!$AB:$AB, 'Fund Investment Data'!$C:$C = $C2411, 'Fund Invest"&amp;"ment Data'!$A:$A = $A2411 - 1, 'Fund Investment Data'!$B:$B = 12)) * (1 + AVERAGE(FILTER('Inflation Data'!$C:$C,'Inflation Data'!$A:$A = ($A2411 - 2)))) * Parameters!$A$4,0)"),0.0)</f>
        <v>0</v>
      </c>
      <c r="Y2411" s="91">
        <f>IFERROR(__xludf.DUMMYFUNCTION("IFERROR((IFERROR(FILTER('Fund Investment Data'!$P:$P,'Fund Investment Data'!$C:$C = $C2411,'Fund Investment Data'!$A:$A = ($A2411 - 2), 'Fund Investment Data'!$B:$B = 12),0) - SUM(FILTER('Fund Investment Data'!$V:$V, 'Fund Investment Data'!$C:$C = $C2411,"&amp;" 'Fund Investment Data'!$A:$A = ($A2411 - 2), 'Fund Investment Data'!$B:$B &gt; 3)))  * Parameters!$B$4 * (1 - Parameters!$A$4),0)"),0.0)</f>
        <v>0</v>
      </c>
      <c r="Z2411" s="91">
        <f t="shared" si="24"/>
        <v>0</v>
      </c>
      <c r="AA2411" s="91">
        <f>IFERROR(__xludf.DUMMYFUNCTION("((IFERROR((SUM(FILTER('Fund Investment Data'!$V:$V, 'Fund Investment Data'!$C:$C = $C2411, 'Fund Investment Data'!$A:$A = $A2411 - 1, 'Fund Investment Data'!$B:$B &gt;= 4, 'Fund Investment Data'!$B:$B &lt;= ($B2411 + 5))) / 12) * ($B2411 - 3) * Parameters!$B$4,"&amp;" 0) + IF($B2411 &gt;= 9, IFERROR(SUM(FILTER('Fund Investment Data'!$V:$V, 'Fund Investment Data'!$C:$C = $C2411, 'Fund Investment Data'!$A:$A = $A2411, 'Fund Investment Data'!$B:$B &lt;= 3)) * Parameters!$B$4, 0),0)))"),0.0)</f>
        <v>0</v>
      </c>
      <c r="AB2411" s="32">
        <f>IFERROR(__xludf.DUMMYFUNCTION("IFERROR(((IFERROR(SUM(FILTER('Fund Investment Data'!$V:$V, 'Fund Investment Data'!$C:$C = $C2411, 'Fund Investment Data'!$A:$A = $A2411 - 2, 'Fund Investment Data'!$B:$B &gt;= 4)) * Parameters!$B$4,0) + IFERROR(SUM(FILTER('Fund Investment Data'!$V:$V, 'Fund "&amp;"Investment Data'!$C:$C = $C2411, 'Fund Investment Data'!$A:$A = $A2411 - 1, 'Fund Investment Data'!$B:$B &lt;= 3)) * Parameters!$B$4,0))),0)"),0.0)</f>
        <v>0</v>
      </c>
      <c r="AC2411" s="32">
        <f>IFERROR(__xludf.DUMMYFUNCTION("IFERROR(FILTER($AF:$AF,$C:$C = $C2411,$A:$A = $A2411 - 1,$B:$B = 12),0)"),0.0)</f>
        <v>0</v>
      </c>
      <c r="AD2411" s="32">
        <f t="shared" si="23"/>
        <v>0</v>
      </c>
      <c r="AE2411" s="32">
        <f t="shared" si="2"/>
        <v>0</v>
      </c>
      <c r="AF2411" s="32"/>
    </row>
    <row r="2412">
      <c r="A2412" s="86"/>
      <c r="B2412" s="87"/>
      <c r="C2412" s="88"/>
      <c r="D2412" s="104"/>
      <c r="E2412" s="104"/>
      <c r="F2412" s="104"/>
      <c r="G2412" s="104"/>
      <c r="H2412" s="104"/>
      <c r="I2412" s="104"/>
      <c r="J2412" s="104"/>
      <c r="K2412" s="32"/>
      <c r="L2412" s="32"/>
      <c r="M2412" s="32"/>
      <c r="N2412" s="32"/>
      <c r="O2412" s="106"/>
      <c r="P2412" s="91">
        <f>IFERROR(__xludf.DUMMYFUNCTION("IFERROR(sum(FILTER($D:$N,$C:$C = $C2412,$A:$A &lt; $A2412,$B:$B = 12)),0) + sum($D2412:$N2412)"),0.0)</f>
        <v>0</v>
      </c>
      <c r="Q2412" s="92">
        <f t="shared" si="1"/>
        <v>0</v>
      </c>
      <c r="R2412" s="91">
        <f t="array" ref="R2412">IFERROR(INDEX('Fund YTD Target Values'!$1:$1000, MATCH($C2412,'Fund YTD Target Values'!$A:$A,0), MATCH($A2412,'Fund YTD Target Values'!$1:$1,0)),0)</f>
        <v>0</v>
      </c>
      <c r="S2412" s="91">
        <f>IFERROR(__xludf.DUMMYFUNCTION("IFERROR(sum(FILTER('Fund Investment Data'!$V:$V, 'Fund Investment Data'!$C:$C = $C2412, 'Fund Investment Data'!$A:$A &lt; $A2412)),0) + IFERROR(sum(FILTER('Fund Investment Data'!$V:$V, 'Fund Investment Data'!$C:$C = $C2412, 'Fund Investment Data'!$A:$A = $A2"&amp;"412, 'Fund Investment Data'!$B:$B &lt;= $B2412)),0)"),0.0)</f>
        <v>0</v>
      </c>
      <c r="T2412" s="32"/>
      <c r="U2412" s="32"/>
      <c r="V2412" s="32">
        <f>IFERROR(__xludf.DUMMYFUNCTION("$D2412 - IFERROR(FILTER($D:$D,$C:$C = $C2412, $A:$A = $A2412, $B:$B = $B2412 - 1),0)"),0.0)</f>
        <v>0</v>
      </c>
      <c r="W2412" s="93">
        <f>IFERROR(__xludf.DUMMYFUNCTION("$E2412 - IFERROR(FILTER($E:$E,$C:$C = $C2412, $A:$A = $A2412, $B:$B = $B2412 - 1),0)"),0.0)</f>
        <v>0</v>
      </c>
      <c r="X2412" s="91">
        <f>IFERROR(__xludf.DUMMYFUNCTION("iFERROR((FILTER('Fund Investment Data'!$Z:$Z, 'Fund Investment Data'!$C:$C = $C2412, 'Fund Investment Data'!$A:$A = $A2412 - 1, 'Fund Investment Data'!$B:$B = 12) + FILTER('Fund Investment Data'!$AB:$AB, 'Fund Investment Data'!$C:$C = $C2412, 'Fund Invest"&amp;"ment Data'!$A:$A = $A2412 - 1, 'Fund Investment Data'!$B:$B = 12)) * (1 + AVERAGE(FILTER('Inflation Data'!$C:$C,'Inflation Data'!$A:$A = ($A2412 - 2)))) * Parameters!$A$4,0)"),0.0)</f>
        <v>0</v>
      </c>
      <c r="Y2412" s="91">
        <f>IFERROR(__xludf.DUMMYFUNCTION("IFERROR((IFERROR(FILTER('Fund Investment Data'!$P:$P,'Fund Investment Data'!$C:$C = $C2412,'Fund Investment Data'!$A:$A = ($A2412 - 2), 'Fund Investment Data'!$B:$B = 12),0) - SUM(FILTER('Fund Investment Data'!$V:$V, 'Fund Investment Data'!$C:$C = $C2412,"&amp;" 'Fund Investment Data'!$A:$A = ($A2412 - 2), 'Fund Investment Data'!$B:$B &gt; 3)))  * Parameters!$B$4 * (1 - Parameters!$A$4),0)"),0.0)</f>
        <v>0</v>
      </c>
      <c r="Z2412" s="91">
        <f t="shared" si="24"/>
        <v>0</v>
      </c>
      <c r="AA2412" s="91">
        <f>IFERROR(__xludf.DUMMYFUNCTION("((IFERROR((SUM(FILTER('Fund Investment Data'!$V:$V, 'Fund Investment Data'!$C:$C = $C2412, 'Fund Investment Data'!$A:$A = $A2412 - 1, 'Fund Investment Data'!$B:$B &gt;= 4, 'Fund Investment Data'!$B:$B &lt;= ($B2412 + 5))) / 12) * ($B2412 - 3) * Parameters!$B$4,"&amp;" 0) + IF($B2412 &gt;= 9, IFERROR(SUM(FILTER('Fund Investment Data'!$V:$V, 'Fund Investment Data'!$C:$C = $C2412, 'Fund Investment Data'!$A:$A = $A2412, 'Fund Investment Data'!$B:$B &lt;= 3)) * Parameters!$B$4, 0),0)))"),0.0)</f>
        <v>0</v>
      </c>
      <c r="AB2412" s="32">
        <f>IFERROR(__xludf.DUMMYFUNCTION("IFERROR(((IFERROR(SUM(FILTER('Fund Investment Data'!$V:$V, 'Fund Investment Data'!$C:$C = $C2412, 'Fund Investment Data'!$A:$A = $A2412 - 2, 'Fund Investment Data'!$B:$B &gt;= 4)) * Parameters!$B$4,0) + IFERROR(SUM(FILTER('Fund Investment Data'!$V:$V, 'Fund "&amp;"Investment Data'!$C:$C = $C2412, 'Fund Investment Data'!$A:$A = $A2412 - 1, 'Fund Investment Data'!$B:$B &lt;= 3)) * Parameters!$B$4,0))),0)"),0.0)</f>
        <v>0</v>
      </c>
      <c r="AC2412" s="32">
        <f>IFERROR(__xludf.DUMMYFUNCTION("IFERROR(FILTER($AF:$AF,$C:$C = $C2412,$A:$A = $A2412 - 1,$B:$B = 12),0)"),0.0)</f>
        <v>0</v>
      </c>
      <c r="AD2412" s="32">
        <f t="shared" si="23"/>
        <v>0</v>
      </c>
      <c r="AE2412" s="32">
        <f t="shared" si="2"/>
        <v>0</v>
      </c>
      <c r="AF2412" s="32"/>
    </row>
    <row r="2413">
      <c r="A2413" s="86"/>
      <c r="B2413" s="87"/>
      <c r="C2413" s="88"/>
      <c r="D2413" s="104"/>
      <c r="E2413" s="104"/>
      <c r="F2413" s="104"/>
      <c r="G2413" s="104"/>
      <c r="H2413" s="104"/>
      <c r="I2413" s="104"/>
      <c r="J2413" s="104"/>
      <c r="K2413" s="32"/>
      <c r="L2413" s="32"/>
      <c r="M2413" s="32"/>
      <c r="N2413" s="32"/>
      <c r="O2413" s="106"/>
      <c r="P2413" s="91">
        <f>IFERROR(__xludf.DUMMYFUNCTION("IFERROR(sum(FILTER($D:$N,$C:$C = $C2413,$A:$A &lt; $A2413,$B:$B = 12)),0) + sum($D2413:$N2413)"),0.0)</f>
        <v>0</v>
      </c>
      <c r="Q2413" s="92">
        <f t="shared" si="1"/>
        <v>0</v>
      </c>
      <c r="R2413" s="91">
        <f t="array" ref="R2413">IFERROR(INDEX('Fund YTD Target Values'!$1:$1000, MATCH($C2413,'Fund YTD Target Values'!$A:$A,0), MATCH($A2413,'Fund YTD Target Values'!$1:$1,0)),0)</f>
        <v>0</v>
      </c>
      <c r="S2413" s="91">
        <f>IFERROR(__xludf.DUMMYFUNCTION("IFERROR(sum(FILTER('Fund Investment Data'!$V:$V, 'Fund Investment Data'!$C:$C = $C2413, 'Fund Investment Data'!$A:$A &lt; $A2413)),0) + IFERROR(sum(FILTER('Fund Investment Data'!$V:$V, 'Fund Investment Data'!$C:$C = $C2413, 'Fund Investment Data'!$A:$A = $A2"&amp;"413, 'Fund Investment Data'!$B:$B &lt;= $B2413)),0)"),0.0)</f>
        <v>0</v>
      </c>
      <c r="T2413" s="32"/>
      <c r="U2413" s="32"/>
      <c r="V2413" s="32">
        <f>IFERROR(__xludf.DUMMYFUNCTION("$D2413 - IFERROR(FILTER($D:$D,$C:$C = $C2413, $A:$A = $A2413, $B:$B = $B2413 - 1),0)"),0.0)</f>
        <v>0</v>
      </c>
      <c r="W2413" s="93">
        <f>IFERROR(__xludf.DUMMYFUNCTION("$E2413 - IFERROR(FILTER($E:$E,$C:$C = $C2413, $A:$A = $A2413, $B:$B = $B2413 - 1),0)"),0.0)</f>
        <v>0</v>
      </c>
      <c r="X2413" s="91">
        <f>IFERROR(__xludf.DUMMYFUNCTION("iFERROR((FILTER('Fund Investment Data'!$Z:$Z, 'Fund Investment Data'!$C:$C = $C2413, 'Fund Investment Data'!$A:$A = $A2413 - 1, 'Fund Investment Data'!$B:$B = 12) + FILTER('Fund Investment Data'!$AB:$AB, 'Fund Investment Data'!$C:$C = $C2413, 'Fund Invest"&amp;"ment Data'!$A:$A = $A2413 - 1, 'Fund Investment Data'!$B:$B = 12)) * (1 + AVERAGE(FILTER('Inflation Data'!$C:$C,'Inflation Data'!$A:$A = ($A2413 - 2)))) * Parameters!$A$4,0)"),0.0)</f>
        <v>0</v>
      </c>
      <c r="Y2413" s="91">
        <f>IFERROR(__xludf.DUMMYFUNCTION("IFERROR((IFERROR(FILTER('Fund Investment Data'!$P:$P,'Fund Investment Data'!$C:$C = $C2413,'Fund Investment Data'!$A:$A = ($A2413 - 2), 'Fund Investment Data'!$B:$B = 12),0) - SUM(FILTER('Fund Investment Data'!$V:$V, 'Fund Investment Data'!$C:$C = $C2413,"&amp;" 'Fund Investment Data'!$A:$A = ($A2413 - 2), 'Fund Investment Data'!$B:$B &gt; 3)))  * Parameters!$B$4 * (1 - Parameters!$A$4),0)"),0.0)</f>
        <v>0</v>
      </c>
      <c r="Z2413" s="91">
        <f t="shared" si="24"/>
        <v>0</v>
      </c>
      <c r="AA2413" s="91">
        <f>IFERROR(__xludf.DUMMYFUNCTION("((IFERROR((SUM(FILTER('Fund Investment Data'!$V:$V, 'Fund Investment Data'!$C:$C = $C2413, 'Fund Investment Data'!$A:$A = $A2413 - 1, 'Fund Investment Data'!$B:$B &gt;= 4, 'Fund Investment Data'!$B:$B &lt;= ($B2413 + 5))) / 12) * ($B2413 - 3) * Parameters!$B$4,"&amp;" 0) + IF($B2413 &gt;= 9, IFERROR(SUM(FILTER('Fund Investment Data'!$V:$V, 'Fund Investment Data'!$C:$C = $C2413, 'Fund Investment Data'!$A:$A = $A2413, 'Fund Investment Data'!$B:$B &lt;= 3)) * Parameters!$B$4, 0),0)))"),0.0)</f>
        <v>0</v>
      </c>
      <c r="AB2413" s="32">
        <f>IFERROR(__xludf.DUMMYFUNCTION("IFERROR(((IFERROR(SUM(FILTER('Fund Investment Data'!$V:$V, 'Fund Investment Data'!$C:$C = $C2413, 'Fund Investment Data'!$A:$A = $A2413 - 2, 'Fund Investment Data'!$B:$B &gt;= 4)) * Parameters!$B$4,0) + IFERROR(SUM(FILTER('Fund Investment Data'!$V:$V, 'Fund "&amp;"Investment Data'!$C:$C = $C2413, 'Fund Investment Data'!$A:$A = $A2413 - 1, 'Fund Investment Data'!$B:$B &lt;= 3)) * Parameters!$B$4,0))),0)"),0.0)</f>
        <v>0</v>
      </c>
      <c r="AC2413" s="32">
        <f>IFERROR(__xludf.DUMMYFUNCTION("IFERROR(FILTER($AF:$AF,$C:$C = $C2413,$A:$A = $A2413 - 1,$B:$B = 12),0)"),0.0)</f>
        <v>0</v>
      </c>
      <c r="AD2413" s="32">
        <f t="shared" si="23"/>
        <v>0</v>
      </c>
      <c r="AE2413" s="32">
        <f t="shared" si="2"/>
        <v>0</v>
      </c>
      <c r="AF2413" s="32"/>
    </row>
    <row r="2414">
      <c r="A2414" s="86"/>
      <c r="B2414" s="87"/>
      <c r="C2414" s="88"/>
      <c r="D2414" s="104"/>
      <c r="E2414" s="104"/>
      <c r="F2414" s="104"/>
      <c r="G2414" s="104"/>
      <c r="H2414" s="104"/>
      <c r="I2414" s="104"/>
      <c r="J2414" s="104"/>
      <c r="K2414" s="32"/>
      <c r="L2414" s="32"/>
      <c r="M2414" s="32"/>
      <c r="N2414" s="32"/>
      <c r="O2414" s="106"/>
      <c r="P2414" s="91">
        <f>IFERROR(__xludf.DUMMYFUNCTION("IFERROR(sum(FILTER($D:$N,$C:$C = $C2414,$A:$A &lt; $A2414,$B:$B = 12)),0) + sum($D2414:$N2414)"),0.0)</f>
        <v>0</v>
      </c>
      <c r="Q2414" s="92">
        <f t="shared" si="1"/>
        <v>0</v>
      </c>
      <c r="R2414" s="91">
        <f t="array" ref="R2414">IFERROR(INDEX('Fund YTD Target Values'!$1:$1000, MATCH($C2414,'Fund YTD Target Values'!$A:$A,0), MATCH($A2414,'Fund YTD Target Values'!$1:$1,0)),0)</f>
        <v>0</v>
      </c>
      <c r="S2414" s="91">
        <f>IFERROR(__xludf.DUMMYFUNCTION("IFERROR(sum(FILTER('Fund Investment Data'!$V:$V, 'Fund Investment Data'!$C:$C = $C2414, 'Fund Investment Data'!$A:$A &lt; $A2414)),0) + IFERROR(sum(FILTER('Fund Investment Data'!$V:$V, 'Fund Investment Data'!$C:$C = $C2414, 'Fund Investment Data'!$A:$A = $A2"&amp;"414, 'Fund Investment Data'!$B:$B &lt;= $B2414)),0)"),0.0)</f>
        <v>0</v>
      </c>
      <c r="T2414" s="32"/>
      <c r="U2414" s="32"/>
      <c r="V2414" s="32">
        <f>IFERROR(__xludf.DUMMYFUNCTION("$D2414 - IFERROR(FILTER($D:$D,$C:$C = $C2414, $A:$A = $A2414, $B:$B = $B2414 - 1),0)"),0.0)</f>
        <v>0</v>
      </c>
      <c r="W2414" s="93">
        <f>IFERROR(__xludf.DUMMYFUNCTION("$E2414 - IFERROR(FILTER($E:$E,$C:$C = $C2414, $A:$A = $A2414, $B:$B = $B2414 - 1),0)"),0.0)</f>
        <v>0</v>
      </c>
      <c r="X2414" s="91">
        <f>IFERROR(__xludf.DUMMYFUNCTION("iFERROR((FILTER('Fund Investment Data'!$Z:$Z, 'Fund Investment Data'!$C:$C = $C2414, 'Fund Investment Data'!$A:$A = $A2414 - 1, 'Fund Investment Data'!$B:$B = 12) + FILTER('Fund Investment Data'!$AB:$AB, 'Fund Investment Data'!$C:$C = $C2414, 'Fund Invest"&amp;"ment Data'!$A:$A = $A2414 - 1, 'Fund Investment Data'!$B:$B = 12)) * (1 + AVERAGE(FILTER('Inflation Data'!$C:$C,'Inflation Data'!$A:$A = ($A2414 - 2)))) * Parameters!$A$4,0)"),0.0)</f>
        <v>0</v>
      </c>
      <c r="Y2414" s="91">
        <f>IFERROR(__xludf.DUMMYFUNCTION("IFERROR((IFERROR(FILTER('Fund Investment Data'!$P:$P,'Fund Investment Data'!$C:$C = $C2414,'Fund Investment Data'!$A:$A = ($A2414 - 2), 'Fund Investment Data'!$B:$B = 12),0) - SUM(FILTER('Fund Investment Data'!$V:$V, 'Fund Investment Data'!$C:$C = $C2414,"&amp;" 'Fund Investment Data'!$A:$A = ($A2414 - 2), 'Fund Investment Data'!$B:$B &gt; 3)))  * Parameters!$B$4 * (1 - Parameters!$A$4),0)"),0.0)</f>
        <v>0</v>
      </c>
      <c r="Z2414" s="91">
        <f t="shared" si="24"/>
        <v>0</v>
      </c>
      <c r="AA2414" s="91">
        <f>IFERROR(__xludf.DUMMYFUNCTION("((IFERROR((SUM(FILTER('Fund Investment Data'!$V:$V, 'Fund Investment Data'!$C:$C = $C2414, 'Fund Investment Data'!$A:$A = $A2414 - 1, 'Fund Investment Data'!$B:$B &gt;= 4, 'Fund Investment Data'!$B:$B &lt;= ($B2414 + 5))) / 12) * ($B2414 - 3) * Parameters!$B$4,"&amp;" 0) + IF($B2414 &gt;= 9, IFERROR(SUM(FILTER('Fund Investment Data'!$V:$V, 'Fund Investment Data'!$C:$C = $C2414, 'Fund Investment Data'!$A:$A = $A2414, 'Fund Investment Data'!$B:$B &lt;= 3)) * Parameters!$B$4, 0),0)))"),0.0)</f>
        <v>0</v>
      </c>
      <c r="AB2414" s="32">
        <f>IFERROR(__xludf.DUMMYFUNCTION("IFERROR(((IFERROR(SUM(FILTER('Fund Investment Data'!$V:$V, 'Fund Investment Data'!$C:$C = $C2414, 'Fund Investment Data'!$A:$A = $A2414 - 2, 'Fund Investment Data'!$B:$B &gt;= 4)) * Parameters!$B$4,0) + IFERROR(SUM(FILTER('Fund Investment Data'!$V:$V, 'Fund "&amp;"Investment Data'!$C:$C = $C2414, 'Fund Investment Data'!$A:$A = $A2414 - 1, 'Fund Investment Data'!$B:$B &lt;= 3)) * Parameters!$B$4,0))),0)"),0.0)</f>
        <v>0</v>
      </c>
      <c r="AC2414" s="32">
        <f>IFERROR(__xludf.DUMMYFUNCTION("IFERROR(FILTER($AF:$AF,$C:$C = $C2414,$A:$A = $A2414 - 1,$B:$B = 12),0)"),0.0)</f>
        <v>0</v>
      </c>
      <c r="AD2414" s="32">
        <f t="shared" si="23"/>
        <v>0</v>
      </c>
      <c r="AE2414" s="32">
        <f t="shared" si="2"/>
        <v>0</v>
      </c>
      <c r="AF2414" s="32"/>
    </row>
    <row r="2415">
      <c r="A2415" s="86"/>
      <c r="B2415" s="87"/>
      <c r="C2415" s="88"/>
      <c r="D2415" s="104"/>
      <c r="E2415" s="104"/>
      <c r="F2415" s="104"/>
      <c r="G2415" s="104"/>
      <c r="H2415" s="104"/>
      <c r="I2415" s="104"/>
      <c r="J2415" s="104"/>
      <c r="K2415" s="32"/>
      <c r="L2415" s="32"/>
      <c r="M2415" s="32"/>
      <c r="N2415" s="32"/>
      <c r="O2415" s="106"/>
      <c r="P2415" s="91">
        <f>IFERROR(__xludf.DUMMYFUNCTION("IFERROR(sum(FILTER($D:$N,$C:$C = $C2415,$A:$A &lt; $A2415,$B:$B = 12)),0) + sum($D2415:$N2415)"),0.0)</f>
        <v>0</v>
      </c>
      <c r="Q2415" s="92">
        <f t="shared" si="1"/>
        <v>0</v>
      </c>
      <c r="R2415" s="91">
        <f t="array" ref="R2415">IFERROR(INDEX('Fund YTD Target Values'!$1:$1000, MATCH($C2415,'Fund YTD Target Values'!$A:$A,0), MATCH($A2415,'Fund YTD Target Values'!$1:$1,0)),0)</f>
        <v>0</v>
      </c>
      <c r="S2415" s="91">
        <f>IFERROR(__xludf.DUMMYFUNCTION("IFERROR(sum(FILTER('Fund Investment Data'!$V:$V, 'Fund Investment Data'!$C:$C = $C2415, 'Fund Investment Data'!$A:$A &lt; $A2415)),0) + IFERROR(sum(FILTER('Fund Investment Data'!$V:$V, 'Fund Investment Data'!$C:$C = $C2415, 'Fund Investment Data'!$A:$A = $A2"&amp;"415, 'Fund Investment Data'!$B:$B &lt;= $B2415)),0)"),0.0)</f>
        <v>0</v>
      </c>
      <c r="T2415" s="32"/>
      <c r="U2415" s="32"/>
      <c r="V2415" s="32">
        <f>IFERROR(__xludf.DUMMYFUNCTION("$D2415 - IFERROR(FILTER($D:$D,$C:$C = $C2415, $A:$A = $A2415, $B:$B = $B2415 - 1),0)"),0.0)</f>
        <v>0</v>
      </c>
      <c r="W2415" s="93">
        <f>IFERROR(__xludf.DUMMYFUNCTION("$E2415 - IFERROR(FILTER($E:$E,$C:$C = $C2415, $A:$A = $A2415, $B:$B = $B2415 - 1),0)"),0.0)</f>
        <v>0</v>
      </c>
      <c r="X2415" s="91">
        <f>IFERROR(__xludf.DUMMYFUNCTION("iFERROR((FILTER('Fund Investment Data'!$Z:$Z, 'Fund Investment Data'!$C:$C = $C2415, 'Fund Investment Data'!$A:$A = $A2415 - 1, 'Fund Investment Data'!$B:$B = 12) + FILTER('Fund Investment Data'!$AB:$AB, 'Fund Investment Data'!$C:$C = $C2415, 'Fund Invest"&amp;"ment Data'!$A:$A = $A2415 - 1, 'Fund Investment Data'!$B:$B = 12)) * (1 + AVERAGE(FILTER('Inflation Data'!$C:$C,'Inflation Data'!$A:$A = ($A2415 - 2)))) * Parameters!$A$4,0)"),0.0)</f>
        <v>0</v>
      </c>
      <c r="Y2415" s="91">
        <f>IFERROR(__xludf.DUMMYFUNCTION("IFERROR((IFERROR(FILTER('Fund Investment Data'!$P:$P,'Fund Investment Data'!$C:$C = $C2415,'Fund Investment Data'!$A:$A = ($A2415 - 2), 'Fund Investment Data'!$B:$B = 12),0) - SUM(FILTER('Fund Investment Data'!$V:$V, 'Fund Investment Data'!$C:$C = $C2415,"&amp;" 'Fund Investment Data'!$A:$A = ($A2415 - 2), 'Fund Investment Data'!$B:$B &gt; 3)))  * Parameters!$B$4 * (1 - Parameters!$A$4),0)"),0.0)</f>
        <v>0</v>
      </c>
      <c r="Z2415" s="91">
        <f t="shared" si="24"/>
        <v>0</v>
      </c>
      <c r="AA2415" s="91">
        <f>IFERROR(__xludf.DUMMYFUNCTION("((IFERROR((SUM(FILTER('Fund Investment Data'!$V:$V, 'Fund Investment Data'!$C:$C = $C2415, 'Fund Investment Data'!$A:$A = $A2415 - 1, 'Fund Investment Data'!$B:$B &gt;= 4, 'Fund Investment Data'!$B:$B &lt;= ($B2415 + 5))) / 12) * ($B2415 - 3) * Parameters!$B$4,"&amp;" 0) + IF($B2415 &gt;= 9, IFERROR(SUM(FILTER('Fund Investment Data'!$V:$V, 'Fund Investment Data'!$C:$C = $C2415, 'Fund Investment Data'!$A:$A = $A2415, 'Fund Investment Data'!$B:$B &lt;= 3)) * Parameters!$B$4, 0),0)))"),0.0)</f>
        <v>0</v>
      </c>
      <c r="AB2415" s="32">
        <f>IFERROR(__xludf.DUMMYFUNCTION("IFERROR(((IFERROR(SUM(FILTER('Fund Investment Data'!$V:$V, 'Fund Investment Data'!$C:$C = $C2415, 'Fund Investment Data'!$A:$A = $A2415 - 2, 'Fund Investment Data'!$B:$B &gt;= 4)) * Parameters!$B$4,0) + IFERROR(SUM(FILTER('Fund Investment Data'!$V:$V, 'Fund "&amp;"Investment Data'!$C:$C = $C2415, 'Fund Investment Data'!$A:$A = $A2415 - 1, 'Fund Investment Data'!$B:$B &lt;= 3)) * Parameters!$B$4,0))),0)"),0.0)</f>
        <v>0</v>
      </c>
      <c r="AC2415" s="32">
        <f>IFERROR(__xludf.DUMMYFUNCTION("IFERROR(FILTER($AF:$AF,$C:$C = $C2415,$A:$A = $A2415 - 1,$B:$B = 12),0)"),0.0)</f>
        <v>0</v>
      </c>
      <c r="AD2415" s="32">
        <f t="shared" si="23"/>
        <v>0</v>
      </c>
      <c r="AE2415" s="32">
        <f t="shared" si="2"/>
        <v>0</v>
      </c>
      <c r="AF2415" s="32"/>
    </row>
    <row r="2416">
      <c r="A2416" s="86"/>
      <c r="B2416" s="87"/>
      <c r="C2416" s="88"/>
      <c r="D2416" s="104"/>
      <c r="E2416" s="104"/>
      <c r="F2416" s="104"/>
      <c r="G2416" s="104"/>
      <c r="H2416" s="104"/>
      <c r="I2416" s="104"/>
      <c r="J2416" s="104"/>
      <c r="K2416" s="32"/>
      <c r="L2416" s="32"/>
      <c r="M2416" s="32"/>
      <c r="N2416" s="32"/>
      <c r="O2416" s="106"/>
      <c r="P2416" s="91">
        <f>IFERROR(__xludf.DUMMYFUNCTION("IFERROR(sum(FILTER($D:$N,$C:$C = $C2416,$A:$A &lt; $A2416,$B:$B = 12)),0) + sum($D2416:$N2416)"),0.0)</f>
        <v>0</v>
      </c>
      <c r="Q2416" s="92">
        <f t="shared" si="1"/>
        <v>0</v>
      </c>
      <c r="R2416" s="91">
        <f t="array" ref="R2416">IFERROR(INDEX('Fund YTD Target Values'!$1:$1000, MATCH($C2416,'Fund YTD Target Values'!$A:$A,0), MATCH($A2416,'Fund YTD Target Values'!$1:$1,0)),0)</f>
        <v>0</v>
      </c>
      <c r="S2416" s="91">
        <f>IFERROR(__xludf.DUMMYFUNCTION("IFERROR(sum(FILTER('Fund Investment Data'!$V:$V, 'Fund Investment Data'!$C:$C = $C2416, 'Fund Investment Data'!$A:$A &lt; $A2416)),0) + IFERROR(sum(FILTER('Fund Investment Data'!$V:$V, 'Fund Investment Data'!$C:$C = $C2416, 'Fund Investment Data'!$A:$A = $A2"&amp;"416, 'Fund Investment Data'!$B:$B &lt;= $B2416)),0)"),0.0)</f>
        <v>0</v>
      </c>
      <c r="T2416" s="32"/>
      <c r="U2416" s="32"/>
      <c r="V2416" s="32">
        <f>IFERROR(__xludf.DUMMYFUNCTION("$D2416 - IFERROR(FILTER($D:$D,$C:$C = $C2416, $A:$A = $A2416, $B:$B = $B2416 - 1),0)"),0.0)</f>
        <v>0</v>
      </c>
      <c r="W2416" s="93">
        <f>IFERROR(__xludf.DUMMYFUNCTION("$E2416 - IFERROR(FILTER($E:$E,$C:$C = $C2416, $A:$A = $A2416, $B:$B = $B2416 - 1),0)"),0.0)</f>
        <v>0</v>
      </c>
      <c r="X2416" s="91">
        <f>IFERROR(__xludf.DUMMYFUNCTION("iFERROR((FILTER('Fund Investment Data'!$Z:$Z, 'Fund Investment Data'!$C:$C = $C2416, 'Fund Investment Data'!$A:$A = $A2416 - 1, 'Fund Investment Data'!$B:$B = 12) + FILTER('Fund Investment Data'!$AB:$AB, 'Fund Investment Data'!$C:$C = $C2416, 'Fund Invest"&amp;"ment Data'!$A:$A = $A2416 - 1, 'Fund Investment Data'!$B:$B = 12)) * (1 + AVERAGE(FILTER('Inflation Data'!$C:$C,'Inflation Data'!$A:$A = ($A2416 - 2)))) * Parameters!$A$4,0)"),0.0)</f>
        <v>0</v>
      </c>
      <c r="Y2416" s="91">
        <f>IFERROR(__xludf.DUMMYFUNCTION("IFERROR((IFERROR(FILTER('Fund Investment Data'!$P:$P,'Fund Investment Data'!$C:$C = $C2416,'Fund Investment Data'!$A:$A = ($A2416 - 2), 'Fund Investment Data'!$B:$B = 12),0) - SUM(FILTER('Fund Investment Data'!$V:$V, 'Fund Investment Data'!$C:$C = $C2416,"&amp;" 'Fund Investment Data'!$A:$A = ($A2416 - 2), 'Fund Investment Data'!$B:$B &gt; 3)))  * Parameters!$B$4 * (1 - Parameters!$A$4),0)"),0.0)</f>
        <v>0</v>
      </c>
      <c r="Z2416" s="91">
        <f t="shared" si="24"/>
        <v>0</v>
      </c>
      <c r="AA2416" s="91">
        <f>IFERROR(__xludf.DUMMYFUNCTION("((IFERROR((SUM(FILTER('Fund Investment Data'!$V:$V, 'Fund Investment Data'!$C:$C = $C2416, 'Fund Investment Data'!$A:$A = $A2416 - 1, 'Fund Investment Data'!$B:$B &gt;= 4, 'Fund Investment Data'!$B:$B &lt;= ($B2416 + 5))) / 12) * ($B2416 - 3) * Parameters!$B$4,"&amp;" 0) + IF($B2416 &gt;= 9, IFERROR(SUM(FILTER('Fund Investment Data'!$V:$V, 'Fund Investment Data'!$C:$C = $C2416, 'Fund Investment Data'!$A:$A = $A2416, 'Fund Investment Data'!$B:$B &lt;= 3)) * Parameters!$B$4, 0),0)))"),0.0)</f>
        <v>0</v>
      </c>
      <c r="AB2416" s="32">
        <f>IFERROR(__xludf.DUMMYFUNCTION("IFERROR(((IFERROR(SUM(FILTER('Fund Investment Data'!$V:$V, 'Fund Investment Data'!$C:$C = $C2416, 'Fund Investment Data'!$A:$A = $A2416 - 2, 'Fund Investment Data'!$B:$B &gt;= 4)) * Parameters!$B$4,0) + IFERROR(SUM(FILTER('Fund Investment Data'!$V:$V, 'Fund "&amp;"Investment Data'!$C:$C = $C2416, 'Fund Investment Data'!$A:$A = $A2416 - 1, 'Fund Investment Data'!$B:$B &lt;= 3)) * Parameters!$B$4,0))),0)"),0.0)</f>
        <v>0</v>
      </c>
      <c r="AC2416" s="32">
        <f>IFERROR(__xludf.DUMMYFUNCTION("IFERROR(FILTER($AF:$AF,$C:$C = $C2416,$A:$A = $A2416 - 1,$B:$B = 12),0)"),0.0)</f>
        <v>0</v>
      </c>
      <c r="AD2416" s="32">
        <f t="shared" si="23"/>
        <v>0</v>
      </c>
      <c r="AE2416" s="32">
        <f t="shared" si="2"/>
        <v>0</v>
      </c>
      <c r="AF2416" s="32"/>
    </row>
    <row r="2417">
      <c r="A2417" s="86"/>
      <c r="B2417" s="87"/>
      <c r="C2417" s="88"/>
      <c r="D2417" s="104"/>
      <c r="E2417" s="104"/>
      <c r="F2417" s="104"/>
      <c r="G2417" s="104"/>
      <c r="H2417" s="104"/>
      <c r="I2417" s="104"/>
      <c r="J2417" s="104"/>
      <c r="K2417" s="32"/>
      <c r="L2417" s="32"/>
      <c r="M2417" s="32"/>
      <c r="N2417" s="32"/>
      <c r="O2417" s="106"/>
      <c r="P2417" s="91">
        <f>IFERROR(__xludf.DUMMYFUNCTION("IFERROR(sum(FILTER($D:$N,$C:$C = $C2417,$A:$A &lt; $A2417,$B:$B = 12)),0) + sum($D2417:$N2417)"),0.0)</f>
        <v>0</v>
      </c>
      <c r="Q2417" s="92">
        <f t="shared" si="1"/>
        <v>0</v>
      </c>
      <c r="R2417" s="91">
        <f t="array" ref="R2417">IFERROR(INDEX('Fund YTD Target Values'!$1:$1000, MATCH($C2417,'Fund YTD Target Values'!$A:$A,0), MATCH($A2417,'Fund YTD Target Values'!$1:$1,0)),0)</f>
        <v>0</v>
      </c>
      <c r="S2417" s="91">
        <f>IFERROR(__xludf.DUMMYFUNCTION("IFERROR(sum(FILTER('Fund Investment Data'!$V:$V, 'Fund Investment Data'!$C:$C = $C2417, 'Fund Investment Data'!$A:$A &lt; $A2417)),0) + IFERROR(sum(FILTER('Fund Investment Data'!$V:$V, 'Fund Investment Data'!$C:$C = $C2417, 'Fund Investment Data'!$A:$A = $A2"&amp;"417, 'Fund Investment Data'!$B:$B &lt;= $B2417)),0)"),0.0)</f>
        <v>0</v>
      </c>
      <c r="T2417" s="32"/>
      <c r="U2417" s="32"/>
      <c r="V2417" s="32">
        <f>IFERROR(__xludf.DUMMYFUNCTION("$D2417 - IFERROR(FILTER($D:$D,$C:$C = $C2417, $A:$A = $A2417, $B:$B = $B2417 - 1),0)"),0.0)</f>
        <v>0</v>
      </c>
      <c r="W2417" s="93">
        <f>IFERROR(__xludf.DUMMYFUNCTION("$E2417 - IFERROR(FILTER($E:$E,$C:$C = $C2417, $A:$A = $A2417, $B:$B = $B2417 - 1),0)"),0.0)</f>
        <v>0</v>
      </c>
      <c r="X2417" s="91">
        <f>IFERROR(__xludf.DUMMYFUNCTION("iFERROR((FILTER('Fund Investment Data'!$Z:$Z, 'Fund Investment Data'!$C:$C = $C2417, 'Fund Investment Data'!$A:$A = $A2417 - 1, 'Fund Investment Data'!$B:$B = 12) + FILTER('Fund Investment Data'!$AB:$AB, 'Fund Investment Data'!$C:$C = $C2417, 'Fund Invest"&amp;"ment Data'!$A:$A = $A2417 - 1, 'Fund Investment Data'!$B:$B = 12)) * (1 + AVERAGE(FILTER('Inflation Data'!$C:$C,'Inflation Data'!$A:$A = ($A2417 - 2)))) * Parameters!$A$4,0)"),0.0)</f>
        <v>0</v>
      </c>
      <c r="Y2417" s="91">
        <f>IFERROR(__xludf.DUMMYFUNCTION("IFERROR((IFERROR(FILTER('Fund Investment Data'!$P:$P,'Fund Investment Data'!$C:$C = $C2417,'Fund Investment Data'!$A:$A = ($A2417 - 2), 'Fund Investment Data'!$B:$B = 12),0) - SUM(FILTER('Fund Investment Data'!$V:$V, 'Fund Investment Data'!$C:$C = $C2417,"&amp;" 'Fund Investment Data'!$A:$A = ($A2417 - 2), 'Fund Investment Data'!$B:$B &gt; 3)))  * Parameters!$B$4 * (1 - Parameters!$A$4),0)"),0.0)</f>
        <v>0</v>
      </c>
      <c r="Z2417" s="91">
        <f t="shared" si="24"/>
        <v>0</v>
      </c>
      <c r="AA2417" s="91">
        <f>IFERROR(__xludf.DUMMYFUNCTION("((IFERROR((SUM(FILTER('Fund Investment Data'!$V:$V, 'Fund Investment Data'!$C:$C = $C2417, 'Fund Investment Data'!$A:$A = $A2417 - 1, 'Fund Investment Data'!$B:$B &gt;= 4, 'Fund Investment Data'!$B:$B &lt;= ($B2417 + 5))) / 12) * ($B2417 - 3) * Parameters!$B$4,"&amp;" 0) + IF($B2417 &gt;= 9, IFERROR(SUM(FILTER('Fund Investment Data'!$V:$V, 'Fund Investment Data'!$C:$C = $C2417, 'Fund Investment Data'!$A:$A = $A2417, 'Fund Investment Data'!$B:$B &lt;= 3)) * Parameters!$B$4, 0),0)))"),0.0)</f>
        <v>0</v>
      </c>
      <c r="AB2417" s="32">
        <f>IFERROR(__xludf.DUMMYFUNCTION("IFERROR(((IFERROR(SUM(FILTER('Fund Investment Data'!$V:$V, 'Fund Investment Data'!$C:$C = $C2417, 'Fund Investment Data'!$A:$A = $A2417 - 2, 'Fund Investment Data'!$B:$B &gt;= 4)) * Parameters!$B$4,0) + IFERROR(SUM(FILTER('Fund Investment Data'!$V:$V, 'Fund "&amp;"Investment Data'!$C:$C = $C2417, 'Fund Investment Data'!$A:$A = $A2417 - 1, 'Fund Investment Data'!$B:$B &lt;= 3)) * Parameters!$B$4,0))),0)"),0.0)</f>
        <v>0</v>
      </c>
      <c r="AC2417" s="32">
        <f>IFERROR(__xludf.DUMMYFUNCTION("IFERROR(FILTER($AF:$AF,$C:$C = $C2417,$A:$A = $A2417 - 1,$B:$B = 12),0)"),0.0)</f>
        <v>0</v>
      </c>
      <c r="AD2417" s="32">
        <f t="shared" si="23"/>
        <v>0</v>
      </c>
      <c r="AE2417" s="32">
        <f t="shared" si="2"/>
        <v>0</v>
      </c>
      <c r="AF2417" s="32"/>
    </row>
    <row r="2418">
      <c r="A2418" s="86"/>
      <c r="B2418" s="87"/>
      <c r="C2418" s="88"/>
      <c r="D2418" s="104"/>
      <c r="E2418" s="104"/>
      <c r="F2418" s="104"/>
      <c r="G2418" s="104"/>
      <c r="H2418" s="104"/>
      <c r="I2418" s="104"/>
      <c r="J2418" s="104"/>
      <c r="K2418" s="32"/>
      <c r="L2418" s="32"/>
      <c r="M2418" s="32"/>
      <c r="N2418" s="32"/>
      <c r="O2418" s="106"/>
      <c r="P2418" s="91">
        <f>IFERROR(__xludf.DUMMYFUNCTION("IFERROR(sum(FILTER($D:$N,$C:$C = $C2418,$A:$A &lt; $A2418,$B:$B = 12)),0) + sum($D2418:$N2418)"),0.0)</f>
        <v>0</v>
      </c>
      <c r="Q2418" s="92">
        <f t="shared" si="1"/>
        <v>0</v>
      </c>
      <c r="R2418" s="91">
        <f t="array" ref="R2418">IFERROR(INDEX('Fund YTD Target Values'!$1:$1000, MATCH($C2418,'Fund YTD Target Values'!$A:$A,0), MATCH($A2418,'Fund YTD Target Values'!$1:$1,0)),0)</f>
        <v>0</v>
      </c>
      <c r="S2418" s="91">
        <f>IFERROR(__xludf.DUMMYFUNCTION("IFERROR(sum(FILTER('Fund Investment Data'!$V:$V, 'Fund Investment Data'!$C:$C = $C2418, 'Fund Investment Data'!$A:$A &lt; $A2418)),0) + IFERROR(sum(FILTER('Fund Investment Data'!$V:$V, 'Fund Investment Data'!$C:$C = $C2418, 'Fund Investment Data'!$A:$A = $A2"&amp;"418, 'Fund Investment Data'!$B:$B &lt;= $B2418)),0)"),0.0)</f>
        <v>0</v>
      </c>
      <c r="T2418" s="32"/>
      <c r="U2418" s="32"/>
      <c r="V2418" s="32">
        <f>IFERROR(__xludf.DUMMYFUNCTION("$D2418 - IFERROR(FILTER($D:$D,$C:$C = $C2418, $A:$A = $A2418, $B:$B = $B2418 - 1),0)"),0.0)</f>
        <v>0</v>
      </c>
      <c r="W2418" s="93">
        <f>IFERROR(__xludf.DUMMYFUNCTION("$E2418 - IFERROR(FILTER($E:$E,$C:$C = $C2418, $A:$A = $A2418, $B:$B = $B2418 - 1),0)"),0.0)</f>
        <v>0</v>
      </c>
      <c r="X2418" s="91">
        <f>IFERROR(__xludf.DUMMYFUNCTION("iFERROR((FILTER('Fund Investment Data'!$Z:$Z, 'Fund Investment Data'!$C:$C = $C2418, 'Fund Investment Data'!$A:$A = $A2418 - 1, 'Fund Investment Data'!$B:$B = 12) + FILTER('Fund Investment Data'!$AB:$AB, 'Fund Investment Data'!$C:$C = $C2418, 'Fund Invest"&amp;"ment Data'!$A:$A = $A2418 - 1, 'Fund Investment Data'!$B:$B = 12)) * (1 + AVERAGE(FILTER('Inflation Data'!$C:$C,'Inflation Data'!$A:$A = ($A2418 - 2)))) * Parameters!$A$4,0)"),0.0)</f>
        <v>0</v>
      </c>
      <c r="Y2418" s="91">
        <f>IFERROR(__xludf.DUMMYFUNCTION("IFERROR((IFERROR(FILTER('Fund Investment Data'!$P:$P,'Fund Investment Data'!$C:$C = $C2418,'Fund Investment Data'!$A:$A = ($A2418 - 2), 'Fund Investment Data'!$B:$B = 12),0) - SUM(FILTER('Fund Investment Data'!$V:$V, 'Fund Investment Data'!$C:$C = $C2418,"&amp;" 'Fund Investment Data'!$A:$A = ($A2418 - 2), 'Fund Investment Data'!$B:$B &gt; 3)))  * Parameters!$B$4 * (1 - Parameters!$A$4),0)"),0.0)</f>
        <v>0</v>
      </c>
      <c r="Z2418" s="91">
        <f t="shared" si="24"/>
        <v>0</v>
      </c>
      <c r="AA2418" s="91">
        <f>IFERROR(__xludf.DUMMYFUNCTION("((IFERROR((SUM(FILTER('Fund Investment Data'!$V:$V, 'Fund Investment Data'!$C:$C = $C2418, 'Fund Investment Data'!$A:$A = $A2418 - 1, 'Fund Investment Data'!$B:$B &gt;= 4, 'Fund Investment Data'!$B:$B &lt;= ($B2418 + 5))) / 12) * ($B2418 - 3) * Parameters!$B$4,"&amp;" 0) + IF($B2418 &gt;= 9, IFERROR(SUM(FILTER('Fund Investment Data'!$V:$V, 'Fund Investment Data'!$C:$C = $C2418, 'Fund Investment Data'!$A:$A = $A2418, 'Fund Investment Data'!$B:$B &lt;= 3)) * Parameters!$B$4, 0),0)))"),0.0)</f>
        <v>0</v>
      </c>
      <c r="AB2418" s="32">
        <f>IFERROR(__xludf.DUMMYFUNCTION("IFERROR(((IFERROR(SUM(FILTER('Fund Investment Data'!$V:$V, 'Fund Investment Data'!$C:$C = $C2418, 'Fund Investment Data'!$A:$A = $A2418 - 2, 'Fund Investment Data'!$B:$B &gt;= 4)) * Parameters!$B$4,0) + IFERROR(SUM(FILTER('Fund Investment Data'!$V:$V, 'Fund "&amp;"Investment Data'!$C:$C = $C2418, 'Fund Investment Data'!$A:$A = $A2418 - 1, 'Fund Investment Data'!$B:$B &lt;= 3)) * Parameters!$B$4,0))),0)"),0.0)</f>
        <v>0</v>
      </c>
      <c r="AC2418" s="32">
        <f>IFERROR(__xludf.DUMMYFUNCTION("IFERROR(FILTER($AF:$AF,$C:$C = $C2418,$A:$A = $A2418 - 1,$B:$B = 12),0)"),0.0)</f>
        <v>0</v>
      </c>
      <c r="AD2418" s="32">
        <f t="shared" si="23"/>
        <v>0</v>
      </c>
      <c r="AE2418" s="32">
        <f t="shared" si="2"/>
        <v>0</v>
      </c>
      <c r="AF2418" s="32"/>
    </row>
    <row r="2419">
      <c r="A2419" s="86"/>
      <c r="B2419" s="87"/>
      <c r="C2419" s="88"/>
      <c r="D2419" s="104"/>
      <c r="E2419" s="104"/>
      <c r="F2419" s="104"/>
      <c r="G2419" s="104"/>
      <c r="H2419" s="104"/>
      <c r="I2419" s="104"/>
      <c r="J2419" s="104"/>
      <c r="K2419" s="32"/>
      <c r="L2419" s="32"/>
      <c r="M2419" s="32"/>
      <c r="N2419" s="32"/>
      <c r="O2419" s="106"/>
      <c r="P2419" s="91">
        <f>IFERROR(__xludf.DUMMYFUNCTION("IFERROR(sum(FILTER($D:$N,$C:$C = $C2419,$A:$A &lt; $A2419,$B:$B = 12)),0) + sum($D2419:$N2419)"),0.0)</f>
        <v>0</v>
      </c>
      <c r="Q2419" s="92">
        <f t="shared" si="1"/>
        <v>0</v>
      </c>
      <c r="R2419" s="91">
        <f t="array" ref="R2419">IFERROR(INDEX('Fund YTD Target Values'!$1:$1000, MATCH($C2419,'Fund YTD Target Values'!$A:$A,0), MATCH($A2419,'Fund YTD Target Values'!$1:$1,0)),0)</f>
        <v>0</v>
      </c>
      <c r="S2419" s="91">
        <f>IFERROR(__xludf.DUMMYFUNCTION("IFERROR(sum(FILTER('Fund Investment Data'!$V:$V, 'Fund Investment Data'!$C:$C = $C2419, 'Fund Investment Data'!$A:$A &lt; $A2419)),0) + IFERROR(sum(FILTER('Fund Investment Data'!$V:$V, 'Fund Investment Data'!$C:$C = $C2419, 'Fund Investment Data'!$A:$A = $A2"&amp;"419, 'Fund Investment Data'!$B:$B &lt;= $B2419)),0)"),0.0)</f>
        <v>0</v>
      </c>
      <c r="T2419" s="32"/>
      <c r="U2419" s="32"/>
      <c r="V2419" s="32">
        <f>IFERROR(__xludf.DUMMYFUNCTION("$D2419 - IFERROR(FILTER($D:$D,$C:$C = $C2419, $A:$A = $A2419, $B:$B = $B2419 - 1),0)"),0.0)</f>
        <v>0</v>
      </c>
      <c r="W2419" s="93">
        <f>IFERROR(__xludf.DUMMYFUNCTION("$E2419 - IFERROR(FILTER($E:$E,$C:$C = $C2419, $A:$A = $A2419, $B:$B = $B2419 - 1),0)"),0.0)</f>
        <v>0</v>
      </c>
      <c r="X2419" s="91">
        <f>IFERROR(__xludf.DUMMYFUNCTION("iFERROR((FILTER('Fund Investment Data'!$Z:$Z, 'Fund Investment Data'!$C:$C = $C2419, 'Fund Investment Data'!$A:$A = $A2419 - 1, 'Fund Investment Data'!$B:$B = 12) + FILTER('Fund Investment Data'!$AB:$AB, 'Fund Investment Data'!$C:$C = $C2419, 'Fund Invest"&amp;"ment Data'!$A:$A = $A2419 - 1, 'Fund Investment Data'!$B:$B = 12)) * (1 + AVERAGE(FILTER('Inflation Data'!$C:$C,'Inflation Data'!$A:$A = ($A2419 - 2)))) * Parameters!$A$4,0)"),0.0)</f>
        <v>0</v>
      </c>
      <c r="Y2419" s="91">
        <f>IFERROR(__xludf.DUMMYFUNCTION("IFERROR((IFERROR(FILTER('Fund Investment Data'!$P:$P,'Fund Investment Data'!$C:$C = $C2419,'Fund Investment Data'!$A:$A = ($A2419 - 2), 'Fund Investment Data'!$B:$B = 12),0) - SUM(FILTER('Fund Investment Data'!$V:$V, 'Fund Investment Data'!$C:$C = $C2419,"&amp;" 'Fund Investment Data'!$A:$A = ($A2419 - 2), 'Fund Investment Data'!$B:$B &gt; 3)))  * Parameters!$B$4 * (1 - Parameters!$A$4),0)"),0.0)</f>
        <v>0</v>
      </c>
      <c r="Z2419" s="91">
        <f t="shared" si="24"/>
        <v>0</v>
      </c>
      <c r="AA2419" s="91">
        <f>IFERROR(__xludf.DUMMYFUNCTION("((IFERROR((SUM(FILTER('Fund Investment Data'!$V:$V, 'Fund Investment Data'!$C:$C = $C2419, 'Fund Investment Data'!$A:$A = $A2419 - 1, 'Fund Investment Data'!$B:$B &gt;= 4, 'Fund Investment Data'!$B:$B &lt;= ($B2419 + 5))) / 12) * ($B2419 - 3) * Parameters!$B$4,"&amp;" 0) + IF($B2419 &gt;= 9, IFERROR(SUM(FILTER('Fund Investment Data'!$V:$V, 'Fund Investment Data'!$C:$C = $C2419, 'Fund Investment Data'!$A:$A = $A2419, 'Fund Investment Data'!$B:$B &lt;= 3)) * Parameters!$B$4, 0),0)))"),0.0)</f>
        <v>0</v>
      </c>
      <c r="AB2419" s="32">
        <f>IFERROR(__xludf.DUMMYFUNCTION("IFERROR(((IFERROR(SUM(FILTER('Fund Investment Data'!$V:$V, 'Fund Investment Data'!$C:$C = $C2419, 'Fund Investment Data'!$A:$A = $A2419 - 2, 'Fund Investment Data'!$B:$B &gt;= 4)) * Parameters!$B$4,0) + IFERROR(SUM(FILTER('Fund Investment Data'!$V:$V, 'Fund "&amp;"Investment Data'!$C:$C = $C2419, 'Fund Investment Data'!$A:$A = $A2419 - 1, 'Fund Investment Data'!$B:$B &lt;= 3)) * Parameters!$B$4,0))),0)"),0.0)</f>
        <v>0</v>
      </c>
      <c r="AC2419" s="32">
        <f>IFERROR(__xludf.DUMMYFUNCTION("IFERROR(FILTER($AF:$AF,$C:$C = $C2419,$A:$A = $A2419 - 1,$B:$B = 12),0)"),0.0)</f>
        <v>0</v>
      </c>
      <c r="AD2419" s="32">
        <f t="shared" si="23"/>
        <v>0</v>
      </c>
      <c r="AE2419" s="32">
        <f t="shared" si="2"/>
        <v>0</v>
      </c>
      <c r="AF2419" s="32"/>
    </row>
    <row r="2420">
      <c r="A2420" s="86"/>
      <c r="B2420" s="87"/>
      <c r="C2420" s="88"/>
      <c r="D2420" s="104"/>
      <c r="E2420" s="104"/>
      <c r="F2420" s="104"/>
      <c r="G2420" s="104"/>
      <c r="H2420" s="104"/>
      <c r="I2420" s="104"/>
      <c r="J2420" s="104"/>
      <c r="K2420" s="32"/>
      <c r="L2420" s="32"/>
      <c r="M2420" s="32"/>
      <c r="N2420" s="32"/>
      <c r="O2420" s="106"/>
      <c r="P2420" s="91">
        <f>IFERROR(__xludf.DUMMYFUNCTION("IFERROR(sum(FILTER($D:$N,$C:$C = $C2420,$A:$A &lt; $A2420,$B:$B = 12)),0) + sum($D2420:$N2420)"),0.0)</f>
        <v>0</v>
      </c>
      <c r="Q2420" s="92">
        <f t="shared" si="1"/>
        <v>0</v>
      </c>
      <c r="R2420" s="91">
        <f t="array" ref="R2420">IFERROR(INDEX('Fund YTD Target Values'!$1:$1000, MATCH($C2420,'Fund YTD Target Values'!$A:$A,0), MATCH($A2420,'Fund YTD Target Values'!$1:$1,0)),0)</f>
        <v>0</v>
      </c>
      <c r="S2420" s="91">
        <f>IFERROR(__xludf.DUMMYFUNCTION("IFERROR(sum(FILTER('Fund Investment Data'!$V:$V, 'Fund Investment Data'!$C:$C = $C2420, 'Fund Investment Data'!$A:$A &lt; $A2420)),0) + IFERROR(sum(FILTER('Fund Investment Data'!$V:$V, 'Fund Investment Data'!$C:$C = $C2420, 'Fund Investment Data'!$A:$A = $A2"&amp;"420, 'Fund Investment Data'!$B:$B &lt;= $B2420)),0)"),0.0)</f>
        <v>0</v>
      </c>
      <c r="T2420" s="32"/>
      <c r="U2420" s="32"/>
      <c r="V2420" s="32">
        <f>IFERROR(__xludf.DUMMYFUNCTION("$D2420 - IFERROR(FILTER($D:$D,$C:$C = $C2420, $A:$A = $A2420, $B:$B = $B2420 - 1),0)"),0.0)</f>
        <v>0</v>
      </c>
      <c r="W2420" s="93">
        <f>IFERROR(__xludf.DUMMYFUNCTION("$E2420 - IFERROR(FILTER($E:$E,$C:$C = $C2420, $A:$A = $A2420, $B:$B = $B2420 - 1),0)"),0.0)</f>
        <v>0</v>
      </c>
      <c r="X2420" s="91">
        <f>IFERROR(__xludf.DUMMYFUNCTION("iFERROR((FILTER('Fund Investment Data'!$Z:$Z, 'Fund Investment Data'!$C:$C = $C2420, 'Fund Investment Data'!$A:$A = $A2420 - 1, 'Fund Investment Data'!$B:$B = 12) + FILTER('Fund Investment Data'!$AB:$AB, 'Fund Investment Data'!$C:$C = $C2420, 'Fund Invest"&amp;"ment Data'!$A:$A = $A2420 - 1, 'Fund Investment Data'!$B:$B = 12)) * (1 + AVERAGE(FILTER('Inflation Data'!$C:$C,'Inflation Data'!$A:$A = ($A2420 - 2)))) * Parameters!$A$4,0)"),0.0)</f>
        <v>0</v>
      </c>
      <c r="Y2420" s="91">
        <f>IFERROR(__xludf.DUMMYFUNCTION("IFERROR((IFERROR(FILTER('Fund Investment Data'!$P:$P,'Fund Investment Data'!$C:$C = $C2420,'Fund Investment Data'!$A:$A = ($A2420 - 2), 'Fund Investment Data'!$B:$B = 12),0) - SUM(FILTER('Fund Investment Data'!$V:$V, 'Fund Investment Data'!$C:$C = $C2420,"&amp;" 'Fund Investment Data'!$A:$A = ($A2420 - 2), 'Fund Investment Data'!$B:$B &gt; 3)))  * Parameters!$B$4 * (1 - Parameters!$A$4),0)"),0.0)</f>
        <v>0</v>
      </c>
      <c r="Z2420" s="91">
        <f t="shared" si="24"/>
        <v>0</v>
      </c>
      <c r="AA2420" s="91">
        <f>IFERROR(__xludf.DUMMYFUNCTION("((IFERROR((SUM(FILTER('Fund Investment Data'!$V:$V, 'Fund Investment Data'!$C:$C = $C2420, 'Fund Investment Data'!$A:$A = $A2420 - 1, 'Fund Investment Data'!$B:$B &gt;= 4, 'Fund Investment Data'!$B:$B &lt;= ($B2420 + 5))) / 12) * ($B2420 - 3) * Parameters!$B$4,"&amp;" 0) + IF($B2420 &gt;= 9, IFERROR(SUM(FILTER('Fund Investment Data'!$V:$V, 'Fund Investment Data'!$C:$C = $C2420, 'Fund Investment Data'!$A:$A = $A2420, 'Fund Investment Data'!$B:$B &lt;= 3)) * Parameters!$B$4, 0),0)))"),0.0)</f>
        <v>0</v>
      </c>
      <c r="AB2420" s="32">
        <f>IFERROR(__xludf.DUMMYFUNCTION("IFERROR(((IFERROR(SUM(FILTER('Fund Investment Data'!$V:$V, 'Fund Investment Data'!$C:$C = $C2420, 'Fund Investment Data'!$A:$A = $A2420 - 2, 'Fund Investment Data'!$B:$B &gt;= 4)) * Parameters!$B$4,0) + IFERROR(SUM(FILTER('Fund Investment Data'!$V:$V, 'Fund "&amp;"Investment Data'!$C:$C = $C2420, 'Fund Investment Data'!$A:$A = $A2420 - 1, 'Fund Investment Data'!$B:$B &lt;= 3)) * Parameters!$B$4,0))),0)"),0.0)</f>
        <v>0</v>
      </c>
      <c r="AC2420" s="32">
        <f>IFERROR(__xludf.DUMMYFUNCTION("IFERROR(FILTER($AF:$AF,$C:$C = $C2420,$A:$A = $A2420 - 1,$B:$B = 12),0)"),0.0)</f>
        <v>0</v>
      </c>
      <c r="AD2420" s="32">
        <f t="shared" si="23"/>
        <v>0</v>
      </c>
      <c r="AE2420" s="32">
        <f t="shared" si="2"/>
        <v>0</v>
      </c>
      <c r="AF2420" s="32"/>
    </row>
    <row r="2421">
      <c r="A2421" s="86"/>
      <c r="B2421" s="87"/>
      <c r="C2421" s="88"/>
      <c r="D2421" s="104"/>
      <c r="E2421" s="104"/>
      <c r="F2421" s="104"/>
      <c r="G2421" s="104"/>
      <c r="H2421" s="104"/>
      <c r="I2421" s="104"/>
      <c r="J2421" s="104"/>
      <c r="K2421" s="32"/>
      <c r="L2421" s="32"/>
      <c r="M2421" s="32"/>
      <c r="N2421" s="32"/>
      <c r="O2421" s="106"/>
      <c r="P2421" s="91">
        <f>IFERROR(__xludf.DUMMYFUNCTION("IFERROR(sum(FILTER($D:$N,$C:$C = $C2421,$A:$A &lt; $A2421,$B:$B = 12)),0) + sum($D2421:$N2421)"),0.0)</f>
        <v>0</v>
      </c>
      <c r="Q2421" s="92">
        <f t="shared" si="1"/>
        <v>0</v>
      </c>
      <c r="R2421" s="91">
        <f t="array" ref="R2421">IFERROR(INDEX('Fund YTD Target Values'!$1:$1000, MATCH($C2421,'Fund YTD Target Values'!$A:$A,0), MATCH($A2421,'Fund YTD Target Values'!$1:$1,0)),0)</f>
        <v>0</v>
      </c>
      <c r="S2421" s="91">
        <f>IFERROR(__xludf.DUMMYFUNCTION("IFERROR(sum(FILTER('Fund Investment Data'!$V:$V, 'Fund Investment Data'!$C:$C = $C2421, 'Fund Investment Data'!$A:$A &lt; $A2421)),0) + IFERROR(sum(FILTER('Fund Investment Data'!$V:$V, 'Fund Investment Data'!$C:$C = $C2421, 'Fund Investment Data'!$A:$A = $A2"&amp;"421, 'Fund Investment Data'!$B:$B &lt;= $B2421)),0)"),0.0)</f>
        <v>0</v>
      </c>
      <c r="T2421" s="32"/>
      <c r="U2421" s="32"/>
      <c r="V2421" s="32">
        <f>IFERROR(__xludf.DUMMYFUNCTION("$D2421 - IFERROR(FILTER($D:$D,$C:$C = $C2421, $A:$A = $A2421, $B:$B = $B2421 - 1),0)"),0.0)</f>
        <v>0</v>
      </c>
      <c r="W2421" s="93">
        <f>IFERROR(__xludf.DUMMYFUNCTION("$E2421 - IFERROR(FILTER($E:$E,$C:$C = $C2421, $A:$A = $A2421, $B:$B = $B2421 - 1),0)"),0.0)</f>
        <v>0</v>
      </c>
      <c r="X2421" s="91">
        <f>IFERROR(__xludf.DUMMYFUNCTION("iFERROR((FILTER('Fund Investment Data'!$Z:$Z, 'Fund Investment Data'!$C:$C = $C2421, 'Fund Investment Data'!$A:$A = $A2421 - 1, 'Fund Investment Data'!$B:$B = 12) + FILTER('Fund Investment Data'!$AB:$AB, 'Fund Investment Data'!$C:$C = $C2421, 'Fund Invest"&amp;"ment Data'!$A:$A = $A2421 - 1, 'Fund Investment Data'!$B:$B = 12)) * (1 + AVERAGE(FILTER('Inflation Data'!$C:$C,'Inflation Data'!$A:$A = ($A2421 - 2)))) * Parameters!$A$4,0)"),0.0)</f>
        <v>0</v>
      </c>
      <c r="Y2421" s="91">
        <f>IFERROR(__xludf.DUMMYFUNCTION("IFERROR((IFERROR(FILTER('Fund Investment Data'!$P:$P,'Fund Investment Data'!$C:$C = $C2421,'Fund Investment Data'!$A:$A = ($A2421 - 2), 'Fund Investment Data'!$B:$B = 12),0) - SUM(FILTER('Fund Investment Data'!$V:$V, 'Fund Investment Data'!$C:$C = $C2421,"&amp;" 'Fund Investment Data'!$A:$A = ($A2421 - 2), 'Fund Investment Data'!$B:$B &gt; 3)))  * Parameters!$B$4 * (1 - Parameters!$A$4),0)"),0.0)</f>
        <v>0</v>
      </c>
      <c r="Z2421" s="91">
        <f t="shared" si="24"/>
        <v>0</v>
      </c>
      <c r="AA2421" s="91">
        <f>IFERROR(__xludf.DUMMYFUNCTION("((IFERROR((SUM(FILTER('Fund Investment Data'!$V:$V, 'Fund Investment Data'!$C:$C = $C2421, 'Fund Investment Data'!$A:$A = $A2421 - 1, 'Fund Investment Data'!$B:$B &gt;= 4, 'Fund Investment Data'!$B:$B &lt;= ($B2421 + 5))) / 12) * ($B2421 - 3) * Parameters!$B$4,"&amp;" 0) + IF($B2421 &gt;= 9, IFERROR(SUM(FILTER('Fund Investment Data'!$V:$V, 'Fund Investment Data'!$C:$C = $C2421, 'Fund Investment Data'!$A:$A = $A2421, 'Fund Investment Data'!$B:$B &lt;= 3)) * Parameters!$B$4, 0),0)))"),0.0)</f>
        <v>0</v>
      </c>
      <c r="AB2421" s="32">
        <f>IFERROR(__xludf.DUMMYFUNCTION("IFERROR(((IFERROR(SUM(FILTER('Fund Investment Data'!$V:$V, 'Fund Investment Data'!$C:$C = $C2421, 'Fund Investment Data'!$A:$A = $A2421 - 2, 'Fund Investment Data'!$B:$B &gt;= 4)) * Parameters!$B$4,0) + IFERROR(SUM(FILTER('Fund Investment Data'!$V:$V, 'Fund "&amp;"Investment Data'!$C:$C = $C2421, 'Fund Investment Data'!$A:$A = $A2421 - 1, 'Fund Investment Data'!$B:$B &lt;= 3)) * Parameters!$B$4,0))),0)"),0.0)</f>
        <v>0</v>
      </c>
      <c r="AC2421" s="32">
        <f>IFERROR(__xludf.DUMMYFUNCTION("IFERROR(FILTER($AF:$AF,$C:$C = $C2421,$A:$A = $A2421 - 1,$B:$B = 12),0)"),0.0)</f>
        <v>0</v>
      </c>
      <c r="AD2421" s="32">
        <f t="shared" si="23"/>
        <v>0</v>
      </c>
      <c r="AE2421" s="32">
        <f t="shared" si="2"/>
        <v>0</v>
      </c>
      <c r="AF2421" s="32"/>
    </row>
    <row r="2422">
      <c r="A2422" s="86"/>
      <c r="B2422" s="87"/>
      <c r="C2422" s="88"/>
      <c r="D2422" s="104"/>
      <c r="E2422" s="104"/>
      <c r="F2422" s="104"/>
      <c r="G2422" s="104"/>
      <c r="H2422" s="104"/>
      <c r="I2422" s="104"/>
      <c r="J2422" s="104"/>
      <c r="K2422" s="32"/>
      <c r="L2422" s="32"/>
      <c r="M2422" s="32"/>
      <c r="N2422" s="32"/>
      <c r="O2422" s="106"/>
      <c r="P2422" s="91">
        <f>IFERROR(__xludf.DUMMYFUNCTION("IFERROR(sum(FILTER($D:$N,$C:$C = $C2422,$A:$A &lt; $A2422,$B:$B = 12)),0) + sum($D2422:$N2422)"),0.0)</f>
        <v>0</v>
      </c>
      <c r="Q2422" s="92">
        <f t="shared" si="1"/>
        <v>0</v>
      </c>
      <c r="R2422" s="91">
        <f t="array" ref="R2422">IFERROR(INDEX('Fund YTD Target Values'!$1:$1000, MATCH($C2422,'Fund YTD Target Values'!$A:$A,0), MATCH($A2422,'Fund YTD Target Values'!$1:$1,0)),0)</f>
        <v>0</v>
      </c>
      <c r="S2422" s="91">
        <f>IFERROR(__xludf.DUMMYFUNCTION("IFERROR(sum(FILTER('Fund Investment Data'!$V:$V, 'Fund Investment Data'!$C:$C = $C2422, 'Fund Investment Data'!$A:$A &lt; $A2422)),0) + IFERROR(sum(FILTER('Fund Investment Data'!$V:$V, 'Fund Investment Data'!$C:$C = $C2422, 'Fund Investment Data'!$A:$A = $A2"&amp;"422, 'Fund Investment Data'!$B:$B &lt;= $B2422)),0)"),0.0)</f>
        <v>0</v>
      </c>
      <c r="T2422" s="32"/>
      <c r="U2422" s="32"/>
      <c r="V2422" s="32">
        <f>IFERROR(__xludf.DUMMYFUNCTION("$D2422 - IFERROR(FILTER($D:$D,$C:$C = $C2422, $A:$A = $A2422, $B:$B = $B2422 - 1),0)"),0.0)</f>
        <v>0</v>
      </c>
      <c r="W2422" s="93">
        <f>IFERROR(__xludf.DUMMYFUNCTION("$E2422 - IFERROR(FILTER($E:$E,$C:$C = $C2422, $A:$A = $A2422, $B:$B = $B2422 - 1),0)"),0.0)</f>
        <v>0</v>
      </c>
      <c r="X2422" s="91">
        <f>IFERROR(__xludf.DUMMYFUNCTION("iFERROR((FILTER('Fund Investment Data'!$Z:$Z, 'Fund Investment Data'!$C:$C = $C2422, 'Fund Investment Data'!$A:$A = $A2422 - 1, 'Fund Investment Data'!$B:$B = 12) + FILTER('Fund Investment Data'!$AB:$AB, 'Fund Investment Data'!$C:$C = $C2422, 'Fund Invest"&amp;"ment Data'!$A:$A = $A2422 - 1, 'Fund Investment Data'!$B:$B = 12)) * (1 + AVERAGE(FILTER('Inflation Data'!$C:$C,'Inflation Data'!$A:$A = ($A2422 - 2)))) * Parameters!$A$4,0)"),0.0)</f>
        <v>0</v>
      </c>
      <c r="Y2422" s="91">
        <f>IFERROR(__xludf.DUMMYFUNCTION("IFERROR((IFERROR(FILTER('Fund Investment Data'!$P:$P,'Fund Investment Data'!$C:$C = $C2422,'Fund Investment Data'!$A:$A = ($A2422 - 2), 'Fund Investment Data'!$B:$B = 12),0) - SUM(FILTER('Fund Investment Data'!$V:$V, 'Fund Investment Data'!$C:$C = $C2422,"&amp;" 'Fund Investment Data'!$A:$A = ($A2422 - 2), 'Fund Investment Data'!$B:$B &gt; 3)))  * Parameters!$B$4 * (1 - Parameters!$A$4),0)"),0.0)</f>
        <v>0</v>
      </c>
      <c r="Z2422" s="91">
        <f t="shared" si="24"/>
        <v>0</v>
      </c>
      <c r="AA2422" s="91">
        <f>IFERROR(__xludf.DUMMYFUNCTION("((IFERROR((SUM(FILTER('Fund Investment Data'!$V:$V, 'Fund Investment Data'!$C:$C = $C2422, 'Fund Investment Data'!$A:$A = $A2422 - 1, 'Fund Investment Data'!$B:$B &gt;= 4, 'Fund Investment Data'!$B:$B &lt;= ($B2422 + 5))) / 12) * ($B2422 - 3) * Parameters!$B$4,"&amp;" 0) + IF($B2422 &gt;= 9, IFERROR(SUM(FILTER('Fund Investment Data'!$V:$V, 'Fund Investment Data'!$C:$C = $C2422, 'Fund Investment Data'!$A:$A = $A2422, 'Fund Investment Data'!$B:$B &lt;= 3)) * Parameters!$B$4, 0),0)))"),0.0)</f>
        <v>0</v>
      </c>
      <c r="AB2422" s="32">
        <f>IFERROR(__xludf.DUMMYFUNCTION("IFERROR(((IFERROR(SUM(FILTER('Fund Investment Data'!$V:$V, 'Fund Investment Data'!$C:$C = $C2422, 'Fund Investment Data'!$A:$A = $A2422 - 2, 'Fund Investment Data'!$B:$B &gt;= 4)) * Parameters!$B$4,0) + IFERROR(SUM(FILTER('Fund Investment Data'!$V:$V, 'Fund "&amp;"Investment Data'!$C:$C = $C2422, 'Fund Investment Data'!$A:$A = $A2422 - 1, 'Fund Investment Data'!$B:$B &lt;= 3)) * Parameters!$B$4,0))),0)"),0.0)</f>
        <v>0</v>
      </c>
      <c r="AC2422" s="32">
        <f>IFERROR(__xludf.DUMMYFUNCTION("IFERROR(FILTER($AF:$AF,$C:$C = $C2422,$A:$A = $A2422 - 1,$B:$B = 12),0)"),0.0)</f>
        <v>0</v>
      </c>
      <c r="AD2422" s="32">
        <f t="shared" si="23"/>
        <v>0</v>
      </c>
      <c r="AE2422" s="32">
        <f t="shared" si="2"/>
        <v>0</v>
      </c>
      <c r="AF2422" s="32"/>
    </row>
    <row r="2423">
      <c r="A2423" s="86"/>
      <c r="B2423" s="87"/>
      <c r="C2423" s="88"/>
      <c r="D2423" s="104"/>
      <c r="E2423" s="104"/>
      <c r="F2423" s="104"/>
      <c r="G2423" s="104"/>
      <c r="H2423" s="104"/>
      <c r="I2423" s="104"/>
      <c r="J2423" s="104"/>
      <c r="K2423" s="32"/>
      <c r="L2423" s="32"/>
      <c r="M2423" s="32"/>
      <c r="N2423" s="32"/>
      <c r="O2423" s="106"/>
      <c r="P2423" s="91">
        <f>IFERROR(__xludf.DUMMYFUNCTION("IFERROR(sum(FILTER($D:$N,$C:$C = $C2423,$A:$A &lt; $A2423,$B:$B = 12)),0) + sum($D2423:$N2423)"),0.0)</f>
        <v>0</v>
      </c>
      <c r="Q2423" s="92">
        <f t="shared" si="1"/>
        <v>0</v>
      </c>
      <c r="R2423" s="91">
        <f t="array" ref="R2423">IFERROR(INDEX('Fund YTD Target Values'!$1:$1000, MATCH($C2423,'Fund YTD Target Values'!$A:$A,0), MATCH($A2423,'Fund YTD Target Values'!$1:$1,0)),0)</f>
        <v>0</v>
      </c>
      <c r="S2423" s="91">
        <f>IFERROR(__xludf.DUMMYFUNCTION("IFERROR(sum(FILTER('Fund Investment Data'!$V:$V, 'Fund Investment Data'!$C:$C = $C2423, 'Fund Investment Data'!$A:$A &lt; $A2423)),0) + IFERROR(sum(FILTER('Fund Investment Data'!$V:$V, 'Fund Investment Data'!$C:$C = $C2423, 'Fund Investment Data'!$A:$A = $A2"&amp;"423, 'Fund Investment Data'!$B:$B &lt;= $B2423)),0)"),0.0)</f>
        <v>0</v>
      </c>
      <c r="T2423" s="32"/>
      <c r="U2423" s="32"/>
      <c r="V2423" s="32">
        <f>IFERROR(__xludf.DUMMYFUNCTION("$D2423 - IFERROR(FILTER($D:$D,$C:$C = $C2423, $A:$A = $A2423, $B:$B = $B2423 - 1),0)"),0.0)</f>
        <v>0</v>
      </c>
      <c r="W2423" s="93">
        <f>IFERROR(__xludf.DUMMYFUNCTION("$E2423 - IFERROR(FILTER($E:$E,$C:$C = $C2423, $A:$A = $A2423, $B:$B = $B2423 - 1),0)"),0.0)</f>
        <v>0</v>
      </c>
      <c r="X2423" s="91">
        <f>IFERROR(__xludf.DUMMYFUNCTION("iFERROR((FILTER('Fund Investment Data'!$Z:$Z, 'Fund Investment Data'!$C:$C = $C2423, 'Fund Investment Data'!$A:$A = $A2423 - 1, 'Fund Investment Data'!$B:$B = 12) + FILTER('Fund Investment Data'!$AB:$AB, 'Fund Investment Data'!$C:$C = $C2423, 'Fund Invest"&amp;"ment Data'!$A:$A = $A2423 - 1, 'Fund Investment Data'!$B:$B = 12)) * (1 + AVERAGE(FILTER('Inflation Data'!$C:$C,'Inflation Data'!$A:$A = ($A2423 - 2)))) * Parameters!$A$4,0)"),0.0)</f>
        <v>0</v>
      </c>
      <c r="Y2423" s="91">
        <f>IFERROR(__xludf.DUMMYFUNCTION("IFERROR((IFERROR(FILTER('Fund Investment Data'!$P:$P,'Fund Investment Data'!$C:$C = $C2423,'Fund Investment Data'!$A:$A = ($A2423 - 2), 'Fund Investment Data'!$B:$B = 12),0) - SUM(FILTER('Fund Investment Data'!$V:$V, 'Fund Investment Data'!$C:$C = $C2423,"&amp;" 'Fund Investment Data'!$A:$A = ($A2423 - 2), 'Fund Investment Data'!$B:$B &gt; 3)))  * Parameters!$B$4 * (1 - Parameters!$A$4),0)"),0.0)</f>
        <v>0</v>
      </c>
      <c r="Z2423" s="91">
        <f t="shared" si="24"/>
        <v>0</v>
      </c>
      <c r="AA2423" s="91">
        <f>IFERROR(__xludf.DUMMYFUNCTION("((IFERROR((SUM(FILTER('Fund Investment Data'!$V:$V, 'Fund Investment Data'!$C:$C = $C2423, 'Fund Investment Data'!$A:$A = $A2423 - 1, 'Fund Investment Data'!$B:$B &gt;= 4, 'Fund Investment Data'!$B:$B &lt;= ($B2423 + 5))) / 12) * ($B2423 - 3) * Parameters!$B$4,"&amp;" 0) + IF($B2423 &gt;= 9, IFERROR(SUM(FILTER('Fund Investment Data'!$V:$V, 'Fund Investment Data'!$C:$C = $C2423, 'Fund Investment Data'!$A:$A = $A2423, 'Fund Investment Data'!$B:$B &lt;= 3)) * Parameters!$B$4, 0),0)))"),0.0)</f>
        <v>0</v>
      </c>
      <c r="AB2423" s="32">
        <f>IFERROR(__xludf.DUMMYFUNCTION("IFERROR(((IFERROR(SUM(FILTER('Fund Investment Data'!$V:$V, 'Fund Investment Data'!$C:$C = $C2423, 'Fund Investment Data'!$A:$A = $A2423 - 2, 'Fund Investment Data'!$B:$B &gt;= 4)) * Parameters!$B$4,0) + IFERROR(SUM(FILTER('Fund Investment Data'!$V:$V, 'Fund "&amp;"Investment Data'!$C:$C = $C2423, 'Fund Investment Data'!$A:$A = $A2423 - 1, 'Fund Investment Data'!$B:$B &lt;= 3)) * Parameters!$B$4,0))),0)"),0.0)</f>
        <v>0</v>
      </c>
      <c r="AC2423" s="32">
        <f>IFERROR(__xludf.DUMMYFUNCTION("IFERROR(FILTER($AF:$AF,$C:$C = $C2423,$A:$A = $A2423 - 1,$B:$B = 12),0)"),0.0)</f>
        <v>0</v>
      </c>
      <c r="AD2423" s="32">
        <f t="shared" si="23"/>
        <v>0</v>
      </c>
      <c r="AE2423" s="32">
        <f t="shared" si="2"/>
        <v>0</v>
      </c>
      <c r="AF2423" s="32"/>
    </row>
    <row r="2424">
      <c r="A2424" s="86"/>
      <c r="B2424" s="87"/>
      <c r="C2424" s="88"/>
      <c r="D2424" s="104"/>
      <c r="E2424" s="104"/>
      <c r="F2424" s="104"/>
      <c r="G2424" s="104"/>
      <c r="H2424" s="104"/>
      <c r="I2424" s="104"/>
      <c r="J2424" s="104"/>
      <c r="K2424" s="32"/>
      <c r="L2424" s="32"/>
      <c r="M2424" s="32"/>
      <c r="N2424" s="32"/>
      <c r="O2424" s="106"/>
      <c r="P2424" s="91">
        <f>IFERROR(__xludf.DUMMYFUNCTION("IFERROR(sum(FILTER($D:$N,$C:$C = $C2424,$A:$A &lt; $A2424,$B:$B = 12)),0) + sum($D2424:$N2424)"),0.0)</f>
        <v>0</v>
      </c>
      <c r="Q2424" s="92">
        <f t="shared" si="1"/>
        <v>0</v>
      </c>
      <c r="R2424" s="91">
        <f t="array" ref="R2424">IFERROR(INDEX('Fund YTD Target Values'!$1:$1000, MATCH($C2424,'Fund YTD Target Values'!$A:$A,0), MATCH($A2424,'Fund YTD Target Values'!$1:$1,0)),0)</f>
        <v>0</v>
      </c>
      <c r="S2424" s="91">
        <f>IFERROR(__xludf.DUMMYFUNCTION("IFERROR(sum(FILTER('Fund Investment Data'!$V:$V, 'Fund Investment Data'!$C:$C = $C2424, 'Fund Investment Data'!$A:$A &lt; $A2424)),0) + IFERROR(sum(FILTER('Fund Investment Data'!$V:$V, 'Fund Investment Data'!$C:$C = $C2424, 'Fund Investment Data'!$A:$A = $A2"&amp;"424, 'Fund Investment Data'!$B:$B &lt;= $B2424)),0)"),0.0)</f>
        <v>0</v>
      </c>
      <c r="T2424" s="32"/>
      <c r="U2424" s="32"/>
      <c r="V2424" s="32">
        <f>IFERROR(__xludf.DUMMYFUNCTION("$D2424 - IFERROR(FILTER($D:$D,$C:$C = $C2424, $A:$A = $A2424, $B:$B = $B2424 - 1),0)"),0.0)</f>
        <v>0</v>
      </c>
      <c r="W2424" s="93">
        <f>IFERROR(__xludf.DUMMYFUNCTION("$E2424 - IFERROR(FILTER($E:$E,$C:$C = $C2424, $A:$A = $A2424, $B:$B = $B2424 - 1),0)"),0.0)</f>
        <v>0</v>
      </c>
      <c r="X2424" s="91">
        <f>IFERROR(__xludf.DUMMYFUNCTION("iFERROR((FILTER('Fund Investment Data'!$Z:$Z, 'Fund Investment Data'!$C:$C = $C2424, 'Fund Investment Data'!$A:$A = $A2424 - 1, 'Fund Investment Data'!$B:$B = 12) + FILTER('Fund Investment Data'!$AB:$AB, 'Fund Investment Data'!$C:$C = $C2424, 'Fund Invest"&amp;"ment Data'!$A:$A = $A2424 - 1, 'Fund Investment Data'!$B:$B = 12)) * (1 + AVERAGE(FILTER('Inflation Data'!$C:$C,'Inflation Data'!$A:$A = ($A2424 - 2)))) * Parameters!$A$4,0)"),0.0)</f>
        <v>0</v>
      </c>
      <c r="Y2424" s="91">
        <f>IFERROR(__xludf.DUMMYFUNCTION("IFERROR((IFERROR(FILTER('Fund Investment Data'!$P:$P,'Fund Investment Data'!$C:$C = $C2424,'Fund Investment Data'!$A:$A = ($A2424 - 2), 'Fund Investment Data'!$B:$B = 12),0) - SUM(FILTER('Fund Investment Data'!$V:$V, 'Fund Investment Data'!$C:$C = $C2424,"&amp;" 'Fund Investment Data'!$A:$A = ($A2424 - 2), 'Fund Investment Data'!$B:$B &gt; 3)))  * Parameters!$B$4 * (1 - Parameters!$A$4),0)"),0.0)</f>
        <v>0</v>
      </c>
      <c r="Z2424" s="91">
        <f t="shared" si="24"/>
        <v>0</v>
      </c>
      <c r="AA2424" s="91">
        <f>IFERROR(__xludf.DUMMYFUNCTION("((IFERROR((SUM(FILTER('Fund Investment Data'!$V:$V, 'Fund Investment Data'!$C:$C = $C2424, 'Fund Investment Data'!$A:$A = $A2424 - 1, 'Fund Investment Data'!$B:$B &gt;= 4, 'Fund Investment Data'!$B:$B &lt;= ($B2424 + 5))) / 12) * ($B2424 - 3) * Parameters!$B$4,"&amp;" 0) + IF($B2424 &gt;= 9, IFERROR(SUM(FILTER('Fund Investment Data'!$V:$V, 'Fund Investment Data'!$C:$C = $C2424, 'Fund Investment Data'!$A:$A = $A2424, 'Fund Investment Data'!$B:$B &lt;= 3)) * Parameters!$B$4, 0),0)))"),0.0)</f>
        <v>0</v>
      </c>
      <c r="AB2424" s="32">
        <f>IFERROR(__xludf.DUMMYFUNCTION("IFERROR(((IFERROR(SUM(FILTER('Fund Investment Data'!$V:$V, 'Fund Investment Data'!$C:$C = $C2424, 'Fund Investment Data'!$A:$A = $A2424 - 2, 'Fund Investment Data'!$B:$B &gt;= 4)) * Parameters!$B$4,0) + IFERROR(SUM(FILTER('Fund Investment Data'!$V:$V, 'Fund "&amp;"Investment Data'!$C:$C = $C2424, 'Fund Investment Data'!$A:$A = $A2424 - 1, 'Fund Investment Data'!$B:$B &lt;= 3)) * Parameters!$B$4,0))),0)"),0.0)</f>
        <v>0</v>
      </c>
      <c r="AC2424" s="32">
        <f>IFERROR(__xludf.DUMMYFUNCTION("IFERROR(FILTER($AF:$AF,$C:$C = $C2424,$A:$A = $A2424 - 1,$B:$B = 12),0)"),0.0)</f>
        <v>0</v>
      </c>
      <c r="AD2424" s="32">
        <f t="shared" si="23"/>
        <v>0</v>
      </c>
      <c r="AE2424" s="32">
        <f t="shared" si="2"/>
        <v>0</v>
      </c>
      <c r="AF2424" s="32"/>
    </row>
    <row r="2425">
      <c r="A2425" s="86"/>
      <c r="B2425" s="87"/>
      <c r="C2425" s="88"/>
      <c r="D2425" s="104"/>
      <c r="E2425" s="104"/>
      <c r="F2425" s="104"/>
      <c r="G2425" s="104"/>
      <c r="H2425" s="104"/>
      <c r="I2425" s="104"/>
      <c r="J2425" s="104"/>
      <c r="K2425" s="32"/>
      <c r="L2425" s="32"/>
      <c r="M2425" s="32"/>
      <c r="N2425" s="32"/>
      <c r="O2425" s="106"/>
      <c r="P2425" s="91">
        <f>IFERROR(__xludf.DUMMYFUNCTION("IFERROR(sum(FILTER($D:$N,$C:$C = $C2425,$A:$A &lt; $A2425,$B:$B = 12)),0) + sum($D2425:$N2425)"),0.0)</f>
        <v>0</v>
      </c>
      <c r="Q2425" s="92">
        <f t="shared" si="1"/>
        <v>0</v>
      </c>
      <c r="R2425" s="91">
        <f t="array" ref="R2425">IFERROR(INDEX('Fund YTD Target Values'!$1:$1000, MATCH($C2425,'Fund YTD Target Values'!$A:$A,0), MATCH($A2425,'Fund YTD Target Values'!$1:$1,0)),0)</f>
        <v>0</v>
      </c>
      <c r="S2425" s="91">
        <f>IFERROR(__xludf.DUMMYFUNCTION("IFERROR(sum(FILTER('Fund Investment Data'!$V:$V, 'Fund Investment Data'!$C:$C = $C2425, 'Fund Investment Data'!$A:$A &lt; $A2425)),0) + IFERROR(sum(FILTER('Fund Investment Data'!$V:$V, 'Fund Investment Data'!$C:$C = $C2425, 'Fund Investment Data'!$A:$A = $A2"&amp;"425, 'Fund Investment Data'!$B:$B &lt;= $B2425)),0)"),0.0)</f>
        <v>0</v>
      </c>
      <c r="T2425" s="32"/>
      <c r="U2425" s="32"/>
      <c r="V2425" s="32">
        <f>IFERROR(__xludf.DUMMYFUNCTION("$D2425 - IFERROR(FILTER($D:$D,$C:$C = $C2425, $A:$A = $A2425, $B:$B = $B2425 - 1),0)"),0.0)</f>
        <v>0</v>
      </c>
      <c r="W2425" s="93">
        <f>IFERROR(__xludf.DUMMYFUNCTION("$E2425 - IFERROR(FILTER($E:$E,$C:$C = $C2425, $A:$A = $A2425, $B:$B = $B2425 - 1),0)"),0.0)</f>
        <v>0</v>
      </c>
      <c r="X2425" s="91">
        <f>IFERROR(__xludf.DUMMYFUNCTION("iFERROR((FILTER('Fund Investment Data'!$Z:$Z, 'Fund Investment Data'!$C:$C = $C2425, 'Fund Investment Data'!$A:$A = $A2425 - 1, 'Fund Investment Data'!$B:$B = 12) + FILTER('Fund Investment Data'!$AB:$AB, 'Fund Investment Data'!$C:$C = $C2425, 'Fund Invest"&amp;"ment Data'!$A:$A = $A2425 - 1, 'Fund Investment Data'!$B:$B = 12)) * (1 + AVERAGE(FILTER('Inflation Data'!$C:$C,'Inflation Data'!$A:$A = ($A2425 - 2)))) * Parameters!$A$4,0)"),0.0)</f>
        <v>0</v>
      </c>
      <c r="Y2425" s="91">
        <f>IFERROR(__xludf.DUMMYFUNCTION("IFERROR((IFERROR(FILTER('Fund Investment Data'!$P:$P,'Fund Investment Data'!$C:$C = $C2425,'Fund Investment Data'!$A:$A = ($A2425 - 2), 'Fund Investment Data'!$B:$B = 12),0) - SUM(FILTER('Fund Investment Data'!$V:$V, 'Fund Investment Data'!$C:$C = $C2425,"&amp;" 'Fund Investment Data'!$A:$A = ($A2425 - 2), 'Fund Investment Data'!$B:$B &gt; 3)))  * Parameters!$B$4 * (1 - Parameters!$A$4),0)"),0.0)</f>
        <v>0</v>
      </c>
      <c r="Z2425" s="91">
        <f t="shared" si="24"/>
        <v>0</v>
      </c>
      <c r="AA2425" s="91">
        <f>IFERROR(__xludf.DUMMYFUNCTION("((IFERROR((SUM(FILTER('Fund Investment Data'!$V:$V, 'Fund Investment Data'!$C:$C = $C2425, 'Fund Investment Data'!$A:$A = $A2425 - 1, 'Fund Investment Data'!$B:$B &gt;= 4, 'Fund Investment Data'!$B:$B &lt;= ($B2425 + 5))) / 12) * ($B2425 - 3) * Parameters!$B$4,"&amp;" 0) + IF($B2425 &gt;= 9, IFERROR(SUM(FILTER('Fund Investment Data'!$V:$V, 'Fund Investment Data'!$C:$C = $C2425, 'Fund Investment Data'!$A:$A = $A2425, 'Fund Investment Data'!$B:$B &lt;= 3)) * Parameters!$B$4, 0),0)))"),0.0)</f>
        <v>0</v>
      </c>
      <c r="AB2425" s="32">
        <f>IFERROR(__xludf.DUMMYFUNCTION("IFERROR(((IFERROR(SUM(FILTER('Fund Investment Data'!$V:$V, 'Fund Investment Data'!$C:$C = $C2425, 'Fund Investment Data'!$A:$A = $A2425 - 2, 'Fund Investment Data'!$B:$B &gt;= 4)) * Parameters!$B$4,0) + IFERROR(SUM(FILTER('Fund Investment Data'!$V:$V, 'Fund "&amp;"Investment Data'!$C:$C = $C2425, 'Fund Investment Data'!$A:$A = $A2425 - 1, 'Fund Investment Data'!$B:$B &lt;= 3)) * Parameters!$B$4,0))),0)"),0.0)</f>
        <v>0</v>
      </c>
      <c r="AC2425" s="32">
        <f>IFERROR(__xludf.DUMMYFUNCTION("IFERROR(FILTER($AF:$AF,$C:$C = $C2425,$A:$A = $A2425 - 1,$B:$B = 12),0)"),0.0)</f>
        <v>0</v>
      </c>
      <c r="AD2425" s="32">
        <f t="shared" si="23"/>
        <v>0</v>
      </c>
      <c r="AE2425" s="32">
        <f t="shared" si="2"/>
        <v>0</v>
      </c>
      <c r="AF2425" s="32"/>
    </row>
    <row r="2426">
      <c r="A2426" s="86"/>
      <c r="B2426" s="87"/>
      <c r="C2426" s="88"/>
      <c r="D2426" s="104"/>
      <c r="E2426" s="104"/>
      <c r="F2426" s="104"/>
      <c r="G2426" s="104"/>
      <c r="H2426" s="104"/>
      <c r="I2426" s="104"/>
      <c r="J2426" s="104"/>
      <c r="K2426" s="32"/>
      <c r="L2426" s="32"/>
      <c r="M2426" s="32"/>
      <c r="N2426" s="32"/>
      <c r="O2426" s="106"/>
      <c r="P2426" s="91">
        <f>IFERROR(__xludf.DUMMYFUNCTION("IFERROR(sum(FILTER($D:$N,$C:$C = $C2426,$A:$A &lt; $A2426,$B:$B = 12)),0) + sum($D2426:$N2426)"),0.0)</f>
        <v>0</v>
      </c>
      <c r="Q2426" s="92">
        <f t="shared" si="1"/>
        <v>0</v>
      </c>
      <c r="R2426" s="91">
        <f t="array" ref="R2426">IFERROR(INDEX('Fund YTD Target Values'!$1:$1000, MATCH($C2426,'Fund YTD Target Values'!$A:$A,0), MATCH($A2426,'Fund YTD Target Values'!$1:$1,0)),0)</f>
        <v>0</v>
      </c>
      <c r="S2426" s="91">
        <f>IFERROR(__xludf.DUMMYFUNCTION("IFERROR(sum(FILTER('Fund Investment Data'!$V:$V, 'Fund Investment Data'!$C:$C = $C2426, 'Fund Investment Data'!$A:$A &lt; $A2426)),0) + IFERROR(sum(FILTER('Fund Investment Data'!$V:$V, 'Fund Investment Data'!$C:$C = $C2426, 'Fund Investment Data'!$A:$A = $A2"&amp;"426, 'Fund Investment Data'!$B:$B &lt;= $B2426)),0)"),0.0)</f>
        <v>0</v>
      </c>
      <c r="T2426" s="32"/>
      <c r="U2426" s="32"/>
      <c r="V2426" s="32">
        <f>IFERROR(__xludf.DUMMYFUNCTION("$D2426 - IFERROR(FILTER($D:$D,$C:$C = $C2426, $A:$A = $A2426, $B:$B = $B2426 - 1),0)"),0.0)</f>
        <v>0</v>
      </c>
      <c r="W2426" s="93">
        <f>IFERROR(__xludf.DUMMYFUNCTION("$E2426 - IFERROR(FILTER($E:$E,$C:$C = $C2426, $A:$A = $A2426, $B:$B = $B2426 - 1),0)"),0.0)</f>
        <v>0</v>
      </c>
      <c r="X2426" s="91">
        <f>IFERROR(__xludf.DUMMYFUNCTION("iFERROR((FILTER('Fund Investment Data'!$Z:$Z, 'Fund Investment Data'!$C:$C = $C2426, 'Fund Investment Data'!$A:$A = $A2426 - 1, 'Fund Investment Data'!$B:$B = 12) + FILTER('Fund Investment Data'!$AB:$AB, 'Fund Investment Data'!$C:$C = $C2426, 'Fund Invest"&amp;"ment Data'!$A:$A = $A2426 - 1, 'Fund Investment Data'!$B:$B = 12)) * (1 + AVERAGE(FILTER('Inflation Data'!$C:$C,'Inflation Data'!$A:$A = ($A2426 - 2)))) * Parameters!$A$4,0)"),0.0)</f>
        <v>0</v>
      </c>
      <c r="Y2426" s="91">
        <f>IFERROR(__xludf.DUMMYFUNCTION("IFERROR((IFERROR(FILTER('Fund Investment Data'!$P:$P,'Fund Investment Data'!$C:$C = $C2426,'Fund Investment Data'!$A:$A = ($A2426 - 2), 'Fund Investment Data'!$B:$B = 12),0) - SUM(FILTER('Fund Investment Data'!$V:$V, 'Fund Investment Data'!$C:$C = $C2426,"&amp;" 'Fund Investment Data'!$A:$A = ($A2426 - 2), 'Fund Investment Data'!$B:$B &gt; 3)))  * Parameters!$B$4 * (1 - Parameters!$A$4),0)"),0.0)</f>
        <v>0</v>
      </c>
      <c r="Z2426" s="91">
        <f t="shared" si="24"/>
        <v>0</v>
      </c>
      <c r="AA2426" s="91">
        <f>IFERROR(__xludf.DUMMYFUNCTION("((IFERROR((SUM(FILTER('Fund Investment Data'!$V:$V, 'Fund Investment Data'!$C:$C = $C2426, 'Fund Investment Data'!$A:$A = $A2426 - 1, 'Fund Investment Data'!$B:$B &gt;= 4, 'Fund Investment Data'!$B:$B &lt;= ($B2426 + 5))) / 12) * ($B2426 - 3) * Parameters!$B$4,"&amp;" 0) + IF($B2426 &gt;= 9, IFERROR(SUM(FILTER('Fund Investment Data'!$V:$V, 'Fund Investment Data'!$C:$C = $C2426, 'Fund Investment Data'!$A:$A = $A2426, 'Fund Investment Data'!$B:$B &lt;= 3)) * Parameters!$B$4, 0),0)))"),0.0)</f>
        <v>0</v>
      </c>
      <c r="AB2426" s="32">
        <f>IFERROR(__xludf.DUMMYFUNCTION("IFERROR(((IFERROR(SUM(FILTER('Fund Investment Data'!$V:$V, 'Fund Investment Data'!$C:$C = $C2426, 'Fund Investment Data'!$A:$A = $A2426 - 2, 'Fund Investment Data'!$B:$B &gt;= 4)) * Parameters!$B$4,0) + IFERROR(SUM(FILTER('Fund Investment Data'!$V:$V, 'Fund "&amp;"Investment Data'!$C:$C = $C2426, 'Fund Investment Data'!$A:$A = $A2426 - 1, 'Fund Investment Data'!$B:$B &lt;= 3)) * Parameters!$B$4,0))),0)"),0.0)</f>
        <v>0</v>
      </c>
      <c r="AC2426" s="32">
        <f>IFERROR(__xludf.DUMMYFUNCTION("IFERROR(FILTER($AF:$AF,$C:$C = $C2426,$A:$A = $A2426 - 1,$B:$B = 12),0)"),0.0)</f>
        <v>0</v>
      </c>
      <c r="AD2426" s="32">
        <f t="shared" si="23"/>
        <v>0</v>
      </c>
      <c r="AE2426" s="32">
        <f t="shared" si="2"/>
        <v>0</v>
      </c>
      <c r="AF2426" s="32"/>
    </row>
    <row r="2427">
      <c r="A2427" s="86"/>
      <c r="B2427" s="87"/>
      <c r="C2427" s="88"/>
      <c r="D2427" s="104"/>
      <c r="E2427" s="104"/>
      <c r="F2427" s="104"/>
      <c r="G2427" s="104"/>
      <c r="H2427" s="104"/>
      <c r="I2427" s="104"/>
      <c r="J2427" s="104"/>
      <c r="K2427" s="32"/>
      <c r="L2427" s="32"/>
      <c r="M2427" s="32"/>
      <c r="N2427" s="32"/>
      <c r="O2427" s="106"/>
      <c r="P2427" s="91">
        <f>IFERROR(__xludf.DUMMYFUNCTION("IFERROR(sum(FILTER($D:$N,$C:$C = $C2427,$A:$A &lt; $A2427,$B:$B = 12)),0) + sum($D2427:$N2427)"),0.0)</f>
        <v>0</v>
      </c>
      <c r="Q2427" s="92">
        <f t="shared" si="1"/>
        <v>0</v>
      </c>
      <c r="R2427" s="91">
        <f t="array" ref="R2427">IFERROR(INDEX('Fund YTD Target Values'!$1:$1000, MATCH($C2427,'Fund YTD Target Values'!$A:$A,0), MATCH($A2427,'Fund YTD Target Values'!$1:$1,0)),0)</f>
        <v>0</v>
      </c>
      <c r="S2427" s="91">
        <f>IFERROR(__xludf.DUMMYFUNCTION("IFERROR(sum(FILTER('Fund Investment Data'!$V:$V, 'Fund Investment Data'!$C:$C = $C2427, 'Fund Investment Data'!$A:$A &lt; $A2427)),0) + IFERROR(sum(FILTER('Fund Investment Data'!$V:$V, 'Fund Investment Data'!$C:$C = $C2427, 'Fund Investment Data'!$A:$A = $A2"&amp;"427, 'Fund Investment Data'!$B:$B &lt;= $B2427)),0)"),0.0)</f>
        <v>0</v>
      </c>
      <c r="T2427" s="32"/>
      <c r="U2427" s="32"/>
      <c r="V2427" s="32">
        <f>IFERROR(__xludf.DUMMYFUNCTION("$D2427 - IFERROR(FILTER($D:$D,$C:$C = $C2427, $A:$A = $A2427, $B:$B = $B2427 - 1),0)"),0.0)</f>
        <v>0</v>
      </c>
      <c r="W2427" s="93">
        <f>IFERROR(__xludf.DUMMYFUNCTION("$E2427 - IFERROR(FILTER($E:$E,$C:$C = $C2427, $A:$A = $A2427, $B:$B = $B2427 - 1),0)"),0.0)</f>
        <v>0</v>
      </c>
      <c r="X2427" s="91">
        <f>IFERROR(__xludf.DUMMYFUNCTION("iFERROR((FILTER('Fund Investment Data'!$Z:$Z, 'Fund Investment Data'!$C:$C = $C2427, 'Fund Investment Data'!$A:$A = $A2427 - 1, 'Fund Investment Data'!$B:$B = 12) + FILTER('Fund Investment Data'!$AB:$AB, 'Fund Investment Data'!$C:$C = $C2427, 'Fund Invest"&amp;"ment Data'!$A:$A = $A2427 - 1, 'Fund Investment Data'!$B:$B = 12)) * (1 + AVERAGE(FILTER('Inflation Data'!$C:$C,'Inflation Data'!$A:$A = ($A2427 - 2)))) * Parameters!$A$4,0)"),0.0)</f>
        <v>0</v>
      </c>
      <c r="Y2427" s="91">
        <f>IFERROR(__xludf.DUMMYFUNCTION("IFERROR((IFERROR(FILTER('Fund Investment Data'!$P:$P,'Fund Investment Data'!$C:$C = $C2427,'Fund Investment Data'!$A:$A = ($A2427 - 2), 'Fund Investment Data'!$B:$B = 12),0) - SUM(FILTER('Fund Investment Data'!$V:$V, 'Fund Investment Data'!$C:$C = $C2427,"&amp;" 'Fund Investment Data'!$A:$A = ($A2427 - 2), 'Fund Investment Data'!$B:$B &gt; 3)))  * Parameters!$B$4 * (1 - Parameters!$A$4),0)"),0.0)</f>
        <v>0</v>
      </c>
      <c r="Z2427" s="91">
        <f t="shared" si="24"/>
        <v>0</v>
      </c>
      <c r="AA2427" s="91">
        <f>IFERROR(__xludf.DUMMYFUNCTION("((IFERROR((SUM(FILTER('Fund Investment Data'!$V:$V, 'Fund Investment Data'!$C:$C = $C2427, 'Fund Investment Data'!$A:$A = $A2427 - 1, 'Fund Investment Data'!$B:$B &gt;= 4, 'Fund Investment Data'!$B:$B &lt;= ($B2427 + 5))) / 12) * ($B2427 - 3) * Parameters!$B$4,"&amp;" 0) + IF($B2427 &gt;= 9, IFERROR(SUM(FILTER('Fund Investment Data'!$V:$V, 'Fund Investment Data'!$C:$C = $C2427, 'Fund Investment Data'!$A:$A = $A2427, 'Fund Investment Data'!$B:$B &lt;= 3)) * Parameters!$B$4, 0),0)))"),0.0)</f>
        <v>0</v>
      </c>
      <c r="AB2427" s="32">
        <f>IFERROR(__xludf.DUMMYFUNCTION("IFERROR(((IFERROR(SUM(FILTER('Fund Investment Data'!$V:$V, 'Fund Investment Data'!$C:$C = $C2427, 'Fund Investment Data'!$A:$A = $A2427 - 2, 'Fund Investment Data'!$B:$B &gt;= 4)) * Parameters!$B$4,0) + IFERROR(SUM(FILTER('Fund Investment Data'!$V:$V, 'Fund "&amp;"Investment Data'!$C:$C = $C2427, 'Fund Investment Data'!$A:$A = $A2427 - 1, 'Fund Investment Data'!$B:$B &lt;= 3)) * Parameters!$B$4,0))),0)"),0.0)</f>
        <v>0</v>
      </c>
      <c r="AC2427" s="32">
        <f>IFERROR(__xludf.DUMMYFUNCTION("IFERROR(FILTER($AF:$AF,$C:$C = $C2427,$A:$A = $A2427 - 1,$B:$B = 12),0)"),0.0)</f>
        <v>0</v>
      </c>
      <c r="AD2427" s="32">
        <f t="shared" si="23"/>
        <v>0</v>
      </c>
      <c r="AE2427" s="32">
        <f t="shared" si="2"/>
        <v>0</v>
      </c>
      <c r="AF2427" s="32"/>
    </row>
    <row r="2428">
      <c r="A2428" s="86"/>
      <c r="B2428" s="87"/>
      <c r="C2428" s="88"/>
      <c r="D2428" s="104"/>
      <c r="E2428" s="104"/>
      <c r="F2428" s="104"/>
      <c r="G2428" s="104"/>
      <c r="H2428" s="104"/>
      <c r="I2428" s="104"/>
      <c r="J2428" s="104"/>
      <c r="K2428" s="32"/>
      <c r="L2428" s="32"/>
      <c r="M2428" s="32"/>
      <c r="N2428" s="32"/>
      <c r="O2428" s="106"/>
      <c r="P2428" s="91">
        <f>IFERROR(__xludf.DUMMYFUNCTION("IFERROR(sum(FILTER($D:$N,$C:$C = $C2428,$A:$A &lt; $A2428,$B:$B = 12)),0) + sum($D2428:$N2428)"),0.0)</f>
        <v>0</v>
      </c>
      <c r="Q2428" s="92">
        <f t="shared" si="1"/>
        <v>0</v>
      </c>
      <c r="R2428" s="91">
        <f t="array" ref="R2428">IFERROR(INDEX('Fund YTD Target Values'!$1:$1000, MATCH($C2428,'Fund YTD Target Values'!$A:$A,0), MATCH($A2428,'Fund YTD Target Values'!$1:$1,0)),0)</f>
        <v>0</v>
      </c>
      <c r="S2428" s="91">
        <f>IFERROR(__xludf.DUMMYFUNCTION("IFERROR(sum(FILTER('Fund Investment Data'!$V:$V, 'Fund Investment Data'!$C:$C = $C2428, 'Fund Investment Data'!$A:$A &lt; $A2428)),0) + IFERROR(sum(FILTER('Fund Investment Data'!$V:$V, 'Fund Investment Data'!$C:$C = $C2428, 'Fund Investment Data'!$A:$A = $A2"&amp;"428, 'Fund Investment Data'!$B:$B &lt;= $B2428)),0)"),0.0)</f>
        <v>0</v>
      </c>
      <c r="T2428" s="32"/>
      <c r="U2428" s="32"/>
      <c r="V2428" s="32">
        <f>IFERROR(__xludf.DUMMYFUNCTION("$D2428 - IFERROR(FILTER($D:$D,$C:$C = $C2428, $A:$A = $A2428, $B:$B = $B2428 - 1),0)"),0.0)</f>
        <v>0</v>
      </c>
      <c r="W2428" s="93">
        <f>IFERROR(__xludf.DUMMYFUNCTION("$E2428 - IFERROR(FILTER($E:$E,$C:$C = $C2428, $A:$A = $A2428, $B:$B = $B2428 - 1),0)"),0.0)</f>
        <v>0</v>
      </c>
      <c r="X2428" s="91">
        <f>IFERROR(__xludf.DUMMYFUNCTION("iFERROR((FILTER('Fund Investment Data'!$Z:$Z, 'Fund Investment Data'!$C:$C = $C2428, 'Fund Investment Data'!$A:$A = $A2428 - 1, 'Fund Investment Data'!$B:$B = 12) + FILTER('Fund Investment Data'!$AB:$AB, 'Fund Investment Data'!$C:$C = $C2428, 'Fund Invest"&amp;"ment Data'!$A:$A = $A2428 - 1, 'Fund Investment Data'!$B:$B = 12)) * (1 + AVERAGE(FILTER('Inflation Data'!$C:$C,'Inflation Data'!$A:$A = ($A2428 - 2)))) * Parameters!$A$4,0)"),0.0)</f>
        <v>0</v>
      </c>
      <c r="Y2428" s="91">
        <f>IFERROR(__xludf.DUMMYFUNCTION("IFERROR((IFERROR(FILTER('Fund Investment Data'!$P:$P,'Fund Investment Data'!$C:$C = $C2428,'Fund Investment Data'!$A:$A = ($A2428 - 2), 'Fund Investment Data'!$B:$B = 12),0) - SUM(FILTER('Fund Investment Data'!$V:$V, 'Fund Investment Data'!$C:$C = $C2428,"&amp;" 'Fund Investment Data'!$A:$A = ($A2428 - 2), 'Fund Investment Data'!$B:$B &gt; 3)))  * Parameters!$B$4 * (1 - Parameters!$A$4),0)"),0.0)</f>
        <v>0</v>
      </c>
      <c r="Z2428" s="91">
        <f t="shared" si="24"/>
        <v>0</v>
      </c>
      <c r="AA2428" s="91">
        <f>IFERROR(__xludf.DUMMYFUNCTION("((IFERROR((SUM(FILTER('Fund Investment Data'!$V:$V, 'Fund Investment Data'!$C:$C = $C2428, 'Fund Investment Data'!$A:$A = $A2428 - 1, 'Fund Investment Data'!$B:$B &gt;= 4, 'Fund Investment Data'!$B:$B &lt;= ($B2428 + 5))) / 12) * ($B2428 - 3) * Parameters!$B$4,"&amp;" 0) + IF($B2428 &gt;= 9, IFERROR(SUM(FILTER('Fund Investment Data'!$V:$V, 'Fund Investment Data'!$C:$C = $C2428, 'Fund Investment Data'!$A:$A = $A2428, 'Fund Investment Data'!$B:$B &lt;= 3)) * Parameters!$B$4, 0),0)))"),0.0)</f>
        <v>0</v>
      </c>
      <c r="AB2428" s="32">
        <f>IFERROR(__xludf.DUMMYFUNCTION("IFERROR(((IFERROR(SUM(FILTER('Fund Investment Data'!$V:$V, 'Fund Investment Data'!$C:$C = $C2428, 'Fund Investment Data'!$A:$A = $A2428 - 2, 'Fund Investment Data'!$B:$B &gt;= 4)) * Parameters!$B$4,0) + IFERROR(SUM(FILTER('Fund Investment Data'!$V:$V, 'Fund "&amp;"Investment Data'!$C:$C = $C2428, 'Fund Investment Data'!$A:$A = $A2428 - 1, 'Fund Investment Data'!$B:$B &lt;= 3)) * Parameters!$B$4,0))),0)"),0.0)</f>
        <v>0</v>
      </c>
      <c r="AC2428" s="32">
        <f>IFERROR(__xludf.DUMMYFUNCTION("IFERROR(FILTER($AF:$AF,$C:$C = $C2428,$A:$A = $A2428 - 1,$B:$B = 12),0)"),0.0)</f>
        <v>0</v>
      </c>
      <c r="AD2428" s="32">
        <f t="shared" si="23"/>
        <v>0</v>
      </c>
      <c r="AE2428" s="32">
        <f t="shared" si="2"/>
        <v>0</v>
      </c>
      <c r="AF2428" s="32"/>
    </row>
    <row r="2429">
      <c r="A2429" s="86"/>
      <c r="B2429" s="87"/>
      <c r="C2429" s="88"/>
      <c r="D2429" s="104"/>
      <c r="E2429" s="104"/>
      <c r="F2429" s="104"/>
      <c r="G2429" s="104"/>
      <c r="H2429" s="104"/>
      <c r="I2429" s="104"/>
      <c r="J2429" s="104"/>
      <c r="K2429" s="32"/>
      <c r="L2429" s="32"/>
      <c r="M2429" s="32"/>
      <c r="N2429" s="32"/>
      <c r="O2429" s="106"/>
      <c r="P2429" s="91">
        <f>IFERROR(__xludf.DUMMYFUNCTION("IFERROR(sum(FILTER($D:$N,$C:$C = $C2429,$A:$A &lt; $A2429,$B:$B = 12)),0) + sum($D2429:$N2429)"),0.0)</f>
        <v>0</v>
      </c>
      <c r="Q2429" s="92">
        <f t="shared" si="1"/>
        <v>0</v>
      </c>
      <c r="R2429" s="91">
        <f t="array" ref="R2429">IFERROR(INDEX('Fund YTD Target Values'!$1:$1000, MATCH($C2429,'Fund YTD Target Values'!$A:$A,0), MATCH($A2429,'Fund YTD Target Values'!$1:$1,0)),0)</f>
        <v>0</v>
      </c>
      <c r="S2429" s="91">
        <f>IFERROR(__xludf.DUMMYFUNCTION("IFERROR(sum(FILTER('Fund Investment Data'!$V:$V, 'Fund Investment Data'!$C:$C = $C2429, 'Fund Investment Data'!$A:$A &lt; $A2429)),0) + IFERROR(sum(FILTER('Fund Investment Data'!$V:$V, 'Fund Investment Data'!$C:$C = $C2429, 'Fund Investment Data'!$A:$A = $A2"&amp;"429, 'Fund Investment Data'!$B:$B &lt;= $B2429)),0)"),0.0)</f>
        <v>0</v>
      </c>
      <c r="T2429" s="32"/>
      <c r="U2429" s="32"/>
      <c r="V2429" s="32">
        <f>IFERROR(__xludf.DUMMYFUNCTION("$D2429 - IFERROR(FILTER($D:$D,$C:$C = $C2429, $A:$A = $A2429, $B:$B = $B2429 - 1),0)"),0.0)</f>
        <v>0</v>
      </c>
      <c r="W2429" s="93">
        <f>IFERROR(__xludf.DUMMYFUNCTION("$E2429 - IFERROR(FILTER($E:$E,$C:$C = $C2429, $A:$A = $A2429, $B:$B = $B2429 - 1),0)"),0.0)</f>
        <v>0</v>
      </c>
      <c r="X2429" s="91">
        <f>IFERROR(__xludf.DUMMYFUNCTION("iFERROR((FILTER('Fund Investment Data'!$Z:$Z, 'Fund Investment Data'!$C:$C = $C2429, 'Fund Investment Data'!$A:$A = $A2429 - 1, 'Fund Investment Data'!$B:$B = 12) + FILTER('Fund Investment Data'!$AB:$AB, 'Fund Investment Data'!$C:$C = $C2429, 'Fund Invest"&amp;"ment Data'!$A:$A = $A2429 - 1, 'Fund Investment Data'!$B:$B = 12)) * (1 + AVERAGE(FILTER('Inflation Data'!$C:$C,'Inflation Data'!$A:$A = ($A2429 - 2)))) * Parameters!$A$4,0)"),0.0)</f>
        <v>0</v>
      </c>
      <c r="Y2429" s="91">
        <f>IFERROR(__xludf.DUMMYFUNCTION("IFERROR((IFERROR(FILTER('Fund Investment Data'!$P:$P,'Fund Investment Data'!$C:$C = $C2429,'Fund Investment Data'!$A:$A = ($A2429 - 2), 'Fund Investment Data'!$B:$B = 12),0) - SUM(FILTER('Fund Investment Data'!$V:$V, 'Fund Investment Data'!$C:$C = $C2429,"&amp;" 'Fund Investment Data'!$A:$A = ($A2429 - 2), 'Fund Investment Data'!$B:$B &gt; 3)))  * Parameters!$B$4 * (1 - Parameters!$A$4),0)"),0.0)</f>
        <v>0</v>
      </c>
      <c r="Z2429" s="91">
        <f t="shared" si="24"/>
        <v>0</v>
      </c>
      <c r="AA2429" s="91">
        <f>IFERROR(__xludf.DUMMYFUNCTION("((IFERROR((SUM(FILTER('Fund Investment Data'!$V:$V, 'Fund Investment Data'!$C:$C = $C2429, 'Fund Investment Data'!$A:$A = $A2429 - 1, 'Fund Investment Data'!$B:$B &gt;= 4, 'Fund Investment Data'!$B:$B &lt;= ($B2429 + 5))) / 12) * ($B2429 - 3) * Parameters!$B$4,"&amp;" 0) + IF($B2429 &gt;= 9, IFERROR(SUM(FILTER('Fund Investment Data'!$V:$V, 'Fund Investment Data'!$C:$C = $C2429, 'Fund Investment Data'!$A:$A = $A2429, 'Fund Investment Data'!$B:$B &lt;= 3)) * Parameters!$B$4, 0),0)))"),0.0)</f>
        <v>0</v>
      </c>
      <c r="AB2429" s="32">
        <f>IFERROR(__xludf.DUMMYFUNCTION("IFERROR(((IFERROR(SUM(FILTER('Fund Investment Data'!$V:$V, 'Fund Investment Data'!$C:$C = $C2429, 'Fund Investment Data'!$A:$A = $A2429 - 2, 'Fund Investment Data'!$B:$B &gt;= 4)) * Parameters!$B$4,0) + IFERROR(SUM(FILTER('Fund Investment Data'!$V:$V, 'Fund "&amp;"Investment Data'!$C:$C = $C2429, 'Fund Investment Data'!$A:$A = $A2429 - 1, 'Fund Investment Data'!$B:$B &lt;= 3)) * Parameters!$B$4,0))),0)"),0.0)</f>
        <v>0</v>
      </c>
      <c r="AC2429" s="32">
        <f>IFERROR(__xludf.DUMMYFUNCTION("IFERROR(FILTER($AF:$AF,$C:$C = $C2429,$A:$A = $A2429 - 1,$B:$B = 12),0)"),0.0)</f>
        <v>0</v>
      </c>
      <c r="AD2429" s="32">
        <f t="shared" si="23"/>
        <v>0</v>
      </c>
      <c r="AE2429" s="32">
        <f t="shared" si="2"/>
        <v>0</v>
      </c>
      <c r="AF2429" s="32"/>
    </row>
    <row r="2430">
      <c r="A2430" s="86"/>
      <c r="B2430" s="87"/>
      <c r="C2430" s="88"/>
      <c r="D2430" s="104"/>
      <c r="E2430" s="104"/>
      <c r="F2430" s="104"/>
      <c r="G2430" s="104"/>
      <c r="H2430" s="104"/>
      <c r="I2430" s="104"/>
      <c r="J2430" s="104"/>
      <c r="K2430" s="32"/>
      <c r="L2430" s="32"/>
      <c r="M2430" s="32"/>
      <c r="N2430" s="32"/>
      <c r="O2430" s="106"/>
      <c r="P2430" s="91">
        <f>IFERROR(__xludf.DUMMYFUNCTION("IFERROR(sum(FILTER($D:$N,$C:$C = $C2430,$A:$A &lt; $A2430,$B:$B = 12)),0) + sum($D2430:$N2430)"),0.0)</f>
        <v>0</v>
      </c>
      <c r="Q2430" s="92">
        <f t="shared" si="1"/>
        <v>0</v>
      </c>
      <c r="R2430" s="91">
        <f t="array" ref="R2430">IFERROR(INDEX('Fund YTD Target Values'!$1:$1000, MATCH($C2430,'Fund YTD Target Values'!$A:$A,0), MATCH($A2430,'Fund YTD Target Values'!$1:$1,0)),0)</f>
        <v>0</v>
      </c>
      <c r="S2430" s="91">
        <f>IFERROR(__xludf.DUMMYFUNCTION("IFERROR(sum(FILTER('Fund Investment Data'!$V:$V, 'Fund Investment Data'!$C:$C = $C2430, 'Fund Investment Data'!$A:$A &lt; $A2430)),0) + IFERROR(sum(FILTER('Fund Investment Data'!$V:$V, 'Fund Investment Data'!$C:$C = $C2430, 'Fund Investment Data'!$A:$A = $A2"&amp;"430, 'Fund Investment Data'!$B:$B &lt;= $B2430)),0)"),0.0)</f>
        <v>0</v>
      </c>
      <c r="T2430" s="32"/>
      <c r="U2430" s="32"/>
      <c r="V2430" s="32">
        <f>IFERROR(__xludf.DUMMYFUNCTION("$D2430 - IFERROR(FILTER($D:$D,$C:$C = $C2430, $A:$A = $A2430, $B:$B = $B2430 - 1),0)"),0.0)</f>
        <v>0</v>
      </c>
      <c r="W2430" s="93">
        <f>IFERROR(__xludf.DUMMYFUNCTION("$E2430 - IFERROR(FILTER($E:$E,$C:$C = $C2430, $A:$A = $A2430, $B:$B = $B2430 - 1),0)"),0.0)</f>
        <v>0</v>
      </c>
      <c r="X2430" s="91">
        <f>IFERROR(__xludf.DUMMYFUNCTION("iFERROR((FILTER('Fund Investment Data'!$Z:$Z, 'Fund Investment Data'!$C:$C = $C2430, 'Fund Investment Data'!$A:$A = $A2430 - 1, 'Fund Investment Data'!$B:$B = 12) + FILTER('Fund Investment Data'!$AB:$AB, 'Fund Investment Data'!$C:$C = $C2430, 'Fund Invest"&amp;"ment Data'!$A:$A = $A2430 - 1, 'Fund Investment Data'!$B:$B = 12)) * (1 + AVERAGE(FILTER('Inflation Data'!$C:$C,'Inflation Data'!$A:$A = ($A2430 - 2)))) * Parameters!$A$4,0)"),0.0)</f>
        <v>0</v>
      </c>
      <c r="Y2430" s="91">
        <f>IFERROR(__xludf.DUMMYFUNCTION("IFERROR((IFERROR(FILTER('Fund Investment Data'!$P:$P,'Fund Investment Data'!$C:$C = $C2430,'Fund Investment Data'!$A:$A = ($A2430 - 2), 'Fund Investment Data'!$B:$B = 12),0) - SUM(FILTER('Fund Investment Data'!$V:$V, 'Fund Investment Data'!$C:$C = $C2430,"&amp;" 'Fund Investment Data'!$A:$A = ($A2430 - 2), 'Fund Investment Data'!$B:$B &gt; 3)))  * Parameters!$B$4 * (1 - Parameters!$A$4),0)"),0.0)</f>
        <v>0</v>
      </c>
      <c r="Z2430" s="91">
        <f t="shared" si="24"/>
        <v>0</v>
      </c>
      <c r="AA2430" s="91">
        <f>IFERROR(__xludf.DUMMYFUNCTION("((IFERROR((SUM(FILTER('Fund Investment Data'!$V:$V, 'Fund Investment Data'!$C:$C = $C2430, 'Fund Investment Data'!$A:$A = $A2430 - 1, 'Fund Investment Data'!$B:$B &gt;= 4, 'Fund Investment Data'!$B:$B &lt;= ($B2430 + 5))) / 12) * ($B2430 - 3) * Parameters!$B$4,"&amp;" 0) + IF($B2430 &gt;= 9, IFERROR(SUM(FILTER('Fund Investment Data'!$V:$V, 'Fund Investment Data'!$C:$C = $C2430, 'Fund Investment Data'!$A:$A = $A2430, 'Fund Investment Data'!$B:$B &lt;= 3)) * Parameters!$B$4, 0),0)))"),0.0)</f>
        <v>0</v>
      </c>
      <c r="AB2430" s="32">
        <f>IFERROR(__xludf.DUMMYFUNCTION("IFERROR(((IFERROR(SUM(FILTER('Fund Investment Data'!$V:$V, 'Fund Investment Data'!$C:$C = $C2430, 'Fund Investment Data'!$A:$A = $A2430 - 2, 'Fund Investment Data'!$B:$B &gt;= 4)) * Parameters!$B$4,0) + IFERROR(SUM(FILTER('Fund Investment Data'!$V:$V, 'Fund "&amp;"Investment Data'!$C:$C = $C2430, 'Fund Investment Data'!$A:$A = $A2430 - 1, 'Fund Investment Data'!$B:$B &lt;= 3)) * Parameters!$B$4,0))),0)"),0.0)</f>
        <v>0</v>
      </c>
      <c r="AC2430" s="32">
        <f>IFERROR(__xludf.DUMMYFUNCTION("IFERROR(FILTER($AF:$AF,$C:$C = $C2430,$A:$A = $A2430 - 1,$B:$B = 12),0)"),0.0)</f>
        <v>0</v>
      </c>
      <c r="AD2430" s="32">
        <f t="shared" si="23"/>
        <v>0</v>
      </c>
      <c r="AE2430" s="32">
        <f t="shared" si="2"/>
        <v>0</v>
      </c>
      <c r="AF2430" s="32"/>
    </row>
    <row r="2431">
      <c r="A2431" s="86"/>
      <c r="B2431" s="87"/>
      <c r="C2431" s="88"/>
      <c r="D2431" s="104"/>
      <c r="E2431" s="104"/>
      <c r="F2431" s="104"/>
      <c r="G2431" s="104"/>
      <c r="H2431" s="104"/>
      <c r="I2431" s="104"/>
      <c r="J2431" s="104"/>
      <c r="K2431" s="32"/>
      <c r="L2431" s="32"/>
      <c r="M2431" s="32"/>
      <c r="N2431" s="32"/>
      <c r="O2431" s="106"/>
      <c r="P2431" s="91">
        <f>IFERROR(__xludf.DUMMYFUNCTION("IFERROR(sum(FILTER($D:$N,$C:$C = $C2431,$A:$A &lt; $A2431,$B:$B = 12)),0) + sum($D2431:$N2431)"),0.0)</f>
        <v>0</v>
      </c>
      <c r="Q2431" s="92">
        <f t="shared" si="1"/>
        <v>0</v>
      </c>
      <c r="R2431" s="91">
        <f t="array" ref="R2431">IFERROR(INDEX('Fund YTD Target Values'!$1:$1000, MATCH($C2431,'Fund YTD Target Values'!$A:$A,0), MATCH($A2431,'Fund YTD Target Values'!$1:$1,0)),0)</f>
        <v>0</v>
      </c>
      <c r="S2431" s="91">
        <f>IFERROR(__xludf.DUMMYFUNCTION("IFERROR(sum(FILTER('Fund Investment Data'!$V:$V, 'Fund Investment Data'!$C:$C = $C2431, 'Fund Investment Data'!$A:$A &lt; $A2431)),0) + IFERROR(sum(FILTER('Fund Investment Data'!$V:$V, 'Fund Investment Data'!$C:$C = $C2431, 'Fund Investment Data'!$A:$A = $A2"&amp;"431, 'Fund Investment Data'!$B:$B &lt;= $B2431)),0)"),0.0)</f>
        <v>0</v>
      </c>
      <c r="T2431" s="32"/>
      <c r="U2431" s="32"/>
      <c r="V2431" s="32">
        <f>IFERROR(__xludf.DUMMYFUNCTION("$D2431 - IFERROR(FILTER($D:$D,$C:$C = $C2431, $A:$A = $A2431, $B:$B = $B2431 - 1),0)"),0.0)</f>
        <v>0</v>
      </c>
      <c r="W2431" s="93">
        <f>IFERROR(__xludf.DUMMYFUNCTION("$E2431 - IFERROR(FILTER($E:$E,$C:$C = $C2431, $A:$A = $A2431, $B:$B = $B2431 - 1),0)"),0.0)</f>
        <v>0</v>
      </c>
      <c r="X2431" s="91">
        <f>IFERROR(__xludf.DUMMYFUNCTION("iFERROR((FILTER('Fund Investment Data'!$Z:$Z, 'Fund Investment Data'!$C:$C = $C2431, 'Fund Investment Data'!$A:$A = $A2431 - 1, 'Fund Investment Data'!$B:$B = 12) + FILTER('Fund Investment Data'!$AB:$AB, 'Fund Investment Data'!$C:$C = $C2431, 'Fund Invest"&amp;"ment Data'!$A:$A = $A2431 - 1, 'Fund Investment Data'!$B:$B = 12)) * (1 + AVERAGE(FILTER('Inflation Data'!$C:$C,'Inflation Data'!$A:$A = ($A2431 - 2)))) * Parameters!$A$4,0)"),0.0)</f>
        <v>0</v>
      </c>
      <c r="Y2431" s="91">
        <f>IFERROR(__xludf.DUMMYFUNCTION("IFERROR((IFERROR(FILTER('Fund Investment Data'!$P:$P,'Fund Investment Data'!$C:$C = $C2431,'Fund Investment Data'!$A:$A = ($A2431 - 2), 'Fund Investment Data'!$B:$B = 12),0) - SUM(FILTER('Fund Investment Data'!$V:$V, 'Fund Investment Data'!$C:$C = $C2431,"&amp;" 'Fund Investment Data'!$A:$A = ($A2431 - 2), 'Fund Investment Data'!$B:$B &gt; 3)))  * Parameters!$B$4 * (1 - Parameters!$A$4),0)"),0.0)</f>
        <v>0</v>
      </c>
      <c r="Z2431" s="91">
        <f t="shared" si="24"/>
        <v>0</v>
      </c>
      <c r="AA2431" s="91">
        <f>IFERROR(__xludf.DUMMYFUNCTION("((IFERROR((SUM(FILTER('Fund Investment Data'!$V:$V, 'Fund Investment Data'!$C:$C = $C2431, 'Fund Investment Data'!$A:$A = $A2431 - 1, 'Fund Investment Data'!$B:$B &gt;= 4, 'Fund Investment Data'!$B:$B &lt;= ($B2431 + 5))) / 12) * ($B2431 - 3) * Parameters!$B$4,"&amp;" 0) + IF($B2431 &gt;= 9, IFERROR(SUM(FILTER('Fund Investment Data'!$V:$V, 'Fund Investment Data'!$C:$C = $C2431, 'Fund Investment Data'!$A:$A = $A2431, 'Fund Investment Data'!$B:$B &lt;= 3)) * Parameters!$B$4, 0),0)))"),0.0)</f>
        <v>0</v>
      </c>
      <c r="AB2431" s="32">
        <f>IFERROR(__xludf.DUMMYFUNCTION("IFERROR(((IFERROR(SUM(FILTER('Fund Investment Data'!$V:$V, 'Fund Investment Data'!$C:$C = $C2431, 'Fund Investment Data'!$A:$A = $A2431 - 2, 'Fund Investment Data'!$B:$B &gt;= 4)) * Parameters!$B$4,0) + IFERROR(SUM(FILTER('Fund Investment Data'!$V:$V, 'Fund "&amp;"Investment Data'!$C:$C = $C2431, 'Fund Investment Data'!$A:$A = $A2431 - 1, 'Fund Investment Data'!$B:$B &lt;= 3)) * Parameters!$B$4,0))),0)"),0.0)</f>
        <v>0</v>
      </c>
      <c r="AC2431" s="32">
        <f>IFERROR(__xludf.DUMMYFUNCTION("IFERROR(FILTER($AF:$AF,$C:$C = $C2431,$A:$A = $A2431 - 1,$B:$B = 12),0)"),0.0)</f>
        <v>0</v>
      </c>
      <c r="AD2431" s="32">
        <f t="shared" si="23"/>
        <v>0</v>
      </c>
      <c r="AE2431" s="32">
        <f t="shared" si="2"/>
        <v>0</v>
      </c>
      <c r="AF2431" s="32"/>
    </row>
    <row r="2432">
      <c r="A2432" s="86"/>
      <c r="B2432" s="87"/>
      <c r="C2432" s="88"/>
      <c r="D2432" s="104"/>
      <c r="E2432" s="104"/>
      <c r="F2432" s="104"/>
      <c r="G2432" s="104"/>
      <c r="H2432" s="104"/>
      <c r="I2432" s="104"/>
      <c r="J2432" s="104"/>
      <c r="K2432" s="32"/>
      <c r="L2432" s="32"/>
      <c r="M2432" s="32"/>
      <c r="N2432" s="32"/>
      <c r="O2432" s="106"/>
      <c r="P2432" s="91">
        <f>IFERROR(__xludf.DUMMYFUNCTION("IFERROR(sum(FILTER($D:$N,$C:$C = $C2432,$A:$A &lt; $A2432,$B:$B = 12)),0) + sum($D2432:$N2432)"),0.0)</f>
        <v>0</v>
      </c>
      <c r="Q2432" s="92">
        <f t="shared" si="1"/>
        <v>0</v>
      </c>
      <c r="R2432" s="91">
        <f t="array" ref="R2432">IFERROR(INDEX('Fund YTD Target Values'!$1:$1000, MATCH($C2432,'Fund YTD Target Values'!$A:$A,0), MATCH($A2432,'Fund YTD Target Values'!$1:$1,0)),0)</f>
        <v>0</v>
      </c>
      <c r="S2432" s="91">
        <f>IFERROR(__xludf.DUMMYFUNCTION("IFERROR(sum(FILTER('Fund Investment Data'!$V:$V, 'Fund Investment Data'!$C:$C = $C2432, 'Fund Investment Data'!$A:$A &lt; $A2432)),0) + IFERROR(sum(FILTER('Fund Investment Data'!$V:$V, 'Fund Investment Data'!$C:$C = $C2432, 'Fund Investment Data'!$A:$A = $A2"&amp;"432, 'Fund Investment Data'!$B:$B &lt;= $B2432)),0)"),0.0)</f>
        <v>0</v>
      </c>
      <c r="T2432" s="32"/>
      <c r="U2432" s="32"/>
      <c r="V2432" s="32">
        <f>IFERROR(__xludf.DUMMYFUNCTION("$D2432 - IFERROR(FILTER($D:$D,$C:$C = $C2432, $A:$A = $A2432, $B:$B = $B2432 - 1),0)"),0.0)</f>
        <v>0</v>
      </c>
      <c r="W2432" s="93">
        <f>IFERROR(__xludf.DUMMYFUNCTION("$E2432 - IFERROR(FILTER($E:$E,$C:$C = $C2432, $A:$A = $A2432, $B:$B = $B2432 - 1),0)"),0.0)</f>
        <v>0</v>
      </c>
      <c r="X2432" s="91">
        <f>IFERROR(__xludf.DUMMYFUNCTION("iFERROR((FILTER('Fund Investment Data'!$Z:$Z, 'Fund Investment Data'!$C:$C = $C2432, 'Fund Investment Data'!$A:$A = $A2432 - 1, 'Fund Investment Data'!$B:$B = 12) + FILTER('Fund Investment Data'!$AB:$AB, 'Fund Investment Data'!$C:$C = $C2432, 'Fund Invest"&amp;"ment Data'!$A:$A = $A2432 - 1, 'Fund Investment Data'!$B:$B = 12)) * (1 + AVERAGE(FILTER('Inflation Data'!$C:$C,'Inflation Data'!$A:$A = ($A2432 - 2)))) * Parameters!$A$4,0)"),0.0)</f>
        <v>0</v>
      </c>
      <c r="Y2432" s="91">
        <f>IFERROR(__xludf.DUMMYFUNCTION("IFERROR((IFERROR(FILTER('Fund Investment Data'!$P:$P,'Fund Investment Data'!$C:$C = $C2432,'Fund Investment Data'!$A:$A = ($A2432 - 2), 'Fund Investment Data'!$B:$B = 12),0) - SUM(FILTER('Fund Investment Data'!$V:$V, 'Fund Investment Data'!$C:$C = $C2432,"&amp;" 'Fund Investment Data'!$A:$A = ($A2432 - 2), 'Fund Investment Data'!$B:$B &gt; 3)))  * Parameters!$B$4 * (1 - Parameters!$A$4),0)"),0.0)</f>
        <v>0</v>
      </c>
      <c r="Z2432" s="91">
        <f t="shared" si="24"/>
        <v>0</v>
      </c>
      <c r="AA2432" s="91">
        <f>IFERROR(__xludf.DUMMYFUNCTION("((IFERROR((SUM(FILTER('Fund Investment Data'!$V:$V, 'Fund Investment Data'!$C:$C = $C2432, 'Fund Investment Data'!$A:$A = $A2432 - 1, 'Fund Investment Data'!$B:$B &gt;= 4, 'Fund Investment Data'!$B:$B &lt;= ($B2432 + 5))) / 12) * ($B2432 - 3) * Parameters!$B$4,"&amp;" 0) + IF($B2432 &gt;= 9, IFERROR(SUM(FILTER('Fund Investment Data'!$V:$V, 'Fund Investment Data'!$C:$C = $C2432, 'Fund Investment Data'!$A:$A = $A2432, 'Fund Investment Data'!$B:$B &lt;= 3)) * Parameters!$B$4, 0),0)))"),0.0)</f>
        <v>0</v>
      </c>
      <c r="AB2432" s="32">
        <f>IFERROR(__xludf.DUMMYFUNCTION("IFERROR(((IFERROR(SUM(FILTER('Fund Investment Data'!$V:$V, 'Fund Investment Data'!$C:$C = $C2432, 'Fund Investment Data'!$A:$A = $A2432 - 2, 'Fund Investment Data'!$B:$B &gt;= 4)) * Parameters!$B$4,0) + IFERROR(SUM(FILTER('Fund Investment Data'!$V:$V, 'Fund "&amp;"Investment Data'!$C:$C = $C2432, 'Fund Investment Data'!$A:$A = $A2432 - 1, 'Fund Investment Data'!$B:$B &lt;= 3)) * Parameters!$B$4,0))),0)"),0.0)</f>
        <v>0</v>
      </c>
      <c r="AC2432" s="32">
        <f>IFERROR(__xludf.DUMMYFUNCTION("IFERROR(FILTER($AF:$AF,$C:$C = $C2432,$A:$A = $A2432 - 1,$B:$B = 12),0)"),0.0)</f>
        <v>0</v>
      </c>
      <c r="AD2432" s="32">
        <f t="shared" si="23"/>
        <v>0</v>
      </c>
      <c r="AE2432" s="32">
        <f t="shared" si="2"/>
        <v>0</v>
      </c>
      <c r="AF2432" s="32"/>
    </row>
    <row r="2433">
      <c r="A2433" s="86"/>
      <c r="B2433" s="87"/>
      <c r="C2433" s="88"/>
      <c r="D2433" s="104"/>
      <c r="E2433" s="104"/>
      <c r="F2433" s="104"/>
      <c r="G2433" s="104"/>
      <c r="H2433" s="104"/>
      <c r="I2433" s="104"/>
      <c r="J2433" s="104"/>
      <c r="K2433" s="32"/>
      <c r="L2433" s="32"/>
      <c r="M2433" s="32"/>
      <c r="N2433" s="32"/>
      <c r="O2433" s="106"/>
      <c r="P2433" s="91">
        <f>IFERROR(__xludf.DUMMYFUNCTION("IFERROR(sum(FILTER($D:$N,$C:$C = $C2433,$A:$A &lt; $A2433,$B:$B = 12)),0) + sum($D2433:$N2433)"),0.0)</f>
        <v>0</v>
      </c>
      <c r="Q2433" s="92">
        <f t="shared" si="1"/>
        <v>0</v>
      </c>
      <c r="R2433" s="91">
        <f t="array" ref="R2433">IFERROR(INDEX('Fund YTD Target Values'!$1:$1000, MATCH($C2433,'Fund YTD Target Values'!$A:$A,0), MATCH($A2433,'Fund YTD Target Values'!$1:$1,0)),0)</f>
        <v>0</v>
      </c>
      <c r="S2433" s="91">
        <f>IFERROR(__xludf.DUMMYFUNCTION("IFERROR(sum(FILTER('Fund Investment Data'!$V:$V, 'Fund Investment Data'!$C:$C = $C2433, 'Fund Investment Data'!$A:$A &lt; $A2433)),0) + IFERROR(sum(FILTER('Fund Investment Data'!$V:$V, 'Fund Investment Data'!$C:$C = $C2433, 'Fund Investment Data'!$A:$A = $A2"&amp;"433, 'Fund Investment Data'!$B:$B &lt;= $B2433)),0)"),0.0)</f>
        <v>0</v>
      </c>
      <c r="T2433" s="32"/>
      <c r="U2433" s="32"/>
      <c r="V2433" s="32">
        <f>IFERROR(__xludf.DUMMYFUNCTION("$D2433 - IFERROR(FILTER($D:$D,$C:$C = $C2433, $A:$A = $A2433, $B:$B = $B2433 - 1),0)"),0.0)</f>
        <v>0</v>
      </c>
      <c r="W2433" s="93">
        <f>IFERROR(__xludf.DUMMYFUNCTION("$E2433 - IFERROR(FILTER($E:$E,$C:$C = $C2433, $A:$A = $A2433, $B:$B = $B2433 - 1),0)"),0.0)</f>
        <v>0</v>
      </c>
      <c r="X2433" s="91">
        <f>IFERROR(__xludf.DUMMYFUNCTION("iFERROR((FILTER('Fund Investment Data'!$Z:$Z, 'Fund Investment Data'!$C:$C = $C2433, 'Fund Investment Data'!$A:$A = $A2433 - 1, 'Fund Investment Data'!$B:$B = 12) + FILTER('Fund Investment Data'!$AB:$AB, 'Fund Investment Data'!$C:$C = $C2433, 'Fund Invest"&amp;"ment Data'!$A:$A = $A2433 - 1, 'Fund Investment Data'!$B:$B = 12)) * (1 + AVERAGE(FILTER('Inflation Data'!$C:$C,'Inflation Data'!$A:$A = ($A2433 - 2)))) * Parameters!$A$4,0)"),0.0)</f>
        <v>0</v>
      </c>
      <c r="Y2433" s="91">
        <f>IFERROR(__xludf.DUMMYFUNCTION("IFERROR((IFERROR(FILTER('Fund Investment Data'!$P:$P,'Fund Investment Data'!$C:$C = $C2433,'Fund Investment Data'!$A:$A = ($A2433 - 2), 'Fund Investment Data'!$B:$B = 12),0) - SUM(FILTER('Fund Investment Data'!$V:$V, 'Fund Investment Data'!$C:$C = $C2433,"&amp;" 'Fund Investment Data'!$A:$A = ($A2433 - 2), 'Fund Investment Data'!$B:$B &gt; 3)))  * Parameters!$B$4 * (1 - Parameters!$A$4),0)"),0.0)</f>
        <v>0</v>
      </c>
      <c r="Z2433" s="91">
        <f t="shared" si="24"/>
        <v>0</v>
      </c>
      <c r="AA2433" s="91">
        <f>IFERROR(__xludf.DUMMYFUNCTION("((IFERROR((SUM(FILTER('Fund Investment Data'!$V:$V, 'Fund Investment Data'!$C:$C = $C2433, 'Fund Investment Data'!$A:$A = $A2433 - 1, 'Fund Investment Data'!$B:$B &gt;= 4, 'Fund Investment Data'!$B:$B &lt;= ($B2433 + 5))) / 12) * ($B2433 - 3) * Parameters!$B$4,"&amp;" 0) + IF($B2433 &gt;= 9, IFERROR(SUM(FILTER('Fund Investment Data'!$V:$V, 'Fund Investment Data'!$C:$C = $C2433, 'Fund Investment Data'!$A:$A = $A2433, 'Fund Investment Data'!$B:$B &lt;= 3)) * Parameters!$B$4, 0),0)))"),0.0)</f>
        <v>0</v>
      </c>
      <c r="AB2433" s="32">
        <f>IFERROR(__xludf.DUMMYFUNCTION("IFERROR(((IFERROR(SUM(FILTER('Fund Investment Data'!$V:$V, 'Fund Investment Data'!$C:$C = $C2433, 'Fund Investment Data'!$A:$A = $A2433 - 2, 'Fund Investment Data'!$B:$B &gt;= 4)) * Parameters!$B$4,0) + IFERROR(SUM(FILTER('Fund Investment Data'!$V:$V, 'Fund "&amp;"Investment Data'!$C:$C = $C2433, 'Fund Investment Data'!$A:$A = $A2433 - 1, 'Fund Investment Data'!$B:$B &lt;= 3)) * Parameters!$B$4,0))),0)"),0.0)</f>
        <v>0</v>
      </c>
      <c r="AC2433" s="32">
        <f>IFERROR(__xludf.DUMMYFUNCTION("IFERROR(FILTER($AF:$AF,$C:$C = $C2433,$A:$A = $A2433 - 1,$B:$B = 12),0)"),0.0)</f>
        <v>0</v>
      </c>
      <c r="AD2433" s="32">
        <f t="shared" si="23"/>
        <v>0</v>
      </c>
      <c r="AE2433" s="32">
        <f t="shared" si="2"/>
        <v>0</v>
      </c>
      <c r="AF2433" s="32"/>
    </row>
    <row r="2434">
      <c r="A2434" s="86"/>
      <c r="B2434" s="87"/>
      <c r="C2434" s="88"/>
      <c r="D2434" s="104"/>
      <c r="E2434" s="104"/>
      <c r="F2434" s="104"/>
      <c r="G2434" s="104"/>
      <c r="H2434" s="104"/>
      <c r="I2434" s="104"/>
      <c r="J2434" s="104"/>
      <c r="K2434" s="32"/>
      <c r="L2434" s="32"/>
      <c r="M2434" s="32"/>
      <c r="N2434" s="32"/>
      <c r="O2434" s="106"/>
      <c r="P2434" s="91">
        <f>IFERROR(__xludf.DUMMYFUNCTION("IFERROR(sum(FILTER($D:$N,$C:$C = $C2434,$A:$A &lt; $A2434,$B:$B = 12)),0) + sum($D2434:$N2434)"),0.0)</f>
        <v>0</v>
      </c>
      <c r="Q2434" s="92">
        <f t="shared" si="1"/>
        <v>0</v>
      </c>
      <c r="R2434" s="91">
        <f t="array" ref="R2434">IFERROR(INDEX('Fund YTD Target Values'!$1:$1000, MATCH($C2434,'Fund YTD Target Values'!$A:$A,0), MATCH($A2434,'Fund YTD Target Values'!$1:$1,0)),0)</f>
        <v>0</v>
      </c>
      <c r="S2434" s="91">
        <f>IFERROR(__xludf.DUMMYFUNCTION("IFERROR(sum(FILTER('Fund Investment Data'!$V:$V, 'Fund Investment Data'!$C:$C = $C2434, 'Fund Investment Data'!$A:$A &lt; $A2434)),0) + IFERROR(sum(FILTER('Fund Investment Data'!$V:$V, 'Fund Investment Data'!$C:$C = $C2434, 'Fund Investment Data'!$A:$A = $A2"&amp;"434, 'Fund Investment Data'!$B:$B &lt;= $B2434)),0)"),0.0)</f>
        <v>0</v>
      </c>
      <c r="T2434" s="32"/>
      <c r="U2434" s="32"/>
      <c r="V2434" s="32">
        <f>IFERROR(__xludf.DUMMYFUNCTION("$D2434 - IFERROR(FILTER($D:$D,$C:$C = $C2434, $A:$A = $A2434, $B:$B = $B2434 - 1),0)"),0.0)</f>
        <v>0</v>
      </c>
      <c r="W2434" s="93">
        <f>IFERROR(__xludf.DUMMYFUNCTION("$E2434 - IFERROR(FILTER($E:$E,$C:$C = $C2434, $A:$A = $A2434, $B:$B = $B2434 - 1),0)"),0.0)</f>
        <v>0</v>
      </c>
      <c r="X2434" s="91">
        <f>IFERROR(__xludf.DUMMYFUNCTION("iFERROR((FILTER('Fund Investment Data'!$Z:$Z, 'Fund Investment Data'!$C:$C = $C2434, 'Fund Investment Data'!$A:$A = $A2434 - 1, 'Fund Investment Data'!$B:$B = 12) + FILTER('Fund Investment Data'!$AB:$AB, 'Fund Investment Data'!$C:$C = $C2434, 'Fund Invest"&amp;"ment Data'!$A:$A = $A2434 - 1, 'Fund Investment Data'!$B:$B = 12)) * (1 + AVERAGE(FILTER('Inflation Data'!$C:$C,'Inflation Data'!$A:$A = ($A2434 - 2)))) * Parameters!$A$4,0)"),0.0)</f>
        <v>0</v>
      </c>
      <c r="Y2434" s="91">
        <f>IFERROR(__xludf.DUMMYFUNCTION("IFERROR((IFERROR(FILTER('Fund Investment Data'!$P:$P,'Fund Investment Data'!$C:$C = $C2434,'Fund Investment Data'!$A:$A = ($A2434 - 2), 'Fund Investment Data'!$B:$B = 12),0) - SUM(FILTER('Fund Investment Data'!$V:$V, 'Fund Investment Data'!$C:$C = $C2434,"&amp;" 'Fund Investment Data'!$A:$A = ($A2434 - 2), 'Fund Investment Data'!$B:$B &gt; 3)))  * Parameters!$B$4 * (1 - Parameters!$A$4),0)"),0.0)</f>
        <v>0</v>
      </c>
      <c r="Z2434" s="91">
        <f t="shared" si="24"/>
        <v>0</v>
      </c>
      <c r="AA2434" s="91">
        <f>IFERROR(__xludf.DUMMYFUNCTION("((IFERROR((SUM(FILTER('Fund Investment Data'!$V:$V, 'Fund Investment Data'!$C:$C = $C2434, 'Fund Investment Data'!$A:$A = $A2434 - 1, 'Fund Investment Data'!$B:$B &gt;= 4, 'Fund Investment Data'!$B:$B &lt;= ($B2434 + 5))) / 12) * ($B2434 - 3) * Parameters!$B$4,"&amp;" 0) + IF($B2434 &gt;= 9, IFERROR(SUM(FILTER('Fund Investment Data'!$V:$V, 'Fund Investment Data'!$C:$C = $C2434, 'Fund Investment Data'!$A:$A = $A2434, 'Fund Investment Data'!$B:$B &lt;= 3)) * Parameters!$B$4, 0),0)))"),0.0)</f>
        <v>0</v>
      </c>
      <c r="AB2434" s="32">
        <f>IFERROR(__xludf.DUMMYFUNCTION("IFERROR(((IFERROR(SUM(FILTER('Fund Investment Data'!$V:$V, 'Fund Investment Data'!$C:$C = $C2434, 'Fund Investment Data'!$A:$A = $A2434 - 2, 'Fund Investment Data'!$B:$B &gt;= 4)) * Parameters!$B$4,0) + IFERROR(SUM(FILTER('Fund Investment Data'!$V:$V, 'Fund "&amp;"Investment Data'!$C:$C = $C2434, 'Fund Investment Data'!$A:$A = $A2434 - 1, 'Fund Investment Data'!$B:$B &lt;= 3)) * Parameters!$B$4,0))),0)"),0.0)</f>
        <v>0</v>
      </c>
      <c r="AC2434" s="32">
        <f>IFERROR(__xludf.DUMMYFUNCTION("IFERROR(FILTER($AF:$AF,$C:$C = $C2434,$A:$A = $A2434 - 1,$B:$B = 12),0)"),0.0)</f>
        <v>0</v>
      </c>
      <c r="AD2434" s="32">
        <f t="shared" si="23"/>
        <v>0</v>
      </c>
      <c r="AE2434" s="32">
        <f t="shared" si="2"/>
        <v>0</v>
      </c>
      <c r="AF2434" s="32"/>
    </row>
    <row r="2435">
      <c r="A2435" s="86"/>
      <c r="B2435" s="87"/>
      <c r="C2435" s="88"/>
      <c r="D2435" s="104"/>
      <c r="E2435" s="104"/>
      <c r="F2435" s="104"/>
      <c r="G2435" s="104"/>
      <c r="H2435" s="104"/>
      <c r="I2435" s="104"/>
      <c r="J2435" s="104"/>
      <c r="K2435" s="32"/>
      <c r="L2435" s="32"/>
      <c r="M2435" s="32"/>
      <c r="N2435" s="32"/>
      <c r="O2435" s="106"/>
      <c r="P2435" s="91">
        <f>IFERROR(__xludf.DUMMYFUNCTION("IFERROR(sum(FILTER($D:$N,$C:$C = $C2435,$A:$A &lt; $A2435,$B:$B = 12)),0) + sum($D2435:$N2435)"),0.0)</f>
        <v>0</v>
      </c>
      <c r="Q2435" s="92">
        <f t="shared" si="1"/>
        <v>0</v>
      </c>
      <c r="R2435" s="91">
        <f t="array" ref="R2435">IFERROR(INDEX('Fund YTD Target Values'!$1:$1000, MATCH($C2435,'Fund YTD Target Values'!$A:$A,0), MATCH($A2435,'Fund YTD Target Values'!$1:$1,0)),0)</f>
        <v>0</v>
      </c>
      <c r="S2435" s="91">
        <f>IFERROR(__xludf.DUMMYFUNCTION("IFERROR(sum(FILTER('Fund Investment Data'!$V:$V, 'Fund Investment Data'!$C:$C = $C2435, 'Fund Investment Data'!$A:$A &lt; $A2435)),0) + IFERROR(sum(FILTER('Fund Investment Data'!$V:$V, 'Fund Investment Data'!$C:$C = $C2435, 'Fund Investment Data'!$A:$A = $A2"&amp;"435, 'Fund Investment Data'!$B:$B &lt;= $B2435)),0)"),0.0)</f>
        <v>0</v>
      </c>
      <c r="T2435" s="32"/>
      <c r="U2435" s="32"/>
      <c r="V2435" s="32">
        <f>IFERROR(__xludf.DUMMYFUNCTION("$D2435 - IFERROR(FILTER($D:$D,$C:$C = $C2435, $A:$A = $A2435, $B:$B = $B2435 - 1),0)"),0.0)</f>
        <v>0</v>
      </c>
      <c r="W2435" s="93">
        <f>IFERROR(__xludf.DUMMYFUNCTION("$E2435 - IFERROR(FILTER($E:$E,$C:$C = $C2435, $A:$A = $A2435, $B:$B = $B2435 - 1),0)"),0.0)</f>
        <v>0</v>
      </c>
      <c r="X2435" s="91">
        <f>IFERROR(__xludf.DUMMYFUNCTION("iFERROR((FILTER('Fund Investment Data'!$Z:$Z, 'Fund Investment Data'!$C:$C = $C2435, 'Fund Investment Data'!$A:$A = $A2435 - 1, 'Fund Investment Data'!$B:$B = 12) + FILTER('Fund Investment Data'!$AB:$AB, 'Fund Investment Data'!$C:$C = $C2435, 'Fund Invest"&amp;"ment Data'!$A:$A = $A2435 - 1, 'Fund Investment Data'!$B:$B = 12)) * (1 + AVERAGE(FILTER('Inflation Data'!$C:$C,'Inflation Data'!$A:$A = ($A2435 - 2)))) * Parameters!$A$4,0)"),0.0)</f>
        <v>0</v>
      </c>
      <c r="Y2435" s="91">
        <f>IFERROR(__xludf.DUMMYFUNCTION("IFERROR((IFERROR(FILTER('Fund Investment Data'!$P:$P,'Fund Investment Data'!$C:$C = $C2435,'Fund Investment Data'!$A:$A = ($A2435 - 2), 'Fund Investment Data'!$B:$B = 12),0) - SUM(FILTER('Fund Investment Data'!$V:$V, 'Fund Investment Data'!$C:$C = $C2435,"&amp;" 'Fund Investment Data'!$A:$A = ($A2435 - 2), 'Fund Investment Data'!$B:$B &gt; 3)))  * Parameters!$B$4 * (1 - Parameters!$A$4),0)"),0.0)</f>
        <v>0</v>
      </c>
      <c r="Z2435" s="91">
        <f t="shared" si="24"/>
        <v>0</v>
      </c>
      <c r="AA2435" s="91">
        <f>IFERROR(__xludf.DUMMYFUNCTION("((IFERROR((SUM(FILTER('Fund Investment Data'!$V:$V, 'Fund Investment Data'!$C:$C = $C2435, 'Fund Investment Data'!$A:$A = $A2435 - 1, 'Fund Investment Data'!$B:$B &gt;= 4, 'Fund Investment Data'!$B:$B &lt;= ($B2435 + 5))) / 12) * ($B2435 - 3) * Parameters!$B$4,"&amp;" 0) + IF($B2435 &gt;= 9, IFERROR(SUM(FILTER('Fund Investment Data'!$V:$V, 'Fund Investment Data'!$C:$C = $C2435, 'Fund Investment Data'!$A:$A = $A2435, 'Fund Investment Data'!$B:$B &lt;= 3)) * Parameters!$B$4, 0),0)))"),0.0)</f>
        <v>0</v>
      </c>
      <c r="AB2435" s="32">
        <f>IFERROR(__xludf.DUMMYFUNCTION("IFERROR(((IFERROR(SUM(FILTER('Fund Investment Data'!$V:$V, 'Fund Investment Data'!$C:$C = $C2435, 'Fund Investment Data'!$A:$A = $A2435 - 2, 'Fund Investment Data'!$B:$B &gt;= 4)) * Parameters!$B$4,0) + IFERROR(SUM(FILTER('Fund Investment Data'!$V:$V, 'Fund "&amp;"Investment Data'!$C:$C = $C2435, 'Fund Investment Data'!$A:$A = $A2435 - 1, 'Fund Investment Data'!$B:$B &lt;= 3)) * Parameters!$B$4,0))),0)"),0.0)</f>
        <v>0</v>
      </c>
      <c r="AC2435" s="32">
        <f>IFERROR(__xludf.DUMMYFUNCTION("IFERROR(FILTER($AF:$AF,$C:$C = $C2435,$A:$A = $A2435 - 1,$B:$B = 12),0)"),0.0)</f>
        <v>0</v>
      </c>
      <c r="AD2435" s="32">
        <f t="shared" si="23"/>
        <v>0</v>
      </c>
      <c r="AE2435" s="32">
        <f t="shared" si="2"/>
        <v>0</v>
      </c>
      <c r="AF2435" s="32"/>
    </row>
    <row r="2436">
      <c r="A2436" s="86"/>
      <c r="B2436" s="87"/>
      <c r="C2436" s="88"/>
      <c r="D2436" s="104"/>
      <c r="E2436" s="104"/>
      <c r="F2436" s="104"/>
      <c r="G2436" s="104"/>
      <c r="H2436" s="104"/>
      <c r="I2436" s="104"/>
      <c r="J2436" s="104"/>
      <c r="K2436" s="32"/>
      <c r="L2436" s="32"/>
      <c r="M2436" s="32"/>
      <c r="N2436" s="32"/>
      <c r="O2436" s="106"/>
      <c r="P2436" s="91">
        <f>IFERROR(__xludf.DUMMYFUNCTION("IFERROR(sum(FILTER($D:$N,$C:$C = $C2436,$A:$A &lt; $A2436,$B:$B = 12)),0) + sum($D2436:$N2436)"),0.0)</f>
        <v>0</v>
      </c>
      <c r="Q2436" s="92">
        <f t="shared" si="1"/>
        <v>0</v>
      </c>
      <c r="R2436" s="91">
        <f t="array" ref="R2436">IFERROR(INDEX('Fund YTD Target Values'!$1:$1000, MATCH($C2436,'Fund YTD Target Values'!$A:$A,0), MATCH($A2436,'Fund YTD Target Values'!$1:$1,0)),0)</f>
        <v>0</v>
      </c>
      <c r="S2436" s="91">
        <f>IFERROR(__xludf.DUMMYFUNCTION("IFERROR(sum(FILTER('Fund Investment Data'!$V:$V, 'Fund Investment Data'!$C:$C = $C2436, 'Fund Investment Data'!$A:$A &lt; $A2436)),0) + IFERROR(sum(FILTER('Fund Investment Data'!$V:$V, 'Fund Investment Data'!$C:$C = $C2436, 'Fund Investment Data'!$A:$A = $A2"&amp;"436, 'Fund Investment Data'!$B:$B &lt;= $B2436)),0)"),0.0)</f>
        <v>0</v>
      </c>
      <c r="T2436" s="32"/>
      <c r="U2436" s="32"/>
      <c r="V2436" s="32">
        <f>IFERROR(__xludf.DUMMYFUNCTION("$D2436 - IFERROR(FILTER($D:$D,$C:$C = $C2436, $A:$A = $A2436, $B:$B = $B2436 - 1),0)"),0.0)</f>
        <v>0</v>
      </c>
      <c r="W2436" s="93">
        <f>IFERROR(__xludf.DUMMYFUNCTION("$E2436 - IFERROR(FILTER($E:$E,$C:$C = $C2436, $A:$A = $A2436, $B:$B = $B2436 - 1),0)"),0.0)</f>
        <v>0</v>
      </c>
      <c r="X2436" s="91">
        <f>IFERROR(__xludf.DUMMYFUNCTION("iFERROR((FILTER('Fund Investment Data'!$Z:$Z, 'Fund Investment Data'!$C:$C = $C2436, 'Fund Investment Data'!$A:$A = $A2436 - 1, 'Fund Investment Data'!$B:$B = 12) + FILTER('Fund Investment Data'!$AB:$AB, 'Fund Investment Data'!$C:$C = $C2436, 'Fund Invest"&amp;"ment Data'!$A:$A = $A2436 - 1, 'Fund Investment Data'!$B:$B = 12)) * (1 + AVERAGE(FILTER('Inflation Data'!$C:$C,'Inflation Data'!$A:$A = ($A2436 - 2)))) * Parameters!$A$4,0)"),0.0)</f>
        <v>0</v>
      </c>
      <c r="Y2436" s="91">
        <f>IFERROR(__xludf.DUMMYFUNCTION("IFERROR((IFERROR(FILTER('Fund Investment Data'!$P:$P,'Fund Investment Data'!$C:$C = $C2436,'Fund Investment Data'!$A:$A = ($A2436 - 2), 'Fund Investment Data'!$B:$B = 12),0) - SUM(FILTER('Fund Investment Data'!$V:$V, 'Fund Investment Data'!$C:$C = $C2436,"&amp;" 'Fund Investment Data'!$A:$A = ($A2436 - 2), 'Fund Investment Data'!$B:$B &gt; 3)))  * Parameters!$B$4 * (1 - Parameters!$A$4),0)"),0.0)</f>
        <v>0</v>
      </c>
      <c r="Z2436" s="91">
        <f t="shared" si="24"/>
        <v>0</v>
      </c>
      <c r="AA2436" s="91">
        <f>IFERROR(__xludf.DUMMYFUNCTION("((IFERROR((SUM(FILTER('Fund Investment Data'!$V:$V, 'Fund Investment Data'!$C:$C = $C2436, 'Fund Investment Data'!$A:$A = $A2436 - 1, 'Fund Investment Data'!$B:$B &gt;= 4, 'Fund Investment Data'!$B:$B &lt;= ($B2436 + 5))) / 12) * ($B2436 - 3) * Parameters!$B$4,"&amp;" 0) + IF($B2436 &gt;= 9, IFERROR(SUM(FILTER('Fund Investment Data'!$V:$V, 'Fund Investment Data'!$C:$C = $C2436, 'Fund Investment Data'!$A:$A = $A2436, 'Fund Investment Data'!$B:$B &lt;= 3)) * Parameters!$B$4, 0),0)))"),0.0)</f>
        <v>0</v>
      </c>
      <c r="AB2436" s="32">
        <f>IFERROR(__xludf.DUMMYFUNCTION("IFERROR(((IFERROR(SUM(FILTER('Fund Investment Data'!$V:$V, 'Fund Investment Data'!$C:$C = $C2436, 'Fund Investment Data'!$A:$A = $A2436 - 2, 'Fund Investment Data'!$B:$B &gt;= 4)) * Parameters!$B$4,0) + IFERROR(SUM(FILTER('Fund Investment Data'!$V:$V, 'Fund "&amp;"Investment Data'!$C:$C = $C2436, 'Fund Investment Data'!$A:$A = $A2436 - 1, 'Fund Investment Data'!$B:$B &lt;= 3)) * Parameters!$B$4,0))),0)"),0.0)</f>
        <v>0</v>
      </c>
      <c r="AC2436" s="32">
        <f>IFERROR(__xludf.DUMMYFUNCTION("IFERROR(FILTER($AF:$AF,$C:$C = $C2436,$A:$A = $A2436 - 1,$B:$B = 12),0)"),0.0)</f>
        <v>0</v>
      </c>
      <c r="AD2436" s="32">
        <f t="shared" si="23"/>
        <v>0</v>
      </c>
      <c r="AE2436" s="32">
        <f t="shared" si="2"/>
        <v>0</v>
      </c>
      <c r="AF2436" s="32"/>
    </row>
    <row r="2437">
      <c r="A2437" s="86"/>
      <c r="B2437" s="87"/>
      <c r="C2437" s="88"/>
      <c r="D2437" s="104"/>
      <c r="E2437" s="104"/>
      <c r="F2437" s="104"/>
      <c r="G2437" s="104"/>
      <c r="H2437" s="104"/>
      <c r="I2437" s="104"/>
      <c r="J2437" s="104"/>
      <c r="K2437" s="32"/>
      <c r="L2437" s="32"/>
      <c r="M2437" s="32"/>
      <c r="N2437" s="32"/>
      <c r="O2437" s="106"/>
      <c r="P2437" s="91">
        <f>IFERROR(__xludf.DUMMYFUNCTION("IFERROR(sum(FILTER($D:$N,$C:$C = $C2437,$A:$A &lt; $A2437,$B:$B = 12)),0) + sum($D2437:$N2437)"),0.0)</f>
        <v>0</v>
      </c>
      <c r="Q2437" s="92">
        <f t="shared" si="1"/>
        <v>0</v>
      </c>
      <c r="R2437" s="91">
        <f t="array" ref="R2437">IFERROR(INDEX('Fund YTD Target Values'!$1:$1000, MATCH($C2437,'Fund YTD Target Values'!$A:$A,0), MATCH($A2437,'Fund YTD Target Values'!$1:$1,0)),0)</f>
        <v>0</v>
      </c>
      <c r="S2437" s="91">
        <f>IFERROR(__xludf.DUMMYFUNCTION("IFERROR(sum(FILTER('Fund Investment Data'!$V:$V, 'Fund Investment Data'!$C:$C = $C2437, 'Fund Investment Data'!$A:$A &lt; $A2437)),0) + IFERROR(sum(FILTER('Fund Investment Data'!$V:$V, 'Fund Investment Data'!$C:$C = $C2437, 'Fund Investment Data'!$A:$A = $A2"&amp;"437, 'Fund Investment Data'!$B:$B &lt;= $B2437)),0)"),0.0)</f>
        <v>0</v>
      </c>
      <c r="T2437" s="32"/>
      <c r="U2437" s="32"/>
      <c r="V2437" s="32">
        <f>IFERROR(__xludf.DUMMYFUNCTION("$D2437 - IFERROR(FILTER($D:$D,$C:$C = $C2437, $A:$A = $A2437, $B:$B = $B2437 - 1),0)"),0.0)</f>
        <v>0</v>
      </c>
      <c r="W2437" s="93">
        <f>IFERROR(__xludf.DUMMYFUNCTION("$E2437 - IFERROR(FILTER($E:$E,$C:$C = $C2437, $A:$A = $A2437, $B:$B = $B2437 - 1),0)"),0.0)</f>
        <v>0</v>
      </c>
      <c r="X2437" s="91">
        <f>IFERROR(__xludf.DUMMYFUNCTION("iFERROR((FILTER('Fund Investment Data'!$Z:$Z, 'Fund Investment Data'!$C:$C = $C2437, 'Fund Investment Data'!$A:$A = $A2437 - 1, 'Fund Investment Data'!$B:$B = 12) + FILTER('Fund Investment Data'!$AB:$AB, 'Fund Investment Data'!$C:$C = $C2437, 'Fund Invest"&amp;"ment Data'!$A:$A = $A2437 - 1, 'Fund Investment Data'!$B:$B = 12)) * (1 + AVERAGE(FILTER('Inflation Data'!$C:$C,'Inflation Data'!$A:$A = ($A2437 - 2)))) * Parameters!$A$4,0)"),0.0)</f>
        <v>0</v>
      </c>
      <c r="Y2437" s="91">
        <f>IFERROR(__xludf.DUMMYFUNCTION("IFERROR((IFERROR(FILTER('Fund Investment Data'!$P:$P,'Fund Investment Data'!$C:$C = $C2437,'Fund Investment Data'!$A:$A = ($A2437 - 2), 'Fund Investment Data'!$B:$B = 12),0) - SUM(FILTER('Fund Investment Data'!$V:$V, 'Fund Investment Data'!$C:$C = $C2437,"&amp;" 'Fund Investment Data'!$A:$A = ($A2437 - 2), 'Fund Investment Data'!$B:$B &gt; 3)))  * Parameters!$B$4 * (1 - Parameters!$A$4),0)"),0.0)</f>
        <v>0</v>
      </c>
      <c r="Z2437" s="91">
        <f t="shared" si="24"/>
        <v>0</v>
      </c>
      <c r="AA2437" s="91">
        <f>IFERROR(__xludf.DUMMYFUNCTION("((IFERROR((SUM(FILTER('Fund Investment Data'!$V:$V, 'Fund Investment Data'!$C:$C = $C2437, 'Fund Investment Data'!$A:$A = $A2437 - 1, 'Fund Investment Data'!$B:$B &gt;= 4, 'Fund Investment Data'!$B:$B &lt;= ($B2437 + 5))) / 12) * ($B2437 - 3) * Parameters!$B$4,"&amp;" 0) + IF($B2437 &gt;= 9, IFERROR(SUM(FILTER('Fund Investment Data'!$V:$V, 'Fund Investment Data'!$C:$C = $C2437, 'Fund Investment Data'!$A:$A = $A2437, 'Fund Investment Data'!$B:$B &lt;= 3)) * Parameters!$B$4, 0),0)))"),0.0)</f>
        <v>0</v>
      </c>
      <c r="AB2437" s="32">
        <f>IFERROR(__xludf.DUMMYFUNCTION("IFERROR(((IFERROR(SUM(FILTER('Fund Investment Data'!$V:$V, 'Fund Investment Data'!$C:$C = $C2437, 'Fund Investment Data'!$A:$A = $A2437 - 2, 'Fund Investment Data'!$B:$B &gt;= 4)) * Parameters!$B$4,0) + IFERROR(SUM(FILTER('Fund Investment Data'!$V:$V, 'Fund "&amp;"Investment Data'!$C:$C = $C2437, 'Fund Investment Data'!$A:$A = $A2437 - 1, 'Fund Investment Data'!$B:$B &lt;= 3)) * Parameters!$B$4,0))),0)"),0.0)</f>
        <v>0</v>
      </c>
      <c r="AC2437" s="32">
        <f>IFERROR(__xludf.DUMMYFUNCTION("IFERROR(FILTER($AF:$AF,$C:$C = $C2437,$A:$A = $A2437 - 1,$B:$B = 12),0)"),0.0)</f>
        <v>0</v>
      </c>
      <c r="AD2437" s="32">
        <f t="shared" si="23"/>
        <v>0</v>
      </c>
      <c r="AE2437" s="32">
        <f t="shared" si="2"/>
        <v>0</v>
      </c>
      <c r="AF2437" s="32"/>
    </row>
    <row r="2438">
      <c r="A2438" s="86"/>
      <c r="B2438" s="87"/>
      <c r="C2438" s="88"/>
      <c r="D2438" s="104"/>
      <c r="E2438" s="104"/>
      <c r="F2438" s="104"/>
      <c r="G2438" s="104"/>
      <c r="H2438" s="104"/>
      <c r="I2438" s="104"/>
      <c r="J2438" s="104"/>
      <c r="K2438" s="32"/>
      <c r="L2438" s="32"/>
      <c r="M2438" s="32"/>
      <c r="N2438" s="32"/>
      <c r="O2438" s="106"/>
      <c r="P2438" s="91">
        <f>IFERROR(__xludf.DUMMYFUNCTION("IFERROR(sum(FILTER($D:$N,$C:$C = $C2438,$A:$A &lt; $A2438,$B:$B = 12)),0) + sum($D2438:$N2438)"),0.0)</f>
        <v>0</v>
      </c>
      <c r="Q2438" s="92">
        <f t="shared" si="1"/>
        <v>0</v>
      </c>
      <c r="R2438" s="91">
        <f t="array" ref="R2438">IFERROR(INDEX('Fund YTD Target Values'!$1:$1000, MATCH($C2438,'Fund YTD Target Values'!$A:$A,0), MATCH($A2438,'Fund YTD Target Values'!$1:$1,0)),0)</f>
        <v>0</v>
      </c>
      <c r="S2438" s="91">
        <f>IFERROR(__xludf.DUMMYFUNCTION("IFERROR(sum(FILTER('Fund Investment Data'!$V:$V, 'Fund Investment Data'!$C:$C = $C2438, 'Fund Investment Data'!$A:$A &lt; $A2438)),0) + IFERROR(sum(FILTER('Fund Investment Data'!$V:$V, 'Fund Investment Data'!$C:$C = $C2438, 'Fund Investment Data'!$A:$A = $A2"&amp;"438, 'Fund Investment Data'!$B:$B &lt;= $B2438)),0)"),0.0)</f>
        <v>0</v>
      </c>
      <c r="T2438" s="32"/>
      <c r="U2438" s="32"/>
      <c r="V2438" s="32">
        <f>IFERROR(__xludf.DUMMYFUNCTION("$D2438 - IFERROR(FILTER($D:$D,$C:$C = $C2438, $A:$A = $A2438, $B:$B = $B2438 - 1),0)"),0.0)</f>
        <v>0</v>
      </c>
      <c r="W2438" s="93">
        <f>IFERROR(__xludf.DUMMYFUNCTION("$E2438 - IFERROR(FILTER($E:$E,$C:$C = $C2438, $A:$A = $A2438, $B:$B = $B2438 - 1),0)"),0.0)</f>
        <v>0</v>
      </c>
      <c r="X2438" s="91">
        <f>IFERROR(__xludf.DUMMYFUNCTION("iFERROR((FILTER('Fund Investment Data'!$Z:$Z, 'Fund Investment Data'!$C:$C = $C2438, 'Fund Investment Data'!$A:$A = $A2438 - 1, 'Fund Investment Data'!$B:$B = 12) + FILTER('Fund Investment Data'!$AB:$AB, 'Fund Investment Data'!$C:$C = $C2438, 'Fund Invest"&amp;"ment Data'!$A:$A = $A2438 - 1, 'Fund Investment Data'!$B:$B = 12)) * (1 + AVERAGE(FILTER('Inflation Data'!$C:$C,'Inflation Data'!$A:$A = ($A2438 - 2)))) * Parameters!$A$4,0)"),0.0)</f>
        <v>0</v>
      </c>
      <c r="Y2438" s="91">
        <f>IFERROR(__xludf.DUMMYFUNCTION("IFERROR((IFERROR(FILTER('Fund Investment Data'!$P:$P,'Fund Investment Data'!$C:$C = $C2438,'Fund Investment Data'!$A:$A = ($A2438 - 2), 'Fund Investment Data'!$B:$B = 12),0) - SUM(FILTER('Fund Investment Data'!$V:$V, 'Fund Investment Data'!$C:$C = $C2438,"&amp;" 'Fund Investment Data'!$A:$A = ($A2438 - 2), 'Fund Investment Data'!$B:$B &gt; 3)))  * Parameters!$B$4 * (1 - Parameters!$A$4),0)"),0.0)</f>
        <v>0</v>
      </c>
      <c r="Z2438" s="91">
        <f t="shared" si="24"/>
        <v>0</v>
      </c>
      <c r="AA2438" s="91">
        <f>IFERROR(__xludf.DUMMYFUNCTION("((IFERROR((SUM(FILTER('Fund Investment Data'!$V:$V, 'Fund Investment Data'!$C:$C = $C2438, 'Fund Investment Data'!$A:$A = $A2438 - 1, 'Fund Investment Data'!$B:$B &gt;= 4, 'Fund Investment Data'!$B:$B &lt;= ($B2438 + 5))) / 12) * ($B2438 - 3) * Parameters!$B$4,"&amp;" 0) + IF($B2438 &gt;= 9, IFERROR(SUM(FILTER('Fund Investment Data'!$V:$V, 'Fund Investment Data'!$C:$C = $C2438, 'Fund Investment Data'!$A:$A = $A2438, 'Fund Investment Data'!$B:$B &lt;= 3)) * Parameters!$B$4, 0),0)))"),0.0)</f>
        <v>0</v>
      </c>
      <c r="AB2438" s="32">
        <f>IFERROR(__xludf.DUMMYFUNCTION("IFERROR(((IFERROR(SUM(FILTER('Fund Investment Data'!$V:$V, 'Fund Investment Data'!$C:$C = $C2438, 'Fund Investment Data'!$A:$A = $A2438 - 2, 'Fund Investment Data'!$B:$B &gt;= 4)) * Parameters!$B$4,0) + IFERROR(SUM(FILTER('Fund Investment Data'!$V:$V, 'Fund "&amp;"Investment Data'!$C:$C = $C2438, 'Fund Investment Data'!$A:$A = $A2438 - 1, 'Fund Investment Data'!$B:$B &lt;= 3)) * Parameters!$B$4,0))),0)"),0.0)</f>
        <v>0</v>
      </c>
      <c r="AC2438" s="32">
        <f>IFERROR(__xludf.DUMMYFUNCTION("IFERROR(FILTER($AF:$AF,$C:$C = $C2438,$A:$A = $A2438 - 1,$B:$B = 12),0)"),0.0)</f>
        <v>0</v>
      </c>
      <c r="AD2438" s="32">
        <f t="shared" si="23"/>
        <v>0</v>
      </c>
      <c r="AE2438" s="32">
        <f t="shared" si="2"/>
        <v>0</v>
      </c>
      <c r="AF2438" s="32"/>
    </row>
    <row r="2439">
      <c r="A2439" s="86"/>
      <c r="B2439" s="87"/>
      <c r="C2439" s="88"/>
      <c r="D2439" s="104"/>
      <c r="E2439" s="104"/>
      <c r="F2439" s="104"/>
      <c r="G2439" s="104"/>
      <c r="H2439" s="104"/>
      <c r="I2439" s="104"/>
      <c r="J2439" s="104"/>
      <c r="K2439" s="32"/>
      <c r="L2439" s="32"/>
      <c r="M2439" s="32"/>
      <c r="N2439" s="32"/>
      <c r="O2439" s="106"/>
      <c r="P2439" s="91">
        <f>IFERROR(__xludf.DUMMYFUNCTION("IFERROR(sum(FILTER($D:$N,$C:$C = $C2439,$A:$A &lt; $A2439,$B:$B = 12)),0) + sum($D2439:$N2439)"),0.0)</f>
        <v>0</v>
      </c>
      <c r="Q2439" s="92">
        <f t="shared" si="1"/>
        <v>0</v>
      </c>
      <c r="R2439" s="91">
        <f t="array" ref="R2439">IFERROR(INDEX('Fund YTD Target Values'!$1:$1000, MATCH($C2439,'Fund YTD Target Values'!$A:$A,0), MATCH($A2439,'Fund YTD Target Values'!$1:$1,0)),0)</f>
        <v>0</v>
      </c>
      <c r="S2439" s="91">
        <f>IFERROR(__xludf.DUMMYFUNCTION("IFERROR(sum(FILTER('Fund Investment Data'!$V:$V, 'Fund Investment Data'!$C:$C = $C2439, 'Fund Investment Data'!$A:$A &lt; $A2439)),0) + IFERROR(sum(FILTER('Fund Investment Data'!$V:$V, 'Fund Investment Data'!$C:$C = $C2439, 'Fund Investment Data'!$A:$A = $A2"&amp;"439, 'Fund Investment Data'!$B:$B &lt;= $B2439)),0)"),0.0)</f>
        <v>0</v>
      </c>
      <c r="T2439" s="32"/>
      <c r="U2439" s="32"/>
      <c r="V2439" s="32">
        <f>IFERROR(__xludf.DUMMYFUNCTION("$D2439 - IFERROR(FILTER($D:$D,$C:$C = $C2439, $A:$A = $A2439, $B:$B = $B2439 - 1),0)"),0.0)</f>
        <v>0</v>
      </c>
      <c r="W2439" s="93">
        <f>IFERROR(__xludf.DUMMYFUNCTION("$E2439 - IFERROR(FILTER($E:$E,$C:$C = $C2439, $A:$A = $A2439, $B:$B = $B2439 - 1),0)"),0.0)</f>
        <v>0</v>
      </c>
      <c r="X2439" s="91">
        <f>IFERROR(__xludf.DUMMYFUNCTION("iFERROR((FILTER('Fund Investment Data'!$Z:$Z, 'Fund Investment Data'!$C:$C = $C2439, 'Fund Investment Data'!$A:$A = $A2439 - 1, 'Fund Investment Data'!$B:$B = 12) + FILTER('Fund Investment Data'!$AB:$AB, 'Fund Investment Data'!$C:$C = $C2439, 'Fund Invest"&amp;"ment Data'!$A:$A = $A2439 - 1, 'Fund Investment Data'!$B:$B = 12)) * (1 + AVERAGE(FILTER('Inflation Data'!$C:$C,'Inflation Data'!$A:$A = ($A2439 - 2)))) * Parameters!$A$4,0)"),0.0)</f>
        <v>0</v>
      </c>
      <c r="Y2439" s="91">
        <f>IFERROR(__xludf.DUMMYFUNCTION("IFERROR((IFERROR(FILTER('Fund Investment Data'!$P:$P,'Fund Investment Data'!$C:$C = $C2439,'Fund Investment Data'!$A:$A = ($A2439 - 2), 'Fund Investment Data'!$B:$B = 12),0) - SUM(FILTER('Fund Investment Data'!$V:$V, 'Fund Investment Data'!$C:$C = $C2439,"&amp;" 'Fund Investment Data'!$A:$A = ($A2439 - 2), 'Fund Investment Data'!$B:$B &gt; 3)))  * Parameters!$B$4 * (1 - Parameters!$A$4),0)"),0.0)</f>
        <v>0</v>
      </c>
      <c r="Z2439" s="91">
        <f t="shared" si="24"/>
        <v>0</v>
      </c>
      <c r="AA2439" s="91">
        <f>IFERROR(__xludf.DUMMYFUNCTION("((IFERROR((SUM(FILTER('Fund Investment Data'!$V:$V, 'Fund Investment Data'!$C:$C = $C2439, 'Fund Investment Data'!$A:$A = $A2439 - 1, 'Fund Investment Data'!$B:$B &gt;= 4, 'Fund Investment Data'!$B:$B &lt;= ($B2439 + 5))) / 12) * ($B2439 - 3) * Parameters!$B$4,"&amp;" 0) + IF($B2439 &gt;= 9, IFERROR(SUM(FILTER('Fund Investment Data'!$V:$V, 'Fund Investment Data'!$C:$C = $C2439, 'Fund Investment Data'!$A:$A = $A2439, 'Fund Investment Data'!$B:$B &lt;= 3)) * Parameters!$B$4, 0),0)))"),0.0)</f>
        <v>0</v>
      </c>
      <c r="AB2439" s="32">
        <f>IFERROR(__xludf.DUMMYFUNCTION("IFERROR(((IFERROR(SUM(FILTER('Fund Investment Data'!$V:$V, 'Fund Investment Data'!$C:$C = $C2439, 'Fund Investment Data'!$A:$A = $A2439 - 2, 'Fund Investment Data'!$B:$B &gt;= 4)) * Parameters!$B$4,0) + IFERROR(SUM(FILTER('Fund Investment Data'!$V:$V, 'Fund "&amp;"Investment Data'!$C:$C = $C2439, 'Fund Investment Data'!$A:$A = $A2439 - 1, 'Fund Investment Data'!$B:$B &lt;= 3)) * Parameters!$B$4,0))),0)"),0.0)</f>
        <v>0</v>
      </c>
      <c r="AC2439" s="32">
        <f>IFERROR(__xludf.DUMMYFUNCTION("IFERROR(FILTER($AF:$AF,$C:$C = $C2439,$A:$A = $A2439 - 1,$B:$B = 12),0)"),0.0)</f>
        <v>0</v>
      </c>
      <c r="AD2439" s="32">
        <f t="shared" si="23"/>
        <v>0</v>
      </c>
      <c r="AE2439" s="32">
        <f t="shared" si="2"/>
        <v>0</v>
      </c>
      <c r="AF2439" s="32"/>
    </row>
    <row r="2440">
      <c r="A2440" s="86"/>
      <c r="B2440" s="87"/>
      <c r="C2440" s="88"/>
      <c r="D2440" s="104"/>
      <c r="E2440" s="104"/>
      <c r="F2440" s="104"/>
      <c r="G2440" s="104"/>
      <c r="H2440" s="104"/>
      <c r="I2440" s="104"/>
      <c r="J2440" s="104"/>
      <c r="K2440" s="32"/>
      <c r="L2440" s="32"/>
      <c r="M2440" s="32"/>
      <c r="N2440" s="32"/>
      <c r="O2440" s="106"/>
      <c r="P2440" s="91">
        <f>IFERROR(__xludf.DUMMYFUNCTION("IFERROR(sum(FILTER($D:$N,$C:$C = $C2440,$A:$A &lt; $A2440,$B:$B = 12)),0) + sum($D2440:$N2440)"),0.0)</f>
        <v>0</v>
      </c>
      <c r="Q2440" s="92">
        <f t="shared" si="1"/>
        <v>0</v>
      </c>
      <c r="R2440" s="91">
        <f t="array" ref="R2440">IFERROR(INDEX('Fund YTD Target Values'!$1:$1000, MATCH($C2440,'Fund YTD Target Values'!$A:$A,0), MATCH($A2440,'Fund YTD Target Values'!$1:$1,0)),0)</f>
        <v>0</v>
      </c>
      <c r="S2440" s="91">
        <f>IFERROR(__xludf.DUMMYFUNCTION("IFERROR(sum(FILTER('Fund Investment Data'!$V:$V, 'Fund Investment Data'!$C:$C = $C2440, 'Fund Investment Data'!$A:$A &lt; $A2440)),0) + IFERROR(sum(FILTER('Fund Investment Data'!$V:$V, 'Fund Investment Data'!$C:$C = $C2440, 'Fund Investment Data'!$A:$A = $A2"&amp;"440, 'Fund Investment Data'!$B:$B &lt;= $B2440)),0)"),0.0)</f>
        <v>0</v>
      </c>
      <c r="T2440" s="32"/>
      <c r="U2440" s="32"/>
      <c r="V2440" s="32">
        <f>IFERROR(__xludf.DUMMYFUNCTION("$D2440 - IFERROR(FILTER($D:$D,$C:$C = $C2440, $A:$A = $A2440, $B:$B = $B2440 - 1),0)"),0.0)</f>
        <v>0</v>
      </c>
      <c r="W2440" s="93">
        <f>IFERROR(__xludf.DUMMYFUNCTION("$E2440 - IFERROR(FILTER($E:$E,$C:$C = $C2440, $A:$A = $A2440, $B:$B = $B2440 - 1),0)"),0.0)</f>
        <v>0</v>
      </c>
      <c r="X2440" s="91">
        <f>IFERROR(__xludf.DUMMYFUNCTION("iFERROR((FILTER('Fund Investment Data'!$Z:$Z, 'Fund Investment Data'!$C:$C = $C2440, 'Fund Investment Data'!$A:$A = $A2440 - 1, 'Fund Investment Data'!$B:$B = 12) + FILTER('Fund Investment Data'!$AB:$AB, 'Fund Investment Data'!$C:$C = $C2440, 'Fund Invest"&amp;"ment Data'!$A:$A = $A2440 - 1, 'Fund Investment Data'!$B:$B = 12)) * (1 + AVERAGE(FILTER('Inflation Data'!$C:$C,'Inflation Data'!$A:$A = ($A2440 - 2)))) * Parameters!$A$4,0)"),0.0)</f>
        <v>0</v>
      </c>
      <c r="Y2440" s="91">
        <f>IFERROR(__xludf.DUMMYFUNCTION("IFERROR((IFERROR(FILTER('Fund Investment Data'!$P:$P,'Fund Investment Data'!$C:$C = $C2440,'Fund Investment Data'!$A:$A = ($A2440 - 2), 'Fund Investment Data'!$B:$B = 12),0) - SUM(FILTER('Fund Investment Data'!$V:$V, 'Fund Investment Data'!$C:$C = $C2440,"&amp;" 'Fund Investment Data'!$A:$A = ($A2440 - 2), 'Fund Investment Data'!$B:$B &gt; 3)))  * Parameters!$B$4 * (1 - Parameters!$A$4),0)"),0.0)</f>
        <v>0</v>
      </c>
      <c r="Z2440" s="91">
        <f t="shared" si="24"/>
        <v>0</v>
      </c>
      <c r="AA2440" s="91">
        <f>IFERROR(__xludf.DUMMYFUNCTION("((IFERROR((SUM(FILTER('Fund Investment Data'!$V:$V, 'Fund Investment Data'!$C:$C = $C2440, 'Fund Investment Data'!$A:$A = $A2440 - 1, 'Fund Investment Data'!$B:$B &gt;= 4, 'Fund Investment Data'!$B:$B &lt;= ($B2440 + 5))) / 12) * ($B2440 - 3) * Parameters!$B$4,"&amp;" 0) + IF($B2440 &gt;= 9, IFERROR(SUM(FILTER('Fund Investment Data'!$V:$V, 'Fund Investment Data'!$C:$C = $C2440, 'Fund Investment Data'!$A:$A = $A2440, 'Fund Investment Data'!$B:$B &lt;= 3)) * Parameters!$B$4, 0),0)))"),0.0)</f>
        <v>0</v>
      </c>
      <c r="AB2440" s="32">
        <f>IFERROR(__xludf.DUMMYFUNCTION("IFERROR(((IFERROR(SUM(FILTER('Fund Investment Data'!$V:$V, 'Fund Investment Data'!$C:$C = $C2440, 'Fund Investment Data'!$A:$A = $A2440 - 2, 'Fund Investment Data'!$B:$B &gt;= 4)) * Parameters!$B$4,0) + IFERROR(SUM(FILTER('Fund Investment Data'!$V:$V, 'Fund "&amp;"Investment Data'!$C:$C = $C2440, 'Fund Investment Data'!$A:$A = $A2440 - 1, 'Fund Investment Data'!$B:$B &lt;= 3)) * Parameters!$B$4,0))),0)"),0.0)</f>
        <v>0</v>
      </c>
      <c r="AC2440" s="32">
        <f>IFERROR(__xludf.DUMMYFUNCTION("IFERROR(FILTER($AF:$AF,$C:$C = $C2440,$A:$A = $A2440 - 1,$B:$B = 12),0)"),0.0)</f>
        <v>0</v>
      </c>
      <c r="AD2440" s="32">
        <f t="shared" si="23"/>
        <v>0</v>
      </c>
      <c r="AE2440" s="32">
        <f t="shared" si="2"/>
        <v>0</v>
      </c>
      <c r="AF2440" s="32"/>
    </row>
    <row r="2441">
      <c r="A2441" s="86"/>
      <c r="B2441" s="87"/>
      <c r="C2441" s="88"/>
      <c r="D2441" s="104"/>
      <c r="E2441" s="104"/>
      <c r="F2441" s="104"/>
      <c r="G2441" s="104"/>
      <c r="H2441" s="104"/>
      <c r="I2441" s="104"/>
      <c r="J2441" s="104"/>
      <c r="K2441" s="32"/>
      <c r="L2441" s="32"/>
      <c r="M2441" s="32"/>
      <c r="N2441" s="32"/>
      <c r="O2441" s="106"/>
      <c r="P2441" s="91">
        <f>IFERROR(__xludf.DUMMYFUNCTION("IFERROR(sum(FILTER($D:$N,$C:$C = $C2441,$A:$A &lt; $A2441,$B:$B = 12)),0) + sum($D2441:$N2441)"),0.0)</f>
        <v>0</v>
      </c>
      <c r="Q2441" s="92">
        <f t="shared" si="1"/>
        <v>0</v>
      </c>
      <c r="R2441" s="91">
        <f t="array" ref="R2441">IFERROR(INDEX('Fund YTD Target Values'!$1:$1000, MATCH($C2441,'Fund YTD Target Values'!$A:$A,0), MATCH($A2441,'Fund YTD Target Values'!$1:$1,0)),0)</f>
        <v>0</v>
      </c>
      <c r="S2441" s="91">
        <f>IFERROR(__xludf.DUMMYFUNCTION("IFERROR(sum(FILTER('Fund Investment Data'!$V:$V, 'Fund Investment Data'!$C:$C = $C2441, 'Fund Investment Data'!$A:$A &lt; $A2441)),0) + IFERROR(sum(FILTER('Fund Investment Data'!$V:$V, 'Fund Investment Data'!$C:$C = $C2441, 'Fund Investment Data'!$A:$A = $A2"&amp;"441, 'Fund Investment Data'!$B:$B &lt;= $B2441)),0)"),0.0)</f>
        <v>0</v>
      </c>
      <c r="T2441" s="32"/>
      <c r="U2441" s="32"/>
      <c r="V2441" s="32">
        <f>IFERROR(__xludf.DUMMYFUNCTION("$D2441 - IFERROR(FILTER($D:$D,$C:$C = $C2441, $A:$A = $A2441, $B:$B = $B2441 - 1),0)"),0.0)</f>
        <v>0</v>
      </c>
      <c r="W2441" s="93">
        <f>IFERROR(__xludf.DUMMYFUNCTION("$E2441 - IFERROR(FILTER($E:$E,$C:$C = $C2441, $A:$A = $A2441, $B:$B = $B2441 - 1),0)"),0.0)</f>
        <v>0</v>
      </c>
      <c r="X2441" s="91">
        <f>IFERROR(__xludf.DUMMYFUNCTION("iFERROR((FILTER('Fund Investment Data'!$Z:$Z, 'Fund Investment Data'!$C:$C = $C2441, 'Fund Investment Data'!$A:$A = $A2441 - 1, 'Fund Investment Data'!$B:$B = 12) + FILTER('Fund Investment Data'!$AB:$AB, 'Fund Investment Data'!$C:$C = $C2441, 'Fund Invest"&amp;"ment Data'!$A:$A = $A2441 - 1, 'Fund Investment Data'!$B:$B = 12)) * (1 + AVERAGE(FILTER('Inflation Data'!$C:$C,'Inflation Data'!$A:$A = ($A2441 - 2)))) * Parameters!$A$4,0)"),0.0)</f>
        <v>0</v>
      </c>
      <c r="Y2441" s="91">
        <f>IFERROR(__xludf.DUMMYFUNCTION("IFERROR((IFERROR(FILTER('Fund Investment Data'!$P:$P,'Fund Investment Data'!$C:$C = $C2441,'Fund Investment Data'!$A:$A = ($A2441 - 2), 'Fund Investment Data'!$B:$B = 12),0) - SUM(FILTER('Fund Investment Data'!$V:$V, 'Fund Investment Data'!$C:$C = $C2441,"&amp;" 'Fund Investment Data'!$A:$A = ($A2441 - 2), 'Fund Investment Data'!$B:$B &gt; 3)))  * Parameters!$B$4 * (1 - Parameters!$A$4),0)"),0.0)</f>
        <v>0</v>
      </c>
      <c r="Z2441" s="91">
        <f t="shared" si="24"/>
        <v>0</v>
      </c>
      <c r="AA2441" s="91">
        <f>IFERROR(__xludf.DUMMYFUNCTION("((IFERROR((SUM(FILTER('Fund Investment Data'!$V:$V, 'Fund Investment Data'!$C:$C = $C2441, 'Fund Investment Data'!$A:$A = $A2441 - 1, 'Fund Investment Data'!$B:$B &gt;= 4, 'Fund Investment Data'!$B:$B &lt;= ($B2441 + 5))) / 12) * ($B2441 - 3) * Parameters!$B$4,"&amp;" 0) + IF($B2441 &gt;= 9, IFERROR(SUM(FILTER('Fund Investment Data'!$V:$V, 'Fund Investment Data'!$C:$C = $C2441, 'Fund Investment Data'!$A:$A = $A2441, 'Fund Investment Data'!$B:$B &lt;= 3)) * Parameters!$B$4, 0),0)))"),0.0)</f>
        <v>0</v>
      </c>
      <c r="AB2441" s="32">
        <f>IFERROR(__xludf.DUMMYFUNCTION("IFERROR(((IFERROR(SUM(FILTER('Fund Investment Data'!$V:$V, 'Fund Investment Data'!$C:$C = $C2441, 'Fund Investment Data'!$A:$A = $A2441 - 2, 'Fund Investment Data'!$B:$B &gt;= 4)) * Parameters!$B$4,0) + IFERROR(SUM(FILTER('Fund Investment Data'!$V:$V, 'Fund "&amp;"Investment Data'!$C:$C = $C2441, 'Fund Investment Data'!$A:$A = $A2441 - 1, 'Fund Investment Data'!$B:$B &lt;= 3)) * Parameters!$B$4,0))),0)"),0.0)</f>
        <v>0</v>
      </c>
      <c r="AC2441" s="32">
        <f>IFERROR(__xludf.DUMMYFUNCTION("IFERROR(FILTER($AF:$AF,$C:$C = $C2441,$A:$A = $A2441 - 1,$B:$B = 12),0)"),0.0)</f>
        <v>0</v>
      </c>
      <c r="AD2441" s="32">
        <f t="shared" si="23"/>
        <v>0</v>
      </c>
      <c r="AE2441" s="32">
        <f t="shared" si="2"/>
        <v>0</v>
      </c>
      <c r="AF2441" s="32"/>
    </row>
    <row r="2442">
      <c r="A2442" s="86"/>
      <c r="B2442" s="87"/>
      <c r="C2442" s="88"/>
      <c r="D2442" s="104"/>
      <c r="E2442" s="104"/>
      <c r="F2442" s="104"/>
      <c r="G2442" s="104"/>
      <c r="H2442" s="104"/>
      <c r="I2442" s="104"/>
      <c r="J2442" s="104"/>
      <c r="K2442" s="32"/>
      <c r="L2442" s="32"/>
      <c r="M2442" s="32"/>
      <c r="N2442" s="32"/>
      <c r="O2442" s="106"/>
      <c r="P2442" s="91">
        <f>IFERROR(__xludf.DUMMYFUNCTION("IFERROR(sum(FILTER($D:$N,$C:$C = $C2442,$A:$A &lt; $A2442,$B:$B = 12)),0) + sum($D2442:$N2442)"),0.0)</f>
        <v>0</v>
      </c>
      <c r="Q2442" s="92">
        <f t="shared" si="1"/>
        <v>0</v>
      </c>
      <c r="R2442" s="91">
        <f t="array" ref="R2442">IFERROR(INDEX('Fund YTD Target Values'!$1:$1000, MATCH($C2442,'Fund YTD Target Values'!$A:$A,0), MATCH($A2442,'Fund YTD Target Values'!$1:$1,0)),0)</f>
        <v>0</v>
      </c>
      <c r="S2442" s="91">
        <f>IFERROR(__xludf.DUMMYFUNCTION("IFERROR(sum(FILTER('Fund Investment Data'!$V:$V, 'Fund Investment Data'!$C:$C = $C2442, 'Fund Investment Data'!$A:$A &lt; $A2442)),0) + IFERROR(sum(FILTER('Fund Investment Data'!$V:$V, 'Fund Investment Data'!$C:$C = $C2442, 'Fund Investment Data'!$A:$A = $A2"&amp;"442, 'Fund Investment Data'!$B:$B &lt;= $B2442)),0)"),0.0)</f>
        <v>0</v>
      </c>
      <c r="T2442" s="32"/>
      <c r="U2442" s="32"/>
      <c r="V2442" s="32">
        <f>IFERROR(__xludf.DUMMYFUNCTION("$D2442 - IFERROR(FILTER($D:$D,$C:$C = $C2442, $A:$A = $A2442, $B:$B = $B2442 - 1),0)"),0.0)</f>
        <v>0</v>
      </c>
      <c r="W2442" s="93">
        <f>IFERROR(__xludf.DUMMYFUNCTION("$E2442 - IFERROR(FILTER($E:$E,$C:$C = $C2442, $A:$A = $A2442, $B:$B = $B2442 - 1),0)"),0.0)</f>
        <v>0</v>
      </c>
      <c r="X2442" s="91">
        <f>IFERROR(__xludf.DUMMYFUNCTION("iFERROR((FILTER('Fund Investment Data'!$Z:$Z, 'Fund Investment Data'!$C:$C = $C2442, 'Fund Investment Data'!$A:$A = $A2442 - 1, 'Fund Investment Data'!$B:$B = 12) + FILTER('Fund Investment Data'!$AB:$AB, 'Fund Investment Data'!$C:$C = $C2442, 'Fund Invest"&amp;"ment Data'!$A:$A = $A2442 - 1, 'Fund Investment Data'!$B:$B = 12)) * (1 + AVERAGE(FILTER('Inflation Data'!$C:$C,'Inflation Data'!$A:$A = ($A2442 - 2)))) * Parameters!$A$4,0)"),0.0)</f>
        <v>0</v>
      </c>
      <c r="Y2442" s="91">
        <f>IFERROR(__xludf.DUMMYFUNCTION("IFERROR((IFERROR(FILTER('Fund Investment Data'!$P:$P,'Fund Investment Data'!$C:$C = $C2442,'Fund Investment Data'!$A:$A = ($A2442 - 2), 'Fund Investment Data'!$B:$B = 12),0) - SUM(FILTER('Fund Investment Data'!$V:$V, 'Fund Investment Data'!$C:$C = $C2442,"&amp;" 'Fund Investment Data'!$A:$A = ($A2442 - 2), 'Fund Investment Data'!$B:$B &gt; 3)))  * Parameters!$B$4 * (1 - Parameters!$A$4),0)"),0.0)</f>
        <v>0</v>
      </c>
      <c r="Z2442" s="91">
        <f t="shared" si="24"/>
        <v>0</v>
      </c>
      <c r="AA2442" s="91">
        <f>IFERROR(__xludf.DUMMYFUNCTION("((IFERROR((SUM(FILTER('Fund Investment Data'!$V:$V, 'Fund Investment Data'!$C:$C = $C2442, 'Fund Investment Data'!$A:$A = $A2442 - 1, 'Fund Investment Data'!$B:$B &gt;= 4, 'Fund Investment Data'!$B:$B &lt;= ($B2442 + 5))) / 12) * ($B2442 - 3) * Parameters!$B$4,"&amp;" 0) + IF($B2442 &gt;= 9, IFERROR(SUM(FILTER('Fund Investment Data'!$V:$V, 'Fund Investment Data'!$C:$C = $C2442, 'Fund Investment Data'!$A:$A = $A2442, 'Fund Investment Data'!$B:$B &lt;= 3)) * Parameters!$B$4, 0),0)))"),0.0)</f>
        <v>0</v>
      </c>
      <c r="AB2442" s="32">
        <f>IFERROR(__xludf.DUMMYFUNCTION("IFERROR(((IFERROR(SUM(FILTER('Fund Investment Data'!$V:$V, 'Fund Investment Data'!$C:$C = $C2442, 'Fund Investment Data'!$A:$A = $A2442 - 2, 'Fund Investment Data'!$B:$B &gt;= 4)) * Parameters!$B$4,0) + IFERROR(SUM(FILTER('Fund Investment Data'!$V:$V, 'Fund "&amp;"Investment Data'!$C:$C = $C2442, 'Fund Investment Data'!$A:$A = $A2442 - 1, 'Fund Investment Data'!$B:$B &lt;= 3)) * Parameters!$B$4,0))),0)"),0.0)</f>
        <v>0</v>
      </c>
      <c r="AC2442" s="32">
        <f>IFERROR(__xludf.DUMMYFUNCTION("IFERROR(FILTER($AF:$AF,$C:$C = $C2442,$A:$A = $A2442 - 1,$B:$B = 12),0)"),0.0)</f>
        <v>0</v>
      </c>
      <c r="AD2442" s="32">
        <f t="shared" si="23"/>
        <v>0</v>
      </c>
      <c r="AE2442" s="32">
        <f t="shared" si="2"/>
        <v>0</v>
      </c>
      <c r="AF2442" s="32"/>
    </row>
    <row r="2443">
      <c r="A2443" s="86"/>
      <c r="B2443" s="87"/>
      <c r="C2443" s="88"/>
      <c r="D2443" s="104"/>
      <c r="E2443" s="104"/>
      <c r="F2443" s="104"/>
      <c r="G2443" s="104"/>
      <c r="H2443" s="104"/>
      <c r="I2443" s="104"/>
      <c r="J2443" s="104"/>
      <c r="K2443" s="32"/>
      <c r="L2443" s="32"/>
      <c r="M2443" s="32"/>
      <c r="N2443" s="32"/>
      <c r="O2443" s="106"/>
      <c r="P2443" s="91">
        <f>IFERROR(__xludf.DUMMYFUNCTION("IFERROR(sum(FILTER($D:$N,$C:$C = $C2443,$A:$A &lt; $A2443,$B:$B = 12)),0) + sum($D2443:$N2443)"),0.0)</f>
        <v>0</v>
      </c>
      <c r="Q2443" s="92">
        <f t="shared" si="1"/>
        <v>0</v>
      </c>
      <c r="R2443" s="91">
        <f t="array" ref="R2443">IFERROR(INDEX('Fund YTD Target Values'!$1:$1000, MATCH($C2443,'Fund YTD Target Values'!$A:$A,0), MATCH($A2443,'Fund YTD Target Values'!$1:$1,0)),0)</f>
        <v>0</v>
      </c>
      <c r="S2443" s="91">
        <f>IFERROR(__xludf.DUMMYFUNCTION("IFERROR(sum(FILTER('Fund Investment Data'!$V:$V, 'Fund Investment Data'!$C:$C = $C2443, 'Fund Investment Data'!$A:$A &lt; $A2443)),0) + IFERROR(sum(FILTER('Fund Investment Data'!$V:$V, 'Fund Investment Data'!$C:$C = $C2443, 'Fund Investment Data'!$A:$A = $A2"&amp;"443, 'Fund Investment Data'!$B:$B &lt;= $B2443)),0)"),0.0)</f>
        <v>0</v>
      </c>
      <c r="T2443" s="32"/>
      <c r="U2443" s="32"/>
      <c r="V2443" s="32">
        <f>IFERROR(__xludf.DUMMYFUNCTION("$D2443 - IFERROR(FILTER($D:$D,$C:$C = $C2443, $A:$A = $A2443, $B:$B = $B2443 - 1),0)"),0.0)</f>
        <v>0</v>
      </c>
      <c r="W2443" s="93">
        <f>IFERROR(__xludf.DUMMYFUNCTION("$E2443 - IFERROR(FILTER($E:$E,$C:$C = $C2443, $A:$A = $A2443, $B:$B = $B2443 - 1),0)"),0.0)</f>
        <v>0</v>
      </c>
      <c r="X2443" s="91">
        <f>IFERROR(__xludf.DUMMYFUNCTION("iFERROR((FILTER('Fund Investment Data'!$Z:$Z, 'Fund Investment Data'!$C:$C = $C2443, 'Fund Investment Data'!$A:$A = $A2443 - 1, 'Fund Investment Data'!$B:$B = 12) + FILTER('Fund Investment Data'!$AB:$AB, 'Fund Investment Data'!$C:$C = $C2443, 'Fund Invest"&amp;"ment Data'!$A:$A = $A2443 - 1, 'Fund Investment Data'!$B:$B = 12)) * (1 + AVERAGE(FILTER('Inflation Data'!$C:$C,'Inflation Data'!$A:$A = ($A2443 - 2)))) * Parameters!$A$4,0)"),0.0)</f>
        <v>0</v>
      </c>
      <c r="Y2443" s="91">
        <f>IFERROR(__xludf.DUMMYFUNCTION("IFERROR((IFERROR(FILTER('Fund Investment Data'!$P:$P,'Fund Investment Data'!$C:$C = $C2443,'Fund Investment Data'!$A:$A = ($A2443 - 2), 'Fund Investment Data'!$B:$B = 12),0) - SUM(FILTER('Fund Investment Data'!$V:$V, 'Fund Investment Data'!$C:$C = $C2443,"&amp;" 'Fund Investment Data'!$A:$A = ($A2443 - 2), 'Fund Investment Data'!$B:$B &gt; 3)))  * Parameters!$B$4 * (1 - Parameters!$A$4),0)"),0.0)</f>
        <v>0</v>
      </c>
      <c r="Z2443" s="91">
        <f t="shared" si="24"/>
        <v>0</v>
      </c>
      <c r="AA2443" s="91">
        <f>IFERROR(__xludf.DUMMYFUNCTION("((IFERROR((SUM(FILTER('Fund Investment Data'!$V:$V, 'Fund Investment Data'!$C:$C = $C2443, 'Fund Investment Data'!$A:$A = $A2443 - 1, 'Fund Investment Data'!$B:$B &gt;= 4, 'Fund Investment Data'!$B:$B &lt;= ($B2443 + 5))) / 12) * ($B2443 - 3) * Parameters!$B$4,"&amp;" 0) + IF($B2443 &gt;= 9, IFERROR(SUM(FILTER('Fund Investment Data'!$V:$V, 'Fund Investment Data'!$C:$C = $C2443, 'Fund Investment Data'!$A:$A = $A2443, 'Fund Investment Data'!$B:$B &lt;= 3)) * Parameters!$B$4, 0),0)))"),0.0)</f>
        <v>0</v>
      </c>
      <c r="AB2443" s="32">
        <f>IFERROR(__xludf.DUMMYFUNCTION("IFERROR(((IFERROR(SUM(FILTER('Fund Investment Data'!$V:$V, 'Fund Investment Data'!$C:$C = $C2443, 'Fund Investment Data'!$A:$A = $A2443 - 2, 'Fund Investment Data'!$B:$B &gt;= 4)) * Parameters!$B$4,0) + IFERROR(SUM(FILTER('Fund Investment Data'!$V:$V, 'Fund "&amp;"Investment Data'!$C:$C = $C2443, 'Fund Investment Data'!$A:$A = $A2443 - 1, 'Fund Investment Data'!$B:$B &lt;= 3)) * Parameters!$B$4,0))),0)"),0.0)</f>
        <v>0</v>
      </c>
      <c r="AC2443" s="32">
        <f>IFERROR(__xludf.DUMMYFUNCTION("IFERROR(FILTER($AF:$AF,$C:$C = $C2443,$A:$A = $A2443 - 1,$B:$B = 12),0)"),0.0)</f>
        <v>0</v>
      </c>
      <c r="AD2443" s="32">
        <f t="shared" si="23"/>
        <v>0</v>
      </c>
      <c r="AE2443" s="32">
        <f t="shared" si="2"/>
        <v>0</v>
      </c>
      <c r="AF2443" s="32"/>
    </row>
    <row r="2444">
      <c r="A2444" s="86"/>
      <c r="B2444" s="87"/>
      <c r="C2444" s="88"/>
      <c r="D2444" s="104"/>
      <c r="E2444" s="104"/>
      <c r="F2444" s="104"/>
      <c r="G2444" s="104"/>
      <c r="H2444" s="104"/>
      <c r="I2444" s="104"/>
      <c r="J2444" s="104"/>
      <c r="K2444" s="32"/>
      <c r="L2444" s="32"/>
      <c r="M2444" s="32"/>
      <c r="N2444" s="32"/>
      <c r="O2444" s="106"/>
      <c r="P2444" s="91">
        <f>IFERROR(__xludf.DUMMYFUNCTION("IFERROR(sum(FILTER($D:$N,$C:$C = $C2444,$A:$A &lt; $A2444,$B:$B = 12)),0) + sum($D2444:$N2444)"),0.0)</f>
        <v>0</v>
      </c>
      <c r="Q2444" s="92">
        <f t="shared" si="1"/>
        <v>0</v>
      </c>
      <c r="R2444" s="91">
        <f t="array" ref="R2444">IFERROR(INDEX('Fund YTD Target Values'!$1:$1000, MATCH($C2444,'Fund YTD Target Values'!$A:$A,0), MATCH($A2444,'Fund YTD Target Values'!$1:$1,0)),0)</f>
        <v>0</v>
      </c>
      <c r="S2444" s="91">
        <f>IFERROR(__xludf.DUMMYFUNCTION("IFERROR(sum(FILTER('Fund Investment Data'!$V:$V, 'Fund Investment Data'!$C:$C = $C2444, 'Fund Investment Data'!$A:$A &lt; $A2444)),0) + IFERROR(sum(FILTER('Fund Investment Data'!$V:$V, 'Fund Investment Data'!$C:$C = $C2444, 'Fund Investment Data'!$A:$A = $A2"&amp;"444, 'Fund Investment Data'!$B:$B &lt;= $B2444)),0)"),0.0)</f>
        <v>0</v>
      </c>
      <c r="T2444" s="32"/>
      <c r="U2444" s="32"/>
      <c r="V2444" s="32">
        <f>IFERROR(__xludf.DUMMYFUNCTION("$D2444 - IFERROR(FILTER($D:$D,$C:$C = $C2444, $A:$A = $A2444, $B:$B = $B2444 - 1),0)"),0.0)</f>
        <v>0</v>
      </c>
      <c r="W2444" s="93">
        <f>IFERROR(__xludf.DUMMYFUNCTION("$E2444 - IFERROR(FILTER($E:$E,$C:$C = $C2444, $A:$A = $A2444, $B:$B = $B2444 - 1),0)"),0.0)</f>
        <v>0</v>
      </c>
      <c r="X2444" s="91">
        <f>IFERROR(__xludf.DUMMYFUNCTION("iFERROR((FILTER('Fund Investment Data'!$Z:$Z, 'Fund Investment Data'!$C:$C = $C2444, 'Fund Investment Data'!$A:$A = $A2444 - 1, 'Fund Investment Data'!$B:$B = 12) + FILTER('Fund Investment Data'!$AB:$AB, 'Fund Investment Data'!$C:$C = $C2444, 'Fund Invest"&amp;"ment Data'!$A:$A = $A2444 - 1, 'Fund Investment Data'!$B:$B = 12)) * (1 + AVERAGE(FILTER('Inflation Data'!$C:$C,'Inflation Data'!$A:$A = ($A2444 - 2)))) * Parameters!$A$4,0)"),0.0)</f>
        <v>0</v>
      </c>
      <c r="Y2444" s="91">
        <f>IFERROR(__xludf.DUMMYFUNCTION("IFERROR((IFERROR(FILTER('Fund Investment Data'!$P:$P,'Fund Investment Data'!$C:$C = $C2444,'Fund Investment Data'!$A:$A = ($A2444 - 2), 'Fund Investment Data'!$B:$B = 12),0) - SUM(FILTER('Fund Investment Data'!$V:$V, 'Fund Investment Data'!$C:$C = $C2444,"&amp;" 'Fund Investment Data'!$A:$A = ($A2444 - 2), 'Fund Investment Data'!$B:$B &gt; 3)))  * Parameters!$B$4 * (1 - Parameters!$A$4),0)"),0.0)</f>
        <v>0</v>
      </c>
      <c r="Z2444" s="91">
        <f t="shared" si="24"/>
        <v>0</v>
      </c>
      <c r="AA2444" s="91">
        <f>IFERROR(__xludf.DUMMYFUNCTION("((IFERROR((SUM(FILTER('Fund Investment Data'!$V:$V, 'Fund Investment Data'!$C:$C = $C2444, 'Fund Investment Data'!$A:$A = $A2444 - 1, 'Fund Investment Data'!$B:$B &gt;= 4, 'Fund Investment Data'!$B:$B &lt;= ($B2444 + 5))) / 12) * ($B2444 - 3) * Parameters!$B$4,"&amp;" 0) + IF($B2444 &gt;= 9, IFERROR(SUM(FILTER('Fund Investment Data'!$V:$V, 'Fund Investment Data'!$C:$C = $C2444, 'Fund Investment Data'!$A:$A = $A2444, 'Fund Investment Data'!$B:$B &lt;= 3)) * Parameters!$B$4, 0),0)))"),0.0)</f>
        <v>0</v>
      </c>
      <c r="AB2444" s="32">
        <f>IFERROR(__xludf.DUMMYFUNCTION("IFERROR(((IFERROR(SUM(FILTER('Fund Investment Data'!$V:$V, 'Fund Investment Data'!$C:$C = $C2444, 'Fund Investment Data'!$A:$A = $A2444 - 2, 'Fund Investment Data'!$B:$B &gt;= 4)) * Parameters!$B$4,0) + IFERROR(SUM(FILTER('Fund Investment Data'!$V:$V, 'Fund "&amp;"Investment Data'!$C:$C = $C2444, 'Fund Investment Data'!$A:$A = $A2444 - 1, 'Fund Investment Data'!$B:$B &lt;= 3)) * Parameters!$B$4,0))),0)"),0.0)</f>
        <v>0</v>
      </c>
      <c r="AC2444" s="32">
        <f>IFERROR(__xludf.DUMMYFUNCTION("IFERROR(FILTER($AF:$AF,$C:$C = $C2444,$A:$A = $A2444 - 1,$B:$B = 12),0)"),0.0)</f>
        <v>0</v>
      </c>
      <c r="AD2444" s="32">
        <f t="shared" si="23"/>
        <v>0</v>
      </c>
      <c r="AE2444" s="32">
        <f t="shared" si="2"/>
        <v>0</v>
      </c>
      <c r="AF2444" s="32"/>
    </row>
    <row r="2445">
      <c r="A2445" s="86"/>
      <c r="B2445" s="87"/>
      <c r="C2445" s="88"/>
      <c r="D2445" s="104"/>
      <c r="E2445" s="104"/>
      <c r="F2445" s="104"/>
      <c r="G2445" s="104"/>
      <c r="H2445" s="104"/>
      <c r="I2445" s="104"/>
      <c r="J2445" s="104"/>
      <c r="K2445" s="32"/>
      <c r="L2445" s="32"/>
      <c r="M2445" s="32"/>
      <c r="N2445" s="32"/>
      <c r="O2445" s="106"/>
      <c r="P2445" s="91">
        <f>IFERROR(__xludf.DUMMYFUNCTION("IFERROR(sum(FILTER($D:$N,$C:$C = $C2445,$A:$A &lt; $A2445,$B:$B = 12)),0) + sum($D2445:$N2445)"),0.0)</f>
        <v>0</v>
      </c>
      <c r="Q2445" s="92">
        <f t="shared" si="1"/>
        <v>0</v>
      </c>
      <c r="R2445" s="91">
        <f t="array" ref="R2445">IFERROR(INDEX('Fund YTD Target Values'!$1:$1000, MATCH($C2445,'Fund YTD Target Values'!$A:$A,0), MATCH($A2445,'Fund YTD Target Values'!$1:$1,0)),0)</f>
        <v>0</v>
      </c>
      <c r="S2445" s="91">
        <f>IFERROR(__xludf.DUMMYFUNCTION("IFERROR(sum(FILTER('Fund Investment Data'!$V:$V, 'Fund Investment Data'!$C:$C = $C2445, 'Fund Investment Data'!$A:$A &lt; $A2445)),0) + IFERROR(sum(FILTER('Fund Investment Data'!$V:$V, 'Fund Investment Data'!$C:$C = $C2445, 'Fund Investment Data'!$A:$A = $A2"&amp;"445, 'Fund Investment Data'!$B:$B &lt;= $B2445)),0)"),0.0)</f>
        <v>0</v>
      </c>
      <c r="T2445" s="32"/>
      <c r="U2445" s="32"/>
      <c r="V2445" s="32">
        <f>IFERROR(__xludf.DUMMYFUNCTION("$D2445 - IFERROR(FILTER($D:$D,$C:$C = $C2445, $A:$A = $A2445, $B:$B = $B2445 - 1),0)"),0.0)</f>
        <v>0</v>
      </c>
      <c r="W2445" s="93">
        <f>IFERROR(__xludf.DUMMYFUNCTION("$E2445 - IFERROR(FILTER($E:$E,$C:$C = $C2445, $A:$A = $A2445, $B:$B = $B2445 - 1),0)"),0.0)</f>
        <v>0</v>
      </c>
      <c r="X2445" s="91">
        <f>IFERROR(__xludf.DUMMYFUNCTION("iFERROR((FILTER('Fund Investment Data'!$Z:$Z, 'Fund Investment Data'!$C:$C = $C2445, 'Fund Investment Data'!$A:$A = $A2445 - 1, 'Fund Investment Data'!$B:$B = 12) + FILTER('Fund Investment Data'!$AB:$AB, 'Fund Investment Data'!$C:$C = $C2445, 'Fund Invest"&amp;"ment Data'!$A:$A = $A2445 - 1, 'Fund Investment Data'!$B:$B = 12)) * (1 + AVERAGE(FILTER('Inflation Data'!$C:$C,'Inflation Data'!$A:$A = ($A2445 - 2)))) * Parameters!$A$4,0)"),0.0)</f>
        <v>0</v>
      </c>
      <c r="Y2445" s="91">
        <f>IFERROR(__xludf.DUMMYFUNCTION("IFERROR((IFERROR(FILTER('Fund Investment Data'!$P:$P,'Fund Investment Data'!$C:$C = $C2445,'Fund Investment Data'!$A:$A = ($A2445 - 2), 'Fund Investment Data'!$B:$B = 12),0) - SUM(FILTER('Fund Investment Data'!$V:$V, 'Fund Investment Data'!$C:$C = $C2445,"&amp;" 'Fund Investment Data'!$A:$A = ($A2445 - 2), 'Fund Investment Data'!$B:$B &gt; 3)))  * Parameters!$B$4 * (1 - Parameters!$A$4),0)"),0.0)</f>
        <v>0</v>
      </c>
      <c r="Z2445" s="91">
        <f t="shared" si="24"/>
        <v>0</v>
      </c>
      <c r="AA2445" s="91">
        <f>IFERROR(__xludf.DUMMYFUNCTION("((IFERROR((SUM(FILTER('Fund Investment Data'!$V:$V, 'Fund Investment Data'!$C:$C = $C2445, 'Fund Investment Data'!$A:$A = $A2445 - 1, 'Fund Investment Data'!$B:$B &gt;= 4, 'Fund Investment Data'!$B:$B &lt;= ($B2445 + 5))) / 12) * ($B2445 - 3) * Parameters!$B$4,"&amp;" 0) + IF($B2445 &gt;= 9, IFERROR(SUM(FILTER('Fund Investment Data'!$V:$V, 'Fund Investment Data'!$C:$C = $C2445, 'Fund Investment Data'!$A:$A = $A2445, 'Fund Investment Data'!$B:$B &lt;= 3)) * Parameters!$B$4, 0),0)))"),0.0)</f>
        <v>0</v>
      </c>
      <c r="AB2445" s="32">
        <f>IFERROR(__xludf.DUMMYFUNCTION("IFERROR(((IFERROR(SUM(FILTER('Fund Investment Data'!$V:$V, 'Fund Investment Data'!$C:$C = $C2445, 'Fund Investment Data'!$A:$A = $A2445 - 2, 'Fund Investment Data'!$B:$B &gt;= 4)) * Parameters!$B$4,0) + IFERROR(SUM(FILTER('Fund Investment Data'!$V:$V, 'Fund "&amp;"Investment Data'!$C:$C = $C2445, 'Fund Investment Data'!$A:$A = $A2445 - 1, 'Fund Investment Data'!$B:$B &lt;= 3)) * Parameters!$B$4,0))),0)"),0.0)</f>
        <v>0</v>
      </c>
      <c r="AC2445" s="32">
        <f>IFERROR(__xludf.DUMMYFUNCTION("IFERROR(FILTER($AF:$AF,$C:$C = $C2445,$A:$A = $A2445 - 1,$B:$B = 12),0)"),0.0)</f>
        <v>0</v>
      </c>
      <c r="AD2445" s="32">
        <f t="shared" si="23"/>
        <v>0</v>
      </c>
      <c r="AE2445" s="32">
        <f t="shared" si="2"/>
        <v>0</v>
      </c>
      <c r="AF2445" s="32"/>
    </row>
    <row r="2446">
      <c r="A2446" s="86"/>
      <c r="B2446" s="87"/>
      <c r="C2446" s="88"/>
      <c r="D2446" s="104"/>
      <c r="E2446" s="104"/>
      <c r="F2446" s="104"/>
      <c r="G2446" s="104"/>
      <c r="H2446" s="104"/>
      <c r="I2446" s="104"/>
      <c r="J2446" s="104"/>
      <c r="K2446" s="32"/>
      <c r="L2446" s="32"/>
      <c r="M2446" s="32"/>
      <c r="N2446" s="32"/>
      <c r="O2446" s="106"/>
      <c r="P2446" s="91">
        <f>IFERROR(__xludf.DUMMYFUNCTION("IFERROR(sum(FILTER($D:$N,$C:$C = $C2446,$A:$A &lt; $A2446,$B:$B = 12)),0) + sum($D2446:$N2446)"),0.0)</f>
        <v>0</v>
      </c>
      <c r="Q2446" s="92">
        <f t="shared" si="1"/>
        <v>0</v>
      </c>
      <c r="R2446" s="91">
        <f t="array" ref="R2446">IFERROR(INDEX('Fund YTD Target Values'!$1:$1000, MATCH($C2446,'Fund YTD Target Values'!$A:$A,0), MATCH($A2446,'Fund YTD Target Values'!$1:$1,0)),0)</f>
        <v>0</v>
      </c>
      <c r="S2446" s="91">
        <f>IFERROR(__xludf.DUMMYFUNCTION("IFERROR(sum(FILTER('Fund Investment Data'!$V:$V, 'Fund Investment Data'!$C:$C = $C2446, 'Fund Investment Data'!$A:$A &lt; $A2446)),0) + IFERROR(sum(FILTER('Fund Investment Data'!$V:$V, 'Fund Investment Data'!$C:$C = $C2446, 'Fund Investment Data'!$A:$A = $A2"&amp;"446, 'Fund Investment Data'!$B:$B &lt;= $B2446)),0)"),0.0)</f>
        <v>0</v>
      </c>
      <c r="T2446" s="32"/>
      <c r="U2446" s="32"/>
      <c r="V2446" s="32">
        <f>IFERROR(__xludf.DUMMYFUNCTION("$D2446 - IFERROR(FILTER($D:$D,$C:$C = $C2446, $A:$A = $A2446, $B:$B = $B2446 - 1),0)"),0.0)</f>
        <v>0</v>
      </c>
      <c r="W2446" s="93">
        <f>IFERROR(__xludf.DUMMYFUNCTION("$E2446 - IFERROR(FILTER($E:$E,$C:$C = $C2446, $A:$A = $A2446, $B:$B = $B2446 - 1),0)"),0.0)</f>
        <v>0</v>
      </c>
      <c r="X2446" s="91">
        <f>IFERROR(__xludf.DUMMYFUNCTION("iFERROR((FILTER('Fund Investment Data'!$Z:$Z, 'Fund Investment Data'!$C:$C = $C2446, 'Fund Investment Data'!$A:$A = $A2446 - 1, 'Fund Investment Data'!$B:$B = 12) + FILTER('Fund Investment Data'!$AB:$AB, 'Fund Investment Data'!$C:$C = $C2446, 'Fund Invest"&amp;"ment Data'!$A:$A = $A2446 - 1, 'Fund Investment Data'!$B:$B = 12)) * (1 + AVERAGE(FILTER('Inflation Data'!$C:$C,'Inflation Data'!$A:$A = ($A2446 - 2)))) * Parameters!$A$4,0)"),0.0)</f>
        <v>0</v>
      </c>
      <c r="Y2446" s="91">
        <f>IFERROR(__xludf.DUMMYFUNCTION("IFERROR((IFERROR(FILTER('Fund Investment Data'!$P:$P,'Fund Investment Data'!$C:$C = $C2446,'Fund Investment Data'!$A:$A = ($A2446 - 2), 'Fund Investment Data'!$B:$B = 12),0) - SUM(FILTER('Fund Investment Data'!$V:$V, 'Fund Investment Data'!$C:$C = $C2446,"&amp;" 'Fund Investment Data'!$A:$A = ($A2446 - 2), 'Fund Investment Data'!$B:$B &gt; 3)))  * Parameters!$B$4 * (1 - Parameters!$A$4),0)"),0.0)</f>
        <v>0</v>
      </c>
      <c r="Z2446" s="91">
        <f t="shared" si="24"/>
        <v>0</v>
      </c>
      <c r="AA2446" s="91">
        <f>IFERROR(__xludf.DUMMYFUNCTION("((IFERROR((SUM(FILTER('Fund Investment Data'!$V:$V, 'Fund Investment Data'!$C:$C = $C2446, 'Fund Investment Data'!$A:$A = $A2446 - 1, 'Fund Investment Data'!$B:$B &gt;= 4, 'Fund Investment Data'!$B:$B &lt;= ($B2446 + 5))) / 12) * ($B2446 - 3) * Parameters!$B$4,"&amp;" 0) + IF($B2446 &gt;= 9, IFERROR(SUM(FILTER('Fund Investment Data'!$V:$V, 'Fund Investment Data'!$C:$C = $C2446, 'Fund Investment Data'!$A:$A = $A2446, 'Fund Investment Data'!$B:$B &lt;= 3)) * Parameters!$B$4, 0),0)))"),0.0)</f>
        <v>0</v>
      </c>
      <c r="AB2446" s="32">
        <f>IFERROR(__xludf.DUMMYFUNCTION("IFERROR(((IFERROR(SUM(FILTER('Fund Investment Data'!$V:$V, 'Fund Investment Data'!$C:$C = $C2446, 'Fund Investment Data'!$A:$A = $A2446 - 2, 'Fund Investment Data'!$B:$B &gt;= 4)) * Parameters!$B$4,0) + IFERROR(SUM(FILTER('Fund Investment Data'!$V:$V, 'Fund "&amp;"Investment Data'!$C:$C = $C2446, 'Fund Investment Data'!$A:$A = $A2446 - 1, 'Fund Investment Data'!$B:$B &lt;= 3)) * Parameters!$B$4,0))),0)"),0.0)</f>
        <v>0</v>
      </c>
      <c r="AC2446" s="32">
        <f>IFERROR(__xludf.DUMMYFUNCTION("IFERROR(FILTER($AF:$AF,$C:$C = $C2446,$A:$A = $A2446 - 1,$B:$B = 12),0)"),0.0)</f>
        <v>0</v>
      </c>
      <c r="AD2446" s="32">
        <f t="shared" si="23"/>
        <v>0</v>
      </c>
      <c r="AE2446" s="32">
        <f t="shared" si="2"/>
        <v>0</v>
      </c>
      <c r="AF2446" s="32"/>
    </row>
    <row r="2447">
      <c r="A2447" s="86"/>
      <c r="B2447" s="87"/>
      <c r="C2447" s="88"/>
      <c r="D2447" s="104"/>
      <c r="E2447" s="104"/>
      <c r="F2447" s="104"/>
      <c r="G2447" s="104"/>
      <c r="H2447" s="104"/>
      <c r="I2447" s="104"/>
      <c r="J2447" s="104"/>
      <c r="K2447" s="32"/>
      <c r="L2447" s="32"/>
      <c r="M2447" s="32"/>
      <c r="N2447" s="32"/>
      <c r="O2447" s="106"/>
      <c r="P2447" s="91">
        <f>IFERROR(__xludf.DUMMYFUNCTION("IFERROR(sum(FILTER($D:$N,$C:$C = $C2447,$A:$A &lt; $A2447,$B:$B = 12)),0) + sum($D2447:$N2447)"),0.0)</f>
        <v>0</v>
      </c>
      <c r="Q2447" s="92">
        <f t="shared" si="1"/>
        <v>0</v>
      </c>
      <c r="R2447" s="91">
        <f t="array" ref="R2447">IFERROR(INDEX('Fund YTD Target Values'!$1:$1000, MATCH($C2447,'Fund YTD Target Values'!$A:$A,0), MATCH($A2447,'Fund YTD Target Values'!$1:$1,0)),0)</f>
        <v>0</v>
      </c>
      <c r="S2447" s="91">
        <f>IFERROR(__xludf.DUMMYFUNCTION("IFERROR(sum(FILTER('Fund Investment Data'!$V:$V, 'Fund Investment Data'!$C:$C = $C2447, 'Fund Investment Data'!$A:$A &lt; $A2447)),0) + IFERROR(sum(FILTER('Fund Investment Data'!$V:$V, 'Fund Investment Data'!$C:$C = $C2447, 'Fund Investment Data'!$A:$A = $A2"&amp;"447, 'Fund Investment Data'!$B:$B &lt;= $B2447)),0)"),0.0)</f>
        <v>0</v>
      </c>
      <c r="T2447" s="32"/>
      <c r="U2447" s="32"/>
      <c r="V2447" s="32">
        <f>IFERROR(__xludf.DUMMYFUNCTION("$D2447 - IFERROR(FILTER($D:$D,$C:$C = $C2447, $A:$A = $A2447, $B:$B = $B2447 - 1),0)"),0.0)</f>
        <v>0</v>
      </c>
      <c r="W2447" s="93">
        <f>IFERROR(__xludf.DUMMYFUNCTION("$E2447 - IFERROR(FILTER($E:$E,$C:$C = $C2447, $A:$A = $A2447, $B:$B = $B2447 - 1),0)"),0.0)</f>
        <v>0</v>
      </c>
      <c r="X2447" s="91">
        <f>IFERROR(__xludf.DUMMYFUNCTION("iFERROR((FILTER('Fund Investment Data'!$Z:$Z, 'Fund Investment Data'!$C:$C = $C2447, 'Fund Investment Data'!$A:$A = $A2447 - 1, 'Fund Investment Data'!$B:$B = 12) + FILTER('Fund Investment Data'!$AB:$AB, 'Fund Investment Data'!$C:$C = $C2447, 'Fund Invest"&amp;"ment Data'!$A:$A = $A2447 - 1, 'Fund Investment Data'!$B:$B = 12)) * (1 + AVERAGE(FILTER('Inflation Data'!$C:$C,'Inflation Data'!$A:$A = ($A2447 - 2)))) * Parameters!$A$4,0)"),0.0)</f>
        <v>0</v>
      </c>
      <c r="Y2447" s="91">
        <f>IFERROR(__xludf.DUMMYFUNCTION("IFERROR((IFERROR(FILTER('Fund Investment Data'!$P:$P,'Fund Investment Data'!$C:$C = $C2447,'Fund Investment Data'!$A:$A = ($A2447 - 2), 'Fund Investment Data'!$B:$B = 12),0) - SUM(FILTER('Fund Investment Data'!$V:$V, 'Fund Investment Data'!$C:$C = $C2447,"&amp;" 'Fund Investment Data'!$A:$A = ($A2447 - 2), 'Fund Investment Data'!$B:$B &gt; 3)))  * Parameters!$B$4 * (1 - Parameters!$A$4),0)"),0.0)</f>
        <v>0</v>
      </c>
      <c r="Z2447" s="91">
        <f t="shared" si="24"/>
        <v>0</v>
      </c>
      <c r="AA2447" s="91">
        <f>IFERROR(__xludf.DUMMYFUNCTION("((IFERROR((SUM(FILTER('Fund Investment Data'!$V:$V, 'Fund Investment Data'!$C:$C = $C2447, 'Fund Investment Data'!$A:$A = $A2447 - 1, 'Fund Investment Data'!$B:$B &gt;= 4, 'Fund Investment Data'!$B:$B &lt;= ($B2447 + 5))) / 12) * ($B2447 - 3) * Parameters!$B$4,"&amp;" 0) + IF($B2447 &gt;= 9, IFERROR(SUM(FILTER('Fund Investment Data'!$V:$V, 'Fund Investment Data'!$C:$C = $C2447, 'Fund Investment Data'!$A:$A = $A2447, 'Fund Investment Data'!$B:$B &lt;= 3)) * Parameters!$B$4, 0),0)))"),0.0)</f>
        <v>0</v>
      </c>
      <c r="AB2447" s="32">
        <f>IFERROR(__xludf.DUMMYFUNCTION("IFERROR(((IFERROR(SUM(FILTER('Fund Investment Data'!$V:$V, 'Fund Investment Data'!$C:$C = $C2447, 'Fund Investment Data'!$A:$A = $A2447 - 2, 'Fund Investment Data'!$B:$B &gt;= 4)) * Parameters!$B$4,0) + IFERROR(SUM(FILTER('Fund Investment Data'!$V:$V, 'Fund "&amp;"Investment Data'!$C:$C = $C2447, 'Fund Investment Data'!$A:$A = $A2447 - 1, 'Fund Investment Data'!$B:$B &lt;= 3)) * Parameters!$B$4,0))),0)"),0.0)</f>
        <v>0</v>
      </c>
      <c r="AC2447" s="32">
        <f>IFERROR(__xludf.DUMMYFUNCTION("IFERROR(FILTER($AF:$AF,$C:$C = $C2447,$A:$A = $A2447 - 1,$B:$B = 12),0)"),0.0)</f>
        <v>0</v>
      </c>
      <c r="AD2447" s="32">
        <f t="shared" si="23"/>
        <v>0</v>
      </c>
      <c r="AE2447" s="32">
        <f t="shared" si="2"/>
        <v>0</v>
      </c>
      <c r="AF2447" s="32"/>
    </row>
    <row r="2448">
      <c r="A2448" s="86"/>
      <c r="B2448" s="87"/>
      <c r="C2448" s="88"/>
      <c r="D2448" s="104"/>
      <c r="E2448" s="104"/>
      <c r="F2448" s="104"/>
      <c r="G2448" s="104"/>
      <c r="H2448" s="104"/>
      <c r="I2448" s="104"/>
      <c r="J2448" s="104"/>
      <c r="K2448" s="32"/>
      <c r="L2448" s="32"/>
      <c r="M2448" s="32"/>
      <c r="N2448" s="32"/>
      <c r="O2448" s="106"/>
      <c r="P2448" s="91">
        <f>IFERROR(__xludf.DUMMYFUNCTION("IFERROR(sum(FILTER($D:$N,$C:$C = $C2448,$A:$A &lt; $A2448,$B:$B = 12)),0) + sum($D2448:$N2448)"),0.0)</f>
        <v>0</v>
      </c>
      <c r="Q2448" s="92">
        <f t="shared" si="1"/>
        <v>0</v>
      </c>
      <c r="R2448" s="91">
        <f t="array" ref="R2448">IFERROR(INDEX('Fund YTD Target Values'!$1:$1000, MATCH($C2448,'Fund YTD Target Values'!$A:$A,0), MATCH($A2448,'Fund YTD Target Values'!$1:$1,0)),0)</f>
        <v>0</v>
      </c>
      <c r="S2448" s="91">
        <f>IFERROR(__xludf.DUMMYFUNCTION("IFERROR(sum(FILTER('Fund Investment Data'!$V:$V, 'Fund Investment Data'!$C:$C = $C2448, 'Fund Investment Data'!$A:$A &lt; $A2448)),0) + IFERROR(sum(FILTER('Fund Investment Data'!$V:$V, 'Fund Investment Data'!$C:$C = $C2448, 'Fund Investment Data'!$A:$A = $A2"&amp;"448, 'Fund Investment Data'!$B:$B &lt;= $B2448)),0)"),0.0)</f>
        <v>0</v>
      </c>
      <c r="T2448" s="32"/>
      <c r="U2448" s="32"/>
      <c r="V2448" s="32">
        <f>IFERROR(__xludf.DUMMYFUNCTION("$D2448 - IFERROR(FILTER($D:$D,$C:$C = $C2448, $A:$A = $A2448, $B:$B = $B2448 - 1),0)"),0.0)</f>
        <v>0</v>
      </c>
      <c r="W2448" s="93">
        <f>IFERROR(__xludf.DUMMYFUNCTION("$E2448 - IFERROR(FILTER($E:$E,$C:$C = $C2448, $A:$A = $A2448, $B:$B = $B2448 - 1),0)"),0.0)</f>
        <v>0</v>
      </c>
      <c r="X2448" s="91">
        <f>IFERROR(__xludf.DUMMYFUNCTION("iFERROR((FILTER('Fund Investment Data'!$Z:$Z, 'Fund Investment Data'!$C:$C = $C2448, 'Fund Investment Data'!$A:$A = $A2448 - 1, 'Fund Investment Data'!$B:$B = 12) + FILTER('Fund Investment Data'!$AB:$AB, 'Fund Investment Data'!$C:$C = $C2448, 'Fund Invest"&amp;"ment Data'!$A:$A = $A2448 - 1, 'Fund Investment Data'!$B:$B = 12)) * (1 + AVERAGE(FILTER('Inflation Data'!$C:$C,'Inflation Data'!$A:$A = ($A2448 - 2)))) * Parameters!$A$4,0)"),0.0)</f>
        <v>0</v>
      </c>
      <c r="Y2448" s="91">
        <f>IFERROR(__xludf.DUMMYFUNCTION("IFERROR((IFERROR(FILTER('Fund Investment Data'!$P:$P,'Fund Investment Data'!$C:$C = $C2448,'Fund Investment Data'!$A:$A = ($A2448 - 2), 'Fund Investment Data'!$B:$B = 12),0) - SUM(FILTER('Fund Investment Data'!$V:$V, 'Fund Investment Data'!$C:$C = $C2448,"&amp;" 'Fund Investment Data'!$A:$A = ($A2448 - 2), 'Fund Investment Data'!$B:$B &gt; 3)))  * Parameters!$B$4 * (1 - Parameters!$A$4),0)"),0.0)</f>
        <v>0</v>
      </c>
      <c r="Z2448" s="91">
        <f t="shared" si="24"/>
        <v>0</v>
      </c>
      <c r="AA2448" s="91">
        <f>IFERROR(__xludf.DUMMYFUNCTION("((IFERROR((SUM(FILTER('Fund Investment Data'!$V:$V, 'Fund Investment Data'!$C:$C = $C2448, 'Fund Investment Data'!$A:$A = $A2448 - 1, 'Fund Investment Data'!$B:$B &gt;= 4, 'Fund Investment Data'!$B:$B &lt;= ($B2448 + 5))) / 12) * ($B2448 - 3) * Parameters!$B$4,"&amp;" 0) + IF($B2448 &gt;= 9, IFERROR(SUM(FILTER('Fund Investment Data'!$V:$V, 'Fund Investment Data'!$C:$C = $C2448, 'Fund Investment Data'!$A:$A = $A2448, 'Fund Investment Data'!$B:$B &lt;= 3)) * Parameters!$B$4, 0),0)))"),0.0)</f>
        <v>0</v>
      </c>
      <c r="AB2448" s="32">
        <f>IFERROR(__xludf.DUMMYFUNCTION("IFERROR(((IFERROR(SUM(FILTER('Fund Investment Data'!$V:$V, 'Fund Investment Data'!$C:$C = $C2448, 'Fund Investment Data'!$A:$A = $A2448 - 2, 'Fund Investment Data'!$B:$B &gt;= 4)) * Parameters!$B$4,0) + IFERROR(SUM(FILTER('Fund Investment Data'!$V:$V, 'Fund "&amp;"Investment Data'!$C:$C = $C2448, 'Fund Investment Data'!$A:$A = $A2448 - 1, 'Fund Investment Data'!$B:$B &lt;= 3)) * Parameters!$B$4,0))),0)"),0.0)</f>
        <v>0</v>
      </c>
      <c r="AC2448" s="32">
        <f>IFERROR(__xludf.DUMMYFUNCTION("IFERROR(FILTER($AF:$AF,$C:$C = $C2448,$A:$A = $A2448 - 1,$B:$B = 12),0)"),0.0)</f>
        <v>0</v>
      </c>
      <c r="AD2448" s="32">
        <f t="shared" si="23"/>
        <v>0</v>
      </c>
      <c r="AE2448" s="32">
        <f t="shared" si="2"/>
        <v>0</v>
      </c>
      <c r="AF2448" s="32"/>
    </row>
    <row r="2449">
      <c r="A2449" s="86"/>
      <c r="B2449" s="87"/>
      <c r="C2449" s="88"/>
      <c r="D2449" s="104"/>
      <c r="E2449" s="104"/>
      <c r="F2449" s="104"/>
      <c r="G2449" s="104"/>
      <c r="H2449" s="104"/>
      <c r="I2449" s="104"/>
      <c r="J2449" s="104"/>
      <c r="K2449" s="32"/>
      <c r="L2449" s="32"/>
      <c r="M2449" s="32"/>
      <c r="N2449" s="32"/>
      <c r="O2449" s="106"/>
      <c r="P2449" s="91">
        <f>IFERROR(__xludf.DUMMYFUNCTION("IFERROR(sum(FILTER($D:$N,$C:$C = $C2449,$A:$A &lt; $A2449,$B:$B = 12)),0) + sum($D2449:$N2449)"),0.0)</f>
        <v>0</v>
      </c>
      <c r="Q2449" s="92">
        <f t="shared" si="1"/>
        <v>0</v>
      </c>
      <c r="R2449" s="91">
        <f t="array" ref="R2449">IFERROR(INDEX('Fund YTD Target Values'!$1:$1000, MATCH($C2449,'Fund YTD Target Values'!$A:$A,0), MATCH($A2449,'Fund YTD Target Values'!$1:$1,0)),0)</f>
        <v>0</v>
      </c>
      <c r="S2449" s="91">
        <f>IFERROR(__xludf.DUMMYFUNCTION("IFERROR(sum(FILTER('Fund Investment Data'!$V:$V, 'Fund Investment Data'!$C:$C = $C2449, 'Fund Investment Data'!$A:$A &lt; $A2449)),0) + IFERROR(sum(FILTER('Fund Investment Data'!$V:$V, 'Fund Investment Data'!$C:$C = $C2449, 'Fund Investment Data'!$A:$A = $A2"&amp;"449, 'Fund Investment Data'!$B:$B &lt;= $B2449)),0)"),0.0)</f>
        <v>0</v>
      </c>
      <c r="T2449" s="32"/>
      <c r="U2449" s="32"/>
      <c r="V2449" s="32">
        <f>IFERROR(__xludf.DUMMYFUNCTION("$D2449 - IFERROR(FILTER($D:$D,$C:$C = $C2449, $A:$A = $A2449, $B:$B = $B2449 - 1),0)"),0.0)</f>
        <v>0</v>
      </c>
      <c r="W2449" s="93">
        <f>IFERROR(__xludf.DUMMYFUNCTION("$E2449 - IFERROR(FILTER($E:$E,$C:$C = $C2449, $A:$A = $A2449, $B:$B = $B2449 - 1),0)"),0.0)</f>
        <v>0</v>
      </c>
      <c r="X2449" s="91">
        <f>IFERROR(__xludf.DUMMYFUNCTION("iFERROR((FILTER('Fund Investment Data'!$Z:$Z, 'Fund Investment Data'!$C:$C = $C2449, 'Fund Investment Data'!$A:$A = $A2449 - 1, 'Fund Investment Data'!$B:$B = 12) + FILTER('Fund Investment Data'!$AB:$AB, 'Fund Investment Data'!$C:$C = $C2449, 'Fund Invest"&amp;"ment Data'!$A:$A = $A2449 - 1, 'Fund Investment Data'!$B:$B = 12)) * (1 + AVERAGE(FILTER('Inflation Data'!$C:$C,'Inflation Data'!$A:$A = ($A2449 - 2)))) * Parameters!$A$4,0)"),0.0)</f>
        <v>0</v>
      </c>
      <c r="Y2449" s="91">
        <f>IFERROR(__xludf.DUMMYFUNCTION("IFERROR((IFERROR(FILTER('Fund Investment Data'!$P:$P,'Fund Investment Data'!$C:$C = $C2449,'Fund Investment Data'!$A:$A = ($A2449 - 2), 'Fund Investment Data'!$B:$B = 12),0) - SUM(FILTER('Fund Investment Data'!$V:$V, 'Fund Investment Data'!$C:$C = $C2449,"&amp;" 'Fund Investment Data'!$A:$A = ($A2449 - 2), 'Fund Investment Data'!$B:$B &gt; 3)))  * Parameters!$B$4 * (1 - Parameters!$A$4),0)"),0.0)</f>
        <v>0</v>
      </c>
      <c r="Z2449" s="91">
        <f t="shared" si="24"/>
        <v>0</v>
      </c>
      <c r="AA2449" s="91">
        <f>IFERROR(__xludf.DUMMYFUNCTION("((IFERROR((SUM(FILTER('Fund Investment Data'!$V:$V, 'Fund Investment Data'!$C:$C = $C2449, 'Fund Investment Data'!$A:$A = $A2449 - 1, 'Fund Investment Data'!$B:$B &gt;= 4, 'Fund Investment Data'!$B:$B &lt;= ($B2449 + 5))) / 12) * ($B2449 - 3) * Parameters!$B$4,"&amp;" 0) + IF($B2449 &gt;= 9, IFERROR(SUM(FILTER('Fund Investment Data'!$V:$V, 'Fund Investment Data'!$C:$C = $C2449, 'Fund Investment Data'!$A:$A = $A2449, 'Fund Investment Data'!$B:$B &lt;= 3)) * Parameters!$B$4, 0),0)))"),0.0)</f>
        <v>0</v>
      </c>
      <c r="AB2449" s="32">
        <f>IFERROR(__xludf.DUMMYFUNCTION("IFERROR(((IFERROR(SUM(FILTER('Fund Investment Data'!$V:$V, 'Fund Investment Data'!$C:$C = $C2449, 'Fund Investment Data'!$A:$A = $A2449 - 2, 'Fund Investment Data'!$B:$B &gt;= 4)) * Parameters!$B$4,0) + IFERROR(SUM(FILTER('Fund Investment Data'!$V:$V, 'Fund "&amp;"Investment Data'!$C:$C = $C2449, 'Fund Investment Data'!$A:$A = $A2449 - 1, 'Fund Investment Data'!$B:$B &lt;= 3)) * Parameters!$B$4,0))),0)"),0.0)</f>
        <v>0</v>
      </c>
      <c r="AC2449" s="32">
        <f>IFERROR(__xludf.DUMMYFUNCTION("IFERROR(FILTER($AF:$AF,$C:$C = $C2449,$A:$A = $A2449 - 1,$B:$B = 12),0)"),0.0)</f>
        <v>0</v>
      </c>
      <c r="AD2449" s="32">
        <f t="shared" si="23"/>
        <v>0</v>
      </c>
      <c r="AE2449" s="32">
        <f t="shared" si="2"/>
        <v>0</v>
      </c>
      <c r="AF2449" s="32"/>
    </row>
    <row r="2450">
      <c r="A2450" s="86"/>
      <c r="B2450" s="87"/>
      <c r="C2450" s="88"/>
      <c r="D2450" s="104"/>
      <c r="E2450" s="104"/>
      <c r="F2450" s="104"/>
      <c r="G2450" s="104"/>
      <c r="H2450" s="104"/>
      <c r="I2450" s="104"/>
      <c r="J2450" s="104"/>
      <c r="K2450" s="32"/>
      <c r="L2450" s="32"/>
      <c r="M2450" s="32"/>
      <c r="N2450" s="32"/>
      <c r="O2450" s="106"/>
      <c r="P2450" s="91">
        <f>IFERROR(__xludf.DUMMYFUNCTION("IFERROR(sum(FILTER($D:$N,$C:$C = $C2450,$A:$A &lt; $A2450,$B:$B = 12)),0) + sum($D2450:$N2450)"),0.0)</f>
        <v>0</v>
      </c>
      <c r="Q2450" s="92">
        <f t="shared" si="1"/>
        <v>0</v>
      </c>
      <c r="R2450" s="91">
        <f t="array" ref="R2450">IFERROR(INDEX('Fund YTD Target Values'!$1:$1000, MATCH($C2450,'Fund YTD Target Values'!$A:$A,0), MATCH($A2450,'Fund YTD Target Values'!$1:$1,0)),0)</f>
        <v>0</v>
      </c>
      <c r="S2450" s="91">
        <f>IFERROR(__xludf.DUMMYFUNCTION("IFERROR(sum(FILTER('Fund Investment Data'!$V:$V, 'Fund Investment Data'!$C:$C = $C2450, 'Fund Investment Data'!$A:$A &lt; $A2450)),0) + IFERROR(sum(FILTER('Fund Investment Data'!$V:$V, 'Fund Investment Data'!$C:$C = $C2450, 'Fund Investment Data'!$A:$A = $A2"&amp;"450, 'Fund Investment Data'!$B:$B &lt;= $B2450)),0)"),0.0)</f>
        <v>0</v>
      </c>
      <c r="T2450" s="32"/>
      <c r="U2450" s="32"/>
      <c r="V2450" s="32">
        <f>IFERROR(__xludf.DUMMYFUNCTION("$D2450 - IFERROR(FILTER($D:$D,$C:$C = $C2450, $A:$A = $A2450, $B:$B = $B2450 - 1),0)"),0.0)</f>
        <v>0</v>
      </c>
      <c r="W2450" s="93">
        <f>IFERROR(__xludf.DUMMYFUNCTION("$E2450 - IFERROR(FILTER($E:$E,$C:$C = $C2450, $A:$A = $A2450, $B:$B = $B2450 - 1),0)"),0.0)</f>
        <v>0</v>
      </c>
      <c r="X2450" s="91">
        <f>IFERROR(__xludf.DUMMYFUNCTION("iFERROR((FILTER('Fund Investment Data'!$Z:$Z, 'Fund Investment Data'!$C:$C = $C2450, 'Fund Investment Data'!$A:$A = $A2450 - 1, 'Fund Investment Data'!$B:$B = 12) + FILTER('Fund Investment Data'!$AB:$AB, 'Fund Investment Data'!$C:$C = $C2450, 'Fund Invest"&amp;"ment Data'!$A:$A = $A2450 - 1, 'Fund Investment Data'!$B:$B = 12)) * (1 + AVERAGE(FILTER('Inflation Data'!$C:$C,'Inflation Data'!$A:$A = ($A2450 - 2)))) * Parameters!$A$4,0)"),0.0)</f>
        <v>0</v>
      </c>
      <c r="Y2450" s="91">
        <f>IFERROR(__xludf.DUMMYFUNCTION("IFERROR((IFERROR(FILTER('Fund Investment Data'!$P:$P,'Fund Investment Data'!$C:$C = $C2450,'Fund Investment Data'!$A:$A = ($A2450 - 2), 'Fund Investment Data'!$B:$B = 12),0) - SUM(FILTER('Fund Investment Data'!$V:$V, 'Fund Investment Data'!$C:$C = $C2450,"&amp;" 'Fund Investment Data'!$A:$A = ($A2450 - 2), 'Fund Investment Data'!$B:$B &gt; 3)))  * Parameters!$B$4 * (1 - Parameters!$A$4),0)"),0.0)</f>
        <v>0</v>
      </c>
      <c r="Z2450" s="91">
        <f t="shared" si="24"/>
        <v>0</v>
      </c>
      <c r="AA2450" s="91">
        <f>IFERROR(__xludf.DUMMYFUNCTION("((IFERROR((SUM(FILTER('Fund Investment Data'!$V:$V, 'Fund Investment Data'!$C:$C = $C2450, 'Fund Investment Data'!$A:$A = $A2450 - 1, 'Fund Investment Data'!$B:$B &gt;= 4, 'Fund Investment Data'!$B:$B &lt;= ($B2450 + 5))) / 12) * ($B2450 - 3) * Parameters!$B$4,"&amp;" 0) + IF($B2450 &gt;= 9, IFERROR(SUM(FILTER('Fund Investment Data'!$V:$V, 'Fund Investment Data'!$C:$C = $C2450, 'Fund Investment Data'!$A:$A = $A2450, 'Fund Investment Data'!$B:$B &lt;= 3)) * Parameters!$B$4, 0),0)))"),0.0)</f>
        <v>0</v>
      </c>
      <c r="AB2450" s="32">
        <f>IFERROR(__xludf.DUMMYFUNCTION("IFERROR(((IFERROR(SUM(FILTER('Fund Investment Data'!$V:$V, 'Fund Investment Data'!$C:$C = $C2450, 'Fund Investment Data'!$A:$A = $A2450 - 2, 'Fund Investment Data'!$B:$B &gt;= 4)) * Parameters!$B$4,0) + IFERROR(SUM(FILTER('Fund Investment Data'!$V:$V, 'Fund "&amp;"Investment Data'!$C:$C = $C2450, 'Fund Investment Data'!$A:$A = $A2450 - 1, 'Fund Investment Data'!$B:$B &lt;= 3)) * Parameters!$B$4,0))),0)"),0.0)</f>
        <v>0</v>
      </c>
      <c r="AC2450" s="32">
        <f>IFERROR(__xludf.DUMMYFUNCTION("IFERROR(FILTER($AF:$AF,$C:$C = $C2450,$A:$A = $A2450 - 1,$B:$B = 12),0)"),0.0)</f>
        <v>0</v>
      </c>
      <c r="AD2450" s="32">
        <f t="shared" si="23"/>
        <v>0</v>
      </c>
      <c r="AE2450" s="32">
        <f t="shared" si="2"/>
        <v>0</v>
      </c>
      <c r="AF2450" s="32"/>
    </row>
    <row r="2451">
      <c r="A2451" s="86"/>
      <c r="B2451" s="87"/>
      <c r="C2451" s="88"/>
      <c r="D2451" s="104"/>
      <c r="E2451" s="104"/>
      <c r="F2451" s="104"/>
      <c r="G2451" s="104"/>
      <c r="H2451" s="104"/>
      <c r="I2451" s="104"/>
      <c r="J2451" s="104"/>
      <c r="K2451" s="32"/>
      <c r="L2451" s="32"/>
      <c r="M2451" s="32"/>
      <c r="N2451" s="32"/>
      <c r="O2451" s="106"/>
      <c r="P2451" s="91">
        <f>IFERROR(__xludf.DUMMYFUNCTION("IFERROR(sum(FILTER($D:$N,$C:$C = $C2451,$A:$A &lt; $A2451,$B:$B = 12)),0) + sum($D2451:$N2451)"),0.0)</f>
        <v>0</v>
      </c>
      <c r="Q2451" s="92">
        <f t="shared" si="1"/>
        <v>0</v>
      </c>
      <c r="R2451" s="91">
        <f t="array" ref="R2451">IFERROR(INDEX('Fund YTD Target Values'!$1:$1000, MATCH($C2451,'Fund YTD Target Values'!$A:$A,0), MATCH($A2451,'Fund YTD Target Values'!$1:$1,0)),0)</f>
        <v>0</v>
      </c>
      <c r="S2451" s="91">
        <f>IFERROR(__xludf.DUMMYFUNCTION("IFERROR(sum(FILTER('Fund Investment Data'!$V:$V, 'Fund Investment Data'!$C:$C = $C2451, 'Fund Investment Data'!$A:$A &lt; $A2451)),0) + IFERROR(sum(FILTER('Fund Investment Data'!$V:$V, 'Fund Investment Data'!$C:$C = $C2451, 'Fund Investment Data'!$A:$A = $A2"&amp;"451, 'Fund Investment Data'!$B:$B &lt;= $B2451)),0)"),0.0)</f>
        <v>0</v>
      </c>
      <c r="T2451" s="32"/>
      <c r="U2451" s="32"/>
      <c r="V2451" s="32">
        <f>IFERROR(__xludf.DUMMYFUNCTION("$D2451 - IFERROR(FILTER($D:$D,$C:$C = $C2451, $A:$A = $A2451, $B:$B = $B2451 - 1),0)"),0.0)</f>
        <v>0</v>
      </c>
      <c r="W2451" s="93">
        <f>IFERROR(__xludf.DUMMYFUNCTION("$E2451 - IFERROR(FILTER($E:$E,$C:$C = $C2451, $A:$A = $A2451, $B:$B = $B2451 - 1),0)"),0.0)</f>
        <v>0</v>
      </c>
      <c r="X2451" s="91">
        <f>IFERROR(__xludf.DUMMYFUNCTION("iFERROR((FILTER('Fund Investment Data'!$Z:$Z, 'Fund Investment Data'!$C:$C = $C2451, 'Fund Investment Data'!$A:$A = $A2451 - 1, 'Fund Investment Data'!$B:$B = 12) + FILTER('Fund Investment Data'!$AB:$AB, 'Fund Investment Data'!$C:$C = $C2451, 'Fund Invest"&amp;"ment Data'!$A:$A = $A2451 - 1, 'Fund Investment Data'!$B:$B = 12)) * (1 + AVERAGE(FILTER('Inflation Data'!$C:$C,'Inflation Data'!$A:$A = ($A2451 - 2)))) * Parameters!$A$4,0)"),0.0)</f>
        <v>0</v>
      </c>
      <c r="Y2451" s="91">
        <f>IFERROR(__xludf.DUMMYFUNCTION("IFERROR((IFERROR(FILTER('Fund Investment Data'!$P:$P,'Fund Investment Data'!$C:$C = $C2451,'Fund Investment Data'!$A:$A = ($A2451 - 2), 'Fund Investment Data'!$B:$B = 12),0) - SUM(FILTER('Fund Investment Data'!$V:$V, 'Fund Investment Data'!$C:$C = $C2451,"&amp;" 'Fund Investment Data'!$A:$A = ($A2451 - 2), 'Fund Investment Data'!$B:$B &gt; 3)))  * Parameters!$B$4 * (1 - Parameters!$A$4),0)"),0.0)</f>
        <v>0</v>
      </c>
      <c r="Z2451" s="91">
        <f t="shared" si="24"/>
        <v>0</v>
      </c>
      <c r="AA2451" s="91">
        <f>IFERROR(__xludf.DUMMYFUNCTION("((IFERROR((SUM(FILTER('Fund Investment Data'!$V:$V, 'Fund Investment Data'!$C:$C = $C2451, 'Fund Investment Data'!$A:$A = $A2451 - 1, 'Fund Investment Data'!$B:$B &gt;= 4, 'Fund Investment Data'!$B:$B &lt;= ($B2451 + 5))) / 12) * ($B2451 - 3) * Parameters!$B$4,"&amp;" 0) + IF($B2451 &gt;= 9, IFERROR(SUM(FILTER('Fund Investment Data'!$V:$V, 'Fund Investment Data'!$C:$C = $C2451, 'Fund Investment Data'!$A:$A = $A2451, 'Fund Investment Data'!$B:$B &lt;= 3)) * Parameters!$B$4, 0),0)))"),0.0)</f>
        <v>0</v>
      </c>
      <c r="AB2451" s="32">
        <f>IFERROR(__xludf.DUMMYFUNCTION("IFERROR(((IFERROR(SUM(FILTER('Fund Investment Data'!$V:$V, 'Fund Investment Data'!$C:$C = $C2451, 'Fund Investment Data'!$A:$A = $A2451 - 2, 'Fund Investment Data'!$B:$B &gt;= 4)) * Parameters!$B$4,0) + IFERROR(SUM(FILTER('Fund Investment Data'!$V:$V, 'Fund "&amp;"Investment Data'!$C:$C = $C2451, 'Fund Investment Data'!$A:$A = $A2451 - 1, 'Fund Investment Data'!$B:$B &lt;= 3)) * Parameters!$B$4,0))),0)"),0.0)</f>
        <v>0</v>
      </c>
      <c r="AC2451" s="32">
        <f>IFERROR(__xludf.DUMMYFUNCTION("IFERROR(FILTER($AF:$AF,$C:$C = $C2451,$A:$A = $A2451 - 1,$B:$B = 12),0)"),0.0)</f>
        <v>0</v>
      </c>
      <c r="AD2451" s="32">
        <f t="shared" si="23"/>
        <v>0</v>
      </c>
      <c r="AE2451" s="32">
        <f t="shared" si="2"/>
        <v>0</v>
      </c>
      <c r="AF2451" s="32"/>
    </row>
    <row r="2452">
      <c r="A2452" s="86"/>
      <c r="B2452" s="87"/>
      <c r="C2452" s="88"/>
      <c r="D2452" s="104"/>
      <c r="E2452" s="104"/>
      <c r="F2452" s="104"/>
      <c r="G2452" s="104"/>
      <c r="H2452" s="104"/>
      <c r="I2452" s="104"/>
      <c r="J2452" s="104"/>
      <c r="K2452" s="32"/>
      <c r="L2452" s="32"/>
      <c r="M2452" s="32"/>
      <c r="N2452" s="32"/>
      <c r="O2452" s="106"/>
      <c r="P2452" s="91">
        <f>IFERROR(__xludf.DUMMYFUNCTION("IFERROR(sum(FILTER($D:$N,$C:$C = $C2452,$A:$A &lt; $A2452,$B:$B = 12)),0) + sum($D2452:$N2452)"),0.0)</f>
        <v>0</v>
      </c>
      <c r="Q2452" s="92">
        <f t="shared" si="1"/>
        <v>0</v>
      </c>
      <c r="R2452" s="91">
        <f t="array" ref="R2452">IFERROR(INDEX('Fund YTD Target Values'!$1:$1000, MATCH($C2452,'Fund YTD Target Values'!$A:$A,0), MATCH($A2452,'Fund YTD Target Values'!$1:$1,0)),0)</f>
        <v>0</v>
      </c>
      <c r="S2452" s="91">
        <f>IFERROR(__xludf.DUMMYFUNCTION("IFERROR(sum(FILTER('Fund Investment Data'!$V:$V, 'Fund Investment Data'!$C:$C = $C2452, 'Fund Investment Data'!$A:$A &lt; $A2452)),0) + IFERROR(sum(FILTER('Fund Investment Data'!$V:$V, 'Fund Investment Data'!$C:$C = $C2452, 'Fund Investment Data'!$A:$A = $A2"&amp;"452, 'Fund Investment Data'!$B:$B &lt;= $B2452)),0)"),0.0)</f>
        <v>0</v>
      </c>
      <c r="T2452" s="32"/>
      <c r="U2452" s="32"/>
      <c r="V2452" s="32">
        <f>IFERROR(__xludf.DUMMYFUNCTION("$D2452 - IFERROR(FILTER($D:$D,$C:$C = $C2452, $A:$A = $A2452, $B:$B = $B2452 - 1),0)"),0.0)</f>
        <v>0</v>
      </c>
      <c r="W2452" s="93">
        <f>IFERROR(__xludf.DUMMYFUNCTION("$E2452 - IFERROR(FILTER($E:$E,$C:$C = $C2452, $A:$A = $A2452, $B:$B = $B2452 - 1),0)"),0.0)</f>
        <v>0</v>
      </c>
      <c r="X2452" s="91">
        <f>IFERROR(__xludf.DUMMYFUNCTION("iFERROR((FILTER('Fund Investment Data'!$Z:$Z, 'Fund Investment Data'!$C:$C = $C2452, 'Fund Investment Data'!$A:$A = $A2452 - 1, 'Fund Investment Data'!$B:$B = 12) + FILTER('Fund Investment Data'!$AB:$AB, 'Fund Investment Data'!$C:$C = $C2452, 'Fund Invest"&amp;"ment Data'!$A:$A = $A2452 - 1, 'Fund Investment Data'!$B:$B = 12)) * (1 + AVERAGE(FILTER('Inflation Data'!$C:$C,'Inflation Data'!$A:$A = ($A2452 - 2)))) * Parameters!$A$4,0)"),0.0)</f>
        <v>0</v>
      </c>
      <c r="Y2452" s="91">
        <f>IFERROR(__xludf.DUMMYFUNCTION("IFERROR((IFERROR(FILTER('Fund Investment Data'!$P:$P,'Fund Investment Data'!$C:$C = $C2452,'Fund Investment Data'!$A:$A = ($A2452 - 2), 'Fund Investment Data'!$B:$B = 12),0) - SUM(FILTER('Fund Investment Data'!$V:$V, 'Fund Investment Data'!$C:$C = $C2452,"&amp;" 'Fund Investment Data'!$A:$A = ($A2452 - 2), 'Fund Investment Data'!$B:$B &gt; 3)))  * Parameters!$B$4 * (1 - Parameters!$A$4),0)"),0.0)</f>
        <v>0</v>
      </c>
      <c r="Z2452" s="91">
        <f t="shared" si="24"/>
        <v>0</v>
      </c>
      <c r="AA2452" s="91">
        <f>IFERROR(__xludf.DUMMYFUNCTION("((IFERROR((SUM(FILTER('Fund Investment Data'!$V:$V, 'Fund Investment Data'!$C:$C = $C2452, 'Fund Investment Data'!$A:$A = $A2452 - 1, 'Fund Investment Data'!$B:$B &gt;= 4, 'Fund Investment Data'!$B:$B &lt;= ($B2452 + 5))) / 12) * ($B2452 - 3) * Parameters!$B$4,"&amp;" 0) + IF($B2452 &gt;= 9, IFERROR(SUM(FILTER('Fund Investment Data'!$V:$V, 'Fund Investment Data'!$C:$C = $C2452, 'Fund Investment Data'!$A:$A = $A2452, 'Fund Investment Data'!$B:$B &lt;= 3)) * Parameters!$B$4, 0),0)))"),0.0)</f>
        <v>0</v>
      </c>
      <c r="AB2452" s="32">
        <f>IFERROR(__xludf.DUMMYFUNCTION("IFERROR(((IFERROR(SUM(FILTER('Fund Investment Data'!$V:$V, 'Fund Investment Data'!$C:$C = $C2452, 'Fund Investment Data'!$A:$A = $A2452 - 2, 'Fund Investment Data'!$B:$B &gt;= 4)) * Parameters!$B$4,0) + IFERROR(SUM(FILTER('Fund Investment Data'!$V:$V, 'Fund "&amp;"Investment Data'!$C:$C = $C2452, 'Fund Investment Data'!$A:$A = $A2452 - 1, 'Fund Investment Data'!$B:$B &lt;= 3)) * Parameters!$B$4,0))),0)"),0.0)</f>
        <v>0</v>
      </c>
      <c r="AC2452" s="32">
        <f>IFERROR(__xludf.DUMMYFUNCTION("IFERROR(FILTER($AF:$AF,$C:$C = $C2452,$A:$A = $A2452 - 1,$B:$B = 12),0)"),0.0)</f>
        <v>0</v>
      </c>
      <c r="AD2452" s="32">
        <f t="shared" si="23"/>
        <v>0</v>
      </c>
      <c r="AE2452" s="32">
        <f t="shared" si="2"/>
        <v>0</v>
      </c>
      <c r="AF2452" s="32"/>
    </row>
    <row r="2453">
      <c r="A2453" s="86"/>
      <c r="B2453" s="87"/>
      <c r="C2453" s="88"/>
      <c r="D2453" s="104"/>
      <c r="E2453" s="104"/>
      <c r="F2453" s="104"/>
      <c r="G2453" s="104"/>
      <c r="H2453" s="104"/>
      <c r="I2453" s="104"/>
      <c r="J2453" s="104"/>
      <c r="K2453" s="32"/>
      <c r="L2453" s="32"/>
      <c r="M2453" s="32"/>
      <c r="N2453" s="32"/>
      <c r="O2453" s="106"/>
      <c r="P2453" s="91">
        <f>IFERROR(__xludf.DUMMYFUNCTION("IFERROR(sum(FILTER($D:$N,$C:$C = $C2453,$A:$A &lt; $A2453,$B:$B = 12)),0) + sum($D2453:$N2453)"),0.0)</f>
        <v>0</v>
      </c>
      <c r="Q2453" s="92">
        <f t="shared" si="1"/>
        <v>0</v>
      </c>
      <c r="R2453" s="91">
        <f t="array" ref="R2453">IFERROR(INDEX('Fund YTD Target Values'!$1:$1000, MATCH($C2453,'Fund YTD Target Values'!$A:$A,0), MATCH($A2453,'Fund YTD Target Values'!$1:$1,0)),0)</f>
        <v>0</v>
      </c>
      <c r="S2453" s="91">
        <f>IFERROR(__xludf.DUMMYFUNCTION("IFERROR(sum(FILTER('Fund Investment Data'!$V:$V, 'Fund Investment Data'!$C:$C = $C2453, 'Fund Investment Data'!$A:$A &lt; $A2453)),0) + IFERROR(sum(FILTER('Fund Investment Data'!$V:$V, 'Fund Investment Data'!$C:$C = $C2453, 'Fund Investment Data'!$A:$A = $A2"&amp;"453, 'Fund Investment Data'!$B:$B &lt;= $B2453)),0)"),0.0)</f>
        <v>0</v>
      </c>
      <c r="T2453" s="32"/>
      <c r="U2453" s="32"/>
      <c r="V2453" s="32">
        <f>IFERROR(__xludf.DUMMYFUNCTION("$D2453 - IFERROR(FILTER($D:$D,$C:$C = $C2453, $A:$A = $A2453, $B:$B = $B2453 - 1),0)"),0.0)</f>
        <v>0</v>
      </c>
      <c r="W2453" s="93">
        <f>IFERROR(__xludf.DUMMYFUNCTION("$E2453 - IFERROR(FILTER($E:$E,$C:$C = $C2453, $A:$A = $A2453, $B:$B = $B2453 - 1),0)"),0.0)</f>
        <v>0</v>
      </c>
      <c r="X2453" s="91">
        <f>IFERROR(__xludf.DUMMYFUNCTION("iFERROR((FILTER('Fund Investment Data'!$Z:$Z, 'Fund Investment Data'!$C:$C = $C2453, 'Fund Investment Data'!$A:$A = $A2453 - 1, 'Fund Investment Data'!$B:$B = 12) + FILTER('Fund Investment Data'!$AB:$AB, 'Fund Investment Data'!$C:$C = $C2453, 'Fund Invest"&amp;"ment Data'!$A:$A = $A2453 - 1, 'Fund Investment Data'!$B:$B = 12)) * (1 + AVERAGE(FILTER('Inflation Data'!$C:$C,'Inflation Data'!$A:$A = ($A2453 - 2)))) * Parameters!$A$4,0)"),0.0)</f>
        <v>0</v>
      </c>
      <c r="Y2453" s="91">
        <f>IFERROR(__xludf.DUMMYFUNCTION("IFERROR((IFERROR(FILTER('Fund Investment Data'!$P:$P,'Fund Investment Data'!$C:$C = $C2453,'Fund Investment Data'!$A:$A = ($A2453 - 2), 'Fund Investment Data'!$B:$B = 12),0) - SUM(FILTER('Fund Investment Data'!$V:$V, 'Fund Investment Data'!$C:$C = $C2453,"&amp;" 'Fund Investment Data'!$A:$A = ($A2453 - 2), 'Fund Investment Data'!$B:$B &gt; 3)))  * Parameters!$B$4 * (1 - Parameters!$A$4),0)"),0.0)</f>
        <v>0</v>
      </c>
      <c r="Z2453" s="91">
        <f t="shared" si="24"/>
        <v>0</v>
      </c>
      <c r="AA2453" s="91">
        <f>IFERROR(__xludf.DUMMYFUNCTION("((IFERROR((SUM(FILTER('Fund Investment Data'!$V:$V, 'Fund Investment Data'!$C:$C = $C2453, 'Fund Investment Data'!$A:$A = $A2453 - 1, 'Fund Investment Data'!$B:$B &gt;= 4, 'Fund Investment Data'!$B:$B &lt;= ($B2453 + 5))) / 12) * ($B2453 - 3) * Parameters!$B$4,"&amp;" 0) + IF($B2453 &gt;= 9, IFERROR(SUM(FILTER('Fund Investment Data'!$V:$V, 'Fund Investment Data'!$C:$C = $C2453, 'Fund Investment Data'!$A:$A = $A2453, 'Fund Investment Data'!$B:$B &lt;= 3)) * Parameters!$B$4, 0),0)))"),0.0)</f>
        <v>0</v>
      </c>
      <c r="AB2453" s="32">
        <f>IFERROR(__xludf.DUMMYFUNCTION("IFERROR(((IFERROR(SUM(FILTER('Fund Investment Data'!$V:$V, 'Fund Investment Data'!$C:$C = $C2453, 'Fund Investment Data'!$A:$A = $A2453 - 2, 'Fund Investment Data'!$B:$B &gt;= 4)) * Parameters!$B$4,0) + IFERROR(SUM(FILTER('Fund Investment Data'!$V:$V, 'Fund "&amp;"Investment Data'!$C:$C = $C2453, 'Fund Investment Data'!$A:$A = $A2453 - 1, 'Fund Investment Data'!$B:$B &lt;= 3)) * Parameters!$B$4,0))),0)"),0.0)</f>
        <v>0</v>
      </c>
      <c r="AC2453" s="32">
        <f>IFERROR(__xludf.DUMMYFUNCTION("IFERROR(FILTER($AF:$AF,$C:$C = $C2453,$A:$A = $A2453 - 1,$B:$B = 12),0)"),0.0)</f>
        <v>0</v>
      </c>
      <c r="AD2453" s="32">
        <f t="shared" si="23"/>
        <v>0</v>
      </c>
      <c r="AE2453" s="32">
        <f t="shared" si="2"/>
        <v>0</v>
      </c>
      <c r="AF2453" s="32"/>
    </row>
    <row r="2454">
      <c r="A2454" s="86"/>
      <c r="B2454" s="87"/>
      <c r="C2454" s="88"/>
      <c r="D2454" s="104"/>
      <c r="E2454" s="104"/>
      <c r="F2454" s="104"/>
      <c r="G2454" s="104"/>
      <c r="H2454" s="104"/>
      <c r="I2454" s="104"/>
      <c r="J2454" s="104"/>
      <c r="K2454" s="32"/>
      <c r="L2454" s="32"/>
      <c r="M2454" s="32"/>
      <c r="N2454" s="32"/>
      <c r="O2454" s="106"/>
      <c r="P2454" s="91">
        <f>IFERROR(__xludf.DUMMYFUNCTION("IFERROR(sum(FILTER($D:$N,$C:$C = $C2454,$A:$A &lt; $A2454,$B:$B = 12)),0) + sum($D2454:$N2454)"),0.0)</f>
        <v>0</v>
      </c>
      <c r="Q2454" s="92">
        <f t="shared" si="1"/>
        <v>0</v>
      </c>
      <c r="R2454" s="91">
        <f t="array" ref="R2454">IFERROR(INDEX('Fund YTD Target Values'!$1:$1000, MATCH($C2454,'Fund YTD Target Values'!$A:$A,0), MATCH($A2454,'Fund YTD Target Values'!$1:$1,0)),0)</f>
        <v>0</v>
      </c>
      <c r="S2454" s="91">
        <f>IFERROR(__xludf.DUMMYFUNCTION("IFERROR(sum(FILTER('Fund Investment Data'!$V:$V, 'Fund Investment Data'!$C:$C = $C2454, 'Fund Investment Data'!$A:$A &lt; $A2454)),0) + IFERROR(sum(FILTER('Fund Investment Data'!$V:$V, 'Fund Investment Data'!$C:$C = $C2454, 'Fund Investment Data'!$A:$A = $A2"&amp;"454, 'Fund Investment Data'!$B:$B &lt;= $B2454)),0)"),0.0)</f>
        <v>0</v>
      </c>
      <c r="T2454" s="32"/>
      <c r="U2454" s="32"/>
      <c r="V2454" s="32">
        <f>IFERROR(__xludf.DUMMYFUNCTION("$D2454 - IFERROR(FILTER($D:$D,$C:$C = $C2454, $A:$A = $A2454, $B:$B = $B2454 - 1),0)"),0.0)</f>
        <v>0</v>
      </c>
      <c r="W2454" s="93">
        <f>IFERROR(__xludf.DUMMYFUNCTION("$E2454 - IFERROR(FILTER($E:$E,$C:$C = $C2454, $A:$A = $A2454, $B:$B = $B2454 - 1),0)"),0.0)</f>
        <v>0</v>
      </c>
      <c r="X2454" s="91">
        <f>IFERROR(__xludf.DUMMYFUNCTION("iFERROR((FILTER('Fund Investment Data'!$Z:$Z, 'Fund Investment Data'!$C:$C = $C2454, 'Fund Investment Data'!$A:$A = $A2454 - 1, 'Fund Investment Data'!$B:$B = 12) + FILTER('Fund Investment Data'!$AB:$AB, 'Fund Investment Data'!$C:$C = $C2454, 'Fund Invest"&amp;"ment Data'!$A:$A = $A2454 - 1, 'Fund Investment Data'!$B:$B = 12)) * (1 + AVERAGE(FILTER('Inflation Data'!$C:$C,'Inflation Data'!$A:$A = ($A2454 - 2)))) * Parameters!$A$4,0)"),0.0)</f>
        <v>0</v>
      </c>
      <c r="Y2454" s="91">
        <f>IFERROR(__xludf.DUMMYFUNCTION("IFERROR((IFERROR(FILTER('Fund Investment Data'!$P:$P,'Fund Investment Data'!$C:$C = $C2454,'Fund Investment Data'!$A:$A = ($A2454 - 2), 'Fund Investment Data'!$B:$B = 12),0) - SUM(FILTER('Fund Investment Data'!$V:$V, 'Fund Investment Data'!$C:$C = $C2454,"&amp;" 'Fund Investment Data'!$A:$A = ($A2454 - 2), 'Fund Investment Data'!$B:$B &gt; 3)))  * Parameters!$B$4 * (1 - Parameters!$A$4),0)"),0.0)</f>
        <v>0</v>
      </c>
      <c r="Z2454" s="91">
        <f t="shared" si="24"/>
        <v>0</v>
      </c>
      <c r="AA2454" s="91">
        <f>IFERROR(__xludf.DUMMYFUNCTION("((IFERROR((SUM(FILTER('Fund Investment Data'!$V:$V, 'Fund Investment Data'!$C:$C = $C2454, 'Fund Investment Data'!$A:$A = $A2454 - 1, 'Fund Investment Data'!$B:$B &gt;= 4, 'Fund Investment Data'!$B:$B &lt;= ($B2454 + 5))) / 12) * ($B2454 - 3) * Parameters!$B$4,"&amp;" 0) + IF($B2454 &gt;= 9, IFERROR(SUM(FILTER('Fund Investment Data'!$V:$V, 'Fund Investment Data'!$C:$C = $C2454, 'Fund Investment Data'!$A:$A = $A2454, 'Fund Investment Data'!$B:$B &lt;= 3)) * Parameters!$B$4, 0),0)))"),0.0)</f>
        <v>0</v>
      </c>
      <c r="AB2454" s="32">
        <f>IFERROR(__xludf.DUMMYFUNCTION("IFERROR(((IFERROR(SUM(FILTER('Fund Investment Data'!$V:$V, 'Fund Investment Data'!$C:$C = $C2454, 'Fund Investment Data'!$A:$A = $A2454 - 2, 'Fund Investment Data'!$B:$B &gt;= 4)) * Parameters!$B$4,0) + IFERROR(SUM(FILTER('Fund Investment Data'!$V:$V, 'Fund "&amp;"Investment Data'!$C:$C = $C2454, 'Fund Investment Data'!$A:$A = $A2454 - 1, 'Fund Investment Data'!$B:$B &lt;= 3)) * Parameters!$B$4,0))),0)"),0.0)</f>
        <v>0</v>
      </c>
      <c r="AC2454" s="32">
        <f>IFERROR(__xludf.DUMMYFUNCTION("IFERROR(FILTER($AF:$AF,$C:$C = $C2454,$A:$A = $A2454 - 1,$B:$B = 12),0)"),0.0)</f>
        <v>0</v>
      </c>
      <c r="AD2454" s="32">
        <f t="shared" si="23"/>
        <v>0</v>
      </c>
      <c r="AE2454" s="32">
        <f t="shared" si="2"/>
        <v>0</v>
      </c>
      <c r="AF2454" s="32"/>
    </row>
    <row r="2455">
      <c r="A2455" s="86"/>
      <c r="B2455" s="87"/>
      <c r="C2455" s="88"/>
      <c r="D2455" s="104"/>
      <c r="E2455" s="104"/>
      <c r="F2455" s="104"/>
      <c r="G2455" s="104"/>
      <c r="H2455" s="104"/>
      <c r="I2455" s="104"/>
      <c r="J2455" s="104"/>
      <c r="K2455" s="32"/>
      <c r="L2455" s="32"/>
      <c r="M2455" s="32"/>
      <c r="N2455" s="32"/>
      <c r="O2455" s="106"/>
      <c r="P2455" s="91">
        <f>IFERROR(__xludf.DUMMYFUNCTION("IFERROR(sum(FILTER($D:$N,$C:$C = $C2455,$A:$A &lt; $A2455,$B:$B = 12)),0) + sum($D2455:$N2455)"),0.0)</f>
        <v>0</v>
      </c>
      <c r="Q2455" s="92">
        <f t="shared" si="1"/>
        <v>0</v>
      </c>
      <c r="R2455" s="91">
        <f t="array" ref="R2455">IFERROR(INDEX('Fund YTD Target Values'!$1:$1000, MATCH($C2455,'Fund YTD Target Values'!$A:$A,0), MATCH($A2455,'Fund YTD Target Values'!$1:$1,0)),0)</f>
        <v>0</v>
      </c>
      <c r="S2455" s="91">
        <f>IFERROR(__xludf.DUMMYFUNCTION("IFERROR(sum(FILTER('Fund Investment Data'!$V:$V, 'Fund Investment Data'!$C:$C = $C2455, 'Fund Investment Data'!$A:$A &lt; $A2455)),0) + IFERROR(sum(FILTER('Fund Investment Data'!$V:$V, 'Fund Investment Data'!$C:$C = $C2455, 'Fund Investment Data'!$A:$A = $A2"&amp;"455, 'Fund Investment Data'!$B:$B &lt;= $B2455)),0)"),0.0)</f>
        <v>0</v>
      </c>
      <c r="T2455" s="32"/>
      <c r="U2455" s="32"/>
      <c r="V2455" s="32">
        <f>IFERROR(__xludf.DUMMYFUNCTION("$D2455 - IFERROR(FILTER($D:$D,$C:$C = $C2455, $A:$A = $A2455, $B:$B = $B2455 - 1),0)"),0.0)</f>
        <v>0</v>
      </c>
      <c r="W2455" s="93">
        <f>IFERROR(__xludf.DUMMYFUNCTION("$E2455 - IFERROR(FILTER($E:$E,$C:$C = $C2455, $A:$A = $A2455, $B:$B = $B2455 - 1),0)"),0.0)</f>
        <v>0</v>
      </c>
      <c r="X2455" s="91">
        <f>IFERROR(__xludf.DUMMYFUNCTION("iFERROR((FILTER('Fund Investment Data'!$Z:$Z, 'Fund Investment Data'!$C:$C = $C2455, 'Fund Investment Data'!$A:$A = $A2455 - 1, 'Fund Investment Data'!$B:$B = 12) + FILTER('Fund Investment Data'!$AB:$AB, 'Fund Investment Data'!$C:$C = $C2455, 'Fund Invest"&amp;"ment Data'!$A:$A = $A2455 - 1, 'Fund Investment Data'!$B:$B = 12)) * (1 + AVERAGE(FILTER('Inflation Data'!$C:$C,'Inflation Data'!$A:$A = ($A2455 - 2)))) * Parameters!$A$4,0)"),0.0)</f>
        <v>0</v>
      </c>
      <c r="Y2455" s="91">
        <f>IFERROR(__xludf.DUMMYFUNCTION("IFERROR((IFERROR(FILTER('Fund Investment Data'!$P:$P,'Fund Investment Data'!$C:$C = $C2455,'Fund Investment Data'!$A:$A = ($A2455 - 2), 'Fund Investment Data'!$B:$B = 12),0) - SUM(FILTER('Fund Investment Data'!$V:$V, 'Fund Investment Data'!$C:$C = $C2455,"&amp;" 'Fund Investment Data'!$A:$A = ($A2455 - 2), 'Fund Investment Data'!$B:$B &gt; 3)))  * Parameters!$B$4 * (1 - Parameters!$A$4),0)"),0.0)</f>
        <v>0</v>
      </c>
      <c r="Z2455" s="91">
        <f t="shared" si="24"/>
        <v>0</v>
      </c>
      <c r="AA2455" s="91">
        <f>IFERROR(__xludf.DUMMYFUNCTION("((IFERROR((SUM(FILTER('Fund Investment Data'!$V:$V, 'Fund Investment Data'!$C:$C = $C2455, 'Fund Investment Data'!$A:$A = $A2455 - 1, 'Fund Investment Data'!$B:$B &gt;= 4, 'Fund Investment Data'!$B:$B &lt;= ($B2455 + 5))) / 12) * ($B2455 - 3) * Parameters!$B$4,"&amp;" 0) + IF($B2455 &gt;= 9, IFERROR(SUM(FILTER('Fund Investment Data'!$V:$V, 'Fund Investment Data'!$C:$C = $C2455, 'Fund Investment Data'!$A:$A = $A2455, 'Fund Investment Data'!$B:$B &lt;= 3)) * Parameters!$B$4, 0),0)))"),0.0)</f>
        <v>0</v>
      </c>
      <c r="AB2455" s="32">
        <f>IFERROR(__xludf.DUMMYFUNCTION("IFERROR(((IFERROR(SUM(FILTER('Fund Investment Data'!$V:$V, 'Fund Investment Data'!$C:$C = $C2455, 'Fund Investment Data'!$A:$A = $A2455 - 2, 'Fund Investment Data'!$B:$B &gt;= 4)) * Parameters!$B$4,0) + IFERROR(SUM(FILTER('Fund Investment Data'!$V:$V, 'Fund "&amp;"Investment Data'!$C:$C = $C2455, 'Fund Investment Data'!$A:$A = $A2455 - 1, 'Fund Investment Data'!$B:$B &lt;= 3)) * Parameters!$B$4,0))),0)"),0.0)</f>
        <v>0</v>
      </c>
      <c r="AC2455" s="32">
        <f>IFERROR(__xludf.DUMMYFUNCTION("IFERROR(FILTER($AF:$AF,$C:$C = $C2455,$A:$A = $A2455 - 1,$B:$B = 12),0)"),0.0)</f>
        <v>0</v>
      </c>
      <c r="AD2455" s="32">
        <f t="shared" si="23"/>
        <v>0</v>
      </c>
      <c r="AE2455" s="32">
        <f t="shared" si="2"/>
        <v>0</v>
      </c>
      <c r="AF2455" s="32"/>
    </row>
    <row r="2456">
      <c r="A2456" s="86"/>
      <c r="B2456" s="87"/>
      <c r="C2456" s="88"/>
      <c r="D2456" s="104"/>
      <c r="E2456" s="104"/>
      <c r="F2456" s="104"/>
      <c r="G2456" s="104"/>
      <c r="H2456" s="104"/>
      <c r="I2456" s="104"/>
      <c r="J2456" s="104"/>
      <c r="K2456" s="32"/>
      <c r="L2456" s="32"/>
      <c r="M2456" s="32"/>
      <c r="N2456" s="32"/>
      <c r="O2456" s="106"/>
      <c r="P2456" s="91">
        <f>IFERROR(__xludf.DUMMYFUNCTION("IFERROR(sum(FILTER($D:$N,$C:$C = $C2456,$A:$A &lt; $A2456,$B:$B = 12)),0) + sum($D2456:$N2456)"),0.0)</f>
        <v>0</v>
      </c>
      <c r="Q2456" s="92">
        <f t="shared" si="1"/>
        <v>0</v>
      </c>
      <c r="R2456" s="91">
        <f t="array" ref="R2456">IFERROR(INDEX('Fund YTD Target Values'!$1:$1000, MATCH($C2456,'Fund YTD Target Values'!$A:$A,0), MATCH($A2456,'Fund YTD Target Values'!$1:$1,0)),0)</f>
        <v>0</v>
      </c>
      <c r="S2456" s="91">
        <f>IFERROR(__xludf.DUMMYFUNCTION("IFERROR(sum(FILTER('Fund Investment Data'!$V:$V, 'Fund Investment Data'!$C:$C = $C2456, 'Fund Investment Data'!$A:$A &lt; $A2456)),0) + IFERROR(sum(FILTER('Fund Investment Data'!$V:$V, 'Fund Investment Data'!$C:$C = $C2456, 'Fund Investment Data'!$A:$A = $A2"&amp;"456, 'Fund Investment Data'!$B:$B &lt;= $B2456)),0)"),0.0)</f>
        <v>0</v>
      </c>
      <c r="T2456" s="32"/>
      <c r="U2456" s="32"/>
      <c r="V2456" s="32">
        <f>IFERROR(__xludf.DUMMYFUNCTION("$D2456 - IFERROR(FILTER($D:$D,$C:$C = $C2456, $A:$A = $A2456, $B:$B = $B2456 - 1),0)"),0.0)</f>
        <v>0</v>
      </c>
      <c r="W2456" s="93">
        <f>IFERROR(__xludf.DUMMYFUNCTION("$E2456 - IFERROR(FILTER($E:$E,$C:$C = $C2456, $A:$A = $A2456, $B:$B = $B2456 - 1),0)"),0.0)</f>
        <v>0</v>
      </c>
      <c r="X2456" s="91">
        <f>IFERROR(__xludf.DUMMYFUNCTION("iFERROR((FILTER('Fund Investment Data'!$Z:$Z, 'Fund Investment Data'!$C:$C = $C2456, 'Fund Investment Data'!$A:$A = $A2456 - 1, 'Fund Investment Data'!$B:$B = 12) + FILTER('Fund Investment Data'!$AB:$AB, 'Fund Investment Data'!$C:$C = $C2456, 'Fund Invest"&amp;"ment Data'!$A:$A = $A2456 - 1, 'Fund Investment Data'!$B:$B = 12)) * (1 + AVERAGE(FILTER('Inflation Data'!$C:$C,'Inflation Data'!$A:$A = ($A2456 - 2)))) * Parameters!$A$4,0)"),0.0)</f>
        <v>0</v>
      </c>
      <c r="Y2456" s="91">
        <f>IFERROR(__xludf.DUMMYFUNCTION("IFERROR((IFERROR(FILTER('Fund Investment Data'!$P:$P,'Fund Investment Data'!$C:$C = $C2456,'Fund Investment Data'!$A:$A = ($A2456 - 2), 'Fund Investment Data'!$B:$B = 12),0) - SUM(FILTER('Fund Investment Data'!$V:$V, 'Fund Investment Data'!$C:$C = $C2456,"&amp;" 'Fund Investment Data'!$A:$A = ($A2456 - 2), 'Fund Investment Data'!$B:$B &gt; 3)))  * Parameters!$B$4 * (1 - Parameters!$A$4),0)"),0.0)</f>
        <v>0</v>
      </c>
      <c r="Z2456" s="91">
        <f t="shared" si="24"/>
        <v>0</v>
      </c>
      <c r="AA2456" s="91">
        <f>IFERROR(__xludf.DUMMYFUNCTION("((IFERROR((SUM(FILTER('Fund Investment Data'!$V:$V, 'Fund Investment Data'!$C:$C = $C2456, 'Fund Investment Data'!$A:$A = $A2456 - 1, 'Fund Investment Data'!$B:$B &gt;= 4, 'Fund Investment Data'!$B:$B &lt;= ($B2456 + 5))) / 12) * ($B2456 - 3) * Parameters!$B$4,"&amp;" 0) + IF($B2456 &gt;= 9, IFERROR(SUM(FILTER('Fund Investment Data'!$V:$V, 'Fund Investment Data'!$C:$C = $C2456, 'Fund Investment Data'!$A:$A = $A2456, 'Fund Investment Data'!$B:$B &lt;= 3)) * Parameters!$B$4, 0),0)))"),0.0)</f>
        <v>0</v>
      </c>
      <c r="AB2456" s="32">
        <f>IFERROR(__xludf.DUMMYFUNCTION("IFERROR(((IFERROR(SUM(FILTER('Fund Investment Data'!$V:$V, 'Fund Investment Data'!$C:$C = $C2456, 'Fund Investment Data'!$A:$A = $A2456 - 2, 'Fund Investment Data'!$B:$B &gt;= 4)) * Parameters!$B$4,0) + IFERROR(SUM(FILTER('Fund Investment Data'!$V:$V, 'Fund "&amp;"Investment Data'!$C:$C = $C2456, 'Fund Investment Data'!$A:$A = $A2456 - 1, 'Fund Investment Data'!$B:$B &lt;= 3)) * Parameters!$B$4,0))),0)"),0.0)</f>
        <v>0</v>
      </c>
      <c r="AC2456" s="32">
        <f>IFERROR(__xludf.DUMMYFUNCTION("IFERROR(FILTER($AF:$AF,$C:$C = $C2456,$A:$A = $A2456 - 1,$B:$B = 12),0)"),0.0)</f>
        <v>0</v>
      </c>
      <c r="AD2456" s="32">
        <f t="shared" si="23"/>
        <v>0</v>
      </c>
      <c r="AE2456" s="32">
        <f t="shared" si="2"/>
        <v>0</v>
      </c>
      <c r="AF2456" s="32"/>
    </row>
    <row r="2457">
      <c r="A2457" s="86"/>
      <c r="B2457" s="87"/>
      <c r="C2457" s="88"/>
      <c r="D2457" s="104"/>
      <c r="E2457" s="104"/>
      <c r="F2457" s="104"/>
      <c r="G2457" s="104"/>
      <c r="H2457" s="104"/>
      <c r="I2457" s="104"/>
      <c r="J2457" s="104"/>
      <c r="K2457" s="32"/>
      <c r="L2457" s="32"/>
      <c r="M2457" s="32"/>
      <c r="N2457" s="32"/>
      <c r="O2457" s="106"/>
      <c r="P2457" s="91">
        <f>IFERROR(__xludf.DUMMYFUNCTION("IFERROR(sum(FILTER($D:$N,$C:$C = $C2457,$A:$A &lt; $A2457,$B:$B = 12)),0) + sum($D2457:$N2457)"),0.0)</f>
        <v>0</v>
      </c>
      <c r="Q2457" s="92">
        <f t="shared" si="1"/>
        <v>0</v>
      </c>
      <c r="R2457" s="91">
        <f t="array" ref="R2457">IFERROR(INDEX('Fund YTD Target Values'!$1:$1000, MATCH($C2457,'Fund YTD Target Values'!$A:$A,0), MATCH($A2457,'Fund YTD Target Values'!$1:$1,0)),0)</f>
        <v>0</v>
      </c>
      <c r="S2457" s="91">
        <f>IFERROR(__xludf.DUMMYFUNCTION("IFERROR(sum(FILTER('Fund Investment Data'!$V:$V, 'Fund Investment Data'!$C:$C = $C2457, 'Fund Investment Data'!$A:$A &lt; $A2457)),0) + IFERROR(sum(FILTER('Fund Investment Data'!$V:$V, 'Fund Investment Data'!$C:$C = $C2457, 'Fund Investment Data'!$A:$A = $A2"&amp;"457, 'Fund Investment Data'!$B:$B &lt;= $B2457)),0)"),0.0)</f>
        <v>0</v>
      </c>
      <c r="T2457" s="32"/>
      <c r="U2457" s="32"/>
      <c r="V2457" s="32">
        <f>IFERROR(__xludf.DUMMYFUNCTION("$D2457 - IFERROR(FILTER($D:$D,$C:$C = $C2457, $A:$A = $A2457, $B:$B = $B2457 - 1),0)"),0.0)</f>
        <v>0</v>
      </c>
      <c r="W2457" s="93">
        <f>IFERROR(__xludf.DUMMYFUNCTION("$E2457 - IFERROR(FILTER($E:$E,$C:$C = $C2457, $A:$A = $A2457, $B:$B = $B2457 - 1),0)"),0.0)</f>
        <v>0</v>
      </c>
      <c r="X2457" s="91">
        <f>IFERROR(__xludf.DUMMYFUNCTION("iFERROR((FILTER('Fund Investment Data'!$Z:$Z, 'Fund Investment Data'!$C:$C = $C2457, 'Fund Investment Data'!$A:$A = $A2457 - 1, 'Fund Investment Data'!$B:$B = 12) + FILTER('Fund Investment Data'!$AB:$AB, 'Fund Investment Data'!$C:$C = $C2457, 'Fund Invest"&amp;"ment Data'!$A:$A = $A2457 - 1, 'Fund Investment Data'!$B:$B = 12)) * (1 + AVERAGE(FILTER('Inflation Data'!$C:$C,'Inflation Data'!$A:$A = ($A2457 - 2)))) * Parameters!$A$4,0)"),0.0)</f>
        <v>0</v>
      </c>
      <c r="Y2457" s="91">
        <f>IFERROR(__xludf.DUMMYFUNCTION("IFERROR((IFERROR(FILTER('Fund Investment Data'!$P:$P,'Fund Investment Data'!$C:$C = $C2457,'Fund Investment Data'!$A:$A = ($A2457 - 2), 'Fund Investment Data'!$B:$B = 12),0) - SUM(FILTER('Fund Investment Data'!$V:$V, 'Fund Investment Data'!$C:$C = $C2457,"&amp;" 'Fund Investment Data'!$A:$A = ($A2457 - 2), 'Fund Investment Data'!$B:$B &gt; 3)))  * Parameters!$B$4 * (1 - Parameters!$A$4),0)"),0.0)</f>
        <v>0</v>
      </c>
      <c r="Z2457" s="91">
        <f t="shared" si="24"/>
        <v>0</v>
      </c>
      <c r="AA2457" s="91">
        <f>IFERROR(__xludf.DUMMYFUNCTION("((IFERROR((SUM(FILTER('Fund Investment Data'!$V:$V, 'Fund Investment Data'!$C:$C = $C2457, 'Fund Investment Data'!$A:$A = $A2457 - 1, 'Fund Investment Data'!$B:$B &gt;= 4, 'Fund Investment Data'!$B:$B &lt;= ($B2457 + 5))) / 12) * ($B2457 - 3) * Parameters!$B$4,"&amp;" 0) + IF($B2457 &gt;= 9, IFERROR(SUM(FILTER('Fund Investment Data'!$V:$V, 'Fund Investment Data'!$C:$C = $C2457, 'Fund Investment Data'!$A:$A = $A2457, 'Fund Investment Data'!$B:$B &lt;= 3)) * Parameters!$B$4, 0),0)))"),0.0)</f>
        <v>0</v>
      </c>
      <c r="AB2457" s="32">
        <f>IFERROR(__xludf.DUMMYFUNCTION("IFERROR(((IFERROR(SUM(FILTER('Fund Investment Data'!$V:$V, 'Fund Investment Data'!$C:$C = $C2457, 'Fund Investment Data'!$A:$A = $A2457 - 2, 'Fund Investment Data'!$B:$B &gt;= 4)) * Parameters!$B$4,0) + IFERROR(SUM(FILTER('Fund Investment Data'!$V:$V, 'Fund "&amp;"Investment Data'!$C:$C = $C2457, 'Fund Investment Data'!$A:$A = $A2457 - 1, 'Fund Investment Data'!$B:$B &lt;= 3)) * Parameters!$B$4,0))),0)"),0.0)</f>
        <v>0</v>
      </c>
      <c r="AC2457" s="32">
        <f>IFERROR(__xludf.DUMMYFUNCTION("IFERROR(FILTER($AF:$AF,$C:$C = $C2457,$A:$A = $A2457 - 1,$B:$B = 12),0)"),0.0)</f>
        <v>0</v>
      </c>
      <c r="AD2457" s="32">
        <f t="shared" si="23"/>
        <v>0</v>
      </c>
      <c r="AE2457" s="32">
        <f t="shared" si="2"/>
        <v>0</v>
      </c>
      <c r="AF2457" s="32"/>
    </row>
    <row r="2458">
      <c r="A2458" s="86"/>
      <c r="B2458" s="87"/>
      <c r="C2458" s="88"/>
      <c r="D2458" s="104"/>
      <c r="E2458" s="104"/>
      <c r="F2458" s="104"/>
      <c r="G2458" s="104"/>
      <c r="H2458" s="104"/>
      <c r="I2458" s="104"/>
      <c r="J2458" s="104"/>
      <c r="K2458" s="32"/>
      <c r="L2458" s="32"/>
      <c r="M2458" s="32"/>
      <c r="N2458" s="32"/>
      <c r="O2458" s="106"/>
      <c r="P2458" s="91">
        <f>IFERROR(__xludf.DUMMYFUNCTION("IFERROR(sum(FILTER($D:$N,$C:$C = $C2458,$A:$A &lt; $A2458,$B:$B = 12)),0) + sum($D2458:$N2458)"),0.0)</f>
        <v>0</v>
      </c>
      <c r="Q2458" s="92">
        <f t="shared" si="1"/>
        <v>0</v>
      </c>
      <c r="R2458" s="91">
        <f t="array" ref="R2458">IFERROR(INDEX('Fund YTD Target Values'!$1:$1000, MATCH($C2458,'Fund YTD Target Values'!$A:$A,0), MATCH($A2458,'Fund YTD Target Values'!$1:$1,0)),0)</f>
        <v>0</v>
      </c>
      <c r="S2458" s="91">
        <f>IFERROR(__xludf.DUMMYFUNCTION("IFERROR(sum(FILTER('Fund Investment Data'!$V:$V, 'Fund Investment Data'!$C:$C = $C2458, 'Fund Investment Data'!$A:$A &lt; $A2458)),0) + IFERROR(sum(FILTER('Fund Investment Data'!$V:$V, 'Fund Investment Data'!$C:$C = $C2458, 'Fund Investment Data'!$A:$A = $A2"&amp;"458, 'Fund Investment Data'!$B:$B &lt;= $B2458)),0)"),0.0)</f>
        <v>0</v>
      </c>
      <c r="T2458" s="32"/>
      <c r="U2458" s="32"/>
      <c r="V2458" s="32">
        <f>IFERROR(__xludf.DUMMYFUNCTION("$D2458 - IFERROR(FILTER($D:$D,$C:$C = $C2458, $A:$A = $A2458, $B:$B = $B2458 - 1),0)"),0.0)</f>
        <v>0</v>
      </c>
      <c r="W2458" s="93">
        <f>IFERROR(__xludf.DUMMYFUNCTION("$E2458 - IFERROR(FILTER($E:$E,$C:$C = $C2458, $A:$A = $A2458, $B:$B = $B2458 - 1),0)"),0.0)</f>
        <v>0</v>
      </c>
      <c r="X2458" s="91">
        <f>IFERROR(__xludf.DUMMYFUNCTION("iFERROR((FILTER('Fund Investment Data'!$Z:$Z, 'Fund Investment Data'!$C:$C = $C2458, 'Fund Investment Data'!$A:$A = $A2458 - 1, 'Fund Investment Data'!$B:$B = 12) + FILTER('Fund Investment Data'!$AB:$AB, 'Fund Investment Data'!$C:$C = $C2458, 'Fund Invest"&amp;"ment Data'!$A:$A = $A2458 - 1, 'Fund Investment Data'!$B:$B = 12)) * (1 + AVERAGE(FILTER('Inflation Data'!$C:$C,'Inflation Data'!$A:$A = ($A2458 - 2)))) * Parameters!$A$4,0)"),0.0)</f>
        <v>0</v>
      </c>
      <c r="Y2458" s="91">
        <f>IFERROR(__xludf.DUMMYFUNCTION("IFERROR((IFERROR(FILTER('Fund Investment Data'!$P:$P,'Fund Investment Data'!$C:$C = $C2458,'Fund Investment Data'!$A:$A = ($A2458 - 2), 'Fund Investment Data'!$B:$B = 12),0) - SUM(FILTER('Fund Investment Data'!$V:$V, 'Fund Investment Data'!$C:$C = $C2458,"&amp;" 'Fund Investment Data'!$A:$A = ($A2458 - 2), 'Fund Investment Data'!$B:$B &gt; 3)))  * Parameters!$B$4 * (1 - Parameters!$A$4),0)"),0.0)</f>
        <v>0</v>
      </c>
      <c r="Z2458" s="91">
        <f t="shared" si="24"/>
        <v>0</v>
      </c>
      <c r="AA2458" s="91">
        <f>IFERROR(__xludf.DUMMYFUNCTION("((IFERROR((SUM(FILTER('Fund Investment Data'!$V:$V, 'Fund Investment Data'!$C:$C = $C2458, 'Fund Investment Data'!$A:$A = $A2458 - 1, 'Fund Investment Data'!$B:$B &gt;= 4, 'Fund Investment Data'!$B:$B &lt;= ($B2458 + 5))) / 12) * ($B2458 - 3) * Parameters!$B$4,"&amp;" 0) + IF($B2458 &gt;= 9, IFERROR(SUM(FILTER('Fund Investment Data'!$V:$V, 'Fund Investment Data'!$C:$C = $C2458, 'Fund Investment Data'!$A:$A = $A2458, 'Fund Investment Data'!$B:$B &lt;= 3)) * Parameters!$B$4, 0),0)))"),0.0)</f>
        <v>0</v>
      </c>
      <c r="AB2458" s="32">
        <f>IFERROR(__xludf.DUMMYFUNCTION("IFERROR(((IFERROR(SUM(FILTER('Fund Investment Data'!$V:$V, 'Fund Investment Data'!$C:$C = $C2458, 'Fund Investment Data'!$A:$A = $A2458 - 2, 'Fund Investment Data'!$B:$B &gt;= 4)) * Parameters!$B$4,0) + IFERROR(SUM(FILTER('Fund Investment Data'!$V:$V, 'Fund "&amp;"Investment Data'!$C:$C = $C2458, 'Fund Investment Data'!$A:$A = $A2458 - 1, 'Fund Investment Data'!$B:$B &lt;= 3)) * Parameters!$B$4,0))),0)"),0.0)</f>
        <v>0</v>
      </c>
      <c r="AC2458" s="32">
        <f>IFERROR(__xludf.DUMMYFUNCTION("IFERROR(FILTER($AF:$AF,$C:$C = $C2458,$A:$A = $A2458 - 1,$B:$B = 12),0)"),0.0)</f>
        <v>0</v>
      </c>
      <c r="AD2458" s="32">
        <f t="shared" si="23"/>
        <v>0</v>
      </c>
      <c r="AE2458" s="32">
        <f t="shared" si="2"/>
        <v>0</v>
      </c>
      <c r="AF2458" s="32"/>
    </row>
    <row r="2459">
      <c r="A2459" s="86"/>
      <c r="B2459" s="87"/>
      <c r="C2459" s="88"/>
      <c r="D2459" s="104"/>
      <c r="E2459" s="104"/>
      <c r="F2459" s="104"/>
      <c r="G2459" s="104"/>
      <c r="H2459" s="104"/>
      <c r="I2459" s="104"/>
      <c r="J2459" s="104"/>
      <c r="K2459" s="32"/>
      <c r="L2459" s="32"/>
      <c r="M2459" s="32"/>
      <c r="N2459" s="32"/>
      <c r="O2459" s="106"/>
      <c r="P2459" s="91">
        <f>IFERROR(__xludf.DUMMYFUNCTION("IFERROR(sum(FILTER($D:$N,$C:$C = $C2459,$A:$A &lt; $A2459,$B:$B = 12)),0) + sum($D2459:$N2459)"),0.0)</f>
        <v>0</v>
      </c>
      <c r="Q2459" s="92">
        <f t="shared" si="1"/>
        <v>0</v>
      </c>
      <c r="R2459" s="91">
        <f t="array" ref="R2459">IFERROR(INDEX('Fund YTD Target Values'!$1:$1000, MATCH($C2459,'Fund YTD Target Values'!$A:$A,0), MATCH($A2459,'Fund YTD Target Values'!$1:$1,0)),0)</f>
        <v>0</v>
      </c>
      <c r="S2459" s="91">
        <f>IFERROR(__xludf.DUMMYFUNCTION("IFERROR(sum(FILTER('Fund Investment Data'!$V:$V, 'Fund Investment Data'!$C:$C = $C2459, 'Fund Investment Data'!$A:$A &lt; $A2459)),0) + IFERROR(sum(FILTER('Fund Investment Data'!$V:$V, 'Fund Investment Data'!$C:$C = $C2459, 'Fund Investment Data'!$A:$A = $A2"&amp;"459, 'Fund Investment Data'!$B:$B &lt;= $B2459)),0)"),0.0)</f>
        <v>0</v>
      </c>
      <c r="T2459" s="32"/>
      <c r="U2459" s="32"/>
      <c r="V2459" s="32">
        <f>IFERROR(__xludf.DUMMYFUNCTION("$D2459 - IFERROR(FILTER($D:$D,$C:$C = $C2459, $A:$A = $A2459, $B:$B = $B2459 - 1),0)"),0.0)</f>
        <v>0</v>
      </c>
      <c r="W2459" s="93">
        <f>IFERROR(__xludf.DUMMYFUNCTION("$E2459 - IFERROR(FILTER($E:$E,$C:$C = $C2459, $A:$A = $A2459, $B:$B = $B2459 - 1),0)"),0.0)</f>
        <v>0</v>
      </c>
      <c r="X2459" s="91">
        <f>IFERROR(__xludf.DUMMYFUNCTION("iFERROR((FILTER('Fund Investment Data'!$Z:$Z, 'Fund Investment Data'!$C:$C = $C2459, 'Fund Investment Data'!$A:$A = $A2459 - 1, 'Fund Investment Data'!$B:$B = 12) + FILTER('Fund Investment Data'!$AB:$AB, 'Fund Investment Data'!$C:$C = $C2459, 'Fund Invest"&amp;"ment Data'!$A:$A = $A2459 - 1, 'Fund Investment Data'!$B:$B = 12)) * (1 + AVERAGE(FILTER('Inflation Data'!$C:$C,'Inflation Data'!$A:$A = ($A2459 - 2)))) * Parameters!$A$4,0)"),0.0)</f>
        <v>0</v>
      </c>
      <c r="Y2459" s="91">
        <f>IFERROR(__xludf.DUMMYFUNCTION("IFERROR((IFERROR(FILTER('Fund Investment Data'!$P:$P,'Fund Investment Data'!$C:$C = $C2459,'Fund Investment Data'!$A:$A = ($A2459 - 2), 'Fund Investment Data'!$B:$B = 12),0) - SUM(FILTER('Fund Investment Data'!$V:$V, 'Fund Investment Data'!$C:$C = $C2459,"&amp;" 'Fund Investment Data'!$A:$A = ($A2459 - 2), 'Fund Investment Data'!$B:$B &gt; 3)))  * Parameters!$B$4 * (1 - Parameters!$A$4),0)"),0.0)</f>
        <v>0</v>
      </c>
      <c r="Z2459" s="91">
        <f t="shared" si="24"/>
        <v>0</v>
      </c>
      <c r="AA2459" s="91">
        <f>IFERROR(__xludf.DUMMYFUNCTION("((IFERROR((SUM(FILTER('Fund Investment Data'!$V:$V, 'Fund Investment Data'!$C:$C = $C2459, 'Fund Investment Data'!$A:$A = $A2459 - 1, 'Fund Investment Data'!$B:$B &gt;= 4, 'Fund Investment Data'!$B:$B &lt;= ($B2459 + 5))) / 12) * ($B2459 - 3) * Parameters!$B$4,"&amp;" 0) + IF($B2459 &gt;= 9, IFERROR(SUM(FILTER('Fund Investment Data'!$V:$V, 'Fund Investment Data'!$C:$C = $C2459, 'Fund Investment Data'!$A:$A = $A2459, 'Fund Investment Data'!$B:$B &lt;= 3)) * Parameters!$B$4, 0),0)))"),0.0)</f>
        <v>0</v>
      </c>
      <c r="AB2459" s="32">
        <f>IFERROR(__xludf.DUMMYFUNCTION("IFERROR(((IFERROR(SUM(FILTER('Fund Investment Data'!$V:$V, 'Fund Investment Data'!$C:$C = $C2459, 'Fund Investment Data'!$A:$A = $A2459 - 2, 'Fund Investment Data'!$B:$B &gt;= 4)) * Parameters!$B$4,0) + IFERROR(SUM(FILTER('Fund Investment Data'!$V:$V, 'Fund "&amp;"Investment Data'!$C:$C = $C2459, 'Fund Investment Data'!$A:$A = $A2459 - 1, 'Fund Investment Data'!$B:$B &lt;= 3)) * Parameters!$B$4,0))),0)"),0.0)</f>
        <v>0</v>
      </c>
      <c r="AC2459" s="32">
        <f>IFERROR(__xludf.DUMMYFUNCTION("IFERROR(FILTER($AF:$AF,$C:$C = $C2459,$A:$A = $A2459 - 1,$B:$B = 12),0)"),0.0)</f>
        <v>0</v>
      </c>
      <c r="AD2459" s="32">
        <f t="shared" si="23"/>
        <v>0</v>
      </c>
      <c r="AE2459" s="32">
        <f t="shared" si="2"/>
        <v>0</v>
      </c>
      <c r="AF2459" s="32"/>
    </row>
    <row r="2460">
      <c r="A2460" s="86"/>
      <c r="B2460" s="87"/>
      <c r="C2460" s="88"/>
      <c r="D2460" s="104"/>
      <c r="E2460" s="104"/>
      <c r="F2460" s="104"/>
      <c r="G2460" s="104"/>
      <c r="H2460" s="104"/>
      <c r="I2460" s="104"/>
      <c r="J2460" s="104"/>
      <c r="K2460" s="32"/>
      <c r="L2460" s="32"/>
      <c r="M2460" s="32"/>
      <c r="N2460" s="32"/>
      <c r="O2460" s="106"/>
      <c r="P2460" s="91">
        <f>IFERROR(__xludf.DUMMYFUNCTION("IFERROR(sum(FILTER($D:$N,$C:$C = $C2460,$A:$A &lt; $A2460,$B:$B = 12)),0) + sum($D2460:$N2460)"),0.0)</f>
        <v>0</v>
      </c>
      <c r="Q2460" s="92">
        <f t="shared" si="1"/>
        <v>0</v>
      </c>
      <c r="R2460" s="91">
        <f t="array" ref="R2460">IFERROR(INDEX('Fund YTD Target Values'!$1:$1000, MATCH($C2460,'Fund YTD Target Values'!$A:$A,0), MATCH($A2460,'Fund YTD Target Values'!$1:$1,0)),0)</f>
        <v>0</v>
      </c>
      <c r="S2460" s="91">
        <f>IFERROR(__xludf.DUMMYFUNCTION("IFERROR(sum(FILTER('Fund Investment Data'!$V:$V, 'Fund Investment Data'!$C:$C = $C2460, 'Fund Investment Data'!$A:$A &lt; $A2460)),0) + IFERROR(sum(FILTER('Fund Investment Data'!$V:$V, 'Fund Investment Data'!$C:$C = $C2460, 'Fund Investment Data'!$A:$A = $A2"&amp;"460, 'Fund Investment Data'!$B:$B &lt;= $B2460)),0)"),0.0)</f>
        <v>0</v>
      </c>
      <c r="T2460" s="32"/>
      <c r="U2460" s="32"/>
      <c r="V2460" s="32">
        <f>IFERROR(__xludf.DUMMYFUNCTION("$D2460 - IFERROR(FILTER($D:$D,$C:$C = $C2460, $A:$A = $A2460, $B:$B = $B2460 - 1),0)"),0.0)</f>
        <v>0</v>
      </c>
      <c r="W2460" s="93">
        <f>IFERROR(__xludf.DUMMYFUNCTION("$E2460 - IFERROR(FILTER($E:$E,$C:$C = $C2460, $A:$A = $A2460, $B:$B = $B2460 - 1),0)"),0.0)</f>
        <v>0</v>
      </c>
      <c r="X2460" s="91">
        <f>IFERROR(__xludf.DUMMYFUNCTION("iFERROR((FILTER('Fund Investment Data'!$Z:$Z, 'Fund Investment Data'!$C:$C = $C2460, 'Fund Investment Data'!$A:$A = $A2460 - 1, 'Fund Investment Data'!$B:$B = 12) + FILTER('Fund Investment Data'!$AB:$AB, 'Fund Investment Data'!$C:$C = $C2460, 'Fund Invest"&amp;"ment Data'!$A:$A = $A2460 - 1, 'Fund Investment Data'!$B:$B = 12)) * (1 + AVERAGE(FILTER('Inflation Data'!$C:$C,'Inflation Data'!$A:$A = ($A2460 - 2)))) * Parameters!$A$4,0)"),0.0)</f>
        <v>0</v>
      </c>
      <c r="Y2460" s="91">
        <f>IFERROR(__xludf.DUMMYFUNCTION("IFERROR((IFERROR(FILTER('Fund Investment Data'!$P:$P,'Fund Investment Data'!$C:$C = $C2460,'Fund Investment Data'!$A:$A = ($A2460 - 2), 'Fund Investment Data'!$B:$B = 12),0) - SUM(FILTER('Fund Investment Data'!$V:$V, 'Fund Investment Data'!$C:$C = $C2460,"&amp;" 'Fund Investment Data'!$A:$A = ($A2460 - 2), 'Fund Investment Data'!$B:$B &gt; 3)))  * Parameters!$B$4 * (1 - Parameters!$A$4),0)"),0.0)</f>
        <v>0</v>
      </c>
      <c r="Z2460" s="91">
        <f t="shared" si="24"/>
        <v>0</v>
      </c>
      <c r="AA2460" s="91">
        <f>IFERROR(__xludf.DUMMYFUNCTION("((IFERROR((SUM(FILTER('Fund Investment Data'!$V:$V, 'Fund Investment Data'!$C:$C = $C2460, 'Fund Investment Data'!$A:$A = $A2460 - 1, 'Fund Investment Data'!$B:$B &gt;= 4, 'Fund Investment Data'!$B:$B &lt;= ($B2460 + 5))) / 12) * ($B2460 - 3) * Parameters!$B$4,"&amp;" 0) + IF($B2460 &gt;= 9, IFERROR(SUM(FILTER('Fund Investment Data'!$V:$V, 'Fund Investment Data'!$C:$C = $C2460, 'Fund Investment Data'!$A:$A = $A2460, 'Fund Investment Data'!$B:$B &lt;= 3)) * Parameters!$B$4, 0),0)))"),0.0)</f>
        <v>0</v>
      </c>
      <c r="AB2460" s="32">
        <f>IFERROR(__xludf.DUMMYFUNCTION("IFERROR(((IFERROR(SUM(FILTER('Fund Investment Data'!$V:$V, 'Fund Investment Data'!$C:$C = $C2460, 'Fund Investment Data'!$A:$A = $A2460 - 2, 'Fund Investment Data'!$B:$B &gt;= 4)) * Parameters!$B$4,0) + IFERROR(SUM(FILTER('Fund Investment Data'!$V:$V, 'Fund "&amp;"Investment Data'!$C:$C = $C2460, 'Fund Investment Data'!$A:$A = $A2460 - 1, 'Fund Investment Data'!$B:$B &lt;= 3)) * Parameters!$B$4,0))),0)"),0.0)</f>
        <v>0</v>
      </c>
      <c r="AC2460" s="32">
        <f>IFERROR(__xludf.DUMMYFUNCTION("IFERROR(FILTER($AF:$AF,$C:$C = $C2460,$A:$A = $A2460 - 1,$B:$B = 12),0)"),0.0)</f>
        <v>0</v>
      </c>
      <c r="AD2460" s="32">
        <f t="shared" si="23"/>
        <v>0</v>
      </c>
      <c r="AE2460" s="32">
        <f t="shared" si="2"/>
        <v>0</v>
      </c>
      <c r="AF2460" s="32"/>
    </row>
    <row r="2461">
      <c r="A2461" s="86"/>
      <c r="B2461" s="87"/>
      <c r="C2461" s="88"/>
      <c r="D2461" s="104"/>
      <c r="E2461" s="104"/>
      <c r="F2461" s="104"/>
      <c r="G2461" s="104"/>
      <c r="H2461" s="104"/>
      <c r="I2461" s="104"/>
      <c r="J2461" s="104"/>
      <c r="K2461" s="32"/>
      <c r="L2461" s="32"/>
      <c r="M2461" s="32"/>
      <c r="N2461" s="32"/>
      <c r="O2461" s="106"/>
      <c r="P2461" s="91">
        <f>IFERROR(__xludf.DUMMYFUNCTION("IFERROR(sum(FILTER($D:$N,$C:$C = $C2461,$A:$A &lt; $A2461,$B:$B = 12)),0) + sum($D2461:$N2461)"),0.0)</f>
        <v>0</v>
      </c>
      <c r="Q2461" s="92">
        <f t="shared" si="1"/>
        <v>0</v>
      </c>
      <c r="R2461" s="91">
        <f t="array" ref="R2461">IFERROR(INDEX('Fund YTD Target Values'!$1:$1000, MATCH($C2461,'Fund YTD Target Values'!$A:$A,0), MATCH($A2461,'Fund YTD Target Values'!$1:$1,0)),0)</f>
        <v>0</v>
      </c>
      <c r="S2461" s="91">
        <f>IFERROR(__xludf.DUMMYFUNCTION("IFERROR(sum(FILTER('Fund Investment Data'!$V:$V, 'Fund Investment Data'!$C:$C = $C2461, 'Fund Investment Data'!$A:$A &lt; $A2461)),0) + IFERROR(sum(FILTER('Fund Investment Data'!$V:$V, 'Fund Investment Data'!$C:$C = $C2461, 'Fund Investment Data'!$A:$A = $A2"&amp;"461, 'Fund Investment Data'!$B:$B &lt;= $B2461)),0)"),0.0)</f>
        <v>0</v>
      </c>
      <c r="T2461" s="32"/>
      <c r="U2461" s="32"/>
      <c r="V2461" s="32">
        <f>IFERROR(__xludf.DUMMYFUNCTION("$D2461 - IFERROR(FILTER($D:$D,$C:$C = $C2461, $A:$A = $A2461, $B:$B = $B2461 - 1),0)"),0.0)</f>
        <v>0</v>
      </c>
      <c r="W2461" s="93">
        <f>IFERROR(__xludf.DUMMYFUNCTION("$E2461 - IFERROR(FILTER($E:$E,$C:$C = $C2461, $A:$A = $A2461, $B:$B = $B2461 - 1),0)"),0.0)</f>
        <v>0</v>
      </c>
      <c r="X2461" s="91">
        <f>IFERROR(__xludf.DUMMYFUNCTION("iFERROR((FILTER('Fund Investment Data'!$Z:$Z, 'Fund Investment Data'!$C:$C = $C2461, 'Fund Investment Data'!$A:$A = $A2461 - 1, 'Fund Investment Data'!$B:$B = 12) + FILTER('Fund Investment Data'!$AB:$AB, 'Fund Investment Data'!$C:$C = $C2461, 'Fund Invest"&amp;"ment Data'!$A:$A = $A2461 - 1, 'Fund Investment Data'!$B:$B = 12)) * (1 + AVERAGE(FILTER('Inflation Data'!$C:$C,'Inflation Data'!$A:$A = ($A2461 - 2)))) * Parameters!$A$4,0)"),0.0)</f>
        <v>0</v>
      </c>
      <c r="Y2461" s="91">
        <f>IFERROR(__xludf.DUMMYFUNCTION("IFERROR((IFERROR(FILTER('Fund Investment Data'!$P:$P,'Fund Investment Data'!$C:$C = $C2461,'Fund Investment Data'!$A:$A = ($A2461 - 2), 'Fund Investment Data'!$B:$B = 12),0) - SUM(FILTER('Fund Investment Data'!$V:$V, 'Fund Investment Data'!$C:$C = $C2461,"&amp;" 'Fund Investment Data'!$A:$A = ($A2461 - 2), 'Fund Investment Data'!$B:$B &gt; 3)))  * Parameters!$B$4 * (1 - Parameters!$A$4),0)"),0.0)</f>
        <v>0</v>
      </c>
      <c r="Z2461" s="91">
        <f t="shared" si="24"/>
        <v>0</v>
      </c>
      <c r="AA2461" s="91">
        <f>IFERROR(__xludf.DUMMYFUNCTION("((IFERROR((SUM(FILTER('Fund Investment Data'!$V:$V, 'Fund Investment Data'!$C:$C = $C2461, 'Fund Investment Data'!$A:$A = $A2461 - 1, 'Fund Investment Data'!$B:$B &gt;= 4, 'Fund Investment Data'!$B:$B &lt;= ($B2461 + 5))) / 12) * ($B2461 - 3) * Parameters!$B$4,"&amp;" 0) + IF($B2461 &gt;= 9, IFERROR(SUM(FILTER('Fund Investment Data'!$V:$V, 'Fund Investment Data'!$C:$C = $C2461, 'Fund Investment Data'!$A:$A = $A2461, 'Fund Investment Data'!$B:$B &lt;= 3)) * Parameters!$B$4, 0),0)))"),0.0)</f>
        <v>0</v>
      </c>
      <c r="AB2461" s="32">
        <f>IFERROR(__xludf.DUMMYFUNCTION("IFERROR(((IFERROR(SUM(FILTER('Fund Investment Data'!$V:$V, 'Fund Investment Data'!$C:$C = $C2461, 'Fund Investment Data'!$A:$A = $A2461 - 2, 'Fund Investment Data'!$B:$B &gt;= 4)) * Parameters!$B$4,0) + IFERROR(SUM(FILTER('Fund Investment Data'!$V:$V, 'Fund "&amp;"Investment Data'!$C:$C = $C2461, 'Fund Investment Data'!$A:$A = $A2461 - 1, 'Fund Investment Data'!$B:$B &lt;= 3)) * Parameters!$B$4,0))),0)"),0.0)</f>
        <v>0</v>
      </c>
      <c r="AC2461" s="32">
        <f>IFERROR(__xludf.DUMMYFUNCTION("IFERROR(FILTER($AF:$AF,$C:$C = $C2461,$A:$A = $A2461 - 1,$B:$B = 12),0)"),0.0)</f>
        <v>0</v>
      </c>
      <c r="AD2461" s="32">
        <f t="shared" si="23"/>
        <v>0</v>
      </c>
      <c r="AE2461" s="32">
        <f t="shared" si="2"/>
        <v>0</v>
      </c>
      <c r="AF2461" s="32"/>
    </row>
    <row r="2462">
      <c r="A2462" s="86"/>
      <c r="B2462" s="87"/>
      <c r="C2462" s="88"/>
      <c r="D2462" s="104"/>
      <c r="E2462" s="104"/>
      <c r="F2462" s="104"/>
      <c r="G2462" s="104"/>
      <c r="H2462" s="104"/>
      <c r="I2462" s="104"/>
      <c r="J2462" s="104"/>
      <c r="K2462" s="32"/>
      <c r="L2462" s="32"/>
      <c r="M2462" s="32"/>
      <c r="N2462" s="32"/>
      <c r="O2462" s="106"/>
      <c r="P2462" s="91">
        <f>IFERROR(__xludf.DUMMYFUNCTION("IFERROR(sum(FILTER($D:$N,$C:$C = $C2462,$A:$A &lt; $A2462,$B:$B = 12)),0) + sum($D2462:$N2462)"),0.0)</f>
        <v>0</v>
      </c>
      <c r="Q2462" s="92">
        <f t="shared" si="1"/>
        <v>0</v>
      </c>
      <c r="R2462" s="91">
        <f t="array" ref="R2462">IFERROR(INDEX('Fund YTD Target Values'!$1:$1000, MATCH($C2462,'Fund YTD Target Values'!$A:$A,0), MATCH($A2462,'Fund YTD Target Values'!$1:$1,0)),0)</f>
        <v>0</v>
      </c>
      <c r="S2462" s="91">
        <f>IFERROR(__xludf.DUMMYFUNCTION("IFERROR(sum(FILTER('Fund Investment Data'!$V:$V, 'Fund Investment Data'!$C:$C = $C2462, 'Fund Investment Data'!$A:$A &lt; $A2462)),0) + IFERROR(sum(FILTER('Fund Investment Data'!$V:$V, 'Fund Investment Data'!$C:$C = $C2462, 'Fund Investment Data'!$A:$A = $A2"&amp;"462, 'Fund Investment Data'!$B:$B &lt;= $B2462)),0)"),0.0)</f>
        <v>0</v>
      </c>
      <c r="T2462" s="32"/>
      <c r="U2462" s="32"/>
      <c r="V2462" s="32">
        <f>IFERROR(__xludf.DUMMYFUNCTION("$D2462 - IFERROR(FILTER($D:$D,$C:$C = $C2462, $A:$A = $A2462, $B:$B = $B2462 - 1),0)"),0.0)</f>
        <v>0</v>
      </c>
      <c r="W2462" s="93">
        <f>IFERROR(__xludf.DUMMYFUNCTION("$E2462 - IFERROR(FILTER($E:$E,$C:$C = $C2462, $A:$A = $A2462, $B:$B = $B2462 - 1),0)"),0.0)</f>
        <v>0</v>
      </c>
      <c r="X2462" s="91">
        <f>IFERROR(__xludf.DUMMYFUNCTION("iFERROR((FILTER('Fund Investment Data'!$Z:$Z, 'Fund Investment Data'!$C:$C = $C2462, 'Fund Investment Data'!$A:$A = $A2462 - 1, 'Fund Investment Data'!$B:$B = 12) + FILTER('Fund Investment Data'!$AB:$AB, 'Fund Investment Data'!$C:$C = $C2462, 'Fund Invest"&amp;"ment Data'!$A:$A = $A2462 - 1, 'Fund Investment Data'!$B:$B = 12)) * (1 + AVERAGE(FILTER('Inflation Data'!$C:$C,'Inflation Data'!$A:$A = ($A2462 - 2)))) * Parameters!$A$4,0)"),0.0)</f>
        <v>0</v>
      </c>
      <c r="Y2462" s="91">
        <f>IFERROR(__xludf.DUMMYFUNCTION("IFERROR((IFERROR(FILTER('Fund Investment Data'!$P:$P,'Fund Investment Data'!$C:$C = $C2462,'Fund Investment Data'!$A:$A = ($A2462 - 2), 'Fund Investment Data'!$B:$B = 12),0) - SUM(FILTER('Fund Investment Data'!$V:$V, 'Fund Investment Data'!$C:$C = $C2462,"&amp;" 'Fund Investment Data'!$A:$A = ($A2462 - 2), 'Fund Investment Data'!$B:$B &gt; 3)))  * Parameters!$B$4 * (1 - Parameters!$A$4),0)"),0.0)</f>
        <v>0</v>
      </c>
      <c r="Z2462" s="91">
        <f t="shared" si="24"/>
        <v>0</v>
      </c>
      <c r="AA2462" s="91">
        <f>IFERROR(__xludf.DUMMYFUNCTION("((IFERROR((SUM(FILTER('Fund Investment Data'!$V:$V, 'Fund Investment Data'!$C:$C = $C2462, 'Fund Investment Data'!$A:$A = $A2462 - 1, 'Fund Investment Data'!$B:$B &gt;= 4, 'Fund Investment Data'!$B:$B &lt;= ($B2462 + 5))) / 12) * ($B2462 - 3) * Parameters!$B$4,"&amp;" 0) + IF($B2462 &gt;= 9, IFERROR(SUM(FILTER('Fund Investment Data'!$V:$V, 'Fund Investment Data'!$C:$C = $C2462, 'Fund Investment Data'!$A:$A = $A2462, 'Fund Investment Data'!$B:$B &lt;= 3)) * Parameters!$B$4, 0),0)))"),0.0)</f>
        <v>0</v>
      </c>
      <c r="AB2462" s="32">
        <f>IFERROR(__xludf.DUMMYFUNCTION("IFERROR(((IFERROR(SUM(FILTER('Fund Investment Data'!$V:$V, 'Fund Investment Data'!$C:$C = $C2462, 'Fund Investment Data'!$A:$A = $A2462 - 2, 'Fund Investment Data'!$B:$B &gt;= 4)) * Parameters!$B$4,0) + IFERROR(SUM(FILTER('Fund Investment Data'!$V:$V, 'Fund "&amp;"Investment Data'!$C:$C = $C2462, 'Fund Investment Data'!$A:$A = $A2462 - 1, 'Fund Investment Data'!$B:$B &lt;= 3)) * Parameters!$B$4,0))),0)"),0.0)</f>
        <v>0</v>
      </c>
      <c r="AC2462" s="32">
        <f>IFERROR(__xludf.DUMMYFUNCTION("IFERROR(FILTER($AF:$AF,$C:$C = $C2462,$A:$A = $A2462 - 1,$B:$B = 12),0)"),0.0)</f>
        <v>0</v>
      </c>
      <c r="AD2462" s="32">
        <f t="shared" si="23"/>
        <v>0</v>
      </c>
      <c r="AE2462" s="32">
        <f t="shared" si="2"/>
        <v>0</v>
      </c>
      <c r="AF2462" s="32"/>
    </row>
    <row r="2463">
      <c r="A2463" s="86"/>
      <c r="B2463" s="87"/>
      <c r="C2463" s="88"/>
      <c r="D2463" s="104"/>
      <c r="E2463" s="104"/>
      <c r="F2463" s="104"/>
      <c r="G2463" s="104"/>
      <c r="H2463" s="104"/>
      <c r="I2463" s="104"/>
      <c r="J2463" s="104"/>
      <c r="K2463" s="32"/>
      <c r="L2463" s="32"/>
      <c r="M2463" s="32"/>
      <c r="N2463" s="32"/>
      <c r="O2463" s="106"/>
      <c r="P2463" s="91">
        <f>IFERROR(__xludf.DUMMYFUNCTION("IFERROR(sum(FILTER($D:$N,$C:$C = $C2463,$A:$A &lt; $A2463,$B:$B = 12)),0) + sum($D2463:$N2463)"),0.0)</f>
        <v>0</v>
      </c>
      <c r="Q2463" s="92">
        <f t="shared" si="1"/>
        <v>0</v>
      </c>
      <c r="R2463" s="91">
        <f t="array" ref="R2463">IFERROR(INDEX('Fund YTD Target Values'!$1:$1000, MATCH($C2463,'Fund YTD Target Values'!$A:$A,0), MATCH($A2463,'Fund YTD Target Values'!$1:$1,0)),0)</f>
        <v>0</v>
      </c>
      <c r="S2463" s="91">
        <f>IFERROR(__xludf.DUMMYFUNCTION("IFERROR(sum(FILTER('Fund Investment Data'!$V:$V, 'Fund Investment Data'!$C:$C = $C2463, 'Fund Investment Data'!$A:$A &lt; $A2463)),0) + IFERROR(sum(FILTER('Fund Investment Data'!$V:$V, 'Fund Investment Data'!$C:$C = $C2463, 'Fund Investment Data'!$A:$A = $A2"&amp;"463, 'Fund Investment Data'!$B:$B &lt;= $B2463)),0)"),0.0)</f>
        <v>0</v>
      </c>
      <c r="T2463" s="32"/>
      <c r="U2463" s="32"/>
      <c r="V2463" s="32">
        <f>IFERROR(__xludf.DUMMYFUNCTION("$D2463 - IFERROR(FILTER($D:$D,$C:$C = $C2463, $A:$A = $A2463, $B:$B = $B2463 - 1),0)"),0.0)</f>
        <v>0</v>
      </c>
      <c r="W2463" s="93">
        <f>IFERROR(__xludf.DUMMYFUNCTION("$E2463 - IFERROR(FILTER($E:$E,$C:$C = $C2463, $A:$A = $A2463, $B:$B = $B2463 - 1),0)"),0.0)</f>
        <v>0</v>
      </c>
      <c r="X2463" s="91">
        <f>IFERROR(__xludf.DUMMYFUNCTION("iFERROR((FILTER('Fund Investment Data'!$Z:$Z, 'Fund Investment Data'!$C:$C = $C2463, 'Fund Investment Data'!$A:$A = $A2463 - 1, 'Fund Investment Data'!$B:$B = 12) + FILTER('Fund Investment Data'!$AB:$AB, 'Fund Investment Data'!$C:$C = $C2463, 'Fund Invest"&amp;"ment Data'!$A:$A = $A2463 - 1, 'Fund Investment Data'!$B:$B = 12)) * (1 + AVERAGE(FILTER('Inflation Data'!$C:$C,'Inflation Data'!$A:$A = ($A2463 - 2)))) * Parameters!$A$4,0)"),0.0)</f>
        <v>0</v>
      </c>
      <c r="Y2463" s="91">
        <f>IFERROR(__xludf.DUMMYFUNCTION("IFERROR((IFERROR(FILTER('Fund Investment Data'!$P:$P,'Fund Investment Data'!$C:$C = $C2463,'Fund Investment Data'!$A:$A = ($A2463 - 2), 'Fund Investment Data'!$B:$B = 12),0) - SUM(FILTER('Fund Investment Data'!$V:$V, 'Fund Investment Data'!$C:$C = $C2463,"&amp;" 'Fund Investment Data'!$A:$A = ($A2463 - 2), 'Fund Investment Data'!$B:$B &gt; 3)))  * Parameters!$B$4 * (1 - Parameters!$A$4),0)"),0.0)</f>
        <v>0</v>
      </c>
      <c r="Z2463" s="91">
        <f t="shared" si="24"/>
        <v>0</v>
      </c>
      <c r="AA2463" s="91">
        <f>IFERROR(__xludf.DUMMYFUNCTION("((IFERROR((SUM(FILTER('Fund Investment Data'!$V:$V, 'Fund Investment Data'!$C:$C = $C2463, 'Fund Investment Data'!$A:$A = $A2463 - 1, 'Fund Investment Data'!$B:$B &gt;= 4, 'Fund Investment Data'!$B:$B &lt;= ($B2463 + 5))) / 12) * ($B2463 - 3) * Parameters!$B$4,"&amp;" 0) + IF($B2463 &gt;= 9, IFERROR(SUM(FILTER('Fund Investment Data'!$V:$V, 'Fund Investment Data'!$C:$C = $C2463, 'Fund Investment Data'!$A:$A = $A2463, 'Fund Investment Data'!$B:$B &lt;= 3)) * Parameters!$B$4, 0),0)))"),0.0)</f>
        <v>0</v>
      </c>
      <c r="AB2463" s="32">
        <f>IFERROR(__xludf.DUMMYFUNCTION("IFERROR(((IFERROR(SUM(FILTER('Fund Investment Data'!$V:$V, 'Fund Investment Data'!$C:$C = $C2463, 'Fund Investment Data'!$A:$A = $A2463 - 2, 'Fund Investment Data'!$B:$B &gt;= 4)) * Parameters!$B$4,0) + IFERROR(SUM(FILTER('Fund Investment Data'!$V:$V, 'Fund "&amp;"Investment Data'!$C:$C = $C2463, 'Fund Investment Data'!$A:$A = $A2463 - 1, 'Fund Investment Data'!$B:$B &lt;= 3)) * Parameters!$B$4,0))),0)"),0.0)</f>
        <v>0</v>
      </c>
      <c r="AC2463" s="32">
        <f>IFERROR(__xludf.DUMMYFUNCTION("IFERROR(FILTER($AF:$AF,$C:$C = $C2463,$A:$A = $A2463 - 1,$B:$B = 12),0)"),0.0)</f>
        <v>0</v>
      </c>
      <c r="AD2463" s="32">
        <f t="shared" si="23"/>
        <v>0</v>
      </c>
      <c r="AE2463" s="32">
        <f t="shared" si="2"/>
        <v>0</v>
      </c>
      <c r="AF2463" s="32"/>
    </row>
    <row r="2464">
      <c r="A2464" s="86"/>
      <c r="B2464" s="87"/>
      <c r="C2464" s="88"/>
      <c r="D2464" s="104"/>
      <c r="E2464" s="104"/>
      <c r="F2464" s="104"/>
      <c r="G2464" s="104"/>
      <c r="H2464" s="104"/>
      <c r="I2464" s="104"/>
      <c r="J2464" s="104"/>
      <c r="K2464" s="32"/>
      <c r="L2464" s="32"/>
      <c r="M2464" s="32"/>
      <c r="N2464" s="32"/>
      <c r="O2464" s="106"/>
      <c r="P2464" s="91">
        <f>IFERROR(__xludf.DUMMYFUNCTION("IFERROR(sum(FILTER($D:$N,$C:$C = $C2464,$A:$A &lt; $A2464,$B:$B = 12)),0) + sum($D2464:$N2464)"),0.0)</f>
        <v>0</v>
      </c>
      <c r="Q2464" s="92">
        <f t="shared" si="1"/>
        <v>0</v>
      </c>
      <c r="R2464" s="91">
        <f t="array" ref="R2464">IFERROR(INDEX('Fund YTD Target Values'!$1:$1000, MATCH($C2464,'Fund YTD Target Values'!$A:$A,0), MATCH($A2464,'Fund YTD Target Values'!$1:$1,0)),0)</f>
        <v>0</v>
      </c>
      <c r="S2464" s="91">
        <f>IFERROR(__xludf.DUMMYFUNCTION("IFERROR(sum(FILTER('Fund Investment Data'!$V:$V, 'Fund Investment Data'!$C:$C = $C2464, 'Fund Investment Data'!$A:$A &lt; $A2464)),0) + IFERROR(sum(FILTER('Fund Investment Data'!$V:$V, 'Fund Investment Data'!$C:$C = $C2464, 'Fund Investment Data'!$A:$A = $A2"&amp;"464, 'Fund Investment Data'!$B:$B &lt;= $B2464)),0)"),0.0)</f>
        <v>0</v>
      </c>
      <c r="T2464" s="32"/>
      <c r="U2464" s="32"/>
      <c r="V2464" s="32">
        <f>IFERROR(__xludf.DUMMYFUNCTION("$D2464 - IFERROR(FILTER($D:$D,$C:$C = $C2464, $A:$A = $A2464, $B:$B = $B2464 - 1),0)"),0.0)</f>
        <v>0</v>
      </c>
      <c r="W2464" s="93">
        <f>IFERROR(__xludf.DUMMYFUNCTION("$E2464 - IFERROR(FILTER($E:$E,$C:$C = $C2464, $A:$A = $A2464, $B:$B = $B2464 - 1),0)"),0.0)</f>
        <v>0</v>
      </c>
      <c r="X2464" s="91">
        <f>IFERROR(__xludf.DUMMYFUNCTION("iFERROR((FILTER('Fund Investment Data'!$Z:$Z, 'Fund Investment Data'!$C:$C = $C2464, 'Fund Investment Data'!$A:$A = $A2464 - 1, 'Fund Investment Data'!$B:$B = 12) + FILTER('Fund Investment Data'!$AB:$AB, 'Fund Investment Data'!$C:$C = $C2464, 'Fund Invest"&amp;"ment Data'!$A:$A = $A2464 - 1, 'Fund Investment Data'!$B:$B = 12)) * (1 + AVERAGE(FILTER('Inflation Data'!$C:$C,'Inflation Data'!$A:$A = ($A2464 - 2)))) * Parameters!$A$4,0)"),0.0)</f>
        <v>0</v>
      </c>
      <c r="Y2464" s="91">
        <f>IFERROR(__xludf.DUMMYFUNCTION("IFERROR((IFERROR(FILTER('Fund Investment Data'!$P:$P,'Fund Investment Data'!$C:$C = $C2464,'Fund Investment Data'!$A:$A = ($A2464 - 2), 'Fund Investment Data'!$B:$B = 12),0) - SUM(FILTER('Fund Investment Data'!$V:$V, 'Fund Investment Data'!$C:$C = $C2464,"&amp;" 'Fund Investment Data'!$A:$A = ($A2464 - 2), 'Fund Investment Data'!$B:$B &gt; 3)))  * Parameters!$B$4 * (1 - Parameters!$A$4),0)"),0.0)</f>
        <v>0</v>
      </c>
      <c r="Z2464" s="91">
        <f t="shared" si="24"/>
        <v>0</v>
      </c>
      <c r="AA2464" s="91">
        <f>IFERROR(__xludf.DUMMYFUNCTION("((IFERROR((SUM(FILTER('Fund Investment Data'!$V:$V, 'Fund Investment Data'!$C:$C = $C2464, 'Fund Investment Data'!$A:$A = $A2464 - 1, 'Fund Investment Data'!$B:$B &gt;= 4, 'Fund Investment Data'!$B:$B &lt;= ($B2464 + 5))) / 12) * ($B2464 - 3) * Parameters!$B$4,"&amp;" 0) + IF($B2464 &gt;= 9, IFERROR(SUM(FILTER('Fund Investment Data'!$V:$V, 'Fund Investment Data'!$C:$C = $C2464, 'Fund Investment Data'!$A:$A = $A2464, 'Fund Investment Data'!$B:$B &lt;= 3)) * Parameters!$B$4, 0),0)))"),0.0)</f>
        <v>0</v>
      </c>
      <c r="AB2464" s="32">
        <f>IFERROR(__xludf.DUMMYFUNCTION("IFERROR(((IFERROR(SUM(FILTER('Fund Investment Data'!$V:$V, 'Fund Investment Data'!$C:$C = $C2464, 'Fund Investment Data'!$A:$A = $A2464 - 2, 'Fund Investment Data'!$B:$B &gt;= 4)) * Parameters!$B$4,0) + IFERROR(SUM(FILTER('Fund Investment Data'!$V:$V, 'Fund "&amp;"Investment Data'!$C:$C = $C2464, 'Fund Investment Data'!$A:$A = $A2464 - 1, 'Fund Investment Data'!$B:$B &lt;= 3)) * Parameters!$B$4,0))),0)"),0.0)</f>
        <v>0</v>
      </c>
      <c r="AC2464" s="32">
        <f>IFERROR(__xludf.DUMMYFUNCTION("IFERROR(FILTER($AF:$AF,$C:$C = $C2464,$A:$A = $A2464 - 1,$B:$B = 12),0)"),0.0)</f>
        <v>0</v>
      </c>
      <c r="AD2464" s="32">
        <f t="shared" si="23"/>
        <v>0</v>
      </c>
      <c r="AE2464" s="32">
        <f t="shared" si="2"/>
        <v>0</v>
      </c>
      <c r="AF2464" s="32"/>
    </row>
    <row r="2465">
      <c r="A2465" s="86"/>
      <c r="B2465" s="87"/>
      <c r="C2465" s="88"/>
      <c r="D2465" s="104"/>
      <c r="E2465" s="104"/>
      <c r="F2465" s="104"/>
      <c r="G2465" s="104"/>
      <c r="H2465" s="104"/>
      <c r="I2465" s="104"/>
      <c r="J2465" s="104"/>
      <c r="K2465" s="32"/>
      <c r="L2465" s="32"/>
      <c r="M2465" s="32"/>
      <c r="N2465" s="32"/>
      <c r="O2465" s="106"/>
      <c r="P2465" s="91">
        <f>IFERROR(__xludf.DUMMYFUNCTION("IFERROR(sum(FILTER($D:$N,$C:$C = $C2465,$A:$A &lt; $A2465,$B:$B = 12)),0) + sum($D2465:$N2465)"),0.0)</f>
        <v>0</v>
      </c>
      <c r="Q2465" s="92">
        <f t="shared" si="1"/>
        <v>0</v>
      </c>
      <c r="R2465" s="91">
        <f t="array" ref="R2465">IFERROR(INDEX('Fund YTD Target Values'!$1:$1000, MATCH($C2465,'Fund YTD Target Values'!$A:$A,0), MATCH($A2465,'Fund YTD Target Values'!$1:$1,0)),0)</f>
        <v>0</v>
      </c>
      <c r="S2465" s="91">
        <f>IFERROR(__xludf.DUMMYFUNCTION("IFERROR(sum(FILTER('Fund Investment Data'!$V:$V, 'Fund Investment Data'!$C:$C = $C2465, 'Fund Investment Data'!$A:$A &lt; $A2465)),0) + IFERROR(sum(FILTER('Fund Investment Data'!$V:$V, 'Fund Investment Data'!$C:$C = $C2465, 'Fund Investment Data'!$A:$A = $A2"&amp;"465, 'Fund Investment Data'!$B:$B &lt;= $B2465)),0)"),0.0)</f>
        <v>0</v>
      </c>
      <c r="T2465" s="32"/>
      <c r="U2465" s="32"/>
      <c r="V2465" s="32">
        <f>IFERROR(__xludf.DUMMYFUNCTION("$D2465 - IFERROR(FILTER($D:$D,$C:$C = $C2465, $A:$A = $A2465, $B:$B = $B2465 - 1),0)"),0.0)</f>
        <v>0</v>
      </c>
      <c r="W2465" s="93">
        <f>IFERROR(__xludf.DUMMYFUNCTION("$E2465 - IFERROR(FILTER($E:$E,$C:$C = $C2465, $A:$A = $A2465, $B:$B = $B2465 - 1),0)"),0.0)</f>
        <v>0</v>
      </c>
      <c r="X2465" s="91">
        <f>IFERROR(__xludf.DUMMYFUNCTION("iFERROR((FILTER('Fund Investment Data'!$Z:$Z, 'Fund Investment Data'!$C:$C = $C2465, 'Fund Investment Data'!$A:$A = $A2465 - 1, 'Fund Investment Data'!$B:$B = 12) + FILTER('Fund Investment Data'!$AB:$AB, 'Fund Investment Data'!$C:$C = $C2465, 'Fund Invest"&amp;"ment Data'!$A:$A = $A2465 - 1, 'Fund Investment Data'!$B:$B = 12)) * (1 + AVERAGE(FILTER('Inflation Data'!$C:$C,'Inflation Data'!$A:$A = ($A2465 - 2)))) * Parameters!$A$4,0)"),0.0)</f>
        <v>0</v>
      </c>
      <c r="Y2465" s="91">
        <f>IFERROR(__xludf.DUMMYFUNCTION("IFERROR((IFERROR(FILTER('Fund Investment Data'!$P:$P,'Fund Investment Data'!$C:$C = $C2465,'Fund Investment Data'!$A:$A = ($A2465 - 2), 'Fund Investment Data'!$B:$B = 12),0) - SUM(FILTER('Fund Investment Data'!$V:$V, 'Fund Investment Data'!$C:$C = $C2465,"&amp;" 'Fund Investment Data'!$A:$A = ($A2465 - 2), 'Fund Investment Data'!$B:$B &gt; 3)))  * Parameters!$B$4 * (1 - Parameters!$A$4),0)"),0.0)</f>
        <v>0</v>
      </c>
      <c r="Z2465" s="91">
        <f t="shared" si="24"/>
        <v>0</v>
      </c>
      <c r="AA2465" s="91">
        <f>IFERROR(__xludf.DUMMYFUNCTION("((IFERROR((SUM(FILTER('Fund Investment Data'!$V:$V, 'Fund Investment Data'!$C:$C = $C2465, 'Fund Investment Data'!$A:$A = $A2465 - 1, 'Fund Investment Data'!$B:$B &gt;= 4, 'Fund Investment Data'!$B:$B &lt;= ($B2465 + 5))) / 12) * ($B2465 - 3) * Parameters!$B$4,"&amp;" 0) + IF($B2465 &gt;= 9, IFERROR(SUM(FILTER('Fund Investment Data'!$V:$V, 'Fund Investment Data'!$C:$C = $C2465, 'Fund Investment Data'!$A:$A = $A2465, 'Fund Investment Data'!$B:$B &lt;= 3)) * Parameters!$B$4, 0),0)))"),0.0)</f>
        <v>0</v>
      </c>
      <c r="AB2465" s="32">
        <f>IFERROR(__xludf.DUMMYFUNCTION("IFERROR(((IFERROR(SUM(FILTER('Fund Investment Data'!$V:$V, 'Fund Investment Data'!$C:$C = $C2465, 'Fund Investment Data'!$A:$A = $A2465 - 2, 'Fund Investment Data'!$B:$B &gt;= 4)) * Parameters!$B$4,0) + IFERROR(SUM(FILTER('Fund Investment Data'!$V:$V, 'Fund "&amp;"Investment Data'!$C:$C = $C2465, 'Fund Investment Data'!$A:$A = $A2465 - 1, 'Fund Investment Data'!$B:$B &lt;= 3)) * Parameters!$B$4,0))),0)"),0.0)</f>
        <v>0</v>
      </c>
      <c r="AC2465" s="32">
        <f>IFERROR(__xludf.DUMMYFUNCTION("IFERROR(FILTER($AF:$AF,$C:$C = $C2465,$A:$A = $A2465 - 1,$B:$B = 12),0)"),0.0)</f>
        <v>0</v>
      </c>
      <c r="AD2465" s="32">
        <f t="shared" si="23"/>
        <v>0</v>
      </c>
      <c r="AE2465" s="32">
        <f t="shared" si="2"/>
        <v>0</v>
      </c>
      <c r="AF2465" s="32"/>
    </row>
    <row r="2466">
      <c r="A2466" s="86"/>
      <c r="B2466" s="87"/>
      <c r="C2466" s="88"/>
      <c r="D2466" s="104"/>
      <c r="E2466" s="104"/>
      <c r="F2466" s="104"/>
      <c r="G2466" s="104"/>
      <c r="H2466" s="104"/>
      <c r="I2466" s="104"/>
      <c r="J2466" s="104"/>
      <c r="K2466" s="32"/>
      <c r="L2466" s="32"/>
      <c r="M2466" s="32"/>
      <c r="N2466" s="32"/>
      <c r="O2466" s="106"/>
      <c r="P2466" s="91">
        <f>IFERROR(__xludf.DUMMYFUNCTION("IFERROR(sum(FILTER($D:$N,$C:$C = $C2466,$A:$A &lt; $A2466,$B:$B = 12)),0) + sum($D2466:$N2466)"),0.0)</f>
        <v>0</v>
      </c>
      <c r="Q2466" s="92">
        <f t="shared" si="1"/>
        <v>0</v>
      </c>
      <c r="R2466" s="91">
        <f t="array" ref="R2466">IFERROR(INDEX('Fund YTD Target Values'!$1:$1000, MATCH($C2466,'Fund YTD Target Values'!$A:$A,0), MATCH($A2466,'Fund YTD Target Values'!$1:$1,0)),0)</f>
        <v>0</v>
      </c>
      <c r="S2466" s="91">
        <f>IFERROR(__xludf.DUMMYFUNCTION("IFERROR(sum(FILTER('Fund Investment Data'!$V:$V, 'Fund Investment Data'!$C:$C = $C2466, 'Fund Investment Data'!$A:$A &lt; $A2466)),0) + IFERROR(sum(FILTER('Fund Investment Data'!$V:$V, 'Fund Investment Data'!$C:$C = $C2466, 'Fund Investment Data'!$A:$A = $A2"&amp;"466, 'Fund Investment Data'!$B:$B &lt;= $B2466)),0)"),0.0)</f>
        <v>0</v>
      </c>
      <c r="T2466" s="32"/>
      <c r="U2466" s="32"/>
      <c r="V2466" s="32">
        <f>IFERROR(__xludf.DUMMYFUNCTION("$D2466 - IFERROR(FILTER($D:$D,$C:$C = $C2466, $A:$A = $A2466, $B:$B = $B2466 - 1),0)"),0.0)</f>
        <v>0</v>
      </c>
      <c r="W2466" s="93">
        <f>IFERROR(__xludf.DUMMYFUNCTION("$E2466 - IFERROR(FILTER($E:$E,$C:$C = $C2466, $A:$A = $A2466, $B:$B = $B2466 - 1),0)"),0.0)</f>
        <v>0</v>
      </c>
      <c r="X2466" s="91">
        <f>IFERROR(__xludf.DUMMYFUNCTION("iFERROR((FILTER('Fund Investment Data'!$Z:$Z, 'Fund Investment Data'!$C:$C = $C2466, 'Fund Investment Data'!$A:$A = $A2466 - 1, 'Fund Investment Data'!$B:$B = 12) + FILTER('Fund Investment Data'!$AB:$AB, 'Fund Investment Data'!$C:$C = $C2466, 'Fund Invest"&amp;"ment Data'!$A:$A = $A2466 - 1, 'Fund Investment Data'!$B:$B = 12)) * (1 + AVERAGE(FILTER('Inflation Data'!$C:$C,'Inflation Data'!$A:$A = ($A2466 - 2)))) * Parameters!$A$4,0)"),0.0)</f>
        <v>0</v>
      </c>
      <c r="Y2466" s="91">
        <f>IFERROR(__xludf.DUMMYFUNCTION("IFERROR((IFERROR(FILTER('Fund Investment Data'!$P:$P,'Fund Investment Data'!$C:$C = $C2466,'Fund Investment Data'!$A:$A = ($A2466 - 2), 'Fund Investment Data'!$B:$B = 12),0) - SUM(FILTER('Fund Investment Data'!$V:$V, 'Fund Investment Data'!$C:$C = $C2466,"&amp;" 'Fund Investment Data'!$A:$A = ($A2466 - 2), 'Fund Investment Data'!$B:$B &gt; 3)))  * Parameters!$B$4 * (1 - Parameters!$A$4),0)"),0.0)</f>
        <v>0</v>
      </c>
      <c r="Z2466" s="91">
        <f t="shared" si="24"/>
        <v>0</v>
      </c>
      <c r="AA2466" s="91">
        <f>IFERROR(__xludf.DUMMYFUNCTION("((IFERROR((SUM(FILTER('Fund Investment Data'!$V:$V, 'Fund Investment Data'!$C:$C = $C2466, 'Fund Investment Data'!$A:$A = $A2466 - 1, 'Fund Investment Data'!$B:$B &gt;= 4, 'Fund Investment Data'!$B:$B &lt;= ($B2466 + 5))) / 12) * ($B2466 - 3) * Parameters!$B$4,"&amp;" 0) + IF($B2466 &gt;= 9, IFERROR(SUM(FILTER('Fund Investment Data'!$V:$V, 'Fund Investment Data'!$C:$C = $C2466, 'Fund Investment Data'!$A:$A = $A2466, 'Fund Investment Data'!$B:$B &lt;= 3)) * Parameters!$B$4, 0),0)))"),0.0)</f>
        <v>0</v>
      </c>
      <c r="AB2466" s="32">
        <f>IFERROR(__xludf.DUMMYFUNCTION("IFERROR(((IFERROR(SUM(FILTER('Fund Investment Data'!$V:$V, 'Fund Investment Data'!$C:$C = $C2466, 'Fund Investment Data'!$A:$A = $A2466 - 2, 'Fund Investment Data'!$B:$B &gt;= 4)) * Parameters!$B$4,0) + IFERROR(SUM(FILTER('Fund Investment Data'!$V:$V, 'Fund "&amp;"Investment Data'!$C:$C = $C2466, 'Fund Investment Data'!$A:$A = $A2466 - 1, 'Fund Investment Data'!$B:$B &lt;= 3)) * Parameters!$B$4,0))),0)"),0.0)</f>
        <v>0</v>
      </c>
      <c r="AC2466" s="32">
        <f>IFERROR(__xludf.DUMMYFUNCTION("IFERROR(FILTER($AF:$AF,$C:$C = $C2466,$A:$A = $A2466 - 1,$B:$B = 12),0)"),0.0)</f>
        <v>0</v>
      </c>
      <c r="AD2466" s="32">
        <f t="shared" si="23"/>
        <v>0</v>
      </c>
      <c r="AE2466" s="32">
        <f t="shared" si="2"/>
        <v>0</v>
      </c>
      <c r="AF2466" s="32"/>
    </row>
    <row r="2467">
      <c r="A2467" s="86"/>
      <c r="B2467" s="87"/>
      <c r="C2467" s="88"/>
      <c r="D2467" s="104"/>
      <c r="E2467" s="104"/>
      <c r="F2467" s="104"/>
      <c r="G2467" s="104"/>
      <c r="H2467" s="104"/>
      <c r="I2467" s="104"/>
      <c r="J2467" s="104"/>
      <c r="K2467" s="32"/>
      <c r="L2467" s="32"/>
      <c r="M2467" s="32"/>
      <c r="N2467" s="32"/>
      <c r="O2467" s="106"/>
      <c r="P2467" s="91">
        <f>IFERROR(__xludf.DUMMYFUNCTION("IFERROR(sum(FILTER($D:$N,$C:$C = $C2467,$A:$A &lt; $A2467,$B:$B = 12)),0) + sum($D2467:$N2467)"),0.0)</f>
        <v>0</v>
      </c>
      <c r="Q2467" s="92">
        <f t="shared" si="1"/>
        <v>0</v>
      </c>
      <c r="R2467" s="91">
        <f t="array" ref="R2467">IFERROR(INDEX('Fund YTD Target Values'!$1:$1000, MATCH($C2467,'Fund YTD Target Values'!$A:$A,0), MATCH($A2467,'Fund YTD Target Values'!$1:$1,0)),0)</f>
        <v>0</v>
      </c>
      <c r="S2467" s="91">
        <f>IFERROR(__xludf.DUMMYFUNCTION("IFERROR(sum(FILTER('Fund Investment Data'!$V:$V, 'Fund Investment Data'!$C:$C = $C2467, 'Fund Investment Data'!$A:$A &lt; $A2467)),0) + IFERROR(sum(FILTER('Fund Investment Data'!$V:$V, 'Fund Investment Data'!$C:$C = $C2467, 'Fund Investment Data'!$A:$A = $A2"&amp;"467, 'Fund Investment Data'!$B:$B &lt;= $B2467)),0)"),0.0)</f>
        <v>0</v>
      </c>
      <c r="T2467" s="32"/>
      <c r="U2467" s="32"/>
      <c r="V2467" s="32">
        <f>IFERROR(__xludf.DUMMYFUNCTION("$D2467 - IFERROR(FILTER($D:$D,$C:$C = $C2467, $A:$A = $A2467, $B:$B = $B2467 - 1),0)"),0.0)</f>
        <v>0</v>
      </c>
      <c r="W2467" s="93">
        <f>IFERROR(__xludf.DUMMYFUNCTION("$E2467 - IFERROR(FILTER($E:$E,$C:$C = $C2467, $A:$A = $A2467, $B:$B = $B2467 - 1),0)"),0.0)</f>
        <v>0</v>
      </c>
      <c r="X2467" s="91">
        <f>IFERROR(__xludf.DUMMYFUNCTION("iFERROR((FILTER('Fund Investment Data'!$Z:$Z, 'Fund Investment Data'!$C:$C = $C2467, 'Fund Investment Data'!$A:$A = $A2467 - 1, 'Fund Investment Data'!$B:$B = 12) + FILTER('Fund Investment Data'!$AB:$AB, 'Fund Investment Data'!$C:$C = $C2467, 'Fund Invest"&amp;"ment Data'!$A:$A = $A2467 - 1, 'Fund Investment Data'!$B:$B = 12)) * (1 + AVERAGE(FILTER('Inflation Data'!$C:$C,'Inflation Data'!$A:$A = ($A2467 - 2)))) * Parameters!$A$4,0)"),0.0)</f>
        <v>0</v>
      </c>
      <c r="Y2467" s="91">
        <f>IFERROR(__xludf.DUMMYFUNCTION("IFERROR((IFERROR(FILTER('Fund Investment Data'!$P:$P,'Fund Investment Data'!$C:$C = $C2467,'Fund Investment Data'!$A:$A = ($A2467 - 2), 'Fund Investment Data'!$B:$B = 12),0) - SUM(FILTER('Fund Investment Data'!$V:$V, 'Fund Investment Data'!$C:$C = $C2467,"&amp;" 'Fund Investment Data'!$A:$A = ($A2467 - 2), 'Fund Investment Data'!$B:$B &gt; 3)))  * Parameters!$B$4 * (1 - Parameters!$A$4),0)"),0.0)</f>
        <v>0</v>
      </c>
      <c r="Z2467" s="91">
        <f t="shared" si="24"/>
        <v>0</v>
      </c>
      <c r="AA2467" s="91">
        <f>IFERROR(__xludf.DUMMYFUNCTION("((IFERROR((SUM(FILTER('Fund Investment Data'!$V:$V, 'Fund Investment Data'!$C:$C = $C2467, 'Fund Investment Data'!$A:$A = $A2467 - 1, 'Fund Investment Data'!$B:$B &gt;= 4, 'Fund Investment Data'!$B:$B &lt;= ($B2467 + 5))) / 12) * ($B2467 - 3) * Parameters!$B$4,"&amp;" 0) + IF($B2467 &gt;= 9, IFERROR(SUM(FILTER('Fund Investment Data'!$V:$V, 'Fund Investment Data'!$C:$C = $C2467, 'Fund Investment Data'!$A:$A = $A2467, 'Fund Investment Data'!$B:$B &lt;= 3)) * Parameters!$B$4, 0),0)))"),0.0)</f>
        <v>0</v>
      </c>
      <c r="AB2467" s="32">
        <f>IFERROR(__xludf.DUMMYFUNCTION("IFERROR(((IFERROR(SUM(FILTER('Fund Investment Data'!$V:$V, 'Fund Investment Data'!$C:$C = $C2467, 'Fund Investment Data'!$A:$A = $A2467 - 2, 'Fund Investment Data'!$B:$B &gt;= 4)) * Parameters!$B$4,0) + IFERROR(SUM(FILTER('Fund Investment Data'!$V:$V, 'Fund "&amp;"Investment Data'!$C:$C = $C2467, 'Fund Investment Data'!$A:$A = $A2467 - 1, 'Fund Investment Data'!$B:$B &lt;= 3)) * Parameters!$B$4,0))),0)"),0.0)</f>
        <v>0</v>
      </c>
      <c r="AC2467" s="32">
        <f>IFERROR(__xludf.DUMMYFUNCTION("IFERROR(FILTER($AF:$AF,$C:$C = $C2467,$A:$A = $A2467 - 1,$B:$B = 12),0)"),0.0)</f>
        <v>0</v>
      </c>
      <c r="AD2467" s="32">
        <f t="shared" si="23"/>
        <v>0</v>
      </c>
      <c r="AE2467" s="32">
        <f t="shared" si="2"/>
        <v>0</v>
      </c>
      <c r="AF2467" s="32"/>
    </row>
    <row r="2468">
      <c r="A2468" s="86"/>
      <c r="B2468" s="87"/>
      <c r="C2468" s="88"/>
      <c r="D2468" s="104"/>
      <c r="E2468" s="104"/>
      <c r="F2468" s="104"/>
      <c r="G2468" s="104"/>
      <c r="H2468" s="104"/>
      <c r="I2468" s="104"/>
      <c r="J2468" s="104"/>
      <c r="K2468" s="32"/>
      <c r="L2468" s="32"/>
      <c r="M2468" s="32"/>
      <c r="N2468" s="32"/>
      <c r="O2468" s="106"/>
      <c r="P2468" s="91">
        <f>IFERROR(__xludf.DUMMYFUNCTION("IFERROR(sum(FILTER($D:$N,$C:$C = $C2468,$A:$A &lt; $A2468,$B:$B = 12)),0) + sum($D2468:$N2468)"),0.0)</f>
        <v>0</v>
      </c>
      <c r="Q2468" s="92">
        <f t="shared" si="1"/>
        <v>0</v>
      </c>
      <c r="R2468" s="91">
        <f t="array" ref="R2468">IFERROR(INDEX('Fund YTD Target Values'!$1:$1000, MATCH($C2468,'Fund YTD Target Values'!$A:$A,0), MATCH($A2468,'Fund YTD Target Values'!$1:$1,0)),0)</f>
        <v>0</v>
      </c>
      <c r="S2468" s="91">
        <f>IFERROR(__xludf.DUMMYFUNCTION("IFERROR(sum(FILTER('Fund Investment Data'!$V:$V, 'Fund Investment Data'!$C:$C = $C2468, 'Fund Investment Data'!$A:$A &lt; $A2468)),0) + IFERROR(sum(FILTER('Fund Investment Data'!$V:$V, 'Fund Investment Data'!$C:$C = $C2468, 'Fund Investment Data'!$A:$A = $A2"&amp;"468, 'Fund Investment Data'!$B:$B &lt;= $B2468)),0)"),0.0)</f>
        <v>0</v>
      </c>
      <c r="T2468" s="32"/>
      <c r="U2468" s="32"/>
      <c r="V2468" s="32">
        <f>IFERROR(__xludf.DUMMYFUNCTION("$D2468 - IFERROR(FILTER($D:$D,$C:$C = $C2468, $A:$A = $A2468, $B:$B = $B2468 - 1),0)"),0.0)</f>
        <v>0</v>
      </c>
      <c r="W2468" s="93">
        <f>IFERROR(__xludf.DUMMYFUNCTION("$E2468 - IFERROR(FILTER($E:$E,$C:$C = $C2468, $A:$A = $A2468, $B:$B = $B2468 - 1),0)"),0.0)</f>
        <v>0</v>
      </c>
      <c r="X2468" s="91">
        <f>IFERROR(__xludf.DUMMYFUNCTION("iFERROR((FILTER('Fund Investment Data'!$Z:$Z, 'Fund Investment Data'!$C:$C = $C2468, 'Fund Investment Data'!$A:$A = $A2468 - 1, 'Fund Investment Data'!$B:$B = 12) + FILTER('Fund Investment Data'!$AB:$AB, 'Fund Investment Data'!$C:$C = $C2468, 'Fund Invest"&amp;"ment Data'!$A:$A = $A2468 - 1, 'Fund Investment Data'!$B:$B = 12)) * (1 + AVERAGE(FILTER('Inflation Data'!$C:$C,'Inflation Data'!$A:$A = ($A2468 - 2)))) * Parameters!$A$4,0)"),0.0)</f>
        <v>0</v>
      </c>
      <c r="Y2468" s="91">
        <f>IFERROR(__xludf.DUMMYFUNCTION("IFERROR((IFERROR(FILTER('Fund Investment Data'!$P:$P,'Fund Investment Data'!$C:$C = $C2468,'Fund Investment Data'!$A:$A = ($A2468 - 2), 'Fund Investment Data'!$B:$B = 12),0) - SUM(FILTER('Fund Investment Data'!$V:$V, 'Fund Investment Data'!$C:$C = $C2468,"&amp;" 'Fund Investment Data'!$A:$A = ($A2468 - 2), 'Fund Investment Data'!$B:$B &gt; 3)))  * Parameters!$B$4 * (1 - Parameters!$A$4),0)"),0.0)</f>
        <v>0</v>
      </c>
      <c r="Z2468" s="91">
        <f t="shared" si="24"/>
        <v>0</v>
      </c>
      <c r="AA2468" s="91">
        <f>IFERROR(__xludf.DUMMYFUNCTION("((IFERROR((SUM(FILTER('Fund Investment Data'!$V:$V, 'Fund Investment Data'!$C:$C = $C2468, 'Fund Investment Data'!$A:$A = $A2468 - 1, 'Fund Investment Data'!$B:$B &gt;= 4, 'Fund Investment Data'!$B:$B &lt;= ($B2468 + 5))) / 12) * ($B2468 - 3) * Parameters!$B$4,"&amp;" 0) + IF($B2468 &gt;= 9, IFERROR(SUM(FILTER('Fund Investment Data'!$V:$V, 'Fund Investment Data'!$C:$C = $C2468, 'Fund Investment Data'!$A:$A = $A2468, 'Fund Investment Data'!$B:$B &lt;= 3)) * Parameters!$B$4, 0),0)))"),0.0)</f>
        <v>0</v>
      </c>
      <c r="AB2468" s="32">
        <f>IFERROR(__xludf.DUMMYFUNCTION("IFERROR(((IFERROR(SUM(FILTER('Fund Investment Data'!$V:$V, 'Fund Investment Data'!$C:$C = $C2468, 'Fund Investment Data'!$A:$A = $A2468 - 2, 'Fund Investment Data'!$B:$B &gt;= 4)) * Parameters!$B$4,0) + IFERROR(SUM(FILTER('Fund Investment Data'!$V:$V, 'Fund "&amp;"Investment Data'!$C:$C = $C2468, 'Fund Investment Data'!$A:$A = $A2468 - 1, 'Fund Investment Data'!$B:$B &lt;= 3)) * Parameters!$B$4,0))),0)"),0.0)</f>
        <v>0</v>
      </c>
      <c r="AC2468" s="32">
        <f>IFERROR(__xludf.DUMMYFUNCTION("IFERROR(FILTER($AF:$AF,$C:$C = $C2468,$A:$A = $A2468 - 1,$B:$B = 12),0)"),0.0)</f>
        <v>0</v>
      </c>
      <c r="AD2468" s="32">
        <f t="shared" si="23"/>
        <v>0</v>
      </c>
      <c r="AE2468" s="32">
        <f t="shared" si="2"/>
        <v>0</v>
      </c>
      <c r="AF2468" s="32"/>
    </row>
    <row r="2469">
      <c r="A2469" s="86"/>
      <c r="B2469" s="87"/>
      <c r="C2469" s="88"/>
      <c r="D2469" s="104"/>
      <c r="E2469" s="104"/>
      <c r="F2469" s="104"/>
      <c r="G2469" s="104"/>
      <c r="H2469" s="104"/>
      <c r="I2469" s="104"/>
      <c r="J2469" s="104"/>
      <c r="K2469" s="32"/>
      <c r="L2469" s="32"/>
      <c r="M2469" s="32"/>
      <c r="N2469" s="32"/>
      <c r="O2469" s="106"/>
      <c r="P2469" s="91">
        <f>IFERROR(__xludf.DUMMYFUNCTION("IFERROR(sum(FILTER($D:$N,$C:$C = $C2469,$A:$A &lt; $A2469,$B:$B = 12)),0) + sum($D2469:$N2469)"),0.0)</f>
        <v>0</v>
      </c>
      <c r="Q2469" s="92">
        <f t="shared" si="1"/>
        <v>0</v>
      </c>
      <c r="R2469" s="91">
        <f t="array" ref="R2469">IFERROR(INDEX('Fund YTD Target Values'!$1:$1000, MATCH($C2469,'Fund YTD Target Values'!$A:$A,0), MATCH($A2469,'Fund YTD Target Values'!$1:$1,0)),0)</f>
        <v>0</v>
      </c>
      <c r="S2469" s="91">
        <f>IFERROR(__xludf.DUMMYFUNCTION("IFERROR(sum(FILTER('Fund Investment Data'!$V:$V, 'Fund Investment Data'!$C:$C = $C2469, 'Fund Investment Data'!$A:$A &lt; $A2469)),0) + IFERROR(sum(FILTER('Fund Investment Data'!$V:$V, 'Fund Investment Data'!$C:$C = $C2469, 'Fund Investment Data'!$A:$A = $A2"&amp;"469, 'Fund Investment Data'!$B:$B &lt;= $B2469)),0)"),0.0)</f>
        <v>0</v>
      </c>
      <c r="T2469" s="32"/>
      <c r="U2469" s="32"/>
      <c r="V2469" s="32">
        <f>IFERROR(__xludf.DUMMYFUNCTION("$D2469 - IFERROR(FILTER($D:$D,$C:$C = $C2469, $A:$A = $A2469, $B:$B = $B2469 - 1),0)"),0.0)</f>
        <v>0</v>
      </c>
      <c r="W2469" s="93">
        <f>IFERROR(__xludf.DUMMYFUNCTION("$E2469 - IFERROR(FILTER($E:$E,$C:$C = $C2469, $A:$A = $A2469, $B:$B = $B2469 - 1),0)"),0.0)</f>
        <v>0</v>
      </c>
      <c r="X2469" s="91">
        <f>IFERROR(__xludf.DUMMYFUNCTION("iFERROR((FILTER('Fund Investment Data'!$Z:$Z, 'Fund Investment Data'!$C:$C = $C2469, 'Fund Investment Data'!$A:$A = $A2469 - 1, 'Fund Investment Data'!$B:$B = 12) + FILTER('Fund Investment Data'!$AB:$AB, 'Fund Investment Data'!$C:$C = $C2469, 'Fund Invest"&amp;"ment Data'!$A:$A = $A2469 - 1, 'Fund Investment Data'!$B:$B = 12)) * (1 + AVERAGE(FILTER('Inflation Data'!$C:$C,'Inflation Data'!$A:$A = ($A2469 - 2)))) * Parameters!$A$4,0)"),0.0)</f>
        <v>0</v>
      </c>
      <c r="Y2469" s="91">
        <f>IFERROR(__xludf.DUMMYFUNCTION("IFERROR((IFERROR(FILTER('Fund Investment Data'!$P:$P,'Fund Investment Data'!$C:$C = $C2469,'Fund Investment Data'!$A:$A = ($A2469 - 2), 'Fund Investment Data'!$B:$B = 12),0) - SUM(FILTER('Fund Investment Data'!$V:$V, 'Fund Investment Data'!$C:$C = $C2469,"&amp;" 'Fund Investment Data'!$A:$A = ($A2469 - 2), 'Fund Investment Data'!$B:$B &gt; 3)))  * Parameters!$B$4 * (1 - Parameters!$A$4),0)"),0.0)</f>
        <v>0</v>
      </c>
      <c r="Z2469" s="91">
        <f t="shared" si="24"/>
        <v>0</v>
      </c>
      <c r="AA2469" s="91">
        <f>IFERROR(__xludf.DUMMYFUNCTION("((IFERROR((SUM(FILTER('Fund Investment Data'!$V:$V, 'Fund Investment Data'!$C:$C = $C2469, 'Fund Investment Data'!$A:$A = $A2469 - 1, 'Fund Investment Data'!$B:$B &gt;= 4, 'Fund Investment Data'!$B:$B &lt;= ($B2469 + 5))) / 12) * ($B2469 - 3) * Parameters!$B$4,"&amp;" 0) + IF($B2469 &gt;= 9, IFERROR(SUM(FILTER('Fund Investment Data'!$V:$V, 'Fund Investment Data'!$C:$C = $C2469, 'Fund Investment Data'!$A:$A = $A2469, 'Fund Investment Data'!$B:$B &lt;= 3)) * Parameters!$B$4, 0),0)))"),0.0)</f>
        <v>0</v>
      </c>
      <c r="AB2469" s="32">
        <f>IFERROR(__xludf.DUMMYFUNCTION("IFERROR(((IFERROR(SUM(FILTER('Fund Investment Data'!$V:$V, 'Fund Investment Data'!$C:$C = $C2469, 'Fund Investment Data'!$A:$A = $A2469 - 2, 'Fund Investment Data'!$B:$B &gt;= 4)) * Parameters!$B$4,0) + IFERROR(SUM(FILTER('Fund Investment Data'!$V:$V, 'Fund "&amp;"Investment Data'!$C:$C = $C2469, 'Fund Investment Data'!$A:$A = $A2469 - 1, 'Fund Investment Data'!$B:$B &lt;= 3)) * Parameters!$B$4,0))),0)"),0.0)</f>
        <v>0</v>
      </c>
      <c r="AC2469" s="32">
        <f>IFERROR(__xludf.DUMMYFUNCTION("IFERROR(FILTER($AF:$AF,$C:$C = $C2469,$A:$A = $A2469 - 1,$B:$B = 12),0)"),0.0)</f>
        <v>0</v>
      </c>
      <c r="AD2469" s="32">
        <f t="shared" si="23"/>
        <v>0</v>
      </c>
      <c r="AE2469" s="32">
        <f t="shared" si="2"/>
        <v>0</v>
      </c>
      <c r="AF2469" s="32"/>
    </row>
    <row r="2470">
      <c r="A2470" s="86"/>
      <c r="B2470" s="87"/>
      <c r="C2470" s="88"/>
      <c r="D2470" s="104"/>
      <c r="E2470" s="104"/>
      <c r="F2470" s="104"/>
      <c r="G2470" s="104"/>
      <c r="H2470" s="104"/>
      <c r="I2470" s="104"/>
      <c r="J2470" s="104"/>
      <c r="K2470" s="32"/>
      <c r="L2470" s="32"/>
      <c r="M2470" s="32"/>
      <c r="N2470" s="32"/>
      <c r="O2470" s="106"/>
      <c r="P2470" s="91">
        <f>IFERROR(__xludf.DUMMYFUNCTION("IFERROR(sum(FILTER($D:$N,$C:$C = $C2470,$A:$A &lt; $A2470,$B:$B = 12)),0) + sum($D2470:$N2470)"),0.0)</f>
        <v>0</v>
      </c>
      <c r="Q2470" s="92">
        <f t="shared" si="1"/>
        <v>0</v>
      </c>
      <c r="R2470" s="91">
        <f t="array" ref="R2470">IFERROR(INDEX('Fund YTD Target Values'!$1:$1000, MATCH($C2470,'Fund YTD Target Values'!$A:$A,0), MATCH($A2470,'Fund YTD Target Values'!$1:$1,0)),0)</f>
        <v>0</v>
      </c>
      <c r="S2470" s="91">
        <f>IFERROR(__xludf.DUMMYFUNCTION("IFERROR(sum(FILTER('Fund Investment Data'!$V:$V, 'Fund Investment Data'!$C:$C = $C2470, 'Fund Investment Data'!$A:$A &lt; $A2470)),0) + IFERROR(sum(FILTER('Fund Investment Data'!$V:$V, 'Fund Investment Data'!$C:$C = $C2470, 'Fund Investment Data'!$A:$A = $A2"&amp;"470, 'Fund Investment Data'!$B:$B &lt;= $B2470)),0)"),0.0)</f>
        <v>0</v>
      </c>
      <c r="T2470" s="32"/>
      <c r="U2470" s="32"/>
      <c r="V2470" s="32">
        <f>IFERROR(__xludf.DUMMYFUNCTION("$D2470 - IFERROR(FILTER($D:$D,$C:$C = $C2470, $A:$A = $A2470, $B:$B = $B2470 - 1),0)"),0.0)</f>
        <v>0</v>
      </c>
      <c r="W2470" s="93">
        <f>IFERROR(__xludf.DUMMYFUNCTION("$E2470 - IFERROR(FILTER($E:$E,$C:$C = $C2470, $A:$A = $A2470, $B:$B = $B2470 - 1),0)"),0.0)</f>
        <v>0</v>
      </c>
      <c r="X2470" s="91">
        <f>IFERROR(__xludf.DUMMYFUNCTION("iFERROR((FILTER('Fund Investment Data'!$Z:$Z, 'Fund Investment Data'!$C:$C = $C2470, 'Fund Investment Data'!$A:$A = $A2470 - 1, 'Fund Investment Data'!$B:$B = 12) + FILTER('Fund Investment Data'!$AB:$AB, 'Fund Investment Data'!$C:$C = $C2470, 'Fund Invest"&amp;"ment Data'!$A:$A = $A2470 - 1, 'Fund Investment Data'!$B:$B = 12)) * (1 + AVERAGE(FILTER('Inflation Data'!$C:$C,'Inflation Data'!$A:$A = ($A2470 - 2)))) * Parameters!$A$4,0)"),0.0)</f>
        <v>0</v>
      </c>
      <c r="Y2470" s="91">
        <f>IFERROR(__xludf.DUMMYFUNCTION("IFERROR((IFERROR(FILTER('Fund Investment Data'!$P:$P,'Fund Investment Data'!$C:$C = $C2470,'Fund Investment Data'!$A:$A = ($A2470 - 2), 'Fund Investment Data'!$B:$B = 12),0) - SUM(FILTER('Fund Investment Data'!$V:$V, 'Fund Investment Data'!$C:$C = $C2470,"&amp;" 'Fund Investment Data'!$A:$A = ($A2470 - 2), 'Fund Investment Data'!$B:$B &gt; 3)))  * Parameters!$B$4 * (1 - Parameters!$A$4),0)"),0.0)</f>
        <v>0</v>
      </c>
      <c r="Z2470" s="91">
        <f t="shared" si="24"/>
        <v>0</v>
      </c>
      <c r="AA2470" s="91">
        <f>IFERROR(__xludf.DUMMYFUNCTION("((IFERROR((SUM(FILTER('Fund Investment Data'!$V:$V, 'Fund Investment Data'!$C:$C = $C2470, 'Fund Investment Data'!$A:$A = $A2470 - 1, 'Fund Investment Data'!$B:$B &gt;= 4, 'Fund Investment Data'!$B:$B &lt;= ($B2470 + 5))) / 12) * ($B2470 - 3) * Parameters!$B$4,"&amp;" 0) + IF($B2470 &gt;= 9, IFERROR(SUM(FILTER('Fund Investment Data'!$V:$V, 'Fund Investment Data'!$C:$C = $C2470, 'Fund Investment Data'!$A:$A = $A2470, 'Fund Investment Data'!$B:$B &lt;= 3)) * Parameters!$B$4, 0),0)))"),0.0)</f>
        <v>0</v>
      </c>
      <c r="AB2470" s="32">
        <f>IFERROR(__xludf.DUMMYFUNCTION("IFERROR(((IFERROR(SUM(FILTER('Fund Investment Data'!$V:$V, 'Fund Investment Data'!$C:$C = $C2470, 'Fund Investment Data'!$A:$A = $A2470 - 2, 'Fund Investment Data'!$B:$B &gt;= 4)) * Parameters!$B$4,0) + IFERROR(SUM(FILTER('Fund Investment Data'!$V:$V, 'Fund "&amp;"Investment Data'!$C:$C = $C2470, 'Fund Investment Data'!$A:$A = $A2470 - 1, 'Fund Investment Data'!$B:$B &lt;= 3)) * Parameters!$B$4,0))),0)"),0.0)</f>
        <v>0</v>
      </c>
      <c r="AC2470" s="32">
        <f>IFERROR(__xludf.DUMMYFUNCTION("IFERROR(FILTER($AF:$AF,$C:$C = $C2470,$A:$A = $A2470 - 1,$B:$B = 12),0)"),0.0)</f>
        <v>0</v>
      </c>
      <c r="AD2470" s="32">
        <f t="shared" si="23"/>
        <v>0</v>
      </c>
      <c r="AE2470" s="32">
        <f t="shared" si="2"/>
        <v>0</v>
      </c>
      <c r="AF2470" s="32"/>
    </row>
    <row r="2471">
      <c r="A2471" s="86"/>
      <c r="B2471" s="87"/>
      <c r="C2471" s="88"/>
      <c r="D2471" s="104"/>
      <c r="E2471" s="104"/>
      <c r="F2471" s="104"/>
      <c r="G2471" s="104"/>
      <c r="H2471" s="104"/>
      <c r="I2471" s="104"/>
      <c r="J2471" s="104"/>
      <c r="K2471" s="32"/>
      <c r="L2471" s="32"/>
      <c r="M2471" s="32"/>
      <c r="N2471" s="32"/>
      <c r="O2471" s="106"/>
      <c r="P2471" s="91">
        <f>IFERROR(__xludf.DUMMYFUNCTION("IFERROR(sum(FILTER($D:$N,$C:$C = $C2471,$A:$A &lt; $A2471,$B:$B = 12)),0) + sum($D2471:$N2471)"),0.0)</f>
        <v>0</v>
      </c>
      <c r="Q2471" s="92">
        <f t="shared" si="1"/>
        <v>0</v>
      </c>
      <c r="R2471" s="91">
        <f t="array" ref="R2471">IFERROR(INDEX('Fund YTD Target Values'!$1:$1000, MATCH($C2471,'Fund YTD Target Values'!$A:$A,0), MATCH($A2471,'Fund YTD Target Values'!$1:$1,0)),0)</f>
        <v>0</v>
      </c>
      <c r="S2471" s="91">
        <f>IFERROR(__xludf.DUMMYFUNCTION("IFERROR(sum(FILTER('Fund Investment Data'!$V:$V, 'Fund Investment Data'!$C:$C = $C2471, 'Fund Investment Data'!$A:$A &lt; $A2471)),0) + IFERROR(sum(FILTER('Fund Investment Data'!$V:$V, 'Fund Investment Data'!$C:$C = $C2471, 'Fund Investment Data'!$A:$A = $A2"&amp;"471, 'Fund Investment Data'!$B:$B &lt;= $B2471)),0)"),0.0)</f>
        <v>0</v>
      </c>
      <c r="T2471" s="32"/>
      <c r="U2471" s="32"/>
      <c r="V2471" s="32">
        <f>IFERROR(__xludf.DUMMYFUNCTION("$D2471 - IFERROR(FILTER($D:$D,$C:$C = $C2471, $A:$A = $A2471, $B:$B = $B2471 - 1),0)"),0.0)</f>
        <v>0</v>
      </c>
      <c r="W2471" s="93">
        <f>IFERROR(__xludf.DUMMYFUNCTION("$E2471 - IFERROR(FILTER($E:$E,$C:$C = $C2471, $A:$A = $A2471, $B:$B = $B2471 - 1),0)"),0.0)</f>
        <v>0</v>
      </c>
      <c r="X2471" s="91">
        <f>IFERROR(__xludf.DUMMYFUNCTION("iFERROR((FILTER('Fund Investment Data'!$Z:$Z, 'Fund Investment Data'!$C:$C = $C2471, 'Fund Investment Data'!$A:$A = $A2471 - 1, 'Fund Investment Data'!$B:$B = 12) + FILTER('Fund Investment Data'!$AB:$AB, 'Fund Investment Data'!$C:$C = $C2471, 'Fund Invest"&amp;"ment Data'!$A:$A = $A2471 - 1, 'Fund Investment Data'!$B:$B = 12)) * (1 + AVERAGE(FILTER('Inflation Data'!$C:$C,'Inflation Data'!$A:$A = ($A2471 - 2)))) * Parameters!$A$4,0)"),0.0)</f>
        <v>0</v>
      </c>
      <c r="Y2471" s="91">
        <f>IFERROR(__xludf.DUMMYFUNCTION("IFERROR((IFERROR(FILTER('Fund Investment Data'!$P:$P,'Fund Investment Data'!$C:$C = $C2471,'Fund Investment Data'!$A:$A = ($A2471 - 2), 'Fund Investment Data'!$B:$B = 12),0) - SUM(FILTER('Fund Investment Data'!$V:$V, 'Fund Investment Data'!$C:$C = $C2471,"&amp;" 'Fund Investment Data'!$A:$A = ($A2471 - 2), 'Fund Investment Data'!$B:$B &gt; 3)))  * Parameters!$B$4 * (1 - Parameters!$A$4),0)"),0.0)</f>
        <v>0</v>
      </c>
      <c r="Z2471" s="91">
        <f t="shared" si="24"/>
        <v>0</v>
      </c>
      <c r="AA2471" s="91">
        <f>IFERROR(__xludf.DUMMYFUNCTION("((IFERROR((SUM(FILTER('Fund Investment Data'!$V:$V, 'Fund Investment Data'!$C:$C = $C2471, 'Fund Investment Data'!$A:$A = $A2471 - 1, 'Fund Investment Data'!$B:$B &gt;= 4, 'Fund Investment Data'!$B:$B &lt;= ($B2471 + 5))) / 12) * ($B2471 - 3) * Parameters!$B$4,"&amp;" 0) + IF($B2471 &gt;= 9, IFERROR(SUM(FILTER('Fund Investment Data'!$V:$V, 'Fund Investment Data'!$C:$C = $C2471, 'Fund Investment Data'!$A:$A = $A2471, 'Fund Investment Data'!$B:$B &lt;= 3)) * Parameters!$B$4, 0),0)))"),0.0)</f>
        <v>0</v>
      </c>
      <c r="AB2471" s="32">
        <f>IFERROR(__xludf.DUMMYFUNCTION("IFERROR(((IFERROR(SUM(FILTER('Fund Investment Data'!$V:$V, 'Fund Investment Data'!$C:$C = $C2471, 'Fund Investment Data'!$A:$A = $A2471 - 2, 'Fund Investment Data'!$B:$B &gt;= 4)) * Parameters!$B$4,0) + IFERROR(SUM(FILTER('Fund Investment Data'!$V:$V, 'Fund "&amp;"Investment Data'!$C:$C = $C2471, 'Fund Investment Data'!$A:$A = $A2471 - 1, 'Fund Investment Data'!$B:$B &lt;= 3)) * Parameters!$B$4,0))),0)"),0.0)</f>
        <v>0</v>
      </c>
      <c r="AC2471" s="32">
        <f>IFERROR(__xludf.DUMMYFUNCTION("IFERROR(FILTER($AF:$AF,$C:$C = $C2471,$A:$A = $A2471 - 1,$B:$B = 12),0)"),0.0)</f>
        <v>0</v>
      </c>
      <c r="AD2471" s="32">
        <f t="shared" si="23"/>
        <v>0</v>
      </c>
      <c r="AE2471" s="32">
        <f t="shared" si="2"/>
        <v>0</v>
      </c>
      <c r="AF2471" s="32"/>
    </row>
    <row r="2472">
      <c r="A2472" s="86"/>
      <c r="B2472" s="87"/>
      <c r="C2472" s="88"/>
      <c r="D2472" s="104"/>
      <c r="E2472" s="104"/>
      <c r="F2472" s="104"/>
      <c r="G2472" s="104"/>
      <c r="H2472" s="104"/>
      <c r="I2472" s="104"/>
      <c r="J2472" s="104"/>
      <c r="K2472" s="32"/>
      <c r="L2472" s="32"/>
      <c r="M2472" s="32"/>
      <c r="N2472" s="32"/>
      <c r="O2472" s="106"/>
      <c r="P2472" s="91">
        <f>IFERROR(__xludf.DUMMYFUNCTION("IFERROR(sum(FILTER($D:$N,$C:$C = $C2472,$A:$A &lt; $A2472,$B:$B = 12)),0) + sum($D2472:$N2472)"),0.0)</f>
        <v>0</v>
      </c>
      <c r="Q2472" s="92">
        <f t="shared" si="1"/>
        <v>0</v>
      </c>
      <c r="R2472" s="91">
        <f t="array" ref="R2472">IFERROR(INDEX('Fund YTD Target Values'!$1:$1000, MATCH($C2472,'Fund YTD Target Values'!$A:$A,0), MATCH($A2472,'Fund YTD Target Values'!$1:$1,0)),0)</f>
        <v>0</v>
      </c>
      <c r="S2472" s="91">
        <f>IFERROR(__xludf.DUMMYFUNCTION("IFERROR(sum(FILTER('Fund Investment Data'!$V:$V, 'Fund Investment Data'!$C:$C = $C2472, 'Fund Investment Data'!$A:$A &lt; $A2472)),0) + IFERROR(sum(FILTER('Fund Investment Data'!$V:$V, 'Fund Investment Data'!$C:$C = $C2472, 'Fund Investment Data'!$A:$A = $A2"&amp;"472, 'Fund Investment Data'!$B:$B &lt;= $B2472)),0)"),0.0)</f>
        <v>0</v>
      </c>
      <c r="T2472" s="32"/>
      <c r="U2472" s="32"/>
      <c r="V2472" s="32">
        <f>IFERROR(__xludf.DUMMYFUNCTION("$D2472 - IFERROR(FILTER($D:$D,$C:$C = $C2472, $A:$A = $A2472, $B:$B = $B2472 - 1),0)"),0.0)</f>
        <v>0</v>
      </c>
      <c r="W2472" s="93">
        <f>IFERROR(__xludf.DUMMYFUNCTION("$E2472 - IFERROR(FILTER($E:$E,$C:$C = $C2472, $A:$A = $A2472, $B:$B = $B2472 - 1),0)"),0.0)</f>
        <v>0</v>
      </c>
      <c r="X2472" s="91">
        <f>IFERROR(__xludf.DUMMYFUNCTION("iFERROR((FILTER('Fund Investment Data'!$Z:$Z, 'Fund Investment Data'!$C:$C = $C2472, 'Fund Investment Data'!$A:$A = $A2472 - 1, 'Fund Investment Data'!$B:$B = 12) + FILTER('Fund Investment Data'!$AB:$AB, 'Fund Investment Data'!$C:$C = $C2472, 'Fund Invest"&amp;"ment Data'!$A:$A = $A2472 - 1, 'Fund Investment Data'!$B:$B = 12)) * (1 + AVERAGE(FILTER('Inflation Data'!$C:$C,'Inflation Data'!$A:$A = ($A2472 - 2)))) * Parameters!$A$4,0)"),0.0)</f>
        <v>0</v>
      </c>
      <c r="Y2472" s="91">
        <f>IFERROR(__xludf.DUMMYFUNCTION("IFERROR((IFERROR(FILTER('Fund Investment Data'!$P:$P,'Fund Investment Data'!$C:$C = $C2472,'Fund Investment Data'!$A:$A = ($A2472 - 2), 'Fund Investment Data'!$B:$B = 12),0) - SUM(FILTER('Fund Investment Data'!$V:$V, 'Fund Investment Data'!$C:$C = $C2472,"&amp;" 'Fund Investment Data'!$A:$A = ($A2472 - 2), 'Fund Investment Data'!$B:$B &gt; 3)))  * Parameters!$B$4 * (1 - Parameters!$A$4),0)"),0.0)</f>
        <v>0</v>
      </c>
      <c r="Z2472" s="91">
        <f t="shared" si="24"/>
        <v>0</v>
      </c>
      <c r="AA2472" s="91">
        <f>IFERROR(__xludf.DUMMYFUNCTION("((IFERROR((SUM(FILTER('Fund Investment Data'!$V:$V, 'Fund Investment Data'!$C:$C = $C2472, 'Fund Investment Data'!$A:$A = $A2472 - 1, 'Fund Investment Data'!$B:$B &gt;= 4, 'Fund Investment Data'!$B:$B &lt;= ($B2472 + 5))) / 12) * ($B2472 - 3) * Parameters!$B$4,"&amp;" 0) + IF($B2472 &gt;= 9, IFERROR(SUM(FILTER('Fund Investment Data'!$V:$V, 'Fund Investment Data'!$C:$C = $C2472, 'Fund Investment Data'!$A:$A = $A2472, 'Fund Investment Data'!$B:$B &lt;= 3)) * Parameters!$B$4, 0),0)))"),0.0)</f>
        <v>0</v>
      </c>
      <c r="AB2472" s="32">
        <f>IFERROR(__xludf.DUMMYFUNCTION("IFERROR(((IFERROR(SUM(FILTER('Fund Investment Data'!$V:$V, 'Fund Investment Data'!$C:$C = $C2472, 'Fund Investment Data'!$A:$A = $A2472 - 2, 'Fund Investment Data'!$B:$B &gt;= 4)) * Parameters!$B$4,0) + IFERROR(SUM(FILTER('Fund Investment Data'!$V:$V, 'Fund "&amp;"Investment Data'!$C:$C = $C2472, 'Fund Investment Data'!$A:$A = $A2472 - 1, 'Fund Investment Data'!$B:$B &lt;= 3)) * Parameters!$B$4,0))),0)"),0.0)</f>
        <v>0</v>
      </c>
      <c r="AC2472" s="32">
        <f>IFERROR(__xludf.DUMMYFUNCTION("IFERROR(FILTER($AF:$AF,$C:$C = $C2472,$A:$A = $A2472 - 1,$B:$B = 12),0)"),0.0)</f>
        <v>0</v>
      </c>
      <c r="AD2472" s="32">
        <f t="shared" si="23"/>
        <v>0</v>
      </c>
      <c r="AE2472" s="32">
        <f t="shared" si="2"/>
        <v>0</v>
      </c>
      <c r="AF2472" s="32"/>
    </row>
    <row r="2473">
      <c r="A2473" s="86"/>
      <c r="B2473" s="87"/>
      <c r="C2473" s="88"/>
      <c r="D2473" s="104"/>
      <c r="E2473" s="104"/>
      <c r="F2473" s="104"/>
      <c r="G2473" s="104"/>
      <c r="H2473" s="104"/>
      <c r="I2473" s="104"/>
      <c r="J2473" s="104"/>
      <c r="K2473" s="32"/>
      <c r="L2473" s="32"/>
      <c r="M2473" s="32"/>
      <c r="N2473" s="32"/>
      <c r="O2473" s="106"/>
      <c r="P2473" s="91">
        <f>IFERROR(__xludf.DUMMYFUNCTION("IFERROR(sum(FILTER($D:$N,$C:$C = $C2473,$A:$A &lt; $A2473,$B:$B = 12)),0) + sum($D2473:$N2473)"),0.0)</f>
        <v>0</v>
      </c>
      <c r="Q2473" s="92">
        <f t="shared" si="1"/>
        <v>0</v>
      </c>
      <c r="R2473" s="91">
        <f t="array" ref="R2473">IFERROR(INDEX('Fund YTD Target Values'!$1:$1000, MATCH($C2473,'Fund YTD Target Values'!$A:$A,0), MATCH($A2473,'Fund YTD Target Values'!$1:$1,0)),0)</f>
        <v>0</v>
      </c>
      <c r="S2473" s="91">
        <f>IFERROR(__xludf.DUMMYFUNCTION("IFERROR(sum(FILTER('Fund Investment Data'!$V:$V, 'Fund Investment Data'!$C:$C = $C2473, 'Fund Investment Data'!$A:$A &lt; $A2473)),0) + IFERROR(sum(FILTER('Fund Investment Data'!$V:$V, 'Fund Investment Data'!$C:$C = $C2473, 'Fund Investment Data'!$A:$A = $A2"&amp;"473, 'Fund Investment Data'!$B:$B &lt;= $B2473)),0)"),0.0)</f>
        <v>0</v>
      </c>
      <c r="T2473" s="32"/>
      <c r="U2473" s="32"/>
      <c r="V2473" s="32">
        <f>IFERROR(__xludf.DUMMYFUNCTION("$D2473 - IFERROR(FILTER($D:$D,$C:$C = $C2473, $A:$A = $A2473, $B:$B = $B2473 - 1),0)"),0.0)</f>
        <v>0</v>
      </c>
      <c r="W2473" s="93">
        <f>IFERROR(__xludf.DUMMYFUNCTION("$E2473 - IFERROR(FILTER($E:$E,$C:$C = $C2473, $A:$A = $A2473, $B:$B = $B2473 - 1),0)"),0.0)</f>
        <v>0</v>
      </c>
      <c r="X2473" s="91">
        <f>IFERROR(__xludf.DUMMYFUNCTION("iFERROR((FILTER('Fund Investment Data'!$Z:$Z, 'Fund Investment Data'!$C:$C = $C2473, 'Fund Investment Data'!$A:$A = $A2473 - 1, 'Fund Investment Data'!$B:$B = 12) + FILTER('Fund Investment Data'!$AB:$AB, 'Fund Investment Data'!$C:$C = $C2473, 'Fund Invest"&amp;"ment Data'!$A:$A = $A2473 - 1, 'Fund Investment Data'!$B:$B = 12)) * (1 + AVERAGE(FILTER('Inflation Data'!$C:$C,'Inflation Data'!$A:$A = ($A2473 - 2)))) * Parameters!$A$4,0)"),0.0)</f>
        <v>0</v>
      </c>
      <c r="Y2473" s="91">
        <f>IFERROR(__xludf.DUMMYFUNCTION("IFERROR((IFERROR(FILTER('Fund Investment Data'!$P:$P,'Fund Investment Data'!$C:$C = $C2473,'Fund Investment Data'!$A:$A = ($A2473 - 2), 'Fund Investment Data'!$B:$B = 12),0) - SUM(FILTER('Fund Investment Data'!$V:$V, 'Fund Investment Data'!$C:$C = $C2473,"&amp;" 'Fund Investment Data'!$A:$A = ($A2473 - 2), 'Fund Investment Data'!$B:$B &gt; 3)))  * Parameters!$B$4 * (1 - Parameters!$A$4),0)"),0.0)</f>
        <v>0</v>
      </c>
      <c r="Z2473" s="91">
        <f t="shared" si="24"/>
        <v>0</v>
      </c>
      <c r="AA2473" s="91">
        <f>IFERROR(__xludf.DUMMYFUNCTION("((IFERROR((SUM(FILTER('Fund Investment Data'!$V:$V, 'Fund Investment Data'!$C:$C = $C2473, 'Fund Investment Data'!$A:$A = $A2473 - 1, 'Fund Investment Data'!$B:$B &gt;= 4, 'Fund Investment Data'!$B:$B &lt;= ($B2473 + 5))) / 12) * ($B2473 - 3) * Parameters!$B$4,"&amp;" 0) + IF($B2473 &gt;= 9, IFERROR(SUM(FILTER('Fund Investment Data'!$V:$V, 'Fund Investment Data'!$C:$C = $C2473, 'Fund Investment Data'!$A:$A = $A2473, 'Fund Investment Data'!$B:$B &lt;= 3)) * Parameters!$B$4, 0),0)))"),0.0)</f>
        <v>0</v>
      </c>
      <c r="AB2473" s="32">
        <f>IFERROR(__xludf.DUMMYFUNCTION("IFERROR(((IFERROR(SUM(FILTER('Fund Investment Data'!$V:$V, 'Fund Investment Data'!$C:$C = $C2473, 'Fund Investment Data'!$A:$A = $A2473 - 2, 'Fund Investment Data'!$B:$B &gt;= 4)) * Parameters!$B$4,0) + IFERROR(SUM(FILTER('Fund Investment Data'!$V:$V, 'Fund "&amp;"Investment Data'!$C:$C = $C2473, 'Fund Investment Data'!$A:$A = $A2473 - 1, 'Fund Investment Data'!$B:$B &lt;= 3)) * Parameters!$B$4,0))),0)"),0.0)</f>
        <v>0</v>
      </c>
      <c r="AC2473" s="32">
        <f>IFERROR(__xludf.DUMMYFUNCTION("IFERROR(FILTER($AF:$AF,$C:$C = $C2473,$A:$A = $A2473 - 1,$B:$B = 12),0)"),0.0)</f>
        <v>0</v>
      </c>
      <c r="AD2473" s="32">
        <f t="shared" si="23"/>
        <v>0</v>
      </c>
      <c r="AE2473" s="32">
        <f t="shared" si="2"/>
        <v>0</v>
      </c>
      <c r="AF2473" s="32"/>
    </row>
    <row r="2474">
      <c r="A2474" s="86"/>
      <c r="B2474" s="87"/>
      <c r="C2474" s="88"/>
      <c r="D2474" s="104"/>
      <c r="E2474" s="104"/>
      <c r="F2474" s="104"/>
      <c r="G2474" s="104"/>
      <c r="H2474" s="104"/>
      <c r="I2474" s="104"/>
      <c r="J2474" s="104"/>
      <c r="K2474" s="32"/>
      <c r="L2474" s="32"/>
      <c r="M2474" s="32"/>
      <c r="N2474" s="32"/>
      <c r="O2474" s="106"/>
      <c r="P2474" s="91">
        <f>IFERROR(__xludf.DUMMYFUNCTION("IFERROR(sum(FILTER($D:$N,$C:$C = $C2474,$A:$A &lt; $A2474,$B:$B = 12)),0) + sum($D2474:$N2474)"),0.0)</f>
        <v>0</v>
      </c>
      <c r="Q2474" s="92">
        <f t="shared" si="1"/>
        <v>0</v>
      </c>
      <c r="R2474" s="91">
        <f t="array" ref="R2474">IFERROR(INDEX('Fund YTD Target Values'!$1:$1000, MATCH($C2474,'Fund YTD Target Values'!$A:$A,0), MATCH($A2474,'Fund YTD Target Values'!$1:$1,0)),0)</f>
        <v>0</v>
      </c>
      <c r="S2474" s="91">
        <f>IFERROR(__xludf.DUMMYFUNCTION("IFERROR(sum(FILTER('Fund Investment Data'!$V:$V, 'Fund Investment Data'!$C:$C = $C2474, 'Fund Investment Data'!$A:$A &lt; $A2474)),0) + IFERROR(sum(FILTER('Fund Investment Data'!$V:$V, 'Fund Investment Data'!$C:$C = $C2474, 'Fund Investment Data'!$A:$A = $A2"&amp;"474, 'Fund Investment Data'!$B:$B &lt;= $B2474)),0)"),0.0)</f>
        <v>0</v>
      </c>
      <c r="T2474" s="32"/>
      <c r="U2474" s="32"/>
      <c r="V2474" s="32">
        <f>IFERROR(__xludf.DUMMYFUNCTION("$D2474 - IFERROR(FILTER($D:$D,$C:$C = $C2474, $A:$A = $A2474, $B:$B = $B2474 - 1),0)"),0.0)</f>
        <v>0</v>
      </c>
      <c r="W2474" s="93">
        <f>IFERROR(__xludf.DUMMYFUNCTION("$E2474 - IFERROR(FILTER($E:$E,$C:$C = $C2474, $A:$A = $A2474, $B:$B = $B2474 - 1),0)"),0.0)</f>
        <v>0</v>
      </c>
      <c r="X2474" s="91">
        <f>IFERROR(__xludf.DUMMYFUNCTION("iFERROR((FILTER('Fund Investment Data'!$Z:$Z, 'Fund Investment Data'!$C:$C = $C2474, 'Fund Investment Data'!$A:$A = $A2474 - 1, 'Fund Investment Data'!$B:$B = 12) + FILTER('Fund Investment Data'!$AB:$AB, 'Fund Investment Data'!$C:$C = $C2474, 'Fund Invest"&amp;"ment Data'!$A:$A = $A2474 - 1, 'Fund Investment Data'!$B:$B = 12)) * (1 + AVERAGE(FILTER('Inflation Data'!$C:$C,'Inflation Data'!$A:$A = ($A2474 - 2)))) * Parameters!$A$4,0)"),0.0)</f>
        <v>0</v>
      </c>
      <c r="Y2474" s="91">
        <f>IFERROR(__xludf.DUMMYFUNCTION("IFERROR((IFERROR(FILTER('Fund Investment Data'!$P:$P,'Fund Investment Data'!$C:$C = $C2474,'Fund Investment Data'!$A:$A = ($A2474 - 2), 'Fund Investment Data'!$B:$B = 12),0) - SUM(FILTER('Fund Investment Data'!$V:$V, 'Fund Investment Data'!$C:$C = $C2474,"&amp;" 'Fund Investment Data'!$A:$A = ($A2474 - 2), 'Fund Investment Data'!$B:$B &gt; 3)))  * Parameters!$B$4 * (1 - Parameters!$A$4),0)"),0.0)</f>
        <v>0</v>
      </c>
      <c r="Z2474" s="91">
        <f t="shared" si="24"/>
        <v>0</v>
      </c>
      <c r="AA2474" s="91">
        <f>IFERROR(__xludf.DUMMYFUNCTION("((IFERROR((SUM(FILTER('Fund Investment Data'!$V:$V, 'Fund Investment Data'!$C:$C = $C2474, 'Fund Investment Data'!$A:$A = $A2474 - 1, 'Fund Investment Data'!$B:$B &gt;= 4, 'Fund Investment Data'!$B:$B &lt;= ($B2474 + 5))) / 12) * ($B2474 - 3) * Parameters!$B$4,"&amp;" 0) + IF($B2474 &gt;= 9, IFERROR(SUM(FILTER('Fund Investment Data'!$V:$V, 'Fund Investment Data'!$C:$C = $C2474, 'Fund Investment Data'!$A:$A = $A2474, 'Fund Investment Data'!$B:$B &lt;= 3)) * Parameters!$B$4, 0),0)))"),0.0)</f>
        <v>0</v>
      </c>
      <c r="AB2474" s="32">
        <f>IFERROR(__xludf.DUMMYFUNCTION("IFERROR(((IFERROR(SUM(FILTER('Fund Investment Data'!$V:$V, 'Fund Investment Data'!$C:$C = $C2474, 'Fund Investment Data'!$A:$A = $A2474 - 2, 'Fund Investment Data'!$B:$B &gt;= 4)) * Parameters!$B$4,0) + IFERROR(SUM(FILTER('Fund Investment Data'!$V:$V, 'Fund "&amp;"Investment Data'!$C:$C = $C2474, 'Fund Investment Data'!$A:$A = $A2474 - 1, 'Fund Investment Data'!$B:$B &lt;= 3)) * Parameters!$B$4,0))),0)"),0.0)</f>
        <v>0</v>
      </c>
      <c r="AC2474" s="32">
        <f>IFERROR(__xludf.DUMMYFUNCTION("IFERROR(FILTER($AF:$AF,$C:$C = $C2474,$A:$A = $A2474 - 1,$B:$B = 12),0)"),0.0)</f>
        <v>0</v>
      </c>
      <c r="AD2474" s="32">
        <f t="shared" si="23"/>
        <v>0</v>
      </c>
      <c r="AE2474" s="32">
        <f t="shared" si="2"/>
        <v>0</v>
      </c>
      <c r="AF2474" s="32"/>
    </row>
    <row r="2475">
      <c r="A2475" s="86"/>
      <c r="B2475" s="87"/>
      <c r="C2475" s="88"/>
      <c r="D2475" s="104"/>
      <c r="E2475" s="104"/>
      <c r="F2475" s="104"/>
      <c r="G2475" s="104"/>
      <c r="H2475" s="104"/>
      <c r="I2475" s="104"/>
      <c r="J2475" s="104"/>
      <c r="K2475" s="32"/>
      <c r="L2475" s="32"/>
      <c r="M2475" s="32"/>
      <c r="N2475" s="32"/>
      <c r="O2475" s="106"/>
      <c r="P2475" s="91">
        <f>IFERROR(__xludf.DUMMYFUNCTION("IFERROR(sum(FILTER($D:$N,$C:$C = $C2475,$A:$A &lt; $A2475,$B:$B = 12)),0) + sum($D2475:$N2475)"),0.0)</f>
        <v>0</v>
      </c>
      <c r="Q2475" s="92">
        <f t="shared" si="1"/>
        <v>0</v>
      </c>
      <c r="R2475" s="91">
        <f t="array" ref="R2475">IFERROR(INDEX('Fund YTD Target Values'!$1:$1000, MATCH($C2475,'Fund YTD Target Values'!$A:$A,0), MATCH($A2475,'Fund YTD Target Values'!$1:$1,0)),0)</f>
        <v>0</v>
      </c>
      <c r="S2475" s="91">
        <f>IFERROR(__xludf.DUMMYFUNCTION("IFERROR(sum(FILTER('Fund Investment Data'!$V:$V, 'Fund Investment Data'!$C:$C = $C2475, 'Fund Investment Data'!$A:$A &lt; $A2475)),0) + IFERROR(sum(FILTER('Fund Investment Data'!$V:$V, 'Fund Investment Data'!$C:$C = $C2475, 'Fund Investment Data'!$A:$A = $A2"&amp;"475, 'Fund Investment Data'!$B:$B &lt;= $B2475)),0)"),0.0)</f>
        <v>0</v>
      </c>
      <c r="T2475" s="32"/>
      <c r="U2475" s="32"/>
      <c r="V2475" s="32">
        <f>IFERROR(__xludf.DUMMYFUNCTION("$D2475 - IFERROR(FILTER($D:$D,$C:$C = $C2475, $A:$A = $A2475, $B:$B = $B2475 - 1),0)"),0.0)</f>
        <v>0</v>
      </c>
      <c r="W2475" s="93">
        <f>IFERROR(__xludf.DUMMYFUNCTION("$E2475 - IFERROR(FILTER($E:$E,$C:$C = $C2475, $A:$A = $A2475, $B:$B = $B2475 - 1),0)"),0.0)</f>
        <v>0</v>
      </c>
      <c r="X2475" s="91">
        <f>IFERROR(__xludf.DUMMYFUNCTION("iFERROR((FILTER('Fund Investment Data'!$Z:$Z, 'Fund Investment Data'!$C:$C = $C2475, 'Fund Investment Data'!$A:$A = $A2475 - 1, 'Fund Investment Data'!$B:$B = 12) + FILTER('Fund Investment Data'!$AB:$AB, 'Fund Investment Data'!$C:$C = $C2475, 'Fund Invest"&amp;"ment Data'!$A:$A = $A2475 - 1, 'Fund Investment Data'!$B:$B = 12)) * (1 + AVERAGE(FILTER('Inflation Data'!$C:$C,'Inflation Data'!$A:$A = ($A2475 - 2)))) * Parameters!$A$4,0)"),0.0)</f>
        <v>0</v>
      </c>
      <c r="Y2475" s="91">
        <f>IFERROR(__xludf.DUMMYFUNCTION("IFERROR((IFERROR(FILTER('Fund Investment Data'!$P:$P,'Fund Investment Data'!$C:$C = $C2475,'Fund Investment Data'!$A:$A = ($A2475 - 2), 'Fund Investment Data'!$B:$B = 12),0) - SUM(FILTER('Fund Investment Data'!$V:$V, 'Fund Investment Data'!$C:$C = $C2475,"&amp;" 'Fund Investment Data'!$A:$A = ($A2475 - 2), 'Fund Investment Data'!$B:$B &gt; 3)))  * Parameters!$B$4 * (1 - Parameters!$A$4),0)"),0.0)</f>
        <v>0</v>
      </c>
      <c r="Z2475" s="91">
        <f t="shared" si="24"/>
        <v>0</v>
      </c>
      <c r="AA2475" s="91">
        <f>IFERROR(__xludf.DUMMYFUNCTION("((IFERROR((SUM(FILTER('Fund Investment Data'!$V:$V, 'Fund Investment Data'!$C:$C = $C2475, 'Fund Investment Data'!$A:$A = $A2475 - 1, 'Fund Investment Data'!$B:$B &gt;= 4, 'Fund Investment Data'!$B:$B &lt;= ($B2475 + 5))) / 12) * ($B2475 - 3) * Parameters!$B$4,"&amp;" 0) + IF($B2475 &gt;= 9, IFERROR(SUM(FILTER('Fund Investment Data'!$V:$V, 'Fund Investment Data'!$C:$C = $C2475, 'Fund Investment Data'!$A:$A = $A2475, 'Fund Investment Data'!$B:$B &lt;= 3)) * Parameters!$B$4, 0),0)))"),0.0)</f>
        <v>0</v>
      </c>
      <c r="AB2475" s="32">
        <f>IFERROR(__xludf.DUMMYFUNCTION("IFERROR(((IFERROR(SUM(FILTER('Fund Investment Data'!$V:$V, 'Fund Investment Data'!$C:$C = $C2475, 'Fund Investment Data'!$A:$A = $A2475 - 2, 'Fund Investment Data'!$B:$B &gt;= 4)) * Parameters!$B$4,0) + IFERROR(SUM(FILTER('Fund Investment Data'!$V:$V, 'Fund "&amp;"Investment Data'!$C:$C = $C2475, 'Fund Investment Data'!$A:$A = $A2475 - 1, 'Fund Investment Data'!$B:$B &lt;= 3)) * Parameters!$B$4,0))),0)"),0.0)</f>
        <v>0</v>
      </c>
      <c r="AC2475" s="32">
        <f>IFERROR(__xludf.DUMMYFUNCTION("IFERROR(FILTER($AF:$AF,$C:$C = $C2475,$A:$A = $A2475 - 1,$B:$B = 12),0)"),0.0)</f>
        <v>0</v>
      </c>
      <c r="AD2475" s="32">
        <f t="shared" si="23"/>
        <v>0</v>
      </c>
      <c r="AE2475" s="32">
        <f t="shared" si="2"/>
        <v>0</v>
      </c>
      <c r="AF2475" s="32"/>
    </row>
    <row r="2476">
      <c r="A2476" s="86"/>
      <c r="B2476" s="87"/>
      <c r="C2476" s="88"/>
      <c r="D2476" s="104"/>
      <c r="E2476" s="104"/>
      <c r="F2476" s="104"/>
      <c r="G2476" s="104"/>
      <c r="H2476" s="104"/>
      <c r="I2476" s="104"/>
      <c r="J2476" s="104"/>
      <c r="K2476" s="32"/>
      <c r="L2476" s="32"/>
      <c r="M2476" s="32"/>
      <c r="N2476" s="32"/>
      <c r="O2476" s="106"/>
      <c r="P2476" s="91">
        <f>IFERROR(__xludf.DUMMYFUNCTION("IFERROR(sum(FILTER($D:$N,$C:$C = $C2476,$A:$A &lt; $A2476,$B:$B = 12)),0) + sum($D2476:$N2476)"),0.0)</f>
        <v>0</v>
      </c>
      <c r="Q2476" s="92">
        <f t="shared" si="1"/>
        <v>0</v>
      </c>
      <c r="R2476" s="91">
        <f t="array" ref="R2476">IFERROR(INDEX('Fund YTD Target Values'!$1:$1000, MATCH($C2476,'Fund YTD Target Values'!$A:$A,0), MATCH($A2476,'Fund YTD Target Values'!$1:$1,0)),0)</f>
        <v>0</v>
      </c>
      <c r="S2476" s="91">
        <f>IFERROR(__xludf.DUMMYFUNCTION("IFERROR(sum(FILTER('Fund Investment Data'!$V:$V, 'Fund Investment Data'!$C:$C = $C2476, 'Fund Investment Data'!$A:$A &lt; $A2476)),0) + IFERROR(sum(FILTER('Fund Investment Data'!$V:$V, 'Fund Investment Data'!$C:$C = $C2476, 'Fund Investment Data'!$A:$A = $A2"&amp;"476, 'Fund Investment Data'!$B:$B &lt;= $B2476)),0)"),0.0)</f>
        <v>0</v>
      </c>
      <c r="T2476" s="32"/>
      <c r="U2476" s="32"/>
      <c r="V2476" s="32">
        <f>IFERROR(__xludf.DUMMYFUNCTION("$D2476 - IFERROR(FILTER($D:$D,$C:$C = $C2476, $A:$A = $A2476, $B:$B = $B2476 - 1),0)"),0.0)</f>
        <v>0</v>
      </c>
      <c r="W2476" s="93">
        <f>IFERROR(__xludf.DUMMYFUNCTION("$E2476 - IFERROR(FILTER($E:$E,$C:$C = $C2476, $A:$A = $A2476, $B:$B = $B2476 - 1),0)"),0.0)</f>
        <v>0</v>
      </c>
      <c r="X2476" s="91">
        <f>IFERROR(__xludf.DUMMYFUNCTION("iFERROR((FILTER('Fund Investment Data'!$Z:$Z, 'Fund Investment Data'!$C:$C = $C2476, 'Fund Investment Data'!$A:$A = $A2476 - 1, 'Fund Investment Data'!$B:$B = 12) + FILTER('Fund Investment Data'!$AB:$AB, 'Fund Investment Data'!$C:$C = $C2476, 'Fund Invest"&amp;"ment Data'!$A:$A = $A2476 - 1, 'Fund Investment Data'!$B:$B = 12)) * (1 + AVERAGE(FILTER('Inflation Data'!$C:$C,'Inflation Data'!$A:$A = ($A2476 - 2)))) * Parameters!$A$4,0)"),0.0)</f>
        <v>0</v>
      </c>
      <c r="Y2476" s="91">
        <f>IFERROR(__xludf.DUMMYFUNCTION("IFERROR((IFERROR(FILTER('Fund Investment Data'!$P:$P,'Fund Investment Data'!$C:$C = $C2476,'Fund Investment Data'!$A:$A = ($A2476 - 2), 'Fund Investment Data'!$B:$B = 12),0) - SUM(FILTER('Fund Investment Data'!$V:$V, 'Fund Investment Data'!$C:$C = $C2476,"&amp;" 'Fund Investment Data'!$A:$A = ($A2476 - 2), 'Fund Investment Data'!$B:$B &gt; 3)))  * Parameters!$B$4 * (1 - Parameters!$A$4),0)"),0.0)</f>
        <v>0</v>
      </c>
      <c r="Z2476" s="91">
        <f t="shared" si="24"/>
        <v>0</v>
      </c>
      <c r="AA2476" s="91">
        <f>IFERROR(__xludf.DUMMYFUNCTION("((IFERROR((SUM(FILTER('Fund Investment Data'!$V:$V, 'Fund Investment Data'!$C:$C = $C2476, 'Fund Investment Data'!$A:$A = $A2476 - 1, 'Fund Investment Data'!$B:$B &gt;= 4, 'Fund Investment Data'!$B:$B &lt;= ($B2476 + 5))) / 12) * ($B2476 - 3) * Parameters!$B$4,"&amp;" 0) + IF($B2476 &gt;= 9, IFERROR(SUM(FILTER('Fund Investment Data'!$V:$V, 'Fund Investment Data'!$C:$C = $C2476, 'Fund Investment Data'!$A:$A = $A2476, 'Fund Investment Data'!$B:$B &lt;= 3)) * Parameters!$B$4, 0),0)))"),0.0)</f>
        <v>0</v>
      </c>
      <c r="AB2476" s="32">
        <f>IFERROR(__xludf.DUMMYFUNCTION("IFERROR(((IFERROR(SUM(FILTER('Fund Investment Data'!$V:$V, 'Fund Investment Data'!$C:$C = $C2476, 'Fund Investment Data'!$A:$A = $A2476 - 2, 'Fund Investment Data'!$B:$B &gt;= 4)) * Parameters!$B$4,0) + IFERROR(SUM(FILTER('Fund Investment Data'!$V:$V, 'Fund "&amp;"Investment Data'!$C:$C = $C2476, 'Fund Investment Data'!$A:$A = $A2476 - 1, 'Fund Investment Data'!$B:$B &lt;= 3)) * Parameters!$B$4,0))),0)"),0.0)</f>
        <v>0</v>
      </c>
      <c r="AC2476" s="32">
        <f>IFERROR(__xludf.DUMMYFUNCTION("IFERROR(FILTER($AF:$AF,$C:$C = $C2476,$A:$A = $A2476 - 1,$B:$B = 12),0)"),0.0)</f>
        <v>0</v>
      </c>
      <c r="AD2476" s="32">
        <f t="shared" si="23"/>
        <v>0</v>
      </c>
      <c r="AE2476" s="32">
        <f t="shared" si="2"/>
        <v>0</v>
      </c>
      <c r="AF2476" s="32"/>
    </row>
    <row r="2477">
      <c r="A2477" s="86"/>
      <c r="B2477" s="87"/>
      <c r="C2477" s="88"/>
      <c r="D2477" s="104"/>
      <c r="E2477" s="104"/>
      <c r="F2477" s="104"/>
      <c r="G2477" s="104"/>
      <c r="H2477" s="104"/>
      <c r="I2477" s="104"/>
      <c r="J2477" s="104"/>
      <c r="K2477" s="32"/>
      <c r="L2477" s="32"/>
      <c r="M2477" s="32"/>
      <c r="N2477" s="32"/>
      <c r="O2477" s="106"/>
      <c r="P2477" s="91">
        <f>IFERROR(__xludf.DUMMYFUNCTION("IFERROR(sum(FILTER($D:$N,$C:$C = $C2477,$A:$A &lt; $A2477,$B:$B = 12)),0) + sum($D2477:$N2477)"),0.0)</f>
        <v>0</v>
      </c>
      <c r="Q2477" s="92">
        <f t="shared" si="1"/>
        <v>0</v>
      </c>
      <c r="R2477" s="91">
        <f t="array" ref="R2477">IFERROR(INDEX('Fund YTD Target Values'!$1:$1000, MATCH($C2477,'Fund YTD Target Values'!$A:$A,0), MATCH($A2477,'Fund YTD Target Values'!$1:$1,0)),0)</f>
        <v>0</v>
      </c>
      <c r="S2477" s="91">
        <f>IFERROR(__xludf.DUMMYFUNCTION("IFERROR(sum(FILTER('Fund Investment Data'!$V:$V, 'Fund Investment Data'!$C:$C = $C2477, 'Fund Investment Data'!$A:$A &lt; $A2477)),0) + IFERROR(sum(FILTER('Fund Investment Data'!$V:$V, 'Fund Investment Data'!$C:$C = $C2477, 'Fund Investment Data'!$A:$A = $A2"&amp;"477, 'Fund Investment Data'!$B:$B &lt;= $B2477)),0)"),0.0)</f>
        <v>0</v>
      </c>
      <c r="T2477" s="32"/>
      <c r="U2477" s="32"/>
      <c r="V2477" s="32">
        <f>IFERROR(__xludf.DUMMYFUNCTION("$D2477 - IFERROR(FILTER($D:$D,$C:$C = $C2477, $A:$A = $A2477, $B:$B = $B2477 - 1),0)"),0.0)</f>
        <v>0</v>
      </c>
      <c r="W2477" s="93">
        <f>IFERROR(__xludf.DUMMYFUNCTION("$E2477 - IFERROR(FILTER($E:$E,$C:$C = $C2477, $A:$A = $A2477, $B:$B = $B2477 - 1),0)"),0.0)</f>
        <v>0</v>
      </c>
      <c r="X2477" s="91">
        <f>IFERROR(__xludf.DUMMYFUNCTION("iFERROR((FILTER('Fund Investment Data'!$Z:$Z, 'Fund Investment Data'!$C:$C = $C2477, 'Fund Investment Data'!$A:$A = $A2477 - 1, 'Fund Investment Data'!$B:$B = 12) + FILTER('Fund Investment Data'!$AB:$AB, 'Fund Investment Data'!$C:$C = $C2477, 'Fund Invest"&amp;"ment Data'!$A:$A = $A2477 - 1, 'Fund Investment Data'!$B:$B = 12)) * (1 + AVERAGE(FILTER('Inflation Data'!$C:$C,'Inflation Data'!$A:$A = ($A2477 - 2)))) * Parameters!$A$4,0)"),0.0)</f>
        <v>0</v>
      </c>
      <c r="Y2477" s="91">
        <f>IFERROR(__xludf.DUMMYFUNCTION("IFERROR((IFERROR(FILTER('Fund Investment Data'!$P:$P,'Fund Investment Data'!$C:$C = $C2477,'Fund Investment Data'!$A:$A = ($A2477 - 2), 'Fund Investment Data'!$B:$B = 12),0) - SUM(FILTER('Fund Investment Data'!$V:$V, 'Fund Investment Data'!$C:$C = $C2477,"&amp;" 'Fund Investment Data'!$A:$A = ($A2477 - 2), 'Fund Investment Data'!$B:$B &gt; 3)))  * Parameters!$B$4 * (1 - Parameters!$A$4),0)"),0.0)</f>
        <v>0</v>
      </c>
      <c r="Z2477" s="91">
        <f t="shared" si="24"/>
        <v>0</v>
      </c>
      <c r="AA2477" s="91">
        <f>IFERROR(__xludf.DUMMYFUNCTION("((IFERROR((SUM(FILTER('Fund Investment Data'!$V:$V, 'Fund Investment Data'!$C:$C = $C2477, 'Fund Investment Data'!$A:$A = $A2477 - 1, 'Fund Investment Data'!$B:$B &gt;= 4, 'Fund Investment Data'!$B:$B &lt;= ($B2477 + 5))) / 12) * ($B2477 - 3) * Parameters!$B$4,"&amp;" 0) + IF($B2477 &gt;= 9, IFERROR(SUM(FILTER('Fund Investment Data'!$V:$V, 'Fund Investment Data'!$C:$C = $C2477, 'Fund Investment Data'!$A:$A = $A2477, 'Fund Investment Data'!$B:$B &lt;= 3)) * Parameters!$B$4, 0),0)))"),0.0)</f>
        <v>0</v>
      </c>
      <c r="AB2477" s="32">
        <f>IFERROR(__xludf.DUMMYFUNCTION("IFERROR(((IFERROR(SUM(FILTER('Fund Investment Data'!$V:$V, 'Fund Investment Data'!$C:$C = $C2477, 'Fund Investment Data'!$A:$A = $A2477 - 2, 'Fund Investment Data'!$B:$B &gt;= 4)) * Parameters!$B$4,0) + IFERROR(SUM(FILTER('Fund Investment Data'!$V:$V, 'Fund "&amp;"Investment Data'!$C:$C = $C2477, 'Fund Investment Data'!$A:$A = $A2477 - 1, 'Fund Investment Data'!$B:$B &lt;= 3)) * Parameters!$B$4,0))),0)"),0.0)</f>
        <v>0</v>
      </c>
      <c r="AC2477" s="32">
        <f>IFERROR(__xludf.DUMMYFUNCTION("IFERROR(FILTER($AF:$AF,$C:$C = $C2477,$A:$A = $A2477 - 1,$B:$B = 12),0)"),0.0)</f>
        <v>0</v>
      </c>
      <c r="AD2477" s="32">
        <f t="shared" si="23"/>
        <v>0</v>
      </c>
      <c r="AE2477" s="32">
        <f t="shared" si="2"/>
        <v>0</v>
      </c>
      <c r="AF2477" s="32"/>
    </row>
    <row r="2478">
      <c r="A2478" s="86"/>
      <c r="B2478" s="87"/>
      <c r="C2478" s="88"/>
      <c r="D2478" s="104"/>
      <c r="E2478" s="104"/>
      <c r="F2478" s="104"/>
      <c r="G2478" s="104"/>
      <c r="H2478" s="104"/>
      <c r="I2478" s="104"/>
      <c r="J2478" s="104"/>
      <c r="K2478" s="32"/>
      <c r="L2478" s="32"/>
      <c r="M2478" s="32"/>
      <c r="N2478" s="32"/>
      <c r="O2478" s="106"/>
      <c r="P2478" s="91">
        <f>IFERROR(__xludf.DUMMYFUNCTION("IFERROR(sum(FILTER($D:$N,$C:$C = $C2478,$A:$A &lt; $A2478,$B:$B = 12)),0) + sum($D2478:$N2478)"),0.0)</f>
        <v>0</v>
      </c>
      <c r="Q2478" s="92">
        <f t="shared" si="1"/>
        <v>0</v>
      </c>
      <c r="R2478" s="91">
        <f t="array" ref="R2478">IFERROR(INDEX('Fund YTD Target Values'!$1:$1000, MATCH($C2478,'Fund YTD Target Values'!$A:$A,0), MATCH($A2478,'Fund YTD Target Values'!$1:$1,0)),0)</f>
        <v>0</v>
      </c>
      <c r="S2478" s="91">
        <f>IFERROR(__xludf.DUMMYFUNCTION("IFERROR(sum(FILTER('Fund Investment Data'!$V:$V, 'Fund Investment Data'!$C:$C = $C2478, 'Fund Investment Data'!$A:$A &lt; $A2478)),0) + IFERROR(sum(FILTER('Fund Investment Data'!$V:$V, 'Fund Investment Data'!$C:$C = $C2478, 'Fund Investment Data'!$A:$A = $A2"&amp;"478, 'Fund Investment Data'!$B:$B &lt;= $B2478)),0)"),0.0)</f>
        <v>0</v>
      </c>
      <c r="T2478" s="32"/>
      <c r="U2478" s="32"/>
      <c r="V2478" s="32">
        <f>IFERROR(__xludf.DUMMYFUNCTION("$D2478 - IFERROR(FILTER($D:$D,$C:$C = $C2478, $A:$A = $A2478, $B:$B = $B2478 - 1),0)"),0.0)</f>
        <v>0</v>
      </c>
      <c r="W2478" s="93">
        <f>IFERROR(__xludf.DUMMYFUNCTION("$E2478 - IFERROR(FILTER($E:$E,$C:$C = $C2478, $A:$A = $A2478, $B:$B = $B2478 - 1),0)"),0.0)</f>
        <v>0</v>
      </c>
      <c r="X2478" s="91">
        <f>IFERROR(__xludf.DUMMYFUNCTION("iFERROR((FILTER('Fund Investment Data'!$Z:$Z, 'Fund Investment Data'!$C:$C = $C2478, 'Fund Investment Data'!$A:$A = $A2478 - 1, 'Fund Investment Data'!$B:$B = 12) + FILTER('Fund Investment Data'!$AB:$AB, 'Fund Investment Data'!$C:$C = $C2478, 'Fund Invest"&amp;"ment Data'!$A:$A = $A2478 - 1, 'Fund Investment Data'!$B:$B = 12)) * (1 + AVERAGE(FILTER('Inflation Data'!$C:$C,'Inflation Data'!$A:$A = ($A2478 - 2)))) * Parameters!$A$4,0)"),0.0)</f>
        <v>0</v>
      </c>
      <c r="Y2478" s="91">
        <f>IFERROR(__xludf.DUMMYFUNCTION("IFERROR((IFERROR(FILTER('Fund Investment Data'!$P:$P,'Fund Investment Data'!$C:$C = $C2478,'Fund Investment Data'!$A:$A = ($A2478 - 2), 'Fund Investment Data'!$B:$B = 12),0) - SUM(FILTER('Fund Investment Data'!$V:$V, 'Fund Investment Data'!$C:$C = $C2478,"&amp;" 'Fund Investment Data'!$A:$A = ($A2478 - 2), 'Fund Investment Data'!$B:$B &gt; 3)))  * Parameters!$B$4 * (1 - Parameters!$A$4),0)"),0.0)</f>
        <v>0</v>
      </c>
      <c r="Z2478" s="91">
        <f t="shared" si="24"/>
        <v>0</v>
      </c>
      <c r="AA2478" s="91">
        <f>IFERROR(__xludf.DUMMYFUNCTION("((IFERROR((SUM(FILTER('Fund Investment Data'!$V:$V, 'Fund Investment Data'!$C:$C = $C2478, 'Fund Investment Data'!$A:$A = $A2478 - 1, 'Fund Investment Data'!$B:$B &gt;= 4, 'Fund Investment Data'!$B:$B &lt;= ($B2478 + 5))) / 12) * ($B2478 - 3) * Parameters!$B$4,"&amp;" 0) + IF($B2478 &gt;= 9, IFERROR(SUM(FILTER('Fund Investment Data'!$V:$V, 'Fund Investment Data'!$C:$C = $C2478, 'Fund Investment Data'!$A:$A = $A2478, 'Fund Investment Data'!$B:$B &lt;= 3)) * Parameters!$B$4, 0),0)))"),0.0)</f>
        <v>0</v>
      </c>
      <c r="AB2478" s="32">
        <f>IFERROR(__xludf.DUMMYFUNCTION("IFERROR(((IFERROR(SUM(FILTER('Fund Investment Data'!$V:$V, 'Fund Investment Data'!$C:$C = $C2478, 'Fund Investment Data'!$A:$A = $A2478 - 2, 'Fund Investment Data'!$B:$B &gt;= 4)) * Parameters!$B$4,0) + IFERROR(SUM(FILTER('Fund Investment Data'!$V:$V, 'Fund "&amp;"Investment Data'!$C:$C = $C2478, 'Fund Investment Data'!$A:$A = $A2478 - 1, 'Fund Investment Data'!$B:$B &lt;= 3)) * Parameters!$B$4,0))),0)"),0.0)</f>
        <v>0</v>
      </c>
      <c r="AC2478" s="32">
        <f>IFERROR(__xludf.DUMMYFUNCTION("IFERROR(FILTER($AF:$AF,$C:$C = $C2478,$A:$A = $A2478 - 1,$B:$B = 12),0)"),0.0)</f>
        <v>0</v>
      </c>
      <c r="AD2478" s="32">
        <f t="shared" si="23"/>
        <v>0</v>
      </c>
      <c r="AE2478" s="32">
        <f t="shared" si="2"/>
        <v>0</v>
      </c>
      <c r="AF2478" s="32"/>
    </row>
    <row r="2479">
      <c r="A2479" s="86"/>
      <c r="B2479" s="87"/>
      <c r="C2479" s="88"/>
      <c r="D2479" s="104"/>
      <c r="E2479" s="104"/>
      <c r="F2479" s="104"/>
      <c r="G2479" s="104"/>
      <c r="H2479" s="104"/>
      <c r="I2479" s="104"/>
      <c r="J2479" s="104"/>
      <c r="K2479" s="32"/>
      <c r="L2479" s="32"/>
      <c r="M2479" s="32"/>
      <c r="N2479" s="32"/>
      <c r="O2479" s="106"/>
      <c r="P2479" s="91">
        <f>IFERROR(__xludf.DUMMYFUNCTION("IFERROR(sum(FILTER($D:$N,$C:$C = $C2479,$A:$A &lt; $A2479,$B:$B = 12)),0) + sum($D2479:$N2479)"),0.0)</f>
        <v>0</v>
      </c>
      <c r="Q2479" s="92">
        <f t="shared" si="1"/>
        <v>0</v>
      </c>
      <c r="R2479" s="91">
        <f t="array" ref="R2479">IFERROR(INDEX('Fund YTD Target Values'!$1:$1000, MATCH($C2479,'Fund YTD Target Values'!$A:$A,0), MATCH($A2479,'Fund YTD Target Values'!$1:$1,0)),0)</f>
        <v>0</v>
      </c>
      <c r="S2479" s="91">
        <f>IFERROR(__xludf.DUMMYFUNCTION("IFERROR(sum(FILTER('Fund Investment Data'!$V:$V, 'Fund Investment Data'!$C:$C = $C2479, 'Fund Investment Data'!$A:$A &lt; $A2479)),0) + IFERROR(sum(FILTER('Fund Investment Data'!$V:$V, 'Fund Investment Data'!$C:$C = $C2479, 'Fund Investment Data'!$A:$A = $A2"&amp;"479, 'Fund Investment Data'!$B:$B &lt;= $B2479)),0)"),0.0)</f>
        <v>0</v>
      </c>
      <c r="T2479" s="32"/>
      <c r="U2479" s="32"/>
      <c r="V2479" s="32">
        <f>IFERROR(__xludf.DUMMYFUNCTION("$D2479 - IFERROR(FILTER($D:$D,$C:$C = $C2479, $A:$A = $A2479, $B:$B = $B2479 - 1),0)"),0.0)</f>
        <v>0</v>
      </c>
      <c r="W2479" s="93">
        <f>IFERROR(__xludf.DUMMYFUNCTION("$E2479 - IFERROR(FILTER($E:$E,$C:$C = $C2479, $A:$A = $A2479, $B:$B = $B2479 - 1),0)"),0.0)</f>
        <v>0</v>
      </c>
      <c r="X2479" s="91">
        <f>IFERROR(__xludf.DUMMYFUNCTION("iFERROR((FILTER('Fund Investment Data'!$Z:$Z, 'Fund Investment Data'!$C:$C = $C2479, 'Fund Investment Data'!$A:$A = $A2479 - 1, 'Fund Investment Data'!$B:$B = 12) + FILTER('Fund Investment Data'!$AB:$AB, 'Fund Investment Data'!$C:$C = $C2479, 'Fund Invest"&amp;"ment Data'!$A:$A = $A2479 - 1, 'Fund Investment Data'!$B:$B = 12)) * (1 + AVERAGE(FILTER('Inflation Data'!$C:$C,'Inflation Data'!$A:$A = ($A2479 - 2)))) * Parameters!$A$4,0)"),0.0)</f>
        <v>0</v>
      </c>
      <c r="Y2479" s="91">
        <f>IFERROR(__xludf.DUMMYFUNCTION("IFERROR((IFERROR(FILTER('Fund Investment Data'!$P:$P,'Fund Investment Data'!$C:$C = $C2479,'Fund Investment Data'!$A:$A = ($A2479 - 2), 'Fund Investment Data'!$B:$B = 12),0) - SUM(FILTER('Fund Investment Data'!$V:$V, 'Fund Investment Data'!$C:$C = $C2479,"&amp;" 'Fund Investment Data'!$A:$A = ($A2479 - 2), 'Fund Investment Data'!$B:$B &gt; 3)))  * Parameters!$B$4 * (1 - Parameters!$A$4),0)"),0.0)</f>
        <v>0</v>
      </c>
      <c r="Z2479" s="91">
        <f t="shared" si="24"/>
        <v>0</v>
      </c>
      <c r="AA2479" s="91">
        <f>IFERROR(__xludf.DUMMYFUNCTION("((IFERROR((SUM(FILTER('Fund Investment Data'!$V:$V, 'Fund Investment Data'!$C:$C = $C2479, 'Fund Investment Data'!$A:$A = $A2479 - 1, 'Fund Investment Data'!$B:$B &gt;= 4, 'Fund Investment Data'!$B:$B &lt;= ($B2479 + 5))) / 12) * ($B2479 - 3) * Parameters!$B$4,"&amp;" 0) + IF($B2479 &gt;= 9, IFERROR(SUM(FILTER('Fund Investment Data'!$V:$V, 'Fund Investment Data'!$C:$C = $C2479, 'Fund Investment Data'!$A:$A = $A2479, 'Fund Investment Data'!$B:$B &lt;= 3)) * Parameters!$B$4, 0),0)))"),0.0)</f>
        <v>0</v>
      </c>
      <c r="AB2479" s="32">
        <f>IFERROR(__xludf.DUMMYFUNCTION("IFERROR(((IFERROR(SUM(FILTER('Fund Investment Data'!$V:$V, 'Fund Investment Data'!$C:$C = $C2479, 'Fund Investment Data'!$A:$A = $A2479 - 2, 'Fund Investment Data'!$B:$B &gt;= 4)) * Parameters!$B$4,0) + IFERROR(SUM(FILTER('Fund Investment Data'!$V:$V, 'Fund "&amp;"Investment Data'!$C:$C = $C2479, 'Fund Investment Data'!$A:$A = $A2479 - 1, 'Fund Investment Data'!$B:$B &lt;= 3)) * Parameters!$B$4,0))),0)"),0.0)</f>
        <v>0</v>
      </c>
      <c r="AC2479" s="32">
        <f>IFERROR(__xludf.DUMMYFUNCTION("IFERROR(FILTER($AF:$AF,$C:$C = $C2479,$A:$A = $A2479 - 1,$B:$B = 12),0)"),0.0)</f>
        <v>0</v>
      </c>
      <c r="AD2479" s="32">
        <f t="shared" si="23"/>
        <v>0</v>
      </c>
      <c r="AE2479" s="32">
        <f t="shared" si="2"/>
        <v>0</v>
      </c>
      <c r="AF2479" s="32"/>
    </row>
    <row r="2480">
      <c r="A2480" s="86"/>
      <c r="B2480" s="87"/>
      <c r="C2480" s="88"/>
      <c r="D2480" s="104"/>
      <c r="E2480" s="104"/>
      <c r="F2480" s="104"/>
      <c r="G2480" s="104"/>
      <c r="H2480" s="104"/>
      <c r="I2480" s="104"/>
      <c r="J2480" s="104"/>
      <c r="K2480" s="32"/>
      <c r="L2480" s="32"/>
      <c r="M2480" s="32"/>
      <c r="N2480" s="32"/>
      <c r="O2480" s="106"/>
      <c r="P2480" s="91">
        <f>IFERROR(__xludf.DUMMYFUNCTION("IFERROR(sum(FILTER($D:$N,$C:$C = $C2480,$A:$A &lt; $A2480,$B:$B = 12)),0) + sum($D2480:$N2480)"),0.0)</f>
        <v>0</v>
      </c>
      <c r="Q2480" s="92">
        <f t="shared" si="1"/>
        <v>0</v>
      </c>
      <c r="R2480" s="91">
        <f t="array" ref="R2480">IFERROR(INDEX('Fund YTD Target Values'!$1:$1000, MATCH($C2480,'Fund YTD Target Values'!$A:$A,0), MATCH($A2480,'Fund YTD Target Values'!$1:$1,0)),0)</f>
        <v>0</v>
      </c>
      <c r="S2480" s="91">
        <f>IFERROR(__xludf.DUMMYFUNCTION("IFERROR(sum(FILTER('Fund Investment Data'!$V:$V, 'Fund Investment Data'!$C:$C = $C2480, 'Fund Investment Data'!$A:$A &lt; $A2480)),0) + IFERROR(sum(FILTER('Fund Investment Data'!$V:$V, 'Fund Investment Data'!$C:$C = $C2480, 'Fund Investment Data'!$A:$A = $A2"&amp;"480, 'Fund Investment Data'!$B:$B &lt;= $B2480)),0)"),0.0)</f>
        <v>0</v>
      </c>
      <c r="T2480" s="32"/>
      <c r="U2480" s="32"/>
      <c r="V2480" s="32">
        <f>IFERROR(__xludf.DUMMYFUNCTION("$D2480 - IFERROR(FILTER($D:$D,$C:$C = $C2480, $A:$A = $A2480, $B:$B = $B2480 - 1),0)"),0.0)</f>
        <v>0</v>
      </c>
      <c r="W2480" s="93">
        <f>IFERROR(__xludf.DUMMYFUNCTION("$E2480 - IFERROR(FILTER($E:$E,$C:$C = $C2480, $A:$A = $A2480, $B:$B = $B2480 - 1),0)"),0.0)</f>
        <v>0</v>
      </c>
      <c r="X2480" s="91">
        <f>IFERROR(__xludf.DUMMYFUNCTION("iFERROR((FILTER('Fund Investment Data'!$Z:$Z, 'Fund Investment Data'!$C:$C = $C2480, 'Fund Investment Data'!$A:$A = $A2480 - 1, 'Fund Investment Data'!$B:$B = 12) + FILTER('Fund Investment Data'!$AB:$AB, 'Fund Investment Data'!$C:$C = $C2480, 'Fund Invest"&amp;"ment Data'!$A:$A = $A2480 - 1, 'Fund Investment Data'!$B:$B = 12)) * (1 + AVERAGE(FILTER('Inflation Data'!$C:$C,'Inflation Data'!$A:$A = ($A2480 - 2)))) * Parameters!$A$4,0)"),0.0)</f>
        <v>0</v>
      </c>
      <c r="Y2480" s="91">
        <f>IFERROR(__xludf.DUMMYFUNCTION("IFERROR((IFERROR(FILTER('Fund Investment Data'!$P:$P,'Fund Investment Data'!$C:$C = $C2480,'Fund Investment Data'!$A:$A = ($A2480 - 2), 'Fund Investment Data'!$B:$B = 12),0) - SUM(FILTER('Fund Investment Data'!$V:$V, 'Fund Investment Data'!$C:$C = $C2480,"&amp;" 'Fund Investment Data'!$A:$A = ($A2480 - 2), 'Fund Investment Data'!$B:$B &gt; 3)))  * Parameters!$B$4 * (1 - Parameters!$A$4),0)"),0.0)</f>
        <v>0</v>
      </c>
      <c r="Z2480" s="91">
        <f t="shared" si="24"/>
        <v>0</v>
      </c>
      <c r="AA2480" s="91">
        <f>IFERROR(__xludf.DUMMYFUNCTION("((IFERROR((SUM(FILTER('Fund Investment Data'!$V:$V, 'Fund Investment Data'!$C:$C = $C2480, 'Fund Investment Data'!$A:$A = $A2480 - 1, 'Fund Investment Data'!$B:$B &gt;= 4, 'Fund Investment Data'!$B:$B &lt;= ($B2480 + 5))) / 12) * ($B2480 - 3) * Parameters!$B$4,"&amp;" 0) + IF($B2480 &gt;= 9, IFERROR(SUM(FILTER('Fund Investment Data'!$V:$V, 'Fund Investment Data'!$C:$C = $C2480, 'Fund Investment Data'!$A:$A = $A2480, 'Fund Investment Data'!$B:$B &lt;= 3)) * Parameters!$B$4, 0),0)))"),0.0)</f>
        <v>0</v>
      </c>
      <c r="AB2480" s="32">
        <f>IFERROR(__xludf.DUMMYFUNCTION("IFERROR(((IFERROR(SUM(FILTER('Fund Investment Data'!$V:$V, 'Fund Investment Data'!$C:$C = $C2480, 'Fund Investment Data'!$A:$A = $A2480 - 2, 'Fund Investment Data'!$B:$B &gt;= 4)) * Parameters!$B$4,0) + IFERROR(SUM(FILTER('Fund Investment Data'!$V:$V, 'Fund "&amp;"Investment Data'!$C:$C = $C2480, 'Fund Investment Data'!$A:$A = $A2480 - 1, 'Fund Investment Data'!$B:$B &lt;= 3)) * Parameters!$B$4,0))),0)"),0.0)</f>
        <v>0</v>
      </c>
      <c r="AC2480" s="32">
        <f>IFERROR(__xludf.DUMMYFUNCTION("IFERROR(FILTER($AF:$AF,$C:$C = $C2480,$A:$A = $A2480 - 1,$B:$B = 12),0)"),0.0)</f>
        <v>0</v>
      </c>
      <c r="AD2480" s="32">
        <f t="shared" si="23"/>
        <v>0</v>
      </c>
      <c r="AE2480" s="32">
        <f t="shared" si="2"/>
        <v>0</v>
      </c>
      <c r="AF2480" s="32"/>
    </row>
    <row r="2481">
      <c r="A2481" s="86"/>
      <c r="B2481" s="87"/>
      <c r="C2481" s="88"/>
      <c r="D2481" s="104"/>
      <c r="E2481" s="104"/>
      <c r="F2481" s="104"/>
      <c r="G2481" s="104"/>
      <c r="H2481" s="104"/>
      <c r="I2481" s="104"/>
      <c r="J2481" s="104"/>
      <c r="K2481" s="32"/>
      <c r="L2481" s="32"/>
      <c r="M2481" s="32"/>
      <c r="N2481" s="32"/>
      <c r="O2481" s="106"/>
      <c r="P2481" s="91">
        <f>IFERROR(__xludf.DUMMYFUNCTION("IFERROR(sum(FILTER($D:$N,$C:$C = $C2481,$A:$A &lt; $A2481,$B:$B = 12)),0) + sum($D2481:$N2481)"),0.0)</f>
        <v>0</v>
      </c>
      <c r="Q2481" s="92">
        <f t="shared" si="1"/>
        <v>0</v>
      </c>
      <c r="R2481" s="91">
        <f t="array" ref="R2481">IFERROR(INDEX('Fund YTD Target Values'!$1:$1000, MATCH($C2481,'Fund YTD Target Values'!$A:$A,0), MATCH($A2481,'Fund YTD Target Values'!$1:$1,0)),0)</f>
        <v>0</v>
      </c>
      <c r="S2481" s="91">
        <f>IFERROR(__xludf.DUMMYFUNCTION("IFERROR(sum(FILTER('Fund Investment Data'!$V:$V, 'Fund Investment Data'!$C:$C = $C2481, 'Fund Investment Data'!$A:$A &lt; $A2481)),0) + IFERROR(sum(FILTER('Fund Investment Data'!$V:$V, 'Fund Investment Data'!$C:$C = $C2481, 'Fund Investment Data'!$A:$A = $A2"&amp;"481, 'Fund Investment Data'!$B:$B &lt;= $B2481)),0)"),0.0)</f>
        <v>0</v>
      </c>
      <c r="T2481" s="32"/>
      <c r="U2481" s="32"/>
      <c r="V2481" s="32">
        <f>IFERROR(__xludf.DUMMYFUNCTION("$D2481 - IFERROR(FILTER($D:$D,$C:$C = $C2481, $A:$A = $A2481, $B:$B = $B2481 - 1),0)"),0.0)</f>
        <v>0</v>
      </c>
      <c r="W2481" s="93">
        <f>IFERROR(__xludf.DUMMYFUNCTION("$E2481 - IFERROR(FILTER($E:$E,$C:$C = $C2481, $A:$A = $A2481, $B:$B = $B2481 - 1),0)"),0.0)</f>
        <v>0</v>
      </c>
      <c r="X2481" s="91">
        <f>IFERROR(__xludf.DUMMYFUNCTION("iFERROR((FILTER('Fund Investment Data'!$Z:$Z, 'Fund Investment Data'!$C:$C = $C2481, 'Fund Investment Data'!$A:$A = $A2481 - 1, 'Fund Investment Data'!$B:$B = 12) + FILTER('Fund Investment Data'!$AB:$AB, 'Fund Investment Data'!$C:$C = $C2481, 'Fund Invest"&amp;"ment Data'!$A:$A = $A2481 - 1, 'Fund Investment Data'!$B:$B = 12)) * (1 + AVERAGE(FILTER('Inflation Data'!$C:$C,'Inflation Data'!$A:$A = ($A2481 - 2)))) * Parameters!$A$4,0)"),0.0)</f>
        <v>0</v>
      </c>
      <c r="Y2481" s="91">
        <f>IFERROR(__xludf.DUMMYFUNCTION("IFERROR((IFERROR(FILTER('Fund Investment Data'!$P:$P,'Fund Investment Data'!$C:$C = $C2481,'Fund Investment Data'!$A:$A = ($A2481 - 2), 'Fund Investment Data'!$B:$B = 12),0) - SUM(FILTER('Fund Investment Data'!$V:$V, 'Fund Investment Data'!$C:$C = $C2481,"&amp;" 'Fund Investment Data'!$A:$A = ($A2481 - 2), 'Fund Investment Data'!$B:$B &gt; 3)))  * Parameters!$B$4 * (1 - Parameters!$A$4),0)"),0.0)</f>
        <v>0</v>
      </c>
      <c r="Z2481" s="91">
        <f t="shared" si="24"/>
        <v>0</v>
      </c>
      <c r="AA2481" s="91">
        <f>IFERROR(__xludf.DUMMYFUNCTION("((IFERROR((SUM(FILTER('Fund Investment Data'!$V:$V, 'Fund Investment Data'!$C:$C = $C2481, 'Fund Investment Data'!$A:$A = $A2481 - 1, 'Fund Investment Data'!$B:$B &gt;= 4, 'Fund Investment Data'!$B:$B &lt;= ($B2481 + 5))) / 12) * ($B2481 - 3) * Parameters!$B$4,"&amp;" 0) + IF($B2481 &gt;= 9, IFERROR(SUM(FILTER('Fund Investment Data'!$V:$V, 'Fund Investment Data'!$C:$C = $C2481, 'Fund Investment Data'!$A:$A = $A2481, 'Fund Investment Data'!$B:$B &lt;= 3)) * Parameters!$B$4, 0),0)))"),0.0)</f>
        <v>0</v>
      </c>
      <c r="AB2481" s="32">
        <f>IFERROR(__xludf.DUMMYFUNCTION("IFERROR(((IFERROR(SUM(FILTER('Fund Investment Data'!$V:$V, 'Fund Investment Data'!$C:$C = $C2481, 'Fund Investment Data'!$A:$A = $A2481 - 2, 'Fund Investment Data'!$B:$B &gt;= 4)) * Parameters!$B$4,0) + IFERROR(SUM(FILTER('Fund Investment Data'!$V:$V, 'Fund "&amp;"Investment Data'!$C:$C = $C2481, 'Fund Investment Data'!$A:$A = $A2481 - 1, 'Fund Investment Data'!$B:$B &lt;= 3)) * Parameters!$B$4,0))),0)"),0.0)</f>
        <v>0</v>
      </c>
      <c r="AC2481" s="32">
        <f>IFERROR(__xludf.DUMMYFUNCTION("IFERROR(FILTER($AF:$AF,$C:$C = $C2481,$A:$A = $A2481 - 1,$B:$B = 12),0)"),0.0)</f>
        <v>0</v>
      </c>
      <c r="AD2481" s="32">
        <f t="shared" si="23"/>
        <v>0</v>
      </c>
      <c r="AE2481" s="32">
        <f t="shared" si="2"/>
        <v>0</v>
      </c>
      <c r="AF2481" s="32"/>
    </row>
    <row r="2482">
      <c r="A2482" s="86"/>
      <c r="B2482" s="87"/>
      <c r="C2482" s="88"/>
      <c r="D2482" s="104"/>
      <c r="E2482" s="104"/>
      <c r="F2482" s="104"/>
      <c r="G2482" s="104"/>
      <c r="H2482" s="104"/>
      <c r="I2482" s="104"/>
      <c r="J2482" s="104"/>
      <c r="K2482" s="32"/>
      <c r="L2482" s="32"/>
      <c r="M2482" s="32"/>
      <c r="N2482" s="32"/>
      <c r="O2482" s="106"/>
      <c r="P2482" s="91">
        <f>IFERROR(__xludf.DUMMYFUNCTION("IFERROR(sum(FILTER($D:$N,$C:$C = $C2482,$A:$A &lt; $A2482,$B:$B = 12)),0) + sum($D2482:$N2482)"),0.0)</f>
        <v>0</v>
      </c>
      <c r="Q2482" s="92">
        <f t="shared" si="1"/>
        <v>0</v>
      </c>
      <c r="R2482" s="91">
        <f t="array" ref="R2482">IFERROR(INDEX('Fund YTD Target Values'!$1:$1000, MATCH($C2482,'Fund YTD Target Values'!$A:$A,0), MATCH($A2482,'Fund YTD Target Values'!$1:$1,0)),0)</f>
        <v>0</v>
      </c>
      <c r="S2482" s="91">
        <f>IFERROR(__xludf.DUMMYFUNCTION("IFERROR(sum(FILTER('Fund Investment Data'!$V:$V, 'Fund Investment Data'!$C:$C = $C2482, 'Fund Investment Data'!$A:$A &lt; $A2482)),0) + IFERROR(sum(FILTER('Fund Investment Data'!$V:$V, 'Fund Investment Data'!$C:$C = $C2482, 'Fund Investment Data'!$A:$A = $A2"&amp;"482, 'Fund Investment Data'!$B:$B &lt;= $B2482)),0)"),0.0)</f>
        <v>0</v>
      </c>
      <c r="T2482" s="32"/>
      <c r="U2482" s="32"/>
      <c r="V2482" s="32">
        <f>IFERROR(__xludf.DUMMYFUNCTION("$D2482 - IFERROR(FILTER($D:$D,$C:$C = $C2482, $A:$A = $A2482, $B:$B = $B2482 - 1),0)"),0.0)</f>
        <v>0</v>
      </c>
      <c r="W2482" s="93">
        <f>IFERROR(__xludf.DUMMYFUNCTION("$E2482 - IFERROR(FILTER($E:$E,$C:$C = $C2482, $A:$A = $A2482, $B:$B = $B2482 - 1),0)"),0.0)</f>
        <v>0</v>
      </c>
      <c r="X2482" s="91">
        <f>IFERROR(__xludf.DUMMYFUNCTION("iFERROR((FILTER('Fund Investment Data'!$Z:$Z, 'Fund Investment Data'!$C:$C = $C2482, 'Fund Investment Data'!$A:$A = $A2482 - 1, 'Fund Investment Data'!$B:$B = 12) + FILTER('Fund Investment Data'!$AB:$AB, 'Fund Investment Data'!$C:$C = $C2482, 'Fund Invest"&amp;"ment Data'!$A:$A = $A2482 - 1, 'Fund Investment Data'!$B:$B = 12)) * (1 + AVERAGE(FILTER('Inflation Data'!$C:$C,'Inflation Data'!$A:$A = ($A2482 - 2)))) * Parameters!$A$4,0)"),0.0)</f>
        <v>0</v>
      </c>
      <c r="Y2482" s="91">
        <f>IFERROR(__xludf.DUMMYFUNCTION("IFERROR((IFERROR(FILTER('Fund Investment Data'!$P:$P,'Fund Investment Data'!$C:$C = $C2482,'Fund Investment Data'!$A:$A = ($A2482 - 2), 'Fund Investment Data'!$B:$B = 12),0) - SUM(FILTER('Fund Investment Data'!$V:$V, 'Fund Investment Data'!$C:$C = $C2482,"&amp;" 'Fund Investment Data'!$A:$A = ($A2482 - 2), 'Fund Investment Data'!$B:$B &gt; 3)))  * Parameters!$B$4 * (1 - Parameters!$A$4),0)"),0.0)</f>
        <v>0</v>
      </c>
      <c r="Z2482" s="91">
        <f t="shared" si="24"/>
        <v>0</v>
      </c>
      <c r="AA2482" s="91">
        <f>IFERROR(__xludf.DUMMYFUNCTION("((IFERROR((SUM(FILTER('Fund Investment Data'!$V:$V, 'Fund Investment Data'!$C:$C = $C2482, 'Fund Investment Data'!$A:$A = $A2482 - 1, 'Fund Investment Data'!$B:$B &gt;= 4, 'Fund Investment Data'!$B:$B &lt;= ($B2482 + 5))) / 12) * ($B2482 - 3) * Parameters!$B$4,"&amp;" 0) + IF($B2482 &gt;= 9, IFERROR(SUM(FILTER('Fund Investment Data'!$V:$V, 'Fund Investment Data'!$C:$C = $C2482, 'Fund Investment Data'!$A:$A = $A2482, 'Fund Investment Data'!$B:$B &lt;= 3)) * Parameters!$B$4, 0),0)))"),0.0)</f>
        <v>0</v>
      </c>
      <c r="AB2482" s="32">
        <f>IFERROR(__xludf.DUMMYFUNCTION("IFERROR(((IFERROR(SUM(FILTER('Fund Investment Data'!$V:$V, 'Fund Investment Data'!$C:$C = $C2482, 'Fund Investment Data'!$A:$A = $A2482 - 2, 'Fund Investment Data'!$B:$B &gt;= 4)) * Parameters!$B$4,0) + IFERROR(SUM(FILTER('Fund Investment Data'!$V:$V, 'Fund "&amp;"Investment Data'!$C:$C = $C2482, 'Fund Investment Data'!$A:$A = $A2482 - 1, 'Fund Investment Data'!$B:$B &lt;= 3)) * Parameters!$B$4,0))),0)"),0.0)</f>
        <v>0</v>
      </c>
      <c r="AC2482" s="32">
        <f>IFERROR(__xludf.DUMMYFUNCTION("IFERROR(FILTER($AF:$AF,$C:$C = $C2482,$A:$A = $A2482 - 1,$B:$B = 12),0)"),0.0)</f>
        <v>0</v>
      </c>
      <c r="AD2482" s="32">
        <f t="shared" si="23"/>
        <v>0</v>
      </c>
      <c r="AE2482" s="32">
        <f t="shared" si="2"/>
        <v>0</v>
      </c>
      <c r="AF2482" s="32"/>
    </row>
    <row r="2483">
      <c r="A2483" s="86"/>
      <c r="B2483" s="87"/>
      <c r="C2483" s="88"/>
      <c r="D2483" s="104"/>
      <c r="E2483" s="104"/>
      <c r="F2483" s="104"/>
      <c r="G2483" s="104"/>
      <c r="H2483" s="104"/>
      <c r="I2483" s="104"/>
      <c r="J2483" s="104"/>
      <c r="K2483" s="32"/>
      <c r="L2483" s="32"/>
      <c r="M2483" s="32"/>
      <c r="N2483" s="32"/>
      <c r="O2483" s="106"/>
      <c r="P2483" s="91">
        <f>IFERROR(__xludf.DUMMYFUNCTION("IFERROR(sum(FILTER($D:$N,$C:$C = $C2483,$A:$A &lt; $A2483,$B:$B = 12)),0) + sum($D2483:$N2483)"),0.0)</f>
        <v>0</v>
      </c>
      <c r="Q2483" s="92">
        <f t="shared" si="1"/>
        <v>0</v>
      </c>
      <c r="R2483" s="91">
        <f t="array" ref="R2483">IFERROR(INDEX('Fund YTD Target Values'!$1:$1000, MATCH($C2483,'Fund YTD Target Values'!$A:$A,0), MATCH($A2483,'Fund YTD Target Values'!$1:$1,0)),0)</f>
        <v>0</v>
      </c>
      <c r="S2483" s="91">
        <f>IFERROR(__xludf.DUMMYFUNCTION("IFERROR(sum(FILTER('Fund Investment Data'!$V:$V, 'Fund Investment Data'!$C:$C = $C2483, 'Fund Investment Data'!$A:$A &lt; $A2483)),0) + IFERROR(sum(FILTER('Fund Investment Data'!$V:$V, 'Fund Investment Data'!$C:$C = $C2483, 'Fund Investment Data'!$A:$A = $A2"&amp;"483, 'Fund Investment Data'!$B:$B &lt;= $B2483)),0)"),0.0)</f>
        <v>0</v>
      </c>
      <c r="T2483" s="32"/>
      <c r="U2483" s="32"/>
      <c r="V2483" s="32">
        <f>IFERROR(__xludf.DUMMYFUNCTION("$D2483 - IFERROR(FILTER($D:$D,$C:$C = $C2483, $A:$A = $A2483, $B:$B = $B2483 - 1),0)"),0.0)</f>
        <v>0</v>
      </c>
      <c r="W2483" s="93">
        <f>IFERROR(__xludf.DUMMYFUNCTION("$E2483 - IFERROR(FILTER($E:$E,$C:$C = $C2483, $A:$A = $A2483, $B:$B = $B2483 - 1),0)"),0.0)</f>
        <v>0</v>
      </c>
      <c r="X2483" s="91">
        <f>IFERROR(__xludf.DUMMYFUNCTION("iFERROR((FILTER('Fund Investment Data'!$Z:$Z, 'Fund Investment Data'!$C:$C = $C2483, 'Fund Investment Data'!$A:$A = $A2483 - 1, 'Fund Investment Data'!$B:$B = 12) + FILTER('Fund Investment Data'!$AB:$AB, 'Fund Investment Data'!$C:$C = $C2483, 'Fund Invest"&amp;"ment Data'!$A:$A = $A2483 - 1, 'Fund Investment Data'!$B:$B = 12)) * (1 + AVERAGE(FILTER('Inflation Data'!$C:$C,'Inflation Data'!$A:$A = ($A2483 - 2)))) * Parameters!$A$4,0)"),0.0)</f>
        <v>0</v>
      </c>
      <c r="Y2483" s="91">
        <f>IFERROR(__xludf.DUMMYFUNCTION("IFERROR((IFERROR(FILTER('Fund Investment Data'!$P:$P,'Fund Investment Data'!$C:$C = $C2483,'Fund Investment Data'!$A:$A = ($A2483 - 2), 'Fund Investment Data'!$B:$B = 12),0) - SUM(FILTER('Fund Investment Data'!$V:$V, 'Fund Investment Data'!$C:$C = $C2483,"&amp;" 'Fund Investment Data'!$A:$A = ($A2483 - 2), 'Fund Investment Data'!$B:$B &gt; 3)))  * Parameters!$B$4 * (1 - Parameters!$A$4),0)"),0.0)</f>
        <v>0</v>
      </c>
      <c r="Z2483" s="91">
        <f t="shared" si="24"/>
        <v>0</v>
      </c>
      <c r="AA2483" s="91">
        <f>IFERROR(__xludf.DUMMYFUNCTION("((IFERROR((SUM(FILTER('Fund Investment Data'!$V:$V, 'Fund Investment Data'!$C:$C = $C2483, 'Fund Investment Data'!$A:$A = $A2483 - 1, 'Fund Investment Data'!$B:$B &gt;= 4, 'Fund Investment Data'!$B:$B &lt;= ($B2483 + 5))) / 12) * ($B2483 - 3) * Parameters!$B$4,"&amp;" 0) + IF($B2483 &gt;= 9, IFERROR(SUM(FILTER('Fund Investment Data'!$V:$V, 'Fund Investment Data'!$C:$C = $C2483, 'Fund Investment Data'!$A:$A = $A2483, 'Fund Investment Data'!$B:$B &lt;= 3)) * Parameters!$B$4, 0),0)))"),0.0)</f>
        <v>0</v>
      </c>
      <c r="AB2483" s="32">
        <f>IFERROR(__xludf.DUMMYFUNCTION("IFERROR(((IFERROR(SUM(FILTER('Fund Investment Data'!$V:$V, 'Fund Investment Data'!$C:$C = $C2483, 'Fund Investment Data'!$A:$A = $A2483 - 2, 'Fund Investment Data'!$B:$B &gt;= 4)) * Parameters!$B$4,0) + IFERROR(SUM(FILTER('Fund Investment Data'!$V:$V, 'Fund "&amp;"Investment Data'!$C:$C = $C2483, 'Fund Investment Data'!$A:$A = $A2483 - 1, 'Fund Investment Data'!$B:$B &lt;= 3)) * Parameters!$B$4,0))),0)"),0.0)</f>
        <v>0</v>
      </c>
      <c r="AC2483" s="32">
        <f>IFERROR(__xludf.DUMMYFUNCTION("IFERROR(FILTER($AF:$AF,$C:$C = $C2483,$A:$A = $A2483 - 1,$B:$B = 12),0)"),0.0)</f>
        <v>0</v>
      </c>
      <c r="AD2483" s="32">
        <f t="shared" si="23"/>
        <v>0</v>
      </c>
      <c r="AE2483" s="32">
        <f t="shared" si="2"/>
        <v>0</v>
      </c>
      <c r="AF2483" s="32"/>
    </row>
    <row r="2484">
      <c r="A2484" s="86"/>
      <c r="B2484" s="87"/>
      <c r="C2484" s="88"/>
      <c r="D2484" s="104"/>
      <c r="E2484" s="104"/>
      <c r="F2484" s="104"/>
      <c r="G2484" s="104"/>
      <c r="H2484" s="104"/>
      <c r="I2484" s="104"/>
      <c r="J2484" s="104"/>
      <c r="K2484" s="32"/>
      <c r="L2484" s="32"/>
      <c r="M2484" s="32"/>
      <c r="N2484" s="32"/>
      <c r="O2484" s="106"/>
      <c r="P2484" s="91">
        <f>IFERROR(__xludf.DUMMYFUNCTION("IFERROR(sum(FILTER($D:$N,$C:$C = $C2484,$A:$A &lt; $A2484,$B:$B = 12)),0) + sum($D2484:$N2484)"),0.0)</f>
        <v>0</v>
      </c>
      <c r="Q2484" s="92">
        <f t="shared" si="1"/>
        <v>0</v>
      </c>
      <c r="R2484" s="91">
        <f t="array" ref="R2484">IFERROR(INDEX('Fund YTD Target Values'!$1:$1000, MATCH($C2484,'Fund YTD Target Values'!$A:$A,0), MATCH($A2484,'Fund YTD Target Values'!$1:$1,0)),0)</f>
        <v>0</v>
      </c>
      <c r="S2484" s="91">
        <f>IFERROR(__xludf.DUMMYFUNCTION("IFERROR(sum(FILTER('Fund Investment Data'!$V:$V, 'Fund Investment Data'!$C:$C = $C2484, 'Fund Investment Data'!$A:$A &lt; $A2484)),0) + IFERROR(sum(FILTER('Fund Investment Data'!$V:$V, 'Fund Investment Data'!$C:$C = $C2484, 'Fund Investment Data'!$A:$A = $A2"&amp;"484, 'Fund Investment Data'!$B:$B &lt;= $B2484)),0)"),0.0)</f>
        <v>0</v>
      </c>
      <c r="T2484" s="32"/>
      <c r="U2484" s="32"/>
      <c r="V2484" s="32">
        <f>IFERROR(__xludf.DUMMYFUNCTION("$D2484 - IFERROR(FILTER($D:$D,$C:$C = $C2484, $A:$A = $A2484, $B:$B = $B2484 - 1),0)"),0.0)</f>
        <v>0</v>
      </c>
      <c r="W2484" s="93">
        <f>IFERROR(__xludf.DUMMYFUNCTION("$E2484 - IFERROR(FILTER($E:$E,$C:$C = $C2484, $A:$A = $A2484, $B:$B = $B2484 - 1),0)"),0.0)</f>
        <v>0</v>
      </c>
      <c r="X2484" s="91">
        <f>IFERROR(__xludf.DUMMYFUNCTION("iFERROR((FILTER('Fund Investment Data'!$Z:$Z, 'Fund Investment Data'!$C:$C = $C2484, 'Fund Investment Data'!$A:$A = $A2484 - 1, 'Fund Investment Data'!$B:$B = 12) + FILTER('Fund Investment Data'!$AB:$AB, 'Fund Investment Data'!$C:$C = $C2484, 'Fund Invest"&amp;"ment Data'!$A:$A = $A2484 - 1, 'Fund Investment Data'!$B:$B = 12)) * (1 + AVERAGE(FILTER('Inflation Data'!$C:$C,'Inflation Data'!$A:$A = ($A2484 - 2)))) * Parameters!$A$4,0)"),0.0)</f>
        <v>0</v>
      </c>
      <c r="Y2484" s="91">
        <f>IFERROR(__xludf.DUMMYFUNCTION("IFERROR((IFERROR(FILTER('Fund Investment Data'!$P:$P,'Fund Investment Data'!$C:$C = $C2484,'Fund Investment Data'!$A:$A = ($A2484 - 2), 'Fund Investment Data'!$B:$B = 12),0) - SUM(FILTER('Fund Investment Data'!$V:$V, 'Fund Investment Data'!$C:$C = $C2484,"&amp;" 'Fund Investment Data'!$A:$A = ($A2484 - 2), 'Fund Investment Data'!$B:$B &gt; 3)))  * Parameters!$B$4 * (1 - Parameters!$A$4),0)"),0.0)</f>
        <v>0</v>
      </c>
      <c r="Z2484" s="91">
        <f t="shared" si="24"/>
        <v>0</v>
      </c>
      <c r="AA2484" s="91">
        <f>IFERROR(__xludf.DUMMYFUNCTION("((IFERROR((SUM(FILTER('Fund Investment Data'!$V:$V, 'Fund Investment Data'!$C:$C = $C2484, 'Fund Investment Data'!$A:$A = $A2484 - 1, 'Fund Investment Data'!$B:$B &gt;= 4, 'Fund Investment Data'!$B:$B &lt;= ($B2484 + 5))) / 12) * ($B2484 - 3) * Parameters!$B$4,"&amp;" 0) + IF($B2484 &gt;= 9, IFERROR(SUM(FILTER('Fund Investment Data'!$V:$V, 'Fund Investment Data'!$C:$C = $C2484, 'Fund Investment Data'!$A:$A = $A2484, 'Fund Investment Data'!$B:$B &lt;= 3)) * Parameters!$B$4, 0),0)))"),0.0)</f>
        <v>0</v>
      </c>
      <c r="AB2484" s="32">
        <f>IFERROR(__xludf.DUMMYFUNCTION("IFERROR(((IFERROR(SUM(FILTER('Fund Investment Data'!$V:$V, 'Fund Investment Data'!$C:$C = $C2484, 'Fund Investment Data'!$A:$A = $A2484 - 2, 'Fund Investment Data'!$B:$B &gt;= 4)) * Parameters!$B$4,0) + IFERROR(SUM(FILTER('Fund Investment Data'!$V:$V, 'Fund "&amp;"Investment Data'!$C:$C = $C2484, 'Fund Investment Data'!$A:$A = $A2484 - 1, 'Fund Investment Data'!$B:$B &lt;= 3)) * Parameters!$B$4,0))),0)"),0.0)</f>
        <v>0</v>
      </c>
      <c r="AC2484" s="32">
        <f>IFERROR(__xludf.DUMMYFUNCTION("IFERROR(FILTER($AF:$AF,$C:$C = $C2484,$A:$A = $A2484 - 1,$B:$B = 12),0)"),0.0)</f>
        <v>0</v>
      </c>
      <c r="AD2484" s="32">
        <f t="shared" si="23"/>
        <v>0</v>
      </c>
      <c r="AE2484" s="32">
        <f t="shared" si="2"/>
        <v>0</v>
      </c>
      <c r="AF2484" s="32"/>
    </row>
    <row r="2485">
      <c r="A2485" s="86"/>
      <c r="B2485" s="87"/>
      <c r="C2485" s="88"/>
      <c r="D2485" s="104"/>
      <c r="E2485" s="104"/>
      <c r="F2485" s="104"/>
      <c r="G2485" s="104"/>
      <c r="H2485" s="104"/>
      <c r="I2485" s="104"/>
      <c r="J2485" s="104"/>
      <c r="K2485" s="32"/>
      <c r="L2485" s="32"/>
      <c r="M2485" s="32"/>
      <c r="N2485" s="32"/>
      <c r="O2485" s="106"/>
      <c r="P2485" s="91">
        <f>IFERROR(__xludf.DUMMYFUNCTION("IFERROR(sum(FILTER($D:$N,$C:$C = $C2485,$A:$A &lt; $A2485,$B:$B = 12)),0) + sum($D2485:$N2485)"),0.0)</f>
        <v>0</v>
      </c>
      <c r="Q2485" s="92">
        <f t="shared" si="1"/>
        <v>0</v>
      </c>
      <c r="R2485" s="91">
        <f t="array" ref="R2485">IFERROR(INDEX('Fund YTD Target Values'!$1:$1000, MATCH($C2485,'Fund YTD Target Values'!$A:$A,0), MATCH($A2485,'Fund YTD Target Values'!$1:$1,0)),0)</f>
        <v>0</v>
      </c>
      <c r="S2485" s="91">
        <f>IFERROR(__xludf.DUMMYFUNCTION("IFERROR(sum(FILTER('Fund Investment Data'!$V:$V, 'Fund Investment Data'!$C:$C = $C2485, 'Fund Investment Data'!$A:$A &lt; $A2485)),0) + IFERROR(sum(FILTER('Fund Investment Data'!$V:$V, 'Fund Investment Data'!$C:$C = $C2485, 'Fund Investment Data'!$A:$A = $A2"&amp;"485, 'Fund Investment Data'!$B:$B &lt;= $B2485)),0)"),0.0)</f>
        <v>0</v>
      </c>
      <c r="T2485" s="32"/>
      <c r="U2485" s="32"/>
      <c r="V2485" s="32">
        <f>IFERROR(__xludf.DUMMYFUNCTION("$D2485 - IFERROR(FILTER($D:$D,$C:$C = $C2485, $A:$A = $A2485, $B:$B = $B2485 - 1),0)"),0.0)</f>
        <v>0</v>
      </c>
      <c r="W2485" s="93">
        <f>IFERROR(__xludf.DUMMYFUNCTION("$E2485 - IFERROR(FILTER($E:$E,$C:$C = $C2485, $A:$A = $A2485, $B:$B = $B2485 - 1),0)"),0.0)</f>
        <v>0</v>
      </c>
      <c r="X2485" s="91">
        <f>IFERROR(__xludf.DUMMYFUNCTION("iFERROR((FILTER('Fund Investment Data'!$Z:$Z, 'Fund Investment Data'!$C:$C = $C2485, 'Fund Investment Data'!$A:$A = $A2485 - 1, 'Fund Investment Data'!$B:$B = 12) + FILTER('Fund Investment Data'!$AB:$AB, 'Fund Investment Data'!$C:$C = $C2485, 'Fund Invest"&amp;"ment Data'!$A:$A = $A2485 - 1, 'Fund Investment Data'!$B:$B = 12)) * (1 + AVERAGE(FILTER('Inflation Data'!$C:$C,'Inflation Data'!$A:$A = ($A2485 - 2)))) * Parameters!$A$4,0)"),0.0)</f>
        <v>0</v>
      </c>
      <c r="Y2485" s="91">
        <f>IFERROR(__xludf.DUMMYFUNCTION("IFERROR((IFERROR(FILTER('Fund Investment Data'!$P:$P,'Fund Investment Data'!$C:$C = $C2485,'Fund Investment Data'!$A:$A = ($A2485 - 2), 'Fund Investment Data'!$B:$B = 12),0) - SUM(FILTER('Fund Investment Data'!$V:$V, 'Fund Investment Data'!$C:$C = $C2485,"&amp;" 'Fund Investment Data'!$A:$A = ($A2485 - 2), 'Fund Investment Data'!$B:$B &gt; 3)))  * Parameters!$B$4 * (1 - Parameters!$A$4),0)"),0.0)</f>
        <v>0</v>
      </c>
      <c r="Z2485" s="91">
        <f t="shared" si="24"/>
        <v>0</v>
      </c>
      <c r="AA2485" s="91">
        <f>IFERROR(__xludf.DUMMYFUNCTION("((IFERROR((SUM(FILTER('Fund Investment Data'!$V:$V, 'Fund Investment Data'!$C:$C = $C2485, 'Fund Investment Data'!$A:$A = $A2485 - 1, 'Fund Investment Data'!$B:$B &gt;= 4, 'Fund Investment Data'!$B:$B &lt;= ($B2485 + 5))) / 12) * ($B2485 - 3) * Parameters!$B$4,"&amp;" 0) + IF($B2485 &gt;= 9, IFERROR(SUM(FILTER('Fund Investment Data'!$V:$V, 'Fund Investment Data'!$C:$C = $C2485, 'Fund Investment Data'!$A:$A = $A2485, 'Fund Investment Data'!$B:$B &lt;= 3)) * Parameters!$B$4, 0),0)))"),0.0)</f>
        <v>0</v>
      </c>
      <c r="AB2485" s="32">
        <f>IFERROR(__xludf.DUMMYFUNCTION("IFERROR(((IFERROR(SUM(FILTER('Fund Investment Data'!$V:$V, 'Fund Investment Data'!$C:$C = $C2485, 'Fund Investment Data'!$A:$A = $A2485 - 2, 'Fund Investment Data'!$B:$B &gt;= 4)) * Parameters!$B$4,0) + IFERROR(SUM(FILTER('Fund Investment Data'!$V:$V, 'Fund "&amp;"Investment Data'!$C:$C = $C2485, 'Fund Investment Data'!$A:$A = $A2485 - 1, 'Fund Investment Data'!$B:$B &lt;= 3)) * Parameters!$B$4,0))),0)"),0.0)</f>
        <v>0</v>
      </c>
      <c r="AC2485" s="32">
        <f>IFERROR(__xludf.DUMMYFUNCTION("IFERROR(FILTER($AF:$AF,$C:$C = $C2485,$A:$A = $A2485 - 1,$B:$B = 12),0)"),0.0)</f>
        <v>0</v>
      </c>
      <c r="AD2485" s="32">
        <f t="shared" si="23"/>
        <v>0</v>
      </c>
      <c r="AE2485" s="32">
        <f t="shared" si="2"/>
        <v>0</v>
      </c>
      <c r="AF2485" s="32"/>
    </row>
    <row r="2486">
      <c r="A2486" s="86"/>
      <c r="B2486" s="87"/>
      <c r="C2486" s="88"/>
      <c r="D2486" s="104"/>
      <c r="E2486" s="104"/>
      <c r="F2486" s="104"/>
      <c r="G2486" s="104"/>
      <c r="H2486" s="104"/>
      <c r="I2486" s="104"/>
      <c r="J2486" s="104"/>
      <c r="K2486" s="32"/>
      <c r="L2486" s="32"/>
      <c r="M2486" s="32"/>
      <c r="N2486" s="32"/>
      <c r="O2486" s="106"/>
      <c r="P2486" s="91">
        <f>IFERROR(__xludf.DUMMYFUNCTION("IFERROR(sum(FILTER($D:$N,$C:$C = $C2486,$A:$A &lt; $A2486,$B:$B = 12)),0) + sum($D2486:$N2486)"),0.0)</f>
        <v>0</v>
      </c>
      <c r="Q2486" s="92">
        <f t="shared" si="1"/>
        <v>0</v>
      </c>
      <c r="R2486" s="91">
        <f t="array" ref="R2486">IFERROR(INDEX('Fund YTD Target Values'!$1:$1000, MATCH($C2486,'Fund YTD Target Values'!$A:$A,0), MATCH($A2486,'Fund YTD Target Values'!$1:$1,0)),0)</f>
        <v>0</v>
      </c>
      <c r="S2486" s="91">
        <f>IFERROR(__xludf.DUMMYFUNCTION("IFERROR(sum(FILTER('Fund Investment Data'!$V:$V, 'Fund Investment Data'!$C:$C = $C2486, 'Fund Investment Data'!$A:$A &lt; $A2486)),0) + IFERROR(sum(FILTER('Fund Investment Data'!$V:$V, 'Fund Investment Data'!$C:$C = $C2486, 'Fund Investment Data'!$A:$A = $A2"&amp;"486, 'Fund Investment Data'!$B:$B &lt;= $B2486)),0)"),0.0)</f>
        <v>0</v>
      </c>
      <c r="T2486" s="32"/>
      <c r="U2486" s="32"/>
      <c r="V2486" s="32">
        <f>IFERROR(__xludf.DUMMYFUNCTION("$D2486 - IFERROR(FILTER($D:$D,$C:$C = $C2486, $A:$A = $A2486, $B:$B = $B2486 - 1),0)"),0.0)</f>
        <v>0</v>
      </c>
      <c r="W2486" s="93">
        <f>IFERROR(__xludf.DUMMYFUNCTION("$E2486 - IFERROR(FILTER($E:$E,$C:$C = $C2486, $A:$A = $A2486, $B:$B = $B2486 - 1),0)"),0.0)</f>
        <v>0</v>
      </c>
      <c r="X2486" s="91">
        <f>IFERROR(__xludf.DUMMYFUNCTION("iFERROR((FILTER('Fund Investment Data'!$Z:$Z, 'Fund Investment Data'!$C:$C = $C2486, 'Fund Investment Data'!$A:$A = $A2486 - 1, 'Fund Investment Data'!$B:$B = 12) + FILTER('Fund Investment Data'!$AB:$AB, 'Fund Investment Data'!$C:$C = $C2486, 'Fund Invest"&amp;"ment Data'!$A:$A = $A2486 - 1, 'Fund Investment Data'!$B:$B = 12)) * (1 + AVERAGE(FILTER('Inflation Data'!$C:$C,'Inflation Data'!$A:$A = ($A2486 - 2)))) * Parameters!$A$4,0)"),0.0)</f>
        <v>0</v>
      </c>
      <c r="Y2486" s="91">
        <f>IFERROR(__xludf.DUMMYFUNCTION("IFERROR((IFERROR(FILTER('Fund Investment Data'!$P:$P,'Fund Investment Data'!$C:$C = $C2486,'Fund Investment Data'!$A:$A = ($A2486 - 2), 'Fund Investment Data'!$B:$B = 12),0) - SUM(FILTER('Fund Investment Data'!$V:$V, 'Fund Investment Data'!$C:$C = $C2486,"&amp;" 'Fund Investment Data'!$A:$A = ($A2486 - 2), 'Fund Investment Data'!$B:$B &gt; 3)))  * Parameters!$B$4 * (1 - Parameters!$A$4),0)"),0.0)</f>
        <v>0</v>
      </c>
      <c r="Z2486" s="91">
        <f t="shared" si="24"/>
        <v>0</v>
      </c>
      <c r="AA2486" s="91">
        <f>IFERROR(__xludf.DUMMYFUNCTION("((IFERROR((SUM(FILTER('Fund Investment Data'!$V:$V, 'Fund Investment Data'!$C:$C = $C2486, 'Fund Investment Data'!$A:$A = $A2486 - 1, 'Fund Investment Data'!$B:$B &gt;= 4, 'Fund Investment Data'!$B:$B &lt;= ($B2486 + 5))) / 12) * ($B2486 - 3) * Parameters!$B$4,"&amp;" 0) + IF($B2486 &gt;= 9, IFERROR(SUM(FILTER('Fund Investment Data'!$V:$V, 'Fund Investment Data'!$C:$C = $C2486, 'Fund Investment Data'!$A:$A = $A2486, 'Fund Investment Data'!$B:$B &lt;= 3)) * Parameters!$B$4, 0),0)))"),0.0)</f>
        <v>0</v>
      </c>
      <c r="AB2486" s="32">
        <f>IFERROR(__xludf.DUMMYFUNCTION("IFERROR(((IFERROR(SUM(FILTER('Fund Investment Data'!$V:$V, 'Fund Investment Data'!$C:$C = $C2486, 'Fund Investment Data'!$A:$A = $A2486 - 2, 'Fund Investment Data'!$B:$B &gt;= 4)) * Parameters!$B$4,0) + IFERROR(SUM(FILTER('Fund Investment Data'!$V:$V, 'Fund "&amp;"Investment Data'!$C:$C = $C2486, 'Fund Investment Data'!$A:$A = $A2486 - 1, 'Fund Investment Data'!$B:$B &lt;= 3)) * Parameters!$B$4,0))),0)"),0.0)</f>
        <v>0</v>
      </c>
      <c r="AC2486" s="32">
        <f>IFERROR(__xludf.DUMMYFUNCTION("IFERROR(FILTER($AF:$AF,$C:$C = $C2486,$A:$A = $A2486 - 1,$B:$B = 12),0)"),0.0)</f>
        <v>0</v>
      </c>
      <c r="AD2486" s="32">
        <f t="shared" si="23"/>
        <v>0</v>
      </c>
      <c r="AE2486" s="32">
        <f t="shared" si="2"/>
        <v>0</v>
      </c>
      <c r="AF2486" s="32"/>
    </row>
    <row r="2487">
      <c r="A2487" s="86"/>
      <c r="B2487" s="87"/>
      <c r="C2487" s="88"/>
      <c r="D2487" s="104"/>
      <c r="E2487" s="104"/>
      <c r="F2487" s="104"/>
      <c r="G2487" s="104"/>
      <c r="H2487" s="104"/>
      <c r="I2487" s="104"/>
      <c r="J2487" s="104"/>
      <c r="K2487" s="32"/>
      <c r="L2487" s="32"/>
      <c r="M2487" s="32"/>
      <c r="N2487" s="32"/>
      <c r="O2487" s="106"/>
      <c r="P2487" s="91">
        <f>IFERROR(__xludf.DUMMYFUNCTION("IFERROR(sum(FILTER($D:$N,$C:$C = $C2487,$A:$A &lt; $A2487,$B:$B = 12)),0) + sum($D2487:$N2487)"),0.0)</f>
        <v>0</v>
      </c>
      <c r="Q2487" s="92">
        <f t="shared" si="1"/>
        <v>0</v>
      </c>
      <c r="R2487" s="91">
        <f t="array" ref="R2487">IFERROR(INDEX('Fund YTD Target Values'!$1:$1000, MATCH($C2487,'Fund YTD Target Values'!$A:$A,0), MATCH($A2487,'Fund YTD Target Values'!$1:$1,0)),0)</f>
        <v>0</v>
      </c>
      <c r="S2487" s="91">
        <f>IFERROR(__xludf.DUMMYFUNCTION("IFERROR(sum(FILTER('Fund Investment Data'!$V:$V, 'Fund Investment Data'!$C:$C = $C2487, 'Fund Investment Data'!$A:$A &lt; $A2487)),0) + IFERROR(sum(FILTER('Fund Investment Data'!$V:$V, 'Fund Investment Data'!$C:$C = $C2487, 'Fund Investment Data'!$A:$A = $A2"&amp;"487, 'Fund Investment Data'!$B:$B &lt;= $B2487)),0)"),0.0)</f>
        <v>0</v>
      </c>
      <c r="T2487" s="32"/>
      <c r="U2487" s="32"/>
      <c r="V2487" s="32">
        <f>IFERROR(__xludf.DUMMYFUNCTION("$D2487 - IFERROR(FILTER($D:$D,$C:$C = $C2487, $A:$A = $A2487, $B:$B = $B2487 - 1),0)"),0.0)</f>
        <v>0</v>
      </c>
      <c r="W2487" s="93">
        <f>IFERROR(__xludf.DUMMYFUNCTION("$E2487 - IFERROR(FILTER($E:$E,$C:$C = $C2487, $A:$A = $A2487, $B:$B = $B2487 - 1),0)"),0.0)</f>
        <v>0</v>
      </c>
      <c r="X2487" s="91">
        <f>IFERROR(__xludf.DUMMYFUNCTION("iFERROR((FILTER('Fund Investment Data'!$Z:$Z, 'Fund Investment Data'!$C:$C = $C2487, 'Fund Investment Data'!$A:$A = $A2487 - 1, 'Fund Investment Data'!$B:$B = 12) + FILTER('Fund Investment Data'!$AB:$AB, 'Fund Investment Data'!$C:$C = $C2487, 'Fund Invest"&amp;"ment Data'!$A:$A = $A2487 - 1, 'Fund Investment Data'!$B:$B = 12)) * (1 + AVERAGE(FILTER('Inflation Data'!$C:$C,'Inflation Data'!$A:$A = ($A2487 - 2)))) * Parameters!$A$4,0)"),0.0)</f>
        <v>0</v>
      </c>
      <c r="Y2487" s="91">
        <f>IFERROR(__xludf.DUMMYFUNCTION("IFERROR((IFERROR(FILTER('Fund Investment Data'!$P:$P,'Fund Investment Data'!$C:$C = $C2487,'Fund Investment Data'!$A:$A = ($A2487 - 2), 'Fund Investment Data'!$B:$B = 12),0) - SUM(FILTER('Fund Investment Data'!$V:$V, 'Fund Investment Data'!$C:$C = $C2487,"&amp;" 'Fund Investment Data'!$A:$A = ($A2487 - 2), 'Fund Investment Data'!$B:$B &gt; 3)))  * Parameters!$B$4 * (1 - Parameters!$A$4),0)"),0.0)</f>
        <v>0</v>
      </c>
      <c r="Z2487" s="91">
        <f t="shared" si="24"/>
        <v>0</v>
      </c>
      <c r="AA2487" s="91">
        <f>IFERROR(__xludf.DUMMYFUNCTION("((IFERROR((SUM(FILTER('Fund Investment Data'!$V:$V, 'Fund Investment Data'!$C:$C = $C2487, 'Fund Investment Data'!$A:$A = $A2487 - 1, 'Fund Investment Data'!$B:$B &gt;= 4, 'Fund Investment Data'!$B:$B &lt;= ($B2487 + 5))) / 12) * ($B2487 - 3) * Parameters!$B$4,"&amp;" 0) + IF($B2487 &gt;= 9, IFERROR(SUM(FILTER('Fund Investment Data'!$V:$V, 'Fund Investment Data'!$C:$C = $C2487, 'Fund Investment Data'!$A:$A = $A2487, 'Fund Investment Data'!$B:$B &lt;= 3)) * Parameters!$B$4, 0),0)))"),0.0)</f>
        <v>0</v>
      </c>
      <c r="AB2487" s="32">
        <f>IFERROR(__xludf.DUMMYFUNCTION("IFERROR(((IFERROR(SUM(FILTER('Fund Investment Data'!$V:$V, 'Fund Investment Data'!$C:$C = $C2487, 'Fund Investment Data'!$A:$A = $A2487 - 2, 'Fund Investment Data'!$B:$B &gt;= 4)) * Parameters!$B$4,0) + IFERROR(SUM(FILTER('Fund Investment Data'!$V:$V, 'Fund "&amp;"Investment Data'!$C:$C = $C2487, 'Fund Investment Data'!$A:$A = $A2487 - 1, 'Fund Investment Data'!$B:$B &lt;= 3)) * Parameters!$B$4,0))),0)"),0.0)</f>
        <v>0</v>
      </c>
      <c r="AC2487" s="32">
        <f>IFERROR(__xludf.DUMMYFUNCTION("IFERROR(FILTER($AF:$AF,$C:$C = $C2487,$A:$A = $A2487 - 1,$B:$B = 12),0)"),0.0)</f>
        <v>0</v>
      </c>
      <c r="AD2487" s="32">
        <f t="shared" si="23"/>
        <v>0</v>
      </c>
      <c r="AE2487" s="32">
        <f t="shared" si="2"/>
        <v>0</v>
      </c>
      <c r="AF2487" s="32"/>
    </row>
    <row r="2488">
      <c r="A2488" s="86"/>
      <c r="B2488" s="87"/>
      <c r="C2488" s="88"/>
      <c r="D2488" s="104"/>
      <c r="E2488" s="104"/>
      <c r="F2488" s="104"/>
      <c r="G2488" s="104"/>
      <c r="H2488" s="104"/>
      <c r="I2488" s="104"/>
      <c r="J2488" s="104"/>
      <c r="K2488" s="32"/>
      <c r="L2488" s="32"/>
      <c r="M2488" s="32"/>
      <c r="N2488" s="32"/>
      <c r="O2488" s="106"/>
      <c r="P2488" s="91">
        <f>IFERROR(__xludf.DUMMYFUNCTION("IFERROR(sum(FILTER($D:$N,$C:$C = $C2488,$A:$A &lt; $A2488,$B:$B = 12)),0) + sum($D2488:$N2488)"),0.0)</f>
        <v>0</v>
      </c>
      <c r="Q2488" s="92">
        <f t="shared" si="1"/>
        <v>0</v>
      </c>
      <c r="R2488" s="91">
        <f t="array" ref="R2488">IFERROR(INDEX('Fund YTD Target Values'!$1:$1000, MATCH($C2488,'Fund YTD Target Values'!$A:$A,0), MATCH($A2488,'Fund YTD Target Values'!$1:$1,0)),0)</f>
        <v>0</v>
      </c>
      <c r="S2488" s="91">
        <f>IFERROR(__xludf.DUMMYFUNCTION("IFERROR(sum(FILTER('Fund Investment Data'!$V:$V, 'Fund Investment Data'!$C:$C = $C2488, 'Fund Investment Data'!$A:$A &lt; $A2488)),0) + IFERROR(sum(FILTER('Fund Investment Data'!$V:$V, 'Fund Investment Data'!$C:$C = $C2488, 'Fund Investment Data'!$A:$A = $A2"&amp;"488, 'Fund Investment Data'!$B:$B &lt;= $B2488)),0)"),0.0)</f>
        <v>0</v>
      </c>
      <c r="T2488" s="32"/>
      <c r="U2488" s="32"/>
      <c r="V2488" s="32">
        <f>IFERROR(__xludf.DUMMYFUNCTION("$D2488 - IFERROR(FILTER($D:$D,$C:$C = $C2488, $A:$A = $A2488, $B:$B = $B2488 - 1),0)"),0.0)</f>
        <v>0</v>
      </c>
      <c r="W2488" s="93">
        <f>IFERROR(__xludf.DUMMYFUNCTION("$E2488 - IFERROR(FILTER($E:$E,$C:$C = $C2488, $A:$A = $A2488, $B:$B = $B2488 - 1),0)"),0.0)</f>
        <v>0</v>
      </c>
      <c r="X2488" s="91">
        <f>IFERROR(__xludf.DUMMYFUNCTION("iFERROR((FILTER('Fund Investment Data'!$Z:$Z, 'Fund Investment Data'!$C:$C = $C2488, 'Fund Investment Data'!$A:$A = $A2488 - 1, 'Fund Investment Data'!$B:$B = 12) + FILTER('Fund Investment Data'!$AB:$AB, 'Fund Investment Data'!$C:$C = $C2488, 'Fund Invest"&amp;"ment Data'!$A:$A = $A2488 - 1, 'Fund Investment Data'!$B:$B = 12)) * (1 + AVERAGE(FILTER('Inflation Data'!$C:$C,'Inflation Data'!$A:$A = ($A2488 - 2)))) * Parameters!$A$4,0)"),0.0)</f>
        <v>0</v>
      </c>
      <c r="Y2488" s="91">
        <f>IFERROR(__xludf.DUMMYFUNCTION("IFERROR((IFERROR(FILTER('Fund Investment Data'!$P:$P,'Fund Investment Data'!$C:$C = $C2488,'Fund Investment Data'!$A:$A = ($A2488 - 2), 'Fund Investment Data'!$B:$B = 12),0) - SUM(FILTER('Fund Investment Data'!$V:$V, 'Fund Investment Data'!$C:$C = $C2488,"&amp;" 'Fund Investment Data'!$A:$A = ($A2488 - 2), 'Fund Investment Data'!$B:$B &gt; 3)))  * Parameters!$B$4 * (1 - Parameters!$A$4),0)"),0.0)</f>
        <v>0</v>
      </c>
      <c r="Z2488" s="91">
        <f t="shared" si="24"/>
        <v>0</v>
      </c>
      <c r="AA2488" s="91">
        <f>IFERROR(__xludf.DUMMYFUNCTION("((IFERROR((SUM(FILTER('Fund Investment Data'!$V:$V, 'Fund Investment Data'!$C:$C = $C2488, 'Fund Investment Data'!$A:$A = $A2488 - 1, 'Fund Investment Data'!$B:$B &gt;= 4, 'Fund Investment Data'!$B:$B &lt;= ($B2488 + 5))) / 12) * ($B2488 - 3) * Parameters!$B$4,"&amp;" 0) + IF($B2488 &gt;= 9, IFERROR(SUM(FILTER('Fund Investment Data'!$V:$V, 'Fund Investment Data'!$C:$C = $C2488, 'Fund Investment Data'!$A:$A = $A2488, 'Fund Investment Data'!$B:$B &lt;= 3)) * Parameters!$B$4, 0),0)))"),0.0)</f>
        <v>0</v>
      </c>
      <c r="AB2488" s="32">
        <f>IFERROR(__xludf.DUMMYFUNCTION("IFERROR(((IFERROR(SUM(FILTER('Fund Investment Data'!$V:$V, 'Fund Investment Data'!$C:$C = $C2488, 'Fund Investment Data'!$A:$A = $A2488 - 2, 'Fund Investment Data'!$B:$B &gt;= 4)) * Parameters!$B$4,0) + IFERROR(SUM(FILTER('Fund Investment Data'!$V:$V, 'Fund "&amp;"Investment Data'!$C:$C = $C2488, 'Fund Investment Data'!$A:$A = $A2488 - 1, 'Fund Investment Data'!$B:$B &lt;= 3)) * Parameters!$B$4,0))),0)"),0.0)</f>
        <v>0</v>
      </c>
      <c r="AC2488" s="32">
        <f>IFERROR(__xludf.DUMMYFUNCTION("IFERROR(FILTER($AF:$AF,$C:$C = $C2488,$A:$A = $A2488 - 1,$B:$B = 12),0)"),0.0)</f>
        <v>0</v>
      </c>
      <c r="AD2488" s="32">
        <f t="shared" si="23"/>
        <v>0</v>
      </c>
      <c r="AE2488" s="32">
        <f t="shared" si="2"/>
        <v>0</v>
      </c>
      <c r="AF2488" s="32"/>
    </row>
    <row r="2489">
      <c r="A2489" s="86"/>
      <c r="B2489" s="87"/>
      <c r="C2489" s="88"/>
      <c r="D2489" s="104"/>
      <c r="E2489" s="104"/>
      <c r="F2489" s="104"/>
      <c r="G2489" s="104"/>
      <c r="H2489" s="104"/>
      <c r="I2489" s="104"/>
      <c r="J2489" s="104"/>
      <c r="K2489" s="32"/>
      <c r="L2489" s="32"/>
      <c r="M2489" s="32"/>
      <c r="N2489" s="32"/>
      <c r="O2489" s="106"/>
      <c r="P2489" s="91">
        <f>IFERROR(__xludf.DUMMYFUNCTION("IFERROR(sum(FILTER($D:$N,$C:$C = $C2489,$A:$A &lt; $A2489,$B:$B = 12)),0) + sum($D2489:$N2489)"),0.0)</f>
        <v>0</v>
      </c>
      <c r="Q2489" s="92">
        <f t="shared" si="1"/>
        <v>0</v>
      </c>
      <c r="R2489" s="91">
        <f t="array" ref="R2489">IFERROR(INDEX('Fund YTD Target Values'!$1:$1000, MATCH($C2489,'Fund YTD Target Values'!$A:$A,0), MATCH($A2489,'Fund YTD Target Values'!$1:$1,0)),0)</f>
        <v>0</v>
      </c>
      <c r="S2489" s="91">
        <f>IFERROR(__xludf.DUMMYFUNCTION("IFERROR(sum(FILTER('Fund Investment Data'!$V:$V, 'Fund Investment Data'!$C:$C = $C2489, 'Fund Investment Data'!$A:$A &lt; $A2489)),0) + IFERROR(sum(FILTER('Fund Investment Data'!$V:$V, 'Fund Investment Data'!$C:$C = $C2489, 'Fund Investment Data'!$A:$A = $A2"&amp;"489, 'Fund Investment Data'!$B:$B &lt;= $B2489)),0)"),0.0)</f>
        <v>0</v>
      </c>
      <c r="T2489" s="32"/>
      <c r="U2489" s="32"/>
      <c r="V2489" s="32">
        <f>IFERROR(__xludf.DUMMYFUNCTION("$D2489 - IFERROR(FILTER($D:$D,$C:$C = $C2489, $A:$A = $A2489, $B:$B = $B2489 - 1),0)"),0.0)</f>
        <v>0</v>
      </c>
      <c r="W2489" s="93">
        <f>IFERROR(__xludf.DUMMYFUNCTION("$E2489 - IFERROR(FILTER($E:$E,$C:$C = $C2489, $A:$A = $A2489, $B:$B = $B2489 - 1),0)"),0.0)</f>
        <v>0</v>
      </c>
      <c r="X2489" s="91">
        <f>IFERROR(__xludf.DUMMYFUNCTION("iFERROR((FILTER('Fund Investment Data'!$Z:$Z, 'Fund Investment Data'!$C:$C = $C2489, 'Fund Investment Data'!$A:$A = $A2489 - 1, 'Fund Investment Data'!$B:$B = 12) + FILTER('Fund Investment Data'!$AB:$AB, 'Fund Investment Data'!$C:$C = $C2489, 'Fund Invest"&amp;"ment Data'!$A:$A = $A2489 - 1, 'Fund Investment Data'!$B:$B = 12)) * (1 + AVERAGE(FILTER('Inflation Data'!$C:$C,'Inflation Data'!$A:$A = ($A2489 - 2)))) * Parameters!$A$4,0)"),0.0)</f>
        <v>0</v>
      </c>
      <c r="Y2489" s="91">
        <f>IFERROR(__xludf.DUMMYFUNCTION("IFERROR((IFERROR(FILTER('Fund Investment Data'!$P:$P,'Fund Investment Data'!$C:$C = $C2489,'Fund Investment Data'!$A:$A = ($A2489 - 2), 'Fund Investment Data'!$B:$B = 12),0) - SUM(FILTER('Fund Investment Data'!$V:$V, 'Fund Investment Data'!$C:$C = $C2489,"&amp;" 'Fund Investment Data'!$A:$A = ($A2489 - 2), 'Fund Investment Data'!$B:$B &gt; 3)))  * Parameters!$B$4 * (1 - Parameters!$A$4),0)"),0.0)</f>
        <v>0</v>
      </c>
      <c r="Z2489" s="91">
        <f t="shared" si="24"/>
        <v>0</v>
      </c>
      <c r="AA2489" s="91">
        <f>IFERROR(__xludf.DUMMYFUNCTION("((IFERROR((SUM(FILTER('Fund Investment Data'!$V:$V, 'Fund Investment Data'!$C:$C = $C2489, 'Fund Investment Data'!$A:$A = $A2489 - 1, 'Fund Investment Data'!$B:$B &gt;= 4, 'Fund Investment Data'!$B:$B &lt;= ($B2489 + 5))) / 12) * ($B2489 - 3) * Parameters!$B$4,"&amp;" 0) + IF($B2489 &gt;= 9, IFERROR(SUM(FILTER('Fund Investment Data'!$V:$V, 'Fund Investment Data'!$C:$C = $C2489, 'Fund Investment Data'!$A:$A = $A2489, 'Fund Investment Data'!$B:$B &lt;= 3)) * Parameters!$B$4, 0),0)))"),0.0)</f>
        <v>0</v>
      </c>
      <c r="AB2489" s="32">
        <f>IFERROR(__xludf.DUMMYFUNCTION("IFERROR(((IFERROR(SUM(FILTER('Fund Investment Data'!$V:$V, 'Fund Investment Data'!$C:$C = $C2489, 'Fund Investment Data'!$A:$A = $A2489 - 2, 'Fund Investment Data'!$B:$B &gt;= 4)) * Parameters!$B$4,0) + IFERROR(SUM(FILTER('Fund Investment Data'!$V:$V, 'Fund "&amp;"Investment Data'!$C:$C = $C2489, 'Fund Investment Data'!$A:$A = $A2489 - 1, 'Fund Investment Data'!$B:$B &lt;= 3)) * Parameters!$B$4,0))),0)"),0.0)</f>
        <v>0</v>
      </c>
      <c r="AC2489" s="32">
        <f>IFERROR(__xludf.DUMMYFUNCTION("IFERROR(FILTER($AF:$AF,$C:$C = $C2489,$A:$A = $A2489 - 1,$B:$B = 12),0)"),0.0)</f>
        <v>0</v>
      </c>
      <c r="AD2489" s="32">
        <f t="shared" si="23"/>
        <v>0</v>
      </c>
      <c r="AE2489" s="32">
        <f t="shared" si="2"/>
        <v>0</v>
      </c>
      <c r="AF2489" s="32"/>
    </row>
    <row r="2490">
      <c r="A2490" s="86"/>
      <c r="B2490" s="87"/>
      <c r="C2490" s="88"/>
      <c r="D2490" s="104"/>
      <c r="E2490" s="104"/>
      <c r="F2490" s="104"/>
      <c r="G2490" s="104"/>
      <c r="H2490" s="104"/>
      <c r="I2490" s="104"/>
      <c r="J2490" s="104"/>
      <c r="K2490" s="32"/>
      <c r="L2490" s="32"/>
      <c r="M2490" s="32"/>
      <c r="N2490" s="32"/>
      <c r="O2490" s="106"/>
      <c r="P2490" s="91">
        <f>IFERROR(__xludf.DUMMYFUNCTION("IFERROR(sum(FILTER($D:$N,$C:$C = $C2490,$A:$A &lt; $A2490,$B:$B = 12)),0) + sum($D2490:$N2490)"),0.0)</f>
        <v>0</v>
      </c>
      <c r="Q2490" s="92">
        <f t="shared" si="1"/>
        <v>0</v>
      </c>
      <c r="R2490" s="91">
        <f t="array" ref="R2490">IFERROR(INDEX('Fund YTD Target Values'!$1:$1000, MATCH($C2490,'Fund YTD Target Values'!$A:$A,0), MATCH($A2490,'Fund YTD Target Values'!$1:$1,0)),0)</f>
        <v>0</v>
      </c>
      <c r="S2490" s="91">
        <f>IFERROR(__xludf.DUMMYFUNCTION("IFERROR(sum(FILTER('Fund Investment Data'!$V:$V, 'Fund Investment Data'!$C:$C = $C2490, 'Fund Investment Data'!$A:$A &lt; $A2490)),0) + IFERROR(sum(FILTER('Fund Investment Data'!$V:$V, 'Fund Investment Data'!$C:$C = $C2490, 'Fund Investment Data'!$A:$A = $A2"&amp;"490, 'Fund Investment Data'!$B:$B &lt;= $B2490)),0)"),0.0)</f>
        <v>0</v>
      </c>
      <c r="T2490" s="32"/>
      <c r="U2490" s="32"/>
      <c r="V2490" s="32">
        <f>IFERROR(__xludf.DUMMYFUNCTION("$D2490 - IFERROR(FILTER($D:$D,$C:$C = $C2490, $A:$A = $A2490, $B:$B = $B2490 - 1),0)"),0.0)</f>
        <v>0</v>
      </c>
      <c r="W2490" s="93">
        <f>IFERROR(__xludf.DUMMYFUNCTION("$E2490 - IFERROR(FILTER($E:$E,$C:$C = $C2490, $A:$A = $A2490, $B:$B = $B2490 - 1),0)"),0.0)</f>
        <v>0</v>
      </c>
      <c r="X2490" s="91">
        <f>IFERROR(__xludf.DUMMYFUNCTION("iFERROR((FILTER('Fund Investment Data'!$Z:$Z, 'Fund Investment Data'!$C:$C = $C2490, 'Fund Investment Data'!$A:$A = $A2490 - 1, 'Fund Investment Data'!$B:$B = 12) + FILTER('Fund Investment Data'!$AB:$AB, 'Fund Investment Data'!$C:$C = $C2490, 'Fund Invest"&amp;"ment Data'!$A:$A = $A2490 - 1, 'Fund Investment Data'!$B:$B = 12)) * (1 + AVERAGE(FILTER('Inflation Data'!$C:$C,'Inflation Data'!$A:$A = ($A2490 - 2)))) * Parameters!$A$4,0)"),0.0)</f>
        <v>0</v>
      </c>
      <c r="Y2490" s="91">
        <f>IFERROR(__xludf.DUMMYFUNCTION("IFERROR((IFERROR(FILTER('Fund Investment Data'!$P:$P,'Fund Investment Data'!$C:$C = $C2490,'Fund Investment Data'!$A:$A = ($A2490 - 2), 'Fund Investment Data'!$B:$B = 12),0) - SUM(FILTER('Fund Investment Data'!$V:$V, 'Fund Investment Data'!$C:$C = $C2490,"&amp;" 'Fund Investment Data'!$A:$A = ($A2490 - 2), 'Fund Investment Data'!$B:$B &gt; 3)))  * Parameters!$B$4 * (1 - Parameters!$A$4),0)"),0.0)</f>
        <v>0</v>
      </c>
      <c r="Z2490" s="91">
        <f t="shared" si="24"/>
        <v>0</v>
      </c>
      <c r="AA2490" s="91">
        <f>IFERROR(__xludf.DUMMYFUNCTION("((IFERROR((SUM(FILTER('Fund Investment Data'!$V:$V, 'Fund Investment Data'!$C:$C = $C2490, 'Fund Investment Data'!$A:$A = $A2490 - 1, 'Fund Investment Data'!$B:$B &gt;= 4, 'Fund Investment Data'!$B:$B &lt;= ($B2490 + 5))) / 12) * ($B2490 - 3) * Parameters!$B$4,"&amp;" 0) + IF($B2490 &gt;= 9, IFERROR(SUM(FILTER('Fund Investment Data'!$V:$V, 'Fund Investment Data'!$C:$C = $C2490, 'Fund Investment Data'!$A:$A = $A2490, 'Fund Investment Data'!$B:$B &lt;= 3)) * Parameters!$B$4, 0),0)))"),0.0)</f>
        <v>0</v>
      </c>
      <c r="AB2490" s="32">
        <f>IFERROR(__xludf.DUMMYFUNCTION("IFERROR(((IFERROR(SUM(FILTER('Fund Investment Data'!$V:$V, 'Fund Investment Data'!$C:$C = $C2490, 'Fund Investment Data'!$A:$A = $A2490 - 2, 'Fund Investment Data'!$B:$B &gt;= 4)) * Parameters!$B$4,0) + IFERROR(SUM(FILTER('Fund Investment Data'!$V:$V, 'Fund "&amp;"Investment Data'!$C:$C = $C2490, 'Fund Investment Data'!$A:$A = $A2490 - 1, 'Fund Investment Data'!$B:$B &lt;= 3)) * Parameters!$B$4,0))),0)"),0.0)</f>
        <v>0</v>
      </c>
      <c r="AC2490" s="32">
        <f>IFERROR(__xludf.DUMMYFUNCTION("IFERROR(FILTER($AF:$AF,$C:$C = $C2490,$A:$A = $A2490 - 1,$B:$B = 12),0)"),0.0)</f>
        <v>0</v>
      </c>
      <c r="AD2490" s="32">
        <f t="shared" si="23"/>
        <v>0</v>
      </c>
      <c r="AE2490" s="32">
        <f t="shared" si="2"/>
        <v>0</v>
      </c>
      <c r="AF2490" s="32"/>
    </row>
    <row r="2491">
      <c r="A2491" s="86"/>
      <c r="B2491" s="87"/>
      <c r="C2491" s="88"/>
      <c r="D2491" s="104"/>
      <c r="E2491" s="104"/>
      <c r="F2491" s="104"/>
      <c r="G2491" s="104"/>
      <c r="H2491" s="104"/>
      <c r="I2491" s="104"/>
      <c r="J2491" s="104"/>
      <c r="K2491" s="32"/>
      <c r="L2491" s="32"/>
      <c r="M2491" s="32"/>
      <c r="N2491" s="32"/>
      <c r="O2491" s="106"/>
      <c r="P2491" s="91">
        <f>IFERROR(__xludf.DUMMYFUNCTION("IFERROR(sum(FILTER($D:$N,$C:$C = $C2491,$A:$A &lt; $A2491,$B:$B = 12)),0) + sum($D2491:$N2491)"),0.0)</f>
        <v>0</v>
      </c>
      <c r="Q2491" s="92">
        <f t="shared" si="1"/>
        <v>0</v>
      </c>
      <c r="R2491" s="91">
        <f t="array" ref="R2491">IFERROR(INDEX('Fund YTD Target Values'!$1:$1000, MATCH($C2491,'Fund YTD Target Values'!$A:$A,0), MATCH($A2491,'Fund YTD Target Values'!$1:$1,0)),0)</f>
        <v>0</v>
      </c>
      <c r="S2491" s="91">
        <f>IFERROR(__xludf.DUMMYFUNCTION("IFERROR(sum(FILTER('Fund Investment Data'!$V:$V, 'Fund Investment Data'!$C:$C = $C2491, 'Fund Investment Data'!$A:$A &lt; $A2491)),0) + IFERROR(sum(FILTER('Fund Investment Data'!$V:$V, 'Fund Investment Data'!$C:$C = $C2491, 'Fund Investment Data'!$A:$A = $A2"&amp;"491, 'Fund Investment Data'!$B:$B &lt;= $B2491)),0)"),0.0)</f>
        <v>0</v>
      </c>
      <c r="T2491" s="32"/>
      <c r="U2491" s="32"/>
      <c r="V2491" s="32">
        <f>IFERROR(__xludf.DUMMYFUNCTION("$D2491 - IFERROR(FILTER($D:$D,$C:$C = $C2491, $A:$A = $A2491, $B:$B = $B2491 - 1),0)"),0.0)</f>
        <v>0</v>
      </c>
      <c r="W2491" s="93">
        <f>IFERROR(__xludf.DUMMYFUNCTION("$E2491 - IFERROR(FILTER($E:$E,$C:$C = $C2491, $A:$A = $A2491, $B:$B = $B2491 - 1),0)"),0.0)</f>
        <v>0</v>
      </c>
      <c r="X2491" s="91">
        <f>IFERROR(__xludf.DUMMYFUNCTION("iFERROR((FILTER('Fund Investment Data'!$Z:$Z, 'Fund Investment Data'!$C:$C = $C2491, 'Fund Investment Data'!$A:$A = $A2491 - 1, 'Fund Investment Data'!$B:$B = 12) + FILTER('Fund Investment Data'!$AB:$AB, 'Fund Investment Data'!$C:$C = $C2491, 'Fund Invest"&amp;"ment Data'!$A:$A = $A2491 - 1, 'Fund Investment Data'!$B:$B = 12)) * (1 + AVERAGE(FILTER('Inflation Data'!$C:$C,'Inflation Data'!$A:$A = ($A2491 - 2)))) * Parameters!$A$4,0)"),0.0)</f>
        <v>0</v>
      </c>
      <c r="Y2491" s="91">
        <f>IFERROR(__xludf.DUMMYFUNCTION("IFERROR((IFERROR(FILTER('Fund Investment Data'!$P:$P,'Fund Investment Data'!$C:$C = $C2491,'Fund Investment Data'!$A:$A = ($A2491 - 2), 'Fund Investment Data'!$B:$B = 12),0) - SUM(FILTER('Fund Investment Data'!$V:$V, 'Fund Investment Data'!$C:$C = $C2491,"&amp;" 'Fund Investment Data'!$A:$A = ($A2491 - 2), 'Fund Investment Data'!$B:$B &gt; 3)))  * Parameters!$B$4 * (1 - Parameters!$A$4),0)"),0.0)</f>
        <v>0</v>
      </c>
      <c r="Z2491" s="91">
        <f t="shared" si="24"/>
        <v>0</v>
      </c>
      <c r="AA2491" s="91">
        <f>IFERROR(__xludf.DUMMYFUNCTION("((IFERROR((SUM(FILTER('Fund Investment Data'!$V:$V, 'Fund Investment Data'!$C:$C = $C2491, 'Fund Investment Data'!$A:$A = $A2491 - 1, 'Fund Investment Data'!$B:$B &gt;= 4, 'Fund Investment Data'!$B:$B &lt;= ($B2491 + 5))) / 12) * ($B2491 - 3) * Parameters!$B$4,"&amp;" 0) + IF($B2491 &gt;= 9, IFERROR(SUM(FILTER('Fund Investment Data'!$V:$V, 'Fund Investment Data'!$C:$C = $C2491, 'Fund Investment Data'!$A:$A = $A2491, 'Fund Investment Data'!$B:$B &lt;= 3)) * Parameters!$B$4, 0),0)))"),0.0)</f>
        <v>0</v>
      </c>
      <c r="AB2491" s="32">
        <f>IFERROR(__xludf.DUMMYFUNCTION("IFERROR(((IFERROR(SUM(FILTER('Fund Investment Data'!$V:$V, 'Fund Investment Data'!$C:$C = $C2491, 'Fund Investment Data'!$A:$A = $A2491 - 2, 'Fund Investment Data'!$B:$B &gt;= 4)) * Parameters!$B$4,0) + IFERROR(SUM(FILTER('Fund Investment Data'!$V:$V, 'Fund "&amp;"Investment Data'!$C:$C = $C2491, 'Fund Investment Data'!$A:$A = $A2491 - 1, 'Fund Investment Data'!$B:$B &lt;= 3)) * Parameters!$B$4,0))),0)"),0.0)</f>
        <v>0</v>
      </c>
      <c r="AC2491" s="32">
        <f>IFERROR(__xludf.DUMMYFUNCTION("IFERROR(FILTER($AF:$AF,$C:$C = $C2491,$A:$A = $A2491 - 1,$B:$B = 12),0)"),0.0)</f>
        <v>0</v>
      </c>
      <c r="AD2491" s="32">
        <f t="shared" si="23"/>
        <v>0</v>
      </c>
      <c r="AE2491" s="32">
        <f t="shared" si="2"/>
        <v>0</v>
      </c>
      <c r="AF2491" s="32"/>
    </row>
    <row r="2492">
      <c r="A2492" s="86"/>
      <c r="B2492" s="87"/>
      <c r="C2492" s="88"/>
      <c r="D2492" s="104"/>
      <c r="E2492" s="104"/>
      <c r="F2492" s="104"/>
      <c r="G2492" s="104"/>
      <c r="H2492" s="104"/>
      <c r="I2492" s="104"/>
      <c r="J2492" s="104"/>
      <c r="K2492" s="32"/>
      <c r="L2492" s="32"/>
      <c r="M2492" s="32"/>
      <c r="N2492" s="32"/>
      <c r="O2492" s="106"/>
      <c r="P2492" s="91">
        <f>IFERROR(__xludf.DUMMYFUNCTION("IFERROR(sum(FILTER($D:$N,$C:$C = $C2492,$A:$A &lt; $A2492,$B:$B = 12)),0) + sum($D2492:$N2492)"),0.0)</f>
        <v>0</v>
      </c>
      <c r="Q2492" s="92">
        <f t="shared" si="1"/>
        <v>0</v>
      </c>
      <c r="R2492" s="91">
        <f t="array" ref="R2492">IFERROR(INDEX('Fund YTD Target Values'!$1:$1000, MATCH($C2492,'Fund YTD Target Values'!$A:$A,0), MATCH($A2492,'Fund YTD Target Values'!$1:$1,0)),0)</f>
        <v>0</v>
      </c>
      <c r="S2492" s="91">
        <f>IFERROR(__xludf.DUMMYFUNCTION("IFERROR(sum(FILTER('Fund Investment Data'!$V:$V, 'Fund Investment Data'!$C:$C = $C2492, 'Fund Investment Data'!$A:$A &lt; $A2492)),0) + IFERROR(sum(FILTER('Fund Investment Data'!$V:$V, 'Fund Investment Data'!$C:$C = $C2492, 'Fund Investment Data'!$A:$A = $A2"&amp;"492, 'Fund Investment Data'!$B:$B &lt;= $B2492)),0)"),0.0)</f>
        <v>0</v>
      </c>
      <c r="T2492" s="32"/>
      <c r="U2492" s="32"/>
      <c r="V2492" s="32">
        <f>IFERROR(__xludf.DUMMYFUNCTION("$D2492 - IFERROR(FILTER($D:$D,$C:$C = $C2492, $A:$A = $A2492, $B:$B = $B2492 - 1),0)"),0.0)</f>
        <v>0</v>
      </c>
      <c r="W2492" s="93">
        <f>IFERROR(__xludf.DUMMYFUNCTION("$E2492 - IFERROR(FILTER($E:$E,$C:$C = $C2492, $A:$A = $A2492, $B:$B = $B2492 - 1),0)"),0.0)</f>
        <v>0</v>
      </c>
      <c r="X2492" s="91">
        <f>IFERROR(__xludf.DUMMYFUNCTION("iFERROR((FILTER('Fund Investment Data'!$Z:$Z, 'Fund Investment Data'!$C:$C = $C2492, 'Fund Investment Data'!$A:$A = $A2492 - 1, 'Fund Investment Data'!$B:$B = 12) + FILTER('Fund Investment Data'!$AB:$AB, 'Fund Investment Data'!$C:$C = $C2492, 'Fund Invest"&amp;"ment Data'!$A:$A = $A2492 - 1, 'Fund Investment Data'!$B:$B = 12)) * (1 + AVERAGE(FILTER('Inflation Data'!$C:$C,'Inflation Data'!$A:$A = ($A2492 - 2)))) * Parameters!$A$4,0)"),0.0)</f>
        <v>0</v>
      </c>
      <c r="Y2492" s="91">
        <f>IFERROR(__xludf.DUMMYFUNCTION("IFERROR((IFERROR(FILTER('Fund Investment Data'!$P:$P,'Fund Investment Data'!$C:$C = $C2492,'Fund Investment Data'!$A:$A = ($A2492 - 2), 'Fund Investment Data'!$B:$B = 12),0) - SUM(FILTER('Fund Investment Data'!$V:$V, 'Fund Investment Data'!$C:$C = $C2492,"&amp;" 'Fund Investment Data'!$A:$A = ($A2492 - 2), 'Fund Investment Data'!$B:$B &gt; 3)))  * Parameters!$B$4 * (1 - Parameters!$A$4),0)"),0.0)</f>
        <v>0</v>
      </c>
      <c r="Z2492" s="91">
        <f t="shared" si="24"/>
        <v>0</v>
      </c>
      <c r="AA2492" s="91">
        <f>IFERROR(__xludf.DUMMYFUNCTION("((IFERROR((SUM(FILTER('Fund Investment Data'!$V:$V, 'Fund Investment Data'!$C:$C = $C2492, 'Fund Investment Data'!$A:$A = $A2492 - 1, 'Fund Investment Data'!$B:$B &gt;= 4, 'Fund Investment Data'!$B:$B &lt;= ($B2492 + 5))) / 12) * ($B2492 - 3) * Parameters!$B$4,"&amp;" 0) + IF($B2492 &gt;= 9, IFERROR(SUM(FILTER('Fund Investment Data'!$V:$V, 'Fund Investment Data'!$C:$C = $C2492, 'Fund Investment Data'!$A:$A = $A2492, 'Fund Investment Data'!$B:$B &lt;= 3)) * Parameters!$B$4, 0),0)))"),0.0)</f>
        <v>0</v>
      </c>
      <c r="AB2492" s="32">
        <f>IFERROR(__xludf.DUMMYFUNCTION("IFERROR(((IFERROR(SUM(FILTER('Fund Investment Data'!$V:$V, 'Fund Investment Data'!$C:$C = $C2492, 'Fund Investment Data'!$A:$A = $A2492 - 2, 'Fund Investment Data'!$B:$B &gt;= 4)) * Parameters!$B$4,0) + IFERROR(SUM(FILTER('Fund Investment Data'!$V:$V, 'Fund "&amp;"Investment Data'!$C:$C = $C2492, 'Fund Investment Data'!$A:$A = $A2492 - 1, 'Fund Investment Data'!$B:$B &lt;= 3)) * Parameters!$B$4,0))),0)"),0.0)</f>
        <v>0</v>
      </c>
      <c r="AC2492" s="32">
        <f>IFERROR(__xludf.DUMMYFUNCTION("IFERROR(FILTER($AF:$AF,$C:$C = $C2492,$A:$A = $A2492 - 1,$B:$B = 12),0)"),0.0)</f>
        <v>0</v>
      </c>
      <c r="AD2492" s="32">
        <f t="shared" si="23"/>
        <v>0</v>
      </c>
      <c r="AE2492" s="32">
        <f t="shared" si="2"/>
        <v>0</v>
      </c>
      <c r="AF2492" s="32"/>
    </row>
    <row r="2493">
      <c r="A2493" s="86"/>
      <c r="B2493" s="87"/>
      <c r="C2493" s="88"/>
      <c r="D2493" s="104"/>
      <c r="E2493" s="104"/>
      <c r="F2493" s="104"/>
      <c r="G2493" s="104"/>
      <c r="H2493" s="104"/>
      <c r="I2493" s="104"/>
      <c r="J2493" s="104"/>
      <c r="K2493" s="32"/>
      <c r="L2493" s="32"/>
      <c r="M2493" s="32"/>
      <c r="N2493" s="32"/>
      <c r="O2493" s="106"/>
      <c r="P2493" s="91">
        <f>IFERROR(__xludf.DUMMYFUNCTION("IFERROR(sum(FILTER($D:$N,$C:$C = $C2493,$A:$A &lt; $A2493,$B:$B = 12)),0) + sum($D2493:$N2493)"),0.0)</f>
        <v>0</v>
      </c>
      <c r="Q2493" s="92">
        <f t="shared" si="1"/>
        <v>0</v>
      </c>
      <c r="R2493" s="91">
        <f t="array" ref="R2493">IFERROR(INDEX('Fund YTD Target Values'!$1:$1000, MATCH($C2493,'Fund YTD Target Values'!$A:$A,0), MATCH($A2493,'Fund YTD Target Values'!$1:$1,0)),0)</f>
        <v>0</v>
      </c>
      <c r="S2493" s="91">
        <f>IFERROR(__xludf.DUMMYFUNCTION("IFERROR(sum(FILTER('Fund Investment Data'!$V:$V, 'Fund Investment Data'!$C:$C = $C2493, 'Fund Investment Data'!$A:$A &lt; $A2493)),0) + IFERROR(sum(FILTER('Fund Investment Data'!$V:$V, 'Fund Investment Data'!$C:$C = $C2493, 'Fund Investment Data'!$A:$A = $A2"&amp;"493, 'Fund Investment Data'!$B:$B &lt;= $B2493)),0)"),0.0)</f>
        <v>0</v>
      </c>
      <c r="T2493" s="32"/>
      <c r="U2493" s="32"/>
      <c r="V2493" s="32">
        <f>IFERROR(__xludf.DUMMYFUNCTION("$D2493 - IFERROR(FILTER($D:$D,$C:$C = $C2493, $A:$A = $A2493, $B:$B = $B2493 - 1),0)"),0.0)</f>
        <v>0</v>
      </c>
      <c r="W2493" s="93">
        <f>IFERROR(__xludf.DUMMYFUNCTION("$E2493 - IFERROR(FILTER($E:$E,$C:$C = $C2493, $A:$A = $A2493, $B:$B = $B2493 - 1),0)"),0.0)</f>
        <v>0</v>
      </c>
      <c r="X2493" s="91">
        <f>IFERROR(__xludf.DUMMYFUNCTION("iFERROR((FILTER('Fund Investment Data'!$Z:$Z, 'Fund Investment Data'!$C:$C = $C2493, 'Fund Investment Data'!$A:$A = $A2493 - 1, 'Fund Investment Data'!$B:$B = 12) + FILTER('Fund Investment Data'!$AB:$AB, 'Fund Investment Data'!$C:$C = $C2493, 'Fund Invest"&amp;"ment Data'!$A:$A = $A2493 - 1, 'Fund Investment Data'!$B:$B = 12)) * (1 + AVERAGE(FILTER('Inflation Data'!$C:$C,'Inflation Data'!$A:$A = ($A2493 - 2)))) * Parameters!$A$4,0)"),0.0)</f>
        <v>0</v>
      </c>
      <c r="Y2493" s="91">
        <f>IFERROR(__xludf.DUMMYFUNCTION("IFERROR((IFERROR(FILTER('Fund Investment Data'!$P:$P,'Fund Investment Data'!$C:$C = $C2493,'Fund Investment Data'!$A:$A = ($A2493 - 2), 'Fund Investment Data'!$B:$B = 12),0) - SUM(FILTER('Fund Investment Data'!$V:$V, 'Fund Investment Data'!$C:$C = $C2493,"&amp;" 'Fund Investment Data'!$A:$A = ($A2493 - 2), 'Fund Investment Data'!$B:$B &gt; 3)))  * Parameters!$B$4 * (1 - Parameters!$A$4),0)"),0.0)</f>
        <v>0</v>
      </c>
      <c r="Z2493" s="91">
        <f t="shared" si="24"/>
        <v>0</v>
      </c>
      <c r="AA2493" s="91">
        <f>IFERROR(__xludf.DUMMYFUNCTION("((IFERROR((SUM(FILTER('Fund Investment Data'!$V:$V, 'Fund Investment Data'!$C:$C = $C2493, 'Fund Investment Data'!$A:$A = $A2493 - 1, 'Fund Investment Data'!$B:$B &gt;= 4, 'Fund Investment Data'!$B:$B &lt;= ($B2493 + 5))) / 12) * ($B2493 - 3) * Parameters!$B$4,"&amp;" 0) + IF($B2493 &gt;= 9, IFERROR(SUM(FILTER('Fund Investment Data'!$V:$V, 'Fund Investment Data'!$C:$C = $C2493, 'Fund Investment Data'!$A:$A = $A2493, 'Fund Investment Data'!$B:$B &lt;= 3)) * Parameters!$B$4, 0),0)))"),0.0)</f>
        <v>0</v>
      </c>
      <c r="AB2493" s="32">
        <f>IFERROR(__xludf.DUMMYFUNCTION("IFERROR(((IFERROR(SUM(FILTER('Fund Investment Data'!$V:$V, 'Fund Investment Data'!$C:$C = $C2493, 'Fund Investment Data'!$A:$A = $A2493 - 2, 'Fund Investment Data'!$B:$B &gt;= 4)) * Parameters!$B$4,0) + IFERROR(SUM(FILTER('Fund Investment Data'!$V:$V, 'Fund "&amp;"Investment Data'!$C:$C = $C2493, 'Fund Investment Data'!$A:$A = $A2493 - 1, 'Fund Investment Data'!$B:$B &lt;= 3)) * Parameters!$B$4,0))),0)"),0.0)</f>
        <v>0</v>
      </c>
      <c r="AC2493" s="32">
        <f>IFERROR(__xludf.DUMMYFUNCTION("IFERROR(FILTER($AF:$AF,$C:$C = $C2493,$A:$A = $A2493 - 1,$B:$B = 12),0)"),0.0)</f>
        <v>0</v>
      </c>
      <c r="AD2493" s="32">
        <f t="shared" si="23"/>
        <v>0</v>
      </c>
      <c r="AE2493" s="32">
        <f t="shared" si="2"/>
        <v>0</v>
      </c>
      <c r="AF2493" s="32"/>
    </row>
    <row r="2494">
      <c r="A2494" s="86"/>
      <c r="B2494" s="87"/>
      <c r="C2494" s="88"/>
      <c r="D2494" s="104"/>
      <c r="E2494" s="104"/>
      <c r="F2494" s="104"/>
      <c r="G2494" s="104"/>
      <c r="H2494" s="104"/>
      <c r="I2494" s="104"/>
      <c r="J2494" s="104"/>
      <c r="K2494" s="32"/>
      <c r="L2494" s="32"/>
      <c r="M2494" s="32"/>
      <c r="N2494" s="32"/>
      <c r="O2494" s="106"/>
      <c r="P2494" s="91">
        <f>IFERROR(__xludf.DUMMYFUNCTION("IFERROR(sum(FILTER($D:$N,$C:$C = $C2494,$A:$A &lt; $A2494,$B:$B = 12)),0) + sum($D2494:$N2494)"),0.0)</f>
        <v>0</v>
      </c>
      <c r="Q2494" s="92">
        <f t="shared" si="1"/>
        <v>0</v>
      </c>
      <c r="R2494" s="91">
        <f t="array" ref="R2494">IFERROR(INDEX('Fund YTD Target Values'!$1:$1000, MATCH($C2494,'Fund YTD Target Values'!$A:$A,0), MATCH($A2494,'Fund YTD Target Values'!$1:$1,0)),0)</f>
        <v>0</v>
      </c>
      <c r="S2494" s="91">
        <f>IFERROR(__xludf.DUMMYFUNCTION("IFERROR(sum(FILTER('Fund Investment Data'!$V:$V, 'Fund Investment Data'!$C:$C = $C2494, 'Fund Investment Data'!$A:$A &lt; $A2494)),0) + IFERROR(sum(FILTER('Fund Investment Data'!$V:$V, 'Fund Investment Data'!$C:$C = $C2494, 'Fund Investment Data'!$A:$A = $A2"&amp;"494, 'Fund Investment Data'!$B:$B &lt;= $B2494)),0)"),0.0)</f>
        <v>0</v>
      </c>
      <c r="T2494" s="32"/>
      <c r="U2494" s="32"/>
      <c r="V2494" s="32">
        <f>IFERROR(__xludf.DUMMYFUNCTION("$D2494 - IFERROR(FILTER($D:$D,$C:$C = $C2494, $A:$A = $A2494, $B:$B = $B2494 - 1),0)"),0.0)</f>
        <v>0</v>
      </c>
      <c r="W2494" s="93">
        <f>IFERROR(__xludf.DUMMYFUNCTION("$E2494 - IFERROR(FILTER($E:$E,$C:$C = $C2494, $A:$A = $A2494, $B:$B = $B2494 - 1),0)"),0.0)</f>
        <v>0</v>
      </c>
      <c r="X2494" s="91">
        <f>IFERROR(__xludf.DUMMYFUNCTION("iFERROR((FILTER('Fund Investment Data'!$Z:$Z, 'Fund Investment Data'!$C:$C = $C2494, 'Fund Investment Data'!$A:$A = $A2494 - 1, 'Fund Investment Data'!$B:$B = 12) + FILTER('Fund Investment Data'!$AB:$AB, 'Fund Investment Data'!$C:$C = $C2494, 'Fund Invest"&amp;"ment Data'!$A:$A = $A2494 - 1, 'Fund Investment Data'!$B:$B = 12)) * (1 + AVERAGE(FILTER('Inflation Data'!$C:$C,'Inflation Data'!$A:$A = ($A2494 - 2)))) * Parameters!$A$4,0)"),0.0)</f>
        <v>0</v>
      </c>
      <c r="Y2494" s="91">
        <f>IFERROR(__xludf.DUMMYFUNCTION("IFERROR((IFERROR(FILTER('Fund Investment Data'!$P:$P,'Fund Investment Data'!$C:$C = $C2494,'Fund Investment Data'!$A:$A = ($A2494 - 2), 'Fund Investment Data'!$B:$B = 12),0) - SUM(FILTER('Fund Investment Data'!$V:$V, 'Fund Investment Data'!$C:$C = $C2494,"&amp;" 'Fund Investment Data'!$A:$A = ($A2494 - 2), 'Fund Investment Data'!$B:$B &gt; 3)))  * Parameters!$B$4 * (1 - Parameters!$A$4),0)"),0.0)</f>
        <v>0</v>
      </c>
      <c r="Z2494" s="91">
        <f t="shared" si="24"/>
        <v>0</v>
      </c>
      <c r="AA2494" s="91">
        <f>IFERROR(__xludf.DUMMYFUNCTION("((IFERROR((SUM(FILTER('Fund Investment Data'!$V:$V, 'Fund Investment Data'!$C:$C = $C2494, 'Fund Investment Data'!$A:$A = $A2494 - 1, 'Fund Investment Data'!$B:$B &gt;= 4, 'Fund Investment Data'!$B:$B &lt;= ($B2494 + 5))) / 12) * ($B2494 - 3) * Parameters!$B$4,"&amp;" 0) + IF($B2494 &gt;= 9, IFERROR(SUM(FILTER('Fund Investment Data'!$V:$V, 'Fund Investment Data'!$C:$C = $C2494, 'Fund Investment Data'!$A:$A = $A2494, 'Fund Investment Data'!$B:$B &lt;= 3)) * Parameters!$B$4, 0),0)))"),0.0)</f>
        <v>0</v>
      </c>
      <c r="AB2494" s="32">
        <f>IFERROR(__xludf.DUMMYFUNCTION("IFERROR(((IFERROR(SUM(FILTER('Fund Investment Data'!$V:$V, 'Fund Investment Data'!$C:$C = $C2494, 'Fund Investment Data'!$A:$A = $A2494 - 2, 'Fund Investment Data'!$B:$B &gt;= 4)) * Parameters!$B$4,0) + IFERROR(SUM(FILTER('Fund Investment Data'!$V:$V, 'Fund "&amp;"Investment Data'!$C:$C = $C2494, 'Fund Investment Data'!$A:$A = $A2494 - 1, 'Fund Investment Data'!$B:$B &lt;= 3)) * Parameters!$B$4,0))),0)"),0.0)</f>
        <v>0</v>
      </c>
      <c r="AC2494" s="32">
        <f>IFERROR(__xludf.DUMMYFUNCTION("IFERROR(FILTER($AF:$AF,$C:$C = $C2494,$A:$A = $A2494 - 1,$B:$B = 12),0)"),0.0)</f>
        <v>0</v>
      </c>
      <c r="AD2494" s="32">
        <f t="shared" si="23"/>
        <v>0</v>
      </c>
      <c r="AE2494" s="32">
        <f t="shared" si="2"/>
        <v>0</v>
      </c>
      <c r="AF2494" s="32"/>
    </row>
    <row r="2495">
      <c r="A2495" s="86"/>
      <c r="B2495" s="87"/>
      <c r="C2495" s="88"/>
      <c r="D2495" s="104"/>
      <c r="E2495" s="104"/>
      <c r="F2495" s="104"/>
      <c r="G2495" s="104"/>
      <c r="H2495" s="104"/>
      <c r="I2495" s="104"/>
      <c r="J2495" s="104"/>
      <c r="K2495" s="32"/>
      <c r="L2495" s="32"/>
      <c r="M2495" s="32"/>
      <c r="N2495" s="32"/>
      <c r="O2495" s="106"/>
      <c r="P2495" s="91">
        <f>IFERROR(__xludf.DUMMYFUNCTION("IFERROR(sum(FILTER($D:$N,$C:$C = $C2495,$A:$A &lt; $A2495,$B:$B = 12)),0) + sum($D2495:$N2495)"),0.0)</f>
        <v>0</v>
      </c>
      <c r="Q2495" s="92">
        <f t="shared" si="1"/>
        <v>0</v>
      </c>
      <c r="R2495" s="91">
        <f t="array" ref="R2495">IFERROR(INDEX('Fund YTD Target Values'!$1:$1000, MATCH($C2495,'Fund YTD Target Values'!$A:$A,0), MATCH($A2495,'Fund YTD Target Values'!$1:$1,0)),0)</f>
        <v>0</v>
      </c>
      <c r="S2495" s="91">
        <f>IFERROR(__xludf.DUMMYFUNCTION("IFERROR(sum(FILTER('Fund Investment Data'!$V:$V, 'Fund Investment Data'!$C:$C = $C2495, 'Fund Investment Data'!$A:$A &lt; $A2495)),0) + IFERROR(sum(FILTER('Fund Investment Data'!$V:$V, 'Fund Investment Data'!$C:$C = $C2495, 'Fund Investment Data'!$A:$A = $A2"&amp;"495, 'Fund Investment Data'!$B:$B &lt;= $B2495)),0)"),0.0)</f>
        <v>0</v>
      </c>
      <c r="T2495" s="32"/>
      <c r="U2495" s="32"/>
      <c r="V2495" s="32">
        <f>IFERROR(__xludf.DUMMYFUNCTION("$D2495 - IFERROR(FILTER($D:$D,$C:$C = $C2495, $A:$A = $A2495, $B:$B = $B2495 - 1),0)"),0.0)</f>
        <v>0</v>
      </c>
      <c r="W2495" s="93">
        <f>IFERROR(__xludf.DUMMYFUNCTION("$E2495 - IFERROR(FILTER($E:$E,$C:$C = $C2495, $A:$A = $A2495, $B:$B = $B2495 - 1),0)"),0.0)</f>
        <v>0</v>
      </c>
      <c r="X2495" s="91">
        <f>IFERROR(__xludf.DUMMYFUNCTION("iFERROR((FILTER('Fund Investment Data'!$Z:$Z, 'Fund Investment Data'!$C:$C = $C2495, 'Fund Investment Data'!$A:$A = $A2495 - 1, 'Fund Investment Data'!$B:$B = 12) + FILTER('Fund Investment Data'!$AB:$AB, 'Fund Investment Data'!$C:$C = $C2495, 'Fund Invest"&amp;"ment Data'!$A:$A = $A2495 - 1, 'Fund Investment Data'!$B:$B = 12)) * (1 + AVERAGE(FILTER('Inflation Data'!$C:$C,'Inflation Data'!$A:$A = ($A2495 - 2)))) * Parameters!$A$4,0)"),0.0)</f>
        <v>0</v>
      </c>
      <c r="Y2495" s="91">
        <f>IFERROR(__xludf.DUMMYFUNCTION("IFERROR((IFERROR(FILTER('Fund Investment Data'!$P:$P,'Fund Investment Data'!$C:$C = $C2495,'Fund Investment Data'!$A:$A = ($A2495 - 2), 'Fund Investment Data'!$B:$B = 12),0) - SUM(FILTER('Fund Investment Data'!$V:$V, 'Fund Investment Data'!$C:$C = $C2495,"&amp;" 'Fund Investment Data'!$A:$A = ($A2495 - 2), 'Fund Investment Data'!$B:$B &gt; 3)))  * Parameters!$B$4 * (1 - Parameters!$A$4),0)"),0.0)</f>
        <v>0</v>
      </c>
      <c r="Z2495" s="91">
        <f t="shared" si="24"/>
        <v>0</v>
      </c>
      <c r="AA2495" s="91">
        <f>IFERROR(__xludf.DUMMYFUNCTION("((IFERROR((SUM(FILTER('Fund Investment Data'!$V:$V, 'Fund Investment Data'!$C:$C = $C2495, 'Fund Investment Data'!$A:$A = $A2495 - 1, 'Fund Investment Data'!$B:$B &gt;= 4, 'Fund Investment Data'!$B:$B &lt;= ($B2495 + 5))) / 12) * ($B2495 - 3) * Parameters!$B$4,"&amp;" 0) + IF($B2495 &gt;= 9, IFERROR(SUM(FILTER('Fund Investment Data'!$V:$V, 'Fund Investment Data'!$C:$C = $C2495, 'Fund Investment Data'!$A:$A = $A2495, 'Fund Investment Data'!$B:$B &lt;= 3)) * Parameters!$B$4, 0),0)))"),0.0)</f>
        <v>0</v>
      </c>
      <c r="AB2495" s="32">
        <f>IFERROR(__xludf.DUMMYFUNCTION("IFERROR(((IFERROR(SUM(FILTER('Fund Investment Data'!$V:$V, 'Fund Investment Data'!$C:$C = $C2495, 'Fund Investment Data'!$A:$A = $A2495 - 2, 'Fund Investment Data'!$B:$B &gt;= 4)) * Parameters!$B$4,0) + IFERROR(SUM(FILTER('Fund Investment Data'!$V:$V, 'Fund "&amp;"Investment Data'!$C:$C = $C2495, 'Fund Investment Data'!$A:$A = $A2495 - 1, 'Fund Investment Data'!$B:$B &lt;= 3)) * Parameters!$B$4,0))),0)"),0.0)</f>
        <v>0</v>
      </c>
      <c r="AC2495" s="32">
        <f>IFERROR(__xludf.DUMMYFUNCTION("IFERROR(FILTER($AF:$AF,$C:$C = $C2495,$A:$A = $A2495 - 1,$B:$B = 12),0)"),0.0)</f>
        <v>0</v>
      </c>
      <c r="AD2495" s="32">
        <f t="shared" si="23"/>
        <v>0</v>
      </c>
      <c r="AE2495" s="32">
        <f t="shared" si="2"/>
        <v>0</v>
      </c>
      <c r="AF2495" s="32"/>
    </row>
    <row r="2496">
      <c r="A2496" s="86"/>
      <c r="B2496" s="87"/>
      <c r="C2496" s="88"/>
      <c r="D2496" s="104"/>
      <c r="E2496" s="104"/>
      <c r="F2496" s="104"/>
      <c r="G2496" s="104"/>
      <c r="H2496" s="104"/>
      <c r="I2496" s="104"/>
      <c r="J2496" s="104"/>
      <c r="K2496" s="32"/>
      <c r="L2496" s="32"/>
      <c r="M2496" s="32"/>
      <c r="N2496" s="32"/>
      <c r="O2496" s="106"/>
      <c r="P2496" s="91">
        <f>IFERROR(__xludf.DUMMYFUNCTION("IFERROR(sum(FILTER($D:$N,$C:$C = $C2496,$A:$A &lt; $A2496,$B:$B = 12)),0) + sum($D2496:$N2496)"),0.0)</f>
        <v>0</v>
      </c>
      <c r="Q2496" s="92">
        <f t="shared" si="1"/>
        <v>0</v>
      </c>
      <c r="R2496" s="91">
        <f t="array" ref="R2496">IFERROR(INDEX('Fund YTD Target Values'!$1:$1000, MATCH($C2496,'Fund YTD Target Values'!$A:$A,0), MATCH($A2496,'Fund YTD Target Values'!$1:$1,0)),0)</f>
        <v>0</v>
      </c>
      <c r="S2496" s="91">
        <f>IFERROR(__xludf.DUMMYFUNCTION("IFERROR(sum(FILTER('Fund Investment Data'!$V:$V, 'Fund Investment Data'!$C:$C = $C2496, 'Fund Investment Data'!$A:$A &lt; $A2496)),0) + IFERROR(sum(FILTER('Fund Investment Data'!$V:$V, 'Fund Investment Data'!$C:$C = $C2496, 'Fund Investment Data'!$A:$A = $A2"&amp;"496, 'Fund Investment Data'!$B:$B &lt;= $B2496)),0)"),0.0)</f>
        <v>0</v>
      </c>
      <c r="T2496" s="32"/>
      <c r="U2496" s="32"/>
      <c r="V2496" s="32">
        <f>IFERROR(__xludf.DUMMYFUNCTION("$D2496 - IFERROR(FILTER($D:$D,$C:$C = $C2496, $A:$A = $A2496, $B:$B = $B2496 - 1),0)"),0.0)</f>
        <v>0</v>
      </c>
      <c r="W2496" s="93">
        <f>IFERROR(__xludf.DUMMYFUNCTION("$E2496 - IFERROR(FILTER($E:$E,$C:$C = $C2496, $A:$A = $A2496, $B:$B = $B2496 - 1),0)"),0.0)</f>
        <v>0</v>
      </c>
      <c r="X2496" s="91">
        <f>IFERROR(__xludf.DUMMYFUNCTION("iFERROR((FILTER('Fund Investment Data'!$Z:$Z, 'Fund Investment Data'!$C:$C = $C2496, 'Fund Investment Data'!$A:$A = $A2496 - 1, 'Fund Investment Data'!$B:$B = 12) + FILTER('Fund Investment Data'!$AB:$AB, 'Fund Investment Data'!$C:$C = $C2496, 'Fund Invest"&amp;"ment Data'!$A:$A = $A2496 - 1, 'Fund Investment Data'!$B:$B = 12)) * (1 + AVERAGE(FILTER('Inflation Data'!$C:$C,'Inflation Data'!$A:$A = ($A2496 - 2)))) * Parameters!$A$4,0)"),0.0)</f>
        <v>0</v>
      </c>
      <c r="Y2496" s="91">
        <f>IFERROR(__xludf.DUMMYFUNCTION("IFERROR((IFERROR(FILTER('Fund Investment Data'!$P:$P,'Fund Investment Data'!$C:$C = $C2496,'Fund Investment Data'!$A:$A = ($A2496 - 2), 'Fund Investment Data'!$B:$B = 12),0) - SUM(FILTER('Fund Investment Data'!$V:$V, 'Fund Investment Data'!$C:$C = $C2496,"&amp;" 'Fund Investment Data'!$A:$A = ($A2496 - 2), 'Fund Investment Data'!$B:$B &gt; 3)))  * Parameters!$B$4 * (1 - Parameters!$A$4),0)"),0.0)</f>
        <v>0</v>
      </c>
      <c r="Z2496" s="91">
        <f t="shared" si="24"/>
        <v>0</v>
      </c>
      <c r="AA2496" s="91">
        <f>IFERROR(__xludf.DUMMYFUNCTION("((IFERROR((SUM(FILTER('Fund Investment Data'!$V:$V, 'Fund Investment Data'!$C:$C = $C2496, 'Fund Investment Data'!$A:$A = $A2496 - 1, 'Fund Investment Data'!$B:$B &gt;= 4, 'Fund Investment Data'!$B:$B &lt;= ($B2496 + 5))) / 12) * ($B2496 - 3) * Parameters!$B$4,"&amp;" 0) + IF($B2496 &gt;= 9, IFERROR(SUM(FILTER('Fund Investment Data'!$V:$V, 'Fund Investment Data'!$C:$C = $C2496, 'Fund Investment Data'!$A:$A = $A2496, 'Fund Investment Data'!$B:$B &lt;= 3)) * Parameters!$B$4, 0),0)))"),0.0)</f>
        <v>0</v>
      </c>
      <c r="AB2496" s="32">
        <f>IFERROR(__xludf.DUMMYFUNCTION("IFERROR(((IFERROR(SUM(FILTER('Fund Investment Data'!$V:$V, 'Fund Investment Data'!$C:$C = $C2496, 'Fund Investment Data'!$A:$A = $A2496 - 2, 'Fund Investment Data'!$B:$B &gt;= 4)) * Parameters!$B$4,0) + IFERROR(SUM(FILTER('Fund Investment Data'!$V:$V, 'Fund "&amp;"Investment Data'!$C:$C = $C2496, 'Fund Investment Data'!$A:$A = $A2496 - 1, 'Fund Investment Data'!$B:$B &lt;= 3)) * Parameters!$B$4,0))),0)"),0.0)</f>
        <v>0</v>
      </c>
      <c r="AC2496" s="32">
        <f>IFERROR(__xludf.DUMMYFUNCTION("IFERROR(FILTER($AF:$AF,$C:$C = $C2496,$A:$A = $A2496 - 1,$B:$B = 12),0)"),0.0)</f>
        <v>0</v>
      </c>
      <c r="AD2496" s="32">
        <f t="shared" si="23"/>
        <v>0</v>
      </c>
      <c r="AE2496" s="32">
        <f t="shared" si="2"/>
        <v>0</v>
      </c>
      <c r="AF2496" s="32"/>
    </row>
    <row r="2497">
      <c r="A2497" s="86"/>
      <c r="B2497" s="87"/>
      <c r="C2497" s="88"/>
      <c r="D2497" s="104"/>
      <c r="E2497" s="104"/>
      <c r="F2497" s="104"/>
      <c r="G2497" s="104"/>
      <c r="H2497" s="104"/>
      <c r="I2497" s="104"/>
      <c r="J2497" s="104"/>
      <c r="K2497" s="32"/>
      <c r="L2497" s="32"/>
      <c r="M2497" s="32"/>
      <c r="N2497" s="32"/>
      <c r="O2497" s="106"/>
      <c r="P2497" s="91">
        <f>IFERROR(__xludf.DUMMYFUNCTION("IFERROR(sum(FILTER($D:$N,$C:$C = $C2497,$A:$A &lt; $A2497,$B:$B = 12)),0) + sum($D2497:$N2497)"),0.0)</f>
        <v>0</v>
      </c>
      <c r="Q2497" s="92">
        <f t="shared" si="1"/>
        <v>0</v>
      </c>
      <c r="R2497" s="91">
        <f t="array" ref="R2497">IFERROR(INDEX('Fund YTD Target Values'!$1:$1000, MATCH($C2497,'Fund YTD Target Values'!$A:$A,0), MATCH($A2497,'Fund YTD Target Values'!$1:$1,0)),0)</f>
        <v>0</v>
      </c>
      <c r="S2497" s="91">
        <f>IFERROR(__xludf.DUMMYFUNCTION("IFERROR(sum(FILTER('Fund Investment Data'!$V:$V, 'Fund Investment Data'!$C:$C = $C2497, 'Fund Investment Data'!$A:$A &lt; $A2497)),0) + IFERROR(sum(FILTER('Fund Investment Data'!$V:$V, 'Fund Investment Data'!$C:$C = $C2497, 'Fund Investment Data'!$A:$A = $A2"&amp;"497, 'Fund Investment Data'!$B:$B &lt;= $B2497)),0)"),0.0)</f>
        <v>0</v>
      </c>
      <c r="T2497" s="32"/>
      <c r="U2497" s="32"/>
      <c r="V2497" s="32">
        <f>IFERROR(__xludf.DUMMYFUNCTION("$D2497 - IFERROR(FILTER($D:$D,$C:$C = $C2497, $A:$A = $A2497, $B:$B = $B2497 - 1),0)"),0.0)</f>
        <v>0</v>
      </c>
      <c r="W2497" s="93">
        <f>IFERROR(__xludf.DUMMYFUNCTION("$E2497 - IFERROR(FILTER($E:$E,$C:$C = $C2497, $A:$A = $A2497, $B:$B = $B2497 - 1),0)"),0.0)</f>
        <v>0</v>
      </c>
      <c r="X2497" s="91">
        <f>IFERROR(__xludf.DUMMYFUNCTION("iFERROR((FILTER('Fund Investment Data'!$Z:$Z, 'Fund Investment Data'!$C:$C = $C2497, 'Fund Investment Data'!$A:$A = $A2497 - 1, 'Fund Investment Data'!$B:$B = 12) + FILTER('Fund Investment Data'!$AB:$AB, 'Fund Investment Data'!$C:$C = $C2497, 'Fund Invest"&amp;"ment Data'!$A:$A = $A2497 - 1, 'Fund Investment Data'!$B:$B = 12)) * (1 + AVERAGE(FILTER('Inflation Data'!$C:$C,'Inflation Data'!$A:$A = ($A2497 - 2)))) * Parameters!$A$4,0)"),0.0)</f>
        <v>0</v>
      </c>
      <c r="Y2497" s="91">
        <f>IFERROR(__xludf.DUMMYFUNCTION("IFERROR((IFERROR(FILTER('Fund Investment Data'!$P:$P,'Fund Investment Data'!$C:$C = $C2497,'Fund Investment Data'!$A:$A = ($A2497 - 2), 'Fund Investment Data'!$B:$B = 12),0) - SUM(FILTER('Fund Investment Data'!$V:$V, 'Fund Investment Data'!$C:$C = $C2497,"&amp;" 'Fund Investment Data'!$A:$A = ($A2497 - 2), 'Fund Investment Data'!$B:$B &gt; 3)))  * Parameters!$B$4 * (1 - Parameters!$A$4),0)"),0.0)</f>
        <v>0</v>
      </c>
      <c r="Z2497" s="91">
        <f t="shared" si="24"/>
        <v>0</v>
      </c>
      <c r="AA2497" s="91">
        <f>IFERROR(__xludf.DUMMYFUNCTION("((IFERROR((SUM(FILTER('Fund Investment Data'!$V:$V, 'Fund Investment Data'!$C:$C = $C2497, 'Fund Investment Data'!$A:$A = $A2497 - 1, 'Fund Investment Data'!$B:$B &gt;= 4, 'Fund Investment Data'!$B:$B &lt;= ($B2497 + 5))) / 12) * ($B2497 - 3) * Parameters!$B$4,"&amp;" 0) + IF($B2497 &gt;= 9, IFERROR(SUM(FILTER('Fund Investment Data'!$V:$V, 'Fund Investment Data'!$C:$C = $C2497, 'Fund Investment Data'!$A:$A = $A2497, 'Fund Investment Data'!$B:$B &lt;= 3)) * Parameters!$B$4, 0),0)))"),0.0)</f>
        <v>0</v>
      </c>
      <c r="AB2497" s="32">
        <f>IFERROR(__xludf.DUMMYFUNCTION("IFERROR(((IFERROR(SUM(FILTER('Fund Investment Data'!$V:$V, 'Fund Investment Data'!$C:$C = $C2497, 'Fund Investment Data'!$A:$A = $A2497 - 2, 'Fund Investment Data'!$B:$B &gt;= 4)) * Parameters!$B$4,0) + IFERROR(SUM(FILTER('Fund Investment Data'!$V:$V, 'Fund "&amp;"Investment Data'!$C:$C = $C2497, 'Fund Investment Data'!$A:$A = $A2497 - 1, 'Fund Investment Data'!$B:$B &lt;= 3)) * Parameters!$B$4,0))),0)"),0.0)</f>
        <v>0</v>
      </c>
      <c r="AC2497" s="32">
        <f>IFERROR(__xludf.DUMMYFUNCTION("IFERROR(FILTER($AF:$AF,$C:$C = $C2497,$A:$A = $A2497 - 1,$B:$B = 12),0)"),0.0)</f>
        <v>0</v>
      </c>
      <c r="AD2497" s="32">
        <f t="shared" si="23"/>
        <v>0</v>
      </c>
      <c r="AE2497" s="32">
        <f t="shared" si="2"/>
        <v>0</v>
      </c>
      <c r="AF2497" s="32"/>
    </row>
    <row r="2498">
      <c r="A2498" s="86"/>
      <c r="B2498" s="87"/>
      <c r="C2498" s="88"/>
      <c r="D2498" s="104"/>
      <c r="E2498" s="104"/>
      <c r="F2498" s="104"/>
      <c r="G2498" s="104"/>
      <c r="H2498" s="104"/>
      <c r="I2498" s="104"/>
      <c r="J2498" s="104"/>
      <c r="K2498" s="32"/>
      <c r="L2498" s="32"/>
      <c r="M2498" s="32"/>
      <c r="N2498" s="32"/>
      <c r="O2498" s="106"/>
      <c r="P2498" s="91">
        <f>IFERROR(__xludf.DUMMYFUNCTION("IFERROR(sum(FILTER($D:$N,$C:$C = $C2498,$A:$A &lt; $A2498,$B:$B = 12)),0) + sum($D2498:$N2498)"),0.0)</f>
        <v>0</v>
      </c>
      <c r="Q2498" s="92">
        <f t="shared" si="1"/>
        <v>0</v>
      </c>
      <c r="R2498" s="91">
        <f t="array" ref="R2498">IFERROR(INDEX('Fund YTD Target Values'!$1:$1000, MATCH($C2498,'Fund YTD Target Values'!$A:$A,0), MATCH($A2498,'Fund YTD Target Values'!$1:$1,0)),0)</f>
        <v>0</v>
      </c>
      <c r="S2498" s="91">
        <f>IFERROR(__xludf.DUMMYFUNCTION("IFERROR(sum(FILTER('Fund Investment Data'!$V:$V, 'Fund Investment Data'!$C:$C = $C2498, 'Fund Investment Data'!$A:$A &lt; $A2498)),0) + IFERROR(sum(FILTER('Fund Investment Data'!$V:$V, 'Fund Investment Data'!$C:$C = $C2498, 'Fund Investment Data'!$A:$A = $A2"&amp;"498, 'Fund Investment Data'!$B:$B &lt;= $B2498)),0)"),0.0)</f>
        <v>0</v>
      </c>
      <c r="T2498" s="32"/>
      <c r="U2498" s="32"/>
      <c r="V2498" s="32">
        <f>IFERROR(__xludf.DUMMYFUNCTION("$D2498 - IFERROR(FILTER($D:$D,$C:$C = $C2498, $A:$A = $A2498, $B:$B = $B2498 - 1),0)"),0.0)</f>
        <v>0</v>
      </c>
      <c r="W2498" s="93">
        <f>IFERROR(__xludf.DUMMYFUNCTION("$E2498 - IFERROR(FILTER($E:$E,$C:$C = $C2498, $A:$A = $A2498, $B:$B = $B2498 - 1),0)"),0.0)</f>
        <v>0</v>
      </c>
      <c r="X2498" s="91">
        <f>IFERROR(__xludf.DUMMYFUNCTION("iFERROR((FILTER('Fund Investment Data'!$Z:$Z, 'Fund Investment Data'!$C:$C = $C2498, 'Fund Investment Data'!$A:$A = $A2498 - 1, 'Fund Investment Data'!$B:$B = 12) + FILTER('Fund Investment Data'!$AB:$AB, 'Fund Investment Data'!$C:$C = $C2498, 'Fund Invest"&amp;"ment Data'!$A:$A = $A2498 - 1, 'Fund Investment Data'!$B:$B = 12)) * (1 + AVERAGE(FILTER('Inflation Data'!$C:$C,'Inflation Data'!$A:$A = ($A2498 - 2)))) * Parameters!$A$4,0)"),0.0)</f>
        <v>0</v>
      </c>
      <c r="Y2498" s="91">
        <f>IFERROR(__xludf.DUMMYFUNCTION("IFERROR((IFERROR(FILTER('Fund Investment Data'!$P:$P,'Fund Investment Data'!$C:$C = $C2498,'Fund Investment Data'!$A:$A = ($A2498 - 2), 'Fund Investment Data'!$B:$B = 12),0) - SUM(FILTER('Fund Investment Data'!$V:$V, 'Fund Investment Data'!$C:$C = $C2498,"&amp;" 'Fund Investment Data'!$A:$A = ($A2498 - 2), 'Fund Investment Data'!$B:$B &gt; 3)))  * Parameters!$B$4 * (1 - Parameters!$A$4),0)"),0.0)</f>
        <v>0</v>
      </c>
      <c r="Z2498" s="91">
        <f t="shared" si="24"/>
        <v>0</v>
      </c>
      <c r="AA2498" s="91">
        <f>IFERROR(__xludf.DUMMYFUNCTION("((IFERROR((SUM(FILTER('Fund Investment Data'!$V:$V, 'Fund Investment Data'!$C:$C = $C2498, 'Fund Investment Data'!$A:$A = $A2498 - 1, 'Fund Investment Data'!$B:$B &gt;= 4, 'Fund Investment Data'!$B:$B &lt;= ($B2498 + 5))) / 12) * ($B2498 - 3) * Parameters!$B$4,"&amp;" 0) + IF($B2498 &gt;= 9, IFERROR(SUM(FILTER('Fund Investment Data'!$V:$V, 'Fund Investment Data'!$C:$C = $C2498, 'Fund Investment Data'!$A:$A = $A2498, 'Fund Investment Data'!$B:$B &lt;= 3)) * Parameters!$B$4, 0),0)))"),0.0)</f>
        <v>0</v>
      </c>
      <c r="AB2498" s="32">
        <f>IFERROR(__xludf.DUMMYFUNCTION("IFERROR(((IFERROR(SUM(FILTER('Fund Investment Data'!$V:$V, 'Fund Investment Data'!$C:$C = $C2498, 'Fund Investment Data'!$A:$A = $A2498 - 2, 'Fund Investment Data'!$B:$B &gt;= 4)) * Parameters!$B$4,0) + IFERROR(SUM(FILTER('Fund Investment Data'!$V:$V, 'Fund "&amp;"Investment Data'!$C:$C = $C2498, 'Fund Investment Data'!$A:$A = $A2498 - 1, 'Fund Investment Data'!$B:$B &lt;= 3)) * Parameters!$B$4,0))),0)"),0.0)</f>
        <v>0</v>
      </c>
      <c r="AC2498" s="32">
        <f>IFERROR(__xludf.DUMMYFUNCTION("IFERROR(FILTER($AF:$AF,$C:$C = $C2498,$A:$A = $A2498 - 1,$B:$B = 12),0)"),0.0)</f>
        <v>0</v>
      </c>
      <c r="AD2498" s="32">
        <f t="shared" si="23"/>
        <v>0</v>
      </c>
      <c r="AE2498" s="32">
        <f t="shared" si="2"/>
        <v>0</v>
      </c>
      <c r="AF2498" s="32"/>
    </row>
    <row r="2499">
      <c r="A2499" s="86"/>
      <c r="B2499" s="87"/>
      <c r="C2499" s="88"/>
      <c r="D2499" s="104"/>
      <c r="E2499" s="104"/>
      <c r="F2499" s="104"/>
      <c r="G2499" s="104"/>
      <c r="H2499" s="104"/>
      <c r="I2499" s="104"/>
      <c r="J2499" s="104"/>
      <c r="K2499" s="32"/>
      <c r="L2499" s="32"/>
      <c r="M2499" s="32"/>
      <c r="N2499" s="32"/>
      <c r="O2499" s="106"/>
      <c r="P2499" s="91">
        <f>IFERROR(__xludf.DUMMYFUNCTION("IFERROR(sum(FILTER($D:$N,$C:$C = $C2499,$A:$A &lt; $A2499,$B:$B = 12)),0) + sum($D2499:$N2499)"),0.0)</f>
        <v>0</v>
      </c>
      <c r="Q2499" s="92">
        <f t="shared" si="1"/>
        <v>0</v>
      </c>
      <c r="R2499" s="91">
        <f t="array" ref="R2499">IFERROR(INDEX('Fund YTD Target Values'!$1:$1000, MATCH($C2499,'Fund YTD Target Values'!$A:$A,0), MATCH($A2499,'Fund YTD Target Values'!$1:$1,0)),0)</f>
        <v>0</v>
      </c>
      <c r="S2499" s="91">
        <f>IFERROR(__xludf.DUMMYFUNCTION("IFERROR(sum(FILTER('Fund Investment Data'!$V:$V, 'Fund Investment Data'!$C:$C = $C2499, 'Fund Investment Data'!$A:$A &lt; $A2499)),0) + IFERROR(sum(FILTER('Fund Investment Data'!$V:$V, 'Fund Investment Data'!$C:$C = $C2499, 'Fund Investment Data'!$A:$A = $A2"&amp;"499, 'Fund Investment Data'!$B:$B &lt;= $B2499)),0)"),0.0)</f>
        <v>0</v>
      </c>
      <c r="T2499" s="32"/>
      <c r="U2499" s="32"/>
      <c r="V2499" s="32">
        <f>IFERROR(__xludf.DUMMYFUNCTION("$D2499 - IFERROR(FILTER($D:$D,$C:$C = $C2499, $A:$A = $A2499, $B:$B = $B2499 - 1),0)"),0.0)</f>
        <v>0</v>
      </c>
      <c r="W2499" s="93">
        <f>IFERROR(__xludf.DUMMYFUNCTION("$E2499 - IFERROR(FILTER($E:$E,$C:$C = $C2499, $A:$A = $A2499, $B:$B = $B2499 - 1),0)"),0.0)</f>
        <v>0</v>
      </c>
      <c r="X2499" s="91">
        <f>IFERROR(__xludf.DUMMYFUNCTION("iFERROR((FILTER('Fund Investment Data'!$Z:$Z, 'Fund Investment Data'!$C:$C = $C2499, 'Fund Investment Data'!$A:$A = $A2499 - 1, 'Fund Investment Data'!$B:$B = 12) + FILTER('Fund Investment Data'!$AB:$AB, 'Fund Investment Data'!$C:$C = $C2499, 'Fund Invest"&amp;"ment Data'!$A:$A = $A2499 - 1, 'Fund Investment Data'!$B:$B = 12)) * (1 + AVERAGE(FILTER('Inflation Data'!$C:$C,'Inflation Data'!$A:$A = ($A2499 - 2)))) * Parameters!$A$4,0)"),0.0)</f>
        <v>0</v>
      </c>
      <c r="Y2499" s="91">
        <f>IFERROR(__xludf.DUMMYFUNCTION("IFERROR((IFERROR(FILTER('Fund Investment Data'!$P:$P,'Fund Investment Data'!$C:$C = $C2499,'Fund Investment Data'!$A:$A = ($A2499 - 2), 'Fund Investment Data'!$B:$B = 12),0) - SUM(FILTER('Fund Investment Data'!$V:$V, 'Fund Investment Data'!$C:$C = $C2499,"&amp;" 'Fund Investment Data'!$A:$A = ($A2499 - 2), 'Fund Investment Data'!$B:$B &gt; 3)))  * Parameters!$B$4 * (1 - Parameters!$A$4),0)"),0.0)</f>
        <v>0</v>
      </c>
      <c r="Z2499" s="91">
        <f t="shared" si="24"/>
        <v>0</v>
      </c>
      <c r="AA2499" s="91">
        <f>IFERROR(__xludf.DUMMYFUNCTION("((IFERROR((SUM(FILTER('Fund Investment Data'!$V:$V, 'Fund Investment Data'!$C:$C = $C2499, 'Fund Investment Data'!$A:$A = $A2499 - 1, 'Fund Investment Data'!$B:$B &gt;= 4, 'Fund Investment Data'!$B:$B &lt;= ($B2499 + 5))) / 12) * ($B2499 - 3) * Parameters!$B$4,"&amp;" 0) + IF($B2499 &gt;= 9, IFERROR(SUM(FILTER('Fund Investment Data'!$V:$V, 'Fund Investment Data'!$C:$C = $C2499, 'Fund Investment Data'!$A:$A = $A2499, 'Fund Investment Data'!$B:$B &lt;= 3)) * Parameters!$B$4, 0),0)))"),0.0)</f>
        <v>0</v>
      </c>
      <c r="AB2499" s="32">
        <f>IFERROR(__xludf.DUMMYFUNCTION("IFERROR(((IFERROR(SUM(FILTER('Fund Investment Data'!$V:$V, 'Fund Investment Data'!$C:$C = $C2499, 'Fund Investment Data'!$A:$A = $A2499 - 2, 'Fund Investment Data'!$B:$B &gt;= 4)) * Parameters!$B$4,0) + IFERROR(SUM(FILTER('Fund Investment Data'!$V:$V, 'Fund "&amp;"Investment Data'!$C:$C = $C2499, 'Fund Investment Data'!$A:$A = $A2499 - 1, 'Fund Investment Data'!$B:$B &lt;= 3)) * Parameters!$B$4,0))),0)"),0.0)</f>
        <v>0</v>
      </c>
      <c r="AC2499" s="32">
        <f>IFERROR(__xludf.DUMMYFUNCTION("IFERROR(FILTER($AF:$AF,$C:$C = $C2499,$A:$A = $A2499 - 1,$B:$B = 12),0)"),0.0)</f>
        <v>0</v>
      </c>
      <c r="AD2499" s="32">
        <f t="shared" si="23"/>
        <v>0</v>
      </c>
      <c r="AE2499" s="32">
        <f t="shared" si="2"/>
        <v>0</v>
      </c>
      <c r="AF2499" s="32"/>
    </row>
    <row r="2500">
      <c r="A2500" s="86"/>
      <c r="B2500" s="87"/>
      <c r="C2500" s="88"/>
      <c r="D2500" s="104"/>
      <c r="E2500" s="104"/>
      <c r="F2500" s="104"/>
      <c r="G2500" s="104"/>
      <c r="H2500" s="104"/>
      <c r="I2500" s="104"/>
      <c r="J2500" s="104"/>
      <c r="K2500" s="32"/>
      <c r="L2500" s="32"/>
      <c r="M2500" s="32"/>
      <c r="N2500" s="32"/>
      <c r="O2500" s="106"/>
      <c r="P2500" s="91">
        <f>IFERROR(__xludf.DUMMYFUNCTION("IFERROR(sum(FILTER($D:$N,$C:$C = $C2500,$A:$A &lt; $A2500,$B:$B = 12)),0) + sum($D2500:$N2500)"),0.0)</f>
        <v>0</v>
      </c>
      <c r="Q2500" s="92">
        <f t="shared" si="1"/>
        <v>0</v>
      </c>
      <c r="R2500" s="91">
        <f t="array" ref="R2500">IFERROR(INDEX('Fund YTD Target Values'!$1:$1000, MATCH($C2500,'Fund YTD Target Values'!$A:$A,0), MATCH($A2500,'Fund YTD Target Values'!$1:$1,0)),0)</f>
        <v>0</v>
      </c>
      <c r="S2500" s="91">
        <f>IFERROR(__xludf.DUMMYFUNCTION("IFERROR(sum(FILTER('Fund Investment Data'!$V:$V, 'Fund Investment Data'!$C:$C = $C2500, 'Fund Investment Data'!$A:$A &lt; $A2500)),0) + IFERROR(sum(FILTER('Fund Investment Data'!$V:$V, 'Fund Investment Data'!$C:$C = $C2500, 'Fund Investment Data'!$A:$A = $A2"&amp;"500, 'Fund Investment Data'!$B:$B &lt;= $B2500)),0)"),0.0)</f>
        <v>0</v>
      </c>
      <c r="T2500" s="32"/>
      <c r="U2500" s="32"/>
      <c r="V2500" s="32">
        <f>IFERROR(__xludf.DUMMYFUNCTION("$D2500 - IFERROR(FILTER($D:$D,$C:$C = $C2500, $A:$A = $A2500, $B:$B = $B2500 - 1),0)"),0.0)</f>
        <v>0</v>
      </c>
      <c r="W2500" s="93">
        <f>IFERROR(__xludf.DUMMYFUNCTION("$E2500 - IFERROR(FILTER($E:$E,$C:$C = $C2500, $A:$A = $A2500, $B:$B = $B2500 - 1),0)"),0.0)</f>
        <v>0</v>
      </c>
      <c r="X2500" s="91">
        <f>IFERROR(__xludf.DUMMYFUNCTION("iFERROR((FILTER('Fund Investment Data'!$Z:$Z, 'Fund Investment Data'!$C:$C = $C2500, 'Fund Investment Data'!$A:$A = $A2500 - 1, 'Fund Investment Data'!$B:$B = 12) + FILTER('Fund Investment Data'!$AB:$AB, 'Fund Investment Data'!$C:$C = $C2500, 'Fund Invest"&amp;"ment Data'!$A:$A = $A2500 - 1, 'Fund Investment Data'!$B:$B = 12)) * (1 + AVERAGE(FILTER('Inflation Data'!$C:$C,'Inflation Data'!$A:$A = ($A2500 - 2)))) * Parameters!$A$4,0)"),0.0)</f>
        <v>0</v>
      </c>
      <c r="Y2500" s="91">
        <f>IFERROR(__xludf.DUMMYFUNCTION("IFERROR((IFERROR(FILTER('Fund Investment Data'!$P:$P,'Fund Investment Data'!$C:$C = $C2500,'Fund Investment Data'!$A:$A = ($A2500 - 2), 'Fund Investment Data'!$B:$B = 12),0) - SUM(FILTER('Fund Investment Data'!$V:$V, 'Fund Investment Data'!$C:$C = $C2500,"&amp;" 'Fund Investment Data'!$A:$A = ($A2500 - 2), 'Fund Investment Data'!$B:$B &gt; 3)))  * Parameters!$B$4 * (1 - Parameters!$A$4),0)"),0.0)</f>
        <v>0</v>
      </c>
      <c r="Z2500" s="91">
        <f t="shared" si="24"/>
        <v>0</v>
      </c>
      <c r="AA2500" s="91">
        <f>IFERROR(__xludf.DUMMYFUNCTION("((IFERROR((SUM(FILTER('Fund Investment Data'!$V:$V, 'Fund Investment Data'!$C:$C = $C2500, 'Fund Investment Data'!$A:$A = $A2500 - 1, 'Fund Investment Data'!$B:$B &gt;= 4, 'Fund Investment Data'!$B:$B &lt;= ($B2500 + 5))) / 12) * ($B2500 - 3) * Parameters!$B$4,"&amp;" 0) + IF($B2500 &gt;= 9, IFERROR(SUM(FILTER('Fund Investment Data'!$V:$V, 'Fund Investment Data'!$C:$C = $C2500, 'Fund Investment Data'!$A:$A = $A2500, 'Fund Investment Data'!$B:$B &lt;= 3)) * Parameters!$B$4, 0),0)))"),0.0)</f>
        <v>0</v>
      </c>
      <c r="AB2500" s="32">
        <f>IFERROR(__xludf.DUMMYFUNCTION("IFERROR(((IFERROR(SUM(FILTER('Fund Investment Data'!$V:$V, 'Fund Investment Data'!$C:$C = $C2500, 'Fund Investment Data'!$A:$A = $A2500 - 2, 'Fund Investment Data'!$B:$B &gt;= 4)) * Parameters!$B$4,0) + IFERROR(SUM(FILTER('Fund Investment Data'!$V:$V, 'Fund "&amp;"Investment Data'!$C:$C = $C2500, 'Fund Investment Data'!$A:$A = $A2500 - 1, 'Fund Investment Data'!$B:$B &lt;= 3)) * Parameters!$B$4,0))),0)"),0.0)</f>
        <v>0</v>
      </c>
      <c r="AC2500" s="32">
        <f>IFERROR(__xludf.DUMMYFUNCTION("IFERROR(FILTER($AF:$AF,$C:$C = $C2500,$A:$A = $A2500 - 1,$B:$B = 12),0)"),0.0)</f>
        <v>0</v>
      </c>
      <c r="AD2500" s="32">
        <f t="shared" si="23"/>
        <v>0</v>
      </c>
      <c r="AE2500" s="32">
        <f t="shared" si="2"/>
        <v>0</v>
      </c>
      <c r="AF2500" s="32"/>
    </row>
    <row r="2501">
      <c r="A2501" s="86"/>
      <c r="B2501" s="87"/>
      <c r="C2501" s="88"/>
      <c r="D2501" s="104"/>
      <c r="E2501" s="104"/>
      <c r="F2501" s="104"/>
      <c r="G2501" s="104"/>
      <c r="H2501" s="104"/>
      <c r="I2501" s="104"/>
      <c r="J2501" s="104"/>
      <c r="K2501" s="32"/>
      <c r="L2501" s="32"/>
      <c r="M2501" s="32"/>
      <c r="N2501" s="32"/>
      <c r="O2501" s="106"/>
      <c r="P2501" s="91">
        <f>IFERROR(__xludf.DUMMYFUNCTION("IFERROR(sum(FILTER($D:$N,$C:$C = $C2501,$A:$A &lt; $A2501,$B:$B = 12)),0) + sum($D2501:$N2501)"),0.0)</f>
        <v>0</v>
      </c>
      <c r="Q2501" s="92">
        <f t="shared" si="1"/>
        <v>0</v>
      </c>
      <c r="R2501" s="91">
        <f t="array" ref="R2501">IFERROR(INDEX('Fund YTD Target Values'!$1:$1000, MATCH($C2501,'Fund YTD Target Values'!$A:$A,0), MATCH($A2501,'Fund YTD Target Values'!$1:$1,0)),0)</f>
        <v>0</v>
      </c>
      <c r="S2501" s="91">
        <f>IFERROR(__xludf.DUMMYFUNCTION("IFERROR(sum(FILTER('Fund Investment Data'!$V:$V, 'Fund Investment Data'!$C:$C = $C2501, 'Fund Investment Data'!$A:$A &lt; $A2501)),0) + IFERROR(sum(FILTER('Fund Investment Data'!$V:$V, 'Fund Investment Data'!$C:$C = $C2501, 'Fund Investment Data'!$A:$A = $A2"&amp;"501, 'Fund Investment Data'!$B:$B &lt;= $B2501)),0)"),0.0)</f>
        <v>0</v>
      </c>
      <c r="T2501" s="32"/>
      <c r="U2501" s="32"/>
      <c r="V2501" s="32">
        <f>IFERROR(__xludf.DUMMYFUNCTION("$D2501 - IFERROR(FILTER($D:$D,$C:$C = $C2501, $A:$A = $A2501, $B:$B = $B2501 - 1),0)"),0.0)</f>
        <v>0</v>
      </c>
      <c r="W2501" s="93">
        <f>IFERROR(__xludf.DUMMYFUNCTION("$E2501 - IFERROR(FILTER($E:$E,$C:$C = $C2501, $A:$A = $A2501, $B:$B = $B2501 - 1),0)"),0.0)</f>
        <v>0</v>
      </c>
      <c r="X2501" s="91">
        <f>IFERROR(__xludf.DUMMYFUNCTION("iFERROR((FILTER('Fund Investment Data'!$Z:$Z, 'Fund Investment Data'!$C:$C = $C2501, 'Fund Investment Data'!$A:$A = $A2501 - 1, 'Fund Investment Data'!$B:$B = 12) + FILTER('Fund Investment Data'!$AB:$AB, 'Fund Investment Data'!$C:$C = $C2501, 'Fund Invest"&amp;"ment Data'!$A:$A = $A2501 - 1, 'Fund Investment Data'!$B:$B = 12)) * (1 + AVERAGE(FILTER('Inflation Data'!$C:$C,'Inflation Data'!$A:$A = ($A2501 - 2)))) * Parameters!$A$4,0)"),0.0)</f>
        <v>0</v>
      </c>
      <c r="Y2501" s="91">
        <f>IFERROR(__xludf.DUMMYFUNCTION("IFERROR((IFERROR(FILTER('Fund Investment Data'!$P:$P,'Fund Investment Data'!$C:$C = $C2501,'Fund Investment Data'!$A:$A = ($A2501 - 2), 'Fund Investment Data'!$B:$B = 12),0) - SUM(FILTER('Fund Investment Data'!$V:$V, 'Fund Investment Data'!$C:$C = $C2501,"&amp;" 'Fund Investment Data'!$A:$A = ($A2501 - 2), 'Fund Investment Data'!$B:$B &gt; 3)))  * Parameters!$B$4 * (1 - Parameters!$A$4),0)"),0.0)</f>
        <v>0</v>
      </c>
      <c r="Z2501" s="91">
        <f t="shared" si="24"/>
        <v>0</v>
      </c>
      <c r="AA2501" s="91">
        <f>IFERROR(__xludf.DUMMYFUNCTION("((IFERROR((SUM(FILTER('Fund Investment Data'!$V:$V, 'Fund Investment Data'!$C:$C = $C2501, 'Fund Investment Data'!$A:$A = $A2501 - 1, 'Fund Investment Data'!$B:$B &gt;= 4, 'Fund Investment Data'!$B:$B &lt;= ($B2501 + 5))) / 12) * ($B2501 - 3) * Parameters!$B$4,"&amp;" 0) + IF($B2501 &gt;= 9, IFERROR(SUM(FILTER('Fund Investment Data'!$V:$V, 'Fund Investment Data'!$C:$C = $C2501, 'Fund Investment Data'!$A:$A = $A2501, 'Fund Investment Data'!$B:$B &lt;= 3)) * Parameters!$B$4, 0),0)))"),0.0)</f>
        <v>0</v>
      </c>
      <c r="AB2501" s="32">
        <f>IFERROR(__xludf.DUMMYFUNCTION("IFERROR(((IFERROR(SUM(FILTER('Fund Investment Data'!$V:$V, 'Fund Investment Data'!$C:$C = $C2501, 'Fund Investment Data'!$A:$A = $A2501 - 2, 'Fund Investment Data'!$B:$B &gt;= 4)) * Parameters!$B$4,0) + IFERROR(SUM(FILTER('Fund Investment Data'!$V:$V, 'Fund "&amp;"Investment Data'!$C:$C = $C2501, 'Fund Investment Data'!$A:$A = $A2501 - 1, 'Fund Investment Data'!$B:$B &lt;= 3)) * Parameters!$B$4,0))),0)"),0.0)</f>
        <v>0</v>
      </c>
      <c r="AC2501" s="32">
        <f>IFERROR(__xludf.DUMMYFUNCTION("IFERROR(FILTER($AF:$AF,$C:$C = $C2501,$A:$A = $A2501 - 1,$B:$B = 12),0)"),0.0)</f>
        <v>0</v>
      </c>
      <c r="AD2501" s="32">
        <f t="shared" si="23"/>
        <v>0</v>
      </c>
      <c r="AE2501" s="32">
        <f t="shared" si="2"/>
        <v>0</v>
      </c>
      <c r="AF2501" s="32"/>
    </row>
    <row r="2502">
      <c r="A2502" s="86"/>
      <c r="B2502" s="87"/>
      <c r="C2502" s="88"/>
      <c r="D2502" s="104"/>
      <c r="E2502" s="104"/>
      <c r="F2502" s="104"/>
      <c r="G2502" s="104"/>
      <c r="H2502" s="104"/>
      <c r="I2502" s="104"/>
      <c r="J2502" s="104"/>
      <c r="K2502" s="32"/>
      <c r="L2502" s="32"/>
      <c r="M2502" s="32"/>
      <c r="N2502" s="32"/>
      <c r="O2502" s="106"/>
      <c r="P2502" s="91">
        <f>IFERROR(__xludf.DUMMYFUNCTION("IFERROR(sum(FILTER($D:$N,$C:$C = $C2502,$A:$A &lt; $A2502,$B:$B = 12)),0) + sum($D2502:$N2502)"),0.0)</f>
        <v>0</v>
      </c>
      <c r="Q2502" s="92">
        <f t="shared" si="1"/>
        <v>0</v>
      </c>
      <c r="R2502" s="91">
        <f t="array" ref="R2502">IFERROR(INDEX('Fund YTD Target Values'!$1:$1000, MATCH($C2502,'Fund YTD Target Values'!$A:$A,0), MATCH($A2502,'Fund YTD Target Values'!$1:$1,0)),0)</f>
        <v>0</v>
      </c>
      <c r="S2502" s="91">
        <f>IFERROR(__xludf.DUMMYFUNCTION("IFERROR(sum(FILTER('Fund Investment Data'!$V:$V, 'Fund Investment Data'!$C:$C = $C2502, 'Fund Investment Data'!$A:$A &lt; $A2502)),0) + IFERROR(sum(FILTER('Fund Investment Data'!$V:$V, 'Fund Investment Data'!$C:$C = $C2502, 'Fund Investment Data'!$A:$A = $A2"&amp;"502, 'Fund Investment Data'!$B:$B &lt;= $B2502)),0)"),0.0)</f>
        <v>0</v>
      </c>
      <c r="T2502" s="32"/>
      <c r="U2502" s="32"/>
      <c r="V2502" s="32">
        <f>IFERROR(__xludf.DUMMYFUNCTION("$D2502 - IFERROR(FILTER($D:$D,$C:$C = $C2502, $A:$A = $A2502, $B:$B = $B2502 - 1),0)"),0.0)</f>
        <v>0</v>
      </c>
      <c r="W2502" s="93">
        <f>IFERROR(__xludf.DUMMYFUNCTION("$E2502 - IFERROR(FILTER($E:$E,$C:$C = $C2502, $A:$A = $A2502, $B:$B = $B2502 - 1),0)"),0.0)</f>
        <v>0</v>
      </c>
      <c r="X2502" s="91">
        <f>IFERROR(__xludf.DUMMYFUNCTION("iFERROR((FILTER('Fund Investment Data'!$Z:$Z, 'Fund Investment Data'!$C:$C = $C2502, 'Fund Investment Data'!$A:$A = $A2502 - 1, 'Fund Investment Data'!$B:$B = 12) + FILTER('Fund Investment Data'!$AB:$AB, 'Fund Investment Data'!$C:$C = $C2502, 'Fund Invest"&amp;"ment Data'!$A:$A = $A2502 - 1, 'Fund Investment Data'!$B:$B = 12)) * (1 + AVERAGE(FILTER('Inflation Data'!$C:$C,'Inflation Data'!$A:$A = ($A2502 - 2)))) * Parameters!$A$4,0)"),0.0)</f>
        <v>0</v>
      </c>
      <c r="Y2502" s="91">
        <f>IFERROR(__xludf.DUMMYFUNCTION("IFERROR((IFERROR(FILTER('Fund Investment Data'!$P:$P,'Fund Investment Data'!$C:$C = $C2502,'Fund Investment Data'!$A:$A = ($A2502 - 2), 'Fund Investment Data'!$B:$B = 12),0) - SUM(FILTER('Fund Investment Data'!$V:$V, 'Fund Investment Data'!$C:$C = $C2502,"&amp;" 'Fund Investment Data'!$A:$A = ($A2502 - 2), 'Fund Investment Data'!$B:$B &gt; 3)))  * Parameters!$B$4 * (1 - Parameters!$A$4),0)"),0.0)</f>
        <v>0</v>
      </c>
      <c r="Z2502" s="91">
        <f t="shared" si="24"/>
        <v>0</v>
      </c>
      <c r="AA2502" s="91">
        <f>IFERROR(__xludf.DUMMYFUNCTION("((IFERROR((SUM(FILTER('Fund Investment Data'!$V:$V, 'Fund Investment Data'!$C:$C = $C2502, 'Fund Investment Data'!$A:$A = $A2502 - 1, 'Fund Investment Data'!$B:$B &gt;= 4, 'Fund Investment Data'!$B:$B &lt;= ($B2502 + 5))) / 12) * ($B2502 - 3) * Parameters!$B$4,"&amp;" 0) + IF($B2502 &gt;= 9, IFERROR(SUM(FILTER('Fund Investment Data'!$V:$V, 'Fund Investment Data'!$C:$C = $C2502, 'Fund Investment Data'!$A:$A = $A2502, 'Fund Investment Data'!$B:$B &lt;= 3)) * Parameters!$B$4, 0),0)))"),0.0)</f>
        <v>0</v>
      </c>
      <c r="AB2502" s="32">
        <f>IFERROR(__xludf.DUMMYFUNCTION("IFERROR(((IFERROR(SUM(FILTER('Fund Investment Data'!$V:$V, 'Fund Investment Data'!$C:$C = $C2502, 'Fund Investment Data'!$A:$A = $A2502 - 2, 'Fund Investment Data'!$B:$B &gt;= 4)) * Parameters!$B$4,0) + IFERROR(SUM(FILTER('Fund Investment Data'!$V:$V, 'Fund "&amp;"Investment Data'!$C:$C = $C2502, 'Fund Investment Data'!$A:$A = $A2502 - 1, 'Fund Investment Data'!$B:$B &lt;= 3)) * Parameters!$B$4,0))),0)"),0.0)</f>
        <v>0</v>
      </c>
      <c r="AC2502" s="32">
        <f>IFERROR(__xludf.DUMMYFUNCTION("IFERROR(FILTER($AF:$AF,$C:$C = $C2502,$A:$A = $A2502 - 1,$B:$B = 12),0)"),0.0)</f>
        <v>0</v>
      </c>
      <c r="AD2502" s="32">
        <f t="shared" si="23"/>
        <v>0</v>
      </c>
      <c r="AE2502" s="32">
        <f t="shared" si="2"/>
        <v>0</v>
      </c>
      <c r="AF2502" s="32"/>
    </row>
    <row r="2503">
      <c r="A2503" s="86"/>
      <c r="B2503" s="87"/>
      <c r="C2503" s="88"/>
      <c r="D2503" s="104"/>
      <c r="E2503" s="104"/>
      <c r="F2503" s="104"/>
      <c r="G2503" s="104"/>
      <c r="H2503" s="104"/>
      <c r="I2503" s="104"/>
      <c r="J2503" s="104"/>
      <c r="K2503" s="32"/>
      <c r="L2503" s="32"/>
      <c r="M2503" s="32"/>
      <c r="N2503" s="32"/>
      <c r="O2503" s="106"/>
      <c r="P2503" s="91">
        <f>IFERROR(__xludf.DUMMYFUNCTION("IFERROR(sum(FILTER($D:$N,$C:$C = $C2503,$A:$A &lt; $A2503,$B:$B = 12)),0) + sum($D2503:$N2503)"),0.0)</f>
        <v>0</v>
      </c>
      <c r="Q2503" s="92">
        <f t="shared" si="1"/>
        <v>0</v>
      </c>
      <c r="R2503" s="91">
        <f t="array" ref="R2503">IFERROR(INDEX('Fund YTD Target Values'!$1:$1000, MATCH($C2503,'Fund YTD Target Values'!$A:$A,0), MATCH($A2503,'Fund YTD Target Values'!$1:$1,0)),0)</f>
        <v>0</v>
      </c>
      <c r="S2503" s="91">
        <f>IFERROR(__xludf.DUMMYFUNCTION("IFERROR(sum(FILTER('Fund Investment Data'!$V:$V, 'Fund Investment Data'!$C:$C = $C2503, 'Fund Investment Data'!$A:$A &lt; $A2503)),0) + IFERROR(sum(FILTER('Fund Investment Data'!$V:$V, 'Fund Investment Data'!$C:$C = $C2503, 'Fund Investment Data'!$A:$A = $A2"&amp;"503, 'Fund Investment Data'!$B:$B &lt;= $B2503)),0)"),0.0)</f>
        <v>0</v>
      </c>
      <c r="T2503" s="32"/>
      <c r="U2503" s="32"/>
      <c r="V2503" s="32">
        <f>IFERROR(__xludf.DUMMYFUNCTION("$D2503 - IFERROR(FILTER($D:$D,$C:$C = $C2503, $A:$A = $A2503, $B:$B = $B2503 - 1),0)"),0.0)</f>
        <v>0</v>
      </c>
      <c r="W2503" s="93">
        <f>IFERROR(__xludf.DUMMYFUNCTION("$E2503 - IFERROR(FILTER($E:$E,$C:$C = $C2503, $A:$A = $A2503, $B:$B = $B2503 - 1),0)"),0.0)</f>
        <v>0</v>
      </c>
      <c r="X2503" s="91">
        <f>IFERROR(__xludf.DUMMYFUNCTION("iFERROR((FILTER('Fund Investment Data'!$Z:$Z, 'Fund Investment Data'!$C:$C = $C2503, 'Fund Investment Data'!$A:$A = $A2503 - 1, 'Fund Investment Data'!$B:$B = 12) + FILTER('Fund Investment Data'!$AB:$AB, 'Fund Investment Data'!$C:$C = $C2503, 'Fund Invest"&amp;"ment Data'!$A:$A = $A2503 - 1, 'Fund Investment Data'!$B:$B = 12)) * (1 + AVERAGE(FILTER('Inflation Data'!$C:$C,'Inflation Data'!$A:$A = ($A2503 - 2)))) * Parameters!$A$4,0)"),0.0)</f>
        <v>0</v>
      </c>
      <c r="Y2503" s="91">
        <f>IFERROR(__xludf.DUMMYFUNCTION("IFERROR((IFERROR(FILTER('Fund Investment Data'!$P:$P,'Fund Investment Data'!$C:$C = $C2503,'Fund Investment Data'!$A:$A = ($A2503 - 2), 'Fund Investment Data'!$B:$B = 12),0) - SUM(FILTER('Fund Investment Data'!$V:$V, 'Fund Investment Data'!$C:$C = $C2503,"&amp;" 'Fund Investment Data'!$A:$A = ($A2503 - 2), 'Fund Investment Data'!$B:$B &gt; 3)))  * Parameters!$B$4 * (1 - Parameters!$A$4),0)"),0.0)</f>
        <v>0</v>
      </c>
      <c r="Z2503" s="91">
        <f t="shared" si="24"/>
        <v>0</v>
      </c>
      <c r="AA2503" s="91">
        <f>IFERROR(__xludf.DUMMYFUNCTION("((IFERROR((SUM(FILTER('Fund Investment Data'!$V:$V, 'Fund Investment Data'!$C:$C = $C2503, 'Fund Investment Data'!$A:$A = $A2503 - 1, 'Fund Investment Data'!$B:$B &gt;= 4, 'Fund Investment Data'!$B:$B &lt;= ($B2503 + 5))) / 12) * ($B2503 - 3) * Parameters!$B$4,"&amp;" 0) + IF($B2503 &gt;= 9, IFERROR(SUM(FILTER('Fund Investment Data'!$V:$V, 'Fund Investment Data'!$C:$C = $C2503, 'Fund Investment Data'!$A:$A = $A2503, 'Fund Investment Data'!$B:$B &lt;= 3)) * Parameters!$B$4, 0),0)))"),0.0)</f>
        <v>0</v>
      </c>
      <c r="AB2503" s="32">
        <f>IFERROR(__xludf.DUMMYFUNCTION("IFERROR(((IFERROR(SUM(FILTER('Fund Investment Data'!$V:$V, 'Fund Investment Data'!$C:$C = $C2503, 'Fund Investment Data'!$A:$A = $A2503 - 2, 'Fund Investment Data'!$B:$B &gt;= 4)) * Parameters!$B$4,0) + IFERROR(SUM(FILTER('Fund Investment Data'!$V:$V, 'Fund "&amp;"Investment Data'!$C:$C = $C2503, 'Fund Investment Data'!$A:$A = $A2503 - 1, 'Fund Investment Data'!$B:$B &lt;= 3)) * Parameters!$B$4,0))),0)"),0.0)</f>
        <v>0</v>
      </c>
      <c r="AC2503" s="32">
        <f>IFERROR(__xludf.DUMMYFUNCTION("IFERROR(FILTER($AF:$AF,$C:$C = $C2503,$A:$A = $A2503 - 1,$B:$B = 12),0)"),0.0)</f>
        <v>0</v>
      </c>
      <c r="AD2503" s="32">
        <f t="shared" si="23"/>
        <v>0</v>
      </c>
      <c r="AE2503" s="32">
        <f t="shared" si="2"/>
        <v>0</v>
      </c>
      <c r="AF2503" s="32"/>
    </row>
    <row r="2504">
      <c r="A2504" s="86"/>
      <c r="B2504" s="87"/>
      <c r="C2504" s="88"/>
      <c r="D2504" s="104"/>
      <c r="E2504" s="104"/>
      <c r="F2504" s="104"/>
      <c r="G2504" s="104"/>
      <c r="H2504" s="104"/>
      <c r="I2504" s="104"/>
      <c r="J2504" s="104"/>
      <c r="K2504" s="32"/>
      <c r="L2504" s="32"/>
      <c r="M2504" s="32"/>
      <c r="N2504" s="32"/>
      <c r="O2504" s="106"/>
      <c r="P2504" s="91">
        <f>IFERROR(__xludf.DUMMYFUNCTION("IFERROR(sum(FILTER($D:$N,$C:$C = $C2504,$A:$A &lt; $A2504,$B:$B = 12)),0) + sum($D2504:$N2504)"),0.0)</f>
        <v>0</v>
      </c>
      <c r="Q2504" s="92">
        <f t="shared" si="1"/>
        <v>0</v>
      </c>
      <c r="R2504" s="91">
        <f t="array" ref="R2504">IFERROR(INDEX('Fund YTD Target Values'!$1:$1000, MATCH($C2504,'Fund YTD Target Values'!$A:$A,0), MATCH($A2504,'Fund YTD Target Values'!$1:$1,0)),0)</f>
        <v>0</v>
      </c>
      <c r="S2504" s="91">
        <f>IFERROR(__xludf.DUMMYFUNCTION("IFERROR(sum(FILTER('Fund Investment Data'!$V:$V, 'Fund Investment Data'!$C:$C = $C2504, 'Fund Investment Data'!$A:$A &lt; $A2504)),0) + IFERROR(sum(FILTER('Fund Investment Data'!$V:$V, 'Fund Investment Data'!$C:$C = $C2504, 'Fund Investment Data'!$A:$A = $A2"&amp;"504, 'Fund Investment Data'!$B:$B &lt;= $B2504)),0)"),0.0)</f>
        <v>0</v>
      </c>
      <c r="T2504" s="32"/>
      <c r="U2504" s="32"/>
      <c r="V2504" s="32">
        <f>IFERROR(__xludf.DUMMYFUNCTION("$D2504 - IFERROR(FILTER($D:$D,$C:$C = $C2504, $A:$A = $A2504, $B:$B = $B2504 - 1),0)"),0.0)</f>
        <v>0</v>
      </c>
      <c r="W2504" s="93">
        <f>IFERROR(__xludf.DUMMYFUNCTION("$E2504 - IFERROR(FILTER($E:$E,$C:$C = $C2504, $A:$A = $A2504, $B:$B = $B2504 - 1),0)"),0.0)</f>
        <v>0</v>
      </c>
      <c r="X2504" s="91">
        <f>IFERROR(__xludf.DUMMYFUNCTION("iFERROR((FILTER('Fund Investment Data'!$Z:$Z, 'Fund Investment Data'!$C:$C = $C2504, 'Fund Investment Data'!$A:$A = $A2504 - 1, 'Fund Investment Data'!$B:$B = 12) + FILTER('Fund Investment Data'!$AB:$AB, 'Fund Investment Data'!$C:$C = $C2504, 'Fund Invest"&amp;"ment Data'!$A:$A = $A2504 - 1, 'Fund Investment Data'!$B:$B = 12)) * (1 + AVERAGE(FILTER('Inflation Data'!$C:$C,'Inflation Data'!$A:$A = ($A2504 - 2)))) * Parameters!$A$4,0)"),0.0)</f>
        <v>0</v>
      </c>
      <c r="Y2504" s="91">
        <f>IFERROR(__xludf.DUMMYFUNCTION("IFERROR((IFERROR(FILTER('Fund Investment Data'!$P:$P,'Fund Investment Data'!$C:$C = $C2504,'Fund Investment Data'!$A:$A = ($A2504 - 2), 'Fund Investment Data'!$B:$B = 12),0) - SUM(FILTER('Fund Investment Data'!$V:$V, 'Fund Investment Data'!$C:$C = $C2504,"&amp;" 'Fund Investment Data'!$A:$A = ($A2504 - 2), 'Fund Investment Data'!$B:$B &gt; 3)))  * Parameters!$B$4 * (1 - Parameters!$A$4),0)"),0.0)</f>
        <v>0</v>
      </c>
      <c r="Z2504" s="91">
        <f t="shared" si="24"/>
        <v>0</v>
      </c>
      <c r="AA2504" s="91">
        <f>IFERROR(__xludf.DUMMYFUNCTION("((IFERROR((SUM(FILTER('Fund Investment Data'!$V:$V, 'Fund Investment Data'!$C:$C = $C2504, 'Fund Investment Data'!$A:$A = $A2504 - 1, 'Fund Investment Data'!$B:$B &gt;= 4, 'Fund Investment Data'!$B:$B &lt;= ($B2504 + 5))) / 12) * ($B2504 - 3) * Parameters!$B$4,"&amp;" 0) + IF($B2504 &gt;= 9, IFERROR(SUM(FILTER('Fund Investment Data'!$V:$V, 'Fund Investment Data'!$C:$C = $C2504, 'Fund Investment Data'!$A:$A = $A2504, 'Fund Investment Data'!$B:$B &lt;= 3)) * Parameters!$B$4, 0),0)))"),0.0)</f>
        <v>0</v>
      </c>
      <c r="AB2504" s="32">
        <f>IFERROR(__xludf.DUMMYFUNCTION("IFERROR(((IFERROR(SUM(FILTER('Fund Investment Data'!$V:$V, 'Fund Investment Data'!$C:$C = $C2504, 'Fund Investment Data'!$A:$A = $A2504 - 2, 'Fund Investment Data'!$B:$B &gt;= 4)) * Parameters!$B$4,0) + IFERROR(SUM(FILTER('Fund Investment Data'!$V:$V, 'Fund "&amp;"Investment Data'!$C:$C = $C2504, 'Fund Investment Data'!$A:$A = $A2504 - 1, 'Fund Investment Data'!$B:$B &lt;= 3)) * Parameters!$B$4,0))),0)"),0.0)</f>
        <v>0</v>
      </c>
      <c r="AC2504" s="32">
        <f>IFERROR(__xludf.DUMMYFUNCTION("IFERROR(FILTER($AF:$AF,$C:$C = $C2504,$A:$A = $A2504 - 1,$B:$B = 12),0)"),0.0)</f>
        <v>0</v>
      </c>
      <c r="AD2504" s="32">
        <f t="shared" si="23"/>
        <v>0</v>
      </c>
      <c r="AE2504" s="32">
        <f t="shared" si="2"/>
        <v>0</v>
      </c>
      <c r="AF2504" s="32"/>
    </row>
    <row r="2505">
      <c r="A2505" s="86"/>
      <c r="B2505" s="87"/>
      <c r="C2505" s="88"/>
      <c r="D2505" s="104"/>
      <c r="E2505" s="104"/>
      <c r="F2505" s="104"/>
      <c r="G2505" s="104"/>
      <c r="H2505" s="104"/>
      <c r="I2505" s="104"/>
      <c r="J2505" s="104"/>
      <c r="K2505" s="32"/>
      <c r="L2505" s="32"/>
      <c r="M2505" s="32"/>
      <c r="N2505" s="32"/>
      <c r="O2505" s="106"/>
      <c r="P2505" s="91">
        <f>IFERROR(__xludf.DUMMYFUNCTION("IFERROR(sum(FILTER($D:$N,$C:$C = $C2505,$A:$A &lt; $A2505,$B:$B = 12)),0) + sum($D2505:$N2505)"),0.0)</f>
        <v>0</v>
      </c>
      <c r="Q2505" s="92">
        <f t="shared" si="1"/>
        <v>0</v>
      </c>
      <c r="R2505" s="91">
        <f t="array" ref="R2505">IFERROR(INDEX('Fund YTD Target Values'!$1:$1000, MATCH($C2505,'Fund YTD Target Values'!$A:$A,0), MATCH($A2505,'Fund YTD Target Values'!$1:$1,0)),0)</f>
        <v>0</v>
      </c>
      <c r="S2505" s="91">
        <f>IFERROR(__xludf.DUMMYFUNCTION("IFERROR(sum(FILTER('Fund Investment Data'!$V:$V, 'Fund Investment Data'!$C:$C = $C2505, 'Fund Investment Data'!$A:$A &lt; $A2505)),0) + IFERROR(sum(FILTER('Fund Investment Data'!$V:$V, 'Fund Investment Data'!$C:$C = $C2505, 'Fund Investment Data'!$A:$A = $A2"&amp;"505, 'Fund Investment Data'!$B:$B &lt;= $B2505)),0)"),0.0)</f>
        <v>0</v>
      </c>
      <c r="T2505" s="32"/>
      <c r="U2505" s="32"/>
      <c r="V2505" s="32">
        <f>IFERROR(__xludf.DUMMYFUNCTION("$D2505 - IFERROR(FILTER($D:$D,$C:$C = $C2505, $A:$A = $A2505, $B:$B = $B2505 - 1),0)"),0.0)</f>
        <v>0</v>
      </c>
      <c r="W2505" s="93">
        <f>IFERROR(__xludf.DUMMYFUNCTION("$E2505 - IFERROR(FILTER($E:$E,$C:$C = $C2505, $A:$A = $A2505, $B:$B = $B2505 - 1),0)"),0.0)</f>
        <v>0</v>
      </c>
      <c r="X2505" s="91">
        <f>IFERROR(__xludf.DUMMYFUNCTION("iFERROR((FILTER('Fund Investment Data'!$Z:$Z, 'Fund Investment Data'!$C:$C = $C2505, 'Fund Investment Data'!$A:$A = $A2505 - 1, 'Fund Investment Data'!$B:$B = 12) + FILTER('Fund Investment Data'!$AB:$AB, 'Fund Investment Data'!$C:$C = $C2505, 'Fund Invest"&amp;"ment Data'!$A:$A = $A2505 - 1, 'Fund Investment Data'!$B:$B = 12)) * (1 + AVERAGE(FILTER('Inflation Data'!$C:$C,'Inflation Data'!$A:$A = ($A2505 - 2)))) * Parameters!$A$4,0)"),0.0)</f>
        <v>0</v>
      </c>
      <c r="Y2505" s="91">
        <f>IFERROR(__xludf.DUMMYFUNCTION("IFERROR((IFERROR(FILTER('Fund Investment Data'!$P:$P,'Fund Investment Data'!$C:$C = $C2505,'Fund Investment Data'!$A:$A = ($A2505 - 2), 'Fund Investment Data'!$B:$B = 12),0) - SUM(FILTER('Fund Investment Data'!$V:$V, 'Fund Investment Data'!$C:$C = $C2505,"&amp;" 'Fund Investment Data'!$A:$A = ($A2505 - 2), 'Fund Investment Data'!$B:$B &gt; 3)))  * Parameters!$B$4 * (1 - Parameters!$A$4),0)"),0.0)</f>
        <v>0</v>
      </c>
      <c r="Z2505" s="91">
        <f t="shared" si="24"/>
        <v>0</v>
      </c>
      <c r="AA2505" s="91">
        <f>IFERROR(__xludf.DUMMYFUNCTION("((IFERROR((SUM(FILTER('Fund Investment Data'!$V:$V, 'Fund Investment Data'!$C:$C = $C2505, 'Fund Investment Data'!$A:$A = $A2505 - 1, 'Fund Investment Data'!$B:$B &gt;= 4, 'Fund Investment Data'!$B:$B &lt;= ($B2505 + 5))) / 12) * ($B2505 - 3) * Parameters!$B$4,"&amp;" 0) + IF($B2505 &gt;= 9, IFERROR(SUM(FILTER('Fund Investment Data'!$V:$V, 'Fund Investment Data'!$C:$C = $C2505, 'Fund Investment Data'!$A:$A = $A2505, 'Fund Investment Data'!$B:$B &lt;= 3)) * Parameters!$B$4, 0),0)))"),0.0)</f>
        <v>0</v>
      </c>
      <c r="AB2505" s="32">
        <f>IFERROR(__xludf.DUMMYFUNCTION("IFERROR(((IFERROR(SUM(FILTER('Fund Investment Data'!$V:$V, 'Fund Investment Data'!$C:$C = $C2505, 'Fund Investment Data'!$A:$A = $A2505 - 2, 'Fund Investment Data'!$B:$B &gt;= 4)) * Parameters!$B$4,0) + IFERROR(SUM(FILTER('Fund Investment Data'!$V:$V, 'Fund "&amp;"Investment Data'!$C:$C = $C2505, 'Fund Investment Data'!$A:$A = $A2505 - 1, 'Fund Investment Data'!$B:$B &lt;= 3)) * Parameters!$B$4,0))),0)"),0.0)</f>
        <v>0</v>
      </c>
      <c r="AC2505" s="32">
        <f>IFERROR(__xludf.DUMMYFUNCTION("IFERROR(FILTER($AF:$AF,$C:$C = $C2505,$A:$A = $A2505 - 1,$B:$B = 12),0)"),0.0)</f>
        <v>0</v>
      </c>
      <c r="AD2505" s="32">
        <f t="shared" si="23"/>
        <v>0</v>
      </c>
      <c r="AE2505" s="32">
        <f t="shared" si="2"/>
        <v>0</v>
      </c>
      <c r="AF2505" s="32"/>
    </row>
    <row r="2506">
      <c r="A2506" s="86"/>
      <c r="B2506" s="87"/>
      <c r="C2506" s="88"/>
      <c r="D2506" s="104"/>
      <c r="E2506" s="104"/>
      <c r="F2506" s="104"/>
      <c r="G2506" s="104"/>
      <c r="H2506" s="104"/>
      <c r="I2506" s="104"/>
      <c r="J2506" s="104"/>
      <c r="K2506" s="32"/>
      <c r="L2506" s="32"/>
      <c r="M2506" s="32"/>
      <c r="N2506" s="32"/>
      <c r="O2506" s="106"/>
      <c r="P2506" s="91">
        <f>IFERROR(__xludf.DUMMYFUNCTION("IFERROR(sum(FILTER($D:$N,$C:$C = $C2506,$A:$A &lt; $A2506,$B:$B = 12)),0) + sum($D2506:$N2506)"),0.0)</f>
        <v>0</v>
      </c>
      <c r="Q2506" s="92">
        <f t="shared" si="1"/>
        <v>0</v>
      </c>
      <c r="R2506" s="91">
        <f t="array" ref="R2506">IFERROR(INDEX('Fund YTD Target Values'!$1:$1000, MATCH($C2506,'Fund YTD Target Values'!$A:$A,0), MATCH($A2506,'Fund YTD Target Values'!$1:$1,0)),0)</f>
        <v>0</v>
      </c>
      <c r="S2506" s="91">
        <f>IFERROR(__xludf.DUMMYFUNCTION("IFERROR(sum(FILTER('Fund Investment Data'!$V:$V, 'Fund Investment Data'!$C:$C = $C2506, 'Fund Investment Data'!$A:$A &lt; $A2506)),0) + IFERROR(sum(FILTER('Fund Investment Data'!$V:$V, 'Fund Investment Data'!$C:$C = $C2506, 'Fund Investment Data'!$A:$A = $A2"&amp;"506, 'Fund Investment Data'!$B:$B &lt;= $B2506)),0)"),0.0)</f>
        <v>0</v>
      </c>
      <c r="T2506" s="32"/>
      <c r="U2506" s="32"/>
      <c r="V2506" s="32">
        <f>IFERROR(__xludf.DUMMYFUNCTION("$D2506 - IFERROR(FILTER($D:$D,$C:$C = $C2506, $A:$A = $A2506, $B:$B = $B2506 - 1),0)"),0.0)</f>
        <v>0</v>
      </c>
      <c r="W2506" s="93">
        <f>IFERROR(__xludf.DUMMYFUNCTION("$E2506 - IFERROR(FILTER($E:$E,$C:$C = $C2506, $A:$A = $A2506, $B:$B = $B2506 - 1),0)"),0.0)</f>
        <v>0</v>
      </c>
      <c r="X2506" s="91">
        <f>IFERROR(__xludf.DUMMYFUNCTION("iFERROR((FILTER('Fund Investment Data'!$Z:$Z, 'Fund Investment Data'!$C:$C = $C2506, 'Fund Investment Data'!$A:$A = $A2506 - 1, 'Fund Investment Data'!$B:$B = 12) + FILTER('Fund Investment Data'!$AB:$AB, 'Fund Investment Data'!$C:$C = $C2506, 'Fund Invest"&amp;"ment Data'!$A:$A = $A2506 - 1, 'Fund Investment Data'!$B:$B = 12)) * (1 + AVERAGE(FILTER('Inflation Data'!$C:$C,'Inflation Data'!$A:$A = ($A2506 - 2)))) * Parameters!$A$4,0)"),0.0)</f>
        <v>0</v>
      </c>
      <c r="Y2506" s="91">
        <f>IFERROR(__xludf.DUMMYFUNCTION("IFERROR((IFERROR(FILTER('Fund Investment Data'!$P:$P,'Fund Investment Data'!$C:$C = $C2506,'Fund Investment Data'!$A:$A = ($A2506 - 2), 'Fund Investment Data'!$B:$B = 12),0) - SUM(FILTER('Fund Investment Data'!$V:$V, 'Fund Investment Data'!$C:$C = $C2506,"&amp;" 'Fund Investment Data'!$A:$A = ($A2506 - 2), 'Fund Investment Data'!$B:$B &gt; 3)))  * Parameters!$B$4 * (1 - Parameters!$A$4),0)"),0.0)</f>
        <v>0</v>
      </c>
      <c r="Z2506" s="91">
        <f t="shared" si="24"/>
        <v>0</v>
      </c>
      <c r="AA2506" s="91">
        <f>IFERROR(__xludf.DUMMYFUNCTION("((IFERROR((SUM(FILTER('Fund Investment Data'!$V:$V, 'Fund Investment Data'!$C:$C = $C2506, 'Fund Investment Data'!$A:$A = $A2506 - 1, 'Fund Investment Data'!$B:$B &gt;= 4, 'Fund Investment Data'!$B:$B &lt;= ($B2506 + 5))) / 12) * ($B2506 - 3) * Parameters!$B$4,"&amp;" 0) + IF($B2506 &gt;= 9, IFERROR(SUM(FILTER('Fund Investment Data'!$V:$V, 'Fund Investment Data'!$C:$C = $C2506, 'Fund Investment Data'!$A:$A = $A2506, 'Fund Investment Data'!$B:$B &lt;= 3)) * Parameters!$B$4, 0),0)))"),0.0)</f>
        <v>0</v>
      </c>
      <c r="AB2506" s="32">
        <f>IFERROR(__xludf.DUMMYFUNCTION("IFERROR(((IFERROR(SUM(FILTER('Fund Investment Data'!$V:$V, 'Fund Investment Data'!$C:$C = $C2506, 'Fund Investment Data'!$A:$A = $A2506 - 2, 'Fund Investment Data'!$B:$B &gt;= 4)) * Parameters!$B$4,0) + IFERROR(SUM(FILTER('Fund Investment Data'!$V:$V, 'Fund "&amp;"Investment Data'!$C:$C = $C2506, 'Fund Investment Data'!$A:$A = $A2506 - 1, 'Fund Investment Data'!$B:$B &lt;= 3)) * Parameters!$B$4,0))),0)"),0.0)</f>
        <v>0</v>
      </c>
      <c r="AC2506" s="32">
        <f>IFERROR(__xludf.DUMMYFUNCTION("IFERROR(FILTER($AF:$AF,$C:$C = $C2506,$A:$A = $A2506 - 1,$B:$B = 12),0)"),0.0)</f>
        <v>0</v>
      </c>
      <c r="AD2506" s="32">
        <f t="shared" si="23"/>
        <v>0</v>
      </c>
      <c r="AE2506" s="32">
        <f t="shared" si="2"/>
        <v>0</v>
      </c>
      <c r="AF2506" s="32"/>
    </row>
    <row r="2507">
      <c r="A2507" s="86"/>
      <c r="B2507" s="87"/>
      <c r="C2507" s="88"/>
      <c r="D2507" s="104"/>
      <c r="E2507" s="104"/>
      <c r="F2507" s="104"/>
      <c r="G2507" s="104"/>
      <c r="H2507" s="104"/>
      <c r="I2507" s="104"/>
      <c r="J2507" s="104"/>
      <c r="K2507" s="32"/>
      <c r="L2507" s="32"/>
      <c r="M2507" s="32"/>
      <c r="N2507" s="32"/>
      <c r="O2507" s="106"/>
      <c r="P2507" s="91">
        <f>IFERROR(__xludf.DUMMYFUNCTION("IFERROR(sum(FILTER($D:$N,$C:$C = $C2507,$A:$A &lt; $A2507,$B:$B = 12)),0) + sum($D2507:$N2507)"),0.0)</f>
        <v>0</v>
      </c>
      <c r="Q2507" s="92">
        <f t="shared" si="1"/>
        <v>0</v>
      </c>
      <c r="R2507" s="91">
        <f t="array" ref="R2507">IFERROR(INDEX('Fund YTD Target Values'!$1:$1000, MATCH($C2507,'Fund YTD Target Values'!$A:$A,0), MATCH($A2507,'Fund YTD Target Values'!$1:$1,0)),0)</f>
        <v>0</v>
      </c>
      <c r="S2507" s="91">
        <f>IFERROR(__xludf.DUMMYFUNCTION("IFERROR(sum(FILTER('Fund Investment Data'!$V:$V, 'Fund Investment Data'!$C:$C = $C2507, 'Fund Investment Data'!$A:$A &lt; $A2507)),0) + IFERROR(sum(FILTER('Fund Investment Data'!$V:$V, 'Fund Investment Data'!$C:$C = $C2507, 'Fund Investment Data'!$A:$A = $A2"&amp;"507, 'Fund Investment Data'!$B:$B &lt;= $B2507)),0)"),0.0)</f>
        <v>0</v>
      </c>
      <c r="T2507" s="32"/>
      <c r="U2507" s="32"/>
      <c r="V2507" s="32">
        <f>IFERROR(__xludf.DUMMYFUNCTION("$D2507 - IFERROR(FILTER($D:$D,$C:$C = $C2507, $A:$A = $A2507, $B:$B = $B2507 - 1),0)"),0.0)</f>
        <v>0</v>
      </c>
      <c r="W2507" s="93">
        <f>IFERROR(__xludf.DUMMYFUNCTION("$E2507 - IFERROR(FILTER($E:$E,$C:$C = $C2507, $A:$A = $A2507, $B:$B = $B2507 - 1),0)"),0.0)</f>
        <v>0</v>
      </c>
      <c r="X2507" s="91">
        <f>IFERROR(__xludf.DUMMYFUNCTION("iFERROR((FILTER('Fund Investment Data'!$Z:$Z, 'Fund Investment Data'!$C:$C = $C2507, 'Fund Investment Data'!$A:$A = $A2507 - 1, 'Fund Investment Data'!$B:$B = 12) + FILTER('Fund Investment Data'!$AB:$AB, 'Fund Investment Data'!$C:$C = $C2507, 'Fund Invest"&amp;"ment Data'!$A:$A = $A2507 - 1, 'Fund Investment Data'!$B:$B = 12)) * (1 + AVERAGE(FILTER('Inflation Data'!$C:$C,'Inflation Data'!$A:$A = ($A2507 - 2)))) * Parameters!$A$4,0)"),0.0)</f>
        <v>0</v>
      </c>
      <c r="Y2507" s="91">
        <f>IFERROR(__xludf.DUMMYFUNCTION("IFERROR((IFERROR(FILTER('Fund Investment Data'!$P:$P,'Fund Investment Data'!$C:$C = $C2507,'Fund Investment Data'!$A:$A = ($A2507 - 2), 'Fund Investment Data'!$B:$B = 12),0) - SUM(FILTER('Fund Investment Data'!$V:$V, 'Fund Investment Data'!$C:$C = $C2507,"&amp;" 'Fund Investment Data'!$A:$A = ($A2507 - 2), 'Fund Investment Data'!$B:$B &gt; 3)))  * Parameters!$B$4 * (1 - Parameters!$A$4),0)"),0.0)</f>
        <v>0</v>
      </c>
      <c r="Z2507" s="91">
        <f t="shared" si="24"/>
        <v>0</v>
      </c>
      <c r="AA2507" s="91">
        <f>IFERROR(__xludf.DUMMYFUNCTION("((IFERROR((SUM(FILTER('Fund Investment Data'!$V:$V, 'Fund Investment Data'!$C:$C = $C2507, 'Fund Investment Data'!$A:$A = $A2507 - 1, 'Fund Investment Data'!$B:$B &gt;= 4, 'Fund Investment Data'!$B:$B &lt;= ($B2507 + 5))) / 12) * ($B2507 - 3) * Parameters!$B$4,"&amp;" 0) + IF($B2507 &gt;= 9, IFERROR(SUM(FILTER('Fund Investment Data'!$V:$V, 'Fund Investment Data'!$C:$C = $C2507, 'Fund Investment Data'!$A:$A = $A2507, 'Fund Investment Data'!$B:$B &lt;= 3)) * Parameters!$B$4, 0),0)))"),0.0)</f>
        <v>0</v>
      </c>
      <c r="AB2507" s="32">
        <f>IFERROR(__xludf.DUMMYFUNCTION("IFERROR(((IFERROR(SUM(FILTER('Fund Investment Data'!$V:$V, 'Fund Investment Data'!$C:$C = $C2507, 'Fund Investment Data'!$A:$A = $A2507 - 2, 'Fund Investment Data'!$B:$B &gt;= 4)) * Parameters!$B$4,0) + IFERROR(SUM(FILTER('Fund Investment Data'!$V:$V, 'Fund "&amp;"Investment Data'!$C:$C = $C2507, 'Fund Investment Data'!$A:$A = $A2507 - 1, 'Fund Investment Data'!$B:$B &lt;= 3)) * Parameters!$B$4,0))),0)"),0.0)</f>
        <v>0</v>
      </c>
      <c r="AC2507" s="32">
        <f>IFERROR(__xludf.DUMMYFUNCTION("IFERROR(FILTER($AF:$AF,$C:$C = $C2507,$A:$A = $A2507 - 1,$B:$B = 12),0)"),0.0)</f>
        <v>0</v>
      </c>
      <c r="AD2507" s="32">
        <f t="shared" si="23"/>
        <v>0</v>
      </c>
      <c r="AE2507" s="32">
        <f t="shared" si="2"/>
        <v>0</v>
      </c>
      <c r="AF2507" s="32"/>
    </row>
    <row r="2508">
      <c r="A2508" s="86"/>
      <c r="B2508" s="87"/>
      <c r="C2508" s="88"/>
      <c r="D2508" s="104"/>
      <c r="E2508" s="104"/>
      <c r="F2508" s="104"/>
      <c r="G2508" s="104"/>
      <c r="H2508" s="104"/>
      <c r="I2508" s="104"/>
      <c r="J2508" s="104"/>
      <c r="K2508" s="32"/>
      <c r="L2508" s="32"/>
      <c r="M2508" s="32"/>
      <c r="N2508" s="32"/>
      <c r="O2508" s="106"/>
      <c r="P2508" s="91">
        <f>IFERROR(__xludf.DUMMYFUNCTION("IFERROR(sum(FILTER($D:$N,$C:$C = $C2508,$A:$A &lt; $A2508,$B:$B = 12)),0) + sum($D2508:$N2508)"),0.0)</f>
        <v>0</v>
      </c>
      <c r="Q2508" s="92">
        <f t="shared" si="1"/>
        <v>0</v>
      </c>
      <c r="R2508" s="91">
        <f t="array" ref="R2508">IFERROR(INDEX('Fund YTD Target Values'!$1:$1000, MATCH($C2508,'Fund YTD Target Values'!$A:$A,0), MATCH($A2508,'Fund YTD Target Values'!$1:$1,0)),0)</f>
        <v>0</v>
      </c>
      <c r="S2508" s="91">
        <f>IFERROR(__xludf.DUMMYFUNCTION("IFERROR(sum(FILTER('Fund Investment Data'!$V:$V, 'Fund Investment Data'!$C:$C = $C2508, 'Fund Investment Data'!$A:$A &lt; $A2508)),0) + IFERROR(sum(FILTER('Fund Investment Data'!$V:$V, 'Fund Investment Data'!$C:$C = $C2508, 'Fund Investment Data'!$A:$A = $A2"&amp;"508, 'Fund Investment Data'!$B:$B &lt;= $B2508)),0)"),0.0)</f>
        <v>0</v>
      </c>
      <c r="T2508" s="32"/>
      <c r="U2508" s="32"/>
      <c r="V2508" s="32">
        <f>IFERROR(__xludf.DUMMYFUNCTION("$D2508 - IFERROR(FILTER($D:$D,$C:$C = $C2508, $A:$A = $A2508, $B:$B = $B2508 - 1),0)"),0.0)</f>
        <v>0</v>
      </c>
      <c r="W2508" s="93">
        <f>IFERROR(__xludf.DUMMYFUNCTION("$E2508 - IFERROR(FILTER($E:$E,$C:$C = $C2508, $A:$A = $A2508, $B:$B = $B2508 - 1),0)"),0.0)</f>
        <v>0</v>
      </c>
      <c r="X2508" s="91">
        <f>IFERROR(__xludf.DUMMYFUNCTION("iFERROR((FILTER('Fund Investment Data'!$Z:$Z, 'Fund Investment Data'!$C:$C = $C2508, 'Fund Investment Data'!$A:$A = $A2508 - 1, 'Fund Investment Data'!$B:$B = 12) + FILTER('Fund Investment Data'!$AB:$AB, 'Fund Investment Data'!$C:$C = $C2508, 'Fund Invest"&amp;"ment Data'!$A:$A = $A2508 - 1, 'Fund Investment Data'!$B:$B = 12)) * (1 + AVERAGE(FILTER('Inflation Data'!$C:$C,'Inflation Data'!$A:$A = ($A2508 - 2)))) * Parameters!$A$4,0)"),0.0)</f>
        <v>0</v>
      </c>
      <c r="Y2508" s="91">
        <f>IFERROR(__xludf.DUMMYFUNCTION("IFERROR((IFERROR(FILTER('Fund Investment Data'!$P:$P,'Fund Investment Data'!$C:$C = $C2508,'Fund Investment Data'!$A:$A = ($A2508 - 2), 'Fund Investment Data'!$B:$B = 12),0) - SUM(FILTER('Fund Investment Data'!$V:$V, 'Fund Investment Data'!$C:$C = $C2508,"&amp;" 'Fund Investment Data'!$A:$A = ($A2508 - 2), 'Fund Investment Data'!$B:$B &gt; 3)))  * Parameters!$B$4 * (1 - Parameters!$A$4),0)"),0.0)</f>
        <v>0</v>
      </c>
      <c r="Z2508" s="91">
        <f t="shared" si="24"/>
        <v>0</v>
      </c>
      <c r="AA2508" s="91">
        <f>IFERROR(__xludf.DUMMYFUNCTION("((IFERROR((SUM(FILTER('Fund Investment Data'!$V:$V, 'Fund Investment Data'!$C:$C = $C2508, 'Fund Investment Data'!$A:$A = $A2508 - 1, 'Fund Investment Data'!$B:$B &gt;= 4, 'Fund Investment Data'!$B:$B &lt;= ($B2508 + 5))) / 12) * ($B2508 - 3) * Parameters!$B$4,"&amp;" 0) + IF($B2508 &gt;= 9, IFERROR(SUM(FILTER('Fund Investment Data'!$V:$V, 'Fund Investment Data'!$C:$C = $C2508, 'Fund Investment Data'!$A:$A = $A2508, 'Fund Investment Data'!$B:$B &lt;= 3)) * Parameters!$B$4, 0),0)))"),0.0)</f>
        <v>0</v>
      </c>
      <c r="AB2508" s="32">
        <f>IFERROR(__xludf.DUMMYFUNCTION("IFERROR(((IFERROR(SUM(FILTER('Fund Investment Data'!$V:$V, 'Fund Investment Data'!$C:$C = $C2508, 'Fund Investment Data'!$A:$A = $A2508 - 2, 'Fund Investment Data'!$B:$B &gt;= 4)) * Parameters!$B$4,0) + IFERROR(SUM(FILTER('Fund Investment Data'!$V:$V, 'Fund "&amp;"Investment Data'!$C:$C = $C2508, 'Fund Investment Data'!$A:$A = $A2508 - 1, 'Fund Investment Data'!$B:$B &lt;= 3)) * Parameters!$B$4,0))),0)"),0.0)</f>
        <v>0</v>
      </c>
      <c r="AC2508" s="32">
        <f>IFERROR(__xludf.DUMMYFUNCTION("IFERROR(FILTER($AF:$AF,$C:$C = $C2508,$A:$A = $A2508 - 1,$B:$B = 12),0)"),0.0)</f>
        <v>0</v>
      </c>
      <c r="AD2508" s="32">
        <f t="shared" si="23"/>
        <v>0</v>
      </c>
      <c r="AE2508" s="32">
        <f t="shared" si="2"/>
        <v>0</v>
      </c>
      <c r="AF2508" s="32"/>
    </row>
    <row r="2509">
      <c r="A2509" s="86"/>
      <c r="B2509" s="87"/>
      <c r="C2509" s="88"/>
      <c r="D2509" s="104"/>
      <c r="E2509" s="104"/>
      <c r="F2509" s="104"/>
      <c r="G2509" s="104"/>
      <c r="H2509" s="104"/>
      <c r="I2509" s="104"/>
      <c r="J2509" s="104"/>
      <c r="K2509" s="32"/>
      <c r="L2509" s="32"/>
      <c r="M2509" s="32"/>
      <c r="N2509" s="32"/>
      <c r="O2509" s="106"/>
      <c r="P2509" s="91">
        <f>IFERROR(__xludf.DUMMYFUNCTION("IFERROR(sum(FILTER($D:$N,$C:$C = $C2509,$A:$A &lt; $A2509,$B:$B = 12)),0) + sum($D2509:$N2509)"),0.0)</f>
        <v>0</v>
      </c>
      <c r="Q2509" s="92">
        <f t="shared" si="1"/>
        <v>0</v>
      </c>
      <c r="R2509" s="91">
        <f t="array" ref="R2509">IFERROR(INDEX('Fund YTD Target Values'!$1:$1000, MATCH($C2509,'Fund YTD Target Values'!$A:$A,0), MATCH($A2509,'Fund YTD Target Values'!$1:$1,0)),0)</f>
        <v>0</v>
      </c>
      <c r="S2509" s="91">
        <f>IFERROR(__xludf.DUMMYFUNCTION("IFERROR(sum(FILTER('Fund Investment Data'!$V:$V, 'Fund Investment Data'!$C:$C = $C2509, 'Fund Investment Data'!$A:$A &lt; $A2509)),0) + IFERROR(sum(FILTER('Fund Investment Data'!$V:$V, 'Fund Investment Data'!$C:$C = $C2509, 'Fund Investment Data'!$A:$A = $A2"&amp;"509, 'Fund Investment Data'!$B:$B &lt;= $B2509)),0)"),0.0)</f>
        <v>0</v>
      </c>
      <c r="T2509" s="32"/>
      <c r="U2509" s="32"/>
      <c r="V2509" s="32">
        <f>IFERROR(__xludf.DUMMYFUNCTION("$D2509 - IFERROR(FILTER($D:$D,$C:$C = $C2509, $A:$A = $A2509, $B:$B = $B2509 - 1),0)"),0.0)</f>
        <v>0</v>
      </c>
      <c r="W2509" s="93">
        <f>IFERROR(__xludf.DUMMYFUNCTION("$E2509 - IFERROR(FILTER($E:$E,$C:$C = $C2509, $A:$A = $A2509, $B:$B = $B2509 - 1),0)"),0.0)</f>
        <v>0</v>
      </c>
      <c r="X2509" s="91">
        <f>IFERROR(__xludf.DUMMYFUNCTION("iFERROR((FILTER('Fund Investment Data'!$Z:$Z, 'Fund Investment Data'!$C:$C = $C2509, 'Fund Investment Data'!$A:$A = $A2509 - 1, 'Fund Investment Data'!$B:$B = 12) + FILTER('Fund Investment Data'!$AB:$AB, 'Fund Investment Data'!$C:$C = $C2509, 'Fund Invest"&amp;"ment Data'!$A:$A = $A2509 - 1, 'Fund Investment Data'!$B:$B = 12)) * (1 + AVERAGE(FILTER('Inflation Data'!$C:$C,'Inflation Data'!$A:$A = ($A2509 - 2)))) * Parameters!$A$4,0)"),0.0)</f>
        <v>0</v>
      </c>
      <c r="Y2509" s="91">
        <f>IFERROR(__xludf.DUMMYFUNCTION("IFERROR((IFERROR(FILTER('Fund Investment Data'!$P:$P,'Fund Investment Data'!$C:$C = $C2509,'Fund Investment Data'!$A:$A = ($A2509 - 2), 'Fund Investment Data'!$B:$B = 12),0) - SUM(FILTER('Fund Investment Data'!$V:$V, 'Fund Investment Data'!$C:$C = $C2509,"&amp;" 'Fund Investment Data'!$A:$A = ($A2509 - 2), 'Fund Investment Data'!$B:$B &gt; 3)))  * Parameters!$B$4 * (1 - Parameters!$A$4),0)"),0.0)</f>
        <v>0</v>
      </c>
      <c r="Z2509" s="91">
        <f t="shared" si="24"/>
        <v>0</v>
      </c>
      <c r="AA2509" s="91">
        <f>IFERROR(__xludf.DUMMYFUNCTION("((IFERROR((SUM(FILTER('Fund Investment Data'!$V:$V, 'Fund Investment Data'!$C:$C = $C2509, 'Fund Investment Data'!$A:$A = $A2509 - 1, 'Fund Investment Data'!$B:$B &gt;= 4, 'Fund Investment Data'!$B:$B &lt;= ($B2509 + 5))) / 12) * ($B2509 - 3) * Parameters!$B$4,"&amp;" 0) + IF($B2509 &gt;= 9, IFERROR(SUM(FILTER('Fund Investment Data'!$V:$V, 'Fund Investment Data'!$C:$C = $C2509, 'Fund Investment Data'!$A:$A = $A2509, 'Fund Investment Data'!$B:$B &lt;= 3)) * Parameters!$B$4, 0),0)))"),0.0)</f>
        <v>0</v>
      </c>
      <c r="AB2509" s="32">
        <f>IFERROR(__xludf.DUMMYFUNCTION("IFERROR(((IFERROR(SUM(FILTER('Fund Investment Data'!$V:$V, 'Fund Investment Data'!$C:$C = $C2509, 'Fund Investment Data'!$A:$A = $A2509 - 2, 'Fund Investment Data'!$B:$B &gt;= 4)) * Parameters!$B$4,0) + IFERROR(SUM(FILTER('Fund Investment Data'!$V:$V, 'Fund "&amp;"Investment Data'!$C:$C = $C2509, 'Fund Investment Data'!$A:$A = $A2509 - 1, 'Fund Investment Data'!$B:$B &lt;= 3)) * Parameters!$B$4,0))),0)"),0.0)</f>
        <v>0</v>
      </c>
      <c r="AC2509" s="32">
        <f>IFERROR(__xludf.DUMMYFUNCTION("IFERROR(FILTER($AF:$AF,$C:$C = $C2509,$A:$A = $A2509 - 1,$B:$B = 12),0)"),0.0)</f>
        <v>0</v>
      </c>
      <c r="AD2509" s="32">
        <f t="shared" si="23"/>
        <v>0</v>
      </c>
      <c r="AE2509" s="32">
        <f t="shared" si="2"/>
        <v>0</v>
      </c>
      <c r="AF2509" s="32"/>
    </row>
    <row r="2510">
      <c r="A2510" s="86"/>
      <c r="B2510" s="87"/>
      <c r="C2510" s="88"/>
      <c r="D2510" s="104"/>
      <c r="E2510" s="104"/>
      <c r="F2510" s="104"/>
      <c r="G2510" s="104"/>
      <c r="H2510" s="104"/>
      <c r="I2510" s="104"/>
      <c r="J2510" s="104"/>
      <c r="K2510" s="32"/>
      <c r="L2510" s="32"/>
      <c r="M2510" s="32"/>
      <c r="N2510" s="32"/>
      <c r="O2510" s="106"/>
      <c r="P2510" s="91">
        <f>IFERROR(__xludf.DUMMYFUNCTION("IFERROR(sum(FILTER($D:$N,$C:$C = $C2510,$A:$A &lt; $A2510,$B:$B = 12)),0) + sum($D2510:$N2510)"),0.0)</f>
        <v>0</v>
      </c>
      <c r="Q2510" s="92">
        <f t="shared" si="1"/>
        <v>0</v>
      </c>
      <c r="R2510" s="91">
        <f t="array" ref="R2510">IFERROR(INDEX('Fund YTD Target Values'!$1:$1000, MATCH($C2510,'Fund YTD Target Values'!$A:$A,0), MATCH($A2510,'Fund YTD Target Values'!$1:$1,0)),0)</f>
        <v>0</v>
      </c>
      <c r="S2510" s="91">
        <f>IFERROR(__xludf.DUMMYFUNCTION("IFERROR(sum(FILTER('Fund Investment Data'!$V:$V, 'Fund Investment Data'!$C:$C = $C2510, 'Fund Investment Data'!$A:$A &lt; $A2510)),0) + IFERROR(sum(FILTER('Fund Investment Data'!$V:$V, 'Fund Investment Data'!$C:$C = $C2510, 'Fund Investment Data'!$A:$A = $A2"&amp;"510, 'Fund Investment Data'!$B:$B &lt;= $B2510)),0)"),0.0)</f>
        <v>0</v>
      </c>
      <c r="T2510" s="32"/>
      <c r="U2510" s="32"/>
      <c r="V2510" s="32">
        <f>IFERROR(__xludf.DUMMYFUNCTION("$D2510 - IFERROR(FILTER($D:$D,$C:$C = $C2510, $A:$A = $A2510, $B:$B = $B2510 - 1),0)"),0.0)</f>
        <v>0</v>
      </c>
      <c r="W2510" s="93">
        <f>IFERROR(__xludf.DUMMYFUNCTION("$E2510 - IFERROR(FILTER($E:$E,$C:$C = $C2510, $A:$A = $A2510, $B:$B = $B2510 - 1),0)"),0.0)</f>
        <v>0</v>
      </c>
      <c r="X2510" s="91">
        <f>IFERROR(__xludf.DUMMYFUNCTION("iFERROR((FILTER('Fund Investment Data'!$Z:$Z, 'Fund Investment Data'!$C:$C = $C2510, 'Fund Investment Data'!$A:$A = $A2510 - 1, 'Fund Investment Data'!$B:$B = 12) + FILTER('Fund Investment Data'!$AB:$AB, 'Fund Investment Data'!$C:$C = $C2510, 'Fund Invest"&amp;"ment Data'!$A:$A = $A2510 - 1, 'Fund Investment Data'!$B:$B = 12)) * (1 + AVERAGE(FILTER('Inflation Data'!$C:$C,'Inflation Data'!$A:$A = ($A2510 - 2)))) * Parameters!$A$4,0)"),0.0)</f>
        <v>0</v>
      </c>
      <c r="Y2510" s="91">
        <f>IFERROR(__xludf.DUMMYFUNCTION("IFERROR((IFERROR(FILTER('Fund Investment Data'!$P:$P,'Fund Investment Data'!$C:$C = $C2510,'Fund Investment Data'!$A:$A = ($A2510 - 2), 'Fund Investment Data'!$B:$B = 12),0) - SUM(FILTER('Fund Investment Data'!$V:$V, 'Fund Investment Data'!$C:$C = $C2510,"&amp;" 'Fund Investment Data'!$A:$A = ($A2510 - 2), 'Fund Investment Data'!$B:$B &gt; 3)))  * Parameters!$B$4 * (1 - Parameters!$A$4),0)"),0.0)</f>
        <v>0</v>
      </c>
      <c r="Z2510" s="91">
        <f t="shared" si="24"/>
        <v>0</v>
      </c>
      <c r="AA2510" s="91">
        <f>IFERROR(__xludf.DUMMYFUNCTION("((IFERROR((SUM(FILTER('Fund Investment Data'!$V:$V, 'Fund Investment Data'!$C:$C = $C2510, 'Fund Investment Data'!$A:$A = $A2510 - 1, 'Fund Investment Data'!$B:$B &gt;= 4, 'Fund Investment Data'!$B:$B &lt;= ($B2510 + 5))) / 12) * ($B2510 - 3) * Parameters!$B$4,"&amp;" 0) + IF($B2510 &gt;= 9, IFERROR(SUM(FILTER('Fund Investment Data'!$V:$V, 'Fund Investment Data'!$C:$C = $C2510, 'Fund Investment Data'!$A:$A = $A2510, 'Fund Investment Data'!$B:$B &lt;= 3)) * Parameters!$B$4, 0),0)))"),0.0)</f>
        <v>0</v>
      </c>
      <c r="AB2510" s="32">
        <f>IFERROR(__xludf.DUMMYFUNCTION("IFERROR(((IFERROR(SUM(FILTER('Fund Investment Data'!$V:$V, 'Fund Investment Data'!$C:$C = $C2510, 'Fund Investment Data'!$A:$A = $A2510 - 2, 'Fund Investment Data'!$B:$B &gt;= 4)) * Parameters!$B$4,0) + IFERROR(SUM(FILTER('Fund Investment Data'!$V:$V, 'Fund "&amp;"Investment Data'!$C:$C = $C2510, 'Fund Investment Data'!$A:$A = $A2510 - 1, 'Fund Investment Data'!$B:$B &lt;= 3)) * Parameters!$B$4,0))),0)"),0.0)</f>
        <v>0</v>
      </c>
      <c r="AC2510" s="32">
        <f>IFERROR(__xludf.DUMMYFUNCTION("IFERROR(FILTER($AF:$AF,$C:$C = $C2510,$A:$A = $A2510 - 1,$B:$B = 12),0)"),0.0)</f>
        <v>0</v>
      </c>
      <c r="AD2510" s="32">
        <f t="shared" si="23"/>
        <v>0</v>
      </c>
      <c r="AE2510" s="32">
        <f t="shared" si="2"/>
        <v>0</v>
      </c>
      <c r="AF2510" s="32"/>
    </row>
    <row r="2511">
      <c r="A2511" s="86"/>
      <c r="B2511" s="87"/>
      <c r="C2511" s="88"/>
      <c r="D2511" s="104"/>
      <c r="E2511" s="104"/>
      <c r="F2511" s="104"/>
      <c r="G2511" s="104"/>
      <c r="H2511" s="104"/>
      <c r="I2511" s="104"/>
      <c r="J2511" s="104"/>
      <c r="K2511" s="32"/>
      <c r="L2511" s="32"/>
      <c r="M2511" s="32"/>
      <c r="N2511" s="32"/>
      <c r="O2511" s="106"/>
      <c r="P2511" s="91">
        <f>IFERROR(__xludf.DUMMYFUNCTION("IFERROR(sum(FILTER($D:$N,$C:$C = $C2511,$A:$A &lt; $A2511,$B:$B = 12)),0) + sum($D2511:$N2511)"),0.0)</f>
        <v>0</v>
      </c>
      <c r="Q2511" s="92">
        <f t="shared" si="1"/>
        <v>0</v>
      </c>
      <c r="R2511" s="91">
        <f t="array" ref="R2511">IFERROR(INDEX('Fund YTD Target Values'!$1:$1000, MATCH($C2511,'Fund YTD Target Values'!$A:$A,0), MATCH($A2511,'Fund YTD Target Values'!$1:$1,0)),0)</f>
        <v>0</v>
      </c>
      <c r="S2511" s="91">
        <f>IFERROR(__xludf.DUMMYFUNCTION("IFERROR(sum(FILTER('Fund Investment Data'!$V:$V, 'Fund Investment Data'!$C:$C = $C2511, 'Fund Investment Data'!$A:$A &lt; $A2511)),0) + IFERROR(sum(FILTER('Fund Investment Data'!$V:$V, 'Fund Investment Data'!$C:$C = $C2511, 'Fund Investment Data'!$A:$A = $A2"&amp;"511, 'Fund Investment Data'!$B:$B &lt;= $B2511)),0)"),0.0)</f>
        <v>0</v>
      </c>
      <c r="T2511" s="32"/>
      <c r="U2511" s="32"/>
      <c r="V2511" s="32">
        <f>IFERROR(__xludf.DUMMYFUNCTION("$D2511 - IFERROR(FILTER($D:$D,$C:$C = $C2511, $A:$A = $A2511, $B:$B = $B2511 - 1),0)"),0.0)</f>
        <v>0</v>
      </c>
      <c r="W2511" s="93">
        <f>IFERROR(__xludf.DUMMYFUNCTION("$E2511 - IFERROR(FILTER($E:$E,$C:$C = $C2511, $A:$A = $A2511, $B:$B = $B2511 - 1),0)"),0.0)</f>
        <v>0</v>
      </c>
      <c r="X2511" s="91">
        <f>IFERROR(__xludf.DUMMYFUNCTION("iFERROR((FILTER('Fund Investment Data'!$Z:$Z, 'Fund Investment Data'!$C:$C = $C2511, 'Fund Investment Data'!$A:$A = $A2511 - 1, 'Fund Investment Data'!$B:$B = 12) + FILTER('Fund Investment Data'!$AB:$AB, 'Fund Investment Data'!$C:$C = $C2511, 'Fund Invest"&amp;"ment Data'!$A:$A = $A2511 - 1, 'Fund Investment Data'!$B:$B = 12)) * (1 + AVERAGE(FILTER('Inflation Data'!$C:$C,'Inflation Data'!$A:$A = ($A2511 - 2)))) * Parameters!$A$4,0)"),0.0)</f>
        <v>0</v>
      </c>
      <c r="Y2511" s="91">
        <f>IFERROR(__xludf.DUMMYFUNCTION("IFERROR((IFERROR(FILTER('Fund Investment Data'!$P:$P,'Fund Investment Data'!$C:$C = $C2511,'Fund Investment Data'!$A:$A = ($A2511 - 2), 'Fund Investment Data'!$B:$B = 12),0) - SUM(FILTER('Fund Investment Data'!$V:$V, 'Fund Investment Data'!$C:$C = $C2511,"&amp;" 'Fund Investment Data'!$A:$A = ($A2511 - 2), 'Fund Investment Data'!$B:$B &gt; 3)))  * Parameters!$B$4 * (1 - Parameters!$A$4),0)"),0.0)</f>
        <v>0</v>
      </c>
      <c r="Z2511" s="91">
        <f t="shared" si="24"/>
        <v>0</v>
      </c>
      <c r="AA2511" s="91">
        <f>IFERROR(__xludf.DUMMYFUNCTION("((IFERROR((SUM(FILTER('Fund Investment Data'!$V:$V, 'Fund Investment Data'!$C:$C = $C2511, 'Fund Investment Data'!$A:$A = $A2511 - 1, 'Fund Investment Data'!$B:$B &gt;= 4, 'Fund Investment Data'!$B:$B &lt;= ($B2511 + 5))) / 12) * ($B2511 - 3) * Parameters!$B$4,"&amp;" 0) + IF($B2511 &gt;= 9, IFERROR(SUM(FILTER('Fund Investment Data'!$V:$V, 'Fund Investment Data'!$C:$C = $C2511, 'Fund Investment Data'!$A:$A = $A2511, 'Fund Investment Data'!$B:$B &lt;= 3)) * Parameters!$B$4, 0),0)))"),0.0)</f>
        <v>0</v>
      </c>
      <c r="AB2511" s="32">
        <f>IFERROR(__xludf.DUMMYFUNCTION("IFERROR(((IFERROR(SUM(FILTER('Fund Investment Data'!$V:$V, 'Fund Investment Data'!$C:$C = $C2511, 'Fund Investment Data'!$A:$A = $A2511 - 2, 'Fund Investment Data'!$B:$B &gt;= 4)) * Parameters!$B$4,0) + IFERROR(SUM(FILTER('Fund Investment Data'!$V:$V, 'Fund "&amp;"Investment Data'!$C:$C = $C2511, 'Fund Investment Data'!$A:$A = $A2511 - 1, 'Fund Investment Data'!$B:$B &lt;= 3)) * Parameters!$B$4,0))),0)"),0.0)</f>
        <v>0</v>
      </c>
      <c r="AC2511" s="32">
        <f>IFERROR(__xludf.DUMMYFUNCTION("IFERROR(FILTER($AF:$AF,$C:$C = $C2511,$A:$A = $A2511 - 1,$B:$B = 12),0)"),0.0)</f>
        <v>0</v>
      </c>
      <c r="AD2511" s="32">
        <f t="shared" si="23"/>
        <v>0</v>
      </c>
      <c r="AE2511" s="32">
        <f t="shared" si="2"/>
        <v>0</v>
      </c>
      <c r="AF2511" s="32"/>
    </row>
    <row r="2512">
      <c r="A2512" s="86"/>
      <c r="B2512" s="87"/>
      <c r="C2512" s="88"/>
      <c r="D2512" s="104"/>
      <c r="E2512" s="104"/>
      <c r="F2512" s="104"/>
      <c r="G2512" s="104"/>
      <c r="H2512" s="104"/>
      <c r="I2512" s="104"/>
      <c r="J2512" s="104"/>
      <c r="K2512" s="32"/>
      <c r="L2512" s="32"/>
      <c r="M2512" s="32"/>
      <c r="N2512" s="32"/>
      <c r="O2512" s="106"/>
      <c r="P2512" s="91">
        <f>IFERROR(__xludf.DUMMYFUNCTION("IFERROR(sum(FILTER($D:$N,$C:$C = $C2512,$A:$A &lt; $A2512,$B:$B = 12)),0) + sum($D2512:$N2512)"),0.0)</f>
        <v>0</v>
      </c>
      <c r="Q2512" s="92">
        <f t="shared" si="1"/>
        <v>0</v>
      </c>
      <c r="R2512" s="91">
        <f t="array" ref="R2512">IFERROR(INDEX('Fund YTD Target Values'!$1:$1000, MATCH($C2512,'Fund YTD Target Values'!$A:$A,0), MATCH($A2512,'Fund YTD Target Values'!$1:$1,0)),0)</f>
        <v>0</v>
      </c>
      <c r="S2512" s="91">
        <f>IFERROR(__xludf.DUMMYFUNCTION("IFERROR(sum(FILTER('Fund Investment Data'!$V:$V, 'Fund Investment Data'!$C:$C = $C2512, 'Fund Investment Data'!$A:$A &lt; $A2512)),0) + IFERROR(sum(FILTER('Fund Investment Data'!$V:$V, 'Fund Investment Data'!$C:$C = $C2512, 'Fund Investment Data'!$A:$A = $A2"&amp;"512, 'Fund Investment Data'!$B:$B &lt;= $B2512)),0)"),0.0)</f>
        <v>0</v>
      </c>
      <c r="T2512" s="32"/>
      <c r="U2512" s="32"/>
      <c r="V2512" s="32">
        <f>IFERROR(__xludf.DUMMYFUNCTION("$D2512 - IFERROR(FILTER($D:$D,$C:$C = $C2512, $A:$A = $A2512, $B:$B = $B2512 - 1),0)"),0.0)</f>
        <v>0</v>
      </c>
      <c r="W2512" s="93">
        <f>IFERROR(__xludf.DUMMYFUNCTION("$E2512 - IFERROR(FILTER($E:$E,$C:$C = $C2512, $A:$A = $A2512, $B:$B = $B2512 - 1),0)"),0.0)</f>
        <v>0</v>
      </c>
      <c r="X2512" s="91">
        <f>IFERROR(__xludf.DUMMYFUNCTION("iFERROR((FILTER('Fund Investment Data'!$Z:$Z, 'Fund Investment Data'!$C:$C = $C2512, 'Fund Investment Data'!$A:$A = $A2512 - 1, 'Fund Investment Data'!$B:$B = 12) + FILTER('Fund Investment Data'!$AB:$AB, 'Fund Investment Data'!$C:$C = $C2512, 'Fund Invest"&amp;"ment Data'!$A:$A = $A2512 - 1, 'Fund Investment Data'!$B:$B = 12)) * (1 + AVERAGE(FILTER('Inflation Data'!$C:$C,'Inflation Data'!$A:$A = ($A2512 - 2)))) * Parameters!$A$4,0)"),0.0)</f>
        <v>0</v>
      </c>
      <c r="Y2512" s="91">
        <f>IFERROR(__xludf.DUMMYFUNCTION("IFERROR((IFERROR(FILTER('Fund Investment Data'!$P:$P,'Fund Investment Data'!$C:$C = $C2512,'Fund Investment Data'!$A:$A = ($A2512 - 2), 'Fund Investment Data'!$B:$B = 12),0) - SUM(FILTER('Fund Investment Data'!$V:$V, 'Fund Investment Data'!$C:$C = $C2512,"&amp;" 'Fund Investment Data'!$A:$A = ($A2512 - 2), 'Fund Investment Data'!$B:$B &gt; 3)))  * Parameters!$B$4 * (1 - Parameters!$A$4),0)"),0.0)</f>
        <v>0</v>
      </c>
      <c r="Z2512" s="91">
        <f t="shared" si="24"/>
        <v>0</v>
      </c>
      <c r="AA2512" s="91">
        <f>IFERROR(__xludf.DUMMYFUNCTION("((IFERROR((SUM(FILTER('Fund Investment Data'!$V:$V, 'Fund Investment Data'!$C:$C = $C2512, 'Fund Investment Data'!$A:$A = $A2512 - 1, 'Fund Investment Data'!$B:$B &gt;= 4, 'Fund Investment Data'!$B:$B &lt;= ($B2512 + 5))) / 12) * ($B2512 - 3) * Parameters!$B$4,"&amp;" 0) + IF($B2512 &gt;= 9, IFERROR(SUM(FILTER('Fund Investment Data'!$V:$V, 'Fund Investment Data'!$C:$C = $C2512, 'Fund Investment Data'!$A:$A = $A2512, 'Fund Investment Data'!$B:$B &lt;= 3)) * Parameters!$B$4, 0),0)))"),0.0)</f>
        <v>0</v>
      </c>
      <c r="AB2512" s="32">
        <f>IFERROR(__xludf.DUMMYFUNCTION("IFERROR(((IFERROR(SUM(FILTER('Fund Investment Data'!$V:$V, 'Fund Investment Data'!$C:$C = $C2512, 'Fund Investment Data'!$A:$A = $A2512 - 2, 'Fund Investment Data'!$B:$B &gt;= 4)) * Parameters!$B$4,0) + IFERROR(SUM(FILTER('Fund Investment Data'!$V:$V, 'Fund "&amp;"Investment Data'!$C:$C = $C2512, 'Fund Investment Data'!$A:$A = $A2512 - 1, 'Fund Investment Data'!$B:$B &lt;= 3)) * Parameters!$B$4,0))),0)"),0.0)</f>
        <v>0</v>
      </c>
      <c r="AC2512" s="32">
        <f>IFERROR(__xludf.DUMMYFUNCTION("IFERROR(FILTER($AF:$AF,$C:$C = $C2512,$A:$A = $A2512 - 1,$B:$B = 12),0)"),0.0)</f>
        <v>0</v>
      </c>
      <c r="AD2512" s="32">
        <f t="shared" si="23"/>
        <v>0</v>
      </c>
      <c r="AE2512" s="32">
        <f t="shared" si="2"/>
        <v>0</v>
      </c>
      <c r="AF2512" s="32"/>
    </row>
    <row r="2513">
      <c r="A2513" s="86"/>
      <c r="B2513" s="87"/>
      <c r="C2513" s="88"/>
      <c r="D2513" s="104"/>
      <c r="E2513" s="104"/>
      <c r="F2513" s="104"/>
      <c r="G2513" s="104"/>
      <c r="H2513" s="104"/>
      <c r="I2513" s="104"/>
      <c r="J2513" s="104"/>
      <c r="K2513" s="32"/>
      <c r="L2513" s="32"/>
      <c r="M2513" s="32"/>
      <c r="N2513" s="32"/>
      <c r="O2513" s="106"/>
      <c r="P2513" s="91">
        <f>IFERROR(__xludf.DUMMYFUNCTION("IFERROR(sum(FILTER($D:$N,$C:$C = $C2513,$A:$A &lt; $A2513,$B:$B = 12)),0) + sum($D2513:$N2513)"),0.0)</f>
        <v>0</v>
      </c>
      <c r="Q2513" s="92">
        <f t="shared" si="1"/>
        <v>0</v>
      </c>
      <c r="R2513" s="91">
        <f t="array" ref="R2513">IFERROR(INDEX('Fund YTD Target Values'!$1:$1000, MATCH($C2513,'Fund YTD Target Values'!$A:$A,0), MATCH($A2513,'Fund YTD Target Values'!$1:$1,0)),0)</f>
        <v>0</v>
      </c>
      <c r="S2513" s="91">
        <f>IFERROR(__xludf.DUMMYFUNCTION("IFERROR(sum(FILTER('Fund Investment Data'!$V:$V, 'Fund Investment Data'!$C:$C = $C2513, 'Fund Investment Data'!$A:$A &lt; $A2513)),0) + IFERROR(sum(FILTER('Fund Investment Data'!$V:$V, 'Fund Investment Data'!$C:$C = $C2513, 'Fund Investment Data'!$A:$A = $A2"&amp;"513, 'Fund Investment Data'!$B:$B &lt;= $B2513)),0)"),0.0)</f>
        <v>0</v>
      </c>
      <c r="T2513" s="32"/>
      <c r="U2513" s="32"/>
      <c r="V2513" s="32">
        <f>IFERROR(__xludf.DUMMYFUNCTION("$D2513 - IFERROR(FILTER($D:$D,$C:$C = $C2513, $A:$A = $A2513, $B:$B = $B2513 - 1),0)"),0.0)</f>
        <v>0</v>
      </c>
      <c r="W2513" s="93">
        <f>IFERROR(__xludf.DUMMYFUNCTION("$E2513 - IFERROR(FILTER($E:$E,$C:$C = $C2513, $A:$A = $A2513, $B:$B = $B2513 - 1),0)"),0.0)</f>
        <v>0</v>
      </c>
      <c r="X2513" s="91">
        <f>IFERROR(__xludf.DUMMYFUNCTION("iFERROR((FILTER('Fund Investment Data'!$Z:$Z, 'Fund Investment Data'!$C:$C = $C2513, 'Fund Investment Data'!$A:$A = $A2513 - 1, 'Fund Investment Data'!$B:$B = 12) + FILTER('Fund Investment Data'!$AB:$AB, 'Fund Investment Data'!$C:$C = $C2513, 'Fund Invest"&amp;"ment Data'!$A:$A = $A2513 - 1, 'Fund Investment Data'!$B:$B = 12)) * (1 + AVERAGE(FILTER('Inflation Data'!$C:$C,'Inflation Data'!$A:$A = ($A2513 - 2)))) * Parameters!$A$4,0)"),0.0)</f>
        <v>0</v>
      </c>
      <c r="Y2513" s="91">
        <f>IFERROR(__xludf.DUMMYFUNCTION("IFERROR((IFERROR(FILTER('Fund Investment Data'!$P:$P,'Fund Investment Data'!$C:$C = $C2513,'Fund Investment Data'!$A:$A = ($A2513 - 2), 'Fund Investment Data'!$B:$B = 12),0) - SUM(FILTER('Fund Investment Data'!$V:$V, 'Fund Investment Data'!$C:$C = $C2513,"&amp;" 'Fund Investment Data'!$A:$A = ($A2513 - 2), 'Fund Investment Data'!$B:$B &gt; 3)))  * Parameters!$B$4 * (1 - Parameters!$A$4),0)"),0.0)</f>
        <v>0</v>
      </c>
      <c r="Z2513" s="91">
        <f t="shared" si="24"/>
        <v>0</v>
      </c>
      <c r="AA2513" s="91">
        <f>IFERROR(__xludf.DUMMYFUNCTION("((IFERROR((SUM(FILTER('Fund Investment Data'!$V:$V, 'Fund Investment Data'!$C:$C = $C2513, 'Fund Investment Data'!$A:$A = $A2513 - 1, 'Fund Investment Data'!$B:$B &gt;= 4, 'Fund Investment Data'!$B:$B &lt;= ($B2513 + 5))) / 12) * ($B2513 - 3) * Parameters!$B$4,"&amp;" 0) + IF($B2513 &gt;= 9, IFERROR(SUM(FILTER('Fund Investment Data'!$V:$V, 'Fund Investment Data'!$C:$C = $C2513, 'Fund Investment Data'!$A:$A = $A2513, 'Fund Investment Data'!$B:$B &lt;= 3)) * Parameters!$B$4, 0),0)))"),0.0)</f>
        <v>0</v>
      </c>
      <c r="AB2513" s="32">
        <f>IFERROR(__xludf.DUMMYFUNCTION("IFERROR(((IFERROR(SUM(FILTER('Fund Investment Data'!$V:$V, 'Fund Investment Data'!$C:$C = $C2513, 'Fund Investment Data'!$A:$A = $A2513 - 2, 'Fund Investment Data'!$B:$B &gt;= 4)) * Parameters!$B$4,0) + IFERROR(SUM(FILTER('Fund Investment Data'!$V:$V, 'Fund "&amp;"Investment Data'!$C:$C = $C2513, 'Fund Investment Data'!$A:$A = $A2513 - 1, 'Fund Investment Data'!$B:$B &lt;= 3)) * Parameters!$B$4,0))),0)"),0.0)</f>
        <v>0</v>
      </c>
      <c r="AC2513" s="32">
        <f>IFERROR(__xludf.DUMMYFUNCTION("IFERROR(FILTER($AF:$AF,$C:$C = $C2513,$A:$A = $A2513 - 1,$B:$B = 12),0)"),0.0)</f>
        <v>0</v>
      </c>
      <c r="AD2513" s="32">
        <f t="shared" si="23"/>
        <v>0</v>
      </c>
      <c r="AE2513" s="32">
        <f t="shared" si="2"/>
        <v>0</v>
      </c>
      <c r="AF2513" s="32"/>
    </row>
    <row r="2514">
      <c r="A2514" s="86"/>
      <c r="B2514" s="87"/>
      <c r="C2514" s="88"/>
      <c r="D2514" s="104"/>
      <c r="E2514" s="104"/>
      <c r="F2514" s="104"/>
      <c r="G2514" s="104"/>
      <c r="H2514" s="104"/>
      <c r="I2514" s="104"/>
      <c r="J2514" s="104"/>
      <c r="K2514" s="32"/>
      <c r="L2514" s="32"/>
      <c r="M2514" s="32"/>
      <c r="N2514" s="32"/>
      <c r="O2514" s="106"/>
      <c r="P2514" s="91">
        <f>IFERROR(__xludf.DUMMYFUNCTION("IFERROR(sum(FILTER($D:$N,$C:$C = $C2514,$A:$A &lt; $A2514,$B:$B = 12)),0) + sum($D2514:$N2514)"),0.0)</f>
        <v>0</v>
      </c>
      <c r="Q2514" s="92">
        <f t="shared" si="1"/>
        <v>0</v>
      </c>
      <c r="R2514" s="91">
        <f t="array" ref="R2514">IFERROR(INDEX('Fund YTD Target Values'!$1:$1000, MATCH($C2514,'Fund YTD Target Values'!$A:$A,0), MATCH($A2514,'Fund YTD Target Values'!$1:$1,0)),0)</f>
        <v>0</v>
      </c>
      <c r="S2514" s="91">
        <f>IFERROR(__xludf.DUMMYFUNCTION("IFERROR(sum(FILTER('Fund Investment Data'!$V:$V, 'Fund Investment Data'!$C:$C = $C2514, 'Fund Investment Data'!$A:$A &lt; $A2514)),0) + IFERROR(sum(FILTER('Fund Investment Data'!$V:$V, 'Fund Investment Data'!$C:$C = $C2514, 'Fund Investment Data'!$A:$A = $A2"&amp;"514, 'Fund Investment Data'!$B:$B &lt;= $B2514)),0)"),0.0)</f>
        <v>0</v>
      </c>
      <c r="T2514" s="32"/>
      <c r="U2514" s="32"/>
      <c r="V2514" s="32">
        <f>IFERROR(__xludf.DUMMYFUNCTION("$D2514 - IFERROR(FILTER($D:$D,$C:$C = $C2514, $A:$A = $A2514, $B:$B = $B2514 - 1),0)"),0.0)</f>
        <v>0</v>
      </c>
      <c r="W2514" s="93">
        <f>IFERROR(__xludf.DUMMYFUNCTION("$E2514 - IFERROR(FILTER($E:$E,$C:$C = $C2514, $A:$A = $A2514, $B:$B = $B2514 - 1),0)"),0.0)</f>
        <v>0</v>
      </c>
      <c r="X2514" s="91">
        <f>IFERROR(__xludf.DUMMYFUNCTION("iFERROR((FILTER('Fund Investment Data'!$Z:$Z, 'Fund Investment Data'!$C:$C = $C2514, 'Fund Investment Data'!$A:$A = $A2514 - 1, 'Fund Investment Data'!$B:$B = 12) + FILTER('Fund Investment Data'!$AB:$AB, 'Fund Investment Data'!$C:$C = $C2514, 'Fund Invest"&amp;"ment Data'!$A:$A = $A2514 - 1, 'Fund Investment Data'!$B:$B = 12)) * (1 + AVERAGE(FILTER('Inflation Data'!$C:$C,'Inflation Data'!$A:$A = ($A2514 - 2)))) * Parameters!$A$4,0)"),0.0)</f>
        <v>0</v>
      </c>
      <c r="Y2514" s="91">
        <f>IFERROR(__xludf.DUMMYFUNCTION("IFERROR((IFERROR(FILTER('Fund Investment Data'!$P:$P,'Fund Investment Data'!$C:$C = $C2514,'Fund Investment Data'!$A:$A = ($A2514 - 2), 'Fund Investment Data'!$B:$B = 12),0) - SUM(FILTER('Fund Investment Data'!$V:$V, 'Fund Investment Data'!$C:$C = $C2514,"&amp;" 'Fund Investment Data'!$A:$A = ($A2514 - 2), 'Fund Investment Data'!$B:$B &gt; 3)))  * Parameters!$B$4 * (1 - Parameters!$A$4),0)"),0.0)</f>
        <v>0</v>
      </c>
      <c r="Z2514" s="91">
        <f t="shared" si="24"/>
        <v>0</v>
      </c>
      <c r="AA2514" s="91">
        <f>IFERROR(__xludf.DUMMYFUNCTION("((IFERROR((SUM(FILTER('Fund Investment Data'!$V:$V, 'Fund Investment Data'!$C:$C = $C2514, 'Fund Investment Data'!$A:$A = $A2514 - 1, 'Fund Investment Data'!$B:$B &gt;= 4, 'Fund Investment Data'!$B:$B &lt;= ($B2514 + 5))) / 12) * ($B2514 - 3) * Parameters!$B$4,"&amp;" 0) + IF($B2514 &gt;= 9, IFERROR(SUM(FILTER('Fund Investment Data'!$V:$V, 'Fund Investment Data'!$C:$C = $C2514, 'Fund Investment Data'!$A:$A = $A2514, 'Fund Investment Data'!$B:$B &lt;= 3)) * Parameters!$B$4, 0),0)))"),0.0)</f>
        <v>0</v>
      </c>
      <c r="AB2514" s="32">
        <f>IFERROR(__xludf.DUMMYFUNCTION("IFERROR(((IFERROR(SUM(FILTER('Fund Investment Data'!$V:$V, 'Fund Investment Data'!$C:$C = $C2514, 'Fund Investment Data'!$A:$A = $A2514 - 2, 'Fund Investment Data'!$B:$B &gt;= 4)) * Parameters!$B$4,0) + IFERROR(SUM(FILTER('Fund Investment Data'!$V:$V, 'Fund "&amp;"Investment Data'!$C:$C = $C2514, 'Fund Investment Data'!$A:$A = $A2514 - 1, 'Fund Investment Data'!$B:$B &lt;= 3)) * Parameters!$B$4,0))),0)"),0.0)</f>
        <v>0</v>
      </c>
      <c r="AC2514" s="32">
        <f>IFERROR(__xludf.DUMMYFUNCTION("IFERROR(FILTER($AF:$AF,$C:$C = $C2514,$A:$A = $A2514 - 1,$B:$B = 12),0)"),0.0)</f>
        <v>0</v>
      </c>
      <c r="AD2514" s="32">
        <f t="shared" si="23"/>
        <v>0</v>
      </c>
      <c r="AE2514" s="32">
        <f t="shared" si="2"/>
        <v>0</v>
      </c>
      <c r="AF2514" s="32"/>
    </row>
    <row r="2515">
      <c r="A2515" s="86"/>
      <c r="B2515" s="87"/>
      <c r="C2515" s="88"/>
      <c r="D2515" s="104"/>
      <c r="E2515" s="104"/>
      <c r="F2515" s="104"/>
      <c r="G2515" s="104"/>
      <c r="H2515" s="104"/>
      <c r="I2515" s="104"/>
      <c r="J2515" s="104"/>
      <c r="K2515" s="32"/>
      <c r="L2515" s="32"/>
      <c r="M2515" s="32"/>
      <c r="N2515" s="32"/>
      <c r="O2515" s="106"/>
      <c r="P2515" s="91">
        <f>IFERROR(__xludf.DUMMYFUNCTION("IFERROR(sum(FILTER($D:$N,$C:$C = $C2515,$A:$A &lt; $A2515,$B:$B = 12)),0) + sum($D2515:$N2515)"),0.0)</f>
        <v>0</v>
      </c>
      <c r="Q2515" s="92">
        <f t="shared" si="1"/>
        <v>0</v>
      </c>
      <c r="R2515" s="91">
        <f t="array" ref="R2515">IFERROR(INDEX('Fund YTD Target Values'!$1:$1000, MATCH($C2515,'Fund YTD Target Values'!$A:$A,0), MATCH($A2515,'Fund YTD Target Values'!$1:$1,0)),0)</f>
        <v>0</v>
      </c>
      <c r="S2515" s="91">
        <f>IFERROR(__xludf.DUMMYFUNCTION("IFERROR(sum(FILTER('Fund Investment Data'!$V:$V, 'Fund Investment Data'!$C:$C = $C2515, 'Fund Investment Data'!$A:$A &lt; $A2515)),0) + IFERROR(sum(FILTER('Fund Investment Data'!$V:$V, 'Fund Investment Data'!$C:$C = $C2515, 'Fund Investment Data'!$A:$A = $A2"&amp;"515, 'Fund Investment Data'!$B:$B &lt;= $B2515)),0)"),0.0)</f>
        <v>0</v>
      </c>
      <c r="T2515" s="32"/>
      <c r="U2515" s="32"/>
      <c r="V2515" s="32">
        <f>IFERROR(__xludf.DUMMYFUNCTION("$D2515 - IFERROR(FILTER($D:$D,$C:$C = $C2515, $A:$A = $A2515, $B:$B = $B2515 - 1),0)"),0.0)</f>
        <v>0</v>
      </c>
      <c r="W2515" s="93">
        <f>IFERROR(__xludf.DUMMYFUNCTION("$E2515 - IFERROR(FILTER($E:$E,$C:$C = $C2515, $A:$A = $A2515, $B:$B = $B2515 - 1),0)"),0.0)</f>
        <v>0</v>
      </c>
      <c r="X2515" s="91">
        <f>IFERROR(__xludf.DUMMYFUNCTION("iFERROR((FILTER('Fund Investment Data'!$Z:$Z, 'Fund Investment Data'!$C:$C = $C2515, 'Fund Investment Data'!$A:$A = $A2515 - 1, 'Fund Investment Data'!$B:$B = 12) + FILTER('Fund Investment Data'!$AB:$AB, 'Fund Investment Data'!$C:$C = $C2515, 'Fund Invest"&amp;"ment Data'!$A:$A = $A2515 - 1, 'Fund Investment Data'!$B:$B = 12)) * (1 + AVERAGE(FILTER('Inflation Data'!$C:$C,'Inflation Data'!$A:$A = ($A2515 - 2)))) * Parameters!$A$4,0)"),0.0)</f>
        <v>0</v>
      </c>
      <c r="Y2515" s="91">
        <f>IFERROR(__xludf.DUMMYFUNCTION("IFERROR((IFERROR(FILTER('Fund Investment Data'!$P:$P,'Fund Investment Data'!$C:$C = $C2515,'Fund Investment Data'!$A:$A = ($A2515 - 2), 'Fund Investment Data'!$B:$B = 12),0) - SUM(FILTER('Fund Investment Data'!$V:$V, 'Fund Investment Data'!$C:$C = $C2515,"&amp;" 'Fund Investment Data'!$A:$A = ($A2515 - 2), 'Fund Investment Data'!$B:$B &gt; 3)))  * Parameters!$B$4 * (1 - Parameters!$A$4),0)"),0.0)</f>
        <v>0</v>
      </c>
      <c r="Z2515" s="91">
        <f t="shared" si="24"/>
        <v>0</v>
      </c>
      <c r="AA2515" s="91">
        <f>IFERROR(__xludf.DUMMYFUNCTION("((IFERROR((SUM(FILTER('Fund Investment Data'!$V:$V, 'Fund Investment Data'!$C:$C = $C2515, 'Fund Investment Data'!$A:$A = $A2515 - 1, 'Fund Investment Data'!$B:$B &gt;= 4, 'Fund Investment Data'!$B:$B &lt;= ($B2515 + 5))) / 12) * ($B2515 - 3) * Parameters!$B$4,"&amp;" 0) + IF($B2515 &gt;= 9, IFERROR(SUM(FILTER('Fund Investment Data'!$V:$V, 'Fund Investment Data'!$C:$C = $C2515, 'Fund Investment Data'!$A:$A = $A2515, 'Fund Investment Data'!$B:$B &lt;= 3)) * Parameters!$B$4, 0),0)))"),0.0)</f>
        <v>0</v>
      </c>
      <c r="AB2515" s="32">
        <f>IFERROR(__xludf.DUMMYFUNCTION("IFERROR(((IFERROR(SUM(FILTER('Fund Investment Data'!$V:$V, 'Fund Investment Data'!$C:$C = $C2515, 'Fund Investment Data'!$A:$A = $A2515 - 2, 'Fund Investment Data'!$B:$B &gt;= 4)) * Parameters!$B$4,0) + IFERROR(SUM(FILTER('Fund Investment Data'!$V:$V, 'Fund "&amp;"Investment Data'!$C:$C = $C2515, 'Fund Investment Data'!$A:$A = $A2515 - 1, 'Fund Investment Data'!$B:$B &lt;= 3)) * Parameters!$B$4,0))),0)"),0.0)</f>
        <v>0</v>
      </c>
      <c r="AC2515" s="32">
        <f>IFERROR(__xludf.DUMMYFUNCTION("IFERROR(FILTER($AF:$AF,$C:$C = $C2515,$A:$A = $A2515 - 1,$B:$B = 12),0)"),0.0)</f>
        <v>0</v>
      </c>
      <c r="AD2515" s="32">
        <f t="shared" si="23"/>
        <v>0</v>
      </c>
      <c r="AE2515" s="32">
        <f t="shared" si="2"/>
        <v>0</v>
      </c>
      <c r="AF2515" s="32"/>
    </row>
    <row r="2516">
      <c r="A2516" s="86"/>
      <c r="B2516" s="87"/>
      <c r="C2516" s="88"/>
      <c r="D2516" s="104"/>
      <c r="E2516" s="104"/>
      <c r="F2516" s="104"/>
      <c r="G2516" s="104"/>
      <c r="H2516" s="104"/>
      <c r="I2516" s="104"/>
      <c r="J2516" s="104"/>
      <c r="K2516" s="32"/>
      <c r="L2516" s="32"/>
      <c r="M2516" s="32"/>
      <c r="N2516" s="32"/>
      <c r="O2516" s="106"/>
      <c r="P2516" s="91">
        <f>IFERROR(__xludf.DUMMYFUNCTION("IFERROR(sum(FILTER($D:$N,$C:$C = $C2516,$A:$A &lt; $A2516,$B:$B = 12)),0) + sum($D2516:$N2516)"),0.0)</f>
        <v>0</v>
      </c>
      <c r="Q2516" s="92">
        <f t="shared" si="1"/>
        <v>0</v>
      </c>
      <c r="R2516" s="91">
        <f t="array" ref="R2516">IFERROR(INDEX('Fund YTD Target Values'!$1:$1000, MATCH($C2516,'Fund YTD Target Values'!$A:$A,0), MATCH($A2516,'Fund YTD Target Values'!$1:$1,0)),0)</f>
        <v>0</v>
      </c>
      <c r="S2516" s="91">
        <f>IFERROR(__xludf.DUMMYFUNCTION("IFERROR(sum(FILTER('Fund Investment Data'!$V:$V, 'Fund Investment Data'!$C:$C = $C2516, 'Fund Investment Data'!$A:$A &lt; $A2516)),0) + IFERROR(sum(FILTER('Fund Investment Data'!$V:$V, 'Fund Investment Data'!$C:$C = $C2516, 'Fund Investment Data'!$A:$A = $A2"&amp;"516, 'Fund Investment Data'!$B:$B &lt;= $B2516)),0)"),0.0)</f>
        <v>0</v>
      </c>
      <c r="T2516" s="32"/>
      <c r="U2516" s="32"/>
      <c r="V2516" s="32">
        <f>IFERROR(__xludf.DUMMYFUNCTION("$D2516 - IFERROR(FILTER($D:$D,$C:$C = $C2516, $A:$A = $A2516, $B:$B = $B2516 - 1),0)"),0.0)</f>
        <v>0</v>
      </c>
      <c r="W2516" s="93">
        <f>IFERROR(__xludf.DUMMYFUNCTION("$E2516 - IFERROR(FILTER($E:$E,$C:$C = $C2516, $A:$A = $A2516, $B:$B = $B2516 - 1),0)"),0.0)</f>
        <v>0</v>
      </c>
      <c r="X2516" s="91">
        <f>IFERROR(__xludf.DUMMYFUNCTION("iFERROR((FILTER('Fund Investment Data'!$Z:$Z, 'Fund Investment Data'!$C:$C = $C2516, 'Fund Investment Data'!$A:$A = $A2516 - 1, 'Fund Investment Data'!$B:$B = 12) + FILTER('Fund Investment Data'!$AB:$AB, 'Fund Investment Data'!$C:$C = $C2516, 'Fund Invest"&amp;"ment Data'!$A:$A = $A2516 - 1, 'Fund Investment Data'!$B:$B = 12)) * (1 + AVERAGE(FILTER('Inflation Data'!$C:$C,'Inflation Data'!$A:$A = ($A2516 - 2)))) * Parameters!$A$4,0)"),0.0)</f>
        <v>0</v>
      </c>
      <c r="Y2516" s="91">
        <f>IFERROR(__xludf.DUMMYFUNCTION("IFERROR((IFERROR(FILTER('Fund Investment Data'!$P:$P,'Fund Investment Data'!$C:$C = $C2516,'Fund Investment Data'!$A:$A = ($A2516 - 2), 'Fund Investment Data'!$B:$B = 12),0) - SUM(FILTER('Fund Investment Data'!$V:$V, 'Fund Investment Data'!$C:$C = $C2516,"&amp;" 'Fund Investment Data'!$A:$A = ($A2516 - 2), 'Fund Investment Data'!$B:$B &gt; 3)))  * Parameters!$B$4 * (1 - Parameters!$A$4),0)"),0.0)</f>
        <v>0</v>
      </c>
      <c r="Z2516" s="91">
        <f t="shared" si="24"/>
        <v>0</v>
      </c>
      <c r="AA2516" s="91">
        <f>IFERROR(__xludf.DUMMYFUNCTION("((IFERROR((SUM(FILTER('Fund Investment Data'!$V:$V, 'Fund Investment Data'!$C:$C = $C2516, 'Fund Investment Data'!$A:$A = $A2516 - 1, 'Fund Investment Data'!$B:$B &gt;= 4, 'Fund Investment Data'!$B:$B &lt;= ($B2516 + 5))) / 12) * ($B2516 - 3) * Parameters!$B$4,"&amp;" 0) + IF($B2516 &gt;= 9, IFERROR(SUM(FILTER('Fund Investment Data'!$V:$V, 'Fund Investment Data'!$C:$C = $C2516, 'Fund Investment Data'!$A:$A = $A2516, 'Fund Investment Data'!$B:$B &lt;= 3)) * Parameters!$B$4, 0),0)))"),0.0)</f>
        <v>0</v>
      </c>
      <c r="AB2516" s="32">
        <f>IFERROR(__xludf.DUMMYFUNCTION("IFERROR(((IFERROR(SUM(FILTER('Fund Investment Data'!$V:$V, 'Fund Investment Data'!$C:$C = $C2516, 'Fund Investment Data'!$A:$A = $A2516 - 2, 'Fund Investment Data'!$B:$B &gt;= 4)) * Parameters!$B$4,0) + IFERROR(SUM(FILTER('Fund Investment Data'!$V:$V, 'Fund "&amp;"Investment Data'!$C:$C = $C2516, 'Fund Investment Data'!$A:$A = $A2516 - 1, 'Fund Investment Data'!$B:$B &lt;= 3)) * Parameters!$B$4,0))),0)"),0.0)</f>
        <v>0</v>
      </c>
      <c r="AC2516" s="32">
        <f>IFERROR(__xludf.DUMMYFUNCTION("IFERROR(FILTER($AF:$AF,$C:$C = $C2516,$A:$A = $A2516 - 1,$B:$B = 12),0)"),0.0)</f>
        <v>0</v>
      </c>
      <c r="AD2516" s="32">
        <f t="shared" si="23"/>
        <v>0</v>
      </c>
      <c r="AE2516" s="32">
        <f t="shared" si="2"/>
        <v>0</v>
      </c>
      <c r="AF2516" s="32"/>
    </row>
    <row r="2517">
      <c r="A2517" s="86"/>
      <c r="B2517" s="87"/>
      <c r="C2517" s="88"/>
      <c r="D2517" s="104"/>
      <c r="E2517" s="104"/>
      <c r="F2517" s="104"/>
      <c r="G2517" s="104"/>
      <c r="H2517" s="104"/>
      <c r="I2517" s="104"/>
      <c r="J2517" s="104"/>
      <c r="K2517" s="32"/>
      <c r="L2517" s="32"/>
      <c r="M2517" s="32"/>
      <c r="N2517" s="32"/>
      <c r="O2517" s="106"/>
      <c r="P2517" s="91">
        <f>IFERROR(__xludf.DUMMYFUNCTION("IFERROR(sum(FILTER($D:$N,$C:$C = $C2517,$A:$A &lt; $A2517,$B:$B = 12)),0) + sum($D2517:$N2517)"),0.0)</f>
        <v>0</v>
      </c>
      <c r="Q2517" s="92">
        <f t="shared" si="1"/>
        <v>0</v>
      </c>
      <c r="R2517" s="91">
        <f t="array" ref="R2517">IFERROR(INDEX('Fund YTD Target Values'!$1:$1000, MATCH($C2517,'Fund YTD Target Values'!$A:$A,0), MATCH($A2517,'Fund YTD Target Values'!$1:$1,0)),0)</f>
        <v>0</v>
      </c>
      <c r="S2517" s="91">
        <f>IFERROR(__xludf.DUMMYFUNCTION("IFERROR(sum(FILTER('Fund Investment Data'!$V:$V, 'Fund Investment Data'!$C:$C = $C2517, 'Fund Investment Data'!$A:$A &lt; $A2517)),0) + IFERROR(sum(FILTER('Fund Investment Data'!$V:$V, 'Fund Investment Data'!$C:$C = $C2517, 'Fund Investment Data'!$A:$A = $A2"&amp;"517, 'Fund Investment Data'!$B:$B &lt;= $B2517)),0)"),0.0)</f>
        <v>0</v>
      </c>
      <c r="T2517" s="32"/>
      <c r="U2517" s="32"/>
      <c r="V2517" s="32">
        <f>IFERROR(__xludf.DUMMYFUNCTION("$D2517 - IFERROR(FILTER($D:$D,$C:$C = $C2517, $A:$A = $A2517, $B:$B = $B2517 - 1),0)"),0.0)</f>
        <v>0</v>
      </c>
      <c r="W2517" s="93">
        <f>IFERROR(__xludf.DUMMYFUNCTION("$E2517 - IFERROR(FILTER($E:$E,$C:$C = $C2517, $A:$A = $A2517, $B:$B = $B2517 - 1),0)"),0.0)</f>
        <v>0</v>
      </c>
      <c r="X2517" s="91">
        <f>IFERROR(__xludf.DUMMYFUNCTION("iFERROR((FILTER('Fund Investment Data'!$Z:$Z, 'Fund Investment Data'!$C:$C = $C2517, 'Fund Investment Data'!$A:$A = $A2517 - 1, 'Fund Investment Data'!$B:$B = 12) + FILTER('Fund Investment Data'!$AB:$AB, 'Fund Investment Data'!$C:$C = $C2517, 'Fund Invest"&amp;"ment Data'!$A:$A = $A2517 - 1, 'Fund Investment Data'!$B:$B = 12)) * (1 + AVERAGE(FILTER('Inflation Data'!$C:$C,'Inflation Data'!$A:$A = ($A2517 - 2)))) * Parameters!$A$4,0)"),0.0)</f>
        <v>0</v>
      </c>
      <c r="Y2517" s="91">
        <f>IFERROR(__xludf.DUMMYFUNCTION("IFERROR((IFERROR(FILTER('Fund Investment Data'!$P:$P,'Fund Investment Data'!$C:$C = $C2517,'Fund Investment Data'!$A:$A = ($A2517 - 2), 'Fund Investment Data'!$B:$B = 12),0) - SUM(FILTER('Fund Investment Data'!$V:$V, 'Fund Investment Data'!$C:$C = $C2517,"&amp;" 'Fund Investment Data'!$A:$A = ($A2517 - 2), 'Fund Investment Data'!$B:$B &gt; 3)))  * Parameters!$B$4 * (1 - Parameters!$A$4),0)"),0.0)</f>
        <v>0</v>
      </c>
      <c r="Z2517" s="91">
        <f t="shared" si="24"/>
        <v>0</v>
      </c>
      <c r="AA2517" s="91">
        <f>IFERROR(__xludf.DUMMYFUNCTION("((IFERROR((SUM(FILTER('Fund Investment Data'!$V:$V, 'Fund Investment Data'!$C:$C = $C2517, 'Fund Investment Data'!$A:$A = $A2517 - 1, 'Fund Investment Data'!$B:$B &gt;= 4, 'Fund Investment Data'!$B:$B &lt;= ($B2517 + 5))) / 12) * ($B2517 - 3) * Parameters!$B$4,"&amp;" 0) + IF($B2517 &gt;= 9, IFERROR(SUM(FILTER('Fund Investment Data'!$V:$V, 'Fund Investment Data'!$C:$C = $C2517, 'Fund Investment Data'!$A:$A = $A2517, 'Fund Investment Data'!$B:$B &lt;= 3)) * Parameters!$B$4, 0),0)))"),0.0)</f>
        <v>0</v>
      </c>
      <c r="AB2517" s="32">
        <f>IFERROR(__xludf.DUMMYFUNCTION("IFERROR(((IFERROR(SUM(FILTER('Fund Investment Data'!$V:$V, 'Fund Investment Data'!$C:$C = $C2517, 'Fund Investment Data'!$A:$A = $A2517 - 2, 'Fund Investment Data'!$B:$B &gt;= 4)) * Parameters!$B$4,0) + IFERROR(SUM(FILTER('Fund Investment Data'!$V:$V, 'Fund "&amp;"Investment Data'!$C:$C = $C2517, 'Fund Investment Data'!$A:$A = $A2517 - 1, 'Fund Investment Data'!$B:$B &lt;= 3)) * Parameters!$B$4,0))),0)"),0.0)</f>
        <v>0</v>
      </c>
      <c r="AC2517" s="32">
        <f>IFERROR(__xludf.DUMMYFUNCTION("IFERROR(FILTER($AF:$AF,$C:$C = $C2517,$A:$A = $A2517 - 1,$B:$B = 12),0)"),0.0)</f>
        <v>0</v>
      </c>
      <c r="AD2517" s="32">
        <f t="shared" si="23"/>
        <v>0</v>
      </c>
      <c r="AE2517" s="32">
        <f t="shared" si="2"/>
        <v>0</v>
      </c>
      <c r="AF2517" s="32"/>
    </row>
    <row r="2518">
      <c r="A2518" s="86"/>
      <c r="B2518" s="87"/>
      <c r="C2518" s="88"/>
      <c r="D2518" s="104"/>
      <c r="E2518" s="104"/>
      <c r="F2518" s="104"/>
      <c r="G2518" s="104"/>
      <c r="H2518" s="104"/>
      <c r="I2518" s="104"/>
      <c r="J2518" s="104"/>
      <c r="K2518" s="32"/>
      <c r="L2518" s="32"/>
      <c r="M2518" s="32"/>
      <c r="N2518" s="32"/>
      <c r="O2518" s="106"/>
      <c r="P2518" s="91">
        <f>IFERROR(__xludf.DUMMYFUNCTION("IFERROR(sum(FILTER($D:$N,$C:$C = $C2518,$A:$A &lt; $A2518,$B:$B = 12)),0) + sum($D2518:$N2518)"),0.0)</f>
        <v>0</v>
      </c>
      <c r="Q2518" s="92">
        <f t="shared" si="1"/>
        <v>0</v>
      </c>
      <c r="R2518" s="91">
        <f t="array" ref="R2518">IFERROR(INDEX('Fund YTD Target Values'!$1:$1000, MATCH($C2518,'Fund YTD Target Values'!$A:$A,0), MATCH($A2518,'Fund YTD Target Values'!$1:$1,0)),0)</f>
        <v>0</v>
      </c>
      <c r="S2518" s="91">
        <f>IFERROR(__xludf.DUMMYFUNCTION("IFERROR(sum(FILTER('Fund Investment Data'!$V:$V, 'Fund Investment Data'!$C:$C = $C2518, 'Fund Investment Data'!$A:$A &lt; $A2518)),0) + IFERROR(sum(FILTER('Fund Investment Data'!$V:$V, 'Fund Investment Data'!$C:$C = $C2518, 'Fund Investment Data'!$A:$A = $A2"&amp;"518, 'Fund Investment Data'!$B:$B &lt;= $B2518)),0)"),0.0)</f>
        <v>0</v>
      </c>
      <c r="T2518" s="32"/>
      <c r="U2518" s="32"/>
      <c r="V2518" s="32">
        <f>IFERROR(__xludf.DUMMYFUNCTION("$D2518 - IFERROR(FILTER($D:$D,$C:$C = $C2518, $A:$A = $A2518, $B:$B = $B2518 - 1),0)"),0.0)</f>
        <v>0</v>
      </c>
      <c r="W2518" s="93">
        <f>IFERROR(__xludf.DUMMYFUNCTION("$E2518 - IFERROR(FILTER($E:$E,$C:$C = $C2518, $A:$A = $A2518, $B:$B = $B2518 - 1),0)"),0.0)</f>
        <v>0</v>
      </c>
      <c r="X2518" s="91">
        <f>IFERROR(__xludf.DUMMYFUNCTION("iFERROR((FILTER('Fund Investment Data'!$Z:$Z, 'Fund Investment Data'!$C:$C = $C2518, 'Fund Investment Data'!$A:$A = $A2518 - 1, 'Fund Investment Data'!$B:$B = 12) + FILTER('Fund Investment Data'!$AB:$AB, 'Fund Investment Data'!$C:$C = $C2518, 'Fund Invest"&amp;"ment Data'!$A:$A = $A2518 - 1, 'Fund Investment Data'!$B:$B = 12)) * (1 + AVERAGE(FILTER('Inflation Data'!$C:$C,'Inflation Data'!$A:$A = ($A2518 - 2)))) * Parameters!$A$4,0)"),0.0)</f>
        <v>0</v>
      </c>
      <c r="Y2518" s="91">
        <f>IFERROR(__xludf.DUMMYFUNCTION("IFERROR((IFERROR(FILTER('Fund Investment Data'!$P:$P,'Fund Investment Data'!$C:$C = $C2518,'Fund Investment Data'!$A:$A = ($A2518 - 2), 'Fund Investment Data'!$B:$B = 12),0) - SUM(FILTER('Fund Investment Data'!$V:$V, 'Fund Investment Data'!$C:$C = $C2518,"&amp;" 'Fund Investment Data'!$A:$A = ($A2518 - 2), 'Fund Investment Data'!$B:$B &gt; 3)))  * Parameters!$B$4 * (1 - Parameters!$A$4),0)"),0.0)</f>
        <v>0</v>
      </c>
      <c r="Z2518" s="91">
        <f t="shared" si="24"/>
        <v>0</v>
      </c>
      <c r="AA2518" s="91">
        <f>IFERROR(__xludf.DUMMYFUNCTION("((IFERROR((SUM(FILTER('Fund Investment Data'!$V:$V, 'Fund Investment Data'!$C:$C = $C2518, 'Fund Investment Data'!$A:$A = $A2518 - 1, 'Fund Investment Data'!$B:$B &gt;= 4, 'Fund Investment Data'!$B:$B &lt;= ($B2518 + 5))) / 12) * ($B2518 - 3) * Parameters!$B$4,"&amp;" 0) + IF($B2518 &gt;= 9, IFERROR(SUM(FILTER('Fund Investment Data'!$V:$V, 'Fund Investment Data'!$C:$C = $C2518, 'Fund Investment Data'!$A:$A = $A2518, 'Fund Investment Data'!$B:$B &lt;= 3)) * Parameters!$B$4, 0),0)))"),0.0)</f>
        <v>0</v>
      </c>
      <c r="AB2518" s="32">
        <f>IFERROR(__xludf.DUMMYFUNCTION("IFERROR(((IFERROR(SUM(FILTER('Fund Investment Data'!$V:$V, 'Fund Investment Data'!$C:$C = $C2518, 'Fund Investment Data'!$A:$A = $A2518 - 2, 'Fund Investment Data'!$B:$B &gt;= 4)) * Parameters!$B$4,0) + IFERROR(SUM(FILTER('Fund Investment Data'!$V:$V, 'Fund "&amp;"Investment Data'!$C:$C = $C2518, 'Fund Investment Data'!$A:$A = $A2518 - 1, 'Fund Investment Data'!$B:$B &lt;= 3)) * Parameters!$B$4,0))),0)"),0.0)</f>
        <v>0</v>
      </c>
      <c r="AC2518" s="32">
        <f>IFERROR(__xludf.DUMMYFUNCTION("IFERROR(FILTER($AF:$AF,$C:$C = $C2518,$A:$A = $A2518 - 1,$B:$B = 12),0)"),0.0)</f>
        <v>0</v>
      </c>
      <c r="AD2518" s="32">
        <f t="shared" si="23"/>
        <v>0</v>
      </c>
      <c r="AE2518" s="32">
        <f t="shared" si="2"/>
        <v>0</v>
      </c>
      <c r="AF2518" s="32"/>
    </row>
    <row r="2519">
      <c r="A2519" s="86"/>
      <c r="B2519" s="87"/>
      <c r="C2519" s="88"/>
      <c r="D2519" s="104"/>
      <c r="E2519" s="104"/>
      <c r="F2519" s="104"/>
      <c r="G2519" s="104"/>
      <c r="H2519" s="104"/>
      <c r="I2519" s="104"/>
      <c r="J2519" s="104"/>
      <c r="K2519" s="32"/>
      <c r="L2519" s="32"/>
      <c r="M2519" s="32"/>
      <c r="N2519" s="32"/>
      <c r="O2519" s="106"/>
      <c r="P2519" s="91">
        <f>IFERROR(__xludf.DUMMYFUNCTION("IFERROR(sum(FILTER($D:$N,$C:$C = $C2519,$A:$A &lt; $A2519,$B:$B = 12)),0) + sum($D2519:$N2519)"),0.0)</f>
        <v>0</v>
      </c>
      <c r="Q2519" s="92">
        <f t="shared" si="1"/>
        <v>0</v>
      </c>
      <c r="R2519" s="91">
        <f t="array" ref="R2519">IFERROR(INDEX('Fund YTD Target Values'!$1:$1000, MATCH($C2519,'Fund YTD Target Values'!$A:$A,0), MATCH($A2519,'Fund YTD Target Values'!$1:$1,0)),0)</f>
        <v>0</v>
      </c>
      <c r="S2519" s="91">
        <f>IFERROR(__xludf.DUMMYFUNCTION("IFERROR(sum(FILTER('Fund Investment Data'!$V:$V, 'Fund Investment Data'!$C:$C = $C2519, 'Fund Investment Data'!$A:$A &lt; $A2519)),0) + IFERROR(sum(FILTER('Fund Investment Data'!$V:$V, 'Fund Investment Data'!$C:$C = $C2519, 'Fund Investment Data'!$A:$A = $A2"&amp;"519, 'Fund Investment Data'!$B:$B &lt;= $B2519)),0)"),0.0)</f>
        <v>0</v>
      </c>
      <c r="T2519" s="32"/>
      <c r="U2519" s="32"/>
      <c r="V2519" s="32">
        <f>IFERROR(__xludf.DUMMYFUNCTION("$D2519 - IFERROR(FILTER($D:$D,$C:$C = $C2519, $A:$A = $A2519, $B:$B = $B2519 - 1),0)"),0.0)</f>
        <v>0</v>
      </c>
      <c r="W2519" s="93">
        <f>IFERROR(__xludf.DUMMYFUNCTION("$E2519 - IFERROR(FILTER($E:$E,$C:$C = $C2519, $A:$A = $A2519, $B:$B = $B2519 - 1),0)"),0.0)</f>
        <v>0</v>
      </c>
      <c r="X2519" s="91">
        <f>IFERROR(__xludf.DUMMYFUNCTION("iFERROR((FILTER('Fund Investment Data'!$Z:$Z, 'Fund Investment Data'!$C:$C = $C2519, 'Fund Investment Data'!$A:$A = $A2519 - 1, 'Fund Investment Data'!$B:$B = 12) + FILTER('Fund Investment Data'!$AB:$AB, 'Fund Investment Data'!$C:$C = $C2519, 'Fund Invest"&amp;"ment Data'!$A:$A = $A2519 - 1, 'Fund Investment Data'!$B:$B = 12)) * (1 + AVERAGE(FILTER('Inflation Data'!$C:$C,'Inflation Data'!$A:$A = ($A2519 - 2)))) * Parameters!$A$4,0)"),0.0)</f>
        <v>0</v>
      </c>
      <c r="Y2519" s="91">
        <f>IFERROR(__xludf.DUMMYFUNCTION("IFERROR((IFERROR(FILTER('Fund Investment Data'!$P:$P,'Fund Investment Data'!$C:$C = $C2519,'Fund Investment Data'!$A:$A = ($A2519 - 2), 'Fund Investment Data'!$B:$B = 12),0) - SUM(FILTER('Fund Investment Data'!$V:$V, 'Fund Investment Data'!$C:$C = $C2519,"&amp;" 'Fund Investment Data'!$A:$A = ($A2519 - 2), 'Fund Investment Data'!$B:$B &gt; 3)))  * Parameters!$B$4 * (1 - Parameters!$A$4),0)"),0.0)</f>
        <v>0</v>
      </c>
      <c r="Z2519" s="91">
        <f t="shared" si="24"/>
        <v>0</v>
      </c>
      <c r="AA2519" s="91">
        <f>IFERROR(__xludf.DUMMYFUNCTION("((IFERROR((SUM(FILTER('Fund Investment Data'!$V:$V, 'Fund Investment Data'!$C:$C = $C2519, 'Fund Investment Data'!$A:$A = $A2519 - 1, 'Fund Investment Data'!$B:$B &gt;= 4, 'Fund Investment Data'!$B:$B &lt;= ($B2519 + 5))) / 12) * ($B2519 - 3) * Parameters!$B$4,"&amp;" 0) + IF($B2519 &gt;= 9, IFERROR(SUM(FILTER('Fund Investment Data'!$V:$V, 'Fund Investment Data'!$C:$C = $C2519, 'Fund Investment Data'!$A:$A = $A2519, 'Fund Investment Data'!$B:$B &lt;= 3)) * Parameters!$B$4, 0),0)))"),0.0)</f>
        <v>0</v>
      </c>
      <c r="AB2519" s="32">
        <f>IFERROR(__xludf.DUMMYFUNCTION("IFERROR(((IFERROR(SUM(FILTER('Fund Investment Data'!$V:$V, 'Fund Investment Data'!$C:$C = $C2519, 'Fund Investment Data'!$A:$A = $A2519 - 2, 'Fund Investment Data'!$B:$B &gt;= 4)) * Parameters!$B$4,0) + IFERROR(SUM(FILTER('Fund Investment Data'!$V:$V, 'Fund "&amp;"Investment Data'!$C:$C = $C2519, 'Fund Investment Data'!$A:$A = $A2519 - 1, 'Fund Investment Data'!$B:$B &lt;= 3)) * Parameters!$B$4,0))),0)"),0.0)</f>
        <v>0</v>
      </c>
      <c r="AC2519" s="32">
        <f>IFERROR(__xludf.DUMMYFUNCTION("IFERROR(FILTER($AF:$AF,$C:$C = $C2519,$A:$A = $A2519 - 1,$B:$B = 12),0)"),0.0)</f>
        <v>0</v>
      </c>
      <c r="AD2519" s="32">
        <f t="shared" si="23"/>
        <v>0</v>
      </c>
      <c r="AE2519" s="32">
        <f t="shared" si="2"/>
        <v>0</v>
      </c>
      <c r="AF2519" s="32"/>
    </row>
    <row r="2520">
      <c r="A2520" s="86"/>
      <c r="B2520" s="87"/>
      <c r="C2520" s="88"/>
      <c r="D2520" s="104"/>
      <c r="E2520" s="104"/>
      <c r="F2520" s="104"/>
      <c r="G2520" s="104"/>
      <c r="H2520" s="104"/>
      <c r="I2520" s="104"/>
      <c r="J2520" s="104"/>
      <c r="K2520" s="32"/>
      <c r="L2520" s="32"/>
      <c r="M2520" s="32"/>
      <c r="N2520" s="32"/>
      <c r="O2520" s="106"/>
      <c r="P2520" s="91">
        <f>IFERROR(__xludf.DUMMYFUNCTION("IFERROR(sum(FILTER($D:$N,$C:$C = $C2520,$A:$A &lt; $A2520,$B:$B = 12)),0) + sum($D2520:$N2520)"),0.0)</f>
        <v>0</v>
      </c>
      <c r="Q2520" s="92">
        <f t="shared" si="1"/>
        <v>0</v>
      </c>
      <c r="R2520" s="91">
        <f t="array" ref="R2520">IFERROR(INDEX('Fund YTD Target Values'!$1:$1000, MATCH($C2520,'Fund YTD Target Values'!$A:$A,0), MATCH($A2520,'Fund YTD Target Values'!$1:$1,0)),0)</f>
        <v>0</v>
      </c>
      <c r="S2520" s="91">
        <f>IFERROR(__xludf.DUMMYFUNCTION("IFERROR(sum(FILTER('Fund Investment Data'!$V:$V, 'Fund Investment Data'!$C:$C = $C2520, 'Fund Investment Data'!$A:$A &lt; $A2520)),0) + IFERROR(sum(FILTER('Fund Investment Data'!$V:$V, 'Fund Investment Data'!$C:$C = $C2520, 'Fund Investment Data'!$A:$A = $A2"&amp;"520, 'Fund Investment Data'!$B:$B &lt;= $B2520)),0)"),0.0)</f>
        <v>0</v>
      </c>
      <c r="T2520" s="32"/>
      <c r="U2520" s="32"/>
      <c r="V2520" s="32">
        <f>IFERROR(__xludf.DUMMYFUNCTION("$D2520 - IFERROR(FILTER($D:$D,$C:$C = $C2520, $A:$A = $A2520, $B:$B = $B2520 - 1),0)"),0.0)</f>
        <v>0</v>
      </c>
      <c r="W2520" s="93">
        <f>IFERROR(__xludf.DUMMYFUNCTION("$E2520 - IFERROR(FILTER($E:$E,$C:$C = $C2520, $A:$A = $A2520, $B:$B = $B2520 - 1),0)"),0.0)</f>
        <v>0</v>
      </c>
      <c r="X2520" s="91">
        <f>IFERROR(__xludf.DUMMYFUNCTION("iFERROR((FILTER('Fund Investment Data'!$Z:$Z, 'Fund Investment Data'!$C:$C = $C2520, 'Fund Investment Data'!$A:$A = $A2520 - 1, 'Fund Investment Data'!$B:$B = 12) + FILTER('Fund Investment Data'!$AB:$AB, 'Fund Investment Data'!$C:$C = $C2520, 'Fund Invest"&amp;"ment Data'!$A:$A = $A2520 - 1, 'Fund Investment Data'!$B:$B = 12)) * (1 + AVERAGE(FILTER('Inflation Data'!$C:$C,'Inflation Data'!$A:$A = ($A2520 - 2)))) * Parameters!$A$4,0)"),0.0)</f>
        <v>0</v>
      </c>
      <c r="Y2520" s="91">
        <f>IFERROR(__xludf.DUMMYFUNCTION("IFERROR((IFERROR(FILTER('Fund Investment Data'!$P:$P,'Fund Investment Data'!$C:$C = $C2520,'Fund Investment Data'!$A:$A = ($A2520 - 2), 'Fund Investment Data'!$B:$B = 12),0) - SUM(FILTER('Fund Investment Data'!$V:$V, 'Fund Investment Data'!$C:$C = $C2520,"&amp;" 'Fund Investment Data'!$A:$A = ($A2520 - 2), 'Fund Investment Data'!$B:$B &gt; 3)))  * Parameters!$B$4 * (1 - Parameters!$A$4),0)"),0.0)</f>
        <v>0</v>
      </c>
      <c r="Z2520" s="91">
        <f t="shared" si="24"/>
        <v>0</v>
      </c>
      <c r="AA2520" s="91">
        <f>IFERROR(__xludf.DUMMYFUNCTION("((IFERROR((SUM(FILTER('Fund Investment Data'!$V:$V, 'Fund Investment Data'!$C:$C = $C2520, 'Fund Investment Data'!$A:$A = $A2520 - 1, 'Fund Investment Data'!$B:$B &gt;= 4, 'Fund Investment Data'!$B:$B &lt;= ($B2520 + 5))) / 12) * ($B2520 - 3) * Parameters!$B$4,"&amp;" 0) + IF($B2520 &gt;= 9, IFERROR(SUM(FILTER('Fund Investment Data'!$V:$V, 'Fund Investment Data'!$C:$C = $C2520, 'Fund Investment Data'!$A:$A = $A2520, 'Fund Investment Data'!$B:$B &lt;= 3)) * Parameters!$B$4, 0),0)))"),0.0)</f>
        <v>0</v>
      </c>
      <c r="AB2520" s="32">
        <f>IFERROR(__xludf.DUMMYFUNCTION("IFERROR(((IFERROR(SUM(FILTER('Fund Investment Data'!$V:$V, 'Fund Investment Data'!$C:$C = $C2520, 'Fund Investment Data'!$A:$A = $A2520 - 2, 'Fund Investment Data'!$B:$B &gt;= 4)) * Parameters!$B$4,0) + IFERROR(SUM(FILTER('Fund Investment Data'!$V:$V, 'Fund "&amp;"Investment Data'!$C:$C = $C2520, 'Fund Investment Data'!$A:$A = $A2520 - 1, 'Fund Investment Data'!$B:$B &lt;= 3)) * Parameters!$B$4,0))),0)"),0.0)</f>
        <v>0</v>
      </c>
      <c r="AC2520" s="32">
        <f>IFERROR(__xludf.DUMMYFUNCTION("IFERROR(FILTER($AF:$AF,$C:$C = $C2520,$A:$A = $A2520 - 1,$B:$B = 12),0)"),0.0)</f>
        <v>0</v>
      </c>
      <c r="AD2520" s="32">
        <f t="shared" si="23"/>
        <v>0</v>
      </c>
      <c r="AE2520" s="32">
        <f t="shared" si="2"/>
        <v>0</v>
      </c>
      <c r="AF2520" s="32"/>
    </row>
    <row r="2521">
      <c r="A2521" s="86"/>
      <c r="B2521" s="87"/>
      <c r="C2521" s="88"/>
      <c r="D2521" s="104"/>
      <c r="E2521" s="104"/>
      <c r="F2521" s="104"/>
      <c r="G2521" s="104"/>
      <c r="H2521" s="104"/>
      <c r="I2521" s="104"/>
      <c r="J2521" s="104"/>
      <c r="K2521" s="32"/>
      <c r="L2521" s="32"/>
      <c r="M2521" s="32"/>
      <c r="N2521" s="32"/>
      <c r="O2521" s="106"/>
      <c r="P2521" s="91">
        <f>IFERROR(__xludf.DUMMYFUNCTION("IFERROR(sum(FILTER($D:$N,$C:$C = $C2521,$A:$A &lt; $A2521,$B:$B = 12)),0) + sum($D2521:$N2521)"),0.0)</f>
        <v>0</v>
      </c>
      <c r="Q2521" s="92">
        <f t="shared" si="1"/>
        <v>0</v>
      </c>
      <c r="R2521" s="91">
        <f t="array" ref="R2521">IFERROR(INDEX('Fund YTD Target Values'!$1:$1000, MATCH($C2521,'Fund YTD Target Values'!$A:$A,0), MATCH($A2521,'Fund YTD Target Values'!$1:$1,0)),0)</f>
        <v>0</v>
      </c>
      <c r="S2521" s="91">
        <f>IFERROR(__xludf.DUMMYFUNCTION("IFERROR(sum(FILTER('Fund Investment Data'!$V:$V, 'Fund Investment Data'!$C:$C = $C2521, 'Fund Investment Data'!$A:$A &lt; $A2521)),0) + IFERROR(sum(FILTER('Fund Investment Data'!$V:$V, 'Fund Investment Data'!$C:$C = $C2521, 'Fund Investment Data'!$A:$A = $A2"&amp;"521, 'Fund Investment Data'!$B:$B &lt;= $B2521)),0)"),0.0)</f>
        <v>0</v>
      </c>
      <c r="T2521" s="32"/>
      <c r="U2521" s="32"/>
      <c r="V2521" s="32">
        <f>IFERROR(__xludf.DUMMYFUNCTION("$D2521 - IFERROR(FILTER($D:$D,$C:$C = $C2521, $A:$A = $A2521, $B:$B = $B2521 - 1),0)"),0.0)</f>
        <v>0</v>
      </c>
      <c r="W2521" s="93">
        <f>IFERROR(__xludf.DUMMYFUNCTION("$E2521 - IFERROR(FILTER($E:$E,$C:$C = $C2521, $A:$A = $A2521, $B:$B = $B2521 - 1),0)"),0.0)</f>
        <v>0</v>
      </c>
      <c r="X2521" s="91">
        <f>IFERROR(__xludf.DUMMYFUNCTION("iFERROR((FILTER('Fund Investment Data'!$Z:$Z, 'Fund Investment Data'!$C:$C = $C2521, 'Fund Investment Data'!$A:$A = $A2521 - 1, 'Fund Investment Data'!$B:$B = 12) + FILTER('Fund Investment Data'!$AB:$AB, 'Fund Investment Data'!$C:$C = $C2521, 'Fund Invest"&amp;"ment Data'!$A:$A = $A2521 - 1, 'Fund Investment Data'!$B:$B = 12)) * (1 + AVERAGE(FILTER('Inflation Data'!$C:$C,'Inflation Data'!$A:$A = ($A2521 - 2)))) * Parameters!$A$4,0)"),0.0)</f>
        <v>0</v>
      </c>
      <c r="Y2521" s="91">
        <f>IFERROR(__xludf.DUMMYFUNCTION("IFERROR((IFERROR(FILTER('Fund Investment Data'!$P:$P,'Fund Investment Data'!$C:$C = $C2521,'Fund Investment Data'!$A:$A = ($A2521 - 2), 'Fund Investment Data'!$B:$B = 12),0) - SUM(FILTER('Fund Investment Data'!$V:$V, 'Fund Investment Data'!$C:$C = $C2521,"&amp;" 'Fund Investment Data'!$A:$A = ($A2521 - 2), 'Fund Investment Data'!$B:$B &gt; 3)))  * Parameters!$B$4 * (1 - Parameters!$A$4),0)"),0.0)</f>
        <v>0</v>
      </c>
      <c r="Z2521" s="91">
        <f t="shared" si="24"/>
        <v>0</v>
      </c>
      <c r="AA2521" s="91">
        <f>IFERROR(__xludf.DUMMYFUNCTION("((IFERROR((SUM(FILTER('Fund Investment Data'!$V:$V, 'Fund Investment Data'!$C:$C = $C2521, 'Fund Investment Data'!$A:$A = $A2521 - 1, 'Fund Investment Data'!$B:$B &gt;= 4, 'Fund Investment Data'!$B:$B &lt;= ($B2521 + 5))) / 12) * ($B2521 - 3) * Parameters!$B$4,"&amp;" 0) + IF($B2521 &gt;= 9, IFERROR(SUM(FILTER('Fund Investment Data'!$V:$V, 'Fund Investment Data'!$C:$C = $C2521, 'Fund Investment Data'!$A:$A = $A2521, 'Fund Investment Data'!$B:$B &lt;= 3)) * Parameters!$B$4, 0),0)))"),0.0)</f>
        <v>0</v>
      </c>
      <c r="AB2521" s="32">
        <f>IFERROR(__xludf.DUMMYFUNCTION("IFERROR(((IFERROR(SUM(FILTER('Fund Investment Data'!$V:$V, 'Fund Investment Data'!$C:$C = $C2521, 'Fund Investment Data'!$A:$A = $A2521 - 2, 'Fund Investment Data'!$B:$B &gt;= 4)) * Parameters!$B$4,0) + IFERROR(SUM(FILTER('Fund Investment Data'!$V:$V, 'Fund "&amp;"Investment Data'!$C:$C = $C2521, 'Fund Investment Data'!$A:$A = $A2521 - 1, 'Fund Investment Data'!$B:$B &lt;= 3)) * Parameters!$B$4,0))),0)"),0.0)</f>
        <v>0</v>
      </c>
      <c r="AC2521" s="32">
        <f>IFERROR(__xludf.DUMMYFUNCTION("IFERROR(FILTER($AF:$AF,$C:$C = $C2521,$A:$A = $A2521 - 1,$B:$B = 12),0)"),0.0)</f>
        <v>0</v>
      </c>
      <c r="AD2521" s="32">
        <f t="shared" si="23"/>
        <v>0</v>
      </c>
      <c r="AE2521" s="32">
        <f t="shared" si="2"/>
        <v>0</v>
      </c>
      <c r="AF2521" s="32"/>
    </row>
    <row r="2522">
      <c r="A2522" s="86"/>
      <c r="B2522" s="87"/>
      <c r="C2522" s="88"/>
      <c r="D2522" s="104"/>
      <c r="E2522" s="104"/>
      <c r="F2522" s="104"/>
      <c r="G2522" s="104"/>
      <c r="H2522" s="104"/>
      <c r="I2522" s="104"/>
      <c r="J2522" s="104"/>
      <c r="K2522" s="32"/>
      <c r="L2522" s="32"/>
      <c r="M2522" s="32"/>
      <c r="N2522" s="32"/>
      <c r="O2522" s="106"/>
      <c r="P2522" s="91">
        <f>IFERROR(__xludf.DUMMYFUNCTION("IFERROR(sum(FILTER($D:$N,$C:$C = $C2522,$A:$A &lt; $A2522,$B:$B = 12)),0) + sum($D2522:$N2522)"),0.0)</f>
        <v>0</v>
      </c>
      <c r="Q2522" s="92">
        <f t="shared" si="1"/>
        <v>0</v>
      </c>
      <c r="R2522" s="91">
        <f t="array" ref="R2522">IFERROR(INDEX('Fund YTD Target Values'!$1:$1000, MATCH($C2522,'Fund YTD Target Values'!$A:$A,0), MATCH($A2522,'Fund YTD Target Values'!$1:$1,0)),0)</f>
        <v>0</v>
      </c>
      <c r="S2522" s="91">
        <f>IFERROR(__xludf.DUMMYFUNCTION("IFERROR(sum(FILTER('Fund Investment Data'!$V:$V, 'Fund Investment Data'!$C:$C = $C2522, 'Fund Investment Data'!$A:$A &lt; $A2522)),0) + IFERROR(sum(FILTER('Fund Investment Data'!$V:$V, 'Fund Investment Data'!$C:$C = $C2522, 'Fund Investment Data'!$A:$A = $A2"&amp;"522, 'Fund Investment Data'!$B:$B &lt;= $B2522)),0)"),0.0)</f>
        <v>0</v>
      </c>
      <c r="T2522" s="32"/>
      <c r="U2522" s="32"/>
      <c r="V2522" s="32">
        <f>IFERROR(__xludf.DUMMYFUNCTION("$D2522 - IFERROR(FILTER($D:$D,$C:$C = $C2522, $A:$A = $A2522, $B:$B = $B2522 - 1),0)"),0.0)</f>
        <v>0</v>
      </c>
      <c r="W2522" s="93">
        <f>IFERROR(__xludf.DUMMYFUNCTION("$E2522 - IFERROR(FILTER($E:$E,$C:$C = $C2522, $A:$A = $A2522, $B:$B = $B2522 - 1),0)"),0.0)</f>
        <v>0</v>
      </c>
      <c r="X2522" s="91">
        <f>IFERROR(__xludf.DUMMYFUNCTION("iFERROR((FILTER('Fund Investment Data'!$Z:$Z, 'Fund Investment Data'!$C:$C = $C2522, 'Fund Investment Data'!$A:$A = $A2522 - 1, 'Fund Investment Data'!$B:$B = 12) + FILTER('Fund Investment Data'!$AB:$AB, 'Fund Investment Data'!$C:$C = $C2522, 'Fund Invest"&amp;"ment Data'!$A:$A = $A2522 - 1, 'Fund Investment Data'!$B:$B = 12)) * (1 + AVERAGE(FILTER('Inflation Data'!$C:$C,'Inflation Data'!$A:$A = ($A2522 - 2)))) * Parameters!$A$4,0)"),0.0)</f>
        <v>0</v>
      </c>
      <c r="Y2522" s="91">
        <f>IFERROR(__xludf.DUMMYFUNCTION("IFERROR((IFERROR(FILTER('Fund Investment Data'!$P:$P,'Fund Investment Data'!$C:$C = $C2522,'Fund Investment Data'!$A:$A = ($A2522 - 2), 'Fund Investment Data'!$B:$B = 12),0) - SUM(FILTER('Fund Investment Data'!$V:$V, 'Fund Investment Data'!$C:$C = $C2522,"&amp;" 'Fund Investment Data'!$A:$A = ($A2522 - 2), 'Fund Investment Data'!$B:$B &gt; 3)))  * Parameters!$B$4 * (1 - Parameters!$A$4),0)"),0.0)</f>
        <v>0</v>
      </c>
      <c r="Z2522" s="91">
        <f t="shared" si="24"/>
        <v>0</v>
      </c>
      <c r="AA2522" s="91">
        <f>IFERROR(__xludf.DUMMYFUNCTION("((IFERROR((SUM(FILTER('Fund Investment Data'!$V:$V, 'Fund Investment Data'!$C:$C = $C2522, 'Fund Investment Data'!$A:$A = $A2522 - 1, 'Fund Investment Data'!$B:$B &gt;= 4, 'Fund Investment Data'!$B:$B &lt;= ($B2522 + 5))) / 12) * ($B2522 - 3) * Parameters!$B$4,"&amp;" 0) + IF($B2522 &gt;= 9, IFERROR(SUM(FILTER('Fund Investment Data'!$V:$V, 'Fund Investment Data'!$C:$C = $C2522, 'Fund Investment Data'!$A:$A = $A2522, 'Fund Investment Data'!$B:$B &lt;= 3)) * Parameters!$B$4, 0),0)))"),0.0)</f>
        <v>0</v>
      </c>
      <c r="AB2522" s="32">
        <f>IFERROR(__xludf.DUMMYFUNCTION("IFERROR(((IFERROR(SUM(FILTER('Fund Investment Data'!$V:$V, 'Fund Investment Data'!$C:$C = $C2522, 'Fund Investment Data'!$A:$A = $A2522 - 2, 'Fund Investment Data'!$B:$B &gt;= 4)) * Parameters!$B$4,0) + IFERROR(SUM(FILTER('Fund Investment Data'!$V:$V, 'Fund "&amp;"Investment Data'!$C:$C = $C2522, 'Fund Investment Data'!$A:$A = $A2522 - 1, 'Fund Investment Data'!$B:$B &lt;= 3)) * Parameters!$B$4,0))),0)"),0.0)</f>
        <v>0</v>
      </c>
      <c r="AC2522" s="32">
        <f>IFERROR(__xludf.DUMMYFUNCTION("IFERROR(FILTER($AF:$AF,$C:$C = $C2522,$A:$A = $A2522 - 1,$B:$B = 12),0)"),0.0)</f>
        <v>0</v>
      </c>
      <c r="AD2522" s="32">
        <f t="shared" si="23"/>
        <v>0</v>
      </c>
      <c r="AE2522" s="32">
        <f t="shared" si="2"/>
        <v>0</v>
      </c>
      <c r="AF2522" s="32"/>
    </row>
    <row r="2523">
      <c r="A2523" s="86"/>
      <c r="B2523" s="87"/>
      <c r="C2523" s="88"/>
      <c r="D2523" s="104"/>
      <c r="E2523" s="104"/>
      <c r="F2523" s="104"/>
      <c r="G2523" s="104"/>
      <c r="H2523" s="104"/>
      <c r="I2523" s="104"/>
      <c r="J2523" s="104"/>
      <c r="K2523" s="32"/>
      <c r="L2523" s="32"/>
      <c r="M2523" s="32"/>
      <c r="N2523" s="32"/>
      <c r="O2523" s="106"/>
      <c r="P2523" s="91">
        <f>IFERROR(__xludf.DUMMYFUNCTION("IFERROR(sum(FILTER($D:$N,$C:$C = $C2523,$A:$A &lt; $A2523,$B:$B = 12)),0) + sum($D2523:$N2523)"),0.0)</f>
        <v>0</v>
      </c>
      <c r="Q2523" s="92">
        <f t="shared" si="1"/>
        <v>0</v>
      </c>
      <c r="R2523" s="91">
        <f t="array" ref="R2523">IFERROR(INDEX('Fund YTD Target Values'!$1:$1000, MATCH($C2523,'Fund YTD Target Values'!$A:$A,0), MATCH($A2523,'Fund YTD Target Values'!$1:$1,0)),0)</f>
        <v>0</v>
      </c>
      <c r="S2523" s="91">
        <f>IFERROR(__xludf.DUMMYFUNCTION("IFERROR(sum(FILTER('Fund Investment Data'!$V:$V, 'Fund Investment Data'!$C:$C = $C2523, 'Fund Investment Data'!$A:$A &lt; $A2523)),0) + IFERROR(sum(FILTER('Fund Investment Data'!$V:$V, 'Fund Investment Data'!$C:$C = $C2523, 'Fund Investment Data'!$A:$A = $A2"&amp;"523, 'Fund Investment Data'!$B:$B &lt;= $B2523)),0)"),0.0)</f>
        <v>0</v>
      </c>
      <c r="T2523" s="32"/>
      <c r="U2523" s="32"/>
      <c r="V2523" s="32">
        <f>IFERROR(__xludf.DUMMYFUNCTION("$D2523 - IFERROR(FILTER($D:$D,$C:$C = $C2523, $A:$A = $A2523, $B:$B = $B2523 - 1),0)"),0.0)</f>
        <v>0</v>
      </c>
      <c r="W2523" s="93">
        <f>IFERROR(__xludf.DUMMYFUNCTION("$E2523 - IFERROR(FILTER($E:$E,$C:$C = $C2523, $A:$A = $A2523, $B:$B = $B2523 - 1),0)"),0.0)</f>
        <v>0</v>
      </c>
      <c r="X2523" s="91">
        <f>IFERROR(__xludf.DUMMYFUNCTION("iFERROR((FILTER('Fund Investment Data'!$Z:$Z, 'Fund Investment Data'!$C:$C = $C2523, 'Fund Investment Data'!$A:$A = $A2523 - 1, 'Fund Investment Data'!$B:$B = 12) + FILTER('Fund Investment Data'!$AB:$AB, 'Fund Investment Data'!$C:$C = $C2523, 'Fund Invest"&amp;"ment Data'!$A:$A = $A2523 - 1, 'Fund Investment Data'!$B:$B = 12)) * (1 + AVERAGE(FILTER('Inflation Data'!$C:$C,'Inflation Data'!$A:$A = ($A2523 - 2)))) * Parameters!$A$4,0)"),0.0)</f>
        <v>0</v>
      </c>
      <c r="Y2523" s="91">
        <f>IFERROR(__xludf.DUMMYFUNCTION("IFERROR((IFERROR(FILTER('Fund Investment Data'!$P:$P,'Fund Investment Data'!$C:$C = $C2523,'Fund Investment Data'!$A:$A = ($A2523 - 2), 'Fund Investment Data'!$B:$B = 12),0) - SUM(FILTER('Fund Investment Data'!$V:$V, 'Fund Investment Data'!$C:$C = $C2523,"&amp;" 'Fund Investment Data'!$A:$A = ($A2523 - 2), 'Fund Investment Data'!$B:$B &gt; 3)))  * Parameters!$B$4 * (1 - Parameters!$A$4),0)"),0.0)</f>
        <v>0</v>
      </c>
      <c r="Z2523" s="91">
        <f t="shared" si="24"/>
        <v>0</v>
      </c>
      <c r="AA2523" s="91">
        <f>IFERROR(__xludf.DUMMYFUNCTION("((IFERROR((SUM(FILTER('Fund Investment Data'!$V:$V, 'Fund Investment Data'!$C:$C = $C2523, 'Fund Investment Data'!$A:$A = $A2523 - 1, 'Fund Investment Data'!$B:$B &gt;= 4, 'Fund Investment Data'!$B:$B &lt;= ($B2523 + 5))) / 12) * ($B2523 - 3) * Parameters!$B$4,"&amp;" 0) + IF($B2523 &gt;= 9, IFERROR(SUM(FILTER('Fund Investment Data'!$V:$V, 'Fund Investment Data'!$C:$C = $C2523, 'Fund Investment Data'!$A:$A = $A2523, 'Fund Investment Data'!$B:$B &lt;= 3)) * Parameters!$B$4, 0),0)))"),0.0)</f>
        <v>0</v>
      </c>
      <c r="AB2523" s="32">
        <f>IFERROR(__xludf.DUMMYFUNCTION("IFERROR(((IFERROR(SUM(FILTER('Fund Investment Data'!$V:$V, 'Fund Investment Data'!$C:$C = $C2523, 'Fund Investment Data'!$A:$A = $A2523 - 2, 'Fund Investment Data'!$B:$B &gt;= 4)) * Parameters!$B$4,0) + IFERROR(SUM(FILTER('Fund Investment Data'!$V:$V, 'Fund "&amp;"Investment Data'!$C:$C = $C2523, 'Fund Investment Data'!$A:$A = $A2523 - 1, 'Fund Investment Data'!$B:$B &lt;= 3)) * Parameters!$B$4,0))),0)"),0.0)</f>
        <v>0</v>
      </c>
      <c r="AC2523" s="32">
        <f>IFERROR(__xludf.DUMMYFUNCTION("IFERROR(FILTER($AF:$AF,$C:$C = $C2523,$A:$A = $A2523 - 1,$B:$B = 12),0)"),0.0)</f>
        <v>0</v>
      </c>
      <c r="AD2523" s="32">
        <f t="shared" si="23"/>
        <v>0</v>
      </c>
      <c r="AE2523" s="32">
        <f t="shared" si="2"/>
        <v>0</v>
      </c>
      <c r="AF2523" s="32"/>
    </row>
    <row r="2524">
      <c r="A2524" s="86"/>
      <c r="B2524" s="87"/>
      <c r="C2524" s="88"/>
      <c r="D2524" s="104"/>
      <c r="E2524" s="104"/>
      <c r="F2524" s="104"/>
      <c r="G2524" s="104"/>
      <c r="H2524" s="104"/>
      <c r="I2524" s="104"/>
      <c r="J2524" s="104"/>
      <c r="K2524" s="32"/>
      <c r="L2524" s="32"/>
      <c r="M2524" s="32"/>
      <c r="N2524" s="32"/>
      <c r="O2524" s="106"/>
      <c r="P2524" s="91">
        <f>IFERROR(__xludf.DUMMYFUNCTION("IFERROR(sum(FILTER($D:$N,$C:$C = $C2524,$A:$A &lt; $A2524,$B:$B = 12)),0) + sum($D2524:$N2524)"),0.0)</f>
        <v>0</v>
      </c>
      <c r="Q2524" s="92">
        <f t="shared" si="1"/>
        <v>0</v>
      </c>
      <c r="R2524" s="91">
        <f t="array" ref="R2524">IFERROR(INDEX('Fund YTD Target Values'!$1:$1000, MATCH($C2524,'Fund YTD Target Values'!$A:$A,0), MATCH($A2524,'Fund YTD Target Values'!$1:$1,0)),0)</f>
        <v>0</v>
      </c>
      <c r="S2524" s="91">
        <f>IFERROR(__xludf.DUMMYFUNCTION("IFERROR(sum(FILTER('Fund Investment Data'!$V:$V, 'Fund Investment Data'!$C:$C = $C2524, 'Fund Investment Data'!$A:$A &lt; $A2524)),0) + IFERROR(sum(FILTER('Fund Investment Data'!$V:$V, 'Fund Investment Data'!$C:$C = $C2524, 'Fund Investment Data'!$A:$A = $A2"&amp;"524, 'Fund Investment Data'!$B:$B &lt;= $B2524)),0)"),0.0)</f>
        <v>0</v>
      </c>
      <c r="T2524" s="32"/>
      <c r="U2524" s="32"/>
      <c r="V2524" s="32">
        <f>IFERROR(__xludf.DUMMYFUNCTION("$D2524 - IFERROR(FILTER($D:$D,$C:$C = $C2524, $A:$A = $A2524, $B:$B = $B2524 - 1),0)"),0.0)</f>
        <v>0</v>
      </c>
      <c r="W2524" s="93">
        <f>IFERROR(__xludf.DUMMYFUNCTION("$E2524 - IFERROR(FILTER($E:$E,$C:$C = $C2524, $A:$A = $A2524, $B:$B = $B2524 - 1),0)"),0.0)</f>
        <v>0</v>
      </c>
      <c r="X2524" s="91">
        <f>IFERROR(__xludf.DUMMYFUNCTION("iFERROR((FILTER('Fund Investment Data'!$Z:$Z, 'Fund Investment Data'!$C:$C = $C2524, 'Fund Investment Data'!$A:$A = $A2524 - 1, 'Fund Investment Data'!$B:$B = 12) + FILTER('Fund Investment Data'!$AB:$AB, 'Fund Investment Data'!$C:$C = $C2524, 'Fund Invest"&amp;"ment Data'!$A:$A = $A2524 - 1, 'Fund Investment Data'!$B:$B = 12)) * (1 + AVERAGE(FILTER('Inflation Data'!$C:$C,'Inflation Data'!$A:$A = ($A2524 - 2)))) * Parameters!$A$4,0)"),0.0)</f>
        <v>0</v>
      </c>
      <c r="Y2524" s="91">
        <f>IFERROR(__xludf.DUMMYFUNCTION("IFERROR((IFERROR(FILTER('Fund Investment Data'!$P:$P,'Fund Investment Data'!$C:$C = $C2524,'Fund Investment Data'!$A:$A = ($A2524 - 2), 'Fund Investment Data'!$B:$B = 12),0) - SUM(FILTER('Fund Investment Data'!$V:$V, 'Fund Investment Data'!$C:$C = $C2524,"&amp;" 'Fund Investment Data'!$A:$A = ($A2524 - 2), 'Fund Investment Data'!$B:$B &gt; 3)))  * Parameters!$B$4 * (1 - Parameters!$A$4),0)"),0.0)</f>
        <v>0</v>
      </c>
      <c r="Z2524" s="91">
        <f t="shared" si="24"/>
        <v>0</v>
      </c>
      <c r="AA2524" s="91">
        <f>IFERROR(__xludf.DUMMYFUNCTION("((IFERROR((SUM(FILTER('Fund Investment Data'!$V:$V, 'Fund Investment Data'!$C:$C = $C2524, 'Fund Investment Data'!$A:$A = $A2524 - 1, 'Fund Investment Data'!$B:$B &gt;= 4, 'Fund Investment Data'!$B:$B &lt;= ($B2524 + 5))) / 12) * ($B2524 - 3) * Parameters!$B$4,"&amp;" 0) + IF($B2524 &gt;= 9, IFERROR(SUM(FILTER('Fund Investment Data'!$V:$V, 'Fund Investment Data'!$C:$C = $C2524, 'Fund Investment Data'!$A:$A = $A2524, 'Fund Investment Data'!$B:$B &lt;= 3)) * Parameters!$B$4, 0),0)))"),0.0)</f>
        <v>0</v>
      </c>
      <c r="AB2524" s="32">
        <f>IFERROR(__xludf.DUMMYFUNCTION("IFERROR(((IFERROR(SUM(FILTER('Fund Investment Data'!$V:$V, 'Fund Investment Data'!$C:$C = $C2524, 'Fund Investment Data'!$A:$A = $A2524 - 2, 'Fund Investment Data'!$B:$B &gt;= 4)) * Parameters!$B$4,0) + IFERROR(SUM(FILTER('Fund Investment Data'!$V:$V, 'Fund "&amp;"Investment Data'!$C:$C = $C2524, 'Fund Investment Data'!$A:$A = $A2524 - 1, 'Fund Investment Data'!$B:$B &lt;= 3)) * Parameters!$B$4,0))),0)"),0.0)</f>
        <v>0</v>
      </c>
      <c r="AC2524" s="32">
        <f>IFERROR(__xludf.DUMMYFUNCTION("IFERROR(FILTER($AF:$AF,$C:$C = $C2524,$A:$A = $A2524 - 1,$B:$B = 12),0)"),0.0)</f>
        <v>0</v>
      </c>
      <c r="AD2524" s="32">
        <f t="shared" si="23"/>
        <v>0</v>
      </c>
      <c r="AE2524" s="32">
        <f t="shared" si="2"/>
        <v>0</v>
      </c>
      <c r="AF2524" s="32"/>
    </row>
    <row r="2525">
      <c r="A2525" s="86"/>
      <c r="B2525" s="87"/>
      <c r="C2525" s="88"/>
      <c r="D2525" s="104"/>
      <c r="E2525" s="104"/>
      <c r="F2525" s="104"/>
      <c r="G2525" s="104"/>
      <c r="H2525" s="104"/>
      <c r="I2525" s="104"/>
      <c r="J2525" s="104"/>
      <c r="K2525" s="32"/>
      <c r="L2525" s="32"/>
      <c r="M2525" s="32"/>
      <c r="N2525" s="32"/>
      <c r="O2525" s="106"/>
      <c r="P2525" s="91">
        <f>IFERROR(__xludf.DUMMYFUNCTION("IFERROR(sum(FILTER($D:$N,$C:$C = $C2525,$A:$A &lt; $A2525,$B:$B = 12)),0) + sum($D2525:$N2525)"),0.0)</f>
        <v>0</v>
      </c>
      <c r="Q2525" s="92">
        <f t="shared" si="1"/>
        <v>0</v>
      </c>
      <c r="R2525" s="91">
        <f t="array" ref="R2525">IFERROR(INDEX('Fund YTD Target Values'!$1:$1000, MATCH($C2525,'Fund YTD Target Values'!$A:$A,0), MATCH($A2525,'Fund YTD Target Values'!$1:$1,0)),0)</f>
        <v>0</v>
      </c>
      <c r="S2525" s="91">
        <f>IFERROR(__xludf.DUMMYFUNCTION("IFERROR(sum(FILTER('Fund Investment Data'!$V:$V, 'Fund Investment Data'!$C:$C = $C2525, 'Fund Investment Data'!$A:$A &lt; $A2525)),0) + IFERROR(sum(FILTER('Fund Investment Data'!$V:$V, 'Fund Investment Data'!$C:$C = $C2525, 'Fund Investment Data'!$A:$A = $A2"&amp;"525, 'Fund Investment Data'!$B:$B &lt;= $B2525)),0)"),0.0)</f>
        <v>0</v>
      </c>
      <c r="T2525" s="32"/>
      <c r="U2525" s="32"/>
      <c r="V2525" s="32">
        <f>IFERROR(__xludf.DUMMYFUNCTION("$D2525 - IFERROR(FILTER($D:$D,$C:$C = $C2525, $A:$A = $A2525, $B:$B = $B2525 - 1),0)"),0.0)</f>
        <v>0</v>
      </c>
      <c r="W2525" s="93">
        <f>IFERROR(__xludf.DUMMYFUNCTION("$E2525 - IFERROR(FILTER($E:$E,$C:$C = $C2525, $A:$A = $A2525, $B:$B = $B2525 - 1),0)"),0.0)</f>
        <v>0</v>
      </c>
      <c r="X2525" s="91">
        <f>IFERROR(__xludf.DUMMYFUNCTION("iFERROR((FILTER('Fund Investment Data'!$Z:$Z, 'Fund Investment Data'!$C:$C = $C2525, 'Fund Investment Data'!$A:$A = $A2525 - 1, 'Fund Investment Data'!$B:$B = 12) + FILTER('Fund Investment Data'!$AB:$AB, 'Fund Investment Data'!$C:$C = $C2525, 'Fund Invest"&amp;"ment Data'!$A:$A = $A2525 - 1, 'Fund Investment Data'!$B:$B = 12)) * (1 + AVERAGE(FILTER('Inflation Data'!$C:$C,'Inflation Data'!$A:$A = ($A2525 - 2)))) * Parameters!$A$4,0)"),0.0)</f>
        <v>0</v>
      </c>
      <c r="Y2525" s="91">
        <f>IFERROR(__xludf.DUMMYFUNCTION("IFERROR((IFERROR(FILTER('Fund Investment Data'!$P:$P,'Fund Investment Data'!$C:$C = $C2525,'Fund Investment Data'!$A:$A = ($A2525 - 2), 'Fund Investment Data'!$B:$B = 12),0) - SUM(FILTER('Fund Investment Data'!$V:$V, 'Fund Investment Data'!$C:$C = $C2525,"&amp;" 'Fund Investment Data'!$A:$A = ($A2525 - 2), 'Fund Investment Data'!$B:$B &gt; 3)))  * Parameters!$B$4 * (1 - Parameters!$A$4),0)"),0.0)</f>
        <v>0</v>
      </c>
      <c r="Z2525" s="91">
        <f t="shared" si="24"/>
        <v>0</v>
      </c>
      <c r="AA2525" s="91">
        <f>IFERROR(__xludf.DUMMYFUNCTION("((IFERROR((SUM(FILTER('Fund Investment Data'!$V:$V, 'Fund Investment Data'!$C:$C = $C2525, 'Fund Investment Data'!$A:$A = $A2525 - 1, 'Fund Investment Data'!$B:$B &gt;= 4, 'Fund Investment Data'!$B:$B &lt;= ($B2525 + 5))) / 12) * ($B2525 - 3) * Parameters!$B$4,"&amp;" 0) + IF($B2525 &gt;= 9, IFERROR(SUM(FILTER('Fund Investment Data'!$V:$V, 'Fund Investment Data'!$C:$C = $C2525, 'Fund Investment Data'!$A:$A = $A2525, 'Fund Investment Data'!$B:$B &lt;= 3)) * Parameters!$B$4, 0),0)))"),0.0)</f>
        <v>0</v>
      </c>
      <c r="AB2525" s="32">
        <f>IFERROR(__xludf.DUMMYFUNCTION("IFERROR(((IFERROR(SUM(FILTER('Fund Investment Data'!$V:$V, 'Fund Investment Data'!$C:$C = $C2525, 'Fund Investment Data'!$A:$A = $A2525 - 2, 'Fund Investment Data'!$B:$B &gt;= 4)) * Parameters!$B$4,0) + IFERROR(SUM(FILTER('Fund Investment Data'!$V:$V, 'Fund "&amp;"Investment Data'!$C:$C = $C2525, 'Fund Investment Data'!$A:$A = $A2525 - 1, 'Fund Investment Data'!$B:$B &lt;= 3)) * Parameters!$B$4,0))),0)"),0.0)</f>
        <v>0</v>
      </c>
      <c r="AC2525" s="32">
        <f>IFERROR(__xludf.DUMMYFUNCTION("IFERROR(FILTER($AF:$AF,$C:$C = $C2525,$A:$A = $A2525 - 1,$B:$B = 12),0)"),0.0)</f>
        <v>0</v>
      </c>
      <c r="AD2525" s="32">
        <f t="shared" si="23"/>
        <v>0</v>
      </c>
      <c r="AE2525" s="32">
        <f t="shared" si="2"/>
        <v>0</v>
      </c>
      <c r="AF2525" s="32"/>
    </row>
    <row r="2526">
      <c r="A2526" s="86"/>
      <c r="B2526" s="87"/>
      <c r="C2526" s="88"/>
      <c r="D2526" s="104"/>
      <c r="E2526" s="104"/>
      <c r="F2526" s="104"/>
      <c r="G2526" s="104"/>
      <c r="H2526" s="104"/>
      <c r="I2526" s="104"/>
      <c r="J2526" s="104"/>
      <c r="K2526" s="32"/>
      <c r="L2526" s="32"/>
      <c r="M2526" s="32"/>
      <c r="N2526" s="32"/>
      <c r="O2526" s="106"/>
      <c r="P2526" s="91">
        <f>IFERROR(__xludf.DUMMYFUNCTION("IFERROR(sum(FILTER($D:$N,$C:$C = $C2526,$A:$A &lt; $A2526,$B:$B = 12)),0) + sum($D2526:$N2526)"),0.0)</f>
        <v>0</v>
      </c>
      <c r="Q2526" s="92">
        <f t="shared" si="1"/>
        <v>0</v>
      </c>
      <c r="R2526" s="91">
        <f t="array" ref="R2526">IFERROR(INDEX('Fund YTD Target Values'!$1:$1000, MATCH($C2526,'Fund YTD Target Values'!$A:$A,0), MATCH($A2526,'Fund YTD Target Values'!$1:$1,0)),0)</f>
        <v>0</v>
      </c>
      <c r="S2526" s="91">
        <f>IFERROR(__xludf.DUMMYFUNCTION("IFERROR(sum(FILTER('Fund Investment Data'!$V:$V, 'Fund Investment Data'!$C:$C = $C2526, 'Fund Investment Data'!$A:$A &lt; $A2526)),0) + IFERROR(sum(FILTER('Fund Investment Data'!$V:$V, 'Fund Investment Data'!$C:$C = $C2526, 'Fund Investment Data'!$A:$A = $A2"&amp;"526, 'Fund Investment Data'!$B:$B &lt;= $B2526)),0)"),0.0)</f>
        <v>0</v>
      </c>
      <c r="T2526" s="32"/>
      <c r="U2526" s="32"/>
      <c r="V2526" s="32">
        <f>IFERROR(__xludf.DUMMYFUNCTION("$D2526 - IFERROR(FILTER($D:$D,$C:$C = $C2526, $A:$A = $A2526, $B:$B = $B2526 - 1),0)"),0.0)</f>
        <v>0</v>
      </c>
      <c r="W2526" s="93">
        <f>IFERROR(__xludf.DUMMYFUNCTION("$E2526 - IFERROR(FILTER($E:$E,$C:$C = $C2526, $A:$A = $A2526, $B:$B = $B2526 - 1),0)"),0.0)</f>
        <v>0</v>
      </c>
      <c r="X2526" s="91">
        <f>IFERROR(__xludf.DUMMYFUNCTION("iFERROR((FILTER('Fund Investment Data'!$Z:$Z, 'Fund Investment Data'!$C:$C = $C2526, 'Fund Investment Data'!$A:$A = $A2526 - 1, 'Fund Investment Data'!$B:$B = 12) + FILTER('Fund Investment Data'!$AB:$AB, 'Fund Investment Data'!$C:$C = $C2526, 'Fund Invest"&amp;"ment Data'!$A:$A = $A2526 - 1, 'Fund Investment Data'!$B:$B = 12)) * (1 + AVERAGE(FILTER('Inflation Data'!$C:$C,'Inflation Data'!$A:$A = ($A2526 - 2)))) * Parameters!$A$4,0)"),0.0)</f>
        <v>0</v>
      </c>
      <c r="Y2526" s="91">
        <f>IFERROR(__xludf.DUMMYFUNCTION("IFERROR((IFERROR(FILTER('Fund Investment Data'!$P:$P,'Fund Investment Data'!$C:$C = $C2526,'Fund Investment Data'!$A:$A = ($A2526 - 2), 'Fund Investment Data'!$B:$B = 12),0) - SUM(FILTER('Fund Investment Data'!$V:$V, 'Fund Investment Data'!$C:$C = $C2526,"&amp;" 'Fund Investment Data'!$A:$A = ($A2526 - 2), 'Fund Investment Data'!$B:$B &gt; 3)))  * Parameters!$B$4 * (1 - Parameters!$A$4),0)"),0.0)</f>
        <v>0</v>
      </c>
      <c r="Z2526" s="91">
        <f t="shared" si="24"/>
        <v>0</v>
      </c>
      <c r="AA2526" s="91">
        <f>IFERROR(__xludf.DUMMYFUNCTION("((IFERROR((SUM(FILTER('Fund Investment Data'!$V:$V, 'Fund Investment Data'!$C:$C = $C2526, 'Fund Investment Data'!$A:$A = $A2526 - 1, 'Fund Investment Data'!$B:$B &gt;= 4, 'Fund Investment Data'!$B:$B &lt;= ($B2526 + 5))) / 12) * ($B2526 - 3) * Parameters!$B$4,"&amp;" 0) + IF($B2526 &gt;= 9, IFERROR(SUM(FILTER('Fund Investment Data'!$V:$V, 'Fund Investment Data'!$C:$C = $C2526, 'Fund Investment Data'!$A:$A = $A2526, 'Fund Investment Data'!$B:$B &lt;= 3)) * Parameters!$B$4, 0),0)))"),0.0)</f>
        <v>0</v>
      </c>
      <c r="AB2526" s="32">
        <f>IFERROR(__xludf.DUMMYFUNCTION("IFERROR(((IFERROR(SUM(FILTER('Fund Investment Data'!$V:$V, 'Fund Investment Data'!$C:$C = $C2526, 'Fund Investment Data'!$A:$A = $A2526 - 2, 'Fund Investment Data'!$B:$B &gt;= 4)) * Parameters!$B$4,0) + IFERROR(SUM(FILTER('Fund Investment Data'!$V:$V, 'Fund "&amp;"Investment Data'!$C:$C = $C2526, 'Fund Investment Data'!$A:$A = $A2526 - 1, 'Fund Investment Data'!$B:$B &lt;= 3)) * Parameters!$B$4,0))),0)"),0.0)</f>
        <v>0</v>
      </c>
      <c r="AC2526" s="32">
        <f>IFERROR(__xludf.DUMMYFUNCTION("IFERROR(FILTER($AF:$AF,$C:$C = $C2526,$A:$A = $A2526 - 1,$B:$B = 12),0)"),0.0)</f>
        <v>0</v>
      </c>
      <c r="AD2526" s="32">
        <f t="shared" si="23"/>
        <v>0</v>
      </c>
      <c r="AE2526" s="32">
        <f t="shared" si="2"/>
        <v>0</v>
      </c>
      <c r="AF2526" s="32"/>
    </row>
    <row r="2527">
      <c r="A2527" s="86"/>
      <c r="B2527" s="87"/>
      <c r="C2527" s="88"/>
      <c r="D2527" s="104"/>
      <c r="E2527" s="104"/>
      <c r="F2527" s="104"/>
      <c r="G2527" s="104"/>
      <c r="H2527" s="104"/>
      <c r="I2527" s="104"/>
      <c r="J2527" s="104"/>
      <c r="K2527" s="32"/>
      <c r="L2527" s="32"/>
      <c r="M2527" s="32"/>
      <c r="N2527" s="32"/>
      <c r="O2527" s="106"/>
      <c r="P2527" s="91">
        <f>IFERROR(__xludf.DUMMYFUNCTION("IFERROR(sum(FILTER($D:$N,$C:$C = $C2527,$A:$A &lt; $A2527,$B:$B = 12)),0) + sum($D2527:$N2527)"),0.0)</f>
        <v>0</v>
      </c>
      <c r="Q2527" s="92">
        <f t="shared" si="1"/>
        <v>0</v>
      </c>
      <c r="R2527" s="91">
        <f t="array" ref="R2527">IFERROR(INDEX('Fund YTD Target Values'!$1:$1000, MATCH($C2527,'Fund YTD Target Values'!$A:$A,0), MATCH($A2527,'Fund YTD Target Values'!$1:$1,0)),0)</f>
        <v>0</v>
      </c>
      <c r="S2527" s="91">
        <f>IFERROR(__xludf.DUMMYFUNCTION("IFERROR(sum(FILTER('Fund Investment Data'!$V:$V, 'Fund Investment Data'!$C:$C = $C2527, 'Fund Investment Data'!$A:$A &lt; $A2527)),0) + IFERROR(sum(FILTER('Fund Investment Data'!$V:$V, 'Fund Investment Data'!$C:$C = $C2527, 'Fund Investment Data'!$A:$A = $A2"&amp;"527, 'Fund Investment Data'!$B:$B &lt;= $B2527)),0)"),0.0)</f>
        <v>0</v>
      </c>
      <c r="T2527" s="32"/>
      <c r="U2527" s="32"/>
      <c r="V2527" s="32">
        <f>IFERROR(__xludf.DUMMYFUNCTION("$D2527 - IFERROR(FILTER($D:$D,$C:$C = $C2527, $A:$A = $A2527, $B:$B = $B2527 - 1),0)"),0.0)</f>
        <v>0</v>
      </c>
      <c r="W2527" s="93">
        <f>IFERROR(__xludf.DUMMYFUNCTION("$E2527 - IFERROR(FILTER($E:$E,$C:$C = $C2527, $A:$A = $A2527, $B:$B = $B2527 - 1),0)"),0.0)</f>
        <v>0</v>
      </c>
      <c r="X2527" s="91">
        <f>IFERROR(__xludf.DUMMYFUNCTION("iFERROR((FILTER('Fund Investment Data'!$Z:$Z, 'Fund Investment Data'!$C:$C = $C2527, 'Fund Investment Data'!$A:$A = $A2527 - 1, 'Fund Investment Data'!$B:$B = 12) + FILTER('Fund Investment Data'!$AB:$AB, 'Fund Investment Data'!$C:$C = $C2527, 'Fund Invest"&amp;"ment Data'!$A:$A = $A2527 - 1, 'Fund Investment Data'!$B:$B = 12)) * (1 + AVERAGE(FILTER('Inflation Data'!$C:$C,'Inflation Data'!$A:$A = ($A2527 - 2)))) * Parameters!$A$4,0)"),0.0)</f>
        <v>0</v>
      </c>
      <c r="Y2527" s="91">
        <f>IFERROR(__xludf.DUMMYFUNCTION("IFERROR((IFERROR(FILTER('Fund Investment Data'!$P:$P,'Fund Investment Data'!$C:$C = $C2527,'Fund Investment Data'!$A:$A = ($A2527 - 2), 'Fund Investment Data'!$B:$B = 12),0) - SUM(FILTER('Fund Investment Data'!$V:$V, 'Fund Investment Data'!$C:$C = $C2527,"&amp;" 'Fund Investment Data'!$A:$A = ($A2527 - 2), 'Fund Investment Data'!$B:$B &gt; 3)))  * Parameters!$B$4 * (1 - Parameters!$A$4),0)"),0.0)</f>
        <v>0</v>
      </c>
      <c r="Z2527" s="91">
        <f t="shared" si="24"/>
        <v>0</v>
      </c>
      <c r="AA2527" s="91">
        <f>IFERROR(__xludf.DUMMYFUNCTION("((IFERROR((SUM(FILTER('Fund Investment Data'!$V:$V, 'Fund Investment Data'!$C:$C = $C2527, 'Fund Investment Data'!$A:$A = $A2527 - 1, 'Fund Investment Data'!$B:$B &gt;= 4, 'Fund Investment Data'!$B:$B &lt;= ($B2527 + 5))) / 12) * ($B2527 - 3) * Parameters!$B$4,"&amp;" 0) + IF($B2527 &gt;= 9, IFERROR(SUM(FILTER('Fund Investment Data'!$V:$V, 'Fund Investment Data'!$C:$C = $C2527, 'Fund Investment Data'!$A:$A = $A2527, 'Fund Investment Data'!$B:$B &lt;= 3)) * Parameters!$B$4, 0),0)))"),0.0)</f>
        <v>0</v>
      </c>
      <c r="AB2527" s="32">
        <f>IFERROR(__xludf.DUMMYFUNCTION("IFERROR(((IFERROR(SUM(FILTER('Fund Investment Data'!$V:$V, 'Fund Investment Data'!$C:$C = $C2527, 'Fund Investment Data'!$A:$A = $A2527 - 2, 'Fund Investment Data'!$B:$B &gt;= 4)) * Parameters!$B$4,0) + IFERROR(SUM(FILTER('Fund Investment Data'!$V:$V, 'Fund "&amp;"Investment Data'!$C:$C = $C2527, 'Fund Investment Data'!$A:$A = $A2527 - 1, 'Fund Investment Data'!$B:$B &lt;= 3)) * Parameters!$B$4,0))),0)"),0.0)</f>
        <v>0</v>
      </c>
      <c r="AC2527" s="32">
        <f>IFERROR(__xludf.DUMMYFUNCTION("IFERROR(FILTER($AF:$AF,$C:$C = $C2527,$A:$A = $A2527 - 1,$B:$B = 12),0)"),0.0)</f>
        <v>0</v>
      </c>
      <c r="AD2527" s="32">
        <f t="shared" si="23"/>
        <v>0</v>
      </c>
      <c r="AE2527" s="32">
        <f t="shared" si="2"/>
        <v>0</v>
      </c>
      <c r="AF2527" s="32"/>
    </row>
    <row r="2528">
      <c r="A2528" s="86"/>
      <c r="B2528" s="87"/>
      <c r="C2528" s="88"/>
      <c r="D2528" s="104"/>
      <c r="E2528" s="104"/>
      <c r="F2528" s="104"/>
      <c r="G2528" s="104"/>
      <c r="H2528" s="104"/>
      <c r="I2528" s="104"/>
      <c r="J2528" s="104"/>
      <c r="K2528" s="32"/>
      <c r="L2528" s="32"/>
      <c r="M2528" s="32"/>
      <c r="N2528" s="32"/>
      <c r="O2528" s="106"/>
      <c r="P2528" s="91">
        <f>IFERROR(__xludf.DUMMYFUNCTION("IFERROR(sum(FILTER($D:$N,$C:$C = $C2528,$A:$A &lt; $A2528,$B:$B = 12)),0) + sum($D2528:$N2528)"),0.0)</f>
        <v>0</v>
      </c>
      <c r="Q2528" s="92">
        <f t="shared" si="1"/>
        <v>0</v>
      </c>
      <c r="R2528" s="91">
        <f t="array" ref="R2528">IFERROR(INDEX('Fund YTD Target Values'!$1:$1000, MATCH($C2528,'Fund YTD Target Values'!$A:$A,0), MATCH($A2528,'Fund YTD Target Values'!$1:$1,0)),0)</f>
        <v>0</v>
      </c>
      <c r="S2528" s="91">
        <f>IFERROR(__xludf.DUMMYFUNCTION("IFERROR(sum(FILTER('Fund Investment Data'!$V:$V, 'Fund Investment Data'!$C:$C = $C2528, 'Fund Investment Data'!$A:$A &lt; $A2528)),0) + IFERROR(sum(FILTER('Fund Investment Data'!$V:$V, 'Fund Investment Data'!$C:$C = $C2528, 'Fund Investment Data'!$A:$A = $A2"&amp;"528, 'Fund Investment Data'!$B:$B &lt;= $B2528)),0)"),0.0)</f>
        <v>0</v>
      </c>
      <c r="T2528" s="32"/>
      <c r="U2528" s="32"/>
      <c r="V2528" s="32">
        <f>IFERROR(__xludf.DUMMYFUNCTION("$D2528 - IFERROR(FILTER($D:$D,$C:$C = $C2528, $A:$A = $A2528, $B:$B = $B2528 - 1),0)"),0.0)</f>
        <v>0</v>
      </c>
      <c r="W2528" s="93">
        <f>IFERROR(__xludf.DUMMYFUNCTION("$E2528 - IFERROR(FILTER($E:$E,$C:$C = $C2528, $A:$A = $A2528, $B:$B = $B2528 - 1),0)"),0.0)</f>
        <v>0</v>
      </c>
      <c r="X2528" s="91">
        <f>IFERROR(__xludf.DUMMYFUNCTION("iFERROR((FILTER('Fund Investment Data'!$Z:$Z, 'Fund Investment Data'!$C:$C = $C2528, 'Fund Investment Data'!$A:$A = $A2528 - 1, 'Fund Investment Data'!$B:$B = 12) + FILTER('Fund Investment Data'!$AB:$AB, 'Fund Investment Data'!$C:$C = $C2528, 'Fund Invest"&amp;"ment Data'!$A:$A = $A2528 - 1, 'Fund Investment Data'!$B:$B = 12)) * (1 + AVERAGE(FILTER('Inflation Data'!$C:$C,'Inflation Data'!$A:$A = ($A2528 - 2)))) * Parameters!$A$4,0)"),0.0)</f>
        <v>0</v>
      </c>
      <c r="Y2528" s="91">
        <f>IFERROR(__xludf.DUMMYFUNCTION("IFERROR((IFERROR(FILTER('Fund Investment Data'!$P:$P,'Fund Investment Data'!$C:$C = $C2528,'Fund Investment Data'!$A:$A = ($A2528 - 2), 'Fund Investment Data'!$B:$B = 12),0) - SUM(FILTER('Fund Investment Data'!$V:$V, 'Fund Investment Data'!$C:$C = $C2528,"&amp;" 'Fund Investment Data'!$A:$A = ($A2528 - 2), 'Fund Investment Data'!$B:$B &gt; 3)))  * Parameters!$B$4 * (1 - Parameters!$A$4),0)"),0.0)</f>
        <v>0</v>
      </c>
      <c r="Z2528" s="91">
        <f t="shared" si="24"/>
        <v>0</v>
      </c>
      <c r="AA2528" s="91">
        <f>IFERROR(__xludf.DUMMYFUNCTION("((IFERROR((SUM(FILTER('Fund Investment Data'!$V:$V, 'Fund Investment Data'!$C:$C = $C2528, 'Fund Investment Data'!$A:$A = $A2528 - 1, 'Fund Investment Data'!$B:$B &gt;= 4, 'Fund Investment Data'!$B:$B &lt;= ($B2528 + 5))) / 12) * ($B2528 - 3) * Parameters!$B$4,"&amp;" 0) + IF($B2528 &gt;= 9, IFERROR(SUM(FILTER('Fund Investment Data'!$V:$V, 'Fund Investment Data'!$C:$C = $C2528, 'Fund Investment Data'!$A:$A = $A2528, 'Fund Investment Data'!$B:$B &lt;= 3)) * Parameters!$B$4, 0),0)))"),0.0)</f>
        <v>0</v>
      </c>
      <c r="AB2528" s="32">
        <f>IFERROR(__xludf.DUMMYFUNCTION("IFERROR(((IFERROR(SUM(FILTER('Fund Investment Data'!$V:$V, 'Fund Investment Data'!$C:$C = $C2528, 'Fund Investment Data'!$A:$A = $A2528 - 2, 'Fund Investment Data'!$B:$B &gt;= 4)) * Parameters!$B$4,0) + IFERROR(SUM(FILTER('Fund Investment Data'!$V:$V, 'Fund "&amp;"Investment Data'!$C:$C = $C2528, 'Fund Investment Data'!$A:$A = $A2528 - 1, 'Fund Investment Data'!$B:$B &lt;= 3)) * Parameters!$B$4,0))),0)"),0.0)</f>
        <v>0</v>
      </c>
      <c r="AC2528" s="32">
        <f>IFERROR(__xludf.DUMMYFUNCTION("IFERROR(FILTER($AF:$AF,$C:$C = $C2528,$A:$A = $A2528 - 1,$B:$B = 12),0)"),0.0)</f>
        <v>0</v>
      </c>
      <c r="AD2528" s="32">
        <f t="shared" si="23"/>
        <v>0</v>
      </c>
      <c r="AE2528" s="32">
        <f t="shared" si="2"/>
        <v>0</v>
      </c>
      <c r="AF2528" s="32"/>
    </row>
    <row r="2529">
      <c r="A2529" s="86"/>
      <c r="B2529" s="87"/>
      <c r="C2529" s="88"/>
      <c r="D2529" s="104"/>
      <c r="E2529" s="104"/>
      <c r="F2529" s="104"/>
      <c r="G2529" s="104"/>
      <c r="H2529" s="104"/>
      <c r="I2529" s="104"/>
      <c r="J2529" s="104"/>
      <c r="K2529" s="32"/>
      <c r="L2529" s="32"/>
      <c r="M2529" s="32"/>
      <c r="N2529" s="32"/>
      <c r="O2529" s="106"/>
      <c r="P2529" s="91">
        <f>IFERROR(__xludf.DUMMYFUNCTION("IFERROR(sum(FILTER($D:$N,$C:$C = $C2529,$A:$A &lt; $A2529,$B:$B = 12)),0) + sum($D2529:$N2529)"),0.0)</f>
        <v>0</v>
      </c>
      <c r="Q2529" s="92">
        <f t="shared" si="1"/>
        <v>0</v>
      </c>
      <c r="R2529" s="91">
        <f t="array" ref="R2529">IFERROR(INDEX('Fund YTD Target Values'!$1:$1000, MATCH($C2529,'Fund YTD Target Values'!$A:$A,0), MATCH($A2529,'Fund YTD Target Values'!$1:$1,0)),0)</f>
        <v>0</v>
      </c>
      <c r="S2529" s="91">
        <f>IFERROR(__xludf.DUMMYFUNCTION("IFERROR(sum(FILTER('Fund Investment Data'!$V:$V, 'Fund Investment Data'!$C:$C = $C2529, 'Fund Investment Data'!$A:$A &lt; $A2529)),0) + IFERROR(sum(FILTER('Fund Investment Data'!$V:$V, 'Fund Investment Data'!$C:$C = $C2529, 'Fund Investment Data'!$A:$A = $A2"&amp;"529, 'Fund Investment Data'!$B:$B &lt;= $B2529)),0)"),0.0)</f>
        <v>0</v>
      </c>
      <c r="T2529" s="32"/>
      <c r="U2529" s="32"/>
      <c r="V2529" s="32">
        <f>IFERROR(__xludf.DUMMYFUNCTION("$D2529 - IFERROR(FILTER($D:$D,$C:$C = $C2529, $A:$A = $A2529, $B:$B = $B2529 - 1),0)"),0.0)</f>
        <v>0</v>
      </c>
      <c r="W2529" s="93">
        <f>IFERROR(__xludf.DUMMYFUNCTION("$E2529 - IFERROR(FILTER($E:$E,$C:$C = $C2529, $A:$A = $A2529, $B:$B = $B2529 - 1),0)"),0.0)</f>
        <v>0</v>
      </c>
      <c r="X2529" s="91">
        <f>IFERROR(__xludf.DUMMYFUNCTION("iFERROR((FILTER('Fund Investment Data'!$Z:$Z, 'Fund Investment Data'!$C:$C = $C2529, 'Fund Investment Data'!$A:$A = $A2529 - 1, 'Fund Investment Data'!$B:$B = 12) + FILTER('Fund Investment Data'!$AB:$AB, 'Fund Investment Data'!$C:$C = $C2529, 'Fund Invest"&amp;"ment Data'!$A:$A = $A2529 - 1, 'Fund Investment Data'!$B:$B = 12)) * (1 + AVERAGE(FILTER('Inflation Data'!$C:$C,'Inflation Data'!$A:$A = ($A2529 - 2)))) * Parameters!$A$4,0)"),0.0)</f>
        <v>0</v>
      </c>
      <c r="Y2529" s="91">
        <f>IFERROR(__xludf.DUMMYFUNCTION("IFERROR((IFERROR(FILTER('Fund Investment Data'!$P:$P,'Fund Investment Data'!$C:$C = $C2529,'Fund Investment Data'!$A:$A = ($A2529 - 2), 'Fund Investment Data'!$B:$B = 12),0) - SUM(FILTER('Fund Investment Data'!$V:$V, 'Fund Investment Data'!$C:$C = $C2529,"&amp;" 'Fund Investment Data'!$A:$A = ($A2529 - 2), 'Fund Investment Data'!$B:$B &gt; 3)))  * Parameters!$B$4 * (1 - Parameters!$A$4),0)"),0.0)</f>
        <v>0</v>
      </c>
      <c r="Z2529" s="91">
        <f t="shared" si="24"/>
        <v>0</v>
      </c>
      <c r="AA2529" s="91">
        <f>IFERROR(__xludf.DUMMYFUNCTION("((IFERROR((SUM(FILTER('Fund Investment Data'!$V:$V, 'Fund Investment Data'!$C:$C = $C2529, 'Fund Investment Data'!$A:$A = $A2529 - 1, 'Fund Investment Data'!$B:$B &gt;= 4, 'Fund Investment Data'!$B:$B &lt;= ($B2529 + 5))) / 12) * ($B2529 - 3) * Parameters!$B$4,"&amp;" 0) + IF($B2529 &gt;= 9, IFERROR(SUM(FILTER('Fund Investment Data'!$V:$V, 'Fund Investment Data'!$C:$C = $C2529, 'Fund Investment Data'!$A:$A = $A2529, 'Fund Investment Data'!$B:$B &lt;= 3)) * Parameters!$B$4, 0),0)))"),0.0)</f>
        <v>0</v>
      </c>
      <c r="AB2529" s="32">
        <f>IFERROR(__xludf.DUMMYFUNCTION("IFERROR(((IFERROR(SUM(FILTER('Fund Investment Data'!$V:$V, 'Fund Investment Data'!$C:$C = $C2529, 'Fund Investment Data'!$A:$A = $A2529 - 2, 'Fund Investment Data'!$B:$B &gt;= 4)) * Parameters!$B$4,0) + IFERROR(SUM(FILTER('Fund Investment Data'!$V:$V, 'Fund "&amp;"Investment Data'!$C:$C = $C2529, 'Fund Investment Data'!$A:$A = $A2529 - 1, 'Fund Investment Data'!$B:$B &lt;= 3)) * Parameters!$B$4,0))),0)"),0.0)</f>
        <v>0</v>
      </c>
      <c r="AC2529" s="32">
        <f>IFERROR(__xludf.DUMMYFUNCTION("IFERROR(FILTER($AF:$AF,$C:$C = $C2529,$A:$A = $A2529 - 1,$B:$B = 12),0)"),0.0)</f>
        <v>0</v>
      </c>
      <c r="AD2529" s="32">
        <f t="shared" si="23"/>
        <v>0</v>
      </c>
      <c r="AE2529" s="32">
        <f t="shared" si="2"/>
        <v>0</v>
      </c>
      <c r="AF2529" s="32"/>
    </row>
    <row r="2530">
      <c r="A2530" s="86"/>
      <c r="B2530" s="87"/>
      <c r="C2530" s="88"/>
      <c r="D2530" s="104"/>
      <c r="E2530" s="104"/>
      <c r="F2530" s="104"/>
      <c r="G2530" s="104"/>
      <c r="H2530" s="104"/>
      <c r="I2530" s="104"/>
      <c r="J2530" s="104"/>
      <c r="K2530" s="32"/>
      <c r="L2530" s="32"/>
      <c r="M2530" s="32"/>
      <c r="N2530" s="32"/>
      <c r="O2530" s="106"/>
      <c r="P2530" s="91">
        <f>IFERROR(__xludf.DUMMYFUNCTION("IFERROR(sum(FILTER($D:$N,$C:$C = $C2530,$A:$A &lt; $A2530,$B:$B = 12)),0) + sum($D2530:$N2530)"),0.0)</f>
        <v>0</v>
      </c>
      <c r="Q2530" s="92">
        <f t="shared" si="1"/>
        <v>0</v>
      </c>
      <c r="R2530" s="91">
        <f t="array" ref="R2530">IFERROR(INDEX('Fund YTD Target Values'!$1:$1000, MATCH($C2530,'Fund YTD Target Values'!$A:$A,0), MATCH($A2530,'Fund YTD Target Values'!$1:$1,0)),0)</f>
        <v>0</v>
      </c>
      <c r="S2530" s="91">
        <f>IFERROR(__xludf.DUMMYFUNCTION("IFERROR(sum(FILTER('Fund Investment Data'!$V:$V, 'Fund Investment Data'!$C:$C = $C2530, 'Fund Investment Data'!$A:$A &lt; $A2530)),0) + IFERROR(sum(FILTER('Fund Investment Data'!$V:$V, 'Fund Investment Data'!$C:$C = $C2530, 'Fund Investment Data'!$A:$A = $A2"&amp;"530, 'Fund Investment Data'!$B:$B &lt;= $B2530)),0)"),0.0)</f>
        <v>0</v>
      </c>
      <c r="T2530" s="32"/>
      <c r="U2530" s="32"/>
      <c r="V2530" s="32">
        <f>IFERROR(__xludf.DUMMYFUNCTION("$D2530 - IFERROR(FILTER($D:$D,$C:$C = $C2530, $A:$A = $A2530, $B:$B = $B2530 - 1),0)"),0.0)</f>
        <v>0</v>
      </c>
      <c r="W2530" s="93">
        <f>IFERROR(__xludf.DUMMYFUNCTION("$E2530 - IFERROR(FILTER($E:$E,$C:$C = $C2530, $A:$A = $A2530, $B:$B = $B2530 - 1),0)"),0.0)</f>
        <v>0</v>
      </c>
      <c r="X2530" s="91">
        <f>IFERROR(__xludf.DUMMYFUNCTION("iFERROR((FILTER('Fund Investment Data'!$Z:$Z, 'Fund Investment Data'!$C:$C = $C2530, 'Fund Investment Data'!$A:$A = $A2530 - 1, 'Fund Investment Data'!$B:$B = 12) + FILTER('Fund Investment Data'!$AB:$AB, 'Fund Investment Data'!$C:$C = $C2530, 'Fund Invest"&amp;"ment Data'!$A:$A = $A2530 - 1, 'Fund Investment Data'!$B:$B = 12)) * (1 + AVERAGE(FILTER('Inflation Data'!$C:$C,'Inflation Data'!$A:$A = ($A2530 - 2)))) * Parameters!$A$4,0)"),0.0)</f>
        <v>0</v>
      </c>
      <c r="Y2530" s="91">
        <f>IFERROR(__xludf.DUMMYFUNCTION("IFERROR((IFERROR(FILTER('Fund Investment Data'!$P:$P,'Fund Investment Data'!$C:$C = $C2530,'Fund Investment Data'!$A:$A = ($A2530 - 2), 'Fund Investment Data'!$B:$B = 12),0) - SUM(FILTER('Fund Investment Data'!$V:$V, 'Fund Investment Data'!$C:$C = $C2530,"&amp;" 'Fund Investment Data'!$A:$A = ($A2530 - 2), 'Fund Investment Data'!$B:$B &gt; 3)))  * Parameters!$B$4 * (1 - Parameters!$A$4),0)"),0.0)</f>
        <v>0</v>
      </c>
      <c r="Z2530" s="91">
        <f t="shared" si="24"/>
        <v>0</v>
      </c>
      <c r="AA2530" s="91">
        <f>IFERROR(__xludf.DUMMYFUNCTION("((IFERROR((SUM(FILTER('Fund Investment Data'!$V:$V, 'Fund Investment Data'!$C:$C = $C2530, 'Fund Investment Data'!$A:$A = $A2530 - 1, 'Fund Investment Data'!$B:$B &gt;= 4, 'Fund Investment Data'!$B:$B &lt;= ($B2530 + 5))) / 12) * ($B2530 - 3) * Parameters!$B$4,"&amp;" 0) + IF($B2530 &gt;= 9, IFERROR(SUM(FILTER('Fund Investment Data'!$V:$V, 'Fund Investment Data'!$C:$C = $C2530, 'Fund Investment Data'!$A:$A = $A2530, 'Fund Investment Data'!$B:$B &lt;= 3)) * Parameters!$B$4, 0),0)))"),0.0)</f>
        <v>0</v>
      </c>
      <c r="AB2530" s="32">
        <f>IFERROR(__xludf.DUMMYFUNCTION("IFERROR(((IFERROR(SUM(FILTER('Fund Investment Data'!$V:$V, 'Fund Investment Data'!$C:$C = $C2530, 'Fund Investment Data'!$A:$A = $A2530 - 2, 'Fund Investment Data'!$B:$B &gt;= 4)) * Parameters!$B$4,0) + IFERROR(SUM(FILTER('Fund Investment Data'!$V:$V, 'Fund "&amp;"Investment Data'!$C:$C = $C2530, 'Fund Investment Data'!$A:$A = $A2530 - 1, 'Fund Investment Data'!$B:$B &lt;= 3)) * Parameters!$B$4,0))),0)"),0.0)</f>
        <v>0</v>
      </c>
      <c r="AC2530" s="32">
        <f>IFERROR(__xludf.DUMMYFUNCTION("IFERROR(FILTER($AF:$AF,$C:$C = $C2530,$A:$A = $A2530 - 1,$B:$B = 12),0)"),0.0)</f>
        <v>0</v>
      </c>
      <c r="AD2530" s="32">
        <f t="shared" si="23"/>
        <v>0</v>
      </c>
      <c r="AE2530" s="32">
        <f t="shared" si="2"/>
        <v>0</v>
      </c>
      <c r="AF2530" s="32"/>
    </row>
    <row r="2531">
      <c r="A2531" s="86"/>
      <c r="B2531" s="87"/>
      <c r="C2531" s="88"/>
      <c r="D2531" s="104"/>
      <c r="E2531" s="104"/>
      <c r="F2531" s="104"/>
      <c r="G2531" s="104"/>
      <c r="H2531" s="104"/>
      <c r="I2531" s="104"/>
      <c r="J2531" s="104"/>
      <c r="K2531" s="32"/>
      <c r="L2531" s="32"/>
      <c r="M2531" s="32"/>
      <c r="N2531" s="32"/>
      <c r="O2531" s="106"/>
      <c r="P2531" s="91">
        <f>IFERROR(__xludf.DUMMYFUNCTION("IFERROR(sum(FILTER($D:$N,$C:$C = $C2531,$A:$A &lt; $A2531,$B:$B = 12)),0) + sum($D2531:$N2531)"),0.0)</f>
        <v>0</v>
      </c>
      <c r="Q2531" s="92">
        <f t="shared" si="1"/>
        <v>0</v>
      </c>
      <c r="R2531" s="91">
        <f t="array" ref="R2531">IFERROR(INDEX('Fund YTD Target Values'!$1:$1000, MATCH($C2531,'Fund YTD Target Values'!$A:$A,0), MATCH($A2531,'Fund YTD Target Values'!$1:$1,0)),0)</f>
        <v>0</v>
      </c>
      <c r="S2531" s="91">
        <f>IFERROR(__xludf.DUMMYFUNCTION("IFERROR(sum(FILTER('Fund Investment Data'!$V:$V, 'Fund Investment Data'!$C:$C = $C2531, 'Fund Investment Data'!$A:$A &lt; $A2531)),0) + IFERROR(sum(FILTER('Fund Investment Data'!$V:$V, 'Fund Investment Data'!$C:$C = $C2531, 'Fund Investment Data'!$A:$A = $A2"&amp;"531, 'Fund Investment Data'!$B:$B &lt;= $B2531)),0)"),0.0)</f>
        <v>0</v>
      </c>
      <c r="T2531" s="32"/>
      <c r="U2531" s="32"/>
      <c r="V2531" s="32">
        <f>IFERROR(__xludf.DUMMYFUNCTION("$D2531 - IFERROR(FILTER($D:$D,$C:$C = $C2531, $A:$A = $A2531, $B:$B = $B2531 - 1),0)"),0.0)</f>
        <v>0</v>
      </c>
      <c r="W2531" s="93">
        <f>IFERROR(__xludf.DUMMYFUNCTION("$E2531 - IFERROR(FILTER($E:$E,$C:$C = $C2531, $A:$A = $A2531, $B:$B = $B2531 - 1),0)"),0.0)</f>
        <v>0</v>
      </c>
      <c r="X2531" s="91">
        <f>IFERROR(__xludf.DUMMYFUNCTION("iFERROR((FILTER('Fund Investment Data'!$Z:$Z, 'Fund Investment Data'!$C:$C = $C2531, 'Fund Investment Data'!$A:$A = $A2531 - 1, 'Fund Investment Data'!$B:$B = 12) + FILTER('Fund Investment Data'!$AB:$AB, 'Fund Investment Data'!$C:$C = $C2531, 'Fund Invest"&amp;"ment Data'!$A:$A = $A2531 - 1, 'Fund Investment Data'!$B:$B = 12)) * (1 + AVERAGE(FILTER('Inflation Data'!$C:$C,'Inflation Data'!$A:$A = ($A2531 - 2)))) * Parameters!$A$4,0)"),0.0)</f>
        <v>0</v>
      </c>
      <c r="Y2531" s="91">
        <f>IFERROR(__xludf.DUMMYFUNCTION("IFERROR((IFERROR(FILTER('Fund Investment Data'!$P:$P,'Fund Investment Data'!$C:$C = $C2531,'Fund Investment Data'!$A:$A = ($A2531 - 2), 'Fund Investment Data'!$B:$B = 12),0) - SUM(FILTER('Fund Investment Data'!$V:$V, 'Fund Investment Data'!$C:$C = $C2531,"&amp;" 'Fund Investment Data'!$A:$A = ($A2531 - 2), 'Fund Investment Data'!$B:$B &gt; 3)))  * Parameters!$B$4 * (1 - Parameters!$A$4),0)"),0.0)</f>
        <v>0</v>
      </c>
      <c r="Z2531" s="91">
        <f t="shared" si="24"/>
        <v>0</v>
      </c>
      <c r="AA2531" s="91">
        <f>IFERROR(__xludf.DUMMYFUNCTION("((IFERROR((SUM(FILTER('Fund Investment Data'!$V:$V, 'Fund Investment Data'!$C:$C = $C2531, 'Fund Investment Data'!$A:$A = $A2531 - 1, 'Fund Investment Data'!$B:$B &gt;= 4, 'Fund Investment Data'!$B:$B &lt;= ($B2531 + 5))) / 12) * ($B2531 - 3) * Parameters!$B$4,"&amp;" 0) + IF($B2531 &gt;= 9, IFERROR(SUM(FILTER('Fund Investment Data'!$V:$V, 'Fund Investment Data'!$C:$C = $C2531, 'Fund Investment Data'!$A:$A = $A2531, 'Fund Investment Data'!$B:$B &lt;= 3)) * Parameters!$B$4, 0),0)))"),0.0)</f>
        <v>0</v>
      </c>
      <c r="AB2531" s="32">
        <f>IFERROR(__xludf.DUMMYFUNCTION("IFERROR(((IFERROR(SUM(FILTER('Fund Investment Data'!$V:$V, 'Fund Investment Data'!$C:$C = $C2531, 'Fund Investment Data'!$A:$A = $A2531 - 2, 'Fund Investment Data'!$B:$B &gt;= 4)) * Parameters!$B$4,0) + IFERROR(SUM(FILTER('Fund Investment Data'!$V:$V, 'Fund "&amp;"Investment Data'!$C:$C = $C2531, 'Fund Investment Data'!$A:$A = $A2531 - 1, 'Fund Investment Data'!$B:$B &lt;= 3)) * Parameters!$B$4,0))),0)"),0.0)</f>
        <v>0</v>
      </c>
      <c r="AC2531" s="32">
        <f>IFERROR(__xludf.DUMMYFUNCTION("IFERROR(FILTER($AF:$AF,$C:$C = $C2531,$A:$A = $A2531 - 1,$B:$B = 12),0)"),0.0)</f>
        <v>0</v>
      </c>
      <c r="AD2531" s="32">
        <f t="shared" si="23"/>
        <v>0</v>
      </c>
      <c r="AE2531" s="32">
        <f t="shared" si="2"/>
        <v>0</v>
      </c>
      <c r="AF2531" s="32"/>
    </row>
    <row r="2532">
      <c r="A2532" s="86"/>
      <c r="B2532" s="87"/>
      <c r="C2532" s="88"/>
      <c r="D2532" s="104"/>
      <c r="E2532" s="104"/>
      <c r="F2532" s="104"/>
      <c r="G2532" s="104"/>
      <c r="H2532" s="104"/>
      <c r="I2532" s="104"/>
      <c r="J2532" s="104"/>
      <c r="K2532" s="32"/>
      <c r="L2532" s="32"/>
      <c r="M2532" s="32"/>
      <c r="N2532" s="32"/>
      <c r="O2532" s="106"/>
      <c r="P2532" s="91">
        <f>IFERROR(__xludf.DUMMYFUNCTION("IFERROR(sum(FILTER($D:$N,$C:$C = $C2532,$A:$A &lt; $A2532,$B:$B = 12)),0) + sum($D2532:$N2532)"),0.0)</f>
        <v>0</v>
      </c>
      <c r="Q2532" s="92">
        <f t="shared" si="1"/>
        <v>0</v>
      </c>
      <c r="R2532" s="91">
        <f t="array" ref="R2532">IFERROR(INDEX('Fund YTD Target Values'!$1:$1000, MATCH($C2532,'Fund YTD Target Values'!$A:$A,0), MATCH($A2532,'Fund YTD Target Values'!$1:$1,0)),0)</f>
        <v>0</v>
      </c>
      <c r="S2532" s="91">
        <f>IFERROR(__xludf.DUMMYFUNCTION("IFERROR(sum(FILTER('Fund Investment Data'!$V:$V, 'Fund Investment Data'!$C:$C = $C2532, 'Fund Investment Data'!$A:$A &lt; $A2532)),0) + IFERROR(sum(FILTER('Fund Investment Data'!$V:$V, 'Fund Investment Data'!$C:$C = $C2532, 'Fund Investment Data'!$A:$A = $A2"&amp;"532, 'Fund Investment Data'!$B:$B &lt;= $B2532)),0)"),0.0)</f>
        <v>0</v>
      </c>
      <c r="T2532" s="32"/>
      <c r="U2532" s="32"/>
      <c r="V2532" s="32">
        <f>IFERROR(__xludf.DUMMYFUNCTION("$D2532 - IFERROR(FILTER($D:$D,$C:$C = $C2532, $A:$A = $A2532, $B:$B = $B2532 - 1),0)"),0.0)</f>
        <v>0</v>
      </c>
      <c r="W2532" s="93">
        <f>IFERROR(__xludf.DUMMYFUNCTION("$E2532 - IFERROR(FILTER($E:$E,$C:$C = $C2532, $A:$A = $A2532, $B:$B = $B2532 - 1),0)"),0.0)</f>
        <v>0</v>
      </c>
      <c r="X2532" s="91">
        <f>IFERROR(__xludf.DUMMYFUNCTION("iFERROR((FILTER('Fund Investment Data'!$Z:$Z, 'Fund Investment Data'!$C:$C = $C2532, 'Fund Investment Data'!$A:$A = $A2532 - 1, 'Fund Investment Data'!$B:$B = 12) + FILTER('Fund Investment Data'!$AB:$AB, 'Fund Investment Data'!$C:$C = $C2532, 'Fund Invest"&amp;"ment Data'!$A:$A = $A2532 - 1, 'Fund Investment Data'!$B:$B = 12)) * (1 + AVERAGE(FILTER('Inflation Data'!$C:$C,'Inflation Data'!$A:$A = ($A2532 - 2)))) * Parameters!$A$4,0)"),0.0)</f>
        <v>0</v>
      </c>
      <c r="Y2532" s="91">
        <f>IFERROR(__xludf.DUMMYFUNCTION("IFERROR((IFERROR(FILTER('Fund Investment Data'!$P:$P,'Fund Investment Data'!$C:$C = $C2532,'Fund Investment Data'!$A:$A = ($A2532 - 2), 'Fund Investment Data'!$B:$B = 12),0) - SUM(FILTER('Fund Investment Data'!$V:$V, 'Fund Investment Data'!$C:$C = $C2532,"&amp;" 'Fund Investment Data'!$A:$A = ($A2532 - 2), 'Fund Investment Data'!$B:$B &gt; 3)))  * Parameters!$B$4 * (1 - Parameters!$A$4),0)"),0.0)</f>
        <v>0</v>
      </c>
      <c r="Z2532" s="91">
        <f t="shared" si="24"/>
        <v>0</v>
      </c>
      <c r="AA2532" s="91">
        <f>IFERROR(__xludf.DUMMYFUNCTION("((IFERROR((SUM(FILTER('Fund Investment Data'!$V:$V, 'Fund Investment Data'!$C:$C = $C2532, 'Fund Investment Data'!$A:$A = $A2532 - 1, 'Fund Investment Data'!$B:$B &gt;= 4, 'Fund Investment Data'!$B:$B &lt;= ($B2532 + 5))) / 12) * ($B2532 - 3) * Parameters!$B$4,"&amp;" 0) + IF($B2532 &gt;= 9, IFERROR(SUM(FILTER('Fund Investment Data'!$V:$V, 'Fund Investment Data'!$C:$C = $C2532, 'Fund Investment Data'!$A:$A = $A2532, 'Fund Investment Data'!$B:$B &lt;= 3)) * Parameters!$B$4, 0),0)))"),0.0)</f>
        <v>0</v>
      </c>
      <c r="AB2532" s="32">
        <f>IFERROR(__xludf.DUMMYFUNCTION("IFERROR(((IFERROR(SUM(FILTER('Fund Investment Data'!$V:$V, 'Fund Investment Data'!$C:$C = $C2532, 'Fund Investment Data'!$A:$A = $A2532 - 2, 'Fund Investment Data'!$B:$B &gt;= 4)) * Parameters!$B$4,0) + IFERROR(SUM(FILTER('Fund Investment Data'!$V:$V, 'Fund "&amp;"Investment Data'!$C:$C = $C2532, 'Fund Investment Data'!$A:$A = $A2532 - 1, 'Fund Investment Data'!$B:$B &lt;= 3)) * Parameters!$B$4,0))),0)"),0.0)</f>
        <v>0</v>
      </c>
      <c r="AC2532" s="32">
        <f>IFERROR(__xludf.DUMMYFUNCTION("IFERROR(FILTER($AF:$AF,$C:$C = $C2532,$A:$A = $A2532 - 1,$B:$B = 12),0)"),0.0)</f>
        <v>0</v>
      </c>
      <c r="AD2532" s="32">
        <f t="shared" si="23"/>
        <v>0</v>
      </c>
      <c r="AE2532" s="32">
        <f t="shared" si="2"/>
        <v>0</v>
      </c>
      <c r="AF2532" s="32"/>
    </row>
    <row r="2533">
      <c r="A2533" s="86"/>
      <c r="B2533" s="87"/>
      <c r="C2533" s="88"/>
      <c r="D2533" s="104"/>
      <c r="E2533" s="104"/>
      <c r="F2533" s="104"/>
      <c r="G2533" s="104"/>
      <c r="H2533" s="104"/>
      <c r="I2533" s="104"/>
      <c r="J2533" s="104"/>
      <c r="K2533" s="32"/>
      <c r="L2533" s="32"/>
      <c r="M2533" s="32"/>
      <c r="N2533" s="32"/>
      <c r="O2533" s="106"/>
      <c r="P2533" s="91">
        <f>IFERROR(__xludf.DUMMYFUNCTION("IFERROR(sum(FILTER($D:$N,$C:$C = $C2533,$A:$A &lt; $A2533,$B:$B = 12)),0) + sum($D2533:$N2533)"),0.0)</f>
        <v>0</v>
      </c>
      <c r="Q2533" s="92">
        <f t="shared" si="1"/>
        <v>0</v>
      </c>
      <c r="R2533" s="91">
        <f t="array" ref="R2533">IFERROR(INDEX('Fund YTD Target Values'!$1:$1000, MATCH($C2533,'Fund YTD Target Values'!$A:$A,0), MATCH($A2533,'Fund YTD Target Values'!$1:$1,0)),0)</f>
        <v>0</v>
      </c>
      <c r="S2533" s="91">
        <f>IFERROR(__xludf.DUMMYFUNCTION("IFERROR(sum(FILTER('Fund Investment Data'!$V:$V, 'Fund Investment Data'!$C:$C = $C2533, 'Fund Investment Data'!$A:$A &lt; $A2533)),0) + IFERROR(sum(FILTER('Fund Investment Data'!$V:$V, 'Fund Investment Data'!$C:$C = $C2533, 'Fund Investment Data'!$A:$A = $A2"&amp;"533, 'Fund Investment Data'!$B:$B &lt;= $B2533)),0)"),0.0)</f>
        <v>0</v>
      </c>
      <c r="T2533" s="32"/>
      <c r="U2533" s="32"/>
      <c r="V2533" s="32">
        <f>IFERROR(__xludf.DUMMYFUNCTION("$D2533 - IFERROR(FILTER($D:$D,$C:$C = $C2533, $A:$A = $A2533, $B:$B = $B2533 - 1),0)"),0.0)</f>
        <v>0</v>
      </c>
      <c r="W2533" s="93">
        <f>IFERROR(__xludf.DUMMYFUNCTION("$E2533 - IFERROR(FILTER($E:$E,$C:$C = $C2533, $A:$A = $A2533, $B:$B = $B2533 - 1),0)"),0.0)</f>
        <v>0</v>
      </c>
      <c r="X2533" s="91">
        <f>IFERROR(__xludf.DUMMYFUNCTION("iFERROR((FILTER('Fund Investment Data'!$Z:$Z, 'Fund Investment Data'!$C:$C = $C2533, 'Fund Investment Data'!$A:$A = $A2533 - 1, 'Fund Investment Data'!$B:$B = 12) + FILTER('Fund Investment Data'!$AB:$AB, 'Fund Investment Data'!$C:$C = $C2533, 'Fund Invest"&amp;"ment Data'!$A:$A = $A2533 - 1, 'Fund Investment Data'!$B:$B = 12)) * (1 + AVERAGE(FILTER('Inflation Data'!$C:$C,'Inflation Data'!$A:$A = ($A2533 - 2)))) * Parameters!$A$4,0)"),0.0)</f>
        <v>0</v>
      </c>
      <c r="Y2533" s="91">
        <f>IFERROR(__xludf.DUMMYFUNCTION("IFERROR((IFERROR(FILTER('Fund Investment Data'!$P:$P,'Fund Investment Data'!$C:$C = $C2533,'Fund Investment Data'!$A:$A = ($A2533 - 2), 'Fund Investment Data'!$B:$B = 12),0) - SUM(FILTER('Fund Investment Data'!$V:$V, 'Fund Investment Data'!$C:$C = $C2533,"&amp;" 'Fund Investment Data'!$A:$A = ($A2533 - 2), 'Fund Investment Data'!$B:$B &gt; 3)))  * Parameters!$B$4 * (1 - Parameters!$A$4),0)"),0.0)</f>
        <v>0</v>
      </c>
      <c r="Z2533" s="91">
        <f t="shared" si="24"/>
        <v>0</v>
      </c>
      <c r="AA2533" s="91">
        <f>IFERROR(__xludf.DUMMYFUNCTION("((IFERROR((SUM(FILTER('Fund Investment Data'!$V:$V, 'Fund Investment Data'!$C:$C = $C2533, 'Fund Investment Data'!$A:$A = $A2533 - 1, 'Fund Investment Data'!$B:$B &gt;= 4, 'Fund Investment Data'!$B:$B &lt;= ($B2533 + 5))) / 12) * ($B2533 - 3) * Parameters!$B$4,"&amp;" 0) + IF($B2533 &gt;= 9, IFERROR(SUM(FILTER('Fund Investment Data'!$V:$V, 'Fund Investment Data'!$C:$C = $C2533, 'Fund Investment Data'!$A:$A = $A2533, 'Fund Investment Data'!$B:$B &lt;= 3)) * Parameters!$B$4, 0),0)))"),0.0)</f>
        <v>0</v>
      </c>
      <c r="AB2533" s="32">
        <f>IFERROR(__xludf.DUMMYFUNCTION("IFERROR(((IFERROR(SUM(FILTER('Fund Investment Data'!$V:$V, 'Fund Investment Data'!$C:$C = $C2533, 'Fund Investment Data'!$A:$A = $A2533 - 2, 'Fund Investment Data'!$B:$B &gt;= 4)) * Parameters!$B$4,0) + IFERROR(SUM(FILTER('Fund Investment Data'!$V:$V, 'Fund "&amp;"Investment Data'!$C:$C = $C2533, 'Fund Investment Data'!$A:$A = $A2533 - 1, 'Fund Investment Data'!$B:$B &lt;= 3)) * Parameters!$B$4,0))),0)"),0.0)</f>
        <v>0</v>
      </c>
      <c r="AC2533" s="32">
        <f>IFERROR(__xludf.DUMMYFUNCTION("IFERROR(FILTER($AF:$AF,$C:$C = $C2533,$A:$A = $A2533 - 1,$B:$B = 12),0)"),0.0)</f>
        <v>0</v>
      </c>
      <c r="AD2533" s="32">
        <f t="shared" si="23"/>
        <v>0</v>
      </c>
      <c r="AE2533" s="32">
        <f t="shared" si="2"/>
        <v>0</v>
      </c>
      <c r="AF2533" s="32"/>
    </row>
    <row r="2534">
      <c r="A2534" s="86"/>
      <c r="B2534" s="87"/>
      <c r="C2534" s="88"/>
      <c r="D2534" s="104"/>
      <c r="E2534" s="104"/>
      <c r="F2534" s="104"/>
      <c r="G2534" s="104"/>
      <c r="H2534" s="104"/>
      <c r="I2534" s="104"/>
      <c r="J2534" s="104"/>
      <c r="K2534" s="32"/>
      <c r="L2534" s="32"/>
      <c r="M2534" s="32"/>
      <c r="N2534" s="32"/>
      <c r="O2534" s="106"/>
      <c r="P2534" s="91">
        <f>IFERROR(__xludf.DUMMYFUNCTION("IFERROR(sum(FILTER($D:$N,$C:$C = $C2534,$A:$A &lt; $A2534,$B:$B = 12)),0) + sum($D2534:$N2534)"),0.0)</f>
        <v>0</v>
      </c>
      <c r="Q2534" s="92">
        <f t="shared" si="1"/>
        <v>0</v>
      </c>
      <c r="R2534" s="91">
        <f t="array" ref="R2534">IFERROR(INDEX('Fund YTD Target Values'!$1:$1000, MATCH($C2534,'Fund YTD Target Values'!$A:$A,0), MATCH($A2534,'Fund YTD Target Values'!$1:$1,0)),0)</f>
        <v>0</v>
      </c>
      <c r="S2534" s="91">
        <f>IFERROR(__xludf.DUMMYFUNCTION("IFERROR(sum(FILTER('Fund Investment Data'!$V:$V, 'Fund Investment Data'!$C:$C = $C2534, 'Fund Investment Data'!$A:$A &lt; $A2534)),0) + IFERROR(sum(FILTER('Fund Investment Data'!$V:$V, 'Fund Investment Data'!$C:$C = $C2534, 'Fund Investment Data'!$A:$A = $A2"&amp;"534, 'Fund Investment Data'!$B:$B &lt;= $B2534)),0)"),0.0)</f>
        <v>0</v>
      </c>
      <c r="T2534" s="32"/>
      <c r="U2534" s="32"/>
      <c r="V2534" s="32">
        <f>IFERROR(__xludf.DUMMYFUNCTION("$D2534 - IFERROR(FILTER($D:$D,$C:$C = $C2534, $A:$A = $A2534, $B:$B = $B2534 - 1),0)"),0.0)</f>
        <v>0</v>
      </c>
      <c r="W2534" s="93">
        <f>IFERROR(__xludf.DUMMYFUNCTION("$E2534 - IFERROR(FILTER($E:$E,$C:$C = $C2534, $A:$A = $A2534, $B:$B = $B2534 - 1),0)"),0.0)</f>
        <v>0</v>
      </c>
      <c r="X2534" s="91">
        <f>IFERROR(__xludf.DUMMYFUNCTION("iFERROR((FILTER('Fund Investment Data'!$Z:$Z, 'Fund Investment Data'!$C:$C = $C2534, 'Fund Investment Data'!$A:$A = $A2534 - 1, 'Fund Investment Data'!$B:$B = 12) + FILTER('Fund Investment Data'!$AB:$AB, 'Fund Investment Data'!$C:$C = $C2534, 'Fund Invest"&amp;"ment Data'!$A:$A = $A2534 - 1, 'Fund Investment Data'!$B:$B = 12)) * (1 + AVERAGE(FILTER('Inflation Data'!$C:$C,'Inflation Data'!$A:$A = ($A2534 - 2)))) * Parameters!$A$4,0)"),0.0)</f>
        <v>0</v>
      </c>
      <c r="Y2534" s="91">
        <f>IFERROR(__xludf.DUMMYFUNCTION("IFERROR((IFERROR(FILTER('Fund Investment Data'!$P:$P,'Fund Investment Data'!$C:$C = $C2534,'Fund Investment Data'!$A:$A = ($A2534 - 2), 'Fund Investment Data'!$B:$B = 12),0) - SUM(FILTER('Fund Investment Data'!$V:$V, 'Fund Investment Data'!$C:$C = $C2534,"&amp;" 'Fund Investment Data'!$A:$A = ($A2534 - 2), 'Fund Investment Data'!$B:$B &gt; 3)))  * Parameters!$B$4 * (1 - Parameters!$A$4),0)"),0.0)</f>
        <v>0</v>
      </c>
      <c r="Z2534" s="91">
        <f t="shared" si="24"/>
        <v>0</v>
      </c>
      <c r="AA2534" s="91">
        <f>IFERROR(__xludf.DUMMYFUNCTION("((IFERROR((SUM(FILTER('Fund Investment Data'!$V:$V, 'Fund Investment Data'!$C:$C = $C2534, 'Fund Investment Data'!$A:$A = $A2534 - 1, 'Fund Investment Data'!$B:$B &gt;= 4, 'Fund Investment Data'!$B:$B &lt;= ($B2534 + 5))) / 12) * ($B2534 - 3) * Parameters!$B$4,"&amp;" 0) + IF($B2534 &gt;= 9, IFERROR(SUM(FILTER('Fund Investment Data'!$V:$V, 'Fund Investment Data'!$C:$C = $C2534, 'Fund Investment Data'!$A:$A = $A2534, 'Fund Investment Data'!$B:$B &lt;= 3)) * Parameters!$B$4, 0),0)))"),0.0)</f>
        <v>0</v>
      </c>
      <c r="AB2534" s="32">
        <f>IFERROR(__xludf.DUMMYFUNCTION("IFERROR(((IFERROR(SUM(FILTER('Fund Investment Data'!$V:$V, 'Fund Investment Data'!$C:$C = $C2534, 'Fund Investment Data'!$A:$A = $A2534 - 2, 'Fund Investment Data'!$B:$B &gt;= 4)) * Parameters!$B$4,0) + IFERROR(SUM(FILTER('Fund Investment Data'!$V:$V, 'Fund "&amp;"Investment Data'!$C:$C = $C2534, 'Fund Investment Data'!$A:$A = $A2534 - 1, 'Fund Investment Data'!$B:$B &lt;= 3)) * Parameters!$B$4,0))),0)"),0.0)</f>
        <v>0</v>
      </c>
      <c r="AC2534" s="32">
        <f>IFERROR(__xludf.DUMMYFUNCTION("IFERROR(FILTER($AF:$AF,$C:$C = $C2534,$A:$A = $A2534 - 1,$B:$B = 12),0)"),0.0)</f>
        <v>0</v>
      </c>
      <c r="AD2534" s="32">
        <f t="shared" si="23"/>
        <v>0</v>
      </c>
      <c r="AE2534" s="32">
        <f t="shared" si="2"/>
        <v>0</v>
      </c>
      <c r="AF2534" s="32"/>
    </row>
    <row r="2535">
      <c r="A2535" s="86"/>
      <c r="B2535" s="87"/>
      <c r="C2535" s="88"/>
      <c r="D2535" s="104"/>
      <c r="E2535" s="104"/>
      <c r="F2535" s="104"/>
      <c r="G2535" s="104"/>
      <c r="H2535" s="104"/>
      <c r="I2535" s="104"/>
      <c r="J2535" s="104"/>
      <c r="K2535" s="32"/>
      <c r="L2535" s="32"/>
      <c r="M2535" s="32"/>
      <c r="N2535" s="32"/>
      <c r="O2535" s="106"/>
      <c r="P2535" s="91">
        <f>IFERROR(__xludf.DUMMYFUNCTION("IFERROR(sum(FILTER($D:$N,$C:$C = $C2535,$A:$A &lt; $A2535,$B:$B = 12)),0) + sum($D2535:$N2535)"),0.0)</f>
        <v>0</v>
      </c>
      <c r="Q2535" s="92">
        <f t="shared" si="1"/>
        <v>0</v>
      </c>
      <c r="R2535" s="91">
        <f t="array" ref="R2535">IFERROR(INDEX('Fund YTD Target Values'!$1:$1000, MATCH($C2535,'Fund YTD Target Values'!$A:$A,0), MATCH($A2535,'Fund YTD Target Values'!$1:$1,0)),0)</f>
        <v>0</v>
      </c>
      <c r="S2535" s="91">
        <f>IFERROR(__xludf.DUMMYFUNCTION("IFERROR(sum(FILTER('Fund Investment Data'!$V:$V, 'Fund Investment Data'!$C:$C = $C2535, 'Fund Investment Data'!$A:$A &lt; $A2535)),0) + IFERROR(sum(FILTER('Fund Investment Data'!$V:$V, 'Fund Investment Data'!$C:$C = $C2535, 'Fund Investment Data'!$A:$A = $A2"&amp;"535, 'Fund Investment Data'!$B:$B &lt;= $B2535)),0)"),0.0)</f>
        <v>0</v>
      </c>
      <c r="T2535" s="32"/>
      <c r="U2535" s="32"/>
      <c r="V2535" s="32">
        <f>IFERROR(__xludf.DUMMYFUNCTION("$D2535 - IFERROR(FILTER($D:$D,$C:$C = $C2535, $A:$A = $A2535, $B:$B = $B2535 - 1),0)"),0.0)</f>
        <v>0</v>
      </c>
      <c r="W2535" s="93">
        <f>IFERROR(__xludf.DUMMYFUNCTION("$E2535 - IFERROR(FILTER($E:$E,$C:$C = $C2535, $A:$A = $A2535, $B:$B = $B2535 - 1),0)"),0.0)</f>
        <v>0</v>
      </c>
      <c r="X2535" s="91">
        <f>IFERROR(__xludf.DUMMYFUNCTION("iFERROR((FILTER('Fund Investment Data'!$Z:$Z, 'Fund Investment Data'!$C:$C = $C2535, 'Fund Investment Data'!$A:$A = $A2535 - 1, 'Fund Investment Data'!$B:$B = 12) + FILTER('Fund Investment Data'!$AB:$AB, 'Fund Investment Data'!$C:$C = $C2535, 'Fund Invest"&amp;"ment Data'!$A:$A = $A2535 - 1, 'Fund Investment Data'!$B:$B = 12)) * (1 + AVERAGE(FILTER('Inflation Data'!$C:$C,'Inflation Data'!$A:$A = ($A2535 - 2)))) * Parameters!$A$4,0)"),0.0)</f>
        <v>0</v>
      </c>
      <c r="Y2535" s="91">
        <f>IFERROR(__xludf.DUMMYFUNCTION("IFERROR((IFERROR(FILTER('Fund Investment Data'!$P:$P,'Fund Investment Data'!$C:$C = $C2535,'Fund Investment Data'!$A:$A = ($A2535 - 2), 'Fund Investment Data'!$B:$B = 12),0) - SUM(FILTER('Fund Investment Data'!$V:$V, 'Fund Investment Data'!$C:$C = $C2535,"&amp;" 'Fund Investment Data'!$A:$A = ($A2535 - 2), 'Fund Investment Data'!$B:$B &gt; 3)))  * Parameters!$B$4 * (1 - Parameters!$A$4),0)"),0.0)</f>
        <v>0</v>
      </c>
      <c r="Z2535" s="91">
        <f t="shared" si="24"/>
        <v>0</v>
      </c>
      <c r="AA2535" s="91">
        <f>IFERROR(__xludf.DUMMYFUNCTION("((IFERROR((SUM(FILTER('Fund Investment Data'!$V:$V, 'Fund Investment Data'!$C:$C = $C2535, 'Fund Investment Data'!$A:$A = $A2535 - 1, 'Fund Investment Data'!$B:$B &gt;= 4, 'Fund Investment Data'!$B:$B &lt;= ($B2535 + 5))) / 12) * ($B2535 - 3) * Parameters!$B$4,"&amp;" 0) + IF($B2535 &gt;= 9, IFERROR(SUM(FILTER('Fund Investment Data'!$V:$V, 'Fund Investment Data'!$C:$C = $C2535, 'Fund Investment Data'!$A:$A = $A2535, 'Fund Investment Data'!$B:$B &lt;= 3)) * Parameters!$B$4, 0),0)))"),0.0)</f>
        <v>0</v>
      </c>
      <c r="AB2535" s="32">
        <f>IFERROR(__xludf.DUMMYFUNCTION("IFERROR(((IFERROR(SUM(FILTER('Fund Investment Data'!$V:$V, 'Fund Investment Data'!$C:$C = $C2535, 'Fund Investment Data'!$A:$A = $A2535 - 2, 'Fund Investment Data'!$B:$B &gt;= 4)) * Parameters!$B$4,0) + IFERROR(SUM(FILTER('Fund Investment Data'!$V:$V, 'Fund "&amp;"Investment Data'!$C:$C = $C2535, 'Fund Investment Data'!$A:$A = $A2535 - 1, 'Fund Investment Data'!$B:$B &lt;= 3)) * Parameters!$B$4,0))),0)"),0.0)</f>
        <v>0</v>
      </c>
      <c r="AC2535" s="32">
        <f>IFERROR(__xludf.DUMMYFUNCTION("IFERROR(FILTER($AF:$AF,$C:$C = $C2535,$A:$A = $A2535 - 1,$B:$B = 12),0)"),0.0)</f>
        <v>0</v>
      </c>
      <c r="AD2535" s="32">
        <f t="shared" si="23"/>
        <v>0</v>
      </c>
      <c r="AE2535" s="32">
        <f t="shared" si="2"/>
        <v>0</v>
      </c>
      <c r="AF2535" s="32"/>
    </row>
    <row r="2536">
      <c r="A2536" s="86"/>
      <c r="B2536" s="87"/>
      <c r="C2536" s="88"/>
      <c r="D2536" s="104"/>
      <c r="E2536" s="104"/>
      <c r="F2536" s="104"/>
      <c r="G2536" s="104"/>
      <c r="H2536" s="104"/>
      <c r="I2536" s="104"/>
      <c r="J2536" s="104"/>
      <c r="K2536" s="32"/>
      <c r="L2536" s="32"/>
      <c r="M2536" s="32"/>
      <c r="N2536" s="32"/>
      <c r="O2536" s="106"/>
      <c r="P2536" s="91">
        <f>IFERROR(__xludf.DUMMYFUNCTION("IFERROR(sum(FILTER($D:$N,$C:$C = $C2536,$A:$A &lt; $A2536,$B:$B = 12)),0) + sum($D2536:$N2536)"),0.0)</f>
        <v>0</v>
      </c>
      <c r="Q2536" s="92">
        <f t="shared" si="1"/>
        <v>0</v>
      </c>
      <c r="R2536" s="91">
        <f t="array" ref="R2536">IFERROR(INDEX('Fund YTD Target Values'!$1:$1000, MATCH($C2536,'Fund YTD Target Values'!$A:$A,0), MATCH($A2536,'Fund YTD Target Values'!$1:$1,0)),0)</f>
        <v>0</v>
      </c>
      <c r="S2536" s="91">
        <f>IFERROR(__xludf.DUMMYFUNCTION("IFERROR(sum(FILTER('Fund Investment Data'!$V:$V, 'Fund Investment Data'!$C:$C = $C2536, 'Fund Investment Data'!$A:$A &lt; $A2536)),0) + IFERROR(sum(FILTER('Fund Investment Data'!$V:$V, 'Fund Investment Data'!$C:$C = $C2536, 'Fund Investment Data'!$A:$A = $A2"&amp;"536, 'Fund Investment Data'!$B:$B &lt;= $B2536)),0)"),0.0)</f>
        <v>0</v>
      </c>
      <c r="T2536" s="32"/>
      <c r="U2536" s="32"/>
      <c r="V2536" s="32">
        <f>IFERROR(__xludf.DUMMYFUNCTION("$D2536 - IFERROR(FILTER($D:$D,$C:$C = $C2536, $A:$A = $A2536, $B:$B = $B2536 - 1),0)"),0.0)</f>
        <v>0</v>
      </c>
      <c r="W2536" s="93">
        <f>IFERROR(__xludf.DUMMYFUNCTION("$E2536 - IFERROR(FILTER($E:$E,$C:$C = $C2536, $A:$A = $A2536, $B:$B = $B2536 - 1),0)"),0.0)</f>
        <v>0</v>
      </c>
      <c r="X2536" s="91">
        <f>IFERROR(__xludf.DUMMYFUNCTION("iFERROR((FILTER('Fund Investment Data'!$Z:$Z, 'Fund Investment Data'!$C:$C = $C2536, 'Fund Investment Data'!$A:$A = $A2536 - 1, 'Fund Investment Data'!$B:$B = 12) + FILTER('Fund Investment Data'!$AB:$AB, 'Fund Investment Data'!$C:$C = $C2536, 'Fund Invest"&amp;"ment Data'!$A:$A = $A2536 - 1, 'Fund Investment Data'!$B:$B = 12)) * (1 + AVERAGE(FILTER('Inflation Data'!$C:$C,'Inflation Data'!$A:$A = ($A2536 - 2)))) * Parameters!$A$4,0)"),0.0)</f>
        <v>0</v>
      </c>
      <c r="Y2536" s="91">
        <f>IFERROR(__xludf.DUMMYFUNCTION("IFERROR((IFERROR(FILTER('Fund Investment Data'!$P:$P,'Fund Investment Data'!$C:$C = $C2536,'Fund Investment Data'!$A:$A = ($A2536 - 2), 'Fund Investment Data'!$B:$B = 12),0) - SUM(FILTER('Fund Investment Data'!$V:$V, 'Fund Investment Data'!$C:$C = $C2536,"&amp;" 'Fund Investment Data'!$A:$A = ($A2536 - 2), 'Fund Investment Data'!$B:$B &gt; 3)))  * Parameters!$B$4 * (1 - Parameters!$A$4),0)"),0.0)</f>
        <v>0</v>
      </c>
      <c r="Z2536" s="91">
        <f t="shared" si="24"/>
        <v>0</v>
      </c>
      <c r="AA2536" s="91">
        <f>IFERROR(__xludf.DUMMYFUNCTION("((IFERROR((SUM(FILTER('Fund Investment Data'!$V:$V, 'Fund Investment Data'!$C:$C = $C2536, 'Fund Investment Data'!$A:$A = $A2536 - 1, 'Fund Investment Data'!$B:$B &gt;= 4, 'Fund Investment Data'!$B:$B &lt;= ($B2536 + 5))) / 12) * ($B2536 - 3) * Parameters!$B$4,"&amp;" 0) + IF($B2536 &gt;= 9, IFERROR(SUM(FILTER('Fund Investment Data'!$V:$V, 'Fund Investment Data'!$C:$C = $C2536, 'Fund Investment Data'!$A:$A = $A2536, 'Fund Investment Data'!$B:$B &lt;= 3)) * Parameters!$B$4, 0),0)))"),0.0)</f>
        <v>0</v>
      </c>
      <c r="AB2536" s="32">
        <f>IFERROR(__xludf.DUMMYFUNCTION("IFERROR(((IFERROR(SUM(FILTER('Fund Investment Data'!$V:$V, 'Fund Investment Data'!$C:$C = $C2536, 'Fund Investment Data'!$A:$A = $A2536 - 2, 'Fund Investment Data'!$B:$B &gt;= 4)) * Parameters!$B$4,0) + IFERROR(SUM(FILTER('Fund Investment Data'!$V:$V, 'Fund "&amp;"Investment Data'!$C:$C = $C2536, 'Fund Investment Data'!$A:$A = $A2536 - 1, 'Fund Investment Data'!$B:$B &lt;= 3)) * Parameters!$B$4,0))),0)"),0.0)</f>
        <v>0</v>
      </c>
      <c r="AC2536" s="32">
        <f>IFERROR(__xludf.DUMMYFUNCTION("IFERROR(FILTER($AF:$AF,$C:$C = $C2536,$A:$A = $A2536 - 1,$B:$B = 12),0)"),0.0)</f>
        <v>0</v>
      </c>
      <c r="AD2536" s="32">
        <f t="shared" si="23"/>
        <v>0</v>
      </c>
      <c r="AE2536" s="32">
        <f t="shared" si="2"/>
        <v>0</v>
      </c>
      <c r="AF2536" s="32"/>
    </row>
    <row r="2537">
      <c r="A2537" s="86"/>
      <c r="B2537" s="87"/>
      <c r="C2537" s="88"/>
      <c r="D2537" s="104"/>
      <c r="E2537" s="104"/>
      <c r="F2537" s="104"/>
      <c r="G2537" s="104"/>
      <c r="H2537" s="104"/>
      <c r="I2537" s="104"/>
      <c r="J2537" s="104"/>
      <c r="K2537" s="32"/>
      <c r="L2537" s="32"/>
      <c r="M2537" s="32"/>
      <c r="N2537" s="32"/>
      <c r="O2537" s="106"/>
      <c r="P2537" s="91">
        <f>IFERROR(__xludf.DUMMYFUNCTION("IFERROR(sum(FILTER($D:$N,$C:$C = $C2537,$A:$A &lt; $A2537,$B:$B = 12)),0) + sum($D2537:$N2537)"),0.0)</f>
        <v>0</v>
      </c>
      <c r="Q2537" s="92">
        <f t="shared" si="1"/>
        <v>0</v>
      </c>
      <c r="R2537" s="91">
        <f t="array" ref="R2537">IFERROR(INDEX('Fund YTD Target Values'!$1:$1000, MATCH($C2537,'Fund YTD Target Values'!$A:$A,0), MATCH($A2537,'Fund YTD Target Values'!$1:$1,0)),0)</f>
        <v>0</v>
      </c>
      <c r="S2537" s="91">
        <f>IFERROR(__xludf.DUMMYFUNCTION("IFERROR(sum(FILTER('Fund Investment Data'!$V:$V, 'Fund Investment Data'!$C:$C = $C2537, 'Fund Investment Data'!$A:$A &lt; $A2537)),0) + IFERROR(sum(FILTER('Fund Investment Data'!$V:$V, 'Fund Investment Data'!$C:$C = $C2537, 'Fund Investment Data'!$A:$A = $A2"&amp;"537, 'Fund Investment Data'!$B:$B &lt;= $B2537)),0)"),0.0)</f>
        <v>0</v>
      </c>
      <c r="T2537" s="32"/>
      <c r="U2537" s="32"/>
      <c r="V2537" s="32">
        <f>IFERROR(__xludf.DUMMYFUNCTION("$D2537 - IFERROR(FILTER($D:$D,$C:$C = $C2537, $A:$A = $A2537, $B:$B = $B2537 - 1),0)"),0.0)</f>
        <v>0</v>
      </c>
      <c r="W2537" s="93">
        <f>IFERROR(__xludf.DUMMYFUNCTION("$E2537 - IFERROR(FILTER($E:$E,$C:$C = $C2537, $A:$A = $A2537, $B:$B = $B2537 - 1),0)"),0.0)</f>
        <v>0</v>
      </c>
      <c r="X2537" s="91">
        <f>IFERROR(__xludf.DUMMYFUNCTION("iFERROR((FILTER('Fund Investment Data'!$Z:$Z, 'Fund Investment Data'!$C:$C = $C2537, 'Fund Investment Data'!$A:$A = $A2537 - 1, 'Fund Investment Data'!$B:$B = 12) + FILTER('Fund Investment Data'!$AB:$AB, 'Fund Investment Data'!$C:$C = $C2537, 'Fund Invest"&amp;"ment Data'!$A:$A = $A2537 - 1, 'Fund Investment Data'!$B:$B = 12)) * (1 + AVERAGE(FILTER('Inflation Data'!$C:$C,'Inflation Data'!$A:$A = ($A2537 - 2)))) * Parameters!$A$4,0)"),0.0)</f>
        <v>0</v>
      </c>
      <c r="Y2537" s="91">
        <f>IFERROR(__xludf.DUMMYFUNCTION("IFERROR((IFERROR(FILTER('Fund Investment Data'!$P:$P,'Fund Investment Data'!$C:$C = $C2537,'Fund Investment Data'!$A:$A = ($A2537 - 2), 'Fund Investment Data'!$B:$B = 12),0) - SUM(FILTER('Fund Investment Data'!$V:$V, 'Fund Investment Data'!$C:$C = $C2537,"&amp;" 'Fund Investment Data'!$A:$A = ($A2537 - 2), 'Fund Investment Data'!$B:$B &gt; 3)))  * Parameters!$B$4 * (1 - Parameters!$A$4),0)"),0.0)</f>
        <v>0</v>
      </c>
      <c r="Z2537" s="91">
        <f t="shared" si="24"/>
        <v>0</v>
      </c>
      <c r="AA2537" s="91">
        <f>IFERROR(__xludf.DUMMYFUNCTION("((IFERROR((SUM(FILTER('Fund Investment Data'!$V:$V, 'Fund Investment Data'!$C:$C = $C2537, 'Fund Investment Data'!$A:$A = $A2537 - 1, 'Fund Investment Data'!$B:$B &gt;= 4, 'Fund Investment Data'!$B:$B &lt;= ($B2537 + 5))) / 12) * ($B2537 - 3) * Parameters!$B$4,"&amp;" 0) + IF($B2537 &gt;= 9, IFERROR(SUM(FILTER('Fund Investment Data'!$V:$V, 'Fund Investment Data'!$C:$C = $C2537, 'Fund Investment Data'!$A:$A = $A2537, 'Fund Investment Data'!$B:$B &lt;= 3)) * Parameters!$B$4, 0),0)))"),0.0)</f>
        <v>0</v>
      </c>
      <c r="AB2537" s="32">
        <f>IFERROR(__xludf.DUMMYFUNCTION("IFERROR(((IFERROR(SUM(FILTER('Fund Investment Data'!$V:$V, 'Fund Investment Data'!$C:$C = $C2537, 'Fund Investment Data'!$A:$A = $A2537 - 2, 'Fund Investment Data'!$B:$B &gt;= 4)) * Parameters!$B$4,0) + IFERROR(SUM(FILTER('Fund Investment Data'!$V:$V, 'Fund "&amp;"Investment Data'!$C:$C = $C2537, 'Fund Investment Data'!$A:$A = $A2537 - 1, 'Fund Investment Data'!$B:$B &lt;= 3)) * Parameters!$B$4,0))),0)"),0.0)</f>
        <v>0</v>
      </c>
      <c r="AC2537" s="32">
        <f>IFERROR(__xludf.DUMMYFUNCTION("IFERROR(FILTER($AF:$AF,$C:$C = $C2537,$A:$A = $A2537 - 1,$B:$B = 12),0)"),0.0)</f>
        <v>0</v>
      </c>
      <c r="AD2537" s="32">
        <f t="shared" si="23"/>
        <v>0</v>
      </c>
      <c r="AE2537" s="32">
        <f t="shared" si="2"/>
        <v>0</v>
      </c>
      <c r="AF2537" s="32"/>
    </row>
    <row r="2538">
      <c r="A2538" s="86"/>
      <c r="B2538" s="87"/>
      <c r="C2538" s="88"/>
      <c r="D2538" s="104"/>
      <c r="E2538" s="104"/>
      <c r="F2538" s="104"/>
      <c r="G2538" s="104"/>
      <c r="H2538" s="104"/>
      <c r="I2538" s="104"/>
      <c r="J2538" s="104"/>
      <c r="K2538" s="32"/>
      <c r="L2538" s="32"/>
      <c r="M2538" s="32"/>
      <c r="N2538" s="32"/>
      <c r="O2538" s="106"/>
      <c r="P2538" s="91">
        <f>IFERROR(__xludf.DUMMYFUNCTION("IFERROR(sum(FILTER($D:$N,$C:$C = $C2538,$A:$A &lt; $A2538,$B:$B = 12)),0) + sum($D2538:$N2538)"),0.0)</f>
        <v>0</v>
      </c>
      <c r="Q2538" s="92">
        <f t="shared" si="1"/>
        <v>0</v>
      </c>
      <c r="R2538" s="91">
        <f t="array" ref="R2538">IFERROR(INDEX('Fund YTD Target Values'!$1:$1000, MATCH($C2538,'Fund YTD Target Values'!$A:$A,0), MATCH($A2538,'Fund YTD Target Values'!$1:$1,0)),0)</f>
        <v>0</v>
      </c>
      <c r="S2538" s="91">
        <f>IFERROR(__xludf.DUMMYFUNCTION("IFERROR(sum(FILTER('Fund Investment Data'!$V:$V, 'Fund Investment Data'!$C:$C = $C2538, 'Fund Investment Data'!$A:$A &lt; $A2538)),0) + IFERROR(sum(FILTER('Fund Investment Data'!$V:$V, 'Fund Investment Data'!$C:$C = $C2538, 'Fund Investment Data'!$A:$A = $A2"&amp;"538, 'Fund Investment Data'!$B:$B &lt;= $B2538)),0)"),0.0)</f>
        <v>0</v>
      </c>
      <c r="T2538" s="32"/>
      <c r="U2538" s="32"/>
      <c r="V2538" s="32">
        <f>IFERROR(__xludf.DUMMYFUNCTION("$D2538 - IFERROR(FILTER($D:$D,$C:$C = $C2538, $A:$A = $A2538, $B:$B = $B2538 - 1),0)"),0.0)</f>
        <v>0</v>
      </c>
      <c r="W2538" s="93">
        <f>IFERROR(__xludf.DUMMYFUNCTION("$E2538 - IFERROR(FILTER($E:$E,$C:$C = $C2538, $A:$A = $A2538, $B:$B = $B2538 - 1),0)"),0.0)</f>
        <v>0</v>
      </c>
      <c r="X2538" s="91">
        <f>IFERROR(__xludf.DUMMYFUNCTION("iFERROR((FILTER('Fund Investment Data'!$Z:$Z, 'Fund Investment Data'!$C:$C = $C2538, 'Fund Investment Data'!$A:$A = $A2538 - 1, 'Fund Investment Data'!$B:$B = 12) + FILTER('Fund Investment Data'!$AB:$AB, 'Fund Investment Data'!$C:$C = $C2538, 'Fund Invest"&amp;"ment Data'!$A:$A = $A2538 - 1, 'Fund Investment Data'!$B:$B = 12)) * (1 + AVERAGE(FILTER('Inflation Data'!$C:$C,'Inflation Data'!$A:$A = ($A2538 - 2)))) * Parameters!$A$4,0)"),0.0)</f>
        <v>0</v>
      </c>
      <c r="Y2538" s="91">
        <f>IFERROR(__xludf.DUMMYFUNCTION("IFERROR((IFERROR(FILTER('Fund Investment Data'!$P:$P,'Fund Investment Data'!$C:$C = $C2538,'Fund Investment Data'!$A:$A = ($A2538 - 2), 'Fund Investment Data'!$B:$B = 12),0) - SUM(FILTER('Fund Investment Data'!$V:$V, 'Fund Investment Data'!$C:$C = $C2538,"&amp;" 'Fund Investment Data'!$A:$A = ($A2538 - 2), 'Fund Investment Data'!$B:$B &gt; 3)))  * Parameters!$B$4 * (1 - Parameters!$A$4),0)"),0.0)</f>
        <v>0</v>
      </c>
      <c r="Z2538" s="91">
        <f t="shared" si="24"/>
        <v>0</v>
      </c>
      <c r="AA2538" s="91">
        <f>IFERROR(__xludf.DUMMYFUNCTION("((IFERROR((SUM(FILTER('Fund Investment Data'!$V:$V, 'Fund Investment Data'!$C:$C = $C2538, 'Fund Investment Data'!$A:$A = $A2538 - 1, 'Fund Investment Data'!$B:$B &gt;= 4, 'Fund Investment Data'!$B:$B &lt;= ($B2538 + 5))) / 12) * ($B2538 - 3) * Parameters!$B$4,"&amp;" 0) + IF($B2538 &gt;= 9, IFERROR(SUM(FILTER('Fund Investment Data'!$V:$V, 'Fund Investment Data'!$C:$C = $C2538, 'Fund Investment Data'!$A:$A = $A2538, 'Fund Investment Data'!$B:$B &lt;= 3)) * Parameters!$B$4, 0),0)))"),0.0)</f>
        <v>0</v>
      </c>
      <c r="AB2538" s="32">
        <f>IFERROR(__xludf.DUMMYFUNCTION("IFERROR(((IFERROR(SUM(FILTER('Fund Investment Data'!$V:$V, 'Fund Investment Data'!$C:$C = $C2538, 'Fund Investment Data'!$A:$A = $A2538 - 2, 'Fund Investment Data'!$B:$B &gt;= 4)) * Parameters!$B$4,0) + IFERROR(SUM(FILTER('Fund Investment Data'!$V:$V, 'Fund "&amp;"Investment Data'!$C:$C = $C2538, 'Fund Investment Data'!$A:$A = $A2538 - 1, 'Fund Investment Data'!$B:$B &lt;= 3)) * Parameters!$B$4,0))),0)"),0.0)</f>
        <v>0</v>
      </c>
      <c r="AC2538" s="32">
        <f>IFERROR(__xludf.DUMMYFUNCTION("IFERROR(FILTER($AF:$AF,$C:$C = $C2538,$A:$A = $A2538 - 1,$B:$B = 12),0)"),0.0)</f>
        <v>0</v>
      </c>
      <c r="AD2538" s="32">
        <f t="shared" si="23"/>
        <v>0</v>
      </c>
      <c r="AE2538" s="32">
        <f t="shared" si="2"/>
        <v>0</v>
      </c>
      <c r="AF2538" s="32"/>
    </row>
    <row r="2539">
      <c r="A2539" s="86"/>
      <c r="B2539" s="87"/>
      <c r="C2539" s="88"/>
      <c r="D2539" s="104"/>
      <c r="E2539" s="104"/>
      <c r="F2539" s="104"/>
      <c r="G2539" s="104"/>
      <c r="H2539" s="104"/>
      <c r="I2539" s="104"/>
      <c r="J2539" s="104"/>
      <c r="K2539" s="32"/>
      <c r="L2539" s="32"/>
      <c r="M2539" s="32"/>
      <c r="N2539" s="32"/>
      <c r="O2539" s="106"/>
      <c r="P2539" s="91">
        <f>IFERROR(__xludf.DUMMYFUNCTION("IFERROR(sum(FILTER($D:$N,$C:$C = $C2539,$A:$A &lt; $A2539,$B:$B = 12)),0) + sum($D2539:$N2539)"),0.0)</f>
        <v>0</v>
      </c>
      <c r="Q2539" s="92">
        <f t="shared" si="1"/>
        <v>0</v>
      </c>
      <c r="R2539" s="91">
        <f t="array" ref="R2539">IFERROR(INDEX('Fund YTD Target Values'!$1:$1000, MATCH($C2539,'Fund YTD Target Values'!$A:$A,0), MATCH($A2539,'Fund YTD Target Values'!$1:$1,0)),0)</f>
        <v>0</v>
      </c>
      <c r="S2539" s="91">
        <f>IFERROR(__xludf.DUMMYFUNCTION("IFERROR(sum(FILTER('Fund Investment Data'!$V:$V, 'Fund Investment Data'!$C:$C = $C2539, 'Fund Investment Data'!$A:$A &lt; $A2539)),0) + IFERROR(sum(FILTER('Fund Investment Data'!$V:$V, 'Fund Investment Data'!$C:$C = $C2539, 'Fund Investment Data'!$A:$A = $A2"&amp;"539, 'Fund Investment Data'!$B:$B &lt;= $B2539)),0)"),0.0)</f>
        <v>0</v>
      </c>
      <c r="T2539" s="32"/>
      <c r="U2539" s="32"/>
      <c r="V2539" s="32">
        <f>IFERROR(__xludf.DUMMYFUNCTION("$D2539 - IFERROR(FILTER($D:$D,$C:$C = $C2539, $A:$A = $A2539, $B:$B = $B2539 - 1),0)"),0.0)</f>
        <v>0</v>
      </c>
      <c r="W2539" s="93">
        <f>IFERROR(__xludf.DUMMYFUNCTION("$E2539 - IFERROR(FILTER($E:$E,$C:$C = $C2539, $A:$A = $A2539, $B:$B = $B2539 - 1),0)"),0.0)</f>
        <v>0</v>
      </c>
      <c r="X2539" s="91">
        <f>IFERROR(__xludf.DUMMYFUNCTION("iFERROR((FILTER('Fund Investment Data'!$Z:$Z, 'Fund Investment Data'!$C:$C = $C2539, 'Fund Investment Data'!$A:$A = $A2539 - 1, 'Fund Investment Data'!$B:$B = 12) + FILTER('Fund Investment Data'!$AB:$AB, 'Fund Investment Data'!$C:$C = $C2539, 'Fund Invest"&amp;"ment Data'!$A:$A = $A2539 - 1, 'Fund Investment Data'!$B:$B = 12)) * (1 + AVERAGE(FILTER('Inflation Data'!$C:$C,'Inflation Data'!$A:$A = ($A2539 - 2)))) * Parameters!$A$4,0)"),0.0)</f>
        <v>0</v>
      </c>
      <c r="Y2539" s="91">
        <f>IFERROR(__xludf.DUMMYFUNCTION("IFERROR((IFERROR(FILTER('Fund Investment Data'!$P:$P,'Fund Investment Data'!$C:$C = $C2539,'Fund Investment Data'!$A:$A = ($A2539 - 2), 'Fund Investment Data'!$B:$B = 12),0) - SUM(FILTER('Fund Investment Data'!$V:$V, 'Fund Investment Data'!$C:$C = $C2539,"&amp;" 'Fund Investment Data'!$A:$A = ($A2539 - 2), 'Fund Investment Data'!$B:$B &gt; 3)))  * Parameters!$B$4 * (1 - Parameters!$A$4),0)"),0.0)</f>
        <v>0</v>
      </c>
      <c r="Z2539" s="91">
        <f t="shared" si="24"/>
        <v>0</v>
      </c>
      <c r="AA2539" s="91">
        <f>IFERROR(__xludf.DUMMYFUNCTION("((IFERROR((SUM(FILTER('Fund Investment Data'!$V:$V, 'Fund Investment Data'!$C:$C = $C2539, 'Fund Investment Data'!$A:$A = $A2539 - 1, 'Fund Investment Data'!$B:$B &gt;= 4, 'Fund Investment Data'!$B:$B &lt;= ($B2539 + 5))) / 12) * ($B2539 - 3) * Parameters!$B$4,"&amp;" 0) + IF($B2539 &gt;= 9, IFERROR(SUM(FILTER('Fund Investment Data'!$V:$V, 'Fund Investment Data'!$C:$C = $C2539, 'Fund Investment Data'!$A:$A = $A2539, 'Fund Investment Data'!$B:$B &lt;= 3)) * Parameters!$B$4, 0),0)))"),0.0)</f>
        <v>0</v>
      </c>
      <c r="AB2539" s="32">
        <f>IFERROR(__xludf.DUMMYFUNCTION("IFERROR(((IFERROR(SUM(FILTER('Fund Investment Data'!$V:$V, 'Fund Investment Data'!$C:$C = $C2539, 'Fund Investment Data'!$A:$A = $A2539 - 2, 'Fund Investment Data'!$B:$B &gt;= 4)) * Parameters!$B$4,0) + IFERROR(SUM(FILTER('Fund Investment Data'!$V:$V, 'Fund "&amp;"Investment Data'!$C:$C = $C2539, 'Fund Investment Data'!$A:$A = $A2539 - 1, 'Fund Investment Data'!$B:$B &lt;= 3)) * Parameters!$B$4,0))),0)"),0.0)</f>
        <v>0</v>
      </c>
      <c r="AC2539" s="32">
        <f>IFERROR(__xludf.DUMMYFUNCTION("IFERROR(FILTER($AF:$AF,$C:$C = $C2539,$A:$A = $A2539 - 1,$B:$B = 12),0)"),0.0)</f>
        <v>0</v>
      </c>
      <c r="AD2539" s="32">
        <f t="shared" si="23"/>
        <v>0</v>
      </c>
      <c r="AE2539" s="32">
        <f t="shared" si="2"/>
        <v>0</v>
      </c>
      <c r="AF2539" s="32"/>
    </row>
    <row r="2540">
      <c r="A2540" s="86"/>
      <c r="B2540" s="87"/>
      <c r="C2540" s="88"/>
      <c r="D2540" s="104"/>
      <c r="E2540" s="104"/>
      <c r="F2540" s="104"/>
      <c r="G2540" s="104"/>
      <c r="H2540" s="104"/>
      <c r="I2540" s="104"/>
      <c r="J2540" s="104"/>
      <c r="K2540" s="32"/>
      <c r="L2540" s="32"/>
      <c r="M2540" s="32"/>
      <c r="N2540" s="32"/>
      <c r="O2540" s="106"/>
      <c r="P2540" s="91">
        <f>IFERROR(__xludf.DUMMYFUNCTION("IFERROR(sum(FILTER($D:$N,$C:$C = $C2540,$A:$A &lt; $A2540,$B:$B = 12)),0) + sum($D2540:$N2540)"),0.0)</f>
        <v>0</v>
      </c>
      <c r="Q2540" s="92">
        <f t="shared" si="1"/>
        <v>0</v>
      </c>
      <c r="R2540" s="91">
        <f t="array" ref="R2540">IFERROR(INDEX('Fund YTD Target Values'!$1:$1000, MATCH($C2540,'Fund YTD Target Values'!$A:$A,0), MATCH($A2540,'Fund YTD Target Values'!$1:$1,0)),0)</f>
        <v>0</v>
      </c>
      <c r="S2540" s="91">
        <f>IFERROR(__xludf.DUMMYFUNCTION("IFERROR(sum(FILTER('Fund Investment Data'!$V:$V, 'Fund Investment Data'!$C:$C = $C2540, 'Fund Investment Data'!$A:$A &lt; $A2540)),0) + IFERROR(sum(FILTER('Fund Investment Data'!$V:$V, 'Fund Investment Data'!$C:$C = $C2540, 'Fund Investment Data'!$A:$A = $A2"&amp;"540, 'Fund Investment Data'!$B:$B &lt;= $B2540)),0)"),0.0)</f>
        <v>0</v>
      </c>
      <c r="T2540" s="32"/>
      <c r="U2540" s="32"/>
      <c r="V2540" s="32">
        <f>IFERROR(__xludf.DUMMYFUNCTION("$D2540 - IFERROR(FILTER($D:$D,$C:$C = $C2540, $A:$A = $A2540, $B:$B = $B2540 - 1),0)"),0.0)</f>
        <v>0</v>
      </c>
      <c r="W2540" s="93">
        <f>IFERROR(__xludf.DUMMYFUNCTION("$E2540 - IFERROR(FILTER($E:$E,$C:$C = $C2540, $A:$A = $A2540, $B:$B = $B2540 - 1),0)"),0.0)</f>
        <v>0</v>
      </c>
      <c r="X2540" s="91">
        <f>IFERROR(__xludf.DUMMYFUNCTION("iFERROR((FILTER('Fund Investment Data'!$Z:$Z, 'Fund Investment Data'!$C:$C = $C2540, 'Fund Investment Data'!$A:$A = $A2540 - 1, 'Fund Investment Data'!$B:$B = 12) + FILTER('Fund Investment Data'!$AB:$AB, 'Fund Investment Data'!$C:$C = $C2540, 'Fund Invest"&amp;"ment Data'!$A:$A = $A2540 - 1, 'Fund Investment Data'!$B:$B = 12)) * (1 + AVERAGE(FILTER('Inflation Data'!$C:$C,'Inflation Data'!$A:$A = ($A2540 - 2)))) * Parameters!$A$4,0)"),0.0)</f>
        <v>0</v>
      </c>
      <c r="Y2540" s="91">
        <f>IFERROR(__xludf.DUMMYFUNCTION("IFERROR((IFERROR(FILTER('Fund Investment Data'!$P:$P,'Fund Investment Data'!$C:$C = $C2540,'Fund Investment Data'!$A:$A = ($A2540 - 2), 'Fund Investment Data'!$B:$B = 12),0) - SUM(FILTER('Fund Investment Data'!$V:$V, 'Fund Investment Data'!$C:$C = $C2540,"&amp;" 'Fund Investment Data'!$A:$A = ($A2540 - 2), 'Fund Investment Data'!$B:$B &gt; 3)))  * Parameters!$B$4 * (1 - Parameters!$A$4),0)"),0.0)</f>
        <v>0</v>
      </c>
      <c r="Z2540" s="91">
        <f t="shared" si="24"/>
        <v>0</v>
      </c>
      <c r="AA2540" s="91">
        <f>IFERROR(__xludf.DUMMYFUNCTION("((IFERROR((SUM(FILTER('Fund Investment Data'!$V:$V, 'Fund Investment Data'!$C:$C = $C2540, 'Fund Investment Data'!$A:$A = $A2540 - 1, 'Fund Investment Data'!$B:$B &gt;= 4, 'Fund Investment Data'!$B:$B &lt;= ($B2540 + 5))) / 12) * ($B2540 - 3) * Parameters!$B$4,"&amp;" 0) + IF($B2540 &gt;= 9, IFERROR(SUM(FILTER('Fund Investment Data'!$V:$V, 'Fund Investment Data'!$C:$C = $C2540, 'Fund Investment Data'!$A:$A = $A2540, 'Fund Investment Data'!$B:$B &lt;= 3)) * Parameters!$B$4, 0),0)))"),0.0)</f>
        <v>0</v>
      </c>
      <c r="AB2540" s="32">
        <f>IFERROR(__xludf.DUMMYFUNCTION("IFERROR(((IFERROR(SUM(FILTER('Fund Investment Data'!$V:$V, 'Fund Investment Data'!$C:$C = $C2540, 'Fund Investment Data'!$A:$A = $A2540 - 2, 'Fund Investment Data'!$B:$B &gt;= 4)) * Parameters!$B$4,0) + IFERROR(SUM(FILTER('Fund Investment Data'!$V:$V, 'Fund "&amp;"Investment Data'!$C:$C = $C2540, 'Fund Investment Data'!$A:$A = $A2540 - 1, 'Fund Investment Data'!$B:$B &lt;= 3)) * Parameters!$B$4,0))),0)"),0.0)</f>
        <v>0</v>
      </c>
      <c r="AC2540" s="32">
        <f>IFERROR(__xludf.DUMMYFUNCTION("IFERROR(FILTER($AF:$AF,$C:$C = $C2540,$A:$A = $A2540 - 1,$B:$B = 12),0)"),0.0)</f>
        <v>0</v>
      </c>
      <c r="AD2540" s="32">
        <f t="shared" si="23"/>
        <v>0</v>
      </c>
      <c r="AE2540" s="32">
        <f t="shared" si="2"/>
        <v>0</v>
      </c>
      <c r="AF2540" s="32"/>
    </row>
    <row r="2541">
      <c r="A2541" s="86"/>
      <c r="B2541" s="87"/>
      <c r="C2541" s="88"/>
      <c r="D2541" s="104"/>
      <c r="E2541" s="104"/>
      <c r="F2541" s="104"/>
      <c r="G2541" s="104"/>
      <c r="H2541" s="104"/>
      <c r="I2541" s="104"/>
      <c r="J2541" s="104"/>
      <c r="K2541" s="32"/>
      <c r="L2541" s="32"/>
      <c r="M2541" s="32"/>
      <c r="N2541" s="32"/>
      <c r="O2541" s="106"/>
      <c r="P2541" s="91">
        <f>IFERROR(__xludf.DUMMYFUNCTION("IFERROR(sum(FILTER($D:$N,$C:$C = $C2541,$A:$A &lt; $A2541,$B:$B = 12)),0) + sum($D2541:$N2541)"),0.0)</f>
        <v>0</v>
      </c>
      <c r="Q2541" s="92">
        <f t="shared" si="1"/>
        <v>0</v>
      </c>
      <c r="R2541" s="91">
        <f t="array" ref="R2541">IFERROR(INDEX('Fund YTD Target Values'!$1:$1000, MATCH($C2541,'Fund YTD Target Values'!$A:$A,0), MATCH($A2541,'Fund YTD Target Values'!$1:$1,0)),0)</f>
        <v>0</v>
      </c>
      <c r="S2541" s="91">
        <f>IFERROR(__xludf.DUMMYFUNCTION("IFERROR(sum(FILTER('Fund Investment Data'!$V:$V, 'Fund Investment Data'!$C:$C = $C2541, 'Fund Investment Data'!$A:$A &lt; $A2541)),0) + IFERROR(sum(FILTER('Fund Investment Data'!$V:$V, 'Fund Investment Data'!$C:$C = $C2541, 'Fund Investment Data'!$A:$A = $A2"&amp;"541, 'Fund Investment Data'!$B:$B &lt;= $B2541)),0)"),0.0)</f>
        <v>0</v>
      </c>
      <c r="T2541" s="32"/>
      <c r="U2541" s="32"/>
      <c r="V2541" s="32">
        <f>IFERROR(__xludf.DUMMYFUNCTION("$D2541 - IFERROR(FILTER($D:$D,$C:$C = $C2541, $A:$A = $A2541, $B:$B = $B2541 - 1),0)"),0.0)</f>
        <v>0</v>
      </c>
      <c r="W2541" s="93">
        <f>IFERROR(__xludf.DUMMYFUNCTION("$E2541 - IFERROR(FILTER($E:$E,$C:$C = $C2541, $A:$A = $A2541, $B:$B = $B2541 - 1),0)"),0.0)</f>
        <v>0</v>
      </c>
      <c r="X2541" s="91">
        <f>IFERROR(__xludf.DUMMYFUNCTION("iFERROR((FILTER('Fund Investment Data'!$Z:$Z, 'Fund Investment Data'!$C:$C = $C2541, 'Fund Investment Data'!$A:$A = $A2541 - 1, 'Fund Investment Data'!$B:$B = 12) + FILTER('Fund Investment Data'!$AB:$AB, 'Fund Investment Data'!$C:$C = $C2541, 'Fund Invest"&amp;"ment Data'!$A:$A = $A2541 - 1, 'Fund Investment Data'!$B:$B = 12)) * (1 + AVERAGE(FILTER('Inflation Data'!$C:$C,'Inflation Data'!$A:$A = ($A2541 - 2)))) * Parameters!$A$4,0)"),0.0)</f>
        <v>0</v>
      </c>
      <c r="Y2541" s="91">
        <f>IFERROR(__xludf.DUMMYFUNCTION("IFERROR((IFERROR(FILTER('Fund Investment Data'!$P:$P,'Fund Investment Data'!$C:$C = $C2541,'Fund Investment Data'!$A:$A = ($A2541 - 2), 'Fund Investment Data'!$B:$B = 12),0) - SUM(FILTER('Fund Investment Data'!$V:$V, 'Fund Investment Data'!$C:$C = $C2541,"&amp;" 'Fund Investment Data'!$A:$A = ($A2541 - 2), 'Fund Investment Data'!$B:$B &gt; 3)))  * Parameters!$B$4 * (1 - Parameters!$A$4),0)"),0.0)</f>
        <v>0</v>
      </c>
      <c r="Z2541" s="91">
        <f t="shared" si="24"/>
        <v>0</v>
      </c>
      <c r="AA2541" s="91">
        <f>IFERROR(__xludf.DUMMYFUNCTION("((IFERROR((SUM(FILTER('Fund Investment Data'!$V:$V, 'Fund Investment Data'!$C:$C = $C2541, 'Fund Investment Data'!$A:$A = $A2541 - 1, 'Fund Investment Data'!$B:$B &gt;= 4, 'Fund Investment Data'!$B:$B &lt;= ($B2541 + 5))) / 12) * ($B2541 - 3) * Parameters!$B$4,"&amp;" 0) + IF($B2541 &gt;= 9, IFERROR(SUM(FILTER('Fund Investment Data'!$V:$V, 'Fund Investment Data'!$C:$C = $C2541, 'Fund Investment Data'!$A:$A = $A2541, 'Fund Investment Data'!$B:$B &lt;= 3)) * Parameters!$B$4, 0),0)))"),0.0)</f>
        <v>0</v>
      </c>
      <c r="AB2541" s="32">
        <f>IFERROR(__xludf.DUMMYFUNCTION("IFERROR(((IFERROR(SUM(FILTER('Fund Investment Data'!$V:$V, 'Fund Investment Data'!$C:$C = $C2541, 'Fund Investment Data'!$A:$A = $A2541 - 2, 'Fund Investment Data'!$B:$B &gt;= 4)) * Parameters!$B$4,0) + IFERROR(SUM(FILTER('Fund Investment Data'!$V:$V, 'Fund "&amp;"Investment Data'!$C:$C = $C2541, 'Fund Investment Data'!$A:$A = $A2541 - 1, 'Fund Investment Data'!$B:$B &lt;= 3)) * Parameters!$B$4,0))),0)"),0.0)</f>
        <v>0</v>
      </c>
      <c r="AC2541" s="32">
        <f>IFERROR(__xludf.DUMMYFUNCTION("IFERROR(FILTER($AF:$AF,$C:$C = $C2541,$A:$A = $A2541 - 1,$B:$B = 12),0)"),0.0)</f>
        <v>0</v>
      </c>
      <c r="AD2541" s="32">
        <f t="shared" si="23"/>
        <v>0</v>
      </c>
      <c r="AE2541" s="32">
        <f t="shared" si="2"/>
        <v>0</v>
      </c>
      <c r="AF2541" s="32"/>
    </row>
    <row r="2542">
      <c r="A2542" s="86"/>
      <c r="B2542" s="87"/>
      <c r="C2542" s="88"/>
      <c r="D2542" s="104"/>
      <c r="E2542" s="104"/>
      <c r="F2542" s="104"/>
      <c r="G2542" s="104"/>
      <c r="H2542" s="104"/>
      <c r="I2542" s="104"/>
      <c r="J2542" s="104"/>
      <c r="K2542" s="32"/>
      <c r="L2542" s="32"/>
      <c r="M2542" s="32"/>
      <c r="N2542" s="32"/>
      <c r="O2542" s="106"/>
      <c r="P2542" s="91">
        <f>IFERROR(__xludf.DUMMYFUNCTION("IFERROR(sum(FILTER($D:$N,$C:$C = $C2542,$A:$A &lt; $A2542,$B:$B = 12)),0) + sum($D2542:$N2542)"),0.0)</f>
        <v>0</v>
      </c>
      <c r="Q2542" s="92">
        <f t="shared" si="1"/>
        <v>0</v>
      </c>
      <c r="R2542" s="91">
        <f t="array" ref="R2542">IFERROR(INDEX('Fund YTD Target Values'!$1:$1000, MATCH($C2542,'Fund YTD Target Values'!$A:$A,0), MATCH($A2542,'Fund YTD Target Values'!$1:$1,0)),0)</f>
        <v>0</v>
      </c>
      <c r="S2542" s="91">
        <f>IFERROR(__xludf.DUMMYFUNCTION("IFERROR(sum(FILTER('Fund Investment Data'!$V:$V, 'Fund Investment Data'!$C:$C = $C2542, 'Fund Investment Data'!$A:$A &lt; $A2542)),0) + IFERROR(sum(FILTER('Fund Investment Data'!$V:$V, 'Fund Investment Data'!$C:$C = $C2542, 'Fund Investment Data'!$A:$A = $A2"&amp;"542, 'Fund Investment Data'!$B:$B &lt;= $B2542)),0)"),0.0)</f>
        <v>0</v>
      </c>
      <c r="T2542" s="32"/>
      <c r="U2542" s="32"/>
      <c r="V2542" s="32">
        <f>IFERROR(__xludf.DUMMYFUNCTION("$D2542 - IFERROR(FILTER($D:$D,$C:$C = $C2542, $A:$A = $A2542, $B:$B = $B2542 - 1),0)"),0.0)</f>
        <v>0</v>
      </c>
      <c r="W2542" s="93">
        <f>IFERROR(__xludf.DUMMYFUNCTION("$E2542 - IFERROR(FILTER($E:$E,$C:$C = $C2542, $A:$A = $A2542, $B:$B = $B2542 - 1),0)"),0.0)</f>
        <v>0</v>
      </c>
      <c r="X2542" s="91">
        <f>IFERROR(__xludf.DUMMYFUNCTION("iFERROR((FILTER('Fund Investment Data'!$Z:$Z, 'Fund Investment Data'!$C:$C = $C2542, 'Fund Investment Data'!$A:$A = $A2542 - 1, 'Fund Investment Data'!$B:$B = 12) + FILTER('Fund Investment Data'!$AB:$AB, 'Fund Investment Data'!$C:$C = $C2542, 'Fund Invest"&amp;"ment Data'!$A:$A = $A2542 - 1, 'Fund Investment Data'!$B:$B = 12)) * (1 + AVERAGE(FILTER('Inflation Data'!$C:$C,'Inflation Data'!$A:$A = ($A2542 - 2)))) * Parameters!$A$4,0)"),0.0)</f>
        <v>0</v>
      </c>
      <c r="Y2542" s="91">
        <f>IFERROR(__xludf.DUMMYFUNCTION("IFERROR((IFERROR(FILTER('Fund Investment Data'!$P:$P,'Fund Investment Data'!$C:$C = $C2542,'Fund Investment Data'!$A:$A = ($A2542 - 2), 'Fund Investment Data'!$B:$B = 12),0) - SUM(FILTER('Fund Investment Data'!$V:$V, 'Fund Investment Data'!$C:$C = $C2542,"&amp;" 'Fund Investment Data'!$A:$A = ($A2542 - 2), 'Fund Investment Data'!$B:$B &gt; 3)))  * Parameters!$B$4 * (1 - Parameters!$A$4),0)"),0.0)</f>
        <v>0</v>
      </c>
      <c r="Z2542" s="91">
        <f t="shared" si="24"/>
        <v>0</v>
      </c>
      <c r="AA2542" s="91">
        <f>IFERROR(__xludf.DUMMYFUNCTION("((IFERROR((SUM(FILTER('Fund Investment Data'!$V:$V, 'Fund Investment Data'!$C:$C = $C2542, 'Fund Investment Data'!$A:$A = $A2542 - 1, 'Fund Investment Data'!$B:$B &gt;= 4, 'Fund Investment Data'!$B:$B &lt;= ($B2542 + 5))) / 12) * ($B2542 - 3) * Parameters!$B$4,"&amp;" 0) + IF($B2542 &gt;= 9, IFERROR(SUM(FILTER('Fund Investment Data'!$V:$V, 'Fund Investment Data'!$C:$C = $C2542, 'Fund Investment Data'!$A:$A = $A2542, 'Fund Investment Data'!$B:$B &lt;= 3)) * Parameters!$B$4, 0),0)))"),0.0)</f>
        <v>0</v>
      </c>
      <c r="AB2542" s="32">
        <f>IFERROR(__xludf.DUMMYFUNCTION("IFERROR(((IFERROR(SUM(FILTER('Fund Investment Data'!$V:$V, 'Fund Investment Data'!$C:$C = $C2542, 'Fund Investment Data'!$A:$A = $A2542 - 2, 'Fund Investment Data'!$B:$B &gt;= 4)) * Parameters!$B$4,0) + IFERROR(SUM(FILTER('Fund Investment Data'!$V:$V, 'Fund "&amp;"Investment Data'!$C:$C = $C2542, 'Fund Investment Data'!$A:$A = $A2542 - 1, 'Fund Investment Data'!$B:$B &lt;= 3)) * Parameters!$B$4,0))),0)"),0.0)</f>
        <v>0</v>
      </c>
      <c r="AC2542" s="32">
        <f>IFERROR(__xludf.DUMMYFUNCTION("IFERROR(FILTER($AF:$AF,$C:$C = $C2542,$A:$A = $A2542 - 1,$B:$B = 12),0)"),0.0)</f>
        <v>0</v>
      </c>
      <c r="AD2542" s="32">
        <f t="shared" si="23"/>
        <v>0</v>
      </c>
      <c r="AE2542" s="32">
        <f t="shared" si="2"/>
        <v>0</v>
      </c>
      <c r="AF2542" s="32"/>
    </row>
    <row r="2543">
      <c r="A2543" s="86"/>
      <c r="B2543" s="87"/>
      <c r="C2543" s="88"/>
      <c r="D2543" s="104"/>
      <c r="E2543" s="104"/>
      <c r="F2543" s="104"/>
      <c r="G2543" s="104"/>
      <c r="H2543" s="104"/>
      <c r="I2543" s="104"/>
      <c r="J2543" s="104"/>
      <c r="K2543" s="32"/>
      <c r="L2543" s="32"/>
      <c r="M2543" s="32"/>
      <c r="N2543" s="32"/>
      <c r="O2543" s="106"/>
      <c r="P2543" s="91">
        <f>IFERROR(__xludf.DUMMYFUNCTION("IFERROR(sum(FILTER($D:$N,$C:$C = $C2543,$A:$A &lt; $A2543,$B:$B = 12)),0) + sum($D2543:$N2543)"),0.0)</f>
        <v>0</v>
      </c>
      <c r="Q2543" s="92">
        <f t="shared" si="1"/>
        <v>0</v>
      </c>
      <c r="R2543" s="91">
        <f t="array" ref="R2543">IFERROR(INDEX('Fund YTD Target Values'!$1:$1000, MATCH($C2543,'Fund YTD Target Values'!$A:$A,0), MATCH($A2543,'Fund YTD Target Values'!$1:$1,0)),0)</f>
        <v>0</v>
      </c>
      <c r="S2543" s="91">
        <f>IFERROR(__xludf.DUMMYFUNCTION("IFERROR(sum(FILTER('Fund Investment Data'!$V:$V, 'Fund Investment Data'!$C:$C = $C2543, 'Fund Investment Data'!$A:$A &lt; $A2543)),0) + IFERROR(sum(FILTER('Fund Investment Data'!$V:$V, 'Fund Investment Data'!$C:$C = $C2543, 'Fund Investment Data'!$A:$A = $A2"&amp;"543, 'Fund Investment Data'!$B:$B &lt;= $B2543)),0)"),0.0)</f>
        <v>0</v>
      </c>
      <c r="T2543" s="32"/>
      <c r="U2543" s="32"/>
      <c r="V2543" s="32">
        <f>IFERROR(__xludf.DUMMYFUNCTION("$D2543 - IFERROR(FILTER($D:$D,$C:$C = $C2543, $A:$A = $A2543, $B:$B = $B2543 - 1),0)"),0.0)</f>
        <v>0</v>
      </c>
      <c r="W2543" s="93">
        <f>IFERROR(__xludf.DUMMYFUNCTION("$E2543 - IFERROR(FILTER($E:$E,$C:$C = $C2543, $A:$A = $A2543, $B:$B = $B2543 - 1),0)"),0.0)</f>
        <v>0</v>
      </c>
      <c r="X2543" s="91">
        <f>IFERROR(__xludf.DUMMYFUNCTION("iFERROR((FILTER('Fund Investment Data'!$Z:$Z, 'Fund Investment Data'!$C:$C = $C2543, 'Fund Investment Data'!$A:$A = $A2543 - 1, 'Fund Investment Data'!$B:$B = 12) + FILTER('Fund Investment Data'!$AB:$AB, 'Fund Investment Data'!$C:$C = $C2543, 'Fund Invest"&amp;"ment Data'!$A:$A = $A2543 - 1, 'Fund Investment Data'!$B:$B = 12)) * (1 + AVERAGE(FILTER('Inflation Data'!$C:$C,'Inflation Data'!$A:$A = ($A2543 - 2)))) * Parameters!$A$4,0)"),0.0)</f>
        <v>0</v>
      </c>
      <c r="Y2543" s="91">
        <f>IFERROR(__xludf.DUMMYFUNCTION("IFERROR((IFERROR(FILTER('Fund Investment Data'!$P:$P,'Fund Investment Data'!$C:$C = $C2543,'Fund Investment Data'!$A:$A = ($A2543 - 2), 'Fund Investment Data'!$B:$B = 12),0) - SUM(FILTER('Fund Investment Data'!$V:$V, 'Fund Investment Data'!$C:$C = $C2543,"&amp;" 'Fund Investment Data'!$A:$A = ($A2543 - 2), 'Fund Investment Data'!$B:$B &gt; 3)))  * Parameters!$B$4 * (1 - Parameters!$A$4),0)"),0.0)</f>
        <v>0</v>
      </c>
      <c r="Z2543" s="91">
        <f t="shared" si="24"/>
        <v>0</v>
      </c>
      <c r="AA2543" s="91">
        <f>IFERROR(__xludf.DUMMYFUNCTION("((IFERROR((SUM(FILTER('Fund Investment Data'!$V:$V, 'Fund Investment Data'!$C:$C = $C2543, 'Fund Investment Data'!$A:$A = $A2543 - 1, 'Fund Investment Data'!$B:$B &gt;= 4, 'Fund Investment Data'!$B:$B &lt;= ($B2543 + 5))) / 12) * ($B2543 - 3) * Parameters!$B$4,"&amp;" 0) + IF($B2543 &gt;= 9, IFERROR(SUM(FILTER('Fund Investment Data'!$V:$V, 'Fund Investment Data'!$C:$C = $C2543, 'Fund Investment Data'!$A:$A = $A2543, 'Fund Investment Data'!$B:$B &lt;= 3)) * Parameters!$B$4, 0),0)))"),0.0)</f>
        <v>0</v>
      </c>
      <c r="AB2543" s="32">
        <f>IFERROR(__xludf.DUMMYFUNCTION("IFERROR(((IFERROR(SUM(FILTER('Fund Investment Data'!$V:$V, 'Fund Investment Data'!$C:$C = $C2543, 'Fund Investment Data'!$A:$A = $A2543 - 2, 'Fund Investment Data'!$B:$B &gt;= 4)) * Parameters!$B$4,0) + IFERROR(SUM(FILTER('Fund Investment Data'!$V:$V, 'Fund "&amp;"Investment Data'!$C:$C = $C2543, 'Fund Investment Data'!$A:$A = $A2543 - 1, 'Fund Investment Data'!$B:$B &lt;= 3)) * Parameters!$B$4,0))),0)"),0.0)</f>
        <v>0</v>
      </c>
      <c r="AC2543" s="32">
        <f>IFERROR(__xludf.DUMMYFUNCTION("IFERROR(FILTER($AF:$AF,$C:$C = $C2543,$A:$A = $A2543 - 1,$B:$B = 12),0)"),0.0)</f>
        <v>0</v>
      </c>
      <c r="AD2543" s="32">
        <f t="shared" si="23"/>
        <v>0</v>
      </c>
      <c r="AE2543" s="32">
        <f t="shared" si="2"/>
        <v>0</v>
      </c>
      <c r="AF2543" s="32"/>
    </row>
    <row r="2544">
      <c r="A2544" s="86"/>
      <c r="B2544" s="87"/>
      <c r="C2544" s="88"/>
      <c r="D2544" s="104"/>
      <c r="E2544" s="104"/>
      <c r="F2544" s="104"/>
      <c r="G2544" s="104"/>
      <c r="H2544" s="104"/>
      <c r="I2544" s="104"/>
      <c r="J2544" s="104"/>
      <c r="K2544" s="32"/>
      <c r="L2544" s="32"/>
      <c r="M2544" s="32"/>
      <c r="N2544" s="32"/>
      <c r="O2544" s="106"/>
      <c r="P2544" s="91">
        <f>IFERROR(__xludf.DUMMYFUNCTION("IFERROR(sum(FILTER($D:$N,$C:$C = $C2544,$A:$A &lt; $A2544,$B:$B = 12)),0) + sum($D2544:$N2544)"),0.0)</f>
        <v>0</v>
      </c>
      <c r="Q2544" s="92">
        <f t="shared" si="1"/>
        <v>0</v>
      </c>
      <c r="R2544" s="91">
        <f t="array" ref="R2544">IFERROR(INDEX('Fund YTD Target Values'!$1:$1000, MATCH($C2544,'Fund YTD Target Values'!$A:$A,0), MATCH($A2544,'Fund YTD Target Values'!$1:$1,0)),0)</f>
        <v>0</v>
      </c>
      <c r="S2544" s="91">
        <f>IFERROR(__xludf.DUMMYFUNCTION("IFERROR(sum(FILTER('Fund Investment Data'!$V:$V, 'Fund Investment Data'!$C:$C = $C2544, 'Fund Investment Data'!$A:$A &lt; $A2544)),0) + IFERROR(sum(FILTER('Fund Investment Data'!$V:$V, 'Fund Investment Data'!$C:$C = $C2544, 'Fund Investment Data'!$A:$A = $A2"&amp;"544, 'Fund Investment Data'!$B:$B &lt;= $B2544)),0)"),0.0)</f>
        <v>0</v>
      </c>
      <c r="T2544" s="32"/>
      <c r="U2544" s="32"/>
      <c r="V2544" s="32">
        <f>IFERROR(__xludf.DUMMYFUNCTION("$D2544 - IFERROR(FILTER($D:$D,$C:$C = $C2544, $A:$A = $A2544, $B:$B = $B2544 - 1),0)"),0.0)</f>
        <v>0</v>
      </c>
      <c r="W2544" s="93">
        <f>IFERROR(__xludf.DUMMYFUNCTION("$E2544 - IFERROR(FILTER($E:$E,$C:$C = $C2544, $A:$A = $A2544, $B:$B = $B2544 - 1),0)"),0.0)</f>
        <v>0</v>
      </c>
      <c r="X2544" s="91">
        <f>IFERROR(__xludf.DUMMYFUNCTION("iFERROR((FILTER('Fund Investment Data'!$Z:$Z, 'Fund Investment Data'!$C:$C = $C2544, 'Fund Investment Data'!$A:$A = $A2544 - 1, 'Fund Investment Data'!$B:$B = 12) + FILTER('Fund Investment Data'!$AB:$AB, 'Fund Investment Data'!$C:$C = $C2544, 'Fund Invest"&amp;"ment Data'!$A:$A = $A2544 - 1, 'Fund Investment Data'!$B:$B = 12)) * (1 + AVERAGE(FILTER('Inflation Data'!$C:$C,'Inflation Data'!$A:$A = ($A2544 - 2)))) * Parameters!$A$4,0)"),0.0)</f>
        <v>0</v>
      </c>
      <c r="Y2544" s="91">
        <f>IFERROR(__xludf.DUMMYFUNCTION("IFERROR((IFERROR(FILTER('Fund Investment Data'!$P:$P,'Fund Investment Data'!$C:$C = $C2544,'Fund Investment Data'!$A:$A = ($A2544 - 2), 'Fund Investment Data'!$B:$B = 12),0) - SUM(FILTER('Fund Investment Data'!$V:$V, 'Fund Investment Data'!$C:$C = $C2544,"&amp;" 'Fund Investment Data'!$A:$A = ($A2544 - 2), 'Fund Investment Data'!$B:$B &gt; 3)))  * Parameters!$B$4 * (1 - Parameters!$A$4),0)"),0.0)</f>
        <v>0</v>
      </c>
      <c r="Z2544" s="91">
        <f t="shared" si="24"/>
        <v>0</v>
      </c>
      <c r="AA2544" s="91">
        <f>IFERROR(__xludf.DUMMYFUNCTION("((IFERROR((SUM(FILTER('Fund Investment Data'!$V:$V, 'Fund Investment Data'!$C:$C = $C2544, 'Fund Investment Data'!$A:$A = $A2544 - 1, 'Fund Investment Data'!$B:$B &gt;= 4, 'Fund Investment Data'!$B:$B &lt;= ($B2544 + 5))) / 12) * ($B2544 - 3) * Parameters!$B$4,"&amp;" 0) + IF($B2544 &gt;= 9, IFERROR(SUM(FILTER('Fund Investment Data'!$V:$V, 'Fund Investment Data'!$C:$C = $C2544, 'Fund Investment Data'!$A:$A = $A2544, 'Fund Investment Data'!$B:$B &lt;= 3)) * Parameters!$B$4, 0),0)))"),0.0)</f>
        <v>0</v>
      </c>
      <c r="AB2544" s="32">
        <f>IFERROR(__xludf.DUMMYFUNCTION("IFERROR(((IFERROR(SUM(FILTER('Fund Investment Data'!$V:$V, 'Fund Investment Data'!$C:$C = $C2544, 'Fund Investment Data'!$A:$A = $A2544 - 2, 'Fund Investment Data'!$B:$B &gt;= 4)) * Parameters!$B$4,0) + IFERROR(SUM(FILTER('Fund Investment Data'!$V:$V, 'Fund "&amp;"Investment Data'!$C:$C = $C2544, 'Fund Investment Data'!$A:$A = $A2544 - 1, 'Fund Investment Data'!$B:$B &lt;= 3)) * Parameters!$B$4,0))),0)"),0.0)</f>
        <v>0</v>
      </c>
      <c r="AC2544" s="32">
        <f>IFERROR(__xludf.DUMMYFUNCTION("IFERROR(FILTER($AF:$AF,$C:$C = $C2544,$A:$A = $A2544 - 1,$B:$B = 12),0)"),0.0)</f>
        <v>0</v>
      </c>
      <c r="AD2544" s="32">
        <f t="shared" si="23"/>
        <v>0</v>
      </c>
      <c r="AE2544" s="32">
        <f t="shared" si="2"/>
        <v>0</v>
      </c>
      <c r="AF2544" s="32"/>
    </row>
    <row r="2545">
      <c r="A2545" s="86"/>
      <c r="B2545" s="87"/>
      <c r="C2545" s="88"/>
      <c r="D2545" s="104"/>
      <c r="E2545" s="104"/>
      <c r="F2545" s="104"/>
      <c r="G2545" s="104"/>
      <c r="H2545" s="104"/>
      <c r="I2545" s="104"/>
      <c r="J2545" s="104"/>
      <c r="K2545" s="32"/>
      <c r="L2545" s="32"/>
      <c r="M2545" s="32"/>
      <c r="N2545" s="32"/>
      <c r="O2545" s="106"/>
      <c r="P2545" s="91">
        <f>IFERROR(__xludf.DUMMYFUNCTION("IFERROR(sum(FILTER($D:$N,$C:$C = $C2545,$A:$A &lt; $A2545,$B:$B = 12)),0) + sum($D2545:$N2545)"),0.0)</f>
        <v>0</v>
      </c>
      <c r="Q2545" s="92">
        <f t="shared" si="1"/>
        <v>0</v>
      </c>
      <c r="R2545" s="91">
        <f t="array" ref="R2545">IFERROR(INDEX('Fund YTD Target Values'!$1:$1000, MATCH($C2545,'Fund YTD Target Values'!$A:$A,0), MATCH($A2545,'Fund YTD Target Values'!$1:$1,0)),0)</f>
        <v>0</v>
      </c>
      <c r="S2545" s="91">
        <f>IFERROR(__xludf.DUMMYFUNCTION("IFERROR(sum(FILTER('Fund Investment Data'!$V:$V, 'Fund Investment Data'!$C:$C = $C2545, 'Fund Investment Data'!$A:$A &lt; $A2545)),0) + IFERROR(sum(FILTER('Fund Investment Data'!$V:$V, 'Fund Investment Data'!$C:$C = $C2545, 'Fund Investment Data'!$A:$A = $A2"&amp;"545, 'Fund Investment Data'!$B:$B &lt;= $B2545)),0)"),0.0)</f>
        <v>0</v>
      </c>
      <c r="T2545" s="32"/>
      <c r="U2545" s="32"/>
      <c r="V2545" s="32">
        <f>IFERROR(__xludf.DUMMYFUNCTION("$D2545 - IFERROR(FILTER($D:$D,$C:$C = $C2545, $A:$A = $A2545, $B:$B = $B2545 - 1),0)"),0.0)</f>
        <v>0</v>
      </c>
      <c r="W2545" s="93">
        <f>IFERROR(__xludf.DUMMYFUNCTION("$E2545 - IFERROR(FILTER($E:$E,$C:$C = $C2545, $A:$A = $A2545, $B:$B = $B2545 - 1),0)"),0.0)</f>
        <v>0</v>
      </c>
      <c r="X2545" s="91">
        <f>IFERROR(__xludf.DUMMYFUNCTION("iFERROR((FILTER('Fund Investment Data'!$Z:$Z, 'Fund Investment Data'!$C:$C = $C2545, 'Fund Investment Data'!$A:$A = $A2545 - 1, 'Fund Investment Data'!$B:$B = 12) + FILTER('Fund Investment Data'!$AB:$AB, 'Fund Investment Data'!$C:$C = $C2545, 'Fund Invest"&amp;"ment Data'!$A:$A = $A2545 - 1, 'Fund Investment Data'!$B:$B = 12)) * (1 + AVERAGE(FILTER('Inflation Data'!$C:$C,'Inflation Data'!$A:$A = ($A2545 - 2)))) * Parameters!$A$4,0)"),0.0)</f>
        <v>0</v>
      </c>
      <c r="Y2545" s="91">
        <f>IFERROR(__xludf.DUMMYFUNCTION("IFERROR((IFERROR(FILTER('Fund Investment Data'!$P:$P,'Fund Investment Data'!$C:$C = $C2545,'Fund Investment Data'!$A:$A = ($A2545 - 2), 'Fund Investment Data'!$B:$B = 12),0) - SUM(FILTER('Fund Investment Data'!$V:$V, 'Fund Investment Data'!$C:$C = $C2545,"&amp;" 'Fund Investment Data'!$A:$A = ($A2545 - 2), 'Fund Investment Data'!$B:$B &gt; 3)))  * Parameters!$B$4 * (1 - Parameters!$A$4),0)"),0.0)</f>
        <v>0</v>
      </c>
      <c r="Z2545" s="91">
        <f t="shared" si="24"/>
        <v>0</v>
      </c>
      <c r="AA2545" s="91">
        <f>IFERROR(__xludf.DUMMYFUNCTION("((IFERROR((SUM(FILTER('Fund Investment Data'!$V:$V, 'Fund Investment Data'!$C:$C = $C2545, 'Fund Investment Data'!$A:$A = $A2545 - 1, 'Fund Investment Data'!$B:$B &gt;= 4, 'Fund Investment Data'!$B:$B &lt;= ($B2545 + 5))) / 12) * ($B2545 - 3) * Parameters!$B$4,"&amp;" 0) + IF($B2545 &gt;= 9, IFERROR(SUM(FILTER('Fund Investment Data'!$V:$V, 'Fund Investment Data'!$C:$C = $C2545, 'Fund Investment Data'!$A:$A = $A2545, 'Fund Investment Data'!$B:$B &lt;= 3)) * Parameters!$B$4, 0),0)))"),0.0)</f>
        <v>0</v>
      </c>
      <c r="AB2545" s="32">
        <f>IFERROR(__xludf.DUMMYFUNCTION("IFERROR(((IFERROR(SUM(FILTER('Fund Investment Data'!$V:$V, 'Fund Investment Data'!$C:$C = $C2545, 'Fund Investment Data'!$A:$A = $A2545 - 2, 'Fund Investment Data'!$B:$B &gt;= 4)) * Parameters!$B$4,0) + IFERROR(SUM(FILTER('Fund Investment Data'!$V:$V, 'Fund "&amp;"Investment Data'!$C:$C = $C2545, 'Fund Investment Data'!$A:$A = $A2545 - 1, 'Fund Investment Data'!$B:$B &lt;= 3)) * Parameters!$B$4,0))),0)"),0.0)</f>
        <v>0</v>
      </c>
      <c r="AC2545" s="32">
        <f>IFERROR(__xludf.DUMMYFUNCTION("IFERROR(FILTER($AF:$AF,$C:$C = $C2545,$A:$A = $A2545 - 1,$B:$B = 12),0)"),0.0)</f>
        <v>0</v>
      </c>
      <c r="AD2545" s="32">
        <f t="shared" si="23"/>
        <v>0</v>
      </c>
      <c r="AE2545" s="32">
        <f t="shared" si="2"/>
        <v>0</v>
      </c>
      <c r="AF2545" s="32"/>
    </row>
    <row r="2546">
      <c r="A2546" s="86"/>
      <c r="B2546" s="87"/>
      <c r="C2546" s="88"/>
      <c r="D2546" s="104"/>
      <c r="E2546" s="104"/>
      <c r="F2546" s="104"/>
      <c r="G2546" s="104"/>
      <c r="H2546" s="104"/>
      <c r="I2546" s="104"/>
      <c r="J2546" s="104"/>
      <c r="K2546" s="32"/>
      <c r="L2546" s="32"/>
      <c r="M2546" s="32"/>
      <c r="N2546" s="32"/>
      <c r="O2546" s="106"/>
      <c r="P2546" s="91">
        <f>IFERROR(__xludf.DUMMYFUNCTION("IFERROR(sum(FILTER($D:$N,$C:$C = $C2546,$A:$A &lt; $A2546,$B:$B = 12)),0) + sum($D2546:$N2546)"),0.0)</f>
        <v>0</v>
      </c>
      <c r="Q2546" s="92">
        <f t="shared" si="1"/>
        <v>0</v>
      </c>
      <c r="R2546" s="91">
        <f t="array" ref="R2546">IFERROR(INDEX('Fund YTD Target Values'!$1:$1000, MATCH($C2546,'Fund YTD Target Values'!$A:$A,0), MATCH($A2546,'Fund YTD Target Values'!$1:$1,0)),0)</f>
        <v>0</v>
      </c>
      <c r="S2546" s="91">
        <f>IFERROR(__xludf.DUMMYFUNCTION("IFERROR(sum(FILTER('Fund Investment Data'!$V:$V, 'Fund Investment Data'!$C:$C = $C2546, 'Fund Investment Data'!$A:$A &lt; $A2546)),0) + IFERROR(sum(FILTER('Fund Investment Data'!$V:$V, 'Fund Investment Data'!$C:$C = $C2546, 'Fund Investment Data'!$A:$A = $A2"&amp;"546, 'Fund Investment Data'!$B:$B &lt;= $B2546)),0)"),0.0)</f>
        <v>0</v>
      </c>
      <c r="T2546" s="32"/>
      <c r="U2546" s="32"/>
      <c r="V2546" s="32">
        <f>IFERROR(__xludf.DUMMYFUNCTION("$D2546 - IFERROR(FILTER($D:$D,$C:$C = $C2546, $A:$A = $A2546, $B:$B = $B2546 - 1),0)"),0.0)</f>
        <v>0</v>
      </c>
      <c r="W2546" s="93">
        <f>IFERROR(__xludf.DUMMYFUNCTION("$E2546 - IFERROR(FILTER($E:$E,$C:$C = $C2546, $A:$A = $A2546, $B:$B = $B2546 - 1),0)"),0.0)</f>
        <v>0</v>
      </c>
      <c r="X2546" s="91">
        <f>IFERROR(__xludf.DUMMYFUNCTION("iFERROR((FILTER('Fund Investment Data'!$Z:$Z, 'Fund Investment Data'!$C:$C = $C2546, 'Fund Investment Data'!$A:$A = $A2546 - 1, 'Fund Investment Data'!$B:$B = 12) + FILTER('Fund Investment Data'!$AB:$AB, 'Fund Investment Data'!$C:$C = $C2546, 'Fund Invest"&amp;"ment Data'!$A:$A = $A2546 - 1, 'Fund Investment Data'!$B:$B = 12)) * (1 + AVERAGE(FILTER('Inflation Data'!$C:$C,'Inflation Data'!$A:$A = ($A2546 - 2)))) * Parameters!$A$4,0)"),0.0)</f>
        <v>0</v>
      </c>
      <c r="Y2546" s="91">
        <f>IFERROR(__xludf.DUMMYFUNCTION("IFERROR((IFERROR(FILTER('Fund Investment Data'!$P:$P,'Fund Investment Data'!$C:$C = $C2546,'Fund Investment Data'!$A:$A = ($A2546 - 2), 'Fund Investment Data'!$B:$B = 12),0) - SUM(FILTER('Fund Investment Data'!$V:$V, 'Fund Investment Data'!$C:$C = $C2546,"&amp;" 'Fund Investment Data'!$A:$A = ($A2546 - 2), 'Fund Investment Data'!$B:$B &gt; 3)))  * Parameters!$B$4 * (1 - Parameters!$A$4),0)"),0.0)</f>
        <v>0</v>
      </c>
      <c r="Z2546" s="91">
        <f t="shared" si="24"/>
        <v>0</v>
      </c>
      <c r="AA2546" s="91">
        <f>IFERROR(__xludf.DUMMYFUNCTION("((IFERROR((SUM(FILTER('Fund Investment Data'!$V:$V, 'Fund Investment Data'!$C:$C = $C2546, 'Fund Investment Data'!$A:$A = $A2546 - 1, 'Fund Investment Data'!$B:$B &gt;= 4, 'Fund Investment Data'!$B:$B &lt;= ($B2546 + 5))) / 12) * ($B2546 - 3) * Parameters!$B$4,"&amp;" 0) + IF($B2546 &gt;= 9, IFERROR(SUM(FILTER('Fund Investment Data'!$V:$V, 'Fund Investment Data'!$C:$C = $C2546, 'Fund Investment Data'!$A:$A = $A2546, 'Fund Investment Data'!$B:$B &lt;= 3)) * Parameters!$B$4, 0),0)))"),0.0)</f>
        <v>0</v>
      </c>
      <c r="AB2546" s="32">
        <f>IFERROR(__xludf.DUMMYFUNCTION("IFERROR(((IFERROR(SUM(FILTER('Fund Investment Data'!$V:$V, 'Fund Investment Data'!$C:$C = $C2546, 'Fund Investment Data'!$A:$A = $A2546 - 2, 'Fund Investment Data'!$B:$B &gt;= 4)) * Parameters!$B$4,0) + IFERROR(SUM(FILTER('Fund Investment Data'!$V:$V, 'Fund "&amp;"Investment Data'!$C:$C = $C2546, 'Fund Investment Data'!$A:$A = $A2546 - 1, 'Fund Investment Data'!$B:$B &lt;= 3)) * Parameters!$B$4,0))),0)"),0.0)</f>
        <v>0</v>
      </c>
      <c r="AC2546" s="32">
        <f>IFERROR(__xludf.DUMMYFUNCTION("IFERROR(FILTER($AF:$AF,$C:$C = $C2546,$A:$A = $A2546 - 1,$B:$B = 12),0)"),0.0)</f>
        <v>0</v>
      </c>
      <c r="AD2546" s="32">
        <f t="shared" si="23"/>
        <v>0</v>
      </c>
      <c r="AE2546" s="32">
        <f t="shared" si="2"/>
        <v>0</v>
      </c>
      <c r="AF2546" s="32"/>
    </row>
    <row r="2547">
      <c r="A2547" s="86"/>
      <c r="B2547" s="87"/>
      <c r="C2547" s="88"/>
      <c r="D2547" s="104"/>
      <c r="E2547" s="104"/>
      <c r="F2547" s="104"/>
      <c r="G2547" s="104"/>
      <c r="H2547" s="104"/>
      <c r="I2547" s="104"/>
      <c r="J2547" s="104"/>
      <c r="K2547" s="32"/>
      <c r="L2547" s="32"/>
      <c r="M2547" s="32"/>
      <c r="N2547" s="32"/>
      <c r="O2547" s="106"/>
      <c r="P2547" s="91">
        <f>IFERROR(__xludf.DUMMYFUNCTION("IFERROR(sum(FILTER($D:$N,$C:$C = $C2547,$A:$A &lt; $A2547,$B:$B = 12)),0) + sum($D2547:$N2547)"),0.0)</f>
        <v>0</v>
      </c>
      <c r="Q2547" s="92">
        <f t="shared" si="1"/>
        <v>0</v>
      </c>
      <c r="R2547" s="91">
        <f t="array" ref="R2547">IFERROR(INDEX('Fund YTD Target Values'!$1:$1000, MATCH($C2547,'Fund YTD Target Values'!$A:$A,0), MATCH($A2547,'Fund YTD Target Values'!$1:$1,0)),0)</f>
        <v>0</v>
      </c>
      <c r="S2547" s="91">
        <f>IFERROR(__xludf.DUMMYFUNCTION("IFERROR(sum(FILTER('Fund Investment Data'!$V:$V, 'Fund Investment Data'!$C:$C = $C2547, 'Fund Investment Data'!$A:$A &lt; $A2547)),0) + IFERROR(sum(FILTER('Fund Investment Data'!$V:$V, 'Fund Investment Data'!$C:$C = $C2547, 'Fund Investment Data'!$A:$A = $A2"&amp;"547, 'Fund Investment Data'!$B:$B &lt;= $B2547)),0)"),0.0)</f>
        <v>0</v>
      </c>
      <c r="T2547" s="32"/>
      <c r="U2547" s="32"/>
      <c r="V2547" s="32">
        <f>IFERROR(__xludf.DUMMYFUNCTION("$D2547 - IFERROR(FILTER($D:$D,$C:$C = $C2547, $A:$A = $A2547, $B:$B = $B2547 - 1),0)"),0.0)</f>
        <v>0</v>
      </c>
      <c r="W2547" s="93">
        <f>IFERROR(__xludf.DUMMYFUNCTION("$E2547 - IFERROR(FILTER($E:$E,$C:$C = $C2547, $A:$A = $A2547, $B:$B = $B2547 - 1),0)"),0.0)</f>
        <v>0</v>
      </c>
      <c r="X2547" s="91">
        <f>IFERROR(__xludf.DUMMYFUNCTION("iFERROR((FILTER('Fund Investment Data'!$Z:$Z, 'Fund Investment Data'!$C:$C = $C2547, 'Fund Investment Data'!$A:$A = $A2547 - 1, 'Fund Investment Data'!$B:$B = 12) + FILTER('Fund Investment Data'!$AB:$AB, 'Fund Investment Data'!$C:$C = $C2547, 'Fund Invest"&amp;"ment Data'!$A:$A = $A2547 - 1, 'Fund Investment Data'!$B:$B = 12)) * (1 + AVERAGE(FILTER('Inflation Data'!$C:$C,'Inflation Data'!$A:$A = ($A2547 - 2)))) * Parameters!$A$4,0)"),0.0)</f>
        <v>0</v>
      </c>
      <c r="Y2547" s="91">
        <f>IFERROR(__xludf.DUMMYFUNCTION("IFERROR((IFERROR(FILTER('Fund Investment Data'!$P:$P,'Fund Investment Data'!$C:$C = $C2547,'Fund Investment Data'!$A:$A = ($A2547 - 2), 'Fund Investment Data'!$B:$B = 12),0) - SUM(FILTER('Fund Investment Data'!$V:$V, 'Fund Investment Data'!$C:$C = $C2547,"&amp;" 'Fund Investment Data'!$A:$A = ($A2547 - 2), 'Fund Investment Data'!$B:$B &gt; 3)))  * Parameters!$B$4 * (1 - Parameters!$A$4),0)"),0.0)</f>
        <v>0</v>
      </c>
      <c r="Z2547" s="91">
        <f t="shared" si="24"/>
        <v>0</v>
      </c>
      <c r="AA2547" s="91">
        <f>IFERROR(__xludf.DUMMYFUNCTION("((IFERROR((SUM(FILTER('Fund Investment Data'!$V:$V, 'Fund Investment Data'!$C:$C = $C2547, 'Fund Investment Data'!$A:$A = $A2547 - 1, 'Fund Investment Data'!$B:$B &gt;= 4, 'Fund Investment Data'!$B:$B &lt;= ($B2547 + 5))) / 12) * ($B2547 - 3) * Parameters!$B$4,"&amp;" 0) + IF($B2547 &gt;= 9, IFERROR(SUM(FILTER('Fund Investment Data'!$V:$V, 'Fund Investment Data'!$C:$C = $C2547, 'Fund Investment Data'!$A:$A = $A2547, 'Fund Investment Data'!$B:$B &lt;= 3)) * Parameters!$B$4, 0),0)))"),0.0)</f>
        <v>0</v>
      </c>
      <c r="AB2547" s="32">
        <f>IFERROR(__xludf.DUMMYFUNCTION("IFERROR(((IFERROR(SUM(FILTER('Fund Investment Data'!$V:$V, 'Fund Investment Data'!$C:$C = $C2547, 'Fund Investment Data'!$A:$A = $A2547 - 2, 'Fund Investment Data'!$B:$B &gt;= 4)) * Parameters!$B$4,0) + IFERROR(SUM(FILTER('Fund Investment Data'!$V:$V, 'Fund "&amp;"Investment Data'!$C:$C = $C2547, 'Fund Investment Data'!$A:$A = $A2547 - 1, 'Fund Investment Data'!$B:$B &lt;= 3)) * Parameters!$B$4,0))),0)"),0.0)</f>
        <v>0</v>
      </c>
      <c r="AC2547" s="32">
        <f>IFERROR(__xludf.DUMMYFUNCTION("IFERROR(FILTER($AF:$AF,$C:$C = $C2547,$A:$A = $A2547 - 1,$B:$B = 12),0)"),0.0)</f>
        <v>0</v>
      </c>
      <c r="AD2547" s="32">
        <f t="shared" si="23"/>
        <v>0</v>
      </c>
      <c r="AE2547" s="32">
        <f t="shared" si="2"/>
        <v>0</v>
      </c>
      <c r="AF2547" s="32"/>
    </row>
    <row r="2548">
      <c r="A2548" s="86"/>
      <c r="B2548" s="87"/>
      <c r="C2548" s="88"/>
      <c r="D2548" s="104"/>
      <c r="E2548" s="104"/>
      <c r="F2548" s="104"/>
      <c r="G2548" s="104"/>
      <c r="H2548" s="104"/>
      <c r="I2548" s="104"/>
      <c r="J2548" s="104"/>
      <c r="K2548" s="32"/>
      <c r="L2548" s="32"/>
      <c r="M2548" s="32"/>
      <c r="N2548" s="32"/>
      <c r="O2548" s="106"/>
      <c r="P2548" s="91">
        <f>IFERROR(__xludf.DUMMYFUNCTION("IFERROR(sum(FILTER($D:$N,$C:$C = $C2548,$A:$A &lt; $A2548,$B:$B = 12)),0) + sum($D2548:$N2548)"),0.0)</f>
        <v>0</v>
      </c>
      <c r="Q2548" s="92">
        <f t="shared" si="1"/>
        <v>0</v>
      </c>
      <c r="R2548" s="91">
        <f t="array" ref="R2548">IFERROR(INDEX('Fund YTD Target Values'!$1:$1000, MATCH($C2548,'Fund YTD Target Values'!$A:$A,0), MATCH($A2548,'Fund YTD Target Values'!$1:$1,0)),0)</f>
        <v>0</v>
      </c>
      <c r="S2548" s="91">
        <f>IFERROR(__xludf.DUMMYFUNCTION("IFERROR(sum(FILTER('Fund Investment Data'!$V:$V, 'Fund Investment Data'!$C:$C = $C2548, 'Fund Investment Data'!$A:$A &lt; $A2548)),0) + IFERROR(sum(FILTER('Fund Investment Data'!$V:$V, 'Fund Investment Data'!$C:$C = $C2548, 'Fund Investment Data'!$A:$A = $A2"&amp;"548, 'Fund Investment Data'!$B:$B &lt;= $B2548)),0)"),0.0)</f>
        <v>0</v>
      </c>
      <c r="T2548" s="32"/>
      <c r="U2548" s="32"/>
      <c r="V2548" s="32">
        <f>IFERROR(__xludf.DUMMYFUNCTION("$D2548 - IFERROR(FILTER($D:$D,$C:$C = $C2548, $A:$A = $A2548, $B:$B = $B2548 - 1),0)"),0.0)</f>
        <v>0</v>
      </c>
      <c r="W2548" s="93">
        <f>IFERROR(__xludf.DUMMYFUNCTION("$E2548 - IFERROR(FILTER($E:$E,$C:$C = $C2548, $A:$A = $A2548, $B:$B = $B2548 - 1),0)"),0.0)</f>
        <v>0</v>
      </c>
      <c r="X2548" s="91">
        <f>IFERROR(__xludf.DUMMYFUNCTION("iFERROR((FILTER('Fund Investment Data'!$Z:$Z, 'Fund Investment Data'!$C:$C = $C2548, 'Fund Investment Data'!$A:$A = $A2548 - 1, 'Fund Investment Data'!$B:$B = 12) + FILTER('Fund Investment Data'!$AB:$AB, 'Fund Investment Data'!$C:$C = $C2548, 'Fund Invest"&amp;"ment Data'!$A:$A = $A2548 - 1, 'Fund Investment Data'!$B:$B = 12)) * (1 + AVERAGE(FILTER('Inflation Data'!$C:$C,'Inflation Data'!$A:$A = ($A2548 - 2)))) * Parameters!$A$4,0)"),0.0)</f>
        <v>0</v>
      </c>
      <c r="Y2548" s="91">
        <f>IFERROR(__xludf.DUMMYFUNCTION("IFERROR((IFERROR(FILTER('Fund Investment Data'!$P:$P,'Fund Investment Data'!$C:$C = $C2548,'Fund Investment Data'!$A:$A = ($A2548 - 2), 'Fund Investment Data'!$B:$B = 12),0) - SUM(FILTER('Fund Investment Data'!$V:$V, 'Fund Investment Data'!$C:$C = $C2548,"&amp;" 'Fund Investment Data'!$A:$A = ($A2548 - 2), 'Fund Investment Data'!$B:$B &gt; 3)))  * Parameters!$B$4 * (1 - Parameters!$A$4),0)"),0.0)</f>
        <v>0</v>
      </c>
      <c r="Z2548" s="91">
        <f t="shared" si="24"/>
        <v>0</v>
      </c>
      <c r="AA2548" s="91">
        <f>IFERROR(__xludf.DUMMYFUNCTION("((IFERROR((SUM(FILTER('Fund Investment Data'!$V:$V, 'Fund Investment Data'!$C:$C = $C2548, 'Fund Investment Data'!$A:$A = $A2548 - 1, 'Fund Investment Data'!$B:$B &gt;= 4, 'Fund Investment Data'!$B:$B &lt;= ($B2548 + 5))) / 12) * ($B2548 - 3) * Parameters!$B$4,"&amp;" 0) + IF($B2548 &gt;= 9, IFERROR(SUM(FILTER('Fund Investment Data'!$V:$V, 'Fund Investment Data'!$C:$C = $C2548, 'Fund Investment Data'!$A:$A = $A2548, 'Fund Investment Data'!$B:$B &lt;= 3)) * Parameters!$B$4, 0),0)))"),0.0)</f>
        <v>0</v>
      </c>
      <c r="AB2548" s="32">
        <f>IFERROR(__xludf.DUMMYFUNCTION("IFERROR(((IFERROR(SUM(FILTER('Fund Investment Data'!$V:$V, 'Fund Investment Data'!$C:$C = $C2548, 'Fund Investment Data'!$A:$A = $A2548 - 2, 'Fund Investment Data'!$B:$B &gt;= 4)) * Parameters!$B$4,0) + IFERROR(SUM(FILTER('Fund Investment Data'!$V:$V, 'Fund "&amp;"Investment Data'!$C:$C = $C2548, 'Fund Investment Data'!$A:$A = $A2548 - 1, 'Fund Investment Data'!$B:$B &lt;= 3)) * Parameters!$B$4,0))),0)"),0.0)</f>
        <v>0</v>
      </c>
      <c r="AC2548" s="32">
        <f>IFERROR(__xludf.DUMMYFUNCTION("IFERROR(FILTER($AF:$AF,$C:$C = $C2548,$A:$A = $A2548 - 1,$B:$B = 12),0)"),0.0)</f>
        <v>0</v>
      </c>
      <c r="AD2548" s="32">
        <f t="shared" si="23"/>
        <v>0</v>
      </c>
      <c r="AE2548" s="32">
        <f t="shared" si="2"/>
        <v>0</v>
      </c>
      <c r="AF2548" s="32"/>
    </row>
    <row r="2549">
      <c r="A2549" s="86"/>
      <c r="B2549" s="87"/>
      <c r="C2549" s="88"/>
      <c r="D2549" s="104"/>
      <c r="E2549" s="104"/>
      <c r="F2549" s="104"/>
      <c r="G2549" s="104"/>
      <c r="H2549" s="104"/>
      <c r="I2549" s="104"/>
      <c r="J2549" s="104"/>
      <c r="K2549" s="32"/>
      <c r="L2549" s="32"/>
      <c r="M2549" s="32"/>
      <c r="N2549" s="32"/>
      <c r="O2549" s="106"/>
      <c r="P2549" s="91">
        <f>IFERROR(__xludf.DUMMYFUNCTION("IFERROR(sum(FILTER($D:$N,$C:$C = $C2549,$A:$A &lt; $A2549,$B:$B = 12)),0) + sum($D2549:$N2549)"),0.0)</f>
        <v>0</v>
      </c>
      <c r="Q2549" s="92">
        <f t="shared" si="1"/>
        <v>0</v>
      </c>
      <c r="R2549" s="91">
        <f t="array" ref="R2549">IFERROR(INDEX('Fund YTD Target Values'!$1:$1000, MATCH($C2549,'Fund YTD Target Values'!$A:$A,0), MATCH($A2549,'Fund YTD Target Values'!$1:$1,0)),0)</f>
        <v>0</v>
      </c>
      <c r="S2549" s="91">
        <f>IFERROR(__xludf.DUMMYFUNCTION("IFERROR(sum(FILTER('Fund Investment Data'!$V:$V, 'Fund Investment Data'!$C:$C = $C2549, 'Fund Investment Data'!$A:$A &lt; $A2549)),0) + IFERROR(sum(FILTER('Fund Investment Data'!$V:$V, 'Fund Investment Data'!$C:$C = $C2549, 'Fund Investment Data'!$A:$A = $A2"&amp;"549, 'Fund Investment Data'!$B:$B &lt;= $B2549)),0)"),0.0)</f>
        <v>0</v>
      </c>
      <c r="T2549" s="32"/>
      <c r="U2549" s="32"/>
      <c r="V2549" s="32">
        <f>IFERROR(__xludf.DUMMYFUNCTION("$D2549 - IFERROR(FILTER($D:$D,$C:$C = $C2549, $A:$A = $A2549, $B:$B = $B2549 - 1),0)"),0.0)</f>
        <v>0</v>
      </c>
      <c r="W2549" s="93">
        <f>IFERROR(__xludf.DUMMYFUNCTION("$E2549 - IFERROR(FILTER($E:$E,$C:$C = $C2549, $A:$A = $A2549, $B:$B = $B2549 - 1),0)"),0.0)</f>
        <v>0</v>
      </c>
      <c r="X2549" s="91">
        <f>IFERROR(__xludf.DUMMYFUNCTION("iFERROR((FILTER('Fund Investment Data'!$Z:$Z, 'Fund Investment Data'!$C:$C = $C2549, 'Fund Investment Data'!$A:$A = $A2549 - 1, 'Fund Investment Data'!$B:$B = 12) + FILTER('Fund Investment Data'!$AB:$AB, 'Fund Investment Data'!$C:$C = $C2549, 'Fund Invest"&amp;"ment Data'!$A:$A = $A2549 - 1, 'Fund Investment Data'!$B:$B = 12)) * (1 + AVERAGE(FILTER('Inflation Data'!$C:$C,'Inflation Data'!$A:$A = ($A2549 - 2)))) * Parameters!$A$4,0)"),0.0)</f>
        <v>0</v>
      </c>
      <c r="Y2549" s="91">
        <f>IFERROR(__xludf.DUMMYFUNCTION("IFERROR((IFERROR(FILTER('Fund Investment Data'!$P:$P,'Fund Investment Data'!$C:$C = $C2549,'Fund Investment Data'!$A:$A = ($A2549 - 2), 'Fund Investment Data'!$B:$B = 12),0) - SUM(FILTER('Fund Investment Data'!$V:$V, 'Fund Investment Data'!$C:$C = $C2549,"&amp;" 'Fund Investment Data'!$A:$A = ($A2549 - 2), 'Fund Investment Data'!$B:$B &gt; 3)))  * Parameters!$B$4 * (1 - Parameters!$A$4),0)"),0.0)</f>
        <v>0</v>
      </c>
      <c r="Z2549" s="91">
        <f t="shared" si="24"/>
        <v>0</v>
      </c>
      <c r="AA2549" s="91">
        <f>IFERROR(__xludf.DUMMYFUNCTION("((IFERROR((SUM(FILTER('Fund Investment Data'!$V:$V, 'Fund Investment Data'!$C:$C = $C2549, 'Fund Investment Data'!$A:$A = $A2549 - 1, 'Fund Investment Data'!$B:$B &gt;= 4, 'Fund Investment Data'!$B:$B &lt;= ($B2549 + 5))) / 12) * ($B2549 - 3) * Parameters!$B$4,"&amp;" 0) + IF($B2549 &gt;= 9, IFERROR(SUM(FILTER('Fund Investment Data'!$V:$V, 'Fund Investment Data'!$C:$C = $C2549, 'Fund Investment Data'!$A:$A = $A2549, 'Fund Investment Data'!$B:$B &lt;= 3)) * Parameters!$B$4, 0),0)))"),0.0)</f>
        <v>0</v>
      </c>
      <c r="AB2549" s="32">
        <f>IFERROR(__xludf.DUMMYFUNCTION("IFERROR(((IFERROR(SUM(FILTER('Fund Investment Data'!$V:$V, 'Fund Investment Data'!$C:$C = $C2549, 'Fund Investment Data'!$A:$A = $A2549 - 2, 'Fund Investment Data'!$B:$B &gt;= 4)) * Parameters!$B$4,0) + IFERROR(SUM(FILTER('Fund Investment Data'!$V:$V, 'Fund "&amp;"Investment Data'!$C:$C = $C2549, 'Fund Investment Data'!$A:$A = $A2549 - 1, 'Fund Investment Data'!$B:$B &lt;= 3)) * Parameters!$B$4,0))),0)"),0.0)</f>
        <v>0</v>
      </c>
      <c r="AC2549" s="32">
        <f>IFERROR(__xludf.DUMMYFUNCTION("IFERROR(FILTER($AF:$AF,$C:$C = $C2549,$A:$A = $A2549 - 1,$B:$B = 12),0)"),0.0)</f>
        <v>0</v>
      </c>
      <c r="AD2549" s="32">
        <f t="shared" si="23"/>
        <v>0</v>
      </c>
      <c r="AE2549" s="32">
        <f t="shared" si="2"/>
        <v>0</v>
      </c>
      <c r="AF2549" s="32"/>
    </row>
    <row r="2550">
      <c r="A2550" s="86"/>
      <c r="B2550" s="87"/>
      <c r="C2550" s="88"/>
      <c r="D2550" s="104"/>
      <c r="E2550" s="104"/>
      <c r="F2550" s="104"/>
      <c r="G2550" s="104"/>
      <c r="H2550" s="104"/>
      <c r="I2550" s="104"/>
      <c r="J2550" s="104"/>
      <c r="K2550" s="32"/>
      <c r="L2550" s="32"/>
      <c r="M2550" s="32"/>
      <c r="N2550" s="32"/>
      <c r="O2550" s="106"/>
      <c r="P2550" s="91">
        <f>IFERROR(__xludf.DUMMYFUNCTION("IFERROR(sum(FILTER($D:$N,$C:$C = $C2550,$A:$A &lt; $A2550,$B:$B = 12)),0) + sum($D2550:$N2550)"),0.0)</f>
        <v>0</v>
      </c>
      <c r="Q2550" s="92">
        <f t="shared" si="1"/>
        <v>0</v>
      </c>
      <c r="R2550" s="91">
        <f t="array" ref="R2550">IFERROR(INDEX('Fund YTD Target Values'!$1:$1000, MATCH($C2550,'Fund YTD Target Values'!$A:$A,0), MATCH($A2550,'Fund YTD Target Values'!$1:$1,0)),0)</f>
        <v>0</v>
      </c>
      <c r="S2550" s="91">
        <f>IFERROR(__xludf.DUMMYFUNCTION("IFERROR(sum(FILTER('Fund Investment Data'!$V:$V, 'Fund Investment Data'!$C:$C = $C2550, 'Fund Investment Data'!$A:$A &lt; $A2550)),0) + IFERROR(sum(FILTER('Fund Investment Data'!$V:$V, 'Fund Investment Data'!$C:$C = $C2550, 'Fund Investment Data'!$A:$A = $A2"&amp;"550, 'Fund Investment Data'!$B:$B &lt;= $B2550)),0)"),0.0)</f>
        <v>0</v>
      </c>
      <c r="T2550" s="32"/>
      <c r="U2550" s="32"/>
      <c r="V2550" s="32">
        <f>IFERROR(__xludf.DUMMYFUNCTION("$D2550 - IFERROR(FILTER($D:$D,$C:$C = $C2550, $A:$A = $A2550, $B:$B = $B2550 - 1),0)"),0.0)</f>
        <v>0</v>
      </c>
      <c r="W2550" s="93">
        <f>IFERROR(__xludf.DUMMYFUNCTION("$E2550 - IFERROR(FILTER($E:$E,$C:$C = $C2550, $A:$A = $A2550, $B:$B = $B2550 - 1),0)"),0.0)</f>
        <v>0</v>
      </c>
      <c r="X2550" s="91">
        <f>IFERROR(__xludf.DUMMYFUNCTION("iFERROR((FILTER('Fund Investment Data'!$Z:$Z, 'Fund Investment Data'!$C:$C = $C2550, 'Fund Investment Data'!$A:$A = $A2550 - 1, 'Fund Investment Data'!$B:$B = 12) + FILTER('Fund Investment Data'!$AB:$AB, 'Fund Investment Data'!$C:$C = $C2550, 'Fund Invest"&amp;"ment Data'!$A:$A = $A2550 - 1, 'Fund Investment Data'!$B:$B = 12)) * (1 + AVERAGE(FILTER('Inflation Data'!$C:$C,'Inflation Data'!$A:$A = ($A2550 - 2)))) * Parameters!$A$4,0)"),0.0)</f>
        <v>0</v>
      </c>
      <c r="Y2550" s="91">
        <f>IFERROR(__xludf.DUMMYFUNCTION("IFERROR((IFERROR(FILTER('Fund Investment Data'!$P:$P,'Fund Investment Data'!$C:$C = $C2550,'Fund Investment Data'!$A:$A = ($A2550 - 2), 'Fund Investment Data'!$B:$B = 12),0) - SUM(FILTER('Fund Investment Data'!$V:$V, 'Fund Investment Data'!$C:$C = $C2550,"&amp;" 'Fund Investment Data'!$A:$A = ($A2550 - 2), 'Fund Investment Data'!$B:$B &gt; 3)))  * Parameters!$B$4 * (1 - Parameters!$A$4),0)"),0.0)</f>
        <v>0</v>
      </c>
      <c r="Z2550" s="91">
        <f t="shared" si="24"/>
        <v>0</v>
      </c>
      <c r="AA2550" s="91">
        <f>IFERROR(__xludf.DUMMYFUNCTION("((IFERROR((SUM(FILTER('Fund Investment Data'!$V:$V, 'Fund Investment Data'!$C:$C = $C2550, 'Fund Investment Data'!$A:$A = $A2550 - 1, 'Fund Investment Data'!$B:$B &gt;= 4, 'Fund Investment Data'!$B:$B &lt;= ($B2550 + 5))) / 12) * ($B2550 - 3) * Parameters!$B$4,"&amp;" 0) + IF($B2550 &gt;= 9, IFERROR(SUM(FILTER('Fund Investment Data'!$V:$V, 'Fund Investment Data'!$C:$C = $C2550, 'Fund Investment Data'!$A:$A = $A2550, 'Fund Investment Data'!$B:$B &lt;= 3)) * Parameters!$B$4, 0),0)))"),0.0)</f>
        <v>0</v>
      </c>
      <c r="AB2550" s="32">
        <f>IFERROR(__xludf.DUMMYFUNCTION("IFERROR(((IFERROR(SUM(FILTER('Fund Investment Data'!$V:$V, 'Fund Investment Data'!$C:$C = $C2550, 'Fund Investment Data'!$A:$A = $A2550 - 2, 'Fund Investment Data'!$B:$B &gt;= 4)) * Parameters!$B$4,0) + IFERROR(SUM(FILTER('Fund Investment Data'!$V:$V, 'Fund "&amp;"Investment Data'!$C:$C = $C2550, 'Fund Investment Data'!$A:$A = $A2550 - 1, 'Fund Investment Data'!$B:$B &lt;= 3)) * Parameters!$B$4,0))),0)"),0.0)</f>
        <v>0</v>
      </c>
      <c r="AC2550" s="32">
        <f>IFERROR(__xludf.DUMMYFUNCTION("IFERROR(FILTER($AF:$AF,$C:$C = $C2550,$A:$A = $A2550 - 1,$B:$B = 12),0)"),0.0)</f>
        <v>0</v>
      </c>
      <c r="AD2550" s="32">
        <f t="shared" si="23"/>
        <v>0</v>
      </c>
      <c r="AE2550" s="32">
        <f t="shared" si="2"/>
        <v>0</v>
      </c>
      <c r="AF2550" s="32"/>
    </row>
    <row r="2551">
      <c r="A2551" s="86"/>
      <c r="B2551" s="87"/>
      <c r="C2551" s="88"/>
      <c r="D2551" s="104"/>
      <c r="E2551" s="104"/>
      <c r="F2551" s="104"/>
      <c r="G2551" s="104"/>
      <c r="H2551" s="104"/>
      <c r="I2551" s="104"/>
      <c r="J2551" s="104"/>
      <c r="K2551" s="32"/>
      <c r="L2551" s="32"/>
      <c r="M2551" s="32"/>
      <c r="N2551" s="32"/>
      <c r="O2551" s="106"/>
      <c r="P2551" s="91">
        <f>IFERROR(__xludf.DUMMYFUNCTION("IFERROR(sum(FILTER($D:$N,$C:$C = $C2551,$A:$A &lt; $A2551,$B:$B = 12)),0) + sum($D2551:$N2551)"),0.0)</f>
        <v>0</v>
      </c>
      <c r="Q2551" s="92">
        <f t="shared" si="1"/>
        <v>0</v>
      </c>
      <c r="R2551" s="91">
        <f t="array" ref="R2551">IFERROR(INDEX('Fund YTD Target Values'!$1:$1000, MATCH($C2551,'Fund YTD Target Values'!$A:$A,0), MATCH($A2551,'Fund YTD Target Values'!$1:$1,0)),0)</f>
        <v>0</v>
      </c>
      <c r="S2551" s="91">
        <f>IFERROR(__xludf.DUMMYFUNCTION("IFERROR(sum(FILTER('Fund Investment Data'!$V:$V, 'Fund Investment Data'!$C:$C = $C2551, 'Fund Investment Data'!$A:$A &lt; $A2551)),0) + IFERROR(sum(FILTER('Fund Investment Data'!$V:$V, 'Fund Investment Data'!$C:$C = $C2551, 'Fund Investment Data'!$A:$A = $A2"&amp;"551, 'Fund Investment Data'!$B:$B &lt;= $B2551)),0)"),0.0)</f>
        <v>0</v>
      </c>
      <c r="T2551" s="32"/>
      <c r="U2551" s="32"/>
      <c r="V2551" s="32">
        <f>IFERROR(__xludf.DUMMYFUNCTION("$D2551 - IFERROR(FILTER($D:$D,$C:$C = $C2551, $A:$A = $A2551, $B:$B = $B2551 - 1),0)"),0.0)</f>
        <v>0</v>
      </c>
      <c r="W2551" s="93">
        <f>IFERROR(__xludf.DUMMYFUNCTION("$E2551 - IFERROR(FILTER($E:$E,$C:$C = $C2551, $A:$A = $A2551, $B:$B = $B2551 - 1),0)"),0.0)</f>
        <v>0</v>
      </c>
      <c r="X2551" s="91">
        <f>IFERROR(__xludf.DUMMYFUNCTION("iFERROR((FILTER('Fund Investment Data'!$Z:$Z, 'Fund Investment Data'!$C:$C = $C2551, 'Fund Investment Data'!$A:$A = $A2551 - 1, 'Fund Investment Data'!$B:$B = 12) + FILTER('Fund Investment Data'!$AB:$AB, 'Fund Investment Data'!$C:$C = $C2551, 'Fund Invest"&amp;"ment Data'!$A:$A = $A2551 - 1, 'Fund Investment Data'!$B:$B = 12)) * (1 + AVERAGE(FILTER('Inflation Data'!$C:$C,'Inflation Data'!$A:$A = ($A2551 - 2)))) * Parameters!$A$4,0)"),0.0)</f>
        <v>0</v>
      </c>
      <c r="Y2551" s="91">
        <f>IFERROR(__xludf.DUMMYFUNCTION("IFERROR((IFERROR(FILTER('Fund Investment Data'!$P:$P,'Fund Investment Data'!$C:$C = $C2551,'Fund Investment Data'!$A:$A = ($A2551 - 2), 'Fund Investment Data'!$B:$B = 12),0) - SUM(FILTER('Fund Investment Data'!$V:$V, 'Fund Investment Data'!$C:$C = $C2551,"&amp;" 'Fund Investment Data'!$A:$A = ($A2551 - 2), 'Fund Investment Data'!$B:$B &gt; 3)))  * Parameters!$B$4 * (1 - Parameters!$A$4),0)"),0.0)</f>
        <v>0</v>
      </c>
      <c r="Z2551" s="91">
        <f t="shared" si="24"/>
        <v>0</v>
      </c>
      <c r="AA2551" s="91">
        <f>IFERROR(__xludf.DUMMYFUNCTION("((IFERROR((SUM(FILTER('Fund Investment Data'!$V:$V, 'Fund Investment Data'!$C:$C = $C2551, 'Fund Investment Data'!$A:$A = $A2551 - 1, 'Fund Investment Data'!$B:$B &gt;= 4, 'Fund Investment Data'!$B:$B &lt;= ($B2551 + 5))) / 12) * ($B2551 - 3) * Parameters!$B$4,"&amp;" 0) + IF($B2551 &gt;= 9, IFERROR(SUM(FILTER('Fund Investment Data'!$V:$V, 'Fund Investment Data'!$C:$C = $C2551, 'Fund Investment Data'!$A:$A = $A2551, 'Fund Investment Data'!$B:$B &lt;= 3)) * Parameters!$B$4, 0),0)))"),0.0)</f>
        <v>0</v>
      </c>
      <c r="AB2551" s="32">
        <f>IFERROR(__xludf.DUMMYFUNCTION("IFERROR(((IFERROR(SUM(FILTER('Fund Investment Data'!$V:$V, 'Fund Investment Data'!$C:$C = $C2551, 'Fund Investment Data'!$A:$A = $A2551 - 2, 'Fund Investment Data'!$B:$B &gt;= 4)) * Parameters!$B$4,0) + IFERROR(SUM(FILTER('Fund Investment Data'!$V:$V, 'Fund "&amp;"Investment Data'!$C:$C = $C2551, 'Fund Investment Data'!$A:$A = $A2551 - 1, 'Fund Investment Data'!$B:$B &lt;= 3)) * Parameters!$B$4,0))),0)"),0.0)</f>
        <v>0</v>
      </c>
      <c r="AC2551" s="32">
        <f>IFERROR(__xludf.DUMMYFUNCTION("IFERROR(FILTER($AF:$AF,$C:$C = $C2551,$A:$A = $A2551 - 1,$B:$B = 12),0)"),0.0)</f>
        <v>0</v>
      </c>
      <c r="AD2551" s="32">
        <f t="shared" si="23"/>
        <v>0</v>
      </c>
      <c r="AE2551" s="32">
        <f t="shared" si="2"/>
        <v>0</v>
      </c>
      <c r="AF2551" s="32"/>
    </row>
    <row r="2552">
      <c r="A2552" s="86"/>
      <c r="B2552" s="87"/>
      <c r="C2552" s="88"/>
      <c r="D2552" s="104"/>
      <c r="E2552" s="104"/>
      <c r="F2552" s="104"/>
      <c r="G2552" s="104"/>
      <c r="H2552" s="104"/>
      <c r="I2552" s="104"/>
      <c r="J2552" s="104"/>
      <c r="K2552" s="32"/>
      <c r="L2552" s="32"/>
      <c r="M2552" s="32"/>
      <c r="N2552" s="32"/>
      <c r="O2552" s="106"/>
      <c r="P2552" s="91">
        <f>IFERROR(__xludf.DUMMYFUNCTION("IFERROR(sum(FILTER($D:$N,$C:$C = $C2552,$A:$A &lt; $A2552,$B:$B = 12)),0) + sum($D2552:$N2552)"),0.0)</f>
        <v>0</v>
      </c>
      <c r="Q2552" s="92">
        <f t="shared" si="1"/>
        <v>0</v>
      </c>
      <c r="R2552" s="91">
        <f t="array" ref="R2552">IFERROR(INDEX('Fund YTD Target Values'!$1:$1000, MATCH($C2552,'Fund YTD Target Values'!$A:$A,0), MATCH($A2552,'Fund YTD Target Values'!$1:$1,0)),0)</f>
        <v>0</v>
      </c>
      <c r="S2552" s="91">
        <f>IFERROR(__xludf.DUMMYFUNCTION("IFERROR(sum(FILTER('Fund Investment Data'!$V:$V, 'Fund Investment Data'!$C:$C = $C2552, 'Fund Investment Data'!$A:$A &lt; $A2552)),0) + IFERROR(sum(FILTER('Fund Investment Data'!$V:$V, 'Fund Investment Data'!$C:$C = $C2552, 'Fund Investment Data'!$A:$A = $A2"&amp;"552, 'Fund Investment Data'!$B:$B &lt;= $B2552)),0)"),0.0)</f>
        <v>0</v>
      </c>
      <c r="T2552" s="32"/>
      <c r="U2552" s="32"/>
      <c r="V2552" s="32">
        <f>IFERROR(__xludf.DUMMYFUNCTION("$D2552 - IFERROR(FILTER($D:$D,$C:$C = $C2552, $A:$A = $A2552, $B:$B = $B2552 - 1),0)"),0.0)</f>
        <v>0</v>
      </c>
      <c r="W2552" s="93">
        <f>IFERROR(__xludf.DUMMYFUNCTION("$E2552 - IFERROR(FILTER($E:$E,$C:$C = $C2552, $A:$A = $A2552, $B:$B = $B2552 - 1),0)"),0.0)</f>
        <v>0</v>
      </c>
      <c r="X2552" s="91">
        <f>IFERROR(__xludf.DUMMYFUNCTION("iFERROR((FILTER('Fund Investment Data'!$Z:$Z, 'Fund Investment Data'!$C:$C = $C2552, 'Fund Investment Data'!$A:$A = $A2552 - 1, 'Fund Investment Data'!$B:$B = 12) + FILTER('Fund Investment Data'!$AB:$AB, 'Fund Investment Data'!$C:$C = $C2552, 'Fund Invest"&amp;"ment Data'!$A:$A = $A2552 - 1, 'Fund Investment Data'!$B:$B = 12)) * (1 + AVERAGE(FILTER('Inflation Data'!$C:$C,'Inflation Data'!$A:$A = ($A2552 - 2)))) * Parameters!$A$4,0)"),0.0)</f>
        <v>0</v>
      </c>
      <c r="Y2552" s="91">
        <f>IFERROR(__xludf.DUMMYFUNCTION("IFERROR((IFERROR(FILTER('Fund Investment Data'!$P:$P,'Fund Investment Data'!$C:$C = $C2552,'Fund Investment Data'!$A:$A = ($A2552 - 2), 'Fund Investment Data'!$B:$B = 12),0) - SUM(FILTER('Fund Investment Data'!$V:$V, 'Fund Investment Data'!$C:$C = $C2552,"&amp;" 'Fund Investment Data'!$A:$A = ($A2552 - 2), 'Fund Investment Data'!$B:$B &gt; 3)))  * Parameters!$B$4 * (1 - Parameters!$A$4),0)"),0.0)</f>
        <v>0</v>
      </c>
      <c r="Z2552" s="91">
        <f t="shared" si="24"/>
        <v>0</v>
      </c>
      <c r="AA2552" s="91">
        <f>IFERROR(__xludf.DUMMYFUNCTION("((IFERROR((SUM(FILTER('Fund Investment Data'!$V:$V, 'Fund Investment Data'!$C:$C = $C2552, 'Fund Investment Data'!$A:$A = $A2552 - 1, 'Fund Investment Data'!$B:$B &gt;= 4, 'Fund Investment Data'!$B:$B &lt;= ($B2552 + 5))) / 12) * ($B2552 - 3) * Parameters!$B$4,"&amp;" 0) + IF($B2552 &gt;= 9, IFERROR(SUM(FILTER('Fund Investment Data'!$V:$V, 'Fund Investment Data'!$C:$C = $C2552, 'Fund Investment Data'!$A:$A = $A2552, 'Fund Investment Data'!$B:$B &lt;= 3)) * Parameters!$B$4, 0),0)))"),0.0)</f>
        <v>0</v>
      </c>
      <c r="AB2552" s="32">
        <f>IFERROR(__xludf.DUMMYFUNCTION("IFERROR(((IFERROR(SUM(FILTER('Fund Investment Data'!$V:$V, 'Fund Investment Data'!$C:$C = $C2552, 'Fund Investment Data'!$A:$A = $A2552 - 2, 'Fund Investment Data'!$B:$B &gt;= 4)) * Parameters!$B$4,0) + IFERROR(SUM(FILTER('Fund Investment Data'!$V:$V, 'Fund "&amp;"Investment Data'!$C:$C = $C2552, 'Fund Investment Data'!$A:$A = $A2552 - 1, 'Fund Investment Data'!$B:$B &lt;= 3)) * Parameters!$B$4,0))),0)"),0.0)</f>
        <v>0</v>
      </c>
      <c r="AC2552" s="32">
        <f>IFERROR(__xludf.DUMMYFUNCTION("IFERROR(FILTER($AF:$AF,$C:$C = $C2552,$A:$A = $A2552 - 1,$B:$B = 12),0)"),0.0)</f>
        <v>0</v>
      </c>
      <c r="AD2552" s="32">
        <f t="shared" si="23"/>
        <v>0</v>
      </c>
      <c r="AE2552" s="32">
        <f t="shared" si="2"/>
        <v>0</v>
      </c>
      <c r="AF2552" s="32"/>
    </row>
    <row r="2553">
      <c r="A2553" s="86"/>
      <c r="B2553" s="87"/>
      <c r="C2553" s="88"/>
      <c r="D2553" s="104"/>
      <c r="E2553" s="104"/>
      <c r="F2553" s="104"/>
      <c r="G2553" s="104"/>
      <c r="H2553" s="104"/>
      <c r="I2553" s="104"/>
      <c r="J2553" s="104"/>
      <c r="K2553" s="32"/>
      <c r="L2553" s="32"/>
      <c r="M2553" s="32"/>
      <c r="N2553" s="32"/>
      <c r="O2553" s="106"/>
      <c r="P2553" s="91">
        <f>IFERROR(__xludf.DUMMYFUNCTION("IFERROR(sum(FILTER($D:$N,$C:$C = $C2553,$A:$A &lt; $A2553,$B:$B = 12)),0) + sum($D2553:$N2553)"),0.0)</f>
        <v>0</v>
      </c>
      <c r="Q2553" s="92">
        <f t="shared" si="1"/>
        <v>0</v>
      </c>
      <c r="R2553" s="91">
        <f t="array" ref="R2553">IFERROR(INDEX('Fund YTD Target Values'!$1:$1000, MATCH($C2553,'Fund YTD Target Values'!$A:$A,0), MATCH($A2553,'Fund YTD Target Values'!$1:$1,0)),0)</f>
        <v>0</v>
      </c>
      <c r="S2553" s="91">
        <f>IFERROR(__xludf.DUMMYFUNCTION("IFERROR(sum(FILTER('Fund Investment Data'!$V:$V, 'Fund Investment Data'!$C:$C = $C2553, 'Fund Investment Data'!$A:$A &lt; $A2553)),0) + IFERROR(sum(FILTER('Fund Investment Data'!$V:$V, 'Fund Investment Data'!$C:$C = $C2553, 'Fund Investment Data'!$A:$A = $A2"&amp;"553, 'Fund Investment Data'!$B:$B &lt;= $B2553)),0)"),0.0)</f>
        <v>0</v>
      </c>
      <c r="T2553" s="32"/>
      <c r="U2553" s="32"/>
      <c r="V2553" s="32">
        <f>IFERROR(__xludf.DUMMYFUNCTION("$D2553 - IFERROR(FILTER($D:$D,$C:$C = $C2553, $A:$A = $A2553, $B:$B = $B2553 - 1),0)"),0.0)</f>
        <v>0</v>
      </c>
      <c r="W2553" s="93">
        <f>IFERROR(__xludf.DUMMYFUNCTION("$E2553 - IFERROR(FILTER($E:$E,$C:$C = $C2553, $A:$A = $A2553, $B:$B = $B2553 - 1),0)"),0.0)</f>
        <v>0</v>
      </c>
      <c r="X2553" s="91">
        <f>IFERROR(__xludf.DUMMYFUNCTION("iFERROR((FILTER('Fund Investment Data'!$Z:$Z, 'Fund Investment Data'!$C:$C = $C2553, 'Fund Investment Data'!$A:$A = $A2553 - 1, 'Fund Investment Data'!$B:$B = 12) + FILTER('Fund Investment Data'!$AB:$AB, 'Fund Investment Data'!$C:$C = $C2553, 'Fund Invest"&amp;"ment Data'!$A:$A = $A2553 - 1, 'Fund Investment Data'!$B:$B = 12)) * (1 + AVERAGE(FILTER('Inflation Data'!$C:$C,'Inflation Data'!$A:$A = ($A2553 - 2)))) * Parameters!$A$4,0)"),0.0)</f>
        <v>0</v>
      </c>
      <c r="Y2553" s="91">
        <f>IFERROR(__xludf.DUMMYFUNCTION("IFERROR((IFERROR(FILTER('Fund Investment Data'!$P:$P,'Fund Investment Data'!$C:$C = $C2553,'Fund Investment Data'!$A:$A = ($A2553 - 2), 'Fund Investment Data'!$B:$B = 12),0) - SUM(FILTER('Fund Investment Data'!$V:$V, 'Fund Investment Data'!$C:$C = $C2553,"&amp;" 'Fund Investment Data'!$A:$A = ($A2553 - 2), 'Fund Investment Data'!$B:$B &gt; 3)))  * Parameters!$B$4 * (1 - Parameters!$A$4),0)"),0.0)</f>
        <v>0</v>
      </c>
      <c r="Z2553" s="91">
        <f t="shared" si="24"/>
        <v>0</v>
      </c>
      <c r="AA2553" s="91">
        <f>IFERROR(__xludf.DUMMYFUNCTION("((IFERROR((SUM(FILTER('Fund Investment Data'!$V:$V, 'Fund Investment Data'!$C:$C = $C2553, 'Fund Investment Data'!$A:$A = $A2553 - 1, 'Fund Investment Data'!$B:$B &gt;= 4, 'Fund Investment Data'!$B:$B &lt;= ($B2553 + 5))) / 12) * ($B2553 - 3) * Parameters!$B$4,"&amp;" 0) + IF($B2553 &gt;= 9, IFERROR(SUM(FILTER('Fund Investment Data'!$V:$V, 'Fund Investment Data'!$C:$C = $C2553, 'Fund Investment Data'!$A:$A = $A2553, 'Fund Investment Data'!$B:$B &lt;= 3)) * Parameters!$B$4, 0),0)))"),0.0)</f>
        <v>0</v>
      </c>
      <c r="AB2553" s="32">
        <f>IFERROR(__xludf.DUMMYFUNCTION("IFERROR(((IFERROR(SUM(FILTER('Fund Investment Data'!$V:$V, 'Fund Investment Data'!$C:$C = $C2553, 'Fund Investment Data'!$A:$A = $A2553 - 2, 'Fund Investment Data'!$B:$B &gt;= 4)) * Parameters!$B$4,0) + IFERROR(SUM(FILTER('Fund Investment Data'!$V:$V, 'Fund "&amp;"Investment Data'!$C:$C = $C2553, 'Fund Investment Data'!$A:$A = $A2553 - 1, 'Fund Investment Data'!$B:$B &lt;= 3)) * Parameters!$B$4,0))),0)"),0.0)</f>
        <v>0</v>
      </c>
      <c r="AC2553" s="32">
        <f>IFERROR(__xludf.DUMMYFUNCTION("IFERROR(FILTER($AF:$AF,$C:$C = $C2553,$A:$A = $A2553 - 1,$B:$B = 12),0)"),0.0)</f>
        <v>0</v>
      </c>
      <c r="AD2553" s="32">
        <f t="shared" si="23"/>
        <v>0</v>
      </c>
      <c r="AE2553" s="32">
        <f t="shared" si="2"/>
        <v>0</v>
      </c>
      <c r="AF2553" s="32"/>
    </row>
    <row r="2554">
      <c r="A2554" s="86"/>
      <c r="B2554" s="87"/>
      <c r="C2554" s="88"/>
      <c r="D2554" s="104"/>
      <c r="E2554" s="104"/>
      <c r="F2554" s="104"/>
      <c r="G2554" s="104"/>
      <c r="H2554" s="104"/>
      <c r="I2554" s="104"/>
      <c r="J2554" s="104"/>
      <c r="K2554" s="32"/>
      <c r="L2554" s="32"/>
      <c r="M2554" s="32"/>
      <c r="N2554" s="32"/>
      <c r="O2554" s="106"/>
      <c r="P2554" s="91">
        <f>IFERROR(__xludf.DUMMYFUNCTION("IFERROR(sum(FILTER($D:$N,$C:$C = $C2554,$A:$A &lt; $A2554,$B:$B = 12)),0) + sum($D2554:$N2554)"),0.0)</f>
        <v>0</v>
      </c>
      <c r="Q2554" s="92">
        <f t="shared" si="1"/>
        <v>0</v>
      </c>
      <c r="R2554" s="91">
        <f t="array" ref="R2554">IFERROR(INDEX('Fund YTD Target Values'!$1:$1000, MATCH($C2554,'Fund YTD Target Values'!$A:$A,0), MATCH($A2554,'Fund YTD Target Values'!$1:$1,0)),0)</f>
        <v>0</v>
      </c>
      <c r="S2554" s="91">
        <f>IFERROR(__xludf.DUMMYFUNCTION("IFERROR(sum(FILTER('Fund Investment Data'!$V:$V, 'Fund Investment Data'!$C:$C = $C2554, 'Fund Investment Data'!$A:$A &lt; $A2554)),0) + IFERROR(sum(FILTER('Fund Investment Data'!$V:$V, 'Fund Investment Data'!$C:$C = $C2554, 'Fund Investment Data'!$A:$A = $A2"&amp;"554, 'Fund Investment Data'!$B:$B &lt;= $B2554)),0)"),0.0)</f>
        <v>0</v>
      </c>
      <c r="T2554" s="32"/>
      <c r="U2554" s="32"/>
      <c r="V2554" s="32">
        <f>IFERROR(__xludf.DUMMYFUNCTION("$D2554 - IFERROR(FILTER($D:$D,$C:$C = $C2554, $A:$A = $A2554, $B:$B = $B2554 - 1),0)"),0.0)</f>
        <v>0</v>
      </c>
      <c r="W2554" s="93">
        <f>IFERROR(__xludf.DUMMYFUNCTION("$E2554 - IFERROR(FILTER($E:$E,$C:$C = $C2554, $A:$A = $A2554, $B:$B = $B2554 - 1),0)"),0.0)</f>
        <v>0</v>
      </c>
      <c r="X2554" s="91">
        <f>IFERROR(__xludf.DUMMYFUNCTION("iFERROR((FILTER('Fund Investment Data'!$Z:$Z, 'Fund Investment Data'!$C:$C = $C2554, 'Fund Investment Data'!$A:$A = $A2554 - 1, 'Fund Investment Data'!$B:$B = 12) + FILTER('Fund Investment Data'!$AB:$AB, 'Fund Investment Data'!$C:$C = $C2554, 'Fund Invest"&amp;"ment Data'!$A:$A = $A2554 - 1, 'Fund Investment Data'!$B:$B = 12)) * (1 + AVERAGE(FILTER('Inflation Data'!$C:$C,'Inflation Data'!$A:$A = ($A2554 - 2)))) * Parameters!$A$4,0)"),0.0)</f>
        <v>0</v>
      </c>
      <c r="Y2554" s="91">
        <f>IFERROR(__xludf.DUMMYFUNCTION("IFERROR((IFERROR(FILTER('Fund Investment Data'!$P:$P,'Fund Investment Data'!$C:$C = $C2554,'Fund Investment Data'!$A:$A = ($A2554 - 2), 'Fund Investment Data'!$B:$B = 12),0) - SUM(FILTER('Fund Investment Data'!$V:$V, 'Fund Investment Data'!$C:$C = $C2554,"&amp;" 'Fund Investment Data'!$A:$A = ($A2554 - 2), 'Fund Investment Data'!$B:$B &gt; 3)))  * Parameters!$B$4 * (1 - Parameters!$A$4),0)"),0.0)</f>
        <v>0</v>
      </c>
      <c r="Z2554" s="91">
        <f t="shared" si="24"/>
        <v>0</v>
      </c>
      <c r="AA2554" s="91">
        <f>IFERROR(__xludf.DUMMYFUNCTION("((IFERROR((SUM(FILTER('Fund Investment Data'!$V:$V, 'Fund Investment Data'!$C:$C = $C2554, 'Fund Investment Data'!$A:$A = $A2554 - 1, 'Fund Investment Data'!$B:$B &gt;= 4, 'Fund Investment Data'!$B:$B &lt;= ($B2554 + 5))) / 12) * ($B2554 - 3) * Parameters!$B$4,"&amp;" 0) + IF($B2554 &gt;= 9, IFERROR(SUM(FILTER('Fund Investment Data'!$V:$V, 'Fund Investment Data'!$C:$C = $C2554, 'Fund Investment Data'!$A:$A = $A2554, 'Fund Investment Data'!$B:$B &lt;= 3)) * Parameters!$B$4, 0),0)))"),0.0)</f>
        <v>0</v>
      </c>
      <c r="AB2554" s="32">
        <f>IFERROR(__xludf.DUMMYFUNCTION("IFERROR(((IFERROR(SUM(FILTER('Fund Investment Data'!$V:$V, 'Fund Investment Data'!$C:$C = $C2554, 'Fund Investment Data'!$A:$A = $A2554 - 2, 'Fund Investment Data'!$B:$B &gt;= 4)) * Parameters!$B$4,0) + IFERROR(SUM(FILTER('Fund Investment Data'!$V:$V, 'Fund "&amp;"Investment Data'!$C:$C = $C2554, 'Fund Investment Data'!$A:$A = $A2554 - 1, 'Fund Investment Data'!$B:$B &lt;= 3)) * Parameters!$B$4,0))),0)"),0.0)</f>
        <v>0</v>
      </c>
      <c r="AC2554" s="32">
        <f>IFERROR(__xludf.DUMMYFUNCTION("IFERROR(FILTER($AF:$AF,$C:$C = $C2554,$A:$A = $A2554 - 1,$B:$B = 12),0)"),0.0)</f>
        <v>0</v>
      </c>
      <c r="AD2554" s="32">
        <f t="shared" si="23"/>
        <v>0</v>
      </c>
      <c r="AE2554" s="32">
        <f t="shared" si="2"/>
        <v>0</v>
      </c>
      <c r="AF2554" s="32"/>
    </row>
    <row r="2555">
      <c r="A2555" s="86"/>
      <c r="B2555" s="87"/>
      <c r="C2555" s="88"/>
      <c r="D2555" s="104"/>
      <c r="E2555" s="104"/>
      <c r="F2555" s="104"/>
      <c r="G2555" s="104"/>
      <c r="H2555" s="104"/>
      <c r="I2555" s="104"/>
      <c r="J2555" s="104"/>
      <c r="K2555" s="32"/>
      <c r="L2555" s="32"/>
      <c r="M2555" s="32"/>
      <c r="N2555" s="32"/>
      <c r="O2555" s="106"/>
      <c r="P2555" s="91">
        <f>IFERROR(__xludf.DUMMYFUNCTION("IFERROR(sum(FILTER($D:$N,$C:$C = $C2555,$A:$A &lt; $A2555,$B:$B = 12)),0) + sum($D2555:$N2555)"),0.0)</f>
        <v>0</v>
      </c>
      <c r="Q2555" s="92">
        <f t="shared" si="1"/>
        <v>0</v>
      </c>
      <c r="R2555" s="91">
        <f t="array" ref="R2555">IFERROR(INDEX('Fund YTD Target Values'!$1:$1000, MATCH($C2555,'Fund YTD Target Values'!$A:$A,0), MATCH($A2555,'Fund YTD Target Values'!$1:$1,0)),0)</f>
        <v>0</v>
      </c>
      <c r="S2555" s="91">
        <f>IFERROR(__xludf.DUMMYFUNCTION("IFERROR(sum(FILTER('Fund Investment Data'!$V:$V, 'Fund Investment Data'!$C:$C = $C2555, 'Fund Investment Data'!$A:$A &lt; $A2555)),0) + IFERROR(sum(FILTER('Fund Investment Data'!$V:$V, 'Fund Investment Data'!$C:$C = $C2555, 'Fund Investment Data'!$A:$A = $A2"&amp;"555, 'Fund Investment Data'!$B:$B &lt;= $B2555)),0)"),0.0)</f>
        <v>0</v>
      </c>
      <c r="T2555" s="32"/>
      <c r="U2555" s="32"/>
      <c r="V2555" s="32">
        <f>IFERROR(__xludf.DUMMYFUNCTION("$D2555 - IFERROR(FILTER($D:$D,$C:$C = $C2555, $A:$A = $A2555, $B:$B = $B2555 - 1),0)"),0.0)</f>
        <v>0</v>
      </c>
      <c r="W2555" s="93">
        <f>IFERROR(__xludf.DUMMYFUNCTION("$E2555 - IFERROR(FILTER($E:$E,$C:$C = $C2555, $A:$A = $A2555, $B:$B = $B2555 - 1),0)"),0.0)</f>
        <v>0</v>
      </c>
      <c r="X2555" s="91">
        <f>IFERROR(__xludf.DUMMYFUNCTION("iFERROR((FILTER('Fund Investment Data'!$Z:$Z, 'Fund Investment Data'!$C:$C = $C2555, 'Fund Investment Data'!$A:$A = $A2555 - 1, 'Fund Investment Data'!$B:$B = 12) + FILTER('Fund Investment Data'!$AB:$AB, 'Fund Investment Data'!$C:$C = $C2555, 'Fund Invest"&amp;"ment Data'!$A:$A = $A2555 - 1, 'Fund Investment Data'!$B:$B = 12)) * (1 + AVERAGE(FILTER('Inflation Data'!$C:$C,'Inflation Data'!$A:$A = ($A2555 - 2)))) * Parameters!$A$4,0)"),0.0)</f>
        <v>0</v>
      </c>
      <c r="Y2555" s="91">
        <f>IFERROR(__xludf.DUMMYFUNCTION("IFERROR((IFERROR(FILTER('Fund Investment Data'!$P:$P,'Fund Investment Data'!$C:$C = $C2555,'Fund Investment Data'!$A:$A = ($A2555 - 2), 'Fund Investment Data'!$B:$B = 12),0) - SUM(FILTER('Fund Investment Data'!$V:$V, 'Fund Investment Data'!$C:$C = $C2555,"&amp;" 'Fund Investment Data'!$A:$A = ($A2555 - 2), 'Fund Investment Data'!$B:$B &gt; 3)))  * Parameters!$B$4 * (1 - Parameters!$A$4),0)"),0.0)</f>
        <v>0</v>
      </c>
      <c r="Z2555" s="91">
        <f t="shared" si="24"/>
        <v>0</v>
      </c>
      <c r="AA2555" s="91">
        <f>IFERROR(__xludf.DUMMYFUNCTION("((IFERROR((SUM(FILTER('Fund Investment Data'!$V:$V, 'Fund Investment Data'!$C:$C = $C2555, 'Fund Investment Data'!$A:$A = $A2555 - 1, 'Fund Investment Data'!$B:$B &gt;= 4, 'Fund Investment Data'!$B:$B &lt;= ($B2555 + 5))) / 12) * ($B2555 - 3) * Parameters!$B$4,"&amp;" 0) + IF($B2555 &gt;= 9, IFERROR(SUM(FILTER('Fund Investment Data'!$V:$V, 'Fund Investment Data'!$C:$C = $C2555, 'Fund Investment Data'!$A:$A = $A2555, 'Fund Investment Data'!$B:$B &lt;= 3)) * Parameters!$B$4, 0),0)))"),0.0)</f>
        <v>0</v>
      </c>
      <c r="AB2555" s="32">
        <f>IFERROR(__xludf.DUMMYFUNCTION("IFERROR(((IFERROR(SUM(FILTER('Fund Investment Data'!$V:$V, 'Fund Investment Data'!$C:$C = $C2555, 'Fund Investment Data'!$A:$A = $A2555 - 2, 'Fund Investment Data'!$B:$B &gt;= 4)) * Parameters!$B$4,0) + IFERROR(SUM(FILTER('Fund Investment Data'!$V:$V, 'Fund "&amp;"Investment Data'!$C:$C = $C2555, 'Fund Investment Data'!$A:$A = $A2555 - 1, 'Fund Investment Data'!$B:$B &lt;= 3)) * Parameters!$B$4,0))),0)"),0.0)</f>
        <v>0</v>
      </c>
      <c r="AC2555" s="32">
        <f>IFERROR(__xludf.DUMMYFUNCTION("IFERROR(FILTER($AF:$AF,$C:$C = $C2555,$A:$A = $A2555 - 1,$B:$B = 12),0)"),0.0)</f>
        <v>0</v>
      </c>
      <c r="AD2555" s="32">
        <f t="shared" si="23"/>
        <v>0</v>
      </c>
      <c r="AE2555" s="32">
        <f t="shared" si="2"/>
        <v>0</v>
      </c>
      <c r="AF2555" s="32"/>
    </row>
    <row r="2556">
      <c r="A2556" s="86"/>
      <c r="B2556" s="87"/>
      <c r="C2556" s="88"/>
      <c r="D2556" s="104"/>
      <c r="E2556" s="104"/>
      <c r="F2556" s="104"/>
      <c r="G2556" s="104"/>
      <c r="H2556" s="104"/>
      <c r="I2556" s="104"/>
      <c r="J2556" s="104"/>
      <c r="K2556" s="32"/>
      <c r="L2556" s="32"/>
      <c r="M2556" s="32"/>
      <c r="N2556" s="32"/>
      <c r="O2556" s="106"/>
      <c r="P2556" s="91">
        <f>IFERROR(__xludf.DUMMYFUNCTION("IFERROR(sum(FILTER($D:$N,$C:$C = $C2556,$A:$A &lt; $A2556,$B:$B = 12)),0) + sum($D2556:$N2556)"),0.0)</f>
        <v>0</v>
      </c>
      <c r="Q2556" s="92">
        <f t="shared" si="1"/>
        <v>0</v>
      </c>
      <c r="R2556" s="91">
        <f t="array" ref="R2556">IFERROR(INDEX('Fund YTD Target Values'!$1:$1000, MATCH($C2556,'Fund YTD Target Values'!$A:$A,0), MATCH($A2556,'Fund YTD Target Values'!$1:$1,0)),0)</f>
        <v>0</v>
      </c>
      <c r="S2556" s="91">
        <f>IFERROR(__xludf.DUMMYFUNCTION("IFERROR(sum(FILTER('Fund Investment Data'!$V:$V, 'Fund Investment Data'!$C:$C = $C2556, 'Fund Investment Data'!$A:$A &lt; $A2556)),0) + IFERROR(sum(FILTER('Fund Investment Data'!$V:$V, 'Fund Investment Data'!$C:$C = $C2556, 'Fund Investment Data'!$A:$A = $A2"&amp;"556, 'Fund Investment Data'!$B:$B &lt;= $B2556)),0)"),0.0)</f>
        <v>0</v>
      </c>
      <c r="T2556" s="32"/>
      <c r="U2556" s="32"/>
      <c r="V2556" s="32">
        <f>IFERROR(__xludf.DUMMYFUNCTION("$D2556 - IFERROR(FILTER($D:$D,$C:$C = $C2556, $A:$A = $A2556, $B:$B = $B2556 - 1),0)"),0.0)</f>
        <v>0</v>
      </c>
      <c r="W2556" s="93">
        <f>IFERROR(__xludf.DUMMYFUNCTION("$E2556 - IFERROR(FILTER($E:$E,$C:$C = $C2556, $A:$A = $A2556, $B:$B = $B2556 - 1),0)"),0.0)</f>
        <v>0</v>
      </c>
      <c r="X2556" s="91">
        <f>IFERROR(__xludf.DUMMYFUNCTION("iFERROR((FILTER('Fund Investment Data'!$Z:$Z, 'Fund Investment Data'!$C:$C = $C2556, 'Fund Investment Data'!$A:$A = $A2556 - 1, 'Fund Investment Data'!$B:$B = 12) + FILTER('Fund Investment Data'!$AB:$AB, 'Fund Investment Data'!$C:$C = $C2556, 'Fund Invest"&amp;"ment Data'!$A:$A = $A2556 - 1, 'Fund Investment Data'!$B:$B = 12)) * (1 + AVERAGE(FILTER('Inflation Data'!$C:$C,'Inflation Data'!$A:$A = ($A2556 - 2)))) * Parameters!$A$4,0)"),0.0)</f>
        <v>0</v>
      </c>
      <c r="Y2556" s="91">
        <f>IFERROR(__xludf.DUMMYFUNCTION("IFERROR((IFERROR(FILTER('Fund Investment Data'!$P:$P,'Fund Investment Data'!$C:$C = $C2556,'Fund Investment Data'!$A:$A = ($A2556 - 2), 'Fund Investment Data'!$B:$B = 12),0) - SUM(FILTER('Fund Investment Data'!$V:$V, 'Fund Investment Data'!$C:$C = $C2556,"&amp;" 'Fund Investment Data'!$A:$A = ($A2556 - 2), 'Fund Investment Data'!$B:$B &gt; 3)))  * Parameters!$B$4 * (1 - Parameters!$A$4),0)"),0.0)</f>
        <v>0</v>
      </c>
      <c r="Z2556" s="91">
        <f t="shared" si="24"/>
        <v>0</v>
      </c>
      <c r="AA2556" s="91">
        <f>IFERROR(__xludf.DUMMYFUNCTION("((IFERROR((SUM(FILTER('Fund Investment Data'!$V:$V, 'Fund Investment Data'!$C:$C = $C2556, 'Fund Investment Data'!$A:$A = $A2556 - 1, 'Fund Investment Data'!$B:$B &gt;= 4, 'Fund Investment Data'!$B:$B &lt;= ($B2556 + 5))) / 12) * ($B2556 - 3) * Parameters!$B$4,"&amp;" 0) + IF($B2556 &gt;= 9, IFERROR(SUM(FILTER('Fund Investment Data'!$V:$V, 'Fund Investment Data'!$C:$C = $C2556, 'Fund Investment Data'!$A:$A = $A2556, 'Fund Investment Data'!$B:$B &lt;= 3)) * Parameters!$B$4, 0),0)))"),0.0)</f>
        <v>0</v>
      </c>
      <c r="AB2556" s="32">
        <f>IFERROR(__xludf.DUMMYFUNCTION("IFERROR(((IFERROR(SUM(FILTER('Fund Investment Data'!$V:$V, 'Fund Investment Data'!$C:$C = $C2556, 'Fund Investment Data'!$A:$A = $A2556 - 2, 'Fund Investment Data'!$B:$B &gt;= 4)) * Parameters!$B$4,0) + IFERROR(SUM(FILTER('Fund Investment Data'!$V:$V, 'Fund "&amp;"Investment Data'!$C:$C = $C2556, 'Fund Investment Data'!$A:$A = $A2556 - 1, 'Fund Investment Data'!$B:$B &lt;= 3)) * Parameters!$B$4,0))),0)"),0.0)</f>
        <v>0</v>
      </c>
      <c r="AC2556" s="32">
        <f>IFERROR(__xludf.DUMMYFUNCTION("IFERROR(FILTER($AF:$AF,$C:$C = $C2556,$A:$A = $A2556 - 1,$B:$B = 12),0)"),0.0)</f>
        <v>0</v>
      </c>
      <c r="AD2556" s="32">
        <f t="shared" si="23"/>
        <v>0</v>
      </c>
      <c r="AE2556" s="32">
        <f t="shared" si="2"/>
        <v>0</v>
      </c>
      <c r="AF2556" s="32"/>
    </row>
    <row r="2557">
      <c r="A2557" s="86"/>
      <c r="B2557" s="87"/>
      <c r="C2557" s="88"/>
      <c r="D2557" s="104"/>
      <c r="E2557" s="104"/>
      <c r="F2557" s="104"/>
      <c r="G2557" s="104"/>
      <c r="H2557" s="104"/>
      <c r="I2557" s="104"/>
      <c r="J2557" s="104"/>
      <c r="K2557" s="32"/>
      <c r="L2557" s="32"/>
      <c r="M2557" s="32"/>
      <c r="N2557" s="32"/>
      <c r="O2557" s="106"/>
      <c r="P2557" s="91">
        <f>IFERROR(__xludf.DUMMYFUNCTION("IFERROR(sum(FILTER($D:$N,$C:$C = $C2557,$A:$A &lt; $A2557,$B:$B = 12)),0) + sum($D2557:$N2557)"),0.0)</f>
        <v>0</v>
      </c>
      <c r="Q2557" s="92">
        <f t="shared" si="1"/>
        <v>0</v>
      </c>
      <c r="R2557" s="91">
        <f t="array" ref="R2557">IFERROR(INDEX('Fund YTD Target Values'!$1:$1000, MATCH($C2557,'Fund YTD Target Values'!$A:$A,0), MATCH($A2557,'Fund YTD Target Values'!$1:$1,0)),0)</f>
        <v>0</v>
      </c>
      <c r="S2557" s="91">
        <f>IFERROR(__xludf.DUMMYFUNCTION("IFERROR(sum(FILTER('Fund Investment Data'!$V:$V, 'Fund Investment Data'!$C:$C = $C2557, 'Fund Investment Data'!$A:$A &lt; $A2557)),0) + IFERROR(sum(FILTER('Fund Investment Data'!$V:$V, 'Fund Investment Data'!$C:$C = $C2557, 'Fund Investment Data'!$A:$A = $A2"&amp;"557, 'Fund Investment Data'!$B:$B &lt;= $B2557)),0)"),0.0)</f>
        <v>0</v>
      </c>
      <c r="T2557" s="32"/>
      <c r="U2557" s="32"/>
      <c r="V2557" s="32">
        <f>IFERROR(__xludf.DUMMYFUNCTION("$D2557 - IFERROR(FILTER($D:$D,$C:$C = $C2557, $A:$A = $A2557, $B:$B = $B2557 - 1),0)"),0.0)</f>
        <v>0</v>
      </c>
      <c r="W2557" s="93">
        <f>IFERROR(__xludf.DUMMYFUNCTION("$E2557 - IFERROR(FILTER($E:$E,$C:$C = $C2557, $A:$A = $A2557, $B:$B = $B2557 - 1),0)"),0.0)</f>
        <v>0</v>
      </c>
      <c r="X2557" s="91">
        <f>IFERROR(__xludf.DUMMYFUNCTION("iFERROR((FILTER('Fund Investment Data'!$Z:$Z, 'Fund Investment Data'!$C:$C = $C2557, 'Fund Investment Data'!$A:$A = $A2557 - 1, 'Fund Investment Data'!$B:$B = 12) + FILTER('Fund Investment Data'!$AB:$AB, 'Fund Investment Data'!$C:$C = $C2557, 'Fund Invest"&amp;"ment Data'!$A:$A = $A2557 - 1, 'Fund Investment Data'!$B:$B = 12)) * (1 + AVERAGE(FILTER('Inflation Data'!$C:$C,'Inflation Data'!$A:$A = ($A2557 - 2)))) * Parameters!$A$4,0)"),0.0)</f>
        <v>0</v>
      </c>
      <c r="Y2557" s="91">
        <f>IFERROR(__xludf.DUMMYFUNCTION("IFERROR((IFERROR(FILTER('Fund Investment Data'!$P:$P,'Fund Investment Data'!$C:$C = $C2557,'Fund Investment Data'!$A:$A = ($A2557 - 2), 'Fund Investment Data'!$B:$B = 12),0) - SUM(FILTER('Fund Investment Data'!$V:$V, 'Fund Investment Data'!$C:$C = $C2557,"&amp;" 'Fund Investment Data'!$A:$A = ($A2557 - 2), 'Fund Investment Data'!$B:$B &gt; 3)))  * Parameters!$B$4 * (1 - Parameters!$A$4),0)"),0.0)</f>
        <v>0</v>
      </c>
      <c r="Z2557" s="91">
        <f t="shared" si="24"/>
        <v>0</v>
      </c>
      <c r="AA2557" s="91">
        <f>IFERROR(__xludf.DUMMYFUNCTION("((IFERROR((SUM(FILTER('Fund Investment Data'!$V:$V, 'Fund Investment Data'!$C:$C = $C2557, 'Fund Investment Data'!$A:$A = $A2557 - 1, 'Fund Investment Data'!$B:$B &gt;= 4, 'Fund Investment Data'!$B:$B &lt;= ($B2557 + 5))) / 12) * ($B2557 - 3) * Parameters!$B$4,"&amp;" 0) + IF($B2557 &gt;= 9, IFERROR(SUM(FILTER('Fund Investment Data'!$V:$V, 'Fund Investment Data'!$C:$C = $C2557, 'Fund Investment Data'!$A:$A = $A2557, 'Fund Investment Data'!$B:$B &lt;= 3)) * Parameters!$B$4, 0),0)))"),0.0)</f>
        <v>0</v>
      </c>
      <c r="AB2557" s="32">
        <f>IFERROR(__xludf.DUMMYFUNCTION("IFERROR(((IFERROR(SUM(FILTER('Fund Investment Data'!$V:$V, 'Fund Investment Data'!$C:$C = $C2557, 'Fund Investment Data'!$A:$A = $A2557 - 2, 'Fund Investment Data'!$B:$B &gt;= 4)) * Parameters!$B$4,0) + IFERROR(SUM(FILTER('Fund Investment Data'!$V:$V, 'Fund "&amp;"Investment Data'!$C:$C = $C2557, 'Fund Investment Data'!$A:$A = $A2557 - 1, 'Fund Investment Data'!$B:$B &lt;= 3)) * Parameters!$B$4,0))),0)"),0.0)</f>
        <v>0</v>
      </c>
      <c r="AC2557" s="32">
        <f>IFERROR(__xludf.DUMMYFUNCTION("IFERROR(FILTER($AF:$AF,$C:$C = $C2557,$A:$A = $A2557 - 1,$B:$B = 12),0)"),0.0)</f>
        <v>0</v>
      </c>
      <c r="AD2557" s="32">
        <f t="shared" si="23"/>
        <v>0</v>
      </c>
      <c r="AE2557" s="32">
        <f t="shared" si="2"/>
        <v>0</v>
      </c>
      <c r="AF2557" s="32"/>
    </row>
    <row r="2558">
      <c r="A2558" s="86"/>
      <c r="B2558" s="87"/>
      <c r="C2558" s="88"/>
      <c r="D2558" s="104"/>
      <c r="E2558" s="104"/>
      <c r="F2558" s="104"/>
      <c r="G2558" s="104"/>
      <c r="H2558" s="104"/>
      <c r="I2558" s="104"/>
      <c r="J2558" s="104"/>
      <c r="K2558" s="32"/>
      <c r="L2558" s="32"/>
      <c r="M2558" s="32"/>
      <c r="N2558" s="32"/>
      <c r="O2558" s="106"/>
      <c r="P2558" s="91">
        <f>IFERROR(__xludf.DUMMYFUNCTION("IFERROR(sum(FILTER($D:$N,$C:$C = $C2558,$A:$A &lt; $A2558,$B:$B = 12)),0) + sum($D2558:$N2558)"),0.0)</f>
        <v>0</v>
      </c>
      <c r="Q2558" s="92">
        <f t="shared" si="1"/>
        <v>0</v>
      </c>
      <c r="R2558" s="91">
        <f t="array" ref="R2558">IFERROR(INDEX('Fund YTD Target Values'!$1:$1000, MATCH($C2558,'Fund YTD Target Values'!$A:$A,0), MATCH($A2558,'Fund YTD Target Values'!$1:$1,0)),0)</f>
        <v>0</v>
      </c>
      <c r="S2558" s="91">
        <f>IFERROR(__xludf.DUMMYFUNCTION("IFERROR(sum(FILTER('Fund Investment Data'!$V:$V, 'Fund Investment Data'!$C:$C = $C2558, 'Fund Investment Data'!$A:$A &lt; $A2558)),0) + IFERROR(sum(FILTER('Fund Investment Data'!$V:$V, 'Fund Investment Data'!$C:$C = $C2558, 'Fund Investment Data'!$A:$A = $A2"&amp;"558, 'Fund Investment Data'!$B:$B &lt;= $B2558)),0)"),0.0)</f>
        <v>0</v>
      </c>
      <c r="T2558" s="32"/>
      <c r="U2558" s="32"/>
      <c r="V2558" s="32">
        <f>IFERROR(__xludf.DUMMYFUNCTION("$D2558 - IFERROR(FILTER($D:$D,$C:$C = $C2558, $A:$A = $A2558, $B:$B = $B2558 - 1),0)"),0.0)</f>
        <v>0</v>
      </c>
      <c r="W2558" s="93">
        <f>IFERROR(__xludf.DUMMYFUNCTION("$E2558 - IFERROR(FILTER($E:$E,$C:$C = $C2558, $A:$A = $A2558, $B:$B = $B2558 - 1),0)"),0.0)</f>
        <v>0</v>
      </c>
      <c r="X2558" s="91">
        <f>IFERROR(__xludf.DUMMYFUNCTION("iFERROR((FILTER('Fund Investment Data'!$Z:$Z, 'Fund Investment Data'!$C:$C = $C2558, 'Fund Investment Data'!$A:$A = $A2558 - 1, 'Fund Investment Data'!$B:$B = 12) + FILTER('Fund Investment Data'!$AB:$AB, 'Fund Investment Data'!$C:$C = $C2558, 'Fund Invest"&amp;"ment Data'!$A:$A = $A2558 - 1, 'Fund Investment Data'!$B:$B = 12)) * (1 + AVERAGE(FILTER('Inflation Data'!$C:$C,'Inflation Data'!$A:$A = ($A2558 - 2)))) * Parameters!$A$4,0)"),0.0)</f>
        <v>0</v>
      </c>
      <c r="Y2558" s="91">
        <f>IFERROR(__xludf.DUMMYFUNCTION("IFERROR((IFERROR(FILTER('Fund Investment Data'!$P:$P,'Fund Investment Data'!$C:$C = $C2558,'Fund Investment Data'!$A:$A = ($A2558 - 2), 'Fund Investment Data'!$B:$B = 12),0) - SUM(FILTER('Fund Investment Data'!$V:$V, 'Fund Investment Data'!$C:$C = $C2558,"&amp;" 'Fund Investment Data'!$A:$A = ($A2558 - 2), 'Fund Investment Data'!$B:$B &gt; 3)))  * Parameters!$B$4 * (1 - Parameters!$A$4),0)"),0.0)</f>
        <v>0</v>
      </c>
      <c r="Z2558" s="91">
        <f t="shared" si="24"/>
        <v>0</v>
      </c>
      <c r="AA2558" s="91">
        <f>IFERROR(__xludf.DUMMYFUNCTION("((IFERROR((SUM(FILTER('Fund Investment Data'!$V:$V, 'Fund Investment Data'!$C:$C = $C2558, 'Fund Investment Data'!$A:$A = $A2558 - 1, 'Fund Investment Data'!$B:$B &gt;= 4, 'Fund Investment Data'!$B:$B &lt;= ($B2558 + 5))) / 12) * ($B2558 - 3) * Parameters!$B$4,"&amp;" 0) + IF($B2558 &gt;= 9, IFERROR(SUM(FILTER('Fund Investment Data'!$V:$V, 'Fund Investment Data'!$C:$C = $C2558, 'Fund Investment Data'!$A:$A = $A2558, 'Fund Investment Data'!$B:$B &lt;= 3)) * Parameters!$B$4, 0),0)))"),0.0)</f>
        <v>0</v>
      </c>
      <c r="AB2558" s="32">
        <f>IFERROR(__xludf.DUMMYFUNCTION("IFERROR(((IFERROR(SUM(FILTER('Fund Investment Data'!$V:$V, 'Fund Investment Data'!$C:$C = $C2558, 'Fund Investment Data'!$A:$A = $A2558 - 2, 'Fund Investment Data'!$B:$B &gt;= 4)) * Parameters!$B$4,0) + IFERROR(SUM(FILTER('Fund Investment Data'!$V:$V, 'Fund "&amp;"Investment Data'!$C:$C = $C2558, 'Fund Investment Data'!$A:$A = $A2558 - 1, 'Fund Investment Data'!$B:$B &lt;= 3)) * Parameters!$B$4,0))),0)"),0.0)</f>
        <v>0</v>
      </c>
      <c r="AC2558" s="32">
        <f>IFERROR(__xludf.DUMMYFUNCTION("IFERROR(FILTER($AF:$AF,$C:$C = $C2558,$A:$A = $A2558 - 1,$B:$B = 12),0)"),0.0)</f>
        <v>0</v>
      </c>
      <c r="AD2558" s="32">
        <f t="shared" si="23"/>
        <v>0</v>
      </c>
      <c r="AE2558" s="32">
        <f t="shared" si="2"/>
        <v>0</v>
      </c>
      <c r="AF2558" s="32"/>
    </row>
    <row r="2559">
      <c r="A2559" s="86"/>
      <c r="B2559" s="87"/>
      <c r="C2559" s="88"/>
      <c r="D2559" s="104"/>
      <c r="E2559" s="104"/>
      <c r="F2559" s="104"/>
      <c r="G2559" s="104"/>
      <c r="H2559" s="104"/>
      <c r="I2559" s="104"/>
      <c r="J2559" s="104"/>
      <c r="K2559" s="32"/>
      <c r="L2559" s="32"/>
      <c r="M2559" s="32"/>
      <c r="N2559" s="32"/>
      <c r="O2559" s="106"/>
      <c r="P2559" s="91">
        <f>IFERROR(__xludf.DUMMYFUNCTION("IFERROR(sum(FILTER($D:$N,$C:$C = $C2559,$A:$A &lt; $A2559,$B:$B = 12)),0) + sum($D2559:$N2559)"),0.0)</f>
        <v>0</v>
      </c>
      <c r="Q2559" s="92">
        <f t="shared" si="1"/>
        <v>0</v>
      </c>
      <c r="R2559" s="91">
        <f t="array" ref="R2559">IFERROR(INDEX('Fund YTD Target Values'!$1:$1000, MATCH($C2559,'Fund YTD Target Values'!$A:$A,0), MATCH($A2559,'Fund YTD Target Values'!$1:$1,0)),0)</f>
        <v>0</v>
      </c>
      <c r="S2559" s="91">
        <f>IFERROR(__xludf.DUMMYFUNCTION("IFERROR(sum(FILTER('Fund Investment Data'!$V:$V, 'Fund Investment Data'!$C:$C = $C2559, 'Fund Investment Data'!$A:$A &lt; $A2559)),0) + IFERROR(sum(FILTER('Fund Investment Data'!$V:$V, 'Fund Investment Data'!$C:$C = $C2559, 'Fund Investment Data'!$A:$A = $A2"&amp;"559, 'Fund Investment Data'!$B:$B &lt;= $B2559)),0)"),0.0)</f>
        <v>0</v>
      </c>
      <c r="T2559" s="32"/>
      <c r="U2559" s="32"/>
      <c r="V2559" s="32">
        <f>IFERROR(__xludf.DUMMYFUNCTION("$D2559 - IFERROR(FILTER($D:$D,$C:$C = $C2559, $A:$A = $A2559, $B:$B = $B2559 - 1),0)"),0.0)</f>
        <v>0</v>
      </c>
      <c r="W2559" s="93">
        <f>IFERROR(__xludf.DUMMYFUNCTION("$E2559 - IFERROR(FILTER($E:$E,$C:$C = $C2559, $A:$A = $A2559, $B:$B = $B2559 - 1),0)"),0.0)</f>
        <v>0</v>
      </c>
      <c r="X2559" s="91">
        <f>IFERROR(__xludf.DUMMYFUNCTION("iFERROR((FILTER('Fund Investment Data'!$Z:$Z, 'Fund Investment Data'!$C:$C = $C2559, 'Fund Investment Data'!$A:$A = $A2559 - 1, 'Fund Investment Data'!$B:$B = 12) + FILTER('Fund Investment Data'!$AB:$AB, 'Fund Investment Data'!$C:$C = $C2559, 'Fund Invest"&amp;"ment Data'!$A:$A = $A2559 - 1, 'Fund Investment Data'!$B:$B = 12)) * (1 + AVERAGE(FILTER('Inflation Data'!$C:$C,'Inflation Data'!$A:$A = ($A2559 - 2)))) * Parameters!$A$4,0)"),0.0)</f>
        <v>0</v>
      </c>
      <c r="Y2559" s="91">
        <f>IFERROR(__xludf.DUMMYFUNCTION("IFERROR((IFERROR(FILTER('Fund Investment Data'!$P:$P,'Fund Investment Data'!$C:$C = $C2559,'Fund Investment Data'!$A:$A = ($A2559 - 2), 'Fund Investment Data'!$B:$B = 12),0) - SUM(FILTER('Fund Investment Data'!$V:$V, 'Fund Investment Data'!$C:$C = $C2559,"&amp;" 'Fund Investment Data'!$A:$A = ($A2559 - 2), 'Fund Investment Data'!$B:$B &gt; 3)))  * Parameters!$B$4 * (1 - Parameters!$A$4),0)"),0.0)</f>
        <v>0</v>
      </c>
      <c r="Z2559" s="91">
        <f t="shared" si="24"/>
        <v>0</v>
      </c>
      <c r="AA2559" s="91">
        <f>IFERROR(__xludf.DUMMYFUNCTION("((IFERROR((SUM(FILTER('Fund Investment Data'!$V:$V, 'Fund Investment Data'!$C:$C = $C2559, 'Fund Investment Data'!$A:$A = $A2559 - 1, 'Fund Investment Data'!$B:$B &gt;= 4, 'Fund Investment Data'!$B:$B &lt;= ($B2559 + 5))) / 12) * ($B2559 - 3) * Parameters!$B$4,"&amp;" 0) + IF($B2559 &gt;= 9, IFERROR(SUM(FILTER('Fund Investment Data'!$V:$V, 'Fund Investment Data'!$C:$C = $C2559, 'Fund Investment Data'!$A:$A = $A2559, 'Fund Investment Data'!$B:$B &lt;= 3)) * Parameters!$B$4, 0),0)))"),0.0)</f>
        <v>0</v>
      </c>
      <c r="AB2559" s="32">
        <f>IFERROR(__xludf.DUMMYFUNCTION("IFERROR(((IFERROR(SUM(FILTER('Fund Investment Data'!$V:$V, 'Fund Investment Data'!$C:$C = $C2559, 'Fund Investment Data'!$A:$A = $A2559 - 2, 'Fund Investment Data'!$B:$B &gt;= 4)) * Parameters!$B$4,0) + IFERROR(SUM(FILTER('Fund Investment Data'!$V:$V, 'Fund "&amp;"Investment Data'!$C:$C = $C2559, 'Fund Investment Data'!$A:$A = $A2559 - 1, 'Fund Investment Data'!$B:$B &lt;= 3)) * Parameters!$B$4,0))),0)"),0.0)</f>
        <v>0</v>
      </c>
      <c r="AC2559" s="32">
        <f>IFERROR(__xludf.DUMMYFUNCTION("IFERROR(FILTER($AF:$AF,$C:$C = $C2559,$A:$A = $A2559 - 1,$B:$B = 12),0)"),0.0)</f>
        <v>0</v>
      </c>
      <c r="AD2559" s="32">
        <f t="shared" si="23"/>
        <v>0</v>
      </c>
      <c r="AE2559" s="32">
        <f t="shared" si="2"/>
        <v>0</v>
      </c>
      <c r="AF2559" s="32"/>
    </row>
    <row r="2560">
      <c r="A2560" s="86"/>
      <c r="B2560" s="87"/>
      <c r="C2560" s="88"/>
      <c r="D2560" s="104"/>
      <c r="E2560" s="104"/>
      <c r="F2560" s="104"/>
      <c r="G2560" s="104"/>
      <c r="H2560" s="104"/>
      <c r="I2560" s="104"/>
      <c r="J2560" s="104"/>
      <c r="K2560" s="32"/>
      <c r="L2560" s="32"/>
      <c r="M2560" s="32"/>
      <c r="N2560" s="32"/>
      <c r="O2560" s="106"/>
      <c r="P2560" s="91">
        <f>IFERROR(__xludf.DUMMYFUNCTION("IFERROR(sum(FILTER($D:$N,$C:$C = $C2560,$A:$A &lt; $A2560,$B:$B = 12)),0) + sum($D2560:$N2560)"),0.0)</f>
        <v>0</v>
      </c>
      <c r="Q2560" s="92">
        <f t="shared" si="1"/>
        <v>0</v>
      </c>
      <c r="R2560" s="91">
        <f t="array" ref="R2560">IFERROR(INDEX('Fund YTD Target Values'!$1:$1000, MATCH($C2560,'Fund YTD Target Values'!$A:$A,0), MATCH($A2560,'Fund YTD Target Values'!$1:$1,0)),0)</f>
        <v>0</v>
      </c>
      <c r="S2560" s="91">
        <f>IFERROR(__xludf.DUMMYFUNCTION("IFERROR(sum(FILTER('Fund Investment Data'!$V:$V, 'Fund Investment Data'!$C:$C = $C2560, 'Fund Investment Data'!$A:$A &lt; $A2560)),0) + IFERROR(sum(FILTER('Fund Investment Data'!$V:$V, 'Fund Investment Data'!$C:$C = $C2560, 'Fund Investment Data'!$A:$A = $A2"&amp;"560, 'Fund Investment Data'!$B:$B &lt;= $B2560)),0)"),0.0)</f>
        <v>0</v>
      </c>
      <c r="T2560" s="32"/>
      <c r="U2560" s="32"/>
      <c r="V2560" s="32">
        <f>IFERROR(__xludf.DUMMYFUNCTION("$D2560 - IFERROR(FILTER($D:$D,$C:$C = $C2560, $A:$A = $A2560, $B:$B = $B2560 - 1),0)"),0.0)</f>
        <v>0</v>
      </c>
      <c r="W2560" s="93">
        <f>IFERROR(__xludf.DUMMYFUNCTION("$E2560 - IFERROR(FILTER($E:$E,$C:$C = $C2560, $A:$A = $A2560, $B:$B = $B2560 - 1),0)"),0.0)</f>
        <v>0</v>
      </c>
      <c r="X2560" s="91">
        <f>IFERROR(__xludf.DUMMYFUNCTION("iFERROR((FILTER('Fund Investment Data'!$Z:$Z, 'Fund Investment Data'!$C:$C = $C2560, 'Fund Investment Data'!$A:$A = $A2560 - 1, 'Fund Investment Data'!$B:$B = 12) + FILTER('Fund Investment Data'!$AB:$AB, 'Fund Investment Data'!$C:$C = $C2560, 'Fund Invest"&amp;"ment Data'!$A:$A = $A2560 - 1, 'Fund Investment Data'!$B:$B = 12)) * (1 + AVERAGE(FILTER('Inflation Data'!$C:$C,'Inflation Data'!$A:$A = ($A2560 - 2)))) * Parameters!$A$4,0)"),0.0)</f>
        <v>0</v>
      </c>
      <c r="Y2560" s="91">
        <f>IFERROR(__xludf.DUMMYFUNCTION("IFERROR((IFERROR(FILTER('Fund Investment Data'!$P:$P,'Fund Investment Data'!$C:$C = $C2560,'Fund Investment Data'!$A:$A = ($A2560 - 2), 'Fund Investment Data'!$B:$B = 12),0) - SUM(FILTER('Fund Investment Data'!$V:$V, 'Fund Investment Data'!$C:$C = $C2560,"&amp;" 'Fund Investment Data'!$A:$A = ($A2560 - 2), 'Fund Investment Data'!$B:$B &gt; 3)))  * Parameters!$B$4 * (1 - Parameters!$A$4),0)"),0.0)</f>
        <v>0</v>
      </c>
      <c r="Z2560" s="91">
        <f t="shared" si="24"/>
        <v>0</v>
      </c>
      <c r="AA2560" s="91">
        <f>IFERROR(__xludf.DUMMYFUNCTION("((IFERROR((SUM(FILTER('Fund Investment Data'!$V:$V, 'Fund Investment Data'!$C:$C = $C2560, 'Fund Investment Data'!$A:$A = $A2560 - 1, 'Fund Investment Data'!$B:$B &gt;= 4, 'Fund Investment Data'!$B:$B &lt;= ($B2560 + 5))) / 12) * ($B2560 - 3) * Parameters!$B$4,"&amp;" 0) + IF($B2560 &gt;= 9, IFERROR(SUM(FILTER('Fund Investment Data'!$V:$V, 'Fund Investment Data'!$C:$C = $C2560, 'Fund Investment Data'!$A:$A = $A2560, 'Fund Investment Data'!$B:$B &lt;= 3)) * Parameters!$B$4, 0),0)))"),0.0)</f>
        <v>0</v>
      </c>
      <c r="AB2560" s="32">
        <f>IFERROR(__xludf.DUMMYFUNCTION("IFERROR(((IFERROR(SUM(FILTER('Fund Investment Data'!$V:$V, 'Fund Investment Data'!$C:$C = $C2560, 'Fund Investment Data'!$A:$A = $A2560 - 2, 'Fund Investment Data'!$B:$B &gt;= 4)) * Parameters!$B$4,0) + IFERROR(SUM(FILTER('Fund Investment Data'!$V:$V, 'Fund "&amp;"Investment Data'!$C:$C = $C2560, 'Fund Investment Data'!$A:$A = $A2560 - 1, 'Fund Investment Data'!$B:$B &lt;= 3)) * Parameters!$B$4,0))),0)"),0.0)</f>
        <v>0</v>
      </c>
      <c r="AC2560" s="32">
        <f>IFERROR(__xludf.DUMMYFUNCTION("IFERROR(FILTER($AF:$AF,$C:$C = $C2560,$A:$A = $A2560 - 1,$B:$B = 12),0)"),0.0)</f>
        <v>0</v>
      </c>
      <c r="AD2560" s="32">
        <f t="shared" si="23"/>
        <v>0</v>
      </c>
      <c r="AE2560" s="32">
        <f t="shared" si="2"/>
        <v>0</v>
      </c>
      <c r="AF2560" s="32"/>
    </row>
    <row r="2561">
      <c r="A2561" s="86"/>
      <c r="B2561" s="87"/>
      <c r="C2561" s="88"/>
      <c r="D2561" s="104"/>
      <c r="E2561" s="104"/>
      <c r="F2561" s="104"/>
      <c r="G2561" s="104"/>
      <c r="H2561" s="104"/>
      <c r="I2561" s="104"/>
      <c r="J2561" s="104"/>
      <c r="K2561" s="32"/>
      <c r="L2561" s="32"/>
      <c r="M2561" s="32"/>
      <c r="N2561" s="32"/>
      <c r="O2561" s="106"/>
      <c r="P2561" s="91">
        <f>IFERROR(__xludf.DUMMYFUNCTION("IFERROR(sum(FILTER($D:$N,$C:$C = $C2561,$A:$A &lt; $A2561,$B:$B = 12)),0) + sum($D2561:$N2561)"),0.0)</f>
        <v>0</v>
      </c>
      <c r="Q2561" s="92">
        <f t="shared" si="1"/>
        <v>0</v>
      </c>
      <c r="R2561" s="91">
        <f t="array" ref="R2561">IFERROR(INDEX('Fund YTD Target Values'!$1:$1000, MATCH($C2561,'Fund YTD Target Values'!$A:$A,0), MATCH($A2561,'Fund YTD Target Values'!$1:$1,0)),0)</f>
        <v>0</v>
      </c>
      <c r="S2561" s="91">
        <f>IFERROR(__xludf.DUMMYFUNCTION("IFERROR(sum(FILTER('Fund Investment Data'!$V:$V, 'Fund Investment Data'!$C:$C = $C2561, 'Fund Investment Data'!$A:$A &lt; $A2561)),0) + IFERROR(sum(FILTER('Fund Investment Data'!$V:$V, 'Fund Investment Data'!$C:$C = $C2561, 'Fund Investment Data'!$A:$A = $A2"&amp;"561, 'Fund Investment Data'!$B:$B &lt;= $B2561)),0)"),0.0)</f>
        <v>0</v>
      </c>
      <c r="T2561" s="32"/>
      <c r="U2561" s="32"/>
      <c r="V2561" s="32">
        <f>IFERROR(__xludf.DUMMYFUNCTION("$D2561 - IFERROR(FILTER($D:$D,$C:$C = $C2561, $A:$A = $A2561, $B:$B = $B2561 - 1),0)"),0.0)</f>
        <v>0</v>
      </c>
      <c r="W2561" s="93">
        <f>IFERROR(__xludf.DUMMYFUNCTION("$E2561 - IFERROR(FILTER($E:$E,$C:$C = $C2561, $A:$A = $A2561, $B:$B = $B2561 - 1),0)"),0.0)</f>
        <v>0</v>
      </c>
      <c r="X2561" s="91">
        <f>IFERROR(__xludf.DUMMYFUNCTION("iFERROR((FILTER('Fund Investment Data'!$Z:$Z, 'Fund Investment Data'!$C:$C = $C2561, 'Fund Investment Data'!$A:$A = $A2561 - 1, 'Fund Investment Data'!$B:$B = 12) + FILTER('Fund Investment Data'!$AB:$AB, 'Fund Investment Data'!$C:$C = $C2561, 'Fund Invest"&amp;"ment Data'!$A:$A = $A2561 - 1, 'Fund Investment Data'!$B:$B = 12)) * (1 + AVERAGE(FILTER('Inflation Data'!$C:$C,'Inflation Data'!$A:$A = ($A2561 - 2)))) * Parameters!$A$4,0)"),0.0)</f>
        <v>0</v>
      </c>
      <c r="Y2561" s="91">
        <f>IFERROR(__xludf.DUMMYFUNCTION("IFERROR((IFERROR(FILTER('Fund Investment Data'!$P:$P,'Fund Investment Data'!$C:$C = $C2561,'Fund Investment Data'!$A:$A = ($A2561 - 2), 'Fund Investment Data'!$B:$B = 12),0) - SUM(FILTER('Fund Investment Data'!$V:$V, 'Fund Investment Data'!$C:$C = $C2561,"&amp;" 'Fund Investment Data'!$A:$A = ($A2561 - 2), 'Fund Investment Data'!$B:$B &gt; 3)))  * Parameters!$B$4 * (1 - Parameters!$A$4),0)"),0.0)</f>
        <v>0</v>
      </c>
      <c r="Z2561" s="91">
        <f t="shared" si="24"/>
        <v>0</v>
      </c>
      <c r="AA2561" s="91">
        <f>IFERROR(__xludf.DUMMYFUNCTION("((IFERROR((SUM(FILTER('Fund Investment Data'!$V:$V, 'Fund Investment Data'!$C:$C = $C2561, 'Fund Investment Data'!$A:$A = $A2561 - 1, 'Fund Investment Data'!$B:$B &gt;= 4, 'Fund Investment Data'!$B:$B &lt;= ($B2561 + 5))) / 12) * ($B2561 - 3) * Parameters!$B$4,"&amp;" 0) + IF($B2561 &gt;= 9, IFERROR(SUM(FILTER('Fund Investment Data'!$V:$V, 'Fund Investment Data'!$C:$C = $C2561, 'Fund Investment Data'!$A:$A = $A2561, 'Fund Investment Data'!$B:$B &lt;= 3)) * Parameters!$B$4, 0),0)))"),0.0)</f>
        <v>0</v>
      </c>
      <c r="AB2561" s="32">
        <f>IFERROR(__xludf.DUMMYFUNCTION("IFERROR(((IFERROR(SUM(FILTER('Fund Investment Data'!$V:$V, 'Fund Investment Data'!$C:$C = $C2561, 'Fund Investment Data'!$A:$A = $A2561 - 2, 'Fund Investment Data'!$B:$B &gt;= 4)) * Parameters!$B$4,0) + IFERROR(SUM(FILTER('Fund Investment Data'!$V:$V, 'Fund "&amp;"Investment Data'!$C:$C = $C2561, 'Fund Investment Data'!$A:$A = $A2561 - 1, 'Fund Investment Data'!$B:$B &lt;= 3)) * Parameters!$B$4,0))),0)"),0.0)</f>
        <v>0</v>
      </c>
      <c r="AC2561" s="32">
        <f>IFERROR(__xludf.DUMMYFUNCTION("IFERROR(FILTER($AF:$AF,$C:$C = $C2561,$A:$A = $A2561 - 1,$B:$B = 12),0)"),0.0)</f>
        <v>0</v>
      </c>
      <c r="AD2561" s="32">
        <f t="shared" si="23"/>
        <v>0</v>
      </c>
      <c r="AE2561" s="32">
        <f t="shared" si="2"/>
        <v>0</v>
      </c>
      <c r="AF2561" s="32"/>
    </row>
    <row r="2562">
      <c r="A2562" s="86"/>
      <c r="B2562" s="87"/>
      <c r="C2562" s="88"/>
      <c r="D2562" s="104"/>
      <c r="E2562" s="104"/>
      <c r="F2562" s="104"/>
      <c r="G2562" s="104"/>
      <c r="H2562" s="104"/>
      <c r="I2562" s="104"/>
      <c r="J2562" s="104"/>
      <c r="K2562" s="32"/>
      <c r="L2562" s="32"/>
      <c r="M2562" s="32"/>
      <c r="N2562" s="32"/>
      <c r="O2562" s="106"/>
      <c r="P2562" s="91">
        <f>IFERROR(__xludf.DUMMYFUNCTION("IFERROR(sum(FILTER($D:$N,$C:$C = $C2562,$A:$A &lt; $A2562,$B:$B = 12)),0) + sum($D2562:$N2562)"),0.0)</f>
        <v>0</v>
      </c>
      <c r="Q2562" s="92">
        <f t="shared" si="1"/>
        <v>0</v>
      </c>
      <c r="R2562" s="91">
        <f t="array" ref="R2562">IFERROR(INDEX('Fund YTD Target Values'!$1:$1000, MATCH($C2562,'Fund YTD Target Values'!$A:$A,0), MATCH($A2562,'Fund YTD Target Values'!$1:$1,0)),0)</f>
        <v>0</v>
      </c>
      <c r="S2562" s="91">
        <f>IFERROR(__xludf.DUMMYFUNCTION("IFERROR(sum(FILTER('Fund Investment Data'!$V:$V, 'Fund Investment Data'!$C:$C = $C2562, 'Fund Investment Data'!$A:$A &lt; $A2562)),0) + IFERROR(sum(FILTER('Fund Investment Data'!$V:$V, 'Fund Investment Data'!$C:$C = $C2562, 'Fund Investment Data'!$A:$A = $A2"&amp;"562, 'Fund Investment Data'!$B:$B &lt;= $B2562)),0)"),0.0)</f>
        <v>0</v>
      </c>
      <c r="T2562" s="32"/>
      <c r="U2562" s="32"/>
      <c r="V2562" s="32">
        <f>IFERROR(__xludf.DUMMYFUNCTION("$D2562 - IFERROR(FILTER($D:$D,$C:$C = $C2562, $A:$A = $A2562, $B:$B = $B2562 - 1),0)"),0.0)</f>
        <v>0</v>
      </c>
      <c r="W2562" s="93">
        <f>IFERROR(__xludf.DUMMYFUNCTION("$E2562 - IFERROR(FILTER($E:$E,$C:$C = $C2562, $A:$A = $A2562, $B:$B = $B2562 - 1),0)"),0.0)</f>
        <v>0</v>
      </c>
      <c r="X2562" s="91">
        <f>IFERROR(__xludf.DUMMYFUNCTION("iFERROR((FILTER('Fund Investment Data'!$Z:$Z, 'Fund Investment Data'!$C:$C = $C2562, 'Fund Investment Data'!$A:$A = $A2562 - 1, 'Fund Investment Data'!$B:$B = 12) + FILTER('Fund Investment Data'!$AB:$AB, 'Fund Investment Data'!$C:$C = $C2562, 'Fund Invest"&amp;"ment Data'!$A:$A = $A2562 - 1, 'Fund Investment Data'!$B:$B = 12)) * (1 + AVERAGE(FILTER('Inflation Data'!$C:$C,'Inflation Data'!$A:$A = ($A2562 - 2)))) * Parameters!$A$4,0)"),0.0)</f>
        <v>0</v>
      </c>
      <c r="Y2562" s="91">
        <f>IFERROR(__xludf.DUMMYFUNCTION("IFERROR((IFERROR(FILTER('Fund Investment Data'!$P:$P,'Fund Investment Data'!$C:$C = $C2562,'Fund Investment Data'!$A:$A = ($A2562 - 2), 'Fund Investment Data'!$B:$B = 12),0) - SUM(FILTER('Fund Investment Data'!$V:$V, 'Fund Investment Data'!$C:$C = $C2562,"&amp;" 'Fund Investment Data'!$A:$A = ($A2562 - 2), 'Fund Investment Data'!$B:$B &gt; 3)))  * Parameters!$B$4 * (1 - Parameters!$A$4),0)"),0.0)</f>
        <v>0</v>
      </c>
      <c r="Z2562" s="91">
        <f t="shared" si="24"/>
        <v>0</v>
      </c>
      <c r="AA2562" s="91">
        <f>IFERROR(__xludf.DUMMYFUNCTION("((IFERROR((SUM(FILTER('Fund Investment Data'!$V:$V, 'Fund Investment Data'!$C:$C = $C2562, 'Fund Investment Data'!$A:$A = $A2562 - 1, 'Fund Investment Data'!$B:$B &gt;= 4, 'Fund Investment Data'!$B:$B &lt;= ($B2562 + 5))) / 12) * ($B2562 - 3) * Parameters!$B$4,"&amp;" 0) + IF($B2562 &gt;= 9, IFERROR(SUM(FILTER('Fund Investment Data'!$V:$V, 'Fund Investment Data'!$C:$C = $C2562, 'Fund Investment Data'!$A:$A = $A2562, 'Fund Investment Data'!$B:$B &lt;= 3)) * Parameters!$B$4, 0),0)))"),0.0)</f>
        <v>0</v>
      </c>
      <c r="AB2562" s="32">
        <f>IFERROR(__xludf.DUMMYFUNCTION("IFERROR(((IFERROR(SUM(FILTER('Fund Investment Data'!$V:$V, 'Fund Investment Data'!$C:$C = $C2562, 'Fund Investment Data'!$A:$A = $A2562 - 2, 'Fund Investment Data'!$B:$B &gt;= 4)) * Parameters!$B$4,0) + IFERROR(SUM(FILTER('Fund Investment Data'!$V:$V, 'Fund "&amp;"Investment Data'!$C:$C = $C2562, 'Fund Investment Data'!$A:$A = $A2562 - 1, 'Fund Investment Data'!$B:$B &lt;= 3)) * Parameters!$B$4,0))),0)"),0.0)</f>
        <v>0</v>
      </c>
      <c r="AC2562" s="32">
        <f>IFERROR(__xludf.DUMMYFUNCTION("IFERROR(FILTER($AF:$AF,$C:$C = $C2562,$A:$A = $A2562 - 1,$B:$B = 12),0)"),0.0)</f>
        <v>0</v>
      </c>
      <c r="AD2562" s="32">
        <f t="shared" si="23"/>
        <v>0</v>
      </c>
      <c r="AE2562" s="32">
        <f t="shared" si="2"/>
        <v>0</v>
      </c>
      <c r="AF2562" s="32"/>
    </row>
    <row r="2563">
      <c r="A2563" s="86"/>
      <c r="B2563" s="87"/>
      <c r="C2563" s="88"/>
      <c r="D2563" s="104"/>
      <c r="E2563" s="104"/>
      <c r="F2563" s="104"/>
      <c r="G2563" s="104"/>
      <c r="H2563" s="104"/>
      <c r="I2563" s="104"/>
      <c r="J2563" s="104"/>
      <c r="K2563" s="32"/>
      <c r="L2563" s="32"/>
      <c r="M2563" s="32"/>
      <c r="N2563" s="32"/>
      <c r="O2563" s="106"/>
      <c r="P2563" s="91">
        <f>IFERROR(__xludf.DUMMYFUNCTION("IFERROR(sum(FILTER($D:$N,$C:$C = $C2563,$A:$A &lt; $A2563,$B:$B = 12)),0) + sum($D2563:$N2563)"),0.0)</f>
        <v>0</v>
      </c>
      <c r="Q2563" s="92">
        <f t="shared" si="1"/>
        <v>0</v>
      </c>
      <c r="R2563" s="91">
        <f t="array" ref="R2563">IFERROR(INDEX('Fund YTD Target Values'!$1:$1000, MATCH($C2563,'Fund YTD Target Values'!$A:$A,0), MATCH($A2563,'Fund YTD Target Values'!$1:$1,0)),0)</f>
        <v>0</v>
      </c>
      <c r="S2563" s="91">
        <f>IFERROR(__xludf.DUMMYFUNCTION("IFERROR(sum(FILTER('Fund Investment Data'!$V:$V, 'Fund Investment Data'!$C:$C = $C2563, 'Fund Investment Data'!$A:$A &lt; $A2563)),0) + IFERROR(sum(FILTER('Fund Investment Data'!$V:$V, 'Fund Investment Data'!$C:$C = $C2563, 'Fund Investment Data'!$A:$A = $A2"&amp;"563, 'Fund Investment Data'!$B:$B &lt;= $B2563)),0)"),0.0)</f>
        <v>0</v>
      </c>
      <c r="T2563" s="32"/>
      <c r="U2563" s="32"/>
      <c r="V2563" s="32">
        <f>IFERROR(__xludf.DUMMYFUNCTION("$D2563 - IFERROR(FILTER($D:$D,$C:$C = $C2563, $A:$A = $A2563, $B:$B = $B2563 - 1),0)"),0.0)</f>
        <v>0</v>
      </c>
      <c r="W2563" s="93">
        <f>IFERROR(__xludf.DUMMYFUNCTION("$E2563 - IFERROR(FILTER($E:$E,$C:$C = $C2563, $A:$A = $A2563, $B:$B = $B2563 - 1),0)"),0.0)</f>
        <v>0</v>
      </c>
      <c r="X2563" s="91">
        <f>IFERROR(__xludf.DUMMYFUNCTION("iFERROR((FILTER('Fund Investment Data'!$Z:$Z, 'Fund Investment Data'!$C:$C = $C2563, 'Fund Investment Data'!$A:$A = $A2563 - 1, 'Fund Investment Data'!$B:$B = 12) + FILTER('Fund Investment Data'!$AB:$AB, 'Fund Investment Data'!$C:$C = $C2563, 'Fund Invest"&amp;"ment Data'!$A:$A = $A2563 - 1, 'Fund Investment Data'!$B:$B = 12)) * (1 + AVERAGE(FILTER('Inflation Data'!$C:$C,'Inflation Data'!$A:$A = ($A2563 - 2)))) * Parameters!$A$4,0)"),0.0)</f>
        <v>0</v>
      </c>
      <c r="Y2563" s="91">
        <f>IFERROR(__xludf.DUMMYFUNCTION("IFERROR((IFERROR(FILTER('Fund Investment Data'!$P:$P,'Fund Investment Data'!$C:$C = $C2563,'Fund Investment Data'!$A:$A = ($A2563 - 2), 'Fund Investment Data'!$B:$B = 12),0) - SUM(FILTER('Fund Investment Data'!$V:$V, 'Fund Investment Data'!$C:$C = $C2563,"&amp;" 'Fund Investment Data'!$A:$A = ($A2563 - 2), 'Fund Investment Data'!$B:$B &gt; 3)))  * Parameters!$B$4 * (1 - Parameters!$A$4),0)"),0.0)</f>
        <v>0</v>
      </c>
      <c r="Z2563" s="91">
        <f t="shared" si="24"/>
        <v>0</v>
      </c>
      <c r="AA2563" s="91">
        <f>IFERROR(__xludf.DUMMYFUNCTION("((IFERROR((SUM(FILTER('Fund Investment Data'!$V:$V, 'Fund Investment Data'!$C:$C = $C2563, 'Fund Investment Data'!$A:$A = $A2563 - 1, 'Fund Investment Data'!$B:$B &gt;= 4, 'Fund Investment Data'!$B:$B &lt;= ($B2563 + 5))) / 12) * ($B2563 - 3) * Parameters!$B$4,"&amp;" 0) + IF($B2563 &gt;= 9, IFERROR(SUM(FILTER('Fund Investment Data'!$V:$V, 'Fund Investment Data'!$C:$C = $C2563, 'Fund Investment Data'!$A:$A = $A2563, 'Fund Investment Data'!$B:$B &lt;= 3)) * Parameters!$B$4, 0),0)))"),0.0)</f>
        <v>0</v>
      </c>
      <c r="AB2563" s="32">
        <f>IFERROR(__xludf.DUMMYFUNCTION("IFERROR(((IFERROR(SUM(FILTER('Fund Investment Data'!$V:$V, 'Fund Investment Data'!$C:$C = $C2563, 'Fund Investment Data'!$A:$A = $A2563 - 2, 'Fund Investment Data'!$B:$B &gt;= 4)) * Parameters!$B$4,0) + IFERROR(SUM(FILTER('Fund Investment Data'!$V:$V, 'Fund "&amp;"Investment Data'!$C:$C = $C2563, 'Fund Investment Data'!$A:$A = $A2563 - 1, 'Fund Investment Data'!$B:$B &lt;= 3)) * Parameters!$B$4,0))),0)"),0.0)</f>
        <v>0</v>
      </c>
      <c r="AC2563" s="32">
        <f>IFERROR(__xludf.DUMMYFUNCTION("IFERROR(FILTER($AF:$AF,$C:$C = $C2563,$A:$A = $A2563 - 1,$B:$B = 12),0)"),0.0)</f>
        <v>0</v>
      </c>
      <c r="AD2563" s="32">
        <f t="shared" si="23"/>
        <v>0</v>
      </c>
      <c r="AE2563" s="32">
        <f t="shared" si="2"/>
        <v>0</v>
      </c>
      <c r="AF2563" s="32"/>
    </row>
    <row r="2564">
      <c r="A2564" s="86"/>
      <c r="B2564" s="87"/>
      <c r="C2564" s="88"/>
      <c r="D2564" s="104"/>
      <c r="E2564" s="104"/>
      <c r="F2564" s="104"/>
      <c r="G2564" s="104"/>
      <c r="H2564" s="104"/>
      <c r="I2564" s="104"/>
      <c r="J2564" s="104"/>
      <c r="K2564" s="32"/>
      <c r="L2564" s="32"/>
      <c r="M2564" s="32"/>
      <c r="N2564" s="32"/>
      <c r="O2564" s="106"/>
      <c r="P2564" s="91">
        <f>IFERROR(__xludf.DUMMYFUNCTION("IFERROR(sum(FILTER($D:$N,$C:$C = $C2564,$A:$A &lt; $A2564,$B:$B = 12)),0) + sum($D2564:$N2564)"),0.0)</f>
        <v>0</v>
      </c>
      <c r="Q2564" s="92">
        <f t="shared" si="1"/>
        <v>0</v>
      </c>
      <c r="R2564" s="91">
        <f t="array" ref="R2564">IFERROR(INDEX('Fund YTD Target Values'!$1:$1000, MATCH($C2564,'Fund YTD Target Values'!$A:$A,0), MATCH($A2564,'Fund YTD Target Values'!$1:$1,0)),0)</f>
        <v>0</v>
      </c>
      <c r="S2564" s="91">
        <f>IFERROR(__xludf.DUMMYFUNCTION("IFERROR(sum(FILTER('Fund Investment Data'!$V:$V, 'Fund Investment Data'!$C:$C = $C2564, 'Fund Investment Data'!$A:$A &lt; $A2564)),0) + IFERROR(sum(FILTER('Fund Investment Data'!$V:$V, 'Fund Investment Data'!$C:$C = $C2564, 'Fund Investment Data'!$A:$A = $A2"&amp;"564, 'Fund Investment Data'!$B:$B &lt;= $B2564)),0)"),0.0)</f>
        <v>0</v>
      </c>
      <c r="T2564" s="32"/>
      <c r="U2564" s="32"/>
      <c r="V2564" s="32">
        <f>IFERROR(__xludf.DUMMYFUNCTION("$D2564 - IFERROR(FILTER($D:$D,$C:$C = $C2564, $A:$A = $A2564, $B:$B = $B2564 - 1),0)"),0.0)</f>
        <v>0</v>
      </c>
      <c r="W2564" s="93">
        <f>IFERROR(__xludf.DUMMYFUNCTION("$E2564 - IFERROR(FILTER($E:$E,$C:$C = $C2564, $A:$A = $A2564, $B:$B = $B2564 - 1),0)"),0.0)</f>
        <v>0</v>
      </c>
      <c r="X2564" s="91">
        <f>IFERROR(__xludf.DUMMYFUNCTION("iFERROR((FILTER('Fund Investment Data'!$Z:$Z, 'Fund Investment Data'!$C:$C = $C2564, 'Fund Investment Data'!$A:$A = $A2564 - 1, 'Fund Investment Data'!$B:$B = 12) + FILTER('Fund Investment Data'!$AB:$AB, 'Fund Investment Data'!$C:$C = $C2564, 'Fund Invest"&amp;"ment Data'!$A:$A = $A2564 - 1, 'Fund Investment Data'!$B:$B = 12)) * (1 + AVERAGE(FILTER('Inflation Data'!$C:$C,'Inflation Data'!$A:$A = ($A2564 - 2)))) * Parameters!$A$4,0)"),0.0)</f>
        <v>0</v>
      </c>
      <c r="Y2564" s="91">
        <f>IFERROR(__xludf.DUMMYFUNCTION("IFERROR((IFERROR(FILTER('Fund Investment Data'!$P:$P,'Fund Investment Data'!$C:$C = $C2564,'Fund Investment Data'!$A:$A = ($A2564 - 2), 'Fund Investment Data'!$B:$B = 12),0) - SUM(FILTER('Fund Investment Data'!$V:$V, 'Fund Investment Data'!$C:$C = $C2564,"&amp;" 'Fund Investment Data'!$A:$A = ($A2564 - 2), 'Fund Investment Data'!$B:$B &gt; 3)))  * Parameters!$B$4 * (1 - Parameters!$A$4),0)"),0.0)</f>
        <v>0</v>
      </c>
      <c r="Z2564" s="91">
        <f t="shared" si="24"/>
        <v>0</v>
      </c>
      <c r="AA2564" s="91">
        <f>IFERROR(__xludf.DUMMYFUNCTION("((IFERROR((SUM(FILTER('Fund Investment Data'!$V:$V, 'Fund Investment Data'!$C:$C = $C2564, 'Fund Investment Data'!$A:$A = $A2564 - 1, 'Fund Investment Data'!$B:$B &gt;= 4, 'Fund Investment Data'!$B:$B &lt;= ($B2564 + 5))) / 12) * ($B2564 - 3) * Parameters!$B$4,"&amp;" 0) + IF($B2564 &gt;= 9, IFERROR(SUM(FILTER('Fund Investment Data'!$V:$V, 'Fund Investment Data'!$C:$C = $C2564, 'Fund Investment Data'!$A:$A = $A2564, 'Fund Investment Data'!$B:$B &lt;= 3)) * Parameters!$B$4, 0),0)))"),0.0)</f>
        <v>0</v>
      </c>
      <c r="AB2564" s="32">
        <f>IFERROR(__xludf.DUMMYFUNCTION("IFERROR(((IFERROR(SUM(FILTER('Fund Investment Data'!$V:$V, 'Fund Investment Data'!$C:$C = $C2564, 'Fund Investment Data'!$A:$A = $A2564 - 2, 'Fund Investment Data'!$B:$B &gt;= 4)) * Parameters!$B$4,0) + IFERROR(SUM(FILTER('Fund Investment Data'!$V:$V, 'Fund "&amp;"Investment Data'!$C:$C = $C2564, 'Fund Investment Data'!$A:$A = $A2564 - 1, 'Fund Investment Data'!$B:$B &lt;= 3)) * Parameters!$B$4,0))),0)"),0.0)</f>
        <v>0</v>
      </c>
      <c r="AC2564" s="32">
        <f>IFERROR(__xludf.DUMMYFUNCTION("IFERROR(FILTER($AF:$AF,$C:$C = $C2564,$A:$A = $A2564 - 1,$B:$B = 12),0)"),0.0)</f>
        <v>0</v>
      </c>
      <c r="AD2564" s="32">
        <f t="shared" si="23"/>
        <v>0</v>
      </c>
      <c r="AE2564" s="32">
        <f t="shared" si="2"/>
        <v>0</v>
      </c>
      <c r="AF2564" s="32"/>
    </row>
    <row r="2565">
      <c r="A2565" s="86"/>
      <c r="B2565" s="87"/>
      <c r="C2565" s="88"/>
      <c r="D2565" s="104"/>
      <c r="E2565" s="104"/>
      <c r="F2565" s="104"/>
      <c r="G2565" s="104"/>
      <c r="H2565" s="104"/>
      <c r="I2565" s="104"/>
      <c r="J2565" s="104"/>
      <c r="K2565" s="32"/>
      <c r="L2565" s="32"/>
      <c r="M2565" s="32"/>
      <c r="N2565" s="32"/>
      <c r="O2565" s="106"/>
      <c r="P2565" s="91">
        <f>IFERROR(__xludf.DUMMYFUNCTION("IFERROR(sum(FILTER($D:$N,$C:$C = $C2565,$A:$A &lt; $A2565,$B:$B = 12)),0) + sum($D2565:$N2565)"),0.0)</f>
        <v>0</v>
      </c>
      <c r="Q2565" s="92">
        <f t="shared" si="1"/>
        <v>0</v>
      </c>
      <c r="R2565" s="91">
        <f t="array" ref="R2565">IFERROR(INDEX('Fund YTD Target Values'!$1:$1000, MATCH($C2565,'Fund YTD Target Values'!$A:$A,0), MATCH($A2565,'Fund YTD Target Values'!$1:$1,0)),0)</f>
        <v>0</v>
      </c>
      <c r="S2565" s="91">
        <f>IFERROR(__xludf.DUMMYFUNCTION("IFERROR(sum(FILTER('Fund Investment Data'!$V:$V, 'Fund Investment Data'!$C:$C = $C2565, 'Fund Investment Data'!$A:$A &lt; $A2565)),0) + IFERROR(sum(FILTER('Fund Investment Data'!$V:$V, 'Fund Investment Data'!$C:$C = $C2565, 'Fund Investment Data'!$A:$A = $A2"&amp;"565, 'Fund Investment Data'!$B:$B &lt;= $B2565)),0)"),0.0)</f>
        <v>0</v>
      </c>
      <c r="T2565" s="32"/>
      <c r="U2565" s="32"/>
      <c r="V2565" s="32">
        <f>IFERROR(__xludf.DUMMYFUNCTION("$D2565 - IFERROR(FILTER($D:$D,$C:$C = $C2565, $A:$A = $A2565, $B:$B = $B2565 - 1),0)"),0.0)</f>
        <v>0</v>
      </c>
      <c r="W2565" s="93">
        <f>IFERROR(__xludf.DUMMYFUNCTION("$E2565 - IFERROR(FILTER($E:$E,$C:$C = $C2565, $A:$A = $A2565, $B:$B = $B2565 - 1),0)"),0.0)</f>
        <v>0</v>
      </c>
      <c r="X2565" s="91">
        <f>IFERROR(__xludf.DUMMYFUNCTION("iFERROR((FILTER('Fund Investment Data'!$Z:$Z, 'Fund Investment Data'!$C:$C = $C2565, 'Fund Investment Data'!$A:$A = $A2565 - 1, 'Fund Investment Data'!$B:$B = 12) + FILTER('Fund Investment Data'!$AB:$AB, 'Fund Investment Data'!$C:$C = $C2565, 'Fund Invest"&amp;"ment Data'!$A:$A = $A2565 - 1, 'Fund Investment Data'!$B:$B = 12)) * (1 + AVERAGE(FILTER('Inflation Data'!$C:$C,'Inflation Data'!$A:$A = ($A2565 - 2)))) * Parameters!$A$4,0)"),0.0)</f>
        <v>0</v>
      </c>
      <c r="Y2565" s="91">
        <f>IFERROR(__xludf.DUMMYFUNCTION("IFERROR((IFERROR(FILTER('Fund Investment Data'!$P:$P,'Fund Investment Data'!$C:$C = $C2565,'Fund Investment Data'!$A:$A = ($A2565 - 2), 'Fund Investment Data'!$B:$B = 12),0) - SUM(FILTER('Fund Investment Data'!$V:$V, 'Fund Investment Data'!$C:$C = $C2565,"&amp;" 'Fund Investment Data'!$A:$A = ($A2565 - 2), 'Fund Investment Data'!$B:$B &gt; 3)))  * Parameters!$B$4 * (1 - Parameters!$A$4),0)"),0.0)</f>
        <v>0</v>
      </c>
      <c r="Z2565" s="91">
        <f t="shared" si="24"/>
        <v>0</v>
      </c>
      <c r="AA2565" s="91">
        <f>IFERROR(__xludf.DUMMYFUNCTION("((IFERROR((SUM(FILTER('Fund Investment Data'!$V:$V, 'Fund Investment Data'!$C:$C = $C2565, 'Fund Investment Data'!$A:$A = $A2565 - 1, 'Fund Investment Data'!$B:$B &gt;= 4, 'Fund Investment Data'!$B:$B &lt;= ($B2565 + 5))) / 12) * ($B2565 - 3) * Parameters!$B$4,"&amp;" 0) + IF($B2565 &gt;= 9, IFERROR(SUM(FILTER('Fund Investment Data'!$V:$V, 'Fund Investment Data'!$C:$C = $C2565, 'Fund Investment Data'!$A:$A = $A2565, 'Fund Investment Data'!$B:$B &lt;= 3)) * Parameters!$B$4, 0),0)))"),0.0)</f>
        <v>0</v>
      </c>
      <c r="AB2565" s="32">
        <f>IFERROR(__xludf.DUMMYFUNCTION("IFERROR(((IFERROR(SUM(FILTER('Fund Investment Data'!$V:$V, 'Fund Investment Data'!$C:$C = $C2565, 'Fund Investment Data'!$A:$A = $A2565 - 2, 'Fund Investment Data'!$B:$B &gt;= 4)) * Parameters!$B$4,0) + IFERROR(SUM(FILTER('Fund Investment Data'!$V:$V, 'Fund "&amp;"Investment Data'!$C:$C = $C2565, 'Fund Investment Data'!$A:$A = $A2565 - 1, 'Fund Investment Data'!$B:$B &lt;= 3)) * Parameters!$B$4,0))),0)"),0.0)</f>
        <v>0</v>
      </c>
      <c r="AC2565" s="32">
        <f>IFERROR(__xludf.DUMMYFUNCTION("IFERROR(FILTER($AF:$AF,$C:$C = $C2565,$A:$A = $A2565 - 1,$B:$B = 12),0)"),0.0)</f>
        <v>0</v>
      </c>
      <c r="AD2565" s="32">
        <f t="shared" si="23"/>
        <v>0</v>
      </c>
      <c r="AE2565" s="32">
        <f t="shared" si="2"/>
        <v>0</v>
      </c>
      <c r="AF2565" s="32"/>
    </row>
    <row r="2566">
      <c r="A2566" s="86"/>
      <c r="B2566" s="87"/>
      <c r="C2566" s="88"/>
      <c r="D2566" s="104"/>
      <c r="E2566" s="104"/>
      <c r="F2566" s="104"/>
      <c r="G2566" s="104"/>
      <c r="H2566" s="104"/>
      <c r="I2566" s="104"/>
      <c r="J2566" s="104"/>
      <c r="K2566" s="32"/>
      <c r="L2566" s="32"/>
      <c r="M2566" s="32"/>
      <c r="N2566" s="32"/>
      <c r="O2566" s="106"/>
      <c r="P2566" s="91">
        <f>IFERROR(__xludf.DUMMYFUNCTION("IFERROR(sum(FILTER($D:$N,$C:$C = $C2566,$A:$A &lt; $A2566,$B:$B = 12)),0) + sum($D2566:$N2566)"),0.0)</f>
        <v>0</v>
      </c>
      <c r="Q2566" s="92">
        <f t="shared" si="1"/>
        <v>0</v>
      </c>
      <c r="R2566" s="91">
        <f t="array" ref="R2566">IFERROR(INDEX('Fund YTD Target Values'!$1:$1000, MATCH($C2566,'Fund YTD Target Values'!$A:$A,0), MATCH($A2566,'Fund YTD Target Values'!$1:$1,0)),0)</f>
        <v>0</v>
      </c>
      <c r="S2566" s="91">
        <f>IFERROR(__xludf.DUMMYFUNCTION("IFERROR(sum(FILTER('Fund Investment Data'!$V:$V, 'Fund Investment Data'!$C:$C = $C2566, 'Fund Investment Data'!$A:$A &lt; $A2566)),0) + IFERROR(sum(FILTER('Fund Investment Data'!$V:$V, 'Fund Investment Data'!$C:$C = $C2566, 'Fund Investment Data'!$A:$A = $A2"&amp;"566, 'Fund Investment Data'!$B:$B &lt;= $B2566)),0)"),0.0)</f>
        <v>0</v>
      </c>
      <c r="T2566" s="32"/>
      <c r="U2566" s="32"/>
      <c r="V2566" s="32">
        <f>IFERROR(__xludf.DUMMYFUNCTION("$D2566 - IFERROR(FILTER($D:$D,$C:$C = $C2566, $A:$A = $A2566, $B:$B = $B2566 - 1),0)"),0.0)</f>
        <v>0</v>
      </c>
      <c r="W2566" s="93">
        <f>IFERROR(__xludf.DUMMYFUNCTION("$E2566 - IFERROR(FILTER($E:$E,$C:$C = $C2566, $A:$A = $A2566, $B:$B = $B2566 - 1),0)"),0.0)</f>
        <v>0</v>
      </c>
      <c r="X2566" s="91">
        <f>IFERROR(__xludf.DUMMYFUNCTION("iFERROR((FILTER('Fund Investment Data'!$Z:$Z, 'Fund Investment Data'!$C:$C = $C2566, 'Fund Investment Data'!$A:$A = $A2566 - 1, 'Fund Investment Data'!$B:$B = 12) + FILTER('Fund Investment Data'!$AB:$AB, 'Fund Investment Data'!$C:$C = $C2566, 'Fund Invest"&amp;"ment Data'!$A:$A = $A2566 - 1, 'Fund Investment Data'!$B:$B = 12)) * (1 + AVERAGE(FILTER('Inflation Data'!$C:$C,'Inflation Data'!$A:$A = ($A2566 - 2)))) * Parameters!$A$4,0)"),0.0)</f>
        <v>0</v>
      </c>
      <c r="Y2566" s="91">
        <f>IFERROR(__xludf.DUMMYFUNCTION("IFERROR((IFERROR(FILTER('Fund Investment Data'!$P:$P,'Fund Investment Data'!$C:$C = $C2566,'Fund Investment Data'!$A:$A = ($A2566 - 2), 'Fund Investment Data'!$B:$B = 12),0) - SUM(FILTER('Fund Investment Data'!$V:$V, 'Fund Investment Data'!$C:$C = $C2566,"&amp;" 'Fund Investment Data'!$A:$A = ($A2566 - 2), 'Fund Investment Data'!$B:$B &gt; 3)))  * Parameters!$B$4 * (1 - Parameters!$A$4),0)"),0.0)</f>
        <v>0</v>
      </c>
      <c r="Z2566" s="91">
        <f t="shared" si="24"/>
        <v>0</v>
      </c>
      <c r="AA2566" s="91">
        <f>IFERROR(__xludf.DUMMYFUNCTION("((IFERROR((SUM(FILTER('Fund Investment Data'!$V:$V, 'Fund Investment Data'!$C:$C = $C2566, 'Fund Investment Data'!$A:$A = $A2566 - 1, 'Fund Investment Data'!$B:$B &gt;= 4, 'Fund Investment Data'!$B:$B &lt;= ($B2566 + 5))) / 12) * ($B2566 - 3) * Parameters!$B$4,"&amp;" 0) + IF($B2566 &gt;= 9, IFERROR(SUM(FILTER('Fund Investment Data'!$V:$V, 'Fund Investment Data'!$C:$C = $C2566, 'Fund Investment Data'!$A:$A = $A2566, 'Fund Investment Data'!$B:$B &lt;= 3)) * Parameters!$B$4, 0),0)))"),0.0)</f>
        <v>0</v>
      </c>
      <c r="AB2566" s="32">
        <f>IFERROR(__xludf.DUMMYFUNCTION("IFERROR(((IFERROR(SUM(FILTER('Fund Investment Data'!$V:$V, 'Fund Investment Data'!$C:$C = $C2566, 'Fund Investment Data'!$A:$A = $A2566 - 2, 'Fund Investment Data'!$B:$B &gt;= 4)) * Parameters!$B$4,0) + IFERROR(SUM(FILTER('Fund Investment Data'!$V:$V, 'Fund "&amp;"Investment Data'!$C:$C = $C2566, 'Fund Investment Data'!$A:$A = $A2566 - 1, 'Fund Investment Data'!$B:$B &lt;= 3)) * Parameters!$B$4,0))),0)"),0.0)</f>
        <v>0</v>
      </c>
      <c r="AC2566" s="32">
        <f>IFERROR(__xludf.DUMMYFUNCTION("IFERROR(FILTER($AF:$AF,$C:$C = $C2566,$A:$A = $A2566 - 1,$B:$B = 12),0)"),0.0)</f>
        <v>0</v>
      </c>
      <c r="AD2566" s="32">
        <f t="shared" si="23"/>
        <v>0</v>
      </c>
      <c r="AE2566" s="32">
        <f t="shared" si="2"/>
        <v>0</v>
      </c>
      <c r="AF2566" s="32"/>
    </row>
    <row r="2567">
      <c r="A2567" s="86"/>
      <c r="B2567" s="87"/>
      <c r="C2567" s="88"/>
      <c r="D2567" s="104"/>
      <c r="E2567" s="104"/>
      <c r="F2567" s="104"/>
      <c r="G2567" s="104"/>
      <c r="H2567" s="104"/>
      <c r="I2567" s="104"/>
      <c r="J2567" s="104"/>
      <c r="K2567" s="32"/>
      <c r="L2567" s="32"/>
      <c r="M2567" s="32"/>
      <c r="N2567" s="32"/>
      <c r="O2567" s="106"/>
      <c r="P2567" s="91">
        <f>IFERROR(__xludf.DUMMYFUNCTION("IFERROR(sum(FILTER($D:$N,$C:$C = $C2567,$A:$A &lt; $A2567,$B:$B = 12)),0) + sum($D2567:$N2567)"),0.0)</f>
        <v>0</v>
      </c>
      <c r="Q2567" s="92">
        <f t="shared" si="1"/>
        <v>0</v>
      </c>
      <c r="R2567" s="91">
        <f t="array" ref="R2567">IFERROR(INDEX('Fund YTD Target Values'!$1:$1000, MATCH($C2567,'Fund YTD Target Values'!$A:$A,0), MATCH($A2567,'Fund YTD Target Values'!$1:$1,0)),0)</f>
        <v>0</v>
      </c>
      <c r="S2567" s="91">
        <f>IFERROR(__xludf.DUMMYFUNCTION("IFERROR(sum(FILTER('Fund Investment Data'!$V:$V, 'Fund Investment Data'!$C:$C = $C2567, 'Fund Investment Data'!$A:$A &lt; $A2567)),0) + IFERROR(sum(FILTER('Fund Investment Data'!$V:$V, 'Fund Investment Data'!$C:$C = $C2567, 'Fund Investment Data'!$A:$A = $A2"&amp;"567, 'Fund Investment Data'!$B:$B &lt;= $B2567)),0)"),0.0)</f>
        <v>0</v>
      </c>
      <c r="T2567" s="32"/>
      <c r="U2567" s="32"/>
      <c r="V2567" s="32">
        <f>IFERROR(__xludf.DUMMYFUNCTION("$D2567 - IFERROR(FILTER($D:$D,$C:$C = $C2567, $A:$A = $A2567, $B:$B = $B2567 - 1),0)"),0.0)</f>
        <v>0</v>
      </c>
      <c r="W2567" s="93">
        <f>IFERROR(__xludf.DUMMYFUNCTION("$E2567 - IFERROR(FILTER($E:$E,$C:$C = $C2567, $A:$A = $A2567, $B:$B = $B2567 - 1),0)"),0.0)</f>
        <v>0</v>
      </c>
      <c r="X2567" s="91">
        <f>IFERROR(__xludf.DUMMYFUNCTION("iFERROR((FILTER('Fund Investment Data'!$Z:$Z, 'Fund Investment Data'!$C:$C = $C2567, 'Fund Investment Data'!$A:$A = $A2567 - 1, 'Fund Investment Data'!$B:$B = 12) + FILTER('Fund Investment Data'!$AB:$AB, 'Fund Investment Data'!$C:$C = $C2567, 'Fund Invest"&amp;"ment Data'!$A:$A = $A2567 - 1, 'Fund Investment Data'!$B:$B = 12)) * (1 + AVERAGE(FILTER('Inflation Data'!$C:$C,'Inflation Data'!$A:$A = ($A2567 - 2)))) * Parameters!$A$4,0)"),0.0)</f>
        <v>0</v>
      </c>
      <c r="Y2567" s="91">
        <f>IFERROR(__xludf.DUMMYFUNCTION("IFERROR((IFERROR(FILTER('Fund Investment Data'!$P:$P,'Fund Investment Data'!$C:$C = $C2567,'Fund Investment Data'!$A:$A = ($A2567 - 2), 'Fund Investment Data'!$B:$B = 12),0) - SUM(FILTER('Fund Investment Data'!$V:$V, 'Fund Investment Data'!$C:$C = $C2567,"&amp;" 'Fund Investment Data'!$A:$A = ($A2567 - 2), 'Fund Investment Data'!$B:$B &gt; 3)))  * Parameters!$B$4 * (1 - Parameters!$A$4),0)"),0.0)</f>
        <v>0</v>
      </c>
      <c r="Z2567" s="91">
        <f t="shared" si="24"/>
        <v>0</v>
      </c>
      <c r="AA2567" s="91">
        <f>IFERROR(__xludf.DUMMYFUNCTION("((IFERROR((SUM(FILTER('Fund Investment Data'!$V:$V, 'Fund Investment Data'!$C:$C = $C2567, 'Fund Investment Data'!$A:$A = $A2567 - 1, 'Fund Investment Data'!$B:$B &gt;= 4, 'Fund Investment Data'!$B:$B &lt;= ($B2567 + 5))) / 12) * ($B2567 - 3) * Parameters!$B$4,"&amp;" 0) + IF($B2567 &gt;= 9, IFERROR(SUM(FILTER('Fund Investment Data'!$V:$V, 'Fund Investment Data'!$C:$C = $C2567, 'Fund Investment Data'!$A:$A = $A2567, 'Fund Investment Data'!$B:$B &lt;= 3)) * Parameters!$B$4, 0),0)))"),0.0)</f>
        <v>0</v>
      </c>
      <c r="AB2567" s="32">
        <f>IFERROR(__xludf.DUMMYFUNCTION("IFERROR(((IFERROR(SUM(FILTER('Fund Investment Data'!$V:$V, 'Fund Investment Data'!$C:$C = $C2567, 'Fund Investment Data'!$A:$A = $A2567 - 2, 'Fund Investment Data'!$B:$B &gt;= 4)) * Parameters!$B$4,0) + IFERROR(SUM(FILTER('Fund Investment Data'!$V:$V, 'Fund "&amp;"Investment Data'!$C:$C = $C2567, 'Fund Investment Data'!$A:$A = $A2567 - 1, 'Fund Investment Data'!$B:$B &lt;= 3)) * Parameters!$B$4,0))),0)"),0.0)</f>
        <v>0</v>
      </c>
      <c r="AC2567" s="32">
        <f>IFERROR(__xludf.DUMMYFUNCTION("IFERROR(FILTER($AF:$AF,$C:$C = $C2567,$A:$A = $A2567 - 1,$B:$B = 12),0)"),0.0)</f>
        <v>0</v>
      </c>
      <c r="AD2567" s="32">
        <f t="shared" si="23"/>
        <v>0</v>
      </c>
      <c r="AE2567" s="32">
        <f t="shared" si="2"/>
        <v>0</v>
      </c>
      <c r="AF2567" s="32"/>
    </row>
    <row r="2568">
      <c r="A2568" s="86"/>
      <c r="B2568" s="87"/>
      <c r="C2568" s="88"/>
      <c r="D2568" s="104"/>
      <c r="E2568" s="104"/>
      <c r="F2568" s="104"/>
      <c r="G2568" s="104"/>
      <c r="H2568" s="104"/>
      <c r="I2568" s="104"/>
      <c r="J2568" s="104"/>
      <c r="K2568" s="32"/>
      <c r="L2568" s="32"/>
      <c r="M2568" s="32"/>
      <c r="N2568" s="32"/>
      <c r="O2568" s="106"/>
      <c r="P2568" s="91">
        <f>IFERROR(__xludf.DUMMYFUNCTION("IFERROR(sum(FILTER($D:$N,$C:$C = $C2568,$A:$A &lt; $A2568,$B:$B = 12)),0) + sum($D2568:$N2568)"),0.0)</f>
        <v>0</v>
      </c>
      <c r="Q2568" s="92">
        <f t="shared" si="1"/>
        <v>0</v>
      </c>
      <c r="R2568" s="91">
        <f t="array" ref="R2568">IFERROR(INDEX('Fund YTD Target Values'!$1:$1000, MATCH($C2568,'Fund YTD Target Values'!$A:$A,0), MATCH($A2568,'Fund YTD Target Values'!$1:$1,0)),0)</f>
        <v>0</v>
      </c>
      <c r="S2568" s="91">
        <f>IFERROR(__xludf.DUMMYFUNCTION("IFERROR(sum(FILTER('Fund Investment Data'!$V:$V, 'Fund Investment Data'!$C:$C = $C2568, 'Fund Investment Data'!$A:$A &lt; $A2568)),0) + IFERROR(sum(FILTER('Fund Investment Data'!$V:$V, 'Fund Investment Data'!$C:$C = $C2568, 'Fund Investment Data'!$A:$A = $A2"&amp;"568, 'Fund Investment Data'!$B:$B &lt;= $B2568)),0)"),0.0)</f>
        <v>0</v>
      </c>
      <c r="T2568" s="32"/>
      <c r="U2568" s="32"/>
      <c r="V2568" s="32">
        <f>IFERROR(__xludf.DUMMYFUNCTION("$D2568 - IFERROR(FILTER($D:$D,$C:$C = $C2568, $A:$A = $A2568, $B:$B = $B2568 - 1),0)"),0.0)</f>
        <v>0</v>
      </c>
      <c r="W2568" s="93">
        <f>IFERROR(__xludf.DUMMYFUNCTION("$E2568 - IFERROR(FILTER($E:$E,$C:$C = $C2568, $A:$A = $A2568, $B:$B = $B2568 - 1),0)"),0.0)</f>
        <v>0</v>
      </c>
      <c r="X2568" s="91">
        <f>IFERROR(__xludf.DUMMYFUNCTION("iFERROR((FILTER('Fund Investment Data'!$Z:$Z, 'Fund Investment Data'!$C:$C = $C2568, 'Fund Investment Data'!$A:$A = $A2568 - 1, 'Fund Investment Data'!$B:$B = 12) + FILTER('Fund Investment Data'!$AB:$AB, 'Fund Investment Data'!$C:$C = $C2568, 'Fund Invest"&amp;"ment Data'!$A:$A = $A2568 - 1, 'Fund Investment Data'!$B:$B = 12)) * (1 + AVERAGE(FILTER('Inflation Data'!$C:$C,'Inflation Data'!$A:$A = ($A2568 - 2)))) * Parameters!$A$4,0)"),0.0)</f>
        <v>0</v>
      </c>
      <c r="Y2568" s="91">
        <f>IFERROR(__xludf.DUMMYFUNCTION("IFERROR((IFERROR(FILTER('Fund Investment Data'!$P:$P,'Fund Investment Data'!$C:$C = $C2568,'Fund Investment Data'!$A:$A = ($A2568 - 2), 'Fund Investment Data'!$B:$B = 12),0) - SUM(FILTER('Fund Investment Data'!$V:$V, 'Fund Investment Data'!$C:$C = $C2568,"&amp;" 'Fund Investment Data'!$A:$A = ($A2568 - 2), 'Fund Investment Data'!$B:$B &gt; 3)))  * Parameters!$B$4 * (1 - Parameters!$A$4),0)"),0.0)</f>
        <v>0</v>
      </c>
      <c r="Z2568" s="91">
        <f t="shared" si="24"/>
        <v>0</v>
      </c>
      <c r="AA2568" s="91">
        <f>IFERROR(__xludf.DUMMYFUNCTION("((IFERROR((SUM(FILTER('Fund Investment Data'!$V:$V, 'Fund Investment Data'!$C:$C = $C2568, 'Fund Investment Data'!$A:$A = $A2568 - 1, 'Fund Investment Data'!$B:$B &gt;= 4, 'Fund Investment Data'!$B:$B &lt;= ($B2568 + 5))) / 12) * ($B2568 - 3) * Parameters!$B$4,"&amp;" 0) + IF($B2568 &gt;= 9, IFERROR(SUM(FILTER('Fund Investment Data'!$V:$V, 'Fund Investment Data'!$C:$C = $C2568, 'Fund Investment Data'!$A:$A = $A2568, 'Fund Investment Data'!$B:$B &lt;= 3)) * Parameters!$B$4, 0),0)))"),0.0)</f>
        <v>0</v>
      </c>
      <c r="AB2568" s="32">
        <f>IFERROR(__xludf.DUMMYFUNCTION("IFERROR(((IFERROR(SUM(FILTER('Fund Investment Data'!$V:$V, 'Fund Investment Data'!$C:$C = $C2568, 'Fund Investment Data'!$A:$A = $A2568 - 2, 'Fund Investment Data'!$B:$B &gt;= 4)) * Parameters!$B$4,0) + IFERROR(SUM(FILTER('Fund Investment Data'!$V:$V, 'Fund "&amp;"Investment Data'!$C:$C = $C2568, 'Fund Investment Data'!$A:$A = $A2568 - 1, 'Fund Investment Data'!$B:$B &lt;= 3)) * Parameters!$B$4,0))),0)"),0.0)</f>
        <v>0</v>
      </c>
      <c r="AC2568" s="32">
        <f>IFERROR(__xludf.DUMMYFUNCTION("IFERROR(FILTER($AF:$AF,$C:$C = $C2568,$A:$A = $A2568 - 1,$B:$B = 12),0)"),0.0)</f>
        <v>0</v>
      </c>
      <c r="AD2568" s="32">
        <f t="shared" si="23"/>
        <v>0</v>
      </c>
      <c r="AE2568" s="32">
        <f t="shared" si="2"/>
        <v>0</v>
      </c>
      <c r="AF2568" s="32"/>
    </row>
    <row r="2569">
      <c r="A2569" s="86"/>
      <c r="B2569" s="87"/>
      <c r="C2569" s="88"/>
      <c r="D2569" s="104"/>
      <c r="E2569" s="104"/>
      <c r="F2569" s="104"/>
      <c r="G2569" s="104"/>
      <c r="H2569" s="104"/>
      <c r="I2569" s="104"/>
      <c r="J2569" s="104"/>
      <c r="K2569" s="32"/>
      <c r="L2569" s="32"/>
      <c r="M2569" s="32"/>
      <c r="N2569" s="32"/>
      <c r="O2569" s="106"/>
      <c r="P2569" s="91">
        <f>IFERROR(__xludf.DUMMYFUNCTION("IFERROR(sum(FILTER($D:$N,$C:$C = $C2569,$A:$A &lt; $A2569,$B:$B = 12)),0) + sum($D2569:$N2569)"),0.0)</f>
        <v>0</v>
      </c>
      <c r="Q2569" s="92">
        <f t="shared" si="1"/>
        <v>0</v>
      </c>
      <c r="R2569" s="91">
        <f t="array" ref="R2569">IFERROR(INDEX('Fund YTD Target Values'!$1:$1000, MATCH($C2569,'Fund YTD Target Values'!$A:$A,0), MATCH($A2569,'Fund YTD Target Values'!$1:$1,0)),0)</f>
        <v>0</v>
      </c>
      <c r="S2569" s="91">
        <f>IFERROR(__xludf.DUMMYFUNCTION("IFERROR(sum(FILTER('Fund Investment Data'!$V:$V, 'Fund Investment Data'!$C:$C = $C2569, 'Fund Investment Data'!$A:$A &lt; $A2569)),0) + IFERROR(sum(FILTER('Fund Investment Data'!$V:$V, 'Fund Investment Data'!$C:$C = $C2569, 'Fund Investment Data'!$A:$A = $A2"&amp;"569, 'Fund Investment Data'!$B:$B &lt;= $B2569)),0)"),0.0)</f>
        <v>0</v>
      </c>
      <c r="T2569" s="32"/>
      <c r="U2569" s="32"/>
      <c r="V2569" s="32">
        <f>IFERROR(__xludf.DUMMYFUNCTION("$D2569 - IFERROR(FILTER($D:$D,$C:$C = $C2569, $A:$A = $A2569, $B:$B = $B2569 - 1),0)"),0.0)</f>
        <v>0</v>
      </c>
      <c r="W2569" s="93">
        <f>IFERROR(__xludf.DUMMYFUNCTION("$E2569 - IFERROR(FILTER($E:$E,$C:$C = $C2569, $A:$A = $A2569, $B:$B = $B2569 - 1),0)"),0.0)</f>
        <v>0</v>
      </c>
      <c r="X2569" s="91">
        <f>IFERROR(__xludf.DUMMYFUNCTION("iFERROR((FILTER('Fund Investment Data'!$Z:$Z, 'Fund Investment Data'!$C:$C = $C2569, 'Fund Investment Data'!$A:$A = $A2569 - 1, 'Fund Investment Data'!$B:$B = 12) + FILTER('Fund Investment Data'!$AB:$AB, 'Fund Investment Data'!$C:$C = $C2569, 'Fund Invest"&amp;"ment Data'!$A:$A = $A2569 - 1, 'Fund Investment Data'!$B:$B = 12)) * (1 + AVERAGE(FILTER('Inflation Data'!$C:$C,'Inflation Data'!$A:$A = ($A2569 - 2)))) * Parameters!$A$4,0)"),0.0)</f>
        <v>0</v>
      </c>
      <c r="Y2569" s="91">
        <f>IFERROR(__xludf.DUMMYFUNCTION("IFERROR((IFERROR(FILTER('Fund Investment Data'!$P:$P,'Fund Investment Data'!$C:$C = $C2569,'Fund Investment Data'!$A:$A = ($A2569 - 2), 'Fund Investment Data'!$B:$B = 12),0) - SUM(FILTER('Fund Investment Data'!$V:$V, 'Fund Investment Data'!$C:$C = $C2569,"&amp;" 'Fund Investment Data'!$A:$A = ($A2569 - 2), 'Fund Investment Data'!$B:$B &gt; 3)))  * Parameters!$B$4 * (1 - Parameters!$A$4),0)"),0.0)</f>
        <v>0</v>
      </c>
      <c r="Z2569" s="91">
        <f t="shared" si="24"/>
        <v>0</v>
      </c>
      <c r="AA2569" s="91">
        <f>IFERROR(__xludf.DUMMYFUNCTION("((IFERROR((SUM(FILTER('Fund Investment Data'!$V:$V, 'Fund Investment Data'!$C:$C = $C2569, 'Fund Investment Data'!$A:$A = $A2569 - 1, 'Fund Investment Data'!$B:$B &gt;= 4, 'Fund Investment Data'!$B:$B &lt;= ($B2569 + 5))) / 12) * ($B2569 - 3) * Parameters!$B$4,"&amp;" 0) + IF($B2569 &gt;= 9, IFERROR(SUM(FILTER('Fund Investment Data'!$V:$V, 'Fund Investment Data'!$C:$C = $C2569, 'Fund Investment Data'!$A:$A = $A2569, 'Fund Investment Data'!$B:$B &lt;= 3)) * Parameters!$B$4, 0),0)))"),0.0)</f>
        <v>0</v>
      </c>
      <c r="AB2569" s="32">
        <f>IFERROR(__xludf.DUMMYFUNCTION("IFERROR(((IFERROR(SUM(FILTER('Fund Investment Data'!$V:$V, 'Fund Investment Data'!$C:$C = $C2569, 'Fund Investment Data'!$A:$A = $A2569 - 2, 'Fund Investment Data'!$B:$B &gt;= 4)) * Parameters!$B$4,0) + IFERROR(SUM(FILTER('Fund Investment Data'!$V:$V, 'Fund "&amp;"Investment Data'!$C:$C = $C2569, 'Fund Investment Data'!$A:$A = $A2569 - 1, 'Fund Investment Data'!$B:$B &lt;= 3)) * Parameters!$B$4,0))),0)"),0.0)</f>
        <v>0</v>
      </c>
      <c r="AC2569" s="32">
        <f>IFERROR(__xludf.DUMMYFUNCTION("IFERROR(FILTER($AF:$AF,$C:$C = $C2569,$A:$A = $A2569 - 1,$B:$B = 12),0)"),0.0)</f>
        <v>0</v>
      </c>
      <c r="AD2569" s="32">
        <f t="shared" si="23"/>
        <v>0</v>
      </c>
      <c r="AE2569" s="32">
        <f t="shared" si="2"/>
        <v>0</v>
      </c>
      <c r="AF2569" s="32"/>
    </row>
    <row r="2570">
      <c r="A2570" s="86"/>
      <c r="B2570" s="87"/>
      <c r="C2570" s="88"/>
      <c r="D2570" s="104"/>
      <c r="E2570" s="104"/>
      <c r="F2570" s="104"/>
      <c r="G2570" s="104"/>
      <c r="H2570" s="104"/>
      <c r="I2570" s="104"/>
      <c r="J2570" s="104"/>
      <c r="K2570" s="32"/>
      <c r="L2570" s="32"/>
      <c r="M2570" s="32"/>
      <c r="N2570" s="32"/>
      <c r="O2570" s="106"/>
      <c r="P2570" s="91">
        <f>IFERROR(__xludf.DUMMYFUNCTION("IFERROR(sum(FILTER($D:$N,$C:$C = $C2570,$A:$A &lt; $A2570,$B:$B = 12)),0) + sum($D2570:$N2570)"),0.0)</f>
        <v>0</v>
      </c>
      <c r="Q2570" s="92">
        <f t="shared" si="1"/>
        <v>0</v>
      </c>
      <c r="R2570" s="91">
        <f t="array" ref="R2570">IFERROR(INDEX('Fund YTD Target Values'!$1:$1000, MATCH($C2570,'Fund YTD Target Values'!$A:$A,0), MATCH($A2570,'Fund YTD Target Values'!$1:$1,0)),0)</f>
        <v>0</v>
      </c>
      <c r="S2570" s="91">
        <f>IFERROR(__xludf.DUMMYFUNCTION("IFERROR(sum(FILTER('Fund Investment Data'!$V:$V, 'Fund Investment Data'!$C:$C = $C2570, 'Fund Investment Data'!$A:$A &lt; $A2570)),0) + IFERROR(sum(FILTER('Fund Investment Data'!$V:$V, 'Fund Investment Data'!$C:$C = $C2570, 'Fund Investment Data'!$A:$A = $A2"&amp;"570, 'Fund Investment Data'!$B:$B &lt;= $B2570)),0)"),0.0)</f>
        <v>0</v>
      </c>
      <c r="T2570" s="32"/>
      <c r="U2570" s="32"/>
      <c r="V2570" s="32">
        <f>IFERROR(__xludf.DUMMYFUNCTION("$D2570 - IFERROR(FILTER($D:$D,$C:$C = $C2570, $A:$A = $A2570, $B:$B = $B2570 - 1),0)"),0.0)</f>
        <v>0</v>
      </c>
      <c r="W2570" s="93">
        <f>IFERROR(__xludf.DUMMYFUNCTION("$E2570 - IFERROR(FILTER($E:$E,$C:$C = $C2570, $A:$A = $A2570, $B:$B = $B2570 - 1),0)"),0.0)</f>
        <v>0</v>
      </c>
      <c r="X2570" s="91">
        <f>IFERROR(__xludf.DUMMYFUNCTION("iFERROR((FILTER('Fund Investment Data'!$Z:$Z, 'Fund Investment Data'!$C:$C = $C2570, 'Fund Investment Data'!$A:$A = $A2570 - 1, 'Fund Investment Data'!$B:$B = 12) + FILTER('Fund Investment Data'!$AB:$AB, 'Fund Investment Data'!$C:$C = $C2570, 'Fund Invest"&amp;"ment Data'!$A:$A = $A2570 - 1, 'Fund Investment Data'!$B:$B = 12)) * (1 + AVERAGE(FILTER('Inflation Data'!$C:$C,'Inflation Data'!$A:$A = ($A2570 - 2)))) * Parameters!$A$4,0)"),0.0)</f>
        <v>0</v>
      </c>
      <c r="Y2570" s="91">
        <f>IFERROR(__xludf.DUMMYFUNCTION("IFERROR((IFERROR(FILTER('Fund Investment Data'!$P:$P,'Fund Investment Data'!$C:$C = $C2570,'Fund Investment Data'!$A:$A = ($A2570 - 2), 'Fund Investment Data'!$B:$B = 12),0) - SUM(FILTER('Fund Investment Data'!$V:$V, 'Fund Investment Data'!$C:$C = $C2570,"&amp;" 'Fund Investment Data'!$A:$A = ($A2570 - 2), 'Fund Investment Data'!$B:$B &gt; 3)))  * Parameters!$B$4 * (1 - Parameters!$A$4),0)"),0.0)</f>
        <v>0</v>
      </c>
      <c r="Z2570" s="91">
        <f t="shared" si="24"/>
        <v>0</v>
      </c>
      <c r="AA2570" s="91">
        <f>IFERROR(__xludf.DUMMYFUNCTION("((IFERROR((SUM(FILTER('Fund Investment Data'!$V:$V, 'Fund Investment Data'!$C:$C = $C2570, 'Fund Investment Data'!$A:$A = $A2570 - 1, 'Fund Investment Data'!$B:$B &gt;= 4, 'Fund Investment Data'!$B:$B &lt;= ($B2570 + 5))) / 12) * ($B2570 - 3) * Parameters!$B$4,"&amp;" 0) + IF($B2570 &gt;= 9, IFERROR(SUM(FILTER('Fund Investment Data'!$V:$V, 'Fund Investment Data'!$C:$C = $C2570, 'Fund Investment Data'!$A:$A = $A2570, 'Fund Investment Data'!$B:$B &lt;= 3)) * Parameters!$B$4, 0),0)))"),0.0)</f>
        <v>0</v>
      </c>
      <c r="AB2570" s="32">
        <f>IFERROR(__xludf.DUMMYFUNCTION("IFERROR(((IFERROR(SUM(FILTER('Fund Investment Data'!$V:$V, 'Fund Investment Data'!$C:$C = $C2570, 'Fund Investment Data'!$A:$A = $A2570 - 2, 'Fund Investment Data'!$B:$B &gt;= 4)) * Parameters!$B$4,0) + IFERROR(SUM(FILTER('Fund Investment Data'!$V:$V, 'Fund "&amp;"Investment Data'!$C:$C = $C2570, 'Fund Investment Data'!$A:$A = $A2570 - 1, 'Fund Investment Data'!$B:$B &lt;= 3)) * Parameters!$B$4,0))),0)"),0.0)</f>
        <v>0</v>
      </c>
      <c r="AC2570" s="32">
        <f>IFERROR(__xludf.DUMMYFUNCTION("IFERROR(FILTER($AF:$AF,$C:$C = $C2570,$A:$A = $A2570 - 1,$B:$B = 12),0)"),0.0)</f>
        <v>0</v>
      </c>
      <c r="AD2570" s="32">
        <f t="shared" si="23"/>
        <v>0</v>
      </c>
      <c r="AE2570" s="32">
        <f t="shared" si="2"/>
        <v>0</v>
      </c>
      <c r="AF2570" s="32"/>
    </row>
    <row r="2571">
      <c r="A2571" s="86"/>
      <c r="B2571" s="87"/>
      <c r="C2571" s="88"/>
      <c r="D2571" s="104"/>
      <c r="E2571" s="104"/>
      <c r="F2571" s="104"/>
      <c r="G2571" s="104"/>
      <c r="H2571" s="104"/>
      <c r="I2571" s="104"/>
      <c r="J2571" s="104"/>
      <c r="K2571" s="32"/>
      <c r="L2571" s="32"/>
      <c r="M2571" s="32"/>
      <c r="N2571" s="32"/>
      <c r="O2571" s="106"/>
      <c r="P2571" s="91">
        <f>IFERROR(__xludf.DUMMYFUNCTION("IFERROR(sum(FILTER($D:$N,$C:$C = $C2571,$A:$A &lt; $A2571,$B:$B = 12)),0) + sum($D2571:$N2571)"),0.0)</f>
        <v>0</v>
      </c>
      <c r="Q2571" s="92">
        <f t="shared" si="1"/>
        <v>0</v>
      </c>
      <c r="R2571" s="91">
        <f t="array" ref="R2571">IFERROR(INDEX('Fund YTD Target Values'!$1:$1000, MATCH($C2571,'Fund YTD Target Values'!$A:$A,0), MATCH($A2571,'Fund YTD Target Values'!$1:$1,0)),0)</f>
        <v>0</v>
      </c>
      <c r="S2571" s="91">
        <f>IFERROR(__xludf.DUMMYFUNCTION("IFERROR(sum(FILTER('Fund Investment Data'!$V:$V, 'Fund Investment Data'!$C:$C = $C2571, 'Fund Investment Data'!$A:$A &lt; $A2571)),0) + IFERROR(sum(FILTER('Fund Investment Data'!$V:$V, 'Fund Investment Data'!$C:$C = $C2571, 'Fund Investment Data'!$A:$A = $A2"&amp;"571, 'Fund Investment Data'!$B:$B &lt;= $B2571)),0)"),0.0)</f>
        <v>0</v>
      </c>
      <c r="T2571" s="32"/>
      <c r="U2571" s="32"/>
      <c r="V2571" s="32">
        <f>IFERROR(__xludf.DUMMYFUNCTION("$D2571 - IFERROR(FILTER($D:$D,$C:$C = $C2571, $A:$A = $A2571, $B:$B = $B2571 - 1),0)"),0.0)</f>
        <v>0</v>
      </c>
      <c r="W2571" s="93">
        <f>IFERROR(__xludf.DUMMYFUNCTION("$E2571 - IFERROR(FILTER($E:$E,$C:$C = $C2571, $A:$A = $A2571, $B:$B = $B2571 - 1),0)"),0.0)</f>
        <v>0</v>
      </c>
      <c r="X2571" s="91">
        <f>IFERROR(__xludf.DUMMYFUNCTION("iFERROR((FILTER('Fund Investment Data'!$Z:$Z, 'Fund Investment Data'!$C:$C = $C2571, 'Fund Investment Data'!$A:$A = $A2571 - 1, 'Fund Investment Data'!$B:$B = 12) + FILTER('Fund Investment Data'!$AB:$AB, 'Fund Investment Data'!$C:$C = $C2571, 'Fund Invest"&amp;"ment Data'!$A:$A = $A2571 - 1, 'Fund Investment Data'!$B:$B = 12)) * (1 + AVERAGE(FILTER('Inflation Data'!$C:$C,'Inflation Data'!$A:$A = ($A2571 - 2)))) * Parameters!$A$4,0)"),0.0)</f>
        <v>0</v>
      </c>
      <c r="Y2571" s="91">
        <f>IFERROR(__xludf.DUMMYFUNCTION("IFERROR((IFERROR(FILTER('Fund Investment Data'!$P:$P,'Fund Investment Data'!$C:$C = $C2571,'Fund Investment Data'!$A:$A = ($A2571 - 2), 'Fund Investment Data'!$B:$B = 12),0) - SUM(FILTER('Fund Investment Data'!$V:$V, 'Fund Investment Data'!$C:$C = $C2571,"&amp;" 'Fund Investment Data'!$A:$A = ($A2571 - 2), 'Fund Investment Data'!$B:$B &gt; 3)))  * Parameters!$B$4 * (1 - Parameters!$A$4),0)"),0.0)</f>
        <v>0</v>
      </c>
      <c r="Z2571" s="91">
        <f t="shared" si="24"/>
        <v>0</v>
      </c>
      <c r="AA2571" s="91">
        <f>IFERROR(__xludf.DUMMYFUNCTION("((IFERROR((SUM(FILTER('Fund Investment Data'!$V:$V, 'Fund Investment Data'!$C:$C = $C2571, 'Fund Investment Data'!$A:$A = $A2571 - 1, 'Fund Investment Data'!$B:$B &gt;= 4, 'Fund Investment Data'!$B:$B &lt;= ($B2571 + 5))) / 12) * ($B2571 - 3) * Parameters!$B$4,"&amp;" 0) + IF($B2571 &gt;= 9, IFERROR(SUM(FILTER('Fund Investment Data'!$V:$V, 'Fund Investment Data'!$C:$C = $C2571, 'Fund Investment Data'!$A:$A = $A2571, 'Fund Investment Data'!$B:$B &lt;= 3)) * Parameters!$B$4, 0),0)))"),0.0)</f>
        <v>0</v>
      </c>
      <c r="AB2571" s="32">
        <f>IFERROR(__xludf.DUMMYFUNCTION("IFERROR(((IFERROR(SUM(FILTER('Fund Investment Data'!$V:$V, 'Fund Investment Data'!$C:$C = $C2571, 'Fund Investment Data'!$A:$A = $A2571 - 2, 'Fund Investment Data'!$B:$B &gt;= 4)) * Parameters!$B$4,0) + IFERROR(SUM(FILTER('Fund Investment Data'!$V:$V, 'Fund "&amp;"Investment Data'!$C:$C = $C2571, 'Fund Investment Data'!$A:$A = $A2571 - 1, 'Fund Investment Data'!$B:$B &lt;= 3)) * Parameters!$B$4,0))),0)"),0.0)</f>
        <v>0</v>
      </c>
      <c r="AC2571" s="32">
        <f>IFERROR(__xludf.DUMMYFUNCTION("IFERROR(FILTER($AF:$AF,$C:$C = $C2571,$A:$A = $A2571 - 1,$B:$B = 12),0)"),0.0)</f>
        <v>0</v>
      </c>
      <c r="AD2571" s="32">
        <f t="shared" si="23"/>
        <v>0</v>
      </c>
      <c r="AE2571" s="32">
        <f t="shared" si="2"/>
        <v>0</v>
      </c>
      <c r="AF2571" s="32"/>
    </row>
    <row r="2572">
      <c r="A2572" s="86"/>
      <c r="B2572" s="87"/>
      <c r="C2572" s="88"/>
      <c r="D2572" s="104"/>
      <c r="E2572" s="104"/>
      <c r="F2572" s="104"/>
      <c r="G2572" s="104"/>
      <c r="H2572" s="104"/>
      <c r="I2572" s="104"/>
      <c r="J2572" s="104"/>
      <c r="K2572" s="32"/>
      <c r="L2572" s="32"/>
      <c r="M2572" s="32"/>
      <c r="N2572" s="32"/>
      <c r="O2572" s="106"/>
      <c r="P2572" s="91">
        <f>IFERROR(__xludf.DUMMYFUNCTION("IFERROR(sum(FILTER($D:$N,$C:$C = $C2572,$A:$A &lt; $A2572,$B:$B = 12)),0) + sum($D2572:$N2572)"),0.0)</f>
        <v>0</v>
      </c>
      <c r="Q2572" s="92">
        <f t="shared" si="1"/>
        <v>0</v>
      </c>
      <c r="R2572" s="91">
        <f t="array" ref="R2572">IFERROR(INDEX('Fund YTD Target Values'!$1:$1000, MATCH($C2572,'Fund YTD Target Values'!$A:$A,0), MATCH($A2572,'Fund YTD Target Values'!$1:$1,0)),0)</f>
        <v>0</v>
      </c>
      <c r="S2572" s="91">
        <f>IFERROR(__xludf.DUMMYFUNCTION("IFERROR(sum(FILTER('Fund Investment Data'!$V:$V, 'Fund Investment Data'!$C:$C = $C2572, 'Fund Investment Data'!$A:$A &lt; $A2572)),0) + IFERROR(sum(FILTER('Fund Investment Data'!$V:$V, 'Fund Investment Data'!$C:$C = $C2572, 'Fund Investment Data'!$A:$A = $A2"&amp;"572, 'Fund Investment Data'!$B:$B &lt;= $B2572)),0)"),0.0)</f>
        <v>0</v>
      </c>
      <c r="T2572" s="32"/>
      <c r="U2572" s="32"/>
      <c r="V2572" s="32">
        <f>IFERROR(__xludf.DUMMYFUNCTION("$D2572 - IFERROR(FILTER($D:$D,$C:$C = $C2572, $A:$A = $A2572, $B:$B = $B2572 - 1),0)"),0.0)</f>
        <v>0</v>
      </c>
      <c r="W2572" s="93">
        <f>IFERROR(__xludf.DUMMYFUNCTION("$E2572 - IFERROR(FILTER($E:$E,$C:$C = $C2572, $A:$A = $A2572, $B:$B = $B2572 - 1),0)"),0.0)</f>
        <v>0</v>
      </c>
      <c r="X2572" s="91">
        <f>IFERROR(__xludf.DUMMYFUNCTION("iFERROR((FILTER('Fund Investment Data'!$Z:$Z, 'Fund Investment Data'!$C:$C = $C2572, 'Fund Investment Data'!$A:$A = $A2572 - 1, 'Fund Investment Data'!$B:$B = 12) + FILTER('Fund Investment Data'!$AB:$AB, 'Fund Investment Data'!$C:$C = $C2572, 'Fund Invest"&amp;"ment Data'!$A:$A = $A2572 - 1, 'Fund Investment Data'!$B:$B = 12)) * (1 + AVERAGE(FILTER('Inflation Data'!$C:$C,'Inflation Data'!$A:$A = ($A2572 - 2)))) * Parameters!$A$4,0)"),0.0)</f>
        <v>0</v>
      </c>
      <c r="Y2572" s="91">
        <f>IFERROR(__xludf.DUMMYFUNCTION("IFERROR((IFERROR(FILTER('Fund Investment Data'!$P:$P,'Fund Investment Data'!$C:$C = $C2572,'Fund Investment Data'!$A:$A = ($A2572 - 2), 'Fund Investment Data'!$B:$B = 12),0) - SUM(FILTER('Fund Investment Data'!$V:$V, 'Fund Investment Data'!$C:$C = $C2572,"&amp;" 'Fund Investment Data'!$A:$A = ($A2572 - 2), 'Fund Investment Data'!$B:$B &gt; 3)))  * Parameters!$B$4 * (1 - Parameters!$A$4),0)"),0.0)</f>
        <v>0</v>
      </c>
      <c r="Z2572" s="91">
        <f t="shared" si="24"/>
        <v>0</v>
      </c>
      <c r="AA2572" s="91">
        <f>IFERROR(__xludf.DUMMYFUNCTION("((IFERROR((SUM(FILTER('Fund Investment Data'!$V:$V, 'Fund Investment Data'!$C:$C = $C2572, 'Fund Investment Data'!$A:$A = $A2572 - 1, 'Fund Investment Data'!$B:$B &gt;= 4, 'Fund Investment Data'!$B:$B &lt;= ($B2572 + 5))) / 12) * ($B2572 - 3) * Parameters!$B$4,"&amp;" 0) + IF($B2572 &gt;= 9, IFERROR(SUM(FILTER('Fund Investment Data'!$V:$V, 'Fund Investment Data'!$C:$C = $C2572, 'Fund Investment Data'!$A:$A = $A2572, 'Fund Investment Data'!$B:$B &lt;= 3)) * Parameters!$B$4, 0),0)))"),0.0)</f>
        <v>0</v>
      </c>
      <c r="AB2572" s="32">
        <f>IFERROR(__xludf.DUMMYFUNCTION("IFERROR(((IFERROR(SUM(FILTER('Fund Investment Data'!$V:$V, 'Fund Investment Data'!$C:$C = $C2572, 'Fund Investment Data'!$A:$A = $A2572 - 2, 'Fund Investment Data'!$B:$B &gt;= 4)) * Parameters!$B$4,0) + IFERROR(SUM(FILTER('Fund Investment Data'!$V:$V, 'Fund "&amp;"Investment Data'!$C:$C = $C2572, 'Fund Investment Data'!$A:$A = $A2572 - 1, 'Fund Investment Data'!$B:$B &lt;= 3)) * Parameters!$B$4,0))),0)"),0.0)</f>
        <v>0</v>
      </c>
      <c r="AC2572" s="32">
        <f>IFERROR(__xludf.DUMMYFUNCTION("IFERROR(FILTER($AF:$AF,$C:$C = $C2572,$A:$A = $A2572 - 1,$B:$B = 12),0)"),0.0)</f>
        <v>0</v>
      </c>
      <c r="AD2572" s="32">
        <f t="shared" si="23"/>
        <v>0</v>
      </c>
      <c r="AE2572" s="32">
        <f t="shared" si="2"/>
        <v>0</v>
      </c>
      <c r="AF2572" s="32"/>
    </row>
    <row r="2573">
      <c r="A2573" s="86"/>
      <c r="B2573" s="87"/>
      <c r="C2573" s="88"/>
      <c r="D2573" s="104"/>
      <c r="E2573" s="104"/>
      <c r="F2573" s="104"/>
      <c r="G2573" s="104"/>
      <c r="H2573" s="104"/>
      <c r="I2573" s="104"/>
      <c r="J2573" s="104"/>
      <c r="K2573" s="32"/>
      <c r="L2573" s="32"/>
      <c r="M2573" s="32"/>
      <c r="N2573" s="32"/>
      <c r="O2573" s="106"/>
      <c r="P2573" s="91">
        <f>IFERROR(__xludf.DUMMYFUNCTION("IFERROR(sum(FILTER($D:$N,$C:$C = $C2573,$A:$A &lt; $A2573,$B:$B = 12)),0) + sum($D2573:$N2573)"),0.0)</f>
        <v>0</v>
      </c>
      <c r="Q2573" s="92">
        <f t="shared" si="1"/>
        <v>0</v>
      </c>
      <c r="R2573" s="91">
        <f t="array" ref="R2573">IFERROR(INDEX('Fund YTD Target Values'!$1:$1000, MATCH($C2573,'Fund YTD Target Values'!$A:$A,0), MATCH($A2573,'Fund YTD Target Values'!$1:$1,0)),0)</f>
        <v>0</v>
      </c>
      <c r="S2573" s="91">
        <f>IFERROR(__xludf.DUMMYFUNCTION("IFERROR(sum(FILTER('Fund Investment Data'!$V:$V, 'Fund Investment Data'!$C:$C = $C2573, 'Fund Investment Data'!$A:$A &lt; $A2573)),0) + IFERROR(sum(FILTER('Fund Investment Data'!$V:$V, 'Fund Investment Data'!$C:$C = $C2573, 'Fund Investment Data'!$A:$A = $A2"&amp;"573, 'Fund Investment Data'!$B:$B &lt;= $B2573)),0)"),0.0)</f>
        <v>0</v>
      </c>
      <c r="T2573" s="32"/>
      <c r="U2573" s="32"/>
      <c r="V2573" s="32">
        <f>IFERROR(__xludf.DUMMYFUNCTION("$D2573 - IFERROR(FILTER($D:$D,$C:$C = $C2573, $A:$A = $A2573, $B:$B = $B2573 - 1),0)"),0.0)</f>
        <v>0</v>
      </c>
      <c r="W2573" s="93">
        <f>IFERROR(__xludf.DUMMYFUNCTION("$E2573 - IFERROR(FILTER($E:$E,$C:$C = $C2573, $A:$A = $A2573, $B:$B = $B2573 - 1),0)"),0.0)</f>
        <v>0</v>
      </c>
      <c r="X2573" s="91">
        <f>IFERROR(__xludf.DUMMYFUNCTION("iFERROR((FILTER('Fund Investment Data'!$Z:$Z, 'Fund Investment Data'!$C:$C = $C2573, 'Fund Investment Data'!$A:$A = $A2573 - 1, 'Fund Investment Data'!$B:$B = 12) + FILTER('Fund Investment Data'!$AB:$AB, 'Fund Investment Data'!$C:$C = $C2573, 'Fund Invest"&amp;"ment Data'!$A:$A = $A2573 - 1, 'Fund Investment Data'!$B:$B = 12)) * (1 + AVERAGE(FILTER('Inflation Data'!$C:$C,'Inflation Data'!$A:$A = ($A2573 - 2)))) * Parameters!$A$4,0)"),0.0)</f>
        <v>0</v>
      </c>
      <c r="Y2573" s="91">
        <f>IFERROR(__xludf.DUMMYFUNCTION("IFERROR((IFERROR(FILTER('Fund Investment Data'!$P:$P,'Fund Investment Data'!$C:$C = $C2573,'Fund Investment Data'!$A:$A = ($A2573 - 2), 'Fund Investment Data'!$B:$B = 12),0) - SUM(FILTER('Fund Investment Data'!$V:$V, 'Fund Investment Data'!$C:$C = $C2573,"&amp;" 'Fund Investment Data'!$A:$A = ($A2573 - 2), 'Fund Investment Data'!$B:$B &gt; 3)))  * Parameters!$B$4 * (1 - Parameters!$A$4),0)"),0.0)</f>
        <v>0</v>
      </c>
      <c r="Z2573" s="91">
        <f t="shared" si="24"/>
        <v>0</v>
      </c>
      <c r="AA2573" s="91">
        <f>IFERROR(__xludf.DUMMYFUNCTION("((IFERROR((SUM(FILTER('Fund Investment Data'!$V:$V, 'Fund Investment Data'!$C:$C = $C2573, 'Fund Investment Data'!$A:$A = $A2573 - 1, 'Fund Investment Data'!$B:$B &gt;= 4, 'Fund Investment Data'!$B:$B &lt;= ($B2573 + 5))) / 12) * ($B2573 - 3) * Parameters!$B$4,"&amp;" 0) + IF($B2573 &gt;= 9, IFERROR(SUM(FILTER('Fund Investment Data'!$V:$V, 'Fund Investment Data'!$C:$C = $C2573, 'Fund Investment Data'!$A:$A = $A2573, 'Fund Investment Data'!$B:$B &lt;= 3)) * Parameters!$B$4, 0),0)))"),0.0)</f>
        <v>0</v>
      </c>
      <c r="AB2573" s="32">
        <f>IFERROR(__xludf.DUMMYFUNCTION("IFERROR(((IFERROR(SUM(FILTER('Fund Investment Data'!$V:$V, 'Fund Investment Data'!$C:$C = $C2573, 'Fund Investment Data'!$A:$A = $A2573 - 2, 'Fund Investment Data'!$B:$B &gt;= 4)) * Parameters!$B$4,0) + IFERROR(SUM(FILTER('Fund Investment Data'!$V:$V, 'Fund "&amp;"Investment Data'!$C:$C = $C2573, 'Fund Investment Data'!$A:$A = $A2573 - 1, 'Fund Investment Data'!$B:$B &lt;= 3)) * Parameters!$B$4,0))),0)"),0.0)</f>
        <v>0</v>
      </c>
      <c r="AC2573" s="32">
        <f>IFERROR(__xludf.DUMMYFUNCTION("IFERROR(FILTER($AF:$AF,$C:$C = $C2573,$A:$A = $A2573 - 1,$B:$B = 12),0)"),0.0)</f>
        <v>0</v>
      </c>
      <c r="AD2573" s="32">
        <f t="shared" si="23"/>
        <v>0</v>
      </c>
      <c r="AE2573" s="32">
        <f t="shared" si="2"/>
        <v>0</v>
      </c>
      <c r="AF2573" s="32"/>
    </row>
    <row r="2574">
      <c r="A2574" s="86"/>
      <c r="B2574" s="87"/>
      <c r="C2574" s="88"/>
      <c r="D2574" s="104"/>
      <c r="E2574" s="104"/>
      <c r="F2574" s="104"/>
      <c r="G2574" s="104"/>
      <c r="H2574" s="104"/>
      <c r="I2574" s="104"/>
      <c r="J2574" s="104"/>
      <c r="K2574" s="32"/>
      <c r="L2574" s="32"/>
      <c r="M2574" s="32"/>
      <c r="N2574" s="32"/>
      <c r="O2574" s="106"/>
      <c r="P2574" s="91">
        <f>IFERROR(__xludf.DUMMYFUNCTION("IFERROR(sum(FILTER($D:$N,$C:$C = $C2574,$A:$A &lt; $A2574,$B:$B = 12)),0) + sum($D2574:$N2574)"),0.0)</f>
        <v>0</v>
      </c>
      <c r="Q2574" s="92">
        <f t="shared" si="1"/>
        <v>0</v>
      </c>
      <c r="R2574" s="91">
        <f t="array" ref="R2574">IFERROR(INDEX('Fund YTD Target Values'!$1:$1000, MATCH($C2574,'Fund YTD Target Values'!$A:$A,0), MATCH($A2574,'Fund YTD Target Values'!$1:$1,0)),0)</f>
        <v>0</v>
      </c>
      <c r="S2574" s="91">
        <f>IFERROR(__xludf.DUMMYFUNCTION("IFERROR(sum(FILTER('Fund Investment Data'!$V:$V, 'Fund Investment Data'!$C:$C = $C2574, 'Fund Investment Data'!$A:$A &lt; $A2574)),0) + IFERROR(sum(FILTER('Fund Investment Data'!$V:$V, 'Fund Investment Data'!$C:$C = $C2574, 'Fund Investment Data'!$A:$A = $A2"&amp;"574, 'Fund Investment Data'!$B:$B &lt;= $B2574)),0)"),0.0)</f>
        <v>0</v>
      </c>
      <c r="T2574" s="32"/>
      <c r="U2574" s="32"/>
      <c r="V2574" s="32">
        <f>IFERROR(__xludf.DUMMYFUNCTION("$D2574 - IFERROR(FILTER($D:$D,$C:$C = $C2574, $A:$A = $A2574, $B:$B = $B2574 - 1),0)"),0.0)</f>
        <v>0</v>
      </c>
      <c r="W2574" s="93">
        <f>IFERROR(__xludf.DUMMYFUNCTION("$E2574 - IFERROR(FILTER($E:$E,$C:$C = $C2574, $A:$A = $A2574, $B:$B = $B2574 - 1),0)"),0.0)</f>
        <v>0</v>
      </c>
      <c r="X2574" s="91">
        <f>IFERROR(__xludf.DUMMYFUNCTION("iFERROR((FILTER('Fund Investment Data'!$Z:$Z, 'Fund Investment Data'!$C:$C = $C2574, 'Fund Investment Data'!$A:$A = $A2574 - 1, 'Fund Investment Data'!$B:$B = 12) + FILTER('Fund Investment Data'!$AB:$AB, 'Fund Investment Data'!$C:$C = $C2574, 'Fund Invest"&amp;"ment Data'!$A:$A = $A2574 - 1, 'Fund Investment Data'!$B:$B = 12)) * (1 + AVERAGE(FILTER('Inflation Data'!$C:$C,'Inflation Data'!$A:$A = ($A2574 - 2)))) * Parameters!$A$4,0)"),0.0)</f>
        <v>0</v>
      </c>
      <c r="Y2574" s="91">
        <f>IFERROR(__xludf.DUMMYFUNCTION("IFERROR((IFERROR(FILTER('Fund Investment Data'!$P:$P,'Fund Investment Data'!$C:$C = $C2574,'Fund Investment Data'!$A:$A = ($A2574 - 2), 'Fund Investment Data'!$B:$B = 12),0) - SUM(FILTER('Fund Investment Data'!$V:$V, 'Fund Investment Data'!$C:$C = $C2574,"&amp;" 'Fund Investment Data'!$A:$A = ($A2574 - 2), 'Fund Investment Data'!$B:$B &gt; 3)))  * Parameters!$B$4 * (1 - Parameters!$A$4),0)"),0.0)</f>
        <v>0</v>
      </c>
      <c r="Z2574" s="91">
        <f t="shared" si="24"/>
        <v>0</v>
      </c>
      <c r="AA2574" s="91">
        <f>IFERROR(__xludf.DUMMYFUNCTION("((IFERROR((SUM(FILTER('Fund Investment Data'!$V:$V, 'Fund Investment Data'!$C:$C = $C2574, 'Fund Investment Data'!$A:$A = $A2574 - 1, 'Fund Investment Data'!$B:$B &gt;= 4, 'Fund Investment Data'!$B:$B &lt;= ($B2574 + 5))) / 12) * ($B2574 - 3) * Parameters!$B$4,"&amp;" 0) + IF($B2574 &gt;= 9, IFERROR(SUM(FILTER('Fund Investment Data'!$V:$V, 'Fund Investment Data'!$C:$C = $C2574, 'Fund Investment Data'!$A:$A = $A2574, 'Fund Investment Data'!$B:$B &lt;= 3)) * Parameters!$B$4, 0),0)))"),0.0)</f>
        <v>0</v>
      </c>
      <c r="AB2574" s="32">
        <f>IFERROR(__xludf.DUMMYFUNCTION("IFERROR(((IFERROR(SUM(FILTER('Fund Investment Data'!$V:$V, 'Fund Investment Data'!$C:$C = $C2574, 'Fund Investment Data'!$A:$A = $A2574 - 2, 'Fund Investment Data'!$B:$B &gt;= 4)) * Parameters!$B$4,0) + IFERROR(SUM(FILTER('Fund Investment Data'!$V:$V, 'Fund "&amp;"Investment Data'!$C:$C = $C2574, 'Fund Investment Data'!$A:$A = $A2574 - 1, 'Fund Investment Data'!$B:$B &lt;= 3)) * Parameters!$B$4,0))),0)"),0.0)</f>
        <v>0</v>
      </c>
      <c r="AC2574" s="32">
        <f>IFERROR(__xludf.DUMMYFUNCTION("IFERROR(FILTER($AF:$AF,$C:$C = $C2574,$A:$A = $A2574 - 1,$B:$B = 12),0)"),0.0)</f>
        <v>0</v>
      </c>
      <c r="AD2574" s="32">
        <f t="shared" si="23"/>
        <v>0</v>
      </c>
      <c r="AE2574" s="32">
        <f t="shared" si="2"/>
        <v>0</v>
      </c>
      <c r="AF2574" s="32"/>
    </row>
    <row r="2575">
      <c r="A2575" s="86"/>
      <c r="B2575" s="87"/>
      <c r="C2575" s="88"/>
      <c r="D2575" s="104"/>
      <c r="E2575" s="104"/>
      <c r="F2575" s="104"/>
      <c r="G2575" s="104"/>
      <c r="H2575" s="104"/>
      <c r="I2575" s="104"/>
      <c r="J2575" s="104"/>
      <c r="K2575" s="32"/>
      <c r="L2575" s="32"/>
      <c r="M2575" s="32"/>
      <c r="N2575" s="32"/>
      <c r="O2575" s="106"/>
      <c r="P2575" s="91">
        <f>IFERROR(__xludf.DUMMYFUNCTION("IFERROR(sum(FILTER($D:$N,$C:$C = $C2575,$A:$A &lt; $A2575,$B:$B = 12)),0) + sum($D2575:$N2575)"),0.0)</f>
        <v>0</v>
      </c>
      <c r="Q2575" s="92">
        <f t="shared" si="1"/>
        <v>0</v>
      </c>
      <c r="R2575" s="91">
        <f t="array" ref="R2575">IFERROR(INDEX('Fund YTD Target Values'!$1:$1000, MATCH($C2575,'Fund YTD Target Values'!$A:$A,0), MATCH($A2575,'Fund YTD Target Values'!$1:$1,0)),0)</f>
        <v>0</v>
      </c>
      <c r="S2575" s="91">
        <f>IFERROR(__xludf.DUMMYFUNCTION("IFERROR(sum(FILTER('Fund Investment Data'!$V:$V, 'Fund Investment Data'!$C:$C = $C2575, 'Fund Investment Data'!$A:$A &lt; $A2575)),0) + IFERROR(sum(FILTER('Fund Investment Data'!$V:$V, 'Fund Investment Data'!$C:$C = $C2575, 'Fund Investment Data'!$A:$A = $A2"&amp;"575, 'Fund Investment Data'!$B:$B &lt;= $B2575)),0)"),0.0)</f>
        <v>0</v>
      </c>
      <c r="T2575" s="32"/>
      <c r="U2575" s="32"/>
      <c r="V2575" s="32">
        <f>IFERROR(__xludf.DUMMYFUNCTION("$D2575 - IFERROR(FILTER($D:$D,$C:$C = $C2575, $A:$A = $A2575, $B:$B = $B2575 - 1),0)"),0.0)</f>
        <v>0</v>
      </c>
      <c r="W2575" s="93">
        <f>IFERROR(__xludf.DUMMYFUNCTION("$E2575 - IFERROR(FILTER($E:$E,$C:$C = $C2575, $A:$A = $A2575, $B:$B = $B2575 - 1),0)"),0.0)</f>
        <v>0</v>
      </c>
      <c r="X2575" s="91">
        <f>IFERROR(__xludf.DUMMYFUNCTION("iFERROR((FILTER('Fund Investment Data'!$Z:$Z, 'Fund Investment Data'!$C:$C = $C2575, 'Fund Investment Data'!$A:$A = $A2575 - 1, 'Fund Investment Data'!$B:$B = 12) + FILTER('Fund Investment Data'!$AB:$AB, 'Fund Investment Data'!$C:$C = $C2575, 'Fund Invest"&amp;"ment Data'!$A:$A = $A2575 - 1, 'Fund Investment Data'!$B:$B = 12)) * (1 + AVERAGE(FILTER('Inflation Data'!$C:$C,'Inflation Data'!$A:$A = ($A2575 - 2)))) * Parameters!$A$4,0)"),0.0)</f>
        <v>0</v>
      </c>
      <c r="Y2575" s="91">
        <f>IFERROR(__xludf.DUMMYFUNCTION("IFERROR((IFERROR(FILTER('Fund Investment Data'!$P:$P,'Fund Investment Data'!$C:$C = $C2575,'Fund Investment Data'!$A:$A = ($A2575 - 2), 'Fund Investment Data'!$B:$B = 12),0) - SUM(FILTER('Fund Investment Data'!$V:$V, 'Fund Investment Data'!$C:$C = $C2575,"&amp;" 'Fund Investment Data'!$A:$A = ($A2575 - 2), 'Fund Investment Data'!$B:$B &gt; 3)))  * Parameters!$B$4 * (1 - Parameters!$A$4),0)"),0.0)</f>
        <v>0</v>
      </c>
      <c r="Z2575" s="91">
        <f t="shared" si="24"/>
        <v>0</v>
      </c>
      <c r="AA2575" s="91">
        <f>IFERROR(__xludf.DUMMYFUNCTION("((IFERROR((SUM(FILTER('Fund Investment Data'!$V:$V, 'Fund Investment Data'!$C:$C = $C2575, 'Fund Investment Data'!$A:$A = $A2575 - 1, 'Fund Investment Data'!$B:$B &gt;= 4, 'Fund Investment Data'!$B:$B &lt;= ($B2575 + 5))) / 12) * ($B2575 - 3) * Parameters!$B$4,"&amp;" 0) + IF($B2575 &gt;= 9, IFERROR(SUM(FILTER('Fund Investment Data'!$V:$V, 'Fund Investment Data'!$C:$C = $C2575, 'Fund Investment Data'!$A:$A = $A2575, 'Fund Investment Data'!$B:$B &lt;= 3)) * Parameters!$B$4, 0),0)))"),0.0)</f>
        <v>0</v>
      </c>
      <c r="AB2575" s="32">
        <f>IFERROR(__xludf.DUMMYFUNCTION("IFERROR(((IFERROR(SUM(FILTER('Fund Investment Data'!$V:$V, 'Fund Investment Data'!$C:$C = $C2575, 'Fund Investment Data'!$A:$A = $A2575 - 2, 'Fund Investment Data'!$B:$B &gt;= 4)) * Parameters!$B$4,0) + IFERROR(SUM(FILTER('Fund Investment Data'!$V:$V, 'Fund "&amp;"Investment Data'!$C:$C = $C2575, 'Fund Investment Data'!$A:$A = $A2575 - 1, 'Fund Investment Data'!$B:$B &lt;= 3)) * Parameters!$B$4,0))),0)"),0.0)</f>
        <v>0</v>
      </c>
      <c r="AC2575" s="32">
        <f>IFERROR(__xludf.DUMMYFUNCTION("IFERROR(FILTER($AF:$AF,$C:$C = $C2575,$A:$A = $A2575 - 1,$B:$B = 12),0)"),0.0)</f>
        <v>0</v>
      </c>
      <c r="AD2575" s="32">
        <f t="shared" si="23"/>
        <v>0</v>
      </c>
      <c r="AE2575" s="32">
        <f t="shared" si="2"/>
        <v>0</v>
      </c>
      <c r="AF2575" s="32"/>
    </row>
    <row r="2576">
      <c r="A2576" s="86"/>
      <c r="B2576" s="87"/>
      <c r="C2576" s="88"/>
      <c r="D2576" s="104"/>
      <c r="E2576" s="104"/>
      <c r="F2576" s="104"/>
      <c r="G2576" s="104"/>
      <c r="H2576" s="104"/>
      <c r="I2576" s="104"/>
      <c r="J2576" s="104"/>
      <c r="K2576" s="32"/>
      <c r="L2576" s="32"/>
      <c r="M2576" s="32"/>
      <c r="N2576" s="32"/>
      <c r="O2576" s="106"/>
      <c r="P2576" s="91">
        <f>IFERROR(__xludf.DUMMYFUNCTION("IFERROR(sum(FILTER($D:$N,$C:$C = $C2576,$A:$A &lt; $A2576,$B:$B = 12)),0) + sum($D2576:$N2576)"),0.0)</f>
        <v>0</v>
      </c>
      <c r="Q2576" s="92">
        <f t="shared" si="1"/>
        <v>0</v>
      </c>
      <c r="R2576" s="91">
        <f t="array" ref="R2576">IFERROR(INDEX('Fund YTD Target Values'!$1:$1000, MATCH($C2576,'Fund YTD Target Values'!$A:$A,0), MATCH($A2576,'Fund YTD Target Values'!$1:$1,0)),0)</f>
        <v>0</v>
      </c>
      <c r="S2576" s="91">
        <f>IFERROR(__xludf.DUMMYFUNCTION("IFERROR(sum(FILTER('Fund Investment Data'!$V:$V, 'Fund Investment Data'!$C:$C = $C2576, 'Fund Investment Data'!$A:$A &lt; $A2576)),0) + IFERROR(sum(FILTER('Fund Investment Data'!$V:$V, 'Fund Investment Data'!$C:$C = $C2576, 'Fund Investment Data'!$A:$A = $A2"&amp;"576, 'Fund Investment Data'!$B:$B &lt;= $B2576)),0)"),0.0)</f>
        <v>0</v>
      </c>
      <c r="T2576" s="32"/>
      <c r="U2576" s="32"/>
      <c r="V2576" s="32">
        <f>IFERROR(__xludf.DUMMYFUNCTION("$D2576 - IFERROR(FILTER($D:$D,$C:$C = $C2576, $A:$A = $A2576, $B:$B = $B2576 - 1),0)"),0.0)</f>
        <v>0</v>
      </c>
      <c r="W2576" s="93">
        <f>IFERROR(__xludf.DUMMYFUNCTION("$E2576 - IFERROR(FILTER($E:$E,$C:$C = $C2576, $A:$A = $A2576, $B:$B = $B2576 - 1),0)"),0.0)</f>
        <v>0</v>
      </c>
      <c r="X2576" s="91">
        <f>IFERROR(__xludf.DUMMYFUNCTION("iFERROR((FILTER('Fund Investment Data'!$Z:$Z, 'Fund Investment Data'!$C:$C = $C2576, 'Fund Investment Data'!$A:$A = $A2576 - 1, 'Fund Investment Data'!$B:$B = 12) + FILTER('Fund Investment Data'!$AB:$AB, 'Fund Investment Data'!$C:$C = $C2576, 'Fund Invest"&amp;"ment Data'!$A:$A = $A2576 - 1, 'Fund Investment Data'!$B:$B = 12)) * (1 + AVERAGE(FILTER('Inflation Data'!$C:$C,'Inflation Data'!$A:$A = ($A2576 - 2)))) * Parameters!$A$4,0)"),0.0)</f>
        <v>0</v>
      </c>
      <c r="Y2576" s="91">
        <f>IFERROR(__xludf.DUMMYFUNCTION("IFERROR((IFERROR(FILTER('Fund Investment Data'!$P:$P,'Fund Investment Data'!$C:$C = $C2576,'Fund Investment Data'!$A:$A = ($A2576 - 2), 'Fund Investment Data'!$B:$B = 12),0) - SUM(FILTER('Fund Investment Data'!$V:$V, 'Fund Investment Data'!$C:$C = $C2576,"&amp;" 'Fund Investment Data'!$A:$A = ($A2576 - 2), 'Fund Investment Data'!$B:$B &gt; 3)))  * Parameters!$B$4 * (1 - Parameters!$A$4),0)"),0.0)</f>
        <v>0</v>
      </c>
      <c r="Z2576" s="91">
        <f t="shared" si="24"/>
        <v>0</v>
      </c>
      <c r="AA2576" s="91">
        <f>IFERROR(__xludf.DUMMYFUNCTION("((IFERROR((SUM(FILTER('Fund Investment Data'!$V:$V, 'Fund Investment Data'!$C:$C = $C2576, 'Fund Investment Data'!$A:$A = $A2576 - 1, 'Fund Investment Data'!$B:$B &gt;= 4, 'Fund Investment Data'!$B:$B &lt;= ($B2576 + 5))) / 12) * ($B2576 - 3) * Parameters!$B$4,"&amp;" 0) + IF($B2576 &gt;= 9, IFERROR(SUM(FILTER('Fund Investment Data'!$V:$V, 'Fund Investment Data'!$C:$C = $C2576, 'Fund Investment Data'!$A:$A = $A2576, 'Fund Investment Data'!$B:$B &lt;= 3)) * Parameters!$B$4, 0),0)))"),0.0)</f>
        <v>0</v>
      </c>
      <c r="AB2576" s="32">
        <f>IFERROR(__xludf.DUMMYFUNCTION("IFERROR(((IFERROR(SUM(FILTER('Fund Investment Data'!$V:$V, 'Fund Investment Data'!$C:$C = $C2576, 'Fund Investment Data'!$A:$A = $A2576 - 2, 'Fund Investment Data'!$B:$B &gt;= 4)) * Parameters!$B$4,0) + IFERROR(SUM(FILTER('Fund Investment Data'!$V:$V, 'Fund "&amp;"Investment Data'!$C:$C = $C2576, 'Fund Investment Data'!$A:$A = $A2576 - 1, 'Fund Investment Data'!$B:$B &lt;= 3)) * Parameters!$B$4,0))),0)"),0.0)</f>
        <v>0</v>
      </c>
      <c r="AC2576" s="32">
        <f>IFERROR(__xludf.DUMMYFUNCTION("IFERROR(FILTER($AF:$AF,$C:$C = $C2576,$A:$A = $A2576 - 1,$B:$B = 12),0)"),0.0)</f>
        <v>0</v>
      </c>
      <c r="AD2576" s="32">
        <f t="shared" si="23"/>
        <v>0</v>
      </c>
      <c r="AE2576" s="32">
        <f t="shared" si="2"/>
        <v>0</v>
      </c>
      <c r="AF2576" s="32"/>
    </row>
    <row r="2577">
      <c r="A2577" s="86"/>
      <c r="B2577" s="87"/>
      <c r="C2577" s="88"/>
      <c r="D2577" s="104"/>
      <c r="E2577" s="104"/>
      <c r="F2577" s="104"/>
      <c r="G2577" s="104"/>
      <c r="H2577" s="104"/>
      <c r="I2577" s="104"/>
      <c r="J2577" s="104"/>
      <c r="K2577" s="32"/>
      <c r="L2577" s="32"/>
      <c r="M2577" s="32"/>
      <c r="N2577" s="32"/>
      <c r="O2577" s="106"/>
      <c r="P2577" s="91">
        <f>IFERROR(__xludf.DUMMYFUNCTION("IFERROR(sum(FILTER($D:$N,$C:$C = $C2577,$A:$A &lt; $A2577,$B:$B = 12)),0) + sum($D2577:$N2577)"),0.0)</f>
        <v>0</v>
      </c>
      <c r="Q2577" s="92">
        <f t="shared" si="1"/>
        <v>0</v>
      </c>
      <c r="R2577" s="91">
        <f t="array" ref="R2577">IFERROR(INDEX('Fund YTD Target Values'!$1:$1000, MATCH($C2577,'Fund YTD Target Values'!$A:$A,0), MATCH($A2577,'Fund YTD Target Values'!$1:$1,0)),0)</f>
        <v>0</v>
      </c>
      <c r="S2577" s="91">
        <f>IFERROR(__xludf.DUMMYFUNCTION("IFERROR(sum(FILTER('Fund Investment Data'!$V:$V, 'Fund Investment Data'!$C:$C = $C2577, 'Fund Investment Data'!$A:$A &lt; $A2577)),0) + IFERROR(sum(FILTER('Fund Investment Data'!$V:$V, 'Fund Investment Data'!$C:$C = $C2577, 'Fund Investment Data'!$A:$A = $A2"&amp;"577, 'Fund Investment Data'!$B:$B &lt;= $B2577)),0)"),0.0)</f>
        <v>0</v>
      </c>
      <c r="T2577" s="32"/>
      <c r="U2577" s="32"/>
      <c r="V2577" s="32">
        <f>IFERROR(__xludf.DUMMYFUNCTION("$D2577 - IFERROR(FILTER($D:$D,$C:$C = $C2577, $A:$A = $A2577, $B:$B = $B2577 - 1),0)"),0.0)</f>
        <v>0</v>
      </c>
      <c r="W2577" s="93">
        <f>IFERROR(__xludf.DUMMYFUNCTION("$E2577 - IFERROR(FILTER($E:$E,$C:$C = $C2577, $A:$A = $A2577, $B:$B = $B2577 - 1),0)"),0.0)</f>
        <v>0</v>
      </c>
      <c r="X2577" s="91">
        <f>IFERROR(__xludf.DUMMYFUNCTION("iFERROR((FILTER('Fund Investment Data'!$Z:$Z, 'Fund Investment Data'!$C:$C = $C2577, 'Fund Investment Data'!$A:$A = $A2577 - 1, 'Fund Investment Data'!$B:$B = 12) + FILTER('Fund Investment Data'!$AB:$AB, 'Fund Investment Data'!$C:$C = $C2577, 'Fund Invest"&amp;"ment Data'!$A:$A = $A2577 - 1, 'Fund Investment Data'!$B:$B = 12)) * (1 + AVERAGE(FILTER('Inflation Data'!$C:$C,'Inflation Data'!$A:$A = ($A2577 - 2)))) * Parameters!$A$4,0)"),0.0)</f>
        <v>0</v>
      </c>
      <c r="Y2577" s="91">
        <f>IFERROR(__xludf.DUMMYFUNCTION("IFERROR((IFERROR(FILTER('Fund Investment Data'!$P:$P,'Fund Investment Data'!$C:$C = $C2577,'Fund Investment Data'!$A:$A = ($A2577 - 2), 'Fund Investment Data'!$B:$B = 12),0) - SUM(FILTER('Fund Investment Data'!$V:$V, 'Fund Investment Data'!$C:$C = $C2577,"&amp;" 'Fund Investment Data'!$A:$A = ($A2577 - 2), 'Fund Investment Data'!$B:$B &gt; 3)))  * Parameters!$B$4 * (1 - Parameters!$A$4),0)"),0.0)</f>
        <v>0</v>
      </c>
      <c r="Z2577" s="91">
        <f t="shared" si="24"/>
        <v>0</v>
      </c>
      <c r="AA2577" s="91">
        <f>IFERROR(__xludf.DUMMYFUNCTION("((IFERROR((SUM(FILTER('Fund Investment Data'!$V:$V, 'Fund Investment Data'!$C:$C = $C2577, 'Fund Investment Data'!$A:$A = $A2577 - 1, 'Fund Investment Data'!$B:$B &gt;= 4, 'Fund Investment Data'!$B:$B &lt;= ($B2577 + 5))) / 12) * ($B2577 - 3) * Parameters!$B$4,"&amp;" 0) + IF($B2577 &gt;= 9, IFERROR(SUM(FILTER('Fund Investment Data'!$V:$V, 'Fund Investment Data'!$C:$C = $C2577, 'Fund Investment Data'!$A:$A = $A2577, 'Fund Investment Data'!$B:$B &lt;= 3)) * Parameters!$B$4, 0),0)))"),0.0)</f>
        <v>0</v>
      </c>
      <c r="AB2577" s="32">
        <f>IFERROR(__xludf.DUMMYFUNCTION("IFERROR(((IFERROR(SUM(FILTER('Fund Investment Data'!$V:$V, 'Fund Investment Data'!$C:$C = $C2577, 'Fund Investment Data'!$A:$A = $A2577 - 2, 'Fund Investment Data'!$B:$B &gt;= 4)) * Parameters!$B$4,0) + IFERROR(SUM(FILTER('Fund Investment Data'!$V:$V, 'Fund "&amp;"Investment Data'!$C:$C = $C2577, 'Fund Investment Data'!$A:$A = $A2577 - 1, 'Fund Investment Data'!$B:$B &lt;= 3)) * Parameters!$B$4,0))),0)"),0.0)</f>
        <v>0</v>
      </c>
      <c r="AC2577" s="32">
        <f>IFERROR(__xludf.DUMMYFUNCTION("IFERROR(FILTER($AF:$AF,$C:$C = $C2577,$A:$A = $A2577 - 1,$B:$B = 12),0)"),0.0)</f>
        <v>0</v>
      </c>
      <c r="AD2577" s="32">
        <f t="shared" si="23"/>
        <v>0</v>
      </c>
      <c r="AE2577" s="32">
        <f t="shared" si="2"/>
        <v>0</v>
      </c>
      <c r="AF2577" s="32"/>
    </row>
    <row r="2578">
      <c r="A2578" s="86"/>
      <c r="B2578" s="87"/>
      <c r="C2578" s="88"/>
      <c r="D2578" s="104"/>
      <c r="E2578" s="104"/>
      <c r="F2578" s="104"/>
      <c r="G2578" s="104"/>
      <c r="H2578" s="104"/>
      <c r="I2578" s="104"/>
      <c r="J2578" s="104"/>
      <c r="K2578" s="32"/>
      <c r="L2578" s="32"/>
      <c r="M2578" s="32"/>
      <c r="N2578" s="32"/>
      <c r="O2578" s="106"/>
      <c r="P2578" s="91">
        <f>IFERROR(__xludf.DUMMYFUNCTION("IFERROR(sum(FILTER($D:$N,$C:$C = $C2578,$A:$A &lt; $A2578,$B:$B = 12)),0) + sum($D2578:$N2578)"),0.0)</f>
        <v>0</v>
      </c>
      <c r="Q2578" s="92">
        <f t="shared" si="1"/>
        <v>0</v>
      </c>
      <c r="R2578" s="91">
        <f t="array" ref="R2578">IFERROR(INDEX('Fund YTD Target Values'!$1:$1000, MATCH($C2578,'Fund YTD Target Values'!$A:$A,0), MATCH($A2578,'Fund YTD Target Values'!$1:$1,0)),0)</f>
        <v>0</v>
      </c>
      <c r="S2578" s="91">
        <f>IFERROR(__xludf.DUMMYFUNCTION("IFERROR(sum(FILTER('Fund Investment Data'!$V:$V, 'Fund Investment Data'!$C:$C = $C2578, 'Fund Investment Data'!$A:$A &lt; $A2578)),0) + IFERROR(sum(FILTER('Fund Investment Data'!$V:$V, 'Fund Investment Data'!$C:$C = $C2578, 'Fund Investment Data'!$A:$A = $A2"&amp;"578, 'Fund Investment Data'!$B:$B &lt;= $B2578)),0)"),0.0)</f>
        <v>0</v>
      </c>
      <c r="T2578" s="32"/>
      <c r="U2578" s="32"/>
      <c r="V2578" s="32">
        <f>IFERROR(__xludf.DUMMYFUNCTION("$D2578 - IFERROR(FILTER($D:$D,$C:$C = $C2578, $A:$A = $A2578, $B:$B = $B2578 - 1),0)"),0.0)</f>
        <v>0</v>
      </c>
      <c r="W2578" s="93">
        <f>IFERROR(__xludf.DUMMYFUNCTION("$E2578 - IFERROR(FILTER($E:$E,$C:$C = $C2578, $A:$A = $A2578, $B:$B = $B2578 - 1),0)"),0.0)</f>
        <v>0</v>
      </c>
      <c r="X2578" s="91">
        <f>IFERROR(__xludf.DUMMYFUNCTION("iFERROR((FILTER('Fund Investment Data'!$Z:$Z, 'Fund Investment Data'!$C:$C = $C2578, 'Fund Investment Data'!$A:$A = $A2578 - 1, 'Fund Investment Data'!$B:$B = 12) + FILTER('Fund Investment Data'!$AB:$AB, 'Fund Investment Data'!$C:$C = $C2578, 'Fund Invest"&amp;"ment Data'!$A:$A = $A2578 - 1, 'Fund Investment Data'!$B:$B = 12)) * (1 + AVERAGE(FILTER('Inflation Data'!$C:$C,'Inflation Data'!$A:$A = ($A2578 - 2)))) * Parameters!$A$4,0)"),0.0)</f>
        <v>0</v>
      </c>
      <c r="Y2578" s="91">
        <f>IFERROR(__xludf.DUMMYFUNCTION("IFERROR((IFERROR(FILTER('Fund Investment Data'!$P:$P,'Fund Investment Data'!$C:$C = $C2578,'Fund Investment Data'!$A:$A = ($A2578 - 2), 'Fund Investment Data'!$B:$B = 12),0) - SUM(FILTER('Fund Investment Data'!$V:$V, 'Fund Investment Data'!$C:$C = $C2578,"&amp;" 'Fund Investment Data'!$A:$A = ($A2578 - 2), 'Fund Investment Data'!$B:$B &gt; 3)))  * Parameters!$B$4 * (1 - Parameters!$A$4),0)"),0.0)</f>
        <v>0</v>
      </c>
      <c r="Z2578" s="91">
        <f t="shared" si="24"/>
        <v>0</v>
      </c>
      <c r="AA2578" s="91">
        <f>IFERROR(__xludf.DUMMYFUNCTION("((IFERROR((SUM(FILTER('Fund Investment Data'!$V:$V, 'Fund Investment Data'!$C:$C = $C2578, 'Fund Investment Data'!$A:$A = $A2578 - 1, 'Fund Investment Data'!$B:$B &gt;= 4, 'Fund Investment Data'!$B:$B &lt;= ($B2578 + 5))) / 12) * ($B2578 - 3) * Parameters!$B$4,"&amp;" 0) + IF($B2578 &gt;= 9, IFERROR(SUM(FILTER('Fund Investment Data'!$V:$V, 'Fund Investment Data'!$C:$C = $C2578, 'Fund Investment Data'!$A:$A = $A2578, 'Fund Investment Data'!$B:$B &lt;= 3)) * Parameters!$B$4, 0),0)))"),0.0)</f>
        <v>0</v>
      </c>
      <c r="AB2578" s="32">
        <f>IFERROR(__xludf.DUMMYFUNCTION("IFERROR(((IFERROR(SUM(FILTER('Fund Investment Data'!$V:$V, 'Fund Investment Data'!$C:$C = $C2578, 'Fund Investment Data'!$A:$A = $A2578 - 2, 'Fund Investment Data'!$B:$B &gt;= 4)) * Parameters!$B$4,0) + IFERROR(SUM(FILTER('Fund Investment Data'!$V:$V, 'Fund "&amp;"Investment Data'!$C:$C = $C2578, 'Fund Investment Data'!$A:$A = $A2578 - 1, 'Fund Investment Data'!$B:$B &lt;= 3)) * Parameters!$B$4,0))),0)"),0.0)</f>
        <v>0</v>
      </c>
      <c r="AC2578" s="32">
        <f>IFERROR(__xludf.DUMMYFUNCTION("IFERROR(FILTER($AF:$AF,$C:$C = $C2578,$A:$A = $A2578 - 1,$B:$B = 12),0)"),0.0)</f>
        <v>0</v>
      </c>
      <c r="AD2578" s="32">
        <f t="shared" si="23"/>
        <v>0</v>
      </c>
      <c r="AE2578" s="32">
        <f t="shared" si="2"/>
        <v>0</v>
      </c>
      <c r="AF2578" s="32"/>
    </row>
    <row r="2579">
      <c r="A2579" s="86"/>
      <c r="B2579" s="87"/>
      <c r="C2579" s="88"/>
      <c r="D2579" s="104"/>
      <c r="E2579" s="104"/>
      <c r="F2579" s="104"/>
      <c r="G2579" s="104"/>
      <c r="H2579" s="104"/>
      <c r="I2579" s="104"/>
      <c r="J2579" s="104"/>
      <c r="K2579" s="32"/>
      <c r="L2579" s="32"/>
      <c r="M2579" s="32"/>
      <c r="N2579" s="32"/>
      <c r="O2579" s="106"/>
      <c r="P2579" s="91">
        <f>IFERROR(__xludf.DUMMYFUNCTION("IFERROR(sum(FILTER($D:$N,$C:$C = $C2579,$A:$A &lt; $A2579,$B:$B = 12)),0) + sum($D2579:$N2579)"),0.0)</f>
        <v>0</v>
      </c>
      <c r="Q2579" s="92">
        <f t="shared" si="1"/>
        <v>0</v>
      </c>
      <c r="R2579" s="91">
        <f t="array" ref="R2579">IFERROR(INDEX('Fund YTD Target Values'!$1:$1000, MATCH($C2579,'Fund YTD Target Values'!$A:$A,0), MATCH($A2579,'Fund YTD Target Values'!$1:$1,0)),0)</f>
        <v>0</v>
      </c>
      <c r="S2579" s="91">
        <f>IFERROR(__xludf.DUMMYFUNCTION("IFERROR(sum(FILTER('Fund Investment Data'!$V:$V, 'Fund Investment Data'!$C:$C = $C2579, 'Fund Investment Data'!$A:$A &lt; $A2579)),0) + IFERROR(sum(FILTER('Fund Investment Data'!$V:$V, 'Fund Investment Data'!$C:$C = $C2579, 'Fund Investment Data'!$A:$A = $A2"&amp;"579, 'Fund Investment Data'!$B:$B &lt;= $B2579)),0)"),0.0)</f>
        <v>0</v>
      </c>
      <c r="T2579" s="32"/>
      <c r="U2579" s="32"/>
      <c r="V2579" s="32">
        <f>IFERROR(__xludf.DUMMYFUNCTION("$D2579 - IFERROR(FILTER($D:$D,$C:$C = $C2579, $A:$A = $A2579, $B:$B = $B2579 - 1),0)"),0.0)</f>
        <v>0</v>
      </c>
      <c r="W2579" s="93">
        <f>IFERROR(__xludf.DUMMYFUNCTION("$E2579 - IFERROR(FILTER($E:$E,$C:$C = $C2579, $A:$A = $A2579, $B:$B = $B2579 - 1),0)"),0.0)</f>
        <v>0</v>
      </c>
      <c r="X2579" s="91">
        <f>IFERROR(__xludf.DUMMYFUNCTION("iFERROR((FILTER('Fund Investment Data'!$Z:$Z, 'Fund Investment Data'!$C:$C = $C2579, 'Fund Investment Data'!$A:$A = $A2579 - 1, 'Fund Investment Data'!$B:$B = 12) + FILTER('Fund Investment Data'!$AB:$AB, 'Fund Investment Data'!$C:$C = $C2579, 'Fund Invest"&amp;"ment Data'!$A:$A = $A2579 - 1, 'Fund Investment Data'!$B:$B = 12)) * (1 + AVERAGE(FILTER('Inflation Data'!$C:$C,'Inflation Data'!$A:$A = ($A2579 - 2)))) * Parameters!$A$4,0)"),0.0)</f>
        <v>0</v>
      </c>
      <c r="Y2579" s="91">
        <f>IFERROR(__xludf.DUMMYFUNCTION("IFERROR((IFERROR(FILTER('Fund Investment Data'!$P:$P,'Fund Investment Data'!$C:$C = $C2579,'Fund Investment Data'!$A:$A = ($A2579 - 2), 'Fund Investment Data'!$B:$B = 12),0) - SUM(FILTER('Fund Investment Data'!$V:$V, 'Fund Investment Data'!$C:$C = $C2579,"&amp;" 'Fund Investment Data'!$A:$A = ($A2579 - 2), 'Fund Investment Data'!$B:$B &gt; 3)))  * Parameters!$B$4 * (1 - Parameters!$A$4),0)"),0.0)</f>
        <v>0</v>
      </c>
      <c r="Z2579" s="91">
        <f t="shared" si="24"/>
        <v>0</v>
      </c>
      <c r="AA2579" s="91">
        <f>IFERROR(__xludf.DUMMYFUNCTION("((IFERROR((SUM(FILTER('Fund Investment Data'!$V:$V, 'Fund Investment Data'!$C:$C = $C2579, 'Fund Investment Data'!$A:$A = $A2579 - 1, 'Fund Investment Data'!$B:$B &gt;= 4, 'Fund Investment Data'!$B:$B &lt;= ($B2579 + 5))) / 12) * ($B2579 - 3) * Parameters!$B$4,"&amp;" 0) + IF($B2579 &gt;= 9, IFERROR(SUM(FILTER('Fund Investment Data'!$V:$V, 'Fund Investment Data'!$C:$C = $C2579, 'Fund Investment Data'!$A:$A = $A2579, 'Fund Investment Data'!$B:$B &lt;= 3)) * Parameters!$B$4, 0),0)))"),0.0)</f>
        <v>0</v>
      </c>
      <c r="AB2579" s="32">
        <f>IFERROR(__xludf.DUMMYFUNCTION("IFERROR(((IFERROR(SUM(FILTER('Fund Investment Data'!$V:$V, 'Fund Investment Data'!$C:$C = $C2579, 'Fund Investment Data'!$A:$A = $A2579 - 2, 'Fund Investment Data'!$B:$B &gt;= 4)) * Parameters!$B$4,0) + IFERROR(SUM(FILTER('Fund Investment Data'!$V:$V, 'Fund "&amp;"Investment Data'!$C:$C = $C2579, 'Fund Investment Data'!$A:$A = $A2579 - 1, 'Fund Investment Data'!$B:$B &lt;= 3)) * Parameters!$B$4,0))),0)"),0.0)</f>
        <v>0</v>
      </c>
      <c r="AC2579" s="32">
        <f>IFERROR(__xludf.DUMMYFUNCTION("IFERROR(FILTER($AF:$AF,$C:$C = $C2579,$A:$A = $A2579 - 1,$B:$B = 12),0)"),0.0)</f>
        <v>0</v>
      </c>
      <c r="AD2579" s="32">
        <f t="shared" si="23"/>
        <v>0</v>
      </c>
      <c r="AE2579" s="32">
        <f t="shared" si="2"/>
        <v>0</v>
      </c>
      <c r="AF2579" s="32"/>
    </row>
    <row r="2580">
      <c r="A2580" s="86"/>
      <c r="B2580" s="87"/>
      <c r="C2580" s="88"/>
      <c r="D2580" s="104"/>
      <c r="E2580" s="104"/>
      <c r="F2580" s="104"/>
      <c r="G2580" s="104"/>
      <c r="H2580" s="104"/>
      <c r="I2580" s="104"/>
      <c r="J2580" s="104"/>
      <c r="K2580" s="32"/>
      <c r="L2580" s="32"/>
      <c r="M2580" s="32"/>
      <c r="N2580" s="32"/>
      <c r="O2580" s="106"/>
      <c r="P2580" s="91">
        <f>IFERROR(__xludf.DUMMYFUNCTION("IFERROR(sum(FILTER($D:$N,$C:$C = $C2580,$A:$A &lt; $A2580,$B:$B = 12)),0) + sum($D2580:$N2580)"),0.0)</f>
        <v>0</v>
      </c>
      <c r="Q2580" s="92">
        <f t="shared" si="1"/>
        <v>0</v>
      </c>
      <c r="R2580" s="91">
        <f t="array" ref="R2580">IFERROR(INDEX('Fund YTD Target Values'!$1:$1000, MATCH($C2580,'Fund YTD Target Values'!$A:$A,0), MATCH($A2580,'Fund YTD Target Values'!$1:$1,0)),0)</f>
        <v>0</v>
      </c>
      <c r="S2580" s="91">
        <f>IFERROR(__xludf.DUMMYFUNCTION("IFERROR(sum(FILTER('Fund Investment Data'!$V:$V, 'Fund Investment Data'!$C:$C = $C2580, 'Fund Investment Data'!$A:$A &lt; $A2580)),0) + IFERROR(sum(FILTER('Fund Investment Data'!$V:$V, 'Fund Investment Data'!$C:$C = $C2580, 'Fund Investment Data'!$A:$A = $A2"&amp;"580, 'Fund Investment Data'!$B:$B &lt;= $B2580)),0)"),0.0)</f>
        <v>0</v>
      </c>
      <c r="T2580" s="32"/>
      <c r="U2580" s="32"/>
      <c r="V2580" s="32">
        <f>IFERROR(__xludf.DUMMYFUNCTION("$D2580 - IFERROR(FILTER($D:$D,$C:$C = $C2580, $A:$A = $A2580, $B:$B = $B2580 - 1),0)"),0.0)</f>
        <v>0</v>
      </c>
      <c r="W2580" s="93">
        <f>IFERROR(__xludf.DUMMYFUNCTION("$E2580 - IFERROR(FILTER($E:$E,$C:$C = $C2580, $A:$A = $A2580, $B:$B = $B2580 - 1),0)"),0.0)</f>
        <v>0</v>
      </c>
      <c r="X2580" s="91">
        <f>IFERROR(__xludf.DUMMYFUNCTION("iFERROR((FILTER('Fund Investment Data'!$Z:$Z, 'Fund Investment Data'!$C:$C = $C2580, 'Fund Investment Data'!$A:$A = $A2580 - 1, 'Fund Investment Data'!$B:$B = 12) + FILTER('Fund Investment Data'!$AB:$AB, 'Fund Investment Data'!$C:$C = $C2580, 'Fund Invest"&amp;"ment Data'!$A:$A = $A2580 - 1, 'Fund Investment Data'!$B:$B = 12)) * (1 + AVERAGE(FILTER('Inflation Data'!$C:$C,'Inflation Data'!$A:$A = ($A2580 - 2)))) * Parameters!$A$4,0)"),0.0)</f>
        <v>0</v>
      </c>
      <c r="Y2580" s="91">
        <f>IFERROR(__xludf.DUMMYFUNCTION("IFERROR((IFERROR(FILTER('Fund Investment Data'!$P:$P,'Fund Investment Data'!$C:$C = $C2580,'Fund Investment Data'!$A:$A = ($A2580 - 2), 'Fund Investment Data'!$B:$B = 12),0) - SUM(FILTER('Fund Investment Data'!$V:$V, 'Fund Investment Data'!$C:$C = $C2580,"&amp;" 'Fund Investment Data'!$A:$A = ($A2580 - 2), 'Fund Investment Data'!$B:$B &gt; 3)))  * Parameters!$B$4 * (1 - Parameters!$A$4),0)"),0.0)</f>
        <v>0</v>
      </c>
      <c r="Z2580" s="91">
        <f t="shared" si="24"/>
        <v>0</v>
      </c>
      <c r="AA2580" s="91">
        <f>IFERROR(__xludf.DUMMYFUNCTION("((IFERROR((SUM(FILTER('Fund Investment Data'!$V:$V, 'Fund Investment Data'!$C:$C = $C2580, 'Fund Investment Data'!$A:$A = $A2580 - 1, 'Fund Investment Data'!$B:$B &gt;= 4, 'Fund Investment Data'!$B:$B &lt;= ($B2580 + 5))) / 12) * ($B2580 - 3) * Parameters!$B$4,"&amp;" 0) + IF($B2580 &gt;= 9, IFERROR(SUM(FILTER('Fund Investment Data'!$V:$V, 'Fund Investment Data'!$C:$C = $C2580, 'Fund Investment Data'!$A:$A = $A2580, 'Fund Investment Data'!$B:$B &lt;= 3)) * Parameters!$B$4, 0),0)))"),0.0)</f>
        <v>0</v>
      </c>
      <c r="AB2580" s="32">
        <f>IFERROR(__xludf.DUMMYFUNCTION("IFERROR(((IFERROR(SUM(FILTER('Fund Investment Data'!$V:$V, 'Fund Investment Data'!$C:$C = $C2580, 'Fund Investment Data'!$A:$A = $A2580 - 2, 'Fund Investment Data'!$B:$B &gt;= 4)) * Parameters!$B$4,0) + IFERROR(SUM(FILTER('Fund Investment Data'!$V:$V, 'Fund "&amp;"Investment Data'!$C:$C = $C2580, 'Fund Investment Data'!$A:$A = $A2580 - 1, 'Fund Investment Data'!$B:$B &lt;= 3)) * Parameters!$B$4,0))),0)"),0.0)</f>
        <v>0</v>
      </c>
      <c r="AC2580" s="32">
        <f>IFERROR(__xludf.DUMMYFUNCTION("IFERROR(FILTER($AF:$AF,$C:$C = $C2580,$A:$A = $A2580 - 1,$B:$B = 12),0)"),0.0)</f>
        <v>0</v>
      </c>
      <c r="AD2580" s="32">
        <f t="shared" si="23"/>
        <v>0</v>
      </c>
      <c r="AE2580" s="32">
        <f t="shared" si="2"/>
        <v>0</v>
      </c>
      <c r="AF2580" s="32"/>
    </row>
    <row r="2581">
      <c r="A2581" s="86"/>
      <c r="B2581" s="87"/>
      <c r="C2581" s="88"/>
      <c r="D2581" s="104"/>
      <c r="E2581" s="104"/>
      <c r="F2581" s="104"/>
      <c r="G2581" s="104"/>
      <c r="H2581" s="104"/>
      <c r="I2581" s="104"/>
      <c r="J2581" s="104"/>
      <c r="K2581" s="32"/>
      <c r="L2581" s="32"/>
      <c r="M2581" s="32"/>
      <c r="N2581" s="32"/>
      <c r="O2581" s="106"/>
      <c r="P2581" s="91">
        <f>IFERROR(__xludf.DUMMYFUNCTION("IFERROR(sum(FILTER($D:$N,$C:$C = $C2581,$A:$A &lt; $A2581,$B:$B = 12)),0) + sum($D2581:$N2581)"),0.0)</f>
        <v>0</v>
      </c>
      <c r="Q2581" s="92">
        <f t="shared" si="1"/>
        <v>0</v>
      </c>
      <c r="R2581" s="91">
        <f t="array" ref="R2581">IFERROR(INDEX('Fund YTD Target Values'!$1:$1000, MATCH($C2581,'Fund YTD Target Values'!$A:$A,0), MATCH($A2581,'Fund YTD Target Values'!$1:$1,0)),0)</f>
        <v>0</v>
      </c>
      <c r="S2581" s="91">
        <f>IFERROR(__xludf.DUMMYFUNCTION("IFERROR(sum(FILTER('Fund Investment Data'!$V:$V, 'Fund Investment Data'!$C:$C = $C2581, 'Fund Investment Data'!$A:$A &lt; $A2581)),0) + IFERROR(sum(FILTER('Fund Investment Data'!$V:$V, 'Fund Investment Data'!$C:$C = $C2581, 'Fund Investment Data'!$A:$A = $A2"&amp;"581, 'Fund Investment Data'!$B:$B &lt;= $B2581)),0)"),0.0)</f>
        <v>0</v>
      </c>
      <c r="T2581" s="32"/>
      <c r="U2581" s="32"/>
      <c r="V2581" s="32">
        <f>IFERROR(__xludf.DUMMYFUNCTION("$D2581 - IFERROR(FILTER($D:$D,$C:$C = $C2581, $A:$A = $A2581, $B:$B = $B2581 - 1),0)"),0.0)</f>
        <v>0</v>
      </c>
      <c r="W2581" s="93">
        <f>IFERROR(__xludf.DUMMYFUNCTION("$E2581 - IFERROR(FILTER($E:$E,$C:$C = $C2581, $A:$A = $A2581, $B:$B = $B2581 - 1),0)"),0.0)</f>
        <v>0</v>
      </c>
      <c r="X2581" s="91">
        <f>IFERROR(__xludf.DUMMYFUNCTION("iFERROR((FILTER('Fund Investment Data'!$Z:$Z, 'Fund Investment Data'!$C:$C = $C2581, 'Fund Investment Data'!$A:$A = $A2581 - 1, 'Fund Investment Data'!$B:$B = 12) + FILTER('Fund Investment Data'!$AB:$AB, 'Fund Investment Data'!$C:$C = $C2581, 'Fund Invest"&amp;"ment Data'!$A:$A = $A2581 - 1, 'Fund Investment Data'!$B:$B = 12)) * (1 + AVERAGE(FILTER('Inflation Data'!$C:$C,'Inflation Data'!$A:$A = ($A2581 - 2)))) * Parameters!$A$4,0)"),0.0)</f>
        <v>0</v>
      </c>
      <c r="Y2581" s="91">
        <f>IFERROR(__xludf.DUMMYFUNCTION("IFERROR((IFERROR(FILTER('Fund Investment Data'!$P:$P,'Fund Investment Data'!$C:$C = $C2581,'Fund Investment Data'!$A:$A = ($A2581 - 2), 'Fund Investment Data'!$B:$B = 12),0) - SUM(FILTER('Fund Investment Data'!$V:$V, 'Fund Investment Data'!$C:$C = $C2581,"&amp;" 'Fund Investment Data'!$A:$A = ($A2581 - 2), 'Fund Investment Data'!$B:$B &gt; 3)))  * Parameters!$B$4 * (1 - Parameters!$A$4),0)"),0.0)</f>
        <v>0</v>
      </c>
      <c r="Z2581" s="91">
        <f t="shared" si="24"/>
        <v>0</v>
      </c>
      <c r="AA2581" s="91">
        <f>IFERROR(__xludf.DUMMYFUNCTION("((IFERROR((SUM(FILTER('Fund Investment Data'!$V:$V, 'Fund Investment Data'!$C:$C = $C2581, 'Fund Investment Data'!$A:$A = $A2581 - 1, 'Fund Investment Data'!$B:$B &gt;= 4, 'Fund Investment Data'!$B:$B &lt;= ($B2581 + 5))) / 12) * ($B2581 - 3) * Parameters!$B$4,"&amp;" 0) + IF($B2581 &gt;= 9, IFERROR(SUM(FILTER('Fund Investment Data'!$V:$V, 'Fund Investment Data'!$C:$C = $C2581, 'Fund Investment Data'!$A:$A = $A2581, 'Fund Investment Data'!$B:$B &lt;= 3)) * Parameters!$B$4, 0),0)))"),0.0)</f>
        <v>0</v>
      </c>
      <c r="AB2581" s="32">
        <f>IFERROR(__xludf.DUMMYFUNCTION("IFERROR(((IFERROR(SUM(FILTER('Fund Investment Data'!$V:$V, 'Fund Investment Data'!$C:$C = $C2581, 'Fund Investment Data'!$A:$A = $A2581 - 2, 'Fund Investment Data'!$B:$B &gt;= 4)) * Parameters!$B$4,0) + IFERROR(SUM(FILTER('Fund Investment Data'!$V:$V, 'Fund "&amp;"Investment Data'!$C:$C = $C2581, 'Fund Investment Data'!$A:$A = $A2581 - 1, 'Fund Investment Data'!$B:$B &lt;= 3)) * Parameters!$B$4,0))),0)"),0.0)</f>
        <v>0</v>
      </c>
      <c r="AC2581" s="32">
        <f>IFERROR(__xludf.DUMMYFUNCTION("IFERROR(FILTER($AF:$AF,$C:$C = $C2581,$A:$A = $A2581 - 1,$B:$B = 12),0)"),0.0)</f>
        <v>0</v>
      </c>
      <c r="AD2581" s="32">
        <f t="shared" si="23"/>
        <v>0</v>
      </c>
      <c r="AE2581" s="32">
        <f t="shared" si="2"/>
        <v>0</v>
      </c>
      <c r="AF2581" s="32"/>
    </row>
    <row r="2582">
      <c r="A2582" s="86"/>
      <c r="B2582" s="87"/>
      <c r="C2582" s="88"/>
      <c r="D2582" s="104"/>
      <c r="E2582" s="104"/>
      <c r="F2582" s="104"/>
      <c r="G2582" s="104"/>
      <c r="H2582" s="104"/>
      <c r="I2582" s="104"/>
      <c r="J2582" s="104"/>
      <c r="K2582" s="32"/>
      <c r="L2582" s="32"/>
      <c r="M2582" s="32"/>
      <c r="N2582" s="32"/>
      <c r="O2582" s="106"/>
      <c r="P2582" s="91">
        <f>IFERROR(__xludf.DUMMYFUNCTION("IFERROR(sum(FILTER($D:$N,$C:$C = $C2582,$A:$A &lt; $A2582,$B:$B = 12)),0) + sum($D2582:$N2582)"),0.0)</f>
        <v>0</v>
      </c>
      <c r="Q2582" s="92">
        <f t="shared" si="1"/>
        <v>0</v>
      </c>
      <c r="R2582" s="91">
        <f t="array" ref="R2582">IFERROR(INDEX('Fund YTD Target Values'!$1:$1000, MATCH($C2582,'Fund YTD Target Values'!$A:$A,0), MATCH($A2582,'Fund YTD Target Values'!$1:$1,0)),0)</f>
        <v>0</v>
      </c>
      <c r="S2582" s="91">
        <f>IFERROR(__xludf.DUMMYFUNCTION("IFERROR(sum(FILTER('Fund Investment Data'!$V:$V, 'Fund Investment Data'!$C:$C = $C2582, 'Fund Investment Data'!$A:$A &lt; $A2582)),0) + IFERROR(sum(FILTER('Fund Investment Data'!$V:$V, 'Fund Investment Data'!$C:$C = $C2582, 'Fund Investment Data'!$A:$A = $A2"&amp;"582, 'Fund Investment Data'!$B:$B &lt;= $B2582)),0)"),0.0)</f>
        <v>0</v>
      </c>
      <c r="T2582" s="32"/>
      <c r="U2582" s="32"/>
      <c r="V2582" s="32">
        <f>IFERROR(__xludf.DUMMYFUNCTION("$D2582 - IFERROR(FILTER($D:$D,$C:$C = $C2582, $A:$A = $A2582, $B:$B = $B2582 - 1),0)"),0.0)</f>
        <v>0</v>
      </c>
      <c r="W2582" s="93">
        <f>IFERROR(__xludf.DUMMYFUNCTION("$E2582 - IFERROR(FILTER($E:$E,$C:$C = $C2582, $A:$A = $A2582, $B:$B = $B2582 - 1),0)"),0.0)</f>
        <v>0</v>
      </c>
      <c r="X2582" s="91">
        <f>IFERROR(__xludf.DUMMYFUNCTION("iFERROR((FILTER('Fund Investment Data'!$Z:$Z, 'Fund Investment Data'!$C:$C = $C2582, 'Fund Investment Data'!$A:$A = $A2582 - 1, 'Fund Investment Data'!$B:$B = 12) + FILTER('Fund Investment Data'!$AB:$AB, 'Fund Investment Data'!$C:$C = $C2582, 'Fund Invest"&amp;"ment Data'!$A:$A = $A2582 - 1, 'Fund Investment Data'!$B:$B = 12)) * (1 + AVERAGE(FILTER('Inflation Data'!$C:$C,'Inflation Data'!$A:$A = ($A2582 - 2)))) * Parameters!$A$4,0)"),0.0)</f>
        <v>0</v>
      </c>
      <c r="Y2582" s="91">
        <f>IFERROR(__xludf.DUMMYFUNCTION("IFERROR((IFERROR(FILTER('Fund Investment Data'!$P:$P,'Fund Investment Data'!$C:$C = $C2582,'Fund Investment Data'!$A:$A = ($A2582 - 2), 'Fund Investment Data'!$B:$B = 12),0) - SUM(FILTER('Fund Investment Data'!$V:$V, 'Fund Investment Data'!$C:$C = $C2582,"&amp;" 'Fund Investment Data'!$A:$A = ($A2582 - 2), 'Fund Investment Data'!$B:$B &gt; 3)))  * Parameters!$B$4 * (1 - Parameters!$A$4),0)"),0.0)</f>
        <v>0</v>
      </c>
      <c r="Z2582" s="91">
        <f t="shared" si="24"/>
        <v>0</v>
      </c>
      <c r="AA2582" s="91">
        <f>IFERROR(__xludf.DUMMYFUNCTION("((IFERROR((SUM(FILTER('Fund Investment Data'!$V:$V, 'Fund Investment Data'!$C:$C = $C2582, 'Fund Investment Data'!$A:$A = $A2582 - 1, 'Fund Investment Data'!$B:$B &gt;= 4, 'Fund Investment Data'!$B:$B &lt;= ($B2582 + 5))) / 12) * ($B2582 - 3) * Parameters!$B$4,"&amp;" 0) + IF($B2582 &gt;= 9, IFERROR(SUM(FILTER('Fund Investment Data'!$V:$V, 'Fund Investment Data'!$C:$C = $C2582, 'Fund Investment Data'!$A:$A = $A2582, 'Fund Investment Data'!$B:$B &lt;= 3)) * Parameters!$B$4, 0),0)))"),0.0)</f>
        <v>0</v>
      </c>
      <c r="AB2582" s="32">
        <f>IFERROR(__xludf.DUMMYFUNCTION("IFERROR(((IFERROR(SUM(FILTER('Fund Investment Data'!$V:$V, 'Fund Investment Data'!$C:$C = $C2582, 'Fund Investment Data'!$A:$A = $A2582 - 2, 'Fund Investment Data'!$B:$B &gt;= 4)) * Parameters!$B$4,0) + IFERROR(SUM(FILTER('Fund Investment Data'!$V:$V, 'Fund "&amp;"Investment Data'!$C:$C = $C2582, 'Fund Investment Data'!$A:$A = $A2582 - 1, 'Fund Investment Data'!$B:$B &lt;= 3)) * Parameters!$B$4,0))),0)"),0.0)</f>
        <v>0</v>
      </c>
      <c r="AC2582" s="32">
        <f>IFERROR(__xludf.DUMMYFUNCTION("IFERROR(FILTER($AF:$AF,$C:$C = $C2582,$A:$A = $A2582 - 1,$B:$B = 12),0)"),0.0)</f>
        <v>0</v>
      </c>
      <c r="AD2582" s="32">
        <f t="shared" si="23"/>
        <v>0</v>
      </c>
      <c r="AE2582" s="32">
        <f t="shared" si="2"/>
        <v>0</v>
      </c>
      <c r="AF2582" s="32"/>
    </row>
    <row r="2583">
      <c r="A2583" s="86"/>
      <c r="B2583" s="87"/>
      <c r="C2583" s="88"/>
      <c r="D2583" s="104"/>
      <c r="E2583" s="104"/>
      <c r="F2583" s="104"/>
      <c r="G2583" s="104"/>
      <c r="H2583" s="104"/>
      <c r="I2583" s="104"/>
      <c r="J2583" s="104"/>
      <c r="K2583" s="32"/>
      <c r="L2583" s="32"/>
      <c r="M2583" s="32"/>
      <c r="N2583" s="32"/>
      <c r="O2583" s="106"/>
      <c r="P2583" s="91">
        <f>IFERROR(__xludf.DUMMYFUNCTION("IFERROR(sum(FILTER($D:$N,$C:$C = $C2583,$A:$A &lt; $A2583,$B:$B = 12)),0) + sum($D2583:$N2583)"),0.0)</f>
        <v>0</v>
      </c>
      <c r="Q2583" s="92">
        <f t="shared" si="1"/>
        <v>0</v>
      </c>
      <c r="R2583" s="91">
        <f t="array" ref="R2583">IFERROR(INDEX('Fund YTD Target Values'!$1:$1000, MATCH($C2583,'Fund YTD Target Values'!$A:$A,0), MATCH($A2583,'Fund YTD Target Values'!$1:$1,0)),0)</f>
        <v>0</v>
      </c>
      <c r="S2583" s="91">
        <f>IFERROR(__xludf.DUMMYFUNCTION("IFERROR(sum(FILTER('Fund Investment Data'!$V:$V, 'Fund Investment Data'!$C:$C = $C2583, 'Fund Investment Data'!$A:$A &lt; $A2583)),0) + IFERROR(sum(FILTER('Fund Investment Data'!$V:$V, 'Fund Investment Data'!$C:$C = $C2583, 'Fund Investment Data'!$A:$A = $A2"&amp;"583, 'Fund Investment Data'!$B:$B &lt;= $B2583)),0)"),0.0)</f>
        <v>0</v>
      </c>
      <c r="T2583" s="32"/>
      <c r="U2583" s="32"/>
      <c r="V2583" s="32">
        <f>IFERROR(__xludf.DUMMYFUNCTION("$D2583 - IFERROR(FILTER($D:$D,$C:$C = $C2583, $A:$A = $A2583, $B:$B = $B2583 - 1),0)"),0.0)</f>
        <v>0</v>
      </c>
      <c r="W2583" s="93">
        <f>IFERROR(__xludf.DUMMYFUNCTION("$E2583 - IFERROR(FILTER($E:$E,$C:$C = $C2583, $A:$A = $A2583, $B:$B = $B2583 - 1),0)"),0.0)</f>
        <v>0</v>
      </c>
      <c r="X2583" s="91">
        <f>IFERROR(__xludf.DUMMYFUNCTION("iFERROR((FILTER('Fund Investment Data'!$Z:$Z, 'Fund Investment Data'!$C:$C = $C2583, 'Fund Investment Data'!$A:$A = $A2583 - 1, 'Fund Investment Data'!$B:$B = 12) + FILTER('Fund Investment Data'!$AB:$AB, 'Fund Investment Data'!$C:$C = $C2583, 'Fund Invest"&amp;"ment Data'!$A:$A = $A2583 - 1, 'Fund Investment Data'!$B:$B = 12)) * (1 + AVERAGE(FILTER('Inflation Data'!$C:$C,'Inflation Data'!$A:$A = ($A2583 - 2)))) * Parameters!$A$4,0)"),0.0)</f>
        <v>0</v>
      </c>
      <c r="Y2583" s="91">
        <f>IFERROR(__xludf.DUMMYFUNCTION("IFERROR((IFERROR(FILTER('Fund Investment Data'!$P:$P,'Fund Investment Data'!$C:$C = $C2583,'Fund Investment Data'!$A:$A = ($A2583 - 2), 'Fund Investment Data'!$B:$B = 12),0) - SUM(FILTER('Fund Investment Data'!$V:$V, 'Fund Investment Data'!$C:$C = $C2583,"&amp;" 'Fund Investment Data'!$A:$A = ($A2583 - 2), 'Fund Investment Data'!$B:$B &gt; 3)))  * Parameters!$B$4 * (1 - Parameters!$A$4),0)"),0.0)</f>
        <v>0</v>
      </c>
      <c r="Z2583" s="91">
        <f t="shared" si="24"/>
        <v>0</v>
      </c>
      <c r="AA2583" s="91">
        <f>IFERROR(__xludf.DUMMYFUNCTION("((IFERROR((SUM(FILTER('Fund Investment Data'!$V:$V, 'Fund Investment Data'!$C:$C = $C2583, 'Fund Investment Data'!$A:$A = $A2583 - 1, 'Fund Investment Data'!$B:$B &gt;= 4, 'Fund Investment Data'!$B:$B &lt;= ($B2583 + 5))) / 12) * ($B2583 - 3) * Parameters!$B$4,"&amp;" 0) + IF($B2583 &gt;= 9, IFERROR(SUM(FILTER('Fund Investment Data'!$V:$V, 'Fund Investment Data'!$C:$C = $C2583, 'Fund Investment Data'!$A:$A = $A2583, 'Fund Investment Data'!$B:$B &lt;= 3)) * Parameters!$B$4, 0),0)))"),0.0)</f>
        <v>0</v>
      </c>
      <c r="AB2583" s="32">
        <f>IFERROR(__xludf.DUMMYFUNCTION("IFERROR(((IFERROR(SUM(FILTER('Fund Investment Data'!$V:$V, 'Fund Investment Data'!$C:$C = $C2583, 'Fund Investment Data'!$A:$A = $A2583 - 2, 'Fund Investment Data'!$B:$B &gt;= 4)) * Parameters!$B$4,0) + IFERROR(SUM(FILTER('Fund Investment Data'!$V:$V, 'Fund "&amp;"Investment Data'!$C:$C = $C2583, 'Fund Investment Data'!$A:$A = $A2583 - 1, 'Fund Investment Data'!$B:$B &lt;= 3)) * Parameters!$B$4,0))),0)"),0.0)</f>
        <v>0</v>
      </c>
      <c r="AC2583" s="32">
        <f>IFERROR(__xludf.DUMMYFUNCTION("IFERROR(FILTER($AF:$AF,$C:$C = $C2583,$A:$A = $A2583 - 1,$B:$B = 12),0)"),0.0)</f>
        <v>0</v>
      </c>
      <c r="AD2583" s="32">
        <f t="shared" si="23"/>
        <v>0</v>
      </c>
      <c r="AE2583" s="32">
        <f t="shared" si="2"/>
        <v>0</v>
      </c>
      <c r="AF2583" s="32"/>
    </row>
    <row r="2584">
      <c r="A2584" s="86"/>
      <c r="B2584" s="87"/>
      <c r="C2584" s="88"/>
      <c r="D2584" s="104"/>
      <c r="E2584" s="104"/>
      <c r="F2584" s="104"/>
      <c r="G2584" s="104"/>
      <c r="H2584" s="104"/>
      <c r="I2584" s="104"/>
      <c r="J2584" s="104"/>
      <c r="K2584" s="32"/>
      <c r="L2584" s="32"/>
      <c r="M2584" s="32"/>
      <c r="N2584" s="32"/>
      <c r="O2584" s="106"/>
      <c r="P2584" s="91">
        <f>IFERROR(__xludf.DUMMYFUNCTION("IFERROR(sum(FILTER($D:$N,$C:$C = $C2584,$A:$A &lt; $A2584,$B:$B = 12)),0) + sum($D2584:$N2584)"),0.0)</f>
        <v>0</v>
      </c>
      <c r="Q2584" s="92">
        <f t="shared" si="1"/>
        <v>0</v>
      </c>
      <c r="R2584" s="91">
        <f t="array" ref="R2584">IFERROR(INDEX('Fund YTD Target Values'!$1:$1000, MATCH($C2584,'Fund YTD Target Values'!$A:$A,0), MATCH($A2584,'Fund YTD Target Values'!$1:$1,0)),0)</f>
        <v>0</v>
      </c>
      <c r="S2584" s="91">
        <f>IFERROR(__xludf.DUMMYFUNCTION("IFERROR(sum(FILTER('Fund Investment Data'!$V:$V, 'Fund Investment Data'!$C:$C = $C2584, 'Fund Investment Data'!$A:$A &lt; $A2584)),0) + IFERROR(sum(FILTER('Fund Investment Data'!$V:$V, 'Fund Investment Data'!$C:$C = $C2584, 'Fund Investment Data'!$A:$A = $A2"&amp;"584, 'Fund Investment Data'!$B:$B &lt;= $B2584)),0)"),0.0)</f>
        <v>0</v>
      </c>
      <c r="T2584" s="32"/>
      <c r="U2584" s="32"/>
      <c r="V2584" s="32">
        <f>IFERROR(__xludf.DUMMYFUNCTION("$D2584 - IFERROR(FILTER($D:$D,$C:$C = $C2584, $A:$A = $A2584, $B:$B = $B2584 - 1),0)"),0.0)</f>
        <v>0</v>
      </c>
      <c r="W2584" s="93">
        <f>IFERROR(__xludf.DUMMYFUNCTION("$E2584 - IFERROR(FILTER($E:$E,$C:$C = $C2584, $A:$A = $A2584, $B:$B = $B2584 - 1),0)"),0.0)</f>
        <v>0</v>
      </c>
      <c r="X2584" s="91">
        <f>IFERROR(__xludf.DUMMYFUNCTION("iFERROR((FILTER('Fund Investment Data'!$Z:$Z, 'Fund Investment Data'!$C:$C = $C2584, 'Fund Investment Data'!$A:$A = $A2584 - 1, 'Fund Investment Data'!$B:$B = 12) + FILTER('Fund Investment Data'!$AB:$AB, 'Fund Investment Data'!$C:$C = $C2584, 'Fund Invest"&amp;"ment Data'!$A:$A = $A2584 - 1, 'Fund Investment Data'!$B:$B = 12)) * (1 + AVERAGE(FILTER('Inflation Data'!$C:$C,'Inflation Data'!$A:$A = ($A2584 - 2)))) * Parameters!$A$4,0)"),0.0)</f>
        <v>0</v>
      </c>
      <c r="Y2584" s="91">
        <f>IFERROR(__xludf.DUMMYFUNCTION("IFERROR((IFERROR(FILTER('Fund Investment Data'!$P:$P,'Fund Investment Data'!$C:$C = $C2584,'Fund Investment Data'!$A:$A = ($A2584 - 2), 'Fund Investment Data'!$B:$B = 12),0) - SUM(FILTER('Fund Investment Data'!$V:$V, 'Fund Investment Data'!$C:$C = $C2584,"&amp;" 'Fund Investment Data'!$A:$A = ($A2584 - 2), 'Fund Investment Data'!$B:$B &gt; 3)))  * Parameters!$B$4 * (1 - Parameters!$A$4),0)"),0.0)</f>
        <v>0</v>
      </c>
      <c r="Z2584" s="91">
        <f t="shared" si="24"/>
        <v>0</v>
      </c>
      <c r="AA2584" s="91">
        <f>IFERROR(__xludf.DUMMYFUNCTION("((IFERROR((SUM(FILTER('Fund Investment Data'!$V:$V, 'Fund Investment Data'!$C:$C = $C2584, 'Fund Investment Data'!$A:$A = $A2584 - 1, 'Fund Investment Data'!$B:$B &gt;= 4, 'Fund Investment Data'!$B:$B &lt;= ($B2584 + 5))) / 12) * ($B2584 - 3) * Parameters!$B$4,"&amp;" 0) + IF($B2584 &gt;= 9, IFERROR(SUM(FILTER('Fund Investment Data'!$V:$V, 'Fund Investment Data'!$C:$C = $C2584, 'Fund Investment Data'!$A:$A = $A2584, 'Fund Investment Data'!$B:$B &lt;= 3)) * Parameters!$B$4, 0),0)))"),0.0)</f>
        <v>0</v>
      </c>
      <c r="AB2584" s="32">
        <f>IFERROR(__xludf.DUMMYFUNCTION("IFERROR(((IFERROR(SUM(FILTER('Fund Investment Data'!$V:$V, 'Fund Investment Data'!$C:$C = $C2584, 'Fund Investment Data'!$A:$A = $A2584 - 2, 'Fund Investment Data'!$B:$B &gt;= 4)) * Parameters!$B$4,0) + IFERROR(SUM(FILTER('Fund Investment Data'!$V:$V, 'Fund "&amp;"Investment Data'!$C:$C = $C2584, 'Fund Investment Data'!$A:$A = $A2584 - 1, 'Fund Investment Data'!$B:$B &lt;= 3)) * Parameters!$B$4,0))),0)"),0.0)</f>
        <v>0</v>
      </c>
      <c r="AC2584" s="32">
        <f>IFERROR(__xludf.DUMMYFUNCTION("IFERROR(FILTER($AF:$AF,$C:$C = $C2584,$A:$A = $A2584 - 1,$B:$B = 12),0)"),0.0)</f>
        <v>0</v>
      </c>
      <c r="AD2584" s="32">
        <f t="shared" si="23"/>
        <v>0</v>
      </c>
      <c r="AE2584" s="32">
        <f t="shared" si="2"/>
        <v>0</v>
      </c>
      <c r="AF2584" s="32"/>
    </row>
    <row r="2585">
      <c r="A2585" s="86"/>
      <c r="B2585" s="87"/>
      <c r="C2585" s="88"/>
      <c r="D2585" s="104"/>
      <c r="E2585" s="104"/>
      <c r="F2585" s="104"/>
      <c r="G2585" s="104"/>
      <c r="H2585" s="104"/>
      <c r="I2585" s="104"/>
      <c r="J2585" s="104"/>
      <c r="K2585" s="32"/>
      <c r="L2585" s="32"/>
      <c r="M2585" s="32"/>
      <c r="N2585" s="32"/>
      <c r="O2585" s="106"/>
      <c r="P2585" s="91">
        <f>IFERROR(__xludf.DUMMYFUNCTION("IFERROR(sum(FILTER($D:$N,$C:$C = $C2585,$A:$A &lt; $A2585,$B:$B = 12)),0) + sum($D2585:$N2585)"),0.0)</f>
        <v>0</v>
      </c>
      <c r="Q2585" s="92">
        <f t="shared" si="1"/>
        <v>0</v>
      </c>
      <c r="R2585" s="91">
        <f t="array" ref="R2585">IFERROR(INDEX('Fund YTD Target Values'!$1:$1000, MATCH($C2585,'Fund YTD Target Values'!$A:$A,0), MATCH($A2585,'Fund YTD Target Values'!$1:$1,0)),0)</f>
        <v>0</v>
      </c>
      <c r="S2585" s="91">
        <f>IFERROR(__xludf.DUMMYFUNCTION("IFERROR(sum(FILTER('Fund Investment Data'!$V:$V, 'Fund Investment Data'!$C:$C = $C2585, 'Fund Investment Data'!$A:$A &lt; $A2585)),0) + IFERROR(sum(FILTER('Fund Investment Data'!$V:$V, 'Fund Investment Data'!$C:$C = $C2585, 'Fund Investment Data'!$A:$A = $A2"&amp;"585, 'Fund Investment Data'!$B:$B &lt;= $B2585)),0)"),0.0)</f>
        <v>0</v>
      </c>
      <c r="T2585" s="32"/>
      <c r="U2585" s="32"/>
      <c r="V2585" s="32">
        <f>IFERROR(__xludf.DUMMYFUNCTION("$D2585 - IFERROR(FILTER($D:$D,$C:$C = $C2585, $A:$A = $A2585, $B:$B = $B2585 - 1),0)"),0.0)</f>
        <v>0</v>
      </c>
      <c r="W2585" s="93">
        <f>IFERROR(__xludf.DUMMYFUNCTION("$E2585 - IFERROR(FILTER($E:$E,$C:$C = $C2585, $A:$A = $A2585, $B:$B = $B2585 - 1),0)"),0.0)</f>
        <v>0</v>
      </c>
      <c r="X2585" s="91">
        <f>IFERROR(__xludf.DUMMYFUNCTION("iFERROR((FILTER('Fund Investment Data'!$Z:$Z, 'Fund Investment Data'!$C:$C = $C2585, 'Fund Investment Data'!$A:$A = $A2585 - 1, 'Fund Investment Data'!$B:$B = 12) + FILTER('Fund Investment Data'!$AB:$AB, 'Fund Investment Data'!$C:$C = $C2585, 'Fund Invest"&amp;"ment Data'!$A:$A = $A2585 - 1, 'Fund Investment Data'!$B:$B = 12)) * (1 + AVERAGE(FILTER('Inflation Data'!$C:$C,'Inflation Data'!$A:$A = ($A2585 - 2)))) * Parameters!$A$4,0)"),0.0)</f>
        <v>0</v>
      </c>
      <c r="Y2585" s="91">
        <f>IFERROR(__xludf.DUMMYFUNCTION("IFERROR((IFERROR(FILTER('Fund Investment Data'!$P:$P,'Fund Investment Data'!$C:$C = $C2585,'Fund Investment Data'!$A:$A = ($A2585 - 2), 'Fund Investment Data'!$B:$B = 12),0) - SUM(FILTER('Fund Investment Data'!$V:$V, 'Fund Investment Data'!$C:$C = $C2585,"&amp;" 'Fund Investment Data'!$A:$A = ($A2585 - 2), 'Fund Investment Data'!$B:$B &gt; 3)))  * Parameters!$B$4 * (1 - Parameters!$A$4),0)"),0.0)</f>
        <v>0</v>
      </c>
      <c r="Z2585" s="91">
        <f t="shared" si="24"/>
        <v>0</v>
      </c>
      <c r="AA2585" s="91">
        <f>IFERROR(__xludf.DUMMYFUNCTION("((IFERROR((SUM(FILTER('Fund Investment Data'!$V:$V, 'Fund Investment Data'!$C:$C = $C2585, 'Fund Investment Data'!$A:$A = $A2585 - 1, 'Fund Investment Data'!$B:$B &gt;= 4, 'Fund Investment Data'!$B:$B &lt;= ($B2585 + 5))) / 12) * ($B2585 - 3) * Parameters!$B$4,"&amp;" 0) + IF($B2585 &gt;= 9, IFERROR(SUM(FILTER('Fund Investment Data'!$V:$V, 'Fund Investment Data'!$C:$C = $C2585, 'Fund Investment Data'!$A:$A = $A2585, 'Fund Investment Data'!$B:$B &lt;= 3)) * Parameters!$B$4, 0),0)))"),0.0)</f>
        <v>0</v>
      </c>
      <c r="AB2585" s="32">
        <f>IFERROR(__xludf.DUMMYFUNCTION("IFERROR(((IFERROR(SUM(FILTER('Fund Investment Data'!$V:$V, 'Fund Investment Data'!$C:$C = $C2585, 'Fund Investment Data'!$A:$A = $A2585 - 2, 'Fund Investment Data'!$B:$B &gt;= 4)) * Parameters!$B$4,0) + IFERROR(SUM(FILTER('Fund Investment Data'!$V:$V, 'Fund "&amp;"Investment Data'!$C:$C = $C2585, 'Fund Investment Data'!$A:$A = $A2585 - 1, 'Fund Investment Data'!$B:$B &lt;= 3)) * Parameters!$B$4,0))),0)"),0.0)</f>
        <v>0</v>
      </c>
      <c r="AC2585" s="32">
        <f>IFERROR(__xludf.DUMMYFUNCTION("IFERROR(FILTER($AF:$AF,$C:$C = $C2585,$A:$A = $A2585 - 1,$B:$B = 12),0)"),0.0)</f>
        <v>0</v>
      </c>
      <c r="AD2585" s="32">
        <f t="shared" si="23"/>
        <v>0</v>
      </c>
      <c r="AE2585" s="32">
        <f t="shared" si="2"/>
        <v>0</v>
      </c>
      <c r="AF2585" s="32"/>
    </row>
    <row r="2586">
      <c r="A2586" s="86"/>
      <c r="B2586" s="87"/>
      <c r="C2586" s="88"/>
      <c r="D2586" s="104"/>
      <c r="E2586" s="104"/>
      <c r="F2586" s="104"/>
      <c r="G2586" s="104"/>
      <c r="H2586" s="104"/>
      <c r="I2586" s="104"/>
      <c r="J2586" s="104"/>
      <c r="K2586" s="32"/>
      <c r="L2586" s="32"/>
      <c r="M2586" s="32"/>
      <c r="N2586" s="32"/>
      <c r="O2586" s="106"/>
      <c r="P2586" s="91">
        <f>IFERROR(__xludf.DUMMYFUNCTION("IFERROR(sum(FILTER($D:$N,$C:$C = $C2586,$A:$A &lt; $A2586,$B:$B = 12)),0) + sum($D2586:$N2586)"),0.0)</f>
        <v>0</v>
      </c>
      <c r="Q2586" s="92">
        <f t="shared" si="1"/>
        <v>0</v>
      </c>
      <c r="R2586" s="91">
        <f t="array" ref="R2586">IFERROR(INDEX('Fund YTD Target Values'!$1:$1000, MATCH($C2586,'Fund YTD Target Values'!$A:$A,0), MATCH($A2586,'Fund YTD Target Values'!$1:$1,0)),0)</f>
        <v>0</v>
      </c>
      <c r="S2586" s="91">
        <f>IFERROR(__xludf.DUMMYFUNCTION("IFERROR(sum(FILTER('Fund Investment Data'!$V:$V, 'Fund Investment Data'!$C:$C = $C2586, 'Fund Investment Data'!$A:$A &lt; $A2586)),0) + IFERROR(sum(FILTER('Fund Investment Data'!$V:$V, 'Fund Investment Data'!$C:$C = $C2586, 'Fund Investment Data'!$A:$A = $A2"&amp;"586, 'Fund Investment Data'!$B:$B &lt;= $B2586)),0)"),0.0)</f>
        <v>0</v>
      </c>
      <c r="T2586" s="32"/>
      <c r="U2586" s="32"/>
      <c r="V2586" s="32">
        <f>IFERROR(__xludf.DUMMYFUNCTION("$D2586 - IFERROR(FILTER($D:$D,$C:$C = $C2586, $A:$A = $A2586, $B:$B = $B2586 - 1),0)"),0.0)</f>
        <v>0</v>
      </c>
      <c r="W2586" s="93">
        <f>IFERROR(__xludf.DUMMYFUNCTION("$E2586 - IFERROR(FILTER($E:$E,$C:$C = $C2586, $A:$A = $A2586, $B:$B = $B2586 - 1),0)"),0.0)</f>
        <v>0</v>
      </c>
      <c r="X2586" s="91">
        <f>IFERROR(__xludf.DUMMYFUNCTION("iFERROR((FILTER('Fund Investment Data'!$Z:$Z, 'Fund Investment Data'!$C:$C = $C2586, 'Fund Investment Data'!$A:$A = $A2586 - 1, 'Fund Investment Data'!$B:$B = 12) + FILTER('Fund Investment Data'!$AB:$AB, 'Fund Investment Data'!$C:$C = $C2586, 'Fund Invest"&amp;"ment Data'!$A:$A = $A2586 - 1, 'Fund Investment Data'!$B:$B = 12)) * (1 + AVERAGE(FILTER('Inflation Data'!$C:$C,'Inflation Data'!$A:$A = ($A2586 - 2)))) * Parameters!$A$4,0)"),0.0)</f>
        <v>0</v>
      </c>
      <c r="Y2586" s="91">
        <f>IFERROR(__xludf.DUMMYFUNCTION("IFERROR((IFERROR(FILTER('Fund Investment Data'!$P:$P,'Fund Investment Data'!$C:$C = $C2586,'Fund Investment Data'!$A:$A = ($A2586 - 2), 'Fund Investment Data'!$B:$B = 12),0) - SUM(FILTER('Fund Investment Data'!$V:$V, 'Fund Investment Data'!$C:$C = $C2586,"&amp;" 'Fund Investment Data'!$A:$A = ($A2586 - 2), 'Fund Investment Data'!$B:$B &gt; 3)))  * Parameters!$B$4 * (1 - Parameters!$A$4),0)"),0.0)</f>
        <v>0</v>
      </c>
      <c r="Z2586" s="91">
        <f t="shared" si="24"/>
        <v>0</v>
      </c>
      <c r="AA2586" s="91">
        <f>IFERROR(__xludf.DUMMYFUNCTION("((IFERROR((SUM(FILTER('Fund Investment Data'!$V:$V, 'Fund Investment Data'!$C:$C = $C2586, 'Fund Investment Data'!$A:$A = $A2586 - 1, 'Fund Investment Data'!$B:$B &gt;= 4, 'Fund Investment Data'!$B:$B &lt;= ($B2586 + 5))) / 12) * ($B2586 - 3) * Parameters!$B$4,"&amp;" 0) + IF($B2586 &gt;= 9, IFERROR(SUM(FILTER('Fund Investment Data'!$V:$V, 'Fund Investment Data'!$C:$C = $C2586, 'Fund Investment Data'!$A:$A = $A2586, 'Fund Investment Data'!$B:$B &lt;= 3)) * Parameters!$B$4, 0),0)))"),0.0)</f>
        <v>0</v>
      </c>
      <c r="AB2586" s="32">
        <f>IFERROR(__xludf.DUMMYFUNCTION("IFERROR(((IFERROR(SUM(FILTER('Fund Investment Data'!$V:$V, 'Fund Investment Data'!$C:$C = $C2586, 'Fund Investment Data'!$A:$A = $A2586 - 2, 'Fund Investment Data'!$B:$B &gt;= 4)) * Parameters!$B$4,0) + IFERROR(SUM(FILTER('Fund Investment Data'!$V:$V, 'Fund "&amp;"Investment Data'!$C:$C = $C2586, 'Fund Investment Data'!$A:$A = $A2586 - 1, 'Fund Investment Data'!$B:$B &lt;= 3)) * Parameters!$B$4,0))),0)"),0.0)</f>
        <v>0</v>
      </c>
      <c r="AC2586" s="32">
        <f>IFERROR(__xludf.DUMMYFUNCTION("IFERROR(FILTER($AF:$AF,$C:$C = $C2586,$A:$A = $A2586 - 1,$B:$B = 12),0)"),0.0)</f>
        <v>0</v>
      </c>
      <c r="AD2586" s="32">
        <f t="shared" si="23"/>
        <v>0</v>
      </c>
      <c r="AE2586" s="32">
        <f t="shared" si="2"/>
        <v>0</v>
      </c>
      <c r="AF2586" s="32"/>
    </row>
    <row r="2587">
      <c r="A2587" s="86"/>
      <c r="B2587" s="87"/>
      <c r="C2587" s="88"/>
      <c r="D2587" s="104"/>
      <c r="E2587" s="104"/>
      <c r="F2587" s="104"/>
      <c r="G2587" s="104"/>
      <c r="H2587" s="104"/>
      <c r="I2587" s="104"/>
      <c r="J2587" s="104"/>
      <c r="K2587" s="32"/>
      <c r="L2587" s="32"/>
      <c r="M2587" s="32"/>
      <c r="N2587" s="32"/>
      <c r="O2587" s="106"/>
      <c r="P2587" s="91">
        <f>IFERROR(__xludf.DUMMYFUNCTION("IFERROR(sum(FILTER($D:$N,$C:$C = $C2587,$A:$A &lt; $A2587,$B:$B = 12)),0) + sum($D2587:$N2587)"),0.0)</f>
        <v>0</v>
      </c>
      <c r="Q2587" s="92">
        <f t="shared" si="1"/>
        <v>0</v>
      </c>
      <c r="R2587" s="91">
        <f t="array" ref="R2587">IFERROR(INDEX('Fund YTD Target Values'!$1:$1000, MATCH($C2587,'Fund YTD Target Values'!$A:$A,0), MATCH($A2587,'Fund YTD Target Values'!$1:$1,0)),0)</f>
        <v>0</v>
      </c>
      <c r="S2587" s="91">
        <f>IFERROR(__xludf.DUMMYFUNCTION("IFERROR(sum(FILTER('Fund Investment Data'!$V:$V, 'Fund Investment Data'!$C:$C = $C2587, 'Fund Investment Data'!$A:$A &lt; $A2587)),0) + IFERROR(sum(FILTER('Fund Investment Data'!$V:$V, 'Fund Investment Data'!$C:$C = $C2587, 'Fund Investment Data'!$A:$A = $A2"&amp;"587, 'Fund Investment Data'!$B:$B &lt;= $B2587)),0)"),0.0)</f>
        <v>0</v>
      </c>
      <c r="T2587" s="32"/>
      <c r="U2587" s="32"/>
      <c r="V2587" s="32">
        <f>IFERROR(__xludf.DUMMYFUNCTION("$D2587 - IFERROR(FILTER($D:$D,$C:$C = $C2587, $A:$A = $A2587, $B:$B = $B2587 - 1),0)"),0.0)</f>
        <v>0</v>
      </c>
      <c r="W2587" s="93">
        <f>IFERROR(__xludf.DUMMYFUNCTION("$E2587 - IFERROR(FILTER($E:$E,$C:$C = $C2587, $A:$A = $A2587, $B:$B = $B2587 - 1),0)"),0.0)</f>
        <v>0</v>
      </c>
      <c r="X2587" s="91">
        <f>IFERROR(__xludf.DUMMYFUNCTION("iFERROR((FILTER('Fund Investment Data'!$Z:$Z, 'Fund Investment Data'!$C:$C = $C2587, 'Fund Investment Data'!$A:$A = $A2587 - 1, 'Fund Investment Data'!$B:$B = 12) + FILTER('Fund Investment Data'!$AB:$AB, 'Fund Investment Data'!$C:$C = $C2587, 'Fund Invest"&amp;"ment Data'!$A:$A = $A2587 - 1, 'Fund Investment Data'!$B:$B = 12)) * (1 + AVERAGE(FILTER('Inflation Data'!$C:$C,'Inflation Data'!$A:$A = ($A2587 - 2)))) * Parameters!$A$4,0)"),0.0)</f>
        <v>0</v>
      </c>
      <c r="Y2587" s="91">
        <f>IFERROR(__xludf.DUMMYFUNCTION("IFERROR((IFERROR(FILTER('Fund Investment Data'!$P:$P,'Fund Investment Data'!$C:$C = $C2587,'Fund Investment Data'!$A:$A = ($A2587 - 2), 'Fund Investment Data'!$B:$B = 12),0) - SUM(FILTER('Fund Investment Data'!$V:$V, 'Fund Investment Data'!$C:$C = $C2587,"&amp;" 'Fund Investment Data'!$A:$A = ($A2587 - 2), 'Fund Investment Data'!$B:$B &gt; 3)))  * Parameters!$B$4 * (1 - Parameters!$A$4),0)"),0.0)</f>
        <v>0</v>
      </c>
      <c r="Z2587" s="91">
        <f t="shared" si="24"/>
        <v>0</v>
      </c>
      <c r="AA2587" s="91">
        <f>IFERROR(__xludf.DUMMYFUNCTION("((IFERROR((SUM(FILTER('Fund Investment Data'!$V:$V, 'Fund Investment Data'!$C:$C = $C2587, 'Fund Investment Data'!$A:$A = $A2587 - 1, 'Fund Investment Data'!$B:$B &gt;= 4, 'Fund Investment Data'!$B:$B &lt;= ($B2587 + 5))) / 12) * ($B2587 - 3) * Parameters!$B$4,"&amp;" 0) + IF($B2587 &gt;= 9, IFERROR(SUM(FILTER('Fund Investment Data'!$V:$V, 'Fund Investment Data'!$C:$C = $C2587, 'Fund Investment Data'!$A:$A = $A2587, 'Fund Investment Data'!$B:$B &lt;= 3)) * Parameters!$B$4, 0),0)))"),0.0)</f>
        <v>0</v>
      </c>
      <c r="AB2587" s="32">
        <f>IFERROR(__xludf.DUMMYFUNCTION("IFERROR(((IFERROR(SUM(FILTER('Fund Investment Data'!$V:$V, 'Fund Investment Data'!$C:$C = $C2587, 'Fund Investment Data'!$A:$A = $A2587 - 2, 'Fund Investment Data'!$B:$B &gt;= 4)) * Parameters!$B$4,0) + IFERROR(SUM(FILTER('Fund Investment Data'!$V:$V, 'Fund "&amp;"Investment Data'!$C:$C = $C2587, 'Fund Investment Data'!$A:$A = $A2587 - 1, 'Fund Investment Data'!$B:$B &lt;= 3)) * Parameters!$B$4,0))),0)"),0.0)</f>
        <v>0</v>
      </c>
      <c r="AC2587" s="32">
        <f>IFERROR(__xludf.DUMMYFUNCTION("IFERROR(FILTER($AF:$AF,$C:$C = $C2587,$A:$A = $A2587 - 1,$B:$B = 12),0)"),0.0)</f>
        <v>0</v>
      </c>
      <c r="AD2587" s="32">
        <f t="shared" si="23"/>
        <v>0</v>
      </c>
      <c r="AE2587" s="32">
        <f t="shared" si="2"/>
        <v>0</v>
      </c>
      <c r="AF2587" s="32"/>
    </row>
    <row r="2588">
      <c r="A2588" s="86"/>
      <c r="B2588" s="87"/>
      <c r="C2588" s="88"/>
      <c r="D2588" s="104"/>
      <c r="E2588" s="104"/>
      <c r="F2588" s="104"/>
      <c r="G2588" s="104"/>
      <c r="H2588" s="104"/>
      <c r="I2588" s="104"/>
      <c r="J2588" s="104"/>
      <c r="K2588" s="32"/>
      <c r="L2588" s="32"/>
      <c r="M2588" s="32"/>
      <c r="N2588" s="32"/>
      <c r="O2588" s="106"/>
      <c r="P2588" s="91">
        <f>IFERROR(__xludf.DUMMYFUNCTION("IFERROR(sum(FILTER($D:$N,$C:$C = $C2588,$A:$A &lt; $A2588,$B:$B = 12)),0) + sum($D2588:$N2588)"),0.0)</f>
        <v>0</v>
      </c>
      <c r="Q2588" s="92">
        <f t="shared" si="1"/>
        <v>0</v>
      </c>
      <c r="R2588" s="91">
        <f t="array" ref="R2588">IFERROR(INDEX('Fund YTD Target Values'!$1:$1000, MATCH($C2588,'Fund YTD Target Values'!$A:$A,0), MATCH($A2588,'Fund YTD Target Values'!$1:$1,0)),0)</f>
        <v>0</v>
      </c>
      <c r="S2588" s="91">
        <f>IFERROR(__xludf.DUMMYFUNCTION("IFERROR(sum(FILTER('Fund Investment Data'!$V:$V, 'Fund Investment Data'!$C:$C = $C2588, 'Fund Investment Data'!$A:$A &lt; $A2588)),0) + IFERROR(sum(FILTER('Fund Investment Data'!$V:$V, 'Fund Investment Data'!$C:$C = $C2588, 'Fund Investment Data'!$A:$A = $A2"&amp;"588, 'Fund Investment Data'!$B:$B &lt;= $B2588)),0)"),0.0)</f>
        <v>0</v>
      </c>
      <c r="T2588" s="32"/>
      <c r="U2588" s="32"/>
      <c r="V2588" s="32">
        <f>IFERROR(__xludf.DUMMYFUNCTION("$D2588 - IFERROR(FILTER($D:$D,$C:$C = $C2588, $A:$A = $A2588, $B:$B = $B2588 - 1),0)"),0.0)</f>
        <v>0</v>
      </c>
      <c r="W2588" s="93">
        <f>IFERROR(__xludf.DUMMYFUNCTION("$E2588 - IFERROR(FILTER($E:$E,$C:$C = $C2588, $A:$A = $A2588, $B:$B = $B2588 - 1),0)"),0.0)</f>
        <v>0</v>
      </c>
      <c r="X2588" s="91">
        <f>IFERROR(__xludf.DUMMYFUNCTION("iFERROR((FILTER('Fund Investment Data'!$Z:$Z, 'Fund Investment Data'!$C:$C = $C2588, 'Fund Investment Data'!$A:$A = $A2588 - 1, 'Fund Investment Data'!$B:$B = 12) + FILTER('Fund Investment Data'!$AB:$AB, 'Fund Investment Data'!$C:$C = $C2588, 'Fund Invest"&amp;"ment Data'!$A:$A = $A2588 - 1, 'Fund Investment Data'!$B:$B = 12)) * (1 + AVERAGE(FILTER('Inflation Data'!$C:$C,'Inflation Data'!$A:$A = ($A2588 - 2)))) * Parameters!$A$4,0)"),0.0)</f>
        <v>0</v>
      </c>
      <c r="Y2588" s="91">
        <f>IFERROR(__xludf.DUMMYFUNCTION("IFERROR((IFERROR(FILTER('Fund Investment Data'!$P:$P,'Fund Investment Data'!$C:$C = $C2588,'Fund Investment Data'!$A:$A = ($A2588 - 2), 'Fund Investment Data'!$B:$B = 12),0) - SUM(FILTER('Fund Investment Data'!$V:$V, 'Fund Investment Data'!$C:$C = $C2588,"&amp;" 'Fund Investment Data'!$A:$A = ($A2588 - 2), 'Fund Investment Data'!$B:$B &gt; 3)))  * Parameters!$B$4 * (1 - Parameters!$A$4),0)"),0.0)</f>
        <v>0</v>
      </c>
      <c r="Z2588" s="91">
        <f t="shared" si="24"/>
        <v>0</v>
      </c>
      <c r="AA2588" s="91">
        <f>IFERROR(__xludf.DUMMYFUNCTION("((IFERROR((SUM(FILTER('Fund Investment Data'!$V:$V, 'Fund Investment Data'!$C:$C = $C2588, 'Fund Investment Data'!$A:$A = $A2588 - 1, 'Fund Investment Data'!$B:$B &gt;= 4, 'Fund Investment Data'!$B:$B &lt;= ($B2588 + 5))) / 12) * ($B2588 - 3) * Parameters!$B$4,"&amp;" 0) + IF($B2588 &gt;= 9, IFERROR(SUM(FILTER('Fund Investment Data'!$V:$V, 'Fund Investment Data'!$C:$C = $C2588, 'Fund Investment Data'!$A:$A = $A2588, 'Fund Investment Data'!$B:$B &lt;= 3)) * Parameters!$B$4, 0),0)))"),0.0)</f>
        <v>0</v>
      </c>
      <c r="AB2588" s="32">
        <f>IFERROR(__xludf.DUMMYFUNCTION("IFERROR(((IFERROR(SUM(FILTER('Fund Investment Data'!$V:$V, 'Fund Investment Data'!$C:$C = $C2588, 'Fund Investment Data'!$A:$A = $A2588 - 2, 'Fund Investment Data'!$B:$B &gt;= 4)) * Parameters!$B$4,0) + IFERROR(SUM(FILTER('Fund Investment Data'!$V:$V, 'Fund "&amp;"Investment Data'!$C:$C = $C2588, 'Fund Investment Data'!$A:$A = $A2588 - 1, 'Fund Investment Data'!$B:$B &lt;= 3)) * Parameters!$B$4,0))),0)"),0.0)</f>
        <v>0</v>
      </c>
      <c r="AC2588" s="32">
        <f>IFERROR(__xludf.DUMMYFUNCTION("IFERROR(FILTER($AF:$AF,$C:$C = $C2588,$A:$A = $A2588 - 1,$B:$B = 12),0)"),0.0)</f>
        <v>0</v>
      </c>
      <c r="AD2588" s="32">
        <f t="shared" si="23"/>
        <v>0</v>
      </c>
      <c r="AE2588" s="32">
        <f t="shared" si="2"/>
        <v>0</v>
      </c>
      <c r="AF2588" s="32"/>
    </row>
    <row r="2589">
      <c r="A2589" s="86"/>
      <c r="B2589" s="87"/>
      <c r="C2589" s="88"/>
      <c r="D2589" s="104"/>
      <c r="E2589" s="104"/>
      <c r="F2589" s="104"/>
      <c r="G2589" s="104"/>
      <c r="H2589" s="104"/>
      <c r="I2589" s="104"/>
      <c r="J2589" s="104"/>
      <c r="K2589" s="32"/>
      <c r="L2589" s="32"/>
      <c r="M2589" s="32"/>
      <c r="N2589" s="32"/>
      <c r="O2589" s="106"/>
      <c r="P2589" s="91">
        <f>IFERROR(__xludf.DUMMYFUNCTION("IFERROR(sum(FILTER($D:$N,$C:$C = $C2589,$A:$A &lt; $A2589,$B:$B = 12)),0) + sum($D2589:$N2589)"),0.0)</f>
        <v>0</v>
      </c>
      <c r="Q2589" s="92">
        <f t="shared" si="1"/>
        <v>0</v>
      </c>
      <c r="R2589" s="91">
        <f t="array" ref="R2589">IFERROR(INDEX('Fund YTD Target Values'!$1:$1000, MATCH($C2589,'Fund YTD Target Values'!$A:$A,0), MATCH($A2589,'Fund YTD Target Values'!$1:$1,0)),0)</f>
        <v>0</v>
      </c>
      <c r="S2589" s="91">
        <f>IFERROR(__xludf.DUMMYFUNCTION("IFERROR(sum(FILTER('Fund Investment Data'!$V:$V, 'Fund Investment Data'!$C:$C = $C2589, 'Fund Investment Data'!$A:$A &lt; $A2589)),0) + IFERROR(sum(FILTER('Fund Investment Data'!$V:$V, 'Fund Investment Data'!$C:$C = $C2589, 'Fund Investment Data'!$A:$A = $A2"&amp;"589, 'Fund Investment Data'!$B:$B &lt;= $B2589)),0)"),0.0)</f>
        <v>0</v>
      </c>
      <c r="T2589" s="32"/>
      <c r="U2589" s="32"/>
      <c r="V2589" s="32">
        <f>IFERROR(__xludf.DUMMYFUNCTION("$D2589 - IFERROR(FILTER($D:$D,$C:$C = $C2589, $A:$A = $A2589, $B:$B = $B2589 - 1),0)"),0.0)</f>
        <v>0</v>
      </c>
      <c r="W2589" s="93">
        <f>IFERROR(__xludf.DUMMYFUNCTION("$E2589 - IFERROR(FILTER($E:$E,$C:$C = $C2589, $A:$A = $A2589, $B:$B = $B2589 - 1),0)"),0.0)</f>
        <v>0</v>
      </c>
      <c r="X2589" s="91">
        <f>IFERROR(__xludf.DUMMYFUNCTION("iFERROR((FILTER('Fund Investment Data'!$Z:$Z, 'Fund Investment Data'!$C:$C = $C2589, 'Fund Investment Data'!$A:$A = $A2589 - 1, 'Fund Investment Data'!$B:$B = 12) + FILTER('Fund Investment Data'!$AB:$AB, 'Fund Investment Data'!$C:$C = $C2589, 'Fund Invest"&amp;"ment Data'!$A:$A = $A2589 - 1, 'Fund Investment Data'!$B:$B = 12)) * (1 + AVERAGE(FILTER('Inflation Data'!$C:$C,'Inflation Data'!$A:$A = ($A2589 - 2)))) * Parameters!$A$4,0)"),0.0)</f>
        <v>0</v>
      </c>
      <c r="Y2589" s="91">
        <f>IFERROR(__xludf.DUMMYFUNCTION("IFERROR((IFERROR(FILTER('Fund Investment Data'!$P:$P,'Fund Investment Data'!$C:$C = $C2589,'Fund Investment Data'!$A:$A = ($A2589 - 2), 'Fund Investment Data'!$B:$B = 12),0) - SUM(FILTER('Fund Investment Data'!$V:$V, 'Fund Investment Data'!$C:$C = $C2589,"&amp;" 'Fund Investment Data'!$A:$A = ($A2589 - 2), 'Fund Investment Data'!$B:$B &gt; 3)))  * Parameters!$B$4 * (1 - Parameters!$A$4),0)"),0.0)</f>
        <v>0</v>
      </c>
      <c r="Z2589" s="91">
        <f t="shared" si="24"/>
        <v>0</v>
      </c>
      <c r="AA2589" s="91">
        <f>IFERROR(__xludf.DUMMYFUNCTION("((IFERROR((SUM(FILTER('Fund Investment Data'!$V:$V, 'Fund Investment Data'!$C:$C = $C2589, 'Fund Investment Data'!$A:$A = $A2589 - 1, 'Fund Investment Data'!$B:$B &gt;= 4, 'Fund Investment Data'!$B:$B &lt;= ($B2589 + 5))) / 12) * ($B2589 - 3) * Parameters!$B$4,"&amp;" 0) + IF($B2589 &gt;= 9, IFERROR(SUM(FILTER('Fund Investment Data'!$V:$V, 'Fund Investment Data'!$C:$C = $C2589, 'Fund Investment Data'!$A:$A = $A2589, 'Fund Investment Data'!$B:$B &lt;= 3)) * Parameters!$B$4, 0),0)))"),0.0)</f>
        <v>0</v>
      </c>
      <c r="AB2589" s="32">
        <f>IFERROR(__xludf.DUMMYFUNCTION("IFERROR(((IFERROR(SUM(FILTER('Fund Investment Data'!$V:$V, 'Fund Investment Data'!$C:$C = $C2589, 'Fund Investment Data'!$A:$A = $A2589 - 2, 'Fund Investment Data'!$B:$B &gt;= 4)) * Parameters!$B$4,0) + IFERROR(SUM(FILTER('Fund Investment Data'!$V:$V, 'Fund "&amp;"Investment Data'!$C:$C = $C2589, 'Fund Investment Data'!$A:$A = $A2589 - 1, 'Fund Investment Data'!$B:$B &lt;= 3)) * Parameters!$B$4,0))),0)"),0.0)</f>
        <v>0</v>
      </c>
      <c r="AC2589" s="32">
        <f>IFERROR(__xludf.DUMMYFUNCTION("IFERROR(FILTER($AF:$AF,$C:$C = $C2589,$A:$A = $A2589 - 1,$B:$B = 12),0)"),0.0)</f>
        <v>0</v>
      </c>
      <c r="AD2589" s="32">
        <f t="shared" si="23"/>
        <v>0</v>
      </c>
      <c r="AE2589" s="32">
        <f t="shared" si="2"/>
        <v>0</v>
      </c>
      <c r="AF2589" s="32"/>
    </row>
    <row r="2590">
      <c r="A2590" s="86"/>
      <c r="B2590" s="87"/>
      <c r="C2590" s="88"/>
      <c r="D2590" s="104"/>
      <c r="E2590" s="104"/>
      <c r="F2590" s="104"/>
      <c r="G2590" s="104"/>
      <c r="H2590" s="104"/>
      <c r="I2590" s="104"/>
      <c r="J2590" s="104"/>
      <c r="K2590" s="32"/>
      <c r="L2590" s="32"/>
      <c r="M2590" s="32"/>
      <c r="N2590" s="32"/>
      <c r="O2590" s="106"/>
      <c r="P2590" s="91">
        <f>IFERROR(__xludf.DUMMYFUNCTION("IFERROR(sum(FILTER($D:$N,$C:$C = $C2590,$A:$A &lt; $A2590,$B:$B = 12)),0) + sum($D2590:$N2590)"),0.0)</f>
        <v>0</v>
      </c>
      <c r="Q2590" s="92">
        <f t="shared" si="1"/>
        <v>0</v>
      </c>
      <c r="R2590" s="91">
        <f t="array" ref="R2590">IFERROR(INDEX('Fund YTD Target Values'!$1:$1000, MATCH($C2590,'Fund YTD Target Values'!$A:$A,0), MATCH($A2590,'Fund YTD Target Values'!$1:$1,0)),0)</f>
        <v>0</v>
      </c>
      <c r="S2590" s="91">
        <f>IFERROR(__xludf.DUMMYFUNCTION("IFERROR(sum(FILTER('Fund Investment Data'!$V:$V, 'Fund Investment Data'!$C:$C = $C2590, 'Fund Investment Data'!$A:$A &lt; $A2590)),0) + IFERROR(sum(FILTER('Fund Investment Data'!$V:$V, 'Fund Investment Data'!$C:$C = $C2590, 'Fund Investment Data'!$A:$A = $A2"&amp;"590, 'Fund Investment Data'!$B:$B &lt;= $B2590)),0)"),0.0)</f>
        <v>0</v>
      </c>
      <c r="T2590" s="32"/>
      <c r="U2590" s="32"/>
      <c r="V2590" s="32">
        <f>IFERROR(__xludf.DUMMYFUNCTION("$D2590 - IFERROR(FILTER($D:$D,$C:$C = $C2590, $A:$A = $A2590, $B:$B = $B2590 - 1),0)"),0.0)</f>
        <v>0</v>
      </c>
      <c r="W2590" s="93">
        <f>IFERROR(__xludf.DUMMYFUNCTION("$E2590 - IFERROR(FILTER($E:$E,$C:$C = $C2590, $A:$A = $A2590, $B:$B = $B2590 - 1),0)"),0.0)</f>
        <v>0</v>
      </c>
      <c r="X2590" s="91">
        <f>IFERROR(__xludf.DUMMYFUNCTION("iFERROR((FILTER('Fund Investment Data'!$Z:$Z, 'Fund Investment Data'!$C:$C = $C2590, 'Fund Investment Data'!$A:$A = $A2590 - 1, 'Fund Investment Data'!$B:$B = 12) + FILTER('Fund Investment Data'!$AB:$AB, 'Fund Investment Data'!$C:$C = $C2590, 'Fund Invest"&amp;"ment Data'!$A:$A = $A2590 - 1, 'Fund Investment Data'!$B:$B = 12)) * (1 + AVERAGE(FILTER('Inflation Data'!$C:$C,'Inflation Data'!$A:$A = ($A2590 - 2)))) * Parameters!$A$4,0)"),0.0)</f>
        <v>0</v>
      </c>
      <c r="Y2590" s="91">
        <f>IFERROR(__xludf.DUMMYFUNCTION("IFERROR((IFERROR(FILTER('Fund Investment Data'!$P:$P,'Fund Investment Data'!$C:$C = $C2590,'Fund Investment Data'!$A:$A = ($A2590 - 2), 'Fund Investment Data'!$B:$B = 12),0) - SUM(FILTER('Fund Investment Data'!$V:$V, 'Fund Investment Data'!$C:$C = $C2590,"&amp;" 'Fund Investment Data'!$A:$A = ($A2590 - 2), 'Fund Investment Data'!$B:$B &gt; 3)))  * Parameters!$B$4 * (1 - Parameters!$A$4),0)"),0.0)</f>
        <v>0</v>
      </c>
      <c r="Z2590" s="91">
        <f t="shared" si="24"/>
        <v>0</v>
      </c>
      <c r="AA2590" s="91">
        <f>IFERROR(__xludf.DUMMYFUNCTION("((IFERROR((SUM(FILTER('Fund Investment Data'!$V:$V, 'Fund Investment Data'!$C:$C = $C2590, 'Fund Investment Data'!$A:$A = $A2590 - 1, 'Fund Investment Data'!$B:$B &gt;= 4, 'Fund Investment Data'!$B:$B &lt;= ($B2590 + 5))) / 12) * ($B2590 - 3) * Parameters!$B$4,"&amp;" 0) + IF($B2590 &gt;= 9, IFERROR(SUM(FILTER('Fund Investment Data'!$V:$V, 'Fund Investment Data'!$C:$C = $C2590, 'Fund Investment Data'!$A:$A = $A2590, 'Fund Investment Data'!$B:$B &lt;= 3)) * Parameters!$B$4, 0),0)))"),0.0)</f>
        <v>0</v>
      </c>
      <c r="AB2590" s="32">
        <f>IFERROR(__xludf.DUMMYFUNCTION("IFERROR(((IFERROR(SUM(FILTER('Fund Investment Data'!$V:$V, 'Fund Investment Data'!$C:$C = $C2590, 'Fund Investment Data'!$A:$A = $A2590 - 2, 'Fund Investment Data'!$B:$B &gt;= 4)) * Parameters!$B$4,0) + IFERROR(SUM(FILTER('Fund Investment Data'!$V:$V, 'Fund "&amp;"Investment Data'!$C:$C = $C2590, 'Fund Investment Data'!$A:$A = $A2590 - 1, 'Fund Investment Data'!$B:$B &lt;= 3)) * Parameters!$B$4,0))),0)"),0.0)</f>
        <v>0</v>
      </c>
      <c r="AC2590" s="32">
        <f>IFERROR(__xludf.DUMMYFUNCTION("IFERROR(FILTER($AF:$AF,$C:$C = $C2590,$A:$A = $A2590 - 1,$B:$B = 12),0)"),0.0)</f>
        <v>0</v>
      </c>
      <c r="AD2590" s="32">
        <f t="shared" si="23"/>
        <v>0</v>
      </c>
      <c r="AE2590" s="32">
        <f t="shared" si="2"/>
        <v>0</v>
      </c>
      <c r="AF2590" s="32"/>
    </row>
    <row r="2591">
      <c r="A2591" s="86"/>
      <c r="B2591" s="87"/>
      <c r="C2591" s="88"/>
      <c r="D2591" s="104"/>
      <c r="E2591" s="104"/>
      <c r="F2591" s="104"/>
      <c r="G2591" s="104"/>
      <c r="H2591" s="104"/>
      <c r="I2591" s="104"/>
      <c r="J2591" s="104"/>
      <c r="K2591" s="32"/>
      <c r="L2591" s="32"/>
      <c r="M2591" s="32"/>
      <c r="N2591" s="32"/>
      <c r="O2591" s="106"/>
      <c r="P2591" s="91">
        <f>IFERROR(__xludf.DUMMYFUNCTION("IFERROR(sum(FILTER($D:$N,$C:$C = $C2591,$A:$A &lt; $A2591,$B:$B = 12)),0) + sum($D2591:$N2591)"),0.0)</f>
        <v>0</v>
      </c>
      <c r="Q2591" s="92">
        <f t="shared" si="1"/>
        <v>0</v>
      </c>
      <c r="R2591" s="91">
        <f t="array" ref="R2591">IFERROR(INDEX('Fund YTD Target Values'!$1:$1000, MATCH($C2591,'Fund YTD Target Values'!$A:$A,0), MATCH($A2591,'Fund YTD Target Values'!$1:$1,0)),0)</f>
        <v>0</v>
      </c>
      <c r="S2591" s="91">
        <f>IFERROR(__xludf.DUMMYFUNCTION("IFERROR(sum(FILTER('Fund Investment Data'!$V:$V, 'Fund Investment Data'!$C:$C = $C2591, 'Fund Investment Data'!$A:$A &lt; $A2591)),0) + IFERROR(sum(FILTER('Fund Investment Data'!$V:$V, 'Fund Investment Data'!$C:$C = $C2591, 'Fund Investment Data'!$A:$A = $A2"&amp;"591, 'Fund Investment Data'!$B:$B &lt;= $B2591)),0)"),0.0)</f>
        <v>0</v>
      </c>
      <c r="T2591" s="32"/>
      <c r="U2591" s="32"/>
      <c r="V2591" s="32">
        <f>IFERROR(__xludf.DUMMYFUNCTION("$D2591 - IFERROR(FILTER($D:$D,$C:$C = $C2591, $A:$A = $A2591, $B:$B = $B2591 - 1),0)"),0.0)</f>
        <v>0</v>
      </c>
      <c r="W2591" s="93">
        <f>IFERROR(__xludf.DUMMYFUNCTION("$E2591 - IFERROR(FILTER($E:$E,$C:$C = $C2591, $A:$A = $A2591, $B:$B = $B2591 - 1),0)"),0.0)</f>
        <v>0</v>
      </c>
      <c r="X2591" s="91">
        <f>IFERROR(__xludf.DUMMYFUNCTION("iFERROR((FILTER('Fund Investment Data'!$Z:$Z, 'Fund Investment Data'!$C:$C = $C2591, 'Fund Investment Data'!$A:$A = $A2591 - 1, 'Fund Investment Data'!$B:$B = 12) + FILTER('Fund Investment Data'!$AB:$AB, 'Fund Investment Data'!$C:$C = $C2591, 'Fund Invest"&amp;"ment Data'!$A:$A = $A2591 - 1, 'Fund Investment Data'!$B:$B = 12)) * (1 + AVERAGE(FILTER('Inflation Data'!$C:$C,'Inflation Data'!$A:$A = ($A2591 - 2)))) * Parameters!$A$4,0)"),0.0)</f>
        <v>0</v>
      </c>
      <c r="Y2591" s="91">
        <f>IFERROR(__xludf.DUMMYFUNCTION("IFERROR((IFERROR(FILTER('Fund Investment Data'!$P:$P,'Fund Investment Data'!$C:$C = $C2591,'Fund Investment Data'!$A:$A = ($A2591 - 2), 'Fund Investment Data'!$B:$B = 12),0) - SUM(FILTER('Fund Investment Data'!$V:$V, 'Fund Investment Data'!$C:$C = $C2591,"&amp;" 'Fund Investment Data'!$A:$A = ($A2591 - 2), 'Fund Investment Data'!$B:$B &gt; 3)))  * Parameters!$B$4 * (1 - Parameters!$A$4),0)"),0.0)</f>
        <v>0</v>
      </c>
      <c r="Z2591" s="91">
        <f t="shared" si="24"/>
        <v>0</v>
      </c>
      <c r="AA2591" s="91">
        <f>IFERROR(__xludf.DUMMYFUNCTION("((IFERROR((SUM(FILTER('Fund Investment Data'!$V:$V, 'Fund Investment Data'!$C:$C = $C2591, 'Fund Investment Data'!$A:$A = $A2591 - 1, 'Fund Investment Data'!$B:$B &gt;= 4, 'Fund Investment Data'!$B:$B &lt;= ($B2591 + 5))) / 12) * ($B2591 - 3) * Parameters!$B$4,"&amp;" 0) + IF($B2591 &gt;= 9, IFERROR(SUM(FILTER('Fund Investment Data'!$V:$V, 'Fund Investment Data'!$C:$C = $C2591, 'Fund Investment Data'!$A:$A = $A2591, 'Fund Investment Data'!$B:$B &lt;= 3)) * Parameters!$B$4, 0),0)))"),0.0)</f>
        <v>0</v>
      </c>
      <c r="AB2591" s="32">
        <f>IFERROR(__xludf.DUMMYFUNCTION("IFERROR(((IFERROR(SUM(FILTER('Fund Investment Data'!$V:$V, 'Fund Investment Data'!$C:$C = $C2591, 'Fund Investment Data'!$A:$A = $A2591 - 2, 'Fund Investment Data'!$B:$B &gt;= 4)) * Parameters!$B$4,0) + IFERROR(SUM(FILTER('Fund Investment Data'!$V:$V, 'Fund "&amp;"Investment Data'!$C:$C = $C2591, 'Fund Investment Data'!$A:$A = $A2591 - 1, 'Fund Investment Data'!$B:$B &lt;= 3)) * Parameters!$B$4,0))),0)"),0.0)</f>
        <v>0</v>
      </c>
      <c r="AC2591" s="32">
        <f>IFERROR(__xludf.DUMMYFUNCTION("IFERROR(FILTER($AF:$AF,$C:$C = $C2591,$A:$A = $A2591 - 1,$B:$B = 12),0)"),0.0)</f>
        <v>0</v>
      </c>
      <c r="AD2591" s="32">
        <f t="shared" si="23"/>
        <v>0</v>
      </c>
      <c r="AE2591" s="32">
        <f t="shared" si="2"/>
        <v>0</v>
      </c>
      <c r="AF2591" s="32"/>
    </row>
    <row r="2592">
      <c r="A2592" s="86"/>
      <c r="B2592" s="87"/>
      <c r="C2592" s="88"/>
      <c r="D2592" s="104"/>
      <c r="E2592" s="104"/>
      <c r="F2592" s="104"/>
      <c r="G2592" s="104"/>
      <c r="H2592" s="104"/>
      <c r="I2592" s="104"/>
      <c r="J2592" s="104"/>
      <c r="K2592" s="32"/>
      <c r="L2592" s="32"/>
      <c r="M2592" s="32"/>
      <c r="N2592" s="32"/>
      <c r="O2592" s="106"/>
      <c r="P2592" s="91">
        <f>IFERROR(__xludf.DUMMYFUNCTION("IFERROR(sum(FILTER($D:$N,$C:$C = $C2592,$A:$A &lt; $A2592,$B:$B = 12)),0) + sum($D2592:$N2592)"),0.0)</f>
        <v>0</v>
      </c>
      <c r="Q2592" s="92">
        <f t="shared" si="1"/>
        <v>0</v>
      </c>
      <c r="R2592" s="91">
        <f t="array" ref="R2592">IFERROR(INDEX('Fund YTD Target Values'!$1:$1000, MATCH($C2592,'Fund YTD Target Values'!$A:$A,0), MATCH($A2592,'Fund YTD Target Values'!$1:$1,0)),0)</f>
        <v>0</v>
      </c>
      <c r="S2592" s="91">
        <f>IFERROR(__xludf.DUMMYFUNCTION("IFERROR(sum(FILTER('Fund Investment Data'!$V:$V, 'Fund Investment Data'!$C:$C = $C2592, 'Fund Investment Data'!$A:$A &lt; $A2592)),0) + IFERROR(sum(FILTER('Fund Investment Data'!$V:$V, 'Fund Investment Data'!$C:$C = $C2592, 'Fund Investment Data'!$A:$A = $A2"&amp;"592, 'Fund Investment Data'!$B:$B &lt;= $B2592)),0)"),0.0)</f>
        <v>0</v>
      </c>
      <c r="T2592" s="32"/>
      <c r="U2592" s="32"/>
      <c r="V2592" s="32">
        <f>IFERROR(__xludf.DUMMYFUNCTION("$D2592 - IFERROR(FILTER($D:$D,$C:$C = $C2592, $A:$A = $A2592, $B:$B = $B2592 - 1),0)"),0.0)</f>
        <v>0</v>
      </c>
      <c r="W2592" s="93">
        <f>IFERROR(__xludf.DUMMYFUNCTION("$E2592 - IFERROR(FILTER($E:$E,$C:$C = $C2592, $A:$A = $A2592, $B:$B = $B2592 - 1),0)"),0.0)</f>
        <v>0</v>
      </c>
      <c r="X2592" s="91">
        <f>IFERROR(__xludf.DUMMYFUNCTION("iFERROR((FILTER('Fund Investment Data'!$Z:$Z, 'Fund Investment Data'!$C:$C = $C2592, 'Fund Investment Data'!$A:$A = $A2592 - 1, 'Fund Investment Data'!$B:$B = 12) + FILTER('Fund Investment Data'!$AB:$AB, 'Fund Investment Data'!$C:$C = $C2592, 'Fund Invest"&amp;"ment Data'!$A:$A = $A2592 - 1, 'Fund Investment Data'!$B:$B = 12)) * (1 + AVERAGE(FILTER('Inflation Data'!$C:$C,'Inflation Data'!$A:$A = ($A2592 - 2)))) * Parameters!$A$4,0)"),0.0)</f>
        <v>0</v>
      </c>
      <c r="Y2592" s="91">
        <f>IFERROR(__xludf.DUMMYFUNCTION("IFERROR((IFERROR(FILTER('Fund Investment Data'!$P:$P,'Fund Investment Data'!$C:$C = $C2592,'Fund Investment Data'!$A:$A = ($A2592 - 2), 'Fund Investment Data'!$B:$B = 12),0) - SUM(FILTER('Fund Investment Data'!$V:$V, 'Fund Investment Data'!$C:$C = $C2592,"&amp;" 'Fund Investment Data'!$A:$A = ($A2592 - 2), 'Fund Investment Data'!$B:$B &gt; 3)))  * Parameters!$B$4 * (1 - Parameters!$A$4),0)"),0.0)</f>
        <v>0</v>
      </c>
      <c r="Z2592" s="91">
        <f t="shared" si="24"/>
        <v>0</v>
      </c>
      <c r="AA2592" s="91">
        <f>IFERROR(__xludf.DUMMYFUNCTION("((IFERROR((SUM(FILTER('Fund Investment Data'!$V:$V, 'Fund Investment Data'!$C:$C = $C2592, 'Fund Investment Data'!$A:$A = $A2592 - 1, 'Fund Investment Data'!$B:$B &gt;= 4, 'Fund Investment Data'!$B:$B &lt;= ($B2592 + 5))) / 12) * ($B2592 - 3) * Parameters!$B$4,"&amp;" 0) + IF($B2592 &gt;= 9, IFERROR(SUM(FILTER('Fund Investment Data'!$V:$V, 'Fund Investment Data'!$C:$C = $C2592, 'Fund Investment Data'!$A:$A = $A2592, 'Fund Investment Data'!$B:$B &lt;= 3)) * Parameters!$B$4, 0),0)))"),0.0)</f>
        <v>0</v>
      </c>
      <c r="AB2592" s="32">
        <f>IFERROR(__xludf.DUMMYFUNCTION("IFERROR(((IFERROR(SUM(FILTER('Fund Investment Data'!$V:$V, 'Fund Investment Data'!$C:$C = $C2592, 'Fund Investment Data'!$A:$A = $A2592 - 2, 'Fund Investment Data'!$B:$B &gt;= 4)) * Parameters!$B$4,0) + IFERROR(SUM(FILTER('Fund Investment Data'!$V:$V, 'Fund "&amp;"Investment Data'!$C:$C = $C2592, 'Fund Investment Data'!$A:$A = $A2592 - 1, 'Fund Investment Data'!$B:$B &lt;= 3)) * Parameters!$B$4,0))),0)"),0.0)</f>
        <v>0</v>
      </c>
      <c r="AC2592" s="32">
        <f>IFERROR(__xludf.DUMMYFUNCTION("IFERROR(FILTER($AF:$AF,$C:$C = $C2592,$A:$A = $A2592 - 1,$B:$B = 12),0)"),0.0)</f>
        <v>0</v>
      </c>
      <c r="AD2592" s="32">
        <f t="shared" si="23"/>
        <v>0</v>
      </c>
      <c r="AE2592" s="32">
        <f t="shared" si="2"/>
        <v>0</v>
      </c>
      <c r="AF2592" s="32"/>
    </row>
    <row r="2593">
      <c r="A2593" s="86"/>
      <c r="B2593" s="87"/>
      <c r="C2593" s="88"/>
      <c r="D2593" s="104"/>
      <c r="E2593" s="104"/>
      <c r="F2593" s="104"/>
      <c r="G2593" s="104"/>
      <c r="H2593" s="104"/>
      <c r="I2593" s="104"/>
      <c r="J2593" s="104"/>
      <c r="K2593" s="32"/>
      <c r="L2593" s="32"/>
      <c r="M2593" s="32"/>
      <c r="N2593" s="32"/>
      <c r="O2593" s="106"/>
      <c r="P2593" s="91">
        <f>IFERROR(__xludf.DUMMYFUNCTION("IFERROR(sum(FILTER($D:$N,$C:$C = $C2593,$A:$A &lt; $A2593,$B:$B = 12)),0) + sum($D2593:$N2593)"),0.0)</f>
        <v>0</v>
      </c>
      <c r="Q2593" s="92">
        <f t="shared" si="1"/>
        <v>0</v>
      </c>
      <c r="R2593" s="91">
        <f t="array" ref="R2593">IFERROR(INDEX('Fund YTD Target Values'!$1:$1000, MATCH($C2593,'Fund YTD Target Values'!$A:$A,0), MATCH($A2593,'Fund YTD Target Values'!$1:$1,0)),0)</f>
        <v>0</v>
      </c>
      <c r="S2593" s="91">
        <f>IFERROR(__xludf.DUMMYFUNCTION("IFERROR(sum(FILTER('Fund Investment Data'!$V:$V, 'Fund Investment Data'!$C:$C = $C2593, 'Fund Investment Data'!$A:$A &lt; $A2593)),0) + IFERROR(sum(FILTER('Fund Investment Data'!$V:$V, 'Fund Investment Data'!$C:$C = $C2593, 'Fund Investment Data'!$A:$A = $A2"&amp;"593, 'Fund Investment Data'!$B:$B &lt;= $B2593)),0)"),0.0)</f>
        <v>0</v>
      </c>
      <c r="T2593" s="32"/>
      <c r="U2593" s="32"/>
      <c r="V2593" s="32">
        <f>IFERROR(__xludf.DUMMYFUNCTION("$D2593 - IFERROR(FILTER($D:$D,$C:$C = $C2593, $A:$A = $A2593, $B:$B = $B2593 - 1),0)"),0.0)</f>
        <v>0</v>
      </c>
      <c r="W2593" s="93">
        <f>IFERROR(__xludf.DUMMYFUNCTION("$E2593 - IFERROR(FILTER($E:$E,$C:$C = $C2593, $A:$A = $A2593, $B:$B = $B2593 - 1),0)"),0.0)</f>
        <v>0</v>
      </c>
      <c r="X2593" s="91">
        <f>IFERROR(__xludf.DUMMYFUNCTION("iFERROR((FILTER('Fund Investment Data'!$Z:$Z, 'Fund Investment Data'!$C:$C = $C2593, 'Fund Investment Data'!$A:$A = $A2593 - 1, 'Fund Investment Data'!$B:$B = 12) + FILTER('Fund Investment Data'!$AB:$AB, 'Fund Investment Data'!$C:$C = $C2593, 'Fund Invest"&amp;"ment Data'!$A:$A = $A2593 - 1, 'Fund Investment Data'!$B:$B = 12)) * (1 + AVERAGE(FILTER('Inflation Data'!$C:$C,'Inflation Data'!$A:$A = ($A2593 - 2)))) * Parameters!$A$4,0)"),0.0)</f>
        <v>0</v>
      </c>
      <c r="Y2593" s="91">
        <f>IFERROR(__xludf.DUMMYFUNCTION("IFERROR((IFERROR(FILTER('Fund Investment Data'!$P:$P,'Fund Investment Data'!$C:$C = $C2593,'Fund Investment Data'!$A:$A = ($A2593 - 2), 'Fund Investment Data'!$B:$B = 12),0) - SUM(FILTER('Fund Investment Data'!$V:$V, 'Fund Investment Data'!$C:$C = $C2593,"&amp;" 'Fund Investment Data'!$A:$A = ($A2593 - 2), 'Fund Investment Data'!$B:$B &gt; 3)))  * Parameters!$B$4 * (1 - Parameters!$A$4),0)"),0.0)</f>
        <v>0</v>
      </c>
      <c r="Z2593" s="91">
        <f t="shared" si="24"/>
        <v>0</v>
      </c>
      <c r="AA2593" s="91">
        <f>IFERROR(__xludf.DUMMYFUNCTION("((IFERROR((SUM(FILTER('Fund Investment Data'!$V:$V, 'Fund Investment Data'!$C:$C = $C2593, 'Fund Investment Data'!$A:$A = $A2593 - 1, 'Fund Investment Data'!$B:$B &gt;= 4, 'Fund Investment Data'!$B:$B &lt;= ($B2593 + 5))) / 12) * ($B2593 - 3) * Parameters!$B$4,"&amp;" 0) + IF($B2593 &gt;= 9, IFERROR(SUM(FILTER('Fund Investment Data'!$V:$V, 'Fund Investment Data'!$C:$C = $C2593, 'Fund Investment Data'!$A:$A = $A2593, 'Fund Investment Data'!$B:$B &lt;= 3)) * Parameters!$B$4, 0),0)))"),0.0)</f>
        <v>0</v>
      </c>
      <c r="AB2593" s="32">
        <f>IFERROR(__xludf.DUMMYFUNCTION("IFERROR(((IFERROR(SUM(FILTER('Fund Investment Data'!$V:$V, 'Fund Investment Data'!$C:$C = $C2593, 'Fund Investment Data'!$A:$A = $A2593 - 2, 'Fund Investment Data'!$B:$B &gt;= 4)) * Parameters!$B$4,0) + IFERROR(SUM(FILTER('Fund Investment Data'!$V:$V, 'Fund "&amp;"Investment Data'!$C:$C = $C2593, 'Fund Investment Data'!$A:$A = $A2593 - 1, 'Fund Investment Data'!$B:$B &lt;= 3)) * Parameters!$B$4,0))),0)"),0.0)</f>
        <v>0</v>
      </c>
      <c r="AC2593" s="32">
        <f>IFERROR(__xludf.DUMMYFUNCTION("IFERROR(FILTER($AF:$AF,$C:$C = $C2593,$A:$A = $A2593 - 1,$B:$B = 12),0)"),0.0)</f>
        <v>0</v>
      </c>
      <c r="AD2593" s="32">
        <f t="shared" si="23"/>
        <v>0</v>
      </c>
      <c r="AE2593" s="32">
        <f t="shared" si="2"/>
        <v>0</v>
      </c>
      <c r="AF2593" s="32"/>
    </row>
    <row r="2594">
      <c r="A2594" s="86"/>
      <c r="B2594" s="87"/>
      <c r="C2594" s="88"/>
      <c r="D2594" s="104"/>
      <c r="E2594" s="104"/>
      <c r="F2594" s="104"/>
      <c r="G2594" s="104"/>
      <c r="H2594" s="104"/>
      <c r="I2594" s="104"/>
      <c r="J2594" s="104"/>
      <c r="K2594" s="32"/>
      <c r="L2594" s="32"/>
      <c r="M2594" s="32"/>
      <c r="N2594" s="32"/>
      <c r="O2594" s="106"/>
      <c r="P2594" s="91">
        <f>IFERROR(__xludf.DUMMYFUNCTION("IFERROR(sum(FILTER($D:$N,$C:$C = $C2594,$A:$A &lt; $A2594,$B:$B = 12)),0) + sum($D2594:$N2594)"),0.0)</f>
        <v>0</v>
      </c>
      <c r="Q2594" s="92">
        <f t="shared" si="1"/>
        <v>0</v>
      </c>
      <c r="R2594" s="91">
        <f t="array" ref="R2594">IFERROR(INDEX('Fund YTD Target Values'!$1:$1000, MATCH($C2594,'Fund YTD Target Values'!$A:$A,0), MATCH($A2594,'Fund YTD Target Values'!$1:$1,0)),0)</f>
        <v>0</v>
      </c>
      <c r="S2594" s="91">
        <f>IFERROR(__xludf.DUMMYFUNCTION("IFERROR(sum(FILTER('Fund Investment Data'!$V:$V, 'Fund Investment Data'!$C:$C = $C2594, 'Fund Investment Data'!$A:$A &lt; $A2594)),0) + IFERROR(sum(FILTER('Fund Investment Data'!$V:$V, 'Fund Investment Data'!$C:$C = $C2594, 'Fund Investment Data'!$A:$A = $A2"&amp;"594, 'Fund Investment Data'!$B:$B &lt;= $B2594)),0)"),0.0)</f>
        <v>0</v>
      </c>
      <c r="T2594" s="32"/>
      <c r="U2594" s="32"/>
      <c r="V2594" s="32">
        <f>IFERROR(__xludf.DUMMYFUNCTION("$D2594 - IFERROR(FILTER($D:$D,$C:$C = $C2594, $A:$A = $A2594, $B:$B = $B2594 - 1),0)"),0.0)</f>
        <v>0</v>
      </c>
      <c r="W2594" s="93">
        <f>IFERROR(__xludf.DUMMYFUNCTION("$E2594 - IFERROR(FILTER($E:$E,$C:$C = $C2594, $A:$A = $A2594, $B:$B = $B2594 - 1),0)"),0.0)</f>
        <v>0</v>
      </c>
      <c r="X2594" s="91">
        <f>IFERROR(__xludf.DUMMYFUNCTION("iFERROR((FILTER('Fund Investment Data'!$Z:$Z, 'Fund Investment Data'!$C:$C = $C2594, 'Fund Investment Data'!$A:$A = $A2594 - 1, 'Fund Investment Data'!$B:$B = 12) + FILTER('Fund Investment Data'!$AB:$AB, 'Fund Investment Data'!$C:$C = $C2594, 'Fund Invest"&amp;"ment Data'!$A:$A = $A2594 - 1, 'Fund Investment Data'!$B:$B = 12)) * (1 + AVERAGE(FILTER('Inflation Data'!$C:$C,'Inflation Data'!$A:$A = ($A2594 - 2)))) * Parameters!$A$4,0)"),0.0)</f>
        <v>0</v>
      </c>
      <c r="Y2594" s="91">
        <f>IFERROR(__xludf.DUMMYFUNCTION("IFERROR((IFERROR(FILTER('Fund Investment Data'!$P:$P,'Fund Investment Data'!$C:$C = $C2594,'Fund Investment Data'!$A:$A = ($A2594 - 2), 'Fund Investment Data'!$B:$B = 12),0) - SUM(FILTER('Fund Investment Data'!$V:$V, 'Fund Investment Data'!$C:$C = $C2594,"&amp;" 'Fund Investment Data'!$A:$A = ($A2594 - 2), 'Fund Investment Data'!$B:$B &gt; 3)))  * Parameters!$B$4 * (1 - Parameters!$A$4),0)"),0.0)</f>
        <v>0</v>
      </c>
      <c r="Z2594" s="91">
        <f t="shared" si="24"/>
        <v>0</v>
      </c>
      <c r="AA2594" s="91">
        <f>IFERROR(__xludf.DUMMYFUNCTION("((IFERROR((SUM(FILTER('Fund Investment Data'!$V:$V, 'Fund Investment Data'!$C:$C = $C2594, 'Fund Investment Data'!$A:$A = $A2594 - 1, 'Fund Investment Data'!$B:$B &gt;= 4, 'Fund Investment Data'!$B:$B &lt;= ($B2594 + 5))) / 12) * ($B2594 - 3) * Parameters!$B$4,"&amp;" 0) + IF($B2594 &gt;= 9, IFERROR(SUM(FILTER('Fund Investment Data'!$V:$V, 'Fund Investment Data'!$C:$C = $C2594, 'Fund Investment Data'!$A:$A = $A2594, 'Fund Investment Data'!$B:$B &lt;= 3)) * Parameters!$B$4, 0),0)))"),0.0)</f>
        <v>0</v>
      </c>
      <c r="AB2594" s="32">
        <f>IFERROR(__xludf.DUMMYFUNCTION("IFERROR(((IFERROR(SUM(FILTER('Fund Investment Data'!$V:$V, 'Fund Investment Data'!$C:$C = $C2594, 'Fund Investment Data'!$A:$A = $A2594 - 2, 'Fund Investment Data'!$B:$B &gt;= 4)) * Parameters!$B$4,0) + IFERROR(SUM(FILTER('Fund Investment Data'!$V:$V, 'Fund "&amp;"Investment Data'!$C:$C = $C2594, 'Fund Investment Data'!$A:$A = $A2594 - 1, 'Fund Investment Data'!$B:$B &lt;= 3)) * Parameters!$B$4,0))),0)"),0.0)</f>
        <v>0</v>
      </c>
      <c r="AC2594" s="32">
        <f>IFERROR(__xludf.DUMMYFUNCTION("IFERROR(FILTER($AF:$AF,$C:$C = $C2594,$A:$A = $A2594 - 1,$B:$B = 12),0)"),0.0)</f>
        <v>0</v>
      </c>
      <c r="AD2594" s="32">
        <f t="shared" si="23"/>
        <v>0</v>
      </c>
      <c r="AE2594" s="32">
        <f t="shared" si="2"/>
        <v>0</v>
      </c>
      <c r="AF2594" s="32"/>
    </row>
    <row r="2595">
      <c r="A2595" s="86"/>
      <c r="B2595" s="87"/>
      <c r="C2595" s="88"/>
      <c r="D2595" s="104"/>
      <c r="E2595" s="104"/>
      <c r="F2595" s="104"/>
      <c r="G2595" s="104"/>
      <c r="H2595" s="104"/>
      <c r="I2595" s="104"/>
      <c r="J2595" s="104"/>
      <c r="K2595" s="32"/>
      <c r="L2595" s="32"/>
      <c r="M2595" s="32"/>
      <c r="N2595" s="32"/>
      <c r="O2595" s="106"/>
      <c r="P2595" s="91">
        <f>IFERROR(__xludf.DUMMYFUNCTION("IFERROR(sum(FILTER($D:$N,$C:$C = $C2595,$A:$A &lt; $A2595,$B:$B = 12)),0) + sum($D2595:$N2595)"),0.0)</f>
        <v>0</v>
      </c>
      <c r="Q2595" s="92">
        <f t="shared" si="1"/>
        <v>0</v>
      </c>
      <c r="R2595" s="91">
        <f t="array" ref="R2595">IFERROR(INDEX('Fund YTD Target Values'!$1:$1000, MATCH($C2595,'Fund YTD Target Values'!$A:$A,0), MATCH($A2595,'Fund YTD Target Values'!$1:$1,0)),0)</f>
        <v>0</v>
      </c>
      <c r="S2595" s="91">
        <f>IFERROR(__xludf.DUMMYFUNCTION("IFERROR(sum(FILTER('Fund Investment Data'!$V:$V, 'Fund Investment Data'!$C:$C = $C2595, 'Fund Investment Data'!$A:$A &lt; $A2595)),0) + IFERROR(sum(FILTER('Fund Investment Data'!$V:$V, 'Fund Investment Data'!$C:$C = $C2595, 'Fund Investment Data'!$A:$A = $A2"&amp;"595, 'Fund Investment Data'!$B:$B &lt;= $B2595)),0)"),0.0)</f>
        <v>0</v>
      </c>
      <c r="T2595" s="32"/>
      <c r="U2595" s="32"/>
      <c r="V2595" s="32">
        <f>IFERROR(__xludf.DUMMYFUNCTION("$D2595 - IFERROR(FILTER($D:$D,$C:$C = $C2595, $A:$A = $A2595, $B:$B = $B2595 - 1),0)"),0.0)</f>
        <v>0</v>
      </c>
      <c r="W2595" s="93">
        <f>IFERROR(__xludf.DUMMYFUNCTION("$E2595 - IFERROR(FILTER($E:$E,$C:$C = $C2595, $A:$A = $A2595, $B:$B = $B2595 - 1),0)"),0.0)</f>
        <v>0</v>
      </c>
      <c r="X2595" s="91">
        <f>IFERROR(__xludf.DUMMYFUNCTION("iFERROR((FILTER('Fund Investment Data'!$Z:$Z, 'Fund Investment Data'!$C:$C = $C2595, 'Fund Investment Data'!$A:$A = $A2595 - 1, 'Fund Investment Data'!$B:$B = 12) + FILTER('Fund Investment Data'!$AB:$AB, 'Fund Investment Data'!$C:$C = $C2595, 'Fund Invest"&amp;"ment Data'!$A:$A = $A2595 - 1, 'Fund Investment Data'!$B:$B = 12)) * (1 + AVERAGE(FILTER('Inflation Data'!$C:$C,'Inflation Data'!$A:$A = ($A2595 - 2)))) * Parameters!$A$4,0)"),0.0)</f>
        <v>0</v>
      </c>
      <c r="Y2595" s="91">
        <f>IFERROR(__xludf.DUMMYFUNCTION("IFERROR((IFERROR(FILTER('Fund Investment Data'!$P:$P,'Fund Investment Data'!$C:$C = $C2595,'Fund Investment Data'!$A:$A = ($A2595 - 2), 'Fund Investment Data'!$B:$B = 12),0) - SUM(FILTER('Fund Investment Data'!$V:$V, 'Fund Investment Data'!$C:$C = $C2595,"&amp;" 'Fund Investment Data'!$A:$A = ($A2595 - 2), 'Fund Investment Data'!$B:$B &gt; 3)))  * Parameters!$B$4 * (1 - Parameters!$A$4),0)"),0.0)</f>
        <v>0</v>
      </c>
      <c r="Z2595" s="91">
        <f t="shared" si="24"/>
        <v>0</v>
      </c>
      <c r="AA2595" s="91">
        <f>IFERROR(__xludf.DUMMYFUNCTION("((IFERROR((SUM(FILTER('Fund Investment Data'!$V:$V, 'Fund Investment Data'!$C:$C = $C2595, 'Fund Investment Data'!$A:$A = $A2595 - 1, 'Fund Investment Data'!$B:$B &gt;= 4, 'Fund Investment Data'!$B:$B &lt;= ($B2595 + 5))) / 12) * ($B2595 - 3) * Parameters!$B$4,"&amp;" 0) + IF($B2595 &gt;= 9, IFERROR(SUM(FILTER('Fund Investment Data'!$V:$V, 'Fund Investment Data'!$C:$C = $C2595, 'Fund Investment Data'!$A:$A = $A2595, 'Fund Investment Data'!$B:$B &lt;= 3)) * Parameters!$B$4, 0),0)))"),0.0)</f>
        <v>0</v>
      </c>
      <c r="AB2595" s="32">
        <f>IFERROR(__xludf.DUMMYFUNCTION("IFERROR(((IFERROR(SUM(FILTER('Fund Investment Data'!$V:$V, 'Fund Investment Data'!$C:$C = $C2595, 'Fund Investment Data'!$A:$A = $A2595 - 2, 'Fund Investment Data'!$B:$B &gt;= 4)) * Parameters!$B$4,0) + IFERROR(SUM(FILTER('Fund Investment Data'!$V:$V, 'Fund "&amp;"Investment Data'!$C:$C = $C2595, 'Fund Investment Data'!$A:$A = $A2595 - 1, 'Fund Investment Data'!$B:$B &lt;= 3)) * Parameters!$B$4,0))),0)"),0.0)</f>
        <v>0</v>
      </c>
      <c r="AC2595" s="32">
        <f>IFERROR(__xludf.DUMMYFUNCTION("IFERROR(FILTER($AF:$AF,$C:$C = $C2595,$A:$A = $A2595 - 1,$B:$B = 12),0)"),0.0)</f>
        <v>0</v>
      </c>
      <c r="AD2595" s="32">
        <f t="shared" si="23"/>
        <v>0</v>
      </c>
      <c r="AE2595" s="32">
        <f t="shared" si="2"/>
        <v>0</v>
      </c>
      <c r="AF2595" s="32"/>
    </row>
    <row r="2596">
      <c r="A2596" s="86"/>
      <c r="B2596" s="87"/>
      <c r="C2596" s="88"/>
      <c r="D2596" s="104"/>
      <c r="E2596" s="104"/>
      <c r="F2596" s="104"/>
      <c r="G2596" s="104"/>
      <c r="H2596" s="104"/>
      <c r="I2596" s="104"/>
      <c r="J2596" s="104"/>
      <c r="K2596" s="32"/>
      <c r="L2596" s="32"/>
      <c r="M2596" s="32"/>
      <c r="N2596" s="32"/>
      <c r="O2596" s="106"/>
      <c r="P2596" s="91">
        <f>IFERROR(__xludf.DUMMYFUNCTION("IFERROR(sum(FILTER($D:$N,$C:$C = $C2596,$A:$A &lt; $A2596,$B:$B = 12)),0) + sum($D2596:$N2596)"),0.0)</f>
        <v>0</v>
      </c>
      <c r="Q2596" s="92">
        <f t="shared" si="1"/>
        <v>0</v>
      </c>
      <c r="R2596" s="91">
        <f t="array" ref="R2596">IFERROR(INDEX('Fund YTD Target Values'!$1:$1000, MATCH($C2596,'Fund YTD Target Values'!$A:$A,0), MATCH($A2596,'Fund YTD Target Values'!$1:$1,0)),0)</f>
        <v>0</v>
      </c>
      <c r="S2596" s="91">
        <f>IFERROR(__xludf.DUMMYFUNCTION("IFERROR(sum(FILTER('Fund Investment Data'!$V:$V, 'Fund Investment Data'!$C:$C = $C2596, 'Fund Investment Data'!$A:$A &lt; $A2596)),0) + IFERROR(sum(FILTER('Fund Investment Data'!$V:$V, 'Fund Investment Data'!$C:$C = $C2596, 'Fund Investment Data'!$A:$A = $A2"&amp;"596, 'Fund Investment Data'!$B:$B &lt;= $B2596)),0)"),0.0)</f>
        <v>0</v>
      </c>
      <c r="T2596" s="32"/>
      <c r="U2596" s="32"/>
      <c r="V2596" s="32">
        <f>IFERROR(__xludf.DUMMYFUNCTION("$D2596 - IFERROR(FILTER($D:$D,$C:$C = $C2596, $A:$A = $A2596, $B:$B = $B2596 - 1),0)"),0.0)</f>
        <v>0</v>
      </c>
      <c r="W2596" s="93">
        <f>IFERROR(__xludf.DUMMYFUNCTION("$E2596 - IFERROR(FILTER($E:$E,$C:$C = $C2596, $A:$A = $A2596, $B:$B = $B2596 - 1),0)"),0.0)</f>
        <v>0</v>
      </c>
      <c r="X2596" s="91">
        <f>IFERROR(__xludf.DUMMYFUNCTION("iFERROR((FILTER('Fund Investment Data'!$Z:$Z, 'Fund Investment Data'!$C:$C = $C2596, 'Fund Investment Data'!$A:$A = $A2596 - 1, 'Fund Investment Data'!$B:$B = 12) + FILTER('Fund Investment Data'!$AB:$AB, 'Fund Investment Data'!$C:$C = $C2596, 'Fund Invest"&amp;"ment Data'!$A:$A = $A2596 - 1, 'Fund Investment Data'!$B:$B = 12)) * (1 + AVERAGE(FILTER('Inflation Data'!$C:$C,'Inflation Data'!$A:$A = ($A2596 - 2)))) * Parameters!$A$4,0)"),0.0)</f>
        <v>0</v>
      </c>
      <c r="Y2596" s="91">
        <f>IFERROR(__xludf.DUMMYFUNCTION("IFERROR((IFERROR(FILTER('Fund Investment Data'!$P:$P,'Fund Investment Data'!$C:$C = $C2596,'Fund Investment Data'!$A:$A = ($A2596 - 2), 'Fund Investment Data'!$B:$B = 12),0) - SUM(FILTER('Fund Investment Data'!$V:$V, 'Fund Investment Data'!$C:$C = $C2596,"&amp;" 'Fund Investment Data'!$A:$A = ($A2596 - 2), 'Fund Investment Data'!$B:$B &gt; 3)))  * Parameters!$B$4 * (1 - Parameters!$A$4),0)"),0.0)</f>
        <v>0</v>
      </c>
      <c r="Z2596" s="91">
        <f t="shared" si="24"/>
        <v>0</v>
      </c>
      <c r="AA2596" s="91">
        <f>IFERROR(__xludf.DUMMYFUNCTION("((IFERROR((SUM(FILTER('Fund Investment Data'!$V:$V, 'Fund Investment Data'!$C:$C = $C2596, 'Fund Investment Data'!$A:$A = $A2596 - 1, 'Fund Investment Data'!$B:$B &gt;= 4, 'Fund Investment Data'!$B:$B &lt;= ($B2596 + 5))) / 12) * ($B2596 - 3) * Parameters!$B$4,"&amp;" 0) + IF($B2596 &gt;= 9, IFERROR(SUM(FILTER('Fund Investment Data'!$V:$V, 'Fund Investment Data'!$C:$C = $C2596, 'Fund Investment Data'!$A:$A = $A2596, 'Fund Investment Data'!$B:$B &lt;= 3)) * Parameters!$B$4, 0),0)))"),0.0)</f>
        <v>0</v>
      </c>
      <c r="AB2596" s="32">
        <f>IFERROR(__xludf.DUMMYFUNCTION("IFERROR(((IFERROR(SUM(FILTER('Fund Investment Data'!$V:$V, 'Fund Investment Data'!$C:$C = $C2596, 'Fund Investment Data'!$A:$A = $A2596 - 2, 'Fund Investment Data'!$B:$B &gt;= 4)) * Parameters!$B$4,0) + IFERROR(SUM(FILTER('Fund Investment Data'!$V:$V, 'Fund "&amp;"Investment Data'!$C:$C = $C2596, 'Fund Investment Data'!$A:$A = $A2596 - 1, 'Fund Investment Data'!$B:$B &lt;= 3)) * Parameters!$B$4,0))),0)"),0.0)</f>
        <v>0</v>
      </c>
      <c r="AC2596" s="32">
        <f>IFERROR(__xludf.DUMMYFUNCTION("IFERROR(FILTER($AF:$AF,$C:$C = $C2596,$A:$A = $A2596 - 1,$B:$B = 12),0)"),0.0)</f>
        <v>0</v>
      </c>
      <c r="AD2596" s="32">
        <f t="shared" si="23"/>
        <v>0</v>
      </c>
      <c r="AE2596" s="32">
        <f t="shared" si="2"/>
        <v>0</v>
      </c>
      <c r="AF2596" s="32"/>
    </row>
    <row r="2597">
      <c r="A2597" s="86"/>
      <c r="B2597" s="87"/>
      <c r="C2597" s="88"/>
      <c r="D2597" s="104"/>
      <c r="E2597" s="104"/>
      <c r="F2597" s="104"/>
      <c r="G2597" s="104"/>
      <c r="H2597" s="104"/>
      <c r="I2597" s="104"/>
      <c r="J2597" s="104"/>
      <c r="K2597" s="32"/>
      <c r="L2597" s="32"/>
      <c r="M2597" s="32"/>
      <c r="N2597" s="32"/>
      <c r="O2597" s="106"/>
      <c r="P2597" s="91">
        <f>IFERROR(__xludf.DUMMYFUNCTION("IFERROR(sum(FILTER($D:$N,$C:$C = $C2597,$A:$A &lt; $A2597,$B:$B = 12)),0) + sum($D2597:$N2597)"),0.0)</f>
        <v>0</v>
      </c>
      <c r="Q2597" s="92">
        <f t="shared" si="1"/>
        <v>0</v>
      </c>
      <c r="R2597" s="91">
        <f t="array" ref="R2597">IFERROR(INDEX('Fund YTD Target Values'!$1:$1000, MATCH($C2597,'Fund YTD Target Values'!$A:$A,0), MATCH($A2597,'Fund YTD Target Values'!$1:$1,0)),0)</f>
        <v>0</v>
      </c>
      <c r="S2597" s="91">
        <f>IFERROR(__xludf.DUMMYFUNCTION("IFERROR(sum(FILTER('Fund Investment Data'!$V:$V, 'Fund Investment Data'!$C:$C = $C2597, 'Fund Investment Data'!$A:$A &lt; $A2597)),0) + IFERROR(sum(FILTER('Fund Investment Data'!$V:$V, 'Fund Investment Data'!$C:$C = $C2597, 'Fund Investment Data'!$A:$A = $A2"&amp;"597, 'Fund Investment Data'!$B:$B &lt;= $B2597)),0)"),0.0)</f>
        <v>0</v>
      </c>
      <c r="T2597" s="32"/>
      <c r="U2597" s="32"/>
      <c r="V2597" s="32">
        <f>IFERROR(__xludf.DUMMYFUNCTION("$D2597 - IFERROR(FILTER($D:$D,$C:$C = $C2597, $A:$A = $A2597, $B:$B = $B2597 - 1),0)"),0.0)</f>
        <v>0</v>
      </c>
      <c r="W2597" s="93">
        <f>IFERROR(__xludf.DUMMYFUNCTION("$E2597 - IFERROR(FILTER($E:$E,$C:$C = $C2597, $A:$A = $A2597, $B:$B = $B2597 - 1),0)"),0.0)</f>
        <v>0</v>
      </c>
      <c r="X2597" s="91">
        <f>IFERROR(__xludf.DUMMYFUNCTION("iFERROR((FILTER('Fund Investment Data'!$Z:$Z, 'Fund Investment Data'!$C:$C = $C2597, 'Fund Investment Data'!$A:$A = $A2597 - 1, 'Fund Investment Data'!$B:$B = 12) + FILTER('Fund Investment Data'!$AB:$AB, 'Fund Investment Data'!$C:$C = $C2597, 'Fund Invest"&amp;"ment Data'!$A:$A = $A2597 - 1, 'Fund Investment Data'!$B:$B = 12)) * (1 + AVERAGE(FILTER('Inflation Data'!$C:$C,'Inflation Data'!$A:$A = ($A2597 - 2)))) * Parameters!$A$4,0)"),0.0)</f>
        <v>0</v>
      </c>
      <c r="Y2597" s="91">
        <f>IFERROR(__xludf.DUMMYFUNCTION("IFERROR((IFERROR(FILTER('Fund Investment Data'!$P:$P,'Fund Investment Data'!$C:$C = $C2597,'Fund Investment Data'!$A:$A = ($A2597 - 2), 'Fund Investment Data'!$B:$B = 12),0) - SUM(FILTER('Fund Investment Data'!$V:$V, 'Fund Investment Data'!$C:$C = $C2597,"&amp;" 'Fund Investment Data'!$A:$A = ($A2597 - 2), 'Fund Investment Data'!$B:$B &gt; 3)))  * Parameters!$B$4 * (1 - Parameters!$A$4),0)"),0.0)</f>
        <v>0</v>
      </c>
      <c r="Z2597" s="91">
        <f t="shared" si="24"/>
        <v>0</v>
      </c>
      <c r="AA2597" s="91">
        <f>IFERROR(__xludf.DUMMYFUNCTION("((IFERROR((SUM(FILTER('Fund Investment Data'!$V:$V, 'Fund Investment Data'!$C:$C = $C2597, 'Fund Investment Data'!$A:$A = $A2597 - 1, 'Fund Investment Data'!$B:$B &gt;= 4, 'Fund Investment Data'!$B:$B &lt;= ($B2597 + 5))) / 12) * ($B2597 - 3) * Parameters!$B$4,"&amp;" 0) + IF($B2597 &gt;= 9, IFERROR(SUM(FILTER('Fund Investment Data'!$V:$V, 'Fund Investment Data'!$C:$C = $C2597, 'Fund Investment Data'!$A:$A = $A2597, 'Fund Investment Data'!$B:$B &lt;= 3)) * Parameters!$B$4, 0),0)))"),0.0)</f>
        <v>0</v>
      </c>
      <c r="AB2597" s="32">
        <f>IFERROR(__xludf.DUMMYFUNCTION("IFERROR(((IFERROR(SUM(FILTER('Fund Investment Data'!$V:$V, 'Fund Investment Data'!$C:$C = $C2597, 'Fund Investment Data'!$A:$A = $A2597 - 2, 'Fund Investment Data'!$B:$B &gt;= 4)) * Parameters!$B$4,0) + IFERROR(SUM(FILTER('Fund Investment Data'!$V:$V, 'Fund "&amp;"Investment Data'!$C:$C = $C2597, 'Fund Investment Data'!$A:$A = $A2597 - 1, 'Fund Investment Data'!$B:$B &lt;= 3)) * Parameters!$B$4,0))),0)"),0.0)</f>
        <v>0</v>
      </c>
      <c r="AC2597" s="32">
        <f>IFERROR(__xludf.DUMMYFUNCTION("IFERROR(FILTER($AF:$AF,$C:$C = $C2597,$A:$A = $A2597 - 1,$B:$B = 12),0)"),0.0)</f>
        <v>0</v>
      </c>
      <c r="AD2597" s="32">
        <f t="shared" si="23"/>
        <v>0</v>
      </c>
      <c r="AE2597" s="32">
        <f t="shared" si="2"/>
        <v>0</v>
      </c>
      <c r="AF2597" s="32"/>
    </row>
    <row r="2598">
      <c r="A2598" s="86"/>
      <c r="B2598" s="87"/>
      <c r="C2598" s="88"/>
      <c r="D2598" s="104"/>
      <c r="E2598" s="104"/>
      <c r="F2598" s="104"/>
      <c r="G2598" s="104"/>
      <c r="H2598" s="104"/>
      <c r="I2598" s="104"/>
      <c r="J2598" s="104"/>
      <c r="K2598" s="32"/>
      <c r="L2598" s="32"/>
      <c r="M2598" s="32"/>
      <c r="N2598" s="32"/>
      <c r="O2598" s="106"/>
      <c r="P2598" s="91">
        <f>IFERROR(__xludf.DUMMYFUNCTION("IFERROR(sum(FILTER($D:$N,$C:$C = $C2598,$A:$A &lt; $A2598,$B:$B = 12)),0) + sum($D2598:$N2598)"),0.0)</f>
        <v>0</v>
      </c>
      <c r="Q2598" s="92">
        <f t="shared" si="1"/>
        <v>0</v>
      </c>
      <c r="R2598" s="91">
        <f t="array" ref="R2598">IFERROR(INDEX('Fund YTD Target Values'!$1:$1000, MATCH($C2598,'Fund YTD Target Values'!$A:$A,0), MATCH($A2598,'Fund YTD Target Values'!$1:$1,0)),0)</f>
        <v>0</v>
      </c>
      <c r="S2598" s="91">
        <f>IFERROR(__xludf.DUMMYFUNCTION("IFERROR(sum(FILTER('Fund Investment Data'!$V:$V, 'Fund Investment Data'!$C:$C = $C2598, 'Fund Investment Data'!$A:$A &lt; $A2598)),0) + IFERROR(sum(FILTER('Fund Investment Data'!$V:$V, 'Fund Investment Data'!$C:$C = $C2598, 'Fund Investment Data'!$A:$A = $A2"&amp;"598, 'Fund Investment Data'!$B:$B &lt;= $B2598)),0)"),0.0)</f>
        <v>0</v>
      </c>
      <c r="T2598" s="32"/>
      <c r="U2598" s="32"/>
      <c r="V2598" s="32">
        <f>IFERROR(__xludf.DUMMYFUNCTION("$D2598 - IFERROR(FILTER($D:$D,$C:$C = $C2598, $A:$A = $A2598, $B:$B = $B2598 - 1),0)"),0.0)</f>
        <v>0</v>
      </c>
      <c r="W2598" s="93">
        <f>IFERROR(__xludf.DUMMYFUNCTION("$E2598 - IFERROR(FILTER($E:$E,$C:$C = $C2598, $A:$A = $A2598, $B:$B = $B2598 - 1),0)"),0.0)</f>
        <v>0</v>
      </c>
      <c r="X2598" s="91">
        <f>IFERROR(__xludf.DUMMYFUNCTION("iFERROR((FILTER('Fund Investment Data'!$Z:$Z, 'Fund Investment Data'!$C:$C = $C2598, 'Fund Investment Data'!$A:$A = $A2598 - 1, 'Fund Investment Data'!$B:$B = 12) + FILTER('Fund Investment Data'!$AB:$AB, 'Fund Investment Data'!$C:$C = $C2598, 'Fund Invest"&amp;"ment Data'!$A:$A = $A2598 - 1, 'Fund Investment Data'!$B:$B = 12)) * (1 + AVERAGE(FILTER('Inflation Data'!$C:$C,'Inflation Data'!$A:$A = ($A2598 - 2)))) * Parameters!$A$4,0)"),0.0)</f>
        <v>0</v>
      </c>
      <c r="Y2598" s="91">
        <f>IFERROR(__xludf.DUMMYFUNCTION("IFERROR((IFERROR(FILTER('Fund Investment Data'!$P:$P,'Fund Investment Data'!$C:$C = $C2598,'Fund Investment Data'!$A:$A = ($A2598 - 2), 'Fund Investment Data'!$B:$B = 12),0) - SUM(FILTER('Fund Investment Data'!$V:$V, 'Fund Investment Data'!$C:$C = $C2598,"&amp;" 'Fund Investment Data'!$A:$A = ($A2598 - 2), 'Fund Investment Data'!$B:$B &gt; 3)))  * Parameters!$B$4 * (1 - Parameters!$A$4),0)"),0.0)</f>
        <v>0</v>
      </c>
      <c r="Z2598" s="91">
        <f t="shared" si="24"/>
        <v>0</v>
      </c>
      <c r="AA2598" s="91">
        <f>IFERROR(__xludf.DUMMYFUNCTION("((IFERROR((SUM(FILTER('Fund Investment Data'!$V:$V, 'Fund Investment Data'!$C:$C = $C2598, 'Fund Investment Data'!$A:$A = $A2598 - 1, 'Fund Investment Data'!$B:$B &gt;= 4, 'Fund Investment Data'!$B:$B &lt;= ($B2598 + 5))) / 12) * ($B2598 - 3) * Parameters!$B$4,"&amp;" 0) + IF($B2598 &gt;= 9, IFERROR(SUM(FILTER('Fund Investment Data'!$V:$V, 'Fund Investment Data'!$C:$C = $C2598, 'Fund Investment Data'!$A:$A = $A2598, 'Fund Investment Data'!$B:$B &lt;= 3)) * Parameters!$B$4, 0),0)))"),0.0)</f>
        <v>0</v>
      </c>
      <c r="AB2598" s="32">
        <f>IFERROR(__xludf.DUMMYFUNCTION("IFERROR(((IFERROR(SUM(FILTER('Fund Investment Data'!$V:$V, 'Fund Investment Data'!$C:$C = $C2598, 'Fund Investment Data'!$A:$A = $A2598 - 2, 'Fund Investment Data'!$B:$B &gt;= 4)) * Parameters!$B$4,0) + IFERROR(SUM(FILTER('Fund Investment Data'!$V:$V, 'Fund "&amp;"Investment Data'!$C:$C = $C2598, 'Fund Investment Data'!$A:$A = $A2598 - 1, 'Fund Investment Data'!$B:$B &lt;= 3)) * Parameters!$B$4,0))),0)"),0.0)</f>
        <v>0</v>
      </c>
      <c r="AC2598" s="32">
        <f>IFERROR(__xludf.DUMMYFUNCTION("IFERROR(FILTER($AF:$AF,$C:$C = $C2598,$A:$A = $A2598 - 1,$B:$B = 12),0)"),0.0)</f>
        <v>0</v>
      </c>
      <c r="AD2598" s="32">
        <f t="shared" si="23"/>
        <v>0</v>
      </c>
      <c r="AE2598" s="32">
        <f t="shared" si="2"/>
        <v>0</v>
      </c>
      <c r="AF2598" s="32"/>
    </row>
    <row r="2599">
      <c r="A2599" s="86"/>
      <c r="B2599" s="87"/>
      <c r="C2599" s="88"/>
      <c r="D2599" s="104"/>
      <c r="E2599" s="104"/>
      <c r="F2599" s="104"/>
      <c r="G2599" s="104"/>
      <c r="H2599" s="104"/>
      <c r="I2599" s="104"/>
      <c r="J2599" s="104"/>
      <c r="K2599" s="32"/>
      <c r="L2599" s="32"/>
      <c r="M2599" s="32"/>
      <c r="N2599" s="32"/>
      <c r="O2599" s="106"/>
      <c r="P2599" s="91">
        <f>IFERROR(__xludf.DUMMYFUNCTION("IFERROR(sum(FILTER($D:$N,$C:$C = $C2599,$A:$A &lt; $A2599,$B:$B = 12)),0) + sum($D2599:$N2599)"),0.0)</f>
        <v>0</v>
      </c>
      <c r="Q2599" s="92">
        <f t="shared" si="1"/>
        <v>0</v>
      </c>
      <c r="R2599" s="91">
        <f t="array" ref="R2599">IFERROR(INDEX('Fund YTD Target Values'!$1:$1000, MATCH($C2599,'Fund YTD Target Values'!$A:$A,0), MATCH($A2599,'Fund YTD Target Values'!$1:$1,0)),0)</f>
        <v>0</v>
      </c>
      <c r="S2599" s="91">
        <f>IFERROR(__xludf.DUMMYFUNCTION("IFERROR(sum(FILTER('Fund Investment Data'!$V:$V, 'Fund Investment Data'!$C:$C = $C2599, 'Fund Investment Data'!$A:$A &lt; $A2599)),0) + IFERROR(sum(FILTER('Fund Investment Data'!$V:$V, 'Fund Investment Data'!$C:$C = $C2599, 'Fund Investment Data'!$A:$A = $A2"&amp;"599, 'Fund Investment Data'!$B:$B &lt;= $B2599)),0)"),0.0)</f>
        <v>0</v>
      </c>
      <c r="T2599" s="32"/>
      <c r="U2599" s="32"/>
      <c r="V2599" s="32">
        <f>IFERROR(__xludf.DUMMYFUNCTION("$D2599 - IFERROR(FILTER($D:$D,$C:$C = $C2599, $A:$A = $A2599, $B:$B = $B2599 - 1),0)"),0.0)</f>
        <v>0</v>
      </c>
      <c r="W2599" s="93">
        <f>IFERROR(__xludf.DUMMYFUNCTION("$E2599 - IFERROR(FILTER($E:$E,$C:$C = $C2599, $A:$A = $A2599, $B:$B = $B2599 - 1),0)"),0.0)</f>
        <v>0</v>
      </c>
      <c r="X2599" s="91">
        <f>IFERROR(__xludf.DUMMYFUNCTION("iFERROR((FILTER('Fund Investment Data'!$Z:$Z, 'Fund Investment Data'!$C:$C = $C2599, 'Fund Investment Data'!$A:$A = $A2599 - 1, 'Fund Investment Data'!$B:$B = 12) + FILTER('Fund Investment Data'!$AB:$AB, 'Fund Investment Data'!$C:$C = $C2599, 'Fund Invest"&amp;"ment Data'!$A:$A = $A2599 - 1, 'Fund Investment Data'!$B:$B = 12)) * (1 + AVERAGE(FILTER('Inflation Data'!$C:$C,'Inflation Data'!$A:$A = ($A2599 - 2)))) * Parameters!$A$4,0)"),0.0)</f>
        <v>0</v>
      </c>
      <c r="Y2599" s="91">
        <f>IFERROR(__xludf.DUMMYFUNCTION("IFERROR((IFERROR(FILTER('Fund Investment Data'!$P:$P,'Fund Investment Data'!$C:$C = $C2599,'Fund Investment Data'!$A:$A = ($A2599 - 2), 'Fund Investment Data'!$B:$B = 12),0) - SUM(FILTER('Fund Investment Data'!$V:$V, 'Fund Investment Data'!$C:$C = $C2599,"&amp;" 'Fund Investment Data'!$A:$A = ($A2599 - 2), 'Fund Investment Data'!$B:$B &gt; 3)))  * Parameters!$B$4 * (1 - Parameters!$A$4),0)"),0.0)</f>
        <v>0</v>
      </c>
      <c r="Z2599" s="91">
        <f t="shared" si="24"/>
        <v>0</v>
      </c>
      <c r="AA2599" s="91">
        <f>IFERROR(__xludf.DUMMYFUNCTION("((IFERROR((SUM(FILTER('Fund Investment Data'!$V:$V, 'Fund Investment Data'!$C:$C = $C2599, 'Fund Investment Data'!$A:$A = $A2599 - 1, 'Fund Investment Data'!$B:$B &gt;= 4, 'Fund Investment Data'!$B:$B &lt;= ($B2599 + 5))) / 12) * ($B2599 - 3) * Parameters!$B$4,"&amp;" 0) + IF($B2599 &gt;= 9, IFERROR(SUM(FILTER('Fund Investment Data'!$V:$V, 'Fund Investment Data'!$C:$C = $C2599, 'Fund Investment Data'!$A:$A = $A2599, 'Fund Investment Data'!$B:$B &lt;= 3)) * Parameters!$B$4, 0),0)))"),0.0)</f>
        <v>0</v>
      </c>
      <c r="AB2599" s="32">
        <f>IFERROR(__xludf.DUMMYFUNCTION("IFERROR(((IFERROR(SUM(FILTER('Fund Investment Data'!$V:$V, 'Fund Investment Data'!$C:$C = $C2599, 'Fund Investment Data'!$A:$A = $A2599 - 2, 'Fund Investment Data'!$B:$B &gt;= 4)) * Parameters!$B$4,0) + IFERROR(SUM(FILTER('Fund Investment Data'!$V:$V, 'Fund "&amp;"Investment Data'!$C:$C = $C2599, 'Fund Investment Data'!$A:$A = $A2599 - 1, 'Fund Investment Data'!$B:$B &lt;= 3)) * Parameters!$B$4,0))),0)"),0.0)</f>
        <v>0</v>
      </c>
      <c r="AC2599" s="32">
        <f>IFERROR(__xludf.DUMMYFUNCTION("IFERROR(FILTER($AF:$AF,$C:$C = $C2599,$A:$A = $A2599 - 1,$B:$B = 12),0)"),0.0)</f>
        <v>0</v>
      </c>
      <c r="AD2599" s="32">
        <f t="shared" si="23"/>
        <v>0</v>
      </c>
      <c r="AE2599" s="32">
        <f t="shared" si="2"/>
        <v>0</v>
      </c>
      <c r="AF2599" s="32"/>
    </row>
    <row r="2600">
      <c r="A2600" s="86"/>
      <c r="B2600" s="87"/>
      <c r="C2600" s="88"/>
      <c r="D2600" s="104"/>
      <c r="E2600" s="104"/>
      <c r="F2600" s="104"/>
      <c r="G2600" s="104"/>
      <c r="H2600" s="104"/>
      <c r="I2600" s="104"/>
      <c r="J2600" s="104"/>
      <c r="K2600" s="32"/>
      <c r="L2600" s="32"/>
      <c r="M2600" s="32"/>
      <c r="N2600" s="32"/>
      <c r="O2600" s="106"/>
      <c r="P2600" s="91">
        <f>IFERROR(__xludf.DUMMYFUNCTION("IFERROR(sum(FILTER($D:$N,$C:$C = $C2600,$A:$A &lt; $A2600,$B:$B = 12)),0) + sum($D2600:$N2600)"),0.0)</f>
        <v>0</v>
      </c>
      <c r="Q2600" s="92">
        <f t="shared" si="1"/>
        <v>0</v>
      </c>
      <c r="R2600" s="91">
        <f t="array" ref="R2600">IFERROR(INDEX('Fund YTD Target Values'!$1:$1000, MATCH($C2600,'Fund YTD Target Values'!$A:$A,0), MATCH($A2600,'Fund YTD Target Values'!$1:$1,0)),0)</f>
        <v>0</v>
      </c>
      <c r="S2600" s="91">
        <f>IFERROR(__xludf.DUMMYFUNCTION("IFERROR(sum(FILTER('Fund Investment Data'!$V:$V, 'Fund Investment Data'!$C:$C = $C2600, 'Fund Investment Data'!$A:$A &lt; $A2600)),0) + IFERROR(sum(FILTER('Fund Investment Data'!$V:$V, 'Fund Investment Data'!$C:$C = $C2600, 'Fund Investment Data'!$A:$A = $A2"&amp;"600, 'Fund Investment Data'!$B:$B &lt;= $B2600)),0)"),0.0)</f>
        <v>0</v>
      </c>
      <c r="T2600" s="32"/>
      <c r="U2600" s="32"/>
      <c r="V2600" s="32">
        <f>IFERROR(__xludf.DUMMYFUNCTION("$D2600 - IFERROR(FILTER($D:$D,$C:$C = $C2600, $A:$A = $A2600, $B:$B = $B2600 - 1),0)"),0.0)</f>
        <v>0</v>
      </c>
      <c r="W2600" s="93">
        <f>IFERROR(__xludf.DUMMYFUNCTION("$E2600 - IFERROR(FILTER($E:$E,$C:$C = $C2600, $A:$A = $A2600, $B:$B = $B2600 - 1),0)"),0.0)</f>
        <v>0</v>
      </c>
      <c r="X2600" s="91">
        <f>IFERROR(__xludf.DUMMYFUNCTION("iFERROR((FILTER('Fund Investment Data'!$Z:$Z, 'Fund Investment Data'!$C:$C = $C2600, 'Fund Investment Data'!$A:$A = $A2600 - 1, 'Fund Investment Data'!$B:$B = 12) + FILTER('Fund Investment Data'!$AB:$AB, 'Fund Investment Data'!$C:$C = $C2600, 'Fund Invest"&amp;"ment Data'!$A:$A = $A2600 - 1, 'Fund Investment Data'!$B:$B = 12)) * (1 + AVERAGE(FILTER('Inflation Data'!$C:$C,'Inflation Data'!$A:$A = ($A2600 - 2)))) * Parameters!$A$4,0)"),0.0)</f>
        <v>0</v>
      </c>
      <c r="Y2600" s="91">
        <f>IFERROR(__xludf.DUMMYFUNCTION("IFERROR((IFERROR(FILTER('Fund Investment Data'!$P:$P,'Fund Investment Data'!$C:$C = $C2600,'Fund Investment Data'!$A:$A = ($A2600 - 2), 'Fund Investment Data'!$B:$B = 12),0) - SUM(FILTER('Fund Investment Data'!$V:$V, 'Fund Investment Data'!$C:$C = $C2600,"&amp;" 'Fund Investment Data'!$A:$A = ($A2600 - 2), 'Fund Investment Data'!$B:$B &gt; 3)))  * Parameters!$B$4 * (1 - Parameters!$A$4),0)"),0.0)</f>
        <v>0</v>
      </c>
      <c r="Z2600" s="91">
        <f t="shared" si="24"/>
        <v>0</v>
      </c>
      <c r="AA2600" s="91">
        <f>IFERROR(__xludf.DUMMYFUNCTION("((IFERROR((SUM(FILTER('Fund Investment Data'!$V:$V, 'Fund Investment Data'!$C:$C = $C2600, 'Fund Investment Data'!$A:$A = $A2600 - 1, 'Fund Investment Data'!$B:$B &gt;= 4, 'Fund Investment Data'!$B:$B &lt;= ($B2600 + 5))) / 12) * ($B2600 - 3) * Parameters!$B$4,"&amp;" 0) + IF($B2600 &gt;= 9, IFERROR(SUM(FILTER('Fund Investment Data'!$V:$V, 'Fund Investment Data'!$C:$C = $C2600, 'Fund Investment Data'!$A:$A = $A2600, 'Fund Investment Data'!$B:$B &lt;= 3)) * Parameters!$B$4, 0),0)))"),0.0)</f>
        <v>0</v>
      </c>
      <c r="AB2600" s="32">
        <f>IFERROR(__xludf.DUMMYFUNCTION("IFERROR(((IFERROR(SUM(FILTER('Fund Investment Data'!$V:$V, 'Fund Investment Data'!$C:$C = $C2600, 'Fund Investment Data'!$A:$A = $A2600 - 2, 'Fund Investment Data'!$B:$B &gt;= 4)) * Parameters!$B$4,0) + IFERROR(SUM(FILTER('Fund Investment Data'!$V:$V, 'Fund "&amp;"Investment Data'!$C:$C = $C2600, 'Fund Investment Data'!$A:$A = $A2600 - 1, 'Fund Investment Data'!$B:$B &lt;= 3)) * Parameters!$B$4,0))),0)"),0.0)</f>
        <v>0</v>
      </c>
      <c r="AC2600" s="32">
        <f>IFERROR(__xludf.DUMMYFUNCTION("IFERROR(FILTER($AF:$AF,$C:$C = $C2600,$A:$A = $A2600 - 1,$B:$B = 12),0)"),0.0)</f>
        <v>0</v>
      </c>
      <c r="AD2600" s="32">
        <f t="shared" si="23"/>
        <v>0</v>
      </c>
      <c r="AE2600" s="32">
        <f t="shared" si="2"/>
        <v>0</v>
      </c>
      <c r="AF2600" s="32"/>
    </row>
    <row r="2601">
      <c r="A2601" s="86"/>
      <c r="B2601" s="87"/>
      <c r="C2601" s="88"/>
      <c r="D2601" s="104"/>
      <c r="E2601" s="104"/>
      <c r="F2601" s="104"/>
      <c r="G2601" s="104"/>
      <c r="H2601" s="104"/>
      <c r="I2601" s="104"/>
      <c r="J2601" s="104"/>
      <c r="K2601" s="32"/>
      <c r="L2601" s="32"/>
      <c r="M2601" s="32"/>
      <c r="N2601" s="32"/>
      <c r="O2601" s="106"/>
      <c r="P2601" s="91">
        <f>IFERROR(__xludf.DUMMYFUNCTION("IFERROR(sum(FILTER($D:$N,$C:$C = $C2601,$A:$A &lt; $A2601,$B:$B = 12)),0) + sum($D2601:$N2601)"),0.0)</f>
        <v>0</v>
      </c>
      <c r="Q2601" s="92">
        <f t="shared" si="1"/>
        <v>0</v>
      </c>
      <c r="R2601" s="91">
        <f t="array" ref="R2601">IFERROR(INDEX('Fund YTD Target Values'!$1:$1000, MATCH($C2601,'Fund YTD Target Values'!$A:$A,0), MATCH($A2601,'Fund YTD Target Values'!$1:$1,0)),0)</f>
        <v>0</v>
      </c>
      <c r="S2601" s="91">
        <f>IFERROR(__xludf.DUMMYFUNCTION("IFERROR(sum(FILTER('Fund Investment Data'!$V:$V, 'Fund Investment Data'!$C:$C = $C2601, 'Fund Investment Data'!$A:$A &lt; $A2601)),0) + IFERROR(sum(FILTER('Fund Investment Data'!$V:$V, 'Fund Investment Data'!$C:$C = $C2601, 'Fund Investment Data'!$A:$A = $A2"&amp;"601, 'Fund Investment Data'!$B:$B &lt;= $B2601)),0)"),0.0)</f>
        <v>0</v>
      </c>
      <c r="T2601" s="32"/>
      <c r="U2601" s="32"/>
      <c r="V2601" s="32">
        <f>IFERROR(__xludf.DUMMYFUNCTION("$D2601 - IFERROR(FILTER($D:$D,$C:$C = $C2601, $A:$A = $A2601, $B:$B = $B2601 - 1),0)"),0.0)</f>
        <v>0</v>
      </c>
      <c r="W2601" s="93">
        <f>IFERROR(__xludf.DUMMYFUNCTION("$E2601 - IFERROR(FILTER($E:$E,$C:$C = $C2601, $A:$A = $A2601, $B:$B = $B2601 - 1),0)"),0.0)</f>
        <v>0</v>
      </c>
      <c r="X2601" s="91">
        <f>IFERROR(__xludf.DUMMYFUNCTION("iFERROR((FILTER('Fund Investment Data'!$Z:$Z, 'Fund Investment Data'!$C:$C = $C2601, 'Fund Investment Data'!$A:$A = $A2601 - 1, 'Fund Investment Data'!$B:$B = 12) + FILTER('Fund Investment Data'!$AB:$AB, 'Fund Investment Data'!$C:$C = $C2601, 'Fund Invest"&amp;"ment Data'!$A:$A = $A2601 - 1, 'Fund Investment Data'!$B:$B = 12)) * (1 + AVERAGE(FILTER('Inflation Data'!$C:$C,'Inflation Data'!$A:$A = ($A2601 - 2)))) * Parameters!$A$4,0)"),0.0)</f>
        <v>0</v>
      </c>
      <c r="Y2601" s="91">
        <f>IFERROR(__xludf.DUMMYFUNCTION("IFERROR((IFERROR(FILTER('Fund Investment Data'!$P:$P,'Fund Investment Data'!$C:$C = $C2601,'Fund Investment Data'!$A:$A = ($A2601 - 2), 'Fund Investment Data'!$B:$B = 12),0) - SUM(FILTER('Fund Investment Data'!$V:$V, 'Fund Investment Data'!$C:$C = $C2601,"&amp;" 'Fund Investment Data'!$A:$A = ($A2601 - 2), 'Fund Investment Data'!$B:$B &gt; 3)))  * Parameters!$B$4 * (1 - Parameters!$A$4),0)"),0.0)</f>
        <v>0</v>
      </c>
      <c r="Z2601" s="91">
        <f t="shared" si="24"/>
        <v>0</v>
      </c>
      <c r="AA2601" s="91">
        <f>IFERROR(__xludf.DUMMYFUNCTION("((IFERROR((SUM(FILTER('Fund Investment Data'!$V:$V, 'Fund Investment Data'!$C:$C = $C2601, 'Fund Investment Data'!$A:$A = $A2601 - 1, 'Fund Investment Data'!$B:$B &gt;= 4, 'Fund Investment Data'!$B:$B &lt;= ($B2601 + 5))) / 12) * ($B2601 - 3) * Parameters!$B$4,"&amp;" 0) + IF($B2601 &gt;= 9, IFERROR(SUM(FILTER('Fund Investment Data'!$V:$V, 'Fund Investment Data'!$C:$C = $C2601, 'Fund Investment Data'!$A:$A = $A2601, 'Fund Investment Data'!$B:$B &lt;= 3)) * Parameters!$B$4, 0),0)))"),0.0)</f>
        <v>0</v>
      </c>
      <c r="AB2601" s="32">
        <f>IFERROR(__xludf.DUMMYFUNCTION("IFERROR(((IFERROR(SUM(FILTER('Fund Investment Data'!$V:$V, 'Fund Investment Data'!$C:$C = $C2601, 'Fund Investment Data'!$A:$A = $A2601 - 2, 'Fund Investment Data'!$B:$B &gt;= 4)) * Parameters!$B$4,0) + IFERROR(SUM(FILTER('Fund Investment Data'!$V:$V, 'Fund "&amp;"Investment Data'!$C:$C = $C2601, 'Fund Investment Data'!$A:$A = $A2601 - 1, 'Fund Investment Data'!$B:$B &lt;= 3)) * Parameters!$B$4,0))),0)"),0.0)</f>
        <v>0</v>
      </c>
      <c r="AC2601" s="32">
        <f>IFERROR(__xludf.DUMMYFUNCTION("IFERROR(FILTER($AF:$AF,$C:$C = $C2601,$A:$A = $A2601 - 1,$B:$B = 12),0)"),0.0)</f>
        <v>0</v>
      </c>
      <c r="AD2601" s="32">
        <f t="shared" si="23"/>
        <v>0</v>
      </c>
      <c r="AE2601" s="32">
        <f t="shared" si="2"/>
        <v>0</v>
      </c>
      <c r="AF2601" s="32"/>
    </row>
    <row r="2602">
      <c r="A2602" s="86"/>
      <c r="B2602" s="87"/>
      <c r="C2602" s="88"/>
      <c r="D2602" s="104"/>
      <c r="E2602" s="104"/>
      <c r="F2602" s="104"/>
      <c r="G2602" s="104"/>
      <c r="H2602" s="104"/>
      <c r="I2602" s="104"/>
      <c r="J2602" s="104"/>
      <c r="K2602" s="32"/>
      <c r="L2602" s="32"/>
      <c r="M2602" s="32"/>
      <c r="N2602" s="32"/>
      <c r="O2602" s="106"/>
      <c r="P2602" s="91">
        <f>IFERROR(__xludf.DUMMYFUNCTION("IFERROR(sum(FILTER($D:$N,$C:$C = $C2602,$A:$A &lt; $A2602,$B:$B = 12)),0) + sum($D2602:$N2602)"),0.0)</f>
        <v>0</v>
      </c>
      <c r="Q2602" s="92">
        <f t="shared" si="1"/>
        <v>0</v>
      </c>
      <c r="R2602" s="91">
        <f t="array" ref="R2602">IFERROR(INDEX('Fund YTD Target Values'!$1:$1000, MATCH($C2602,'Fund YTD Target Values'!$A:$A,0), MATCH($A2602,'Fund YTD Target Values'!$1:$1,0)),0)</f>
        <v>0</v>
      </c>
      <c r="S2602" s="91">
        <f>IFERROR(__xludf.DUMMYFUNCTION("IFERROR(sum(FILTER('Fund Investment Data'!$V:$V, 'Fund Investment Data'!$C:$C = $C2602, 'Fund Investment Data'!$A:$A &lt; $A2602)),0) + IFERROR(sum(FILTER('Fund Investment Data'!$V:$V, 'Fund Investment Data'!$C:$C = $C2602, 'Fund Investment Data'!$A:$A = $A2"&amp;"602, 'Fund Investment Data'!$B:$B &lt;= $B2602)),0)"),0.0)</f>
        <v>0</v>
      </c>
      <c r="T2602" s="32"/>
      <c r="U2602" s="32"/>
      <c r="V2602" s="32">
        <f>IFERROR(__xludf.DUMMYFUNCTION("$D2602 - IFERROR(FILTER($D:$D,$C:$C = $C2602, $A:$A = $A2602, $B:$B = $B2602 - 1),0)"),0.0)</f>
        <v>0</v>
      </c>
      <c r="W2602" s="93">
        <f>IFERROR(__xludf.DUMMYFUNCTION("$E2602 - IFERROR(FILTER($E:$E,$C:$C = $C2602, $A:$A = $A2602, $B:$B = $B2602 - 1),0)"),0.0)</f>
        <v>0</v>
      </c>
      <c r="X2602" s="91">
        <f>IFERROR(__xludf.DUMMYFUNCTION("iFERROR((FILTER('Fund Investment Data'!$Z:$Z, 'Fund Investment Data'!$C:$C = $C2602, 'Fund Investment Data'!$A:$A = $A2602 - 1, 'Fund Investment Data'!$B:$B = 12) + FILTER('Fund Investment Data'!$AB:$AB, 'Fund Investment Data'!$C:$C = $C2602, 'Fund Invest"&amp;"ment Data'!$A:$A = $A2602 - 1, 'Fund Investment Data'!$B:$B = 12)) * (1 + AVERAGE(FILTER('Inflation Data'!$C:$C,'Inflation Data'!$A:$A = ($A2602 - 2)))) * Parameters!$A$4,0)"),0.0)</f>
        <v>0</v>
      </c>
      <c r="Y2602" s="91">
        <f>IFERROR(__xludf.DUMMYFUNCTION("IFERROR((IFERROR(FILTER('Fund Investment Data'!$P:$P,'Fund Investment Data'!$C:$C = $C2602,'Fund Investment Data'!$A:$A = ($A2602 - 2), 'Fund Investment Data'!$B:$B = 12),0) - SUM(FILTER('Fund Investment Data'!$V:$V, 'Fund Investment Data'!$C:$C = $C2602,"&amp;" 'Fund Investment Data'!$A:$A = ($A2602 - 2), 'Fund Investment Data'!$B:$B &gt; 3)))  * Parameters!$B$4 * (1 - Parameters!$A$4),0)"),0.0)</f>
        <v>0</v>
      </c>
      <c r="Z2602" s="91">
        <f t="shared" si="24"/>
        <v>0</v>
      </c>
      <c r="AA2602" s="91">
        <f>IFERROR(__xludf.DUMMYFUNCTION("((IFERROR((SUM(FILTER('Fund Investment Data'!$V:$V, 'Fund Investment Data'!$C:$C = $C2602, 'Fund Investment Data'!$A:$A = $A2602 - 1, 'Fund Investment Data'!$B:$B &gt;= 4, 'Fund Investment Data'!$B:$B &lt;= ($B2602 + 5))) / 12) * ($B2602 - 3) * Parameters!$B$4,"&amp;" 0) + IF($B2602 &gt;= 9, IFERROR(SUM(FILTER('Fund Investment Data'!$V:$V, 'Fund Investment Data'!$C:$C = $C2602, 'Fund Investment Data'!$A:$A = $A2602, 'Fund Investment Data'!$B:$B &lt;= 3)) * Parameters!$B$4, 0),0)))"),0.0)</f>
        <v>0</v>
      </c>
      <c r="AB2602" s="32">
        <f>IFERROR(__xludf.DUMMYFUNCTION("IFERROR(((IFERROR(SUM(FILTER('Fund Investment Data'!$V:$V, 'Fund Investment Data'!$C:$C = $C2602, 'Fund Investment Data'!$A:$A = $A2602 - 2, 'Fund Investment Data'!$B:$B &gt;= 4)) * Parameters!$B$4,0) + IFERROR(SUM(FILTER('Fund Investment Data'!$V:$V, 'Fund "&amp;"Investment Data'!$C:$C = $C2602, 'Fund Investment Data'!$A:$A = $A2602 - 1, 'Fund Investment Data'!$B:$B &lt;= 3)) * Parameters!$B$4,0))),0)"),0.0)</f>
        <v>0</v>
      </c>
      <c r="AC2602" s="32">
        <f>IFERROR(__xludf.DUMMYFUNCTION("IFERROR(FILTER($AF:$AF,$C:$C = $C2602,$A:$A = $A2602 - 1,$B:$B = 12),0)"),0.0)</f>
        <v>0</v>
      </c>
      <c r="AD2602" s="32">
        <f t="shared" si="23"/>
        <v>0</v>
      </c>
      <c r="AE2602" s="32">
        <f t="shared" si="2"/>
        <v>0</v>
      </c>
      <c r="AF2602" s="32"/>
    </row>
    <row r="2603">
      <c r="A2603" s="86"/>
      <c r="B2603" s="87"/>
      <c r="C2603" s="88"/>
      <c r="D2603" s="104"/>
      <c r="E2603" s="104"/>
      <c r="F2603" s="104"/>
      <c r="G2603" s="104"/>
      <c r="H2603" s="104"/>
      <c r="I2603" s="104"/>
      <c r="J2603" s="104"/>
      <c r="K2603" s="32"/>
      <c r="L2603" s="32"/>
      <c r="M2603" s="32"/>
      <c r="N2603" s="32"/>
      <c r="O2603" s="106"/>
      <c r="P2603" s="91">
        <f>IFERROR(__xludf.DUMMYFUNCTION("IFERROR(sum(FILTER($D:$N,$C:$C = $C2603,$A:$A &lt; $A2603,$B:$B = 12)),0) + sum($D2603:$N2603)"),0.0)</f>
        <v>0</v>
      </c>
      <c r="Q2603" s="92">
        <f t="shared" si="1"/>
        <v>0</v>
      </c>
      <c r="R2603" s="91">
        <f t="array" ref="R2603">IFERROR(INDEX('Fund YTD Target Values'!$1:$1000, MATCH($C2603,'Fund YTD Target Values'!$A:$A,0), MATCH($A2603,'Fund YTD Target Values'!$1:$1,0)),0)</f>
        <v>0</v>
      </c>
      <c r="S2603" s="91">
        <f>IFERROR(__xludf.DUMMYFUNCTION("IFERROR(sum(FILTER('Fund Investment Data'!$V:$V, 'Fund Investment Data'!$C:$C = $C2603, 'Fund Investment Data'!$A:$A &lt; $A2603)),0) + IFERROR(sum(FILTER('Fund Investment Data'!$V:$V, 'Fund Investment Data'!$C:$C = $C2603, 'Fund Investment Data'!$A:$A = $A2"&amp;"603, 'Fund Investment Data'!$B:$B &lt;= $B2603)),0)"),0.0)</f>
        <v>0</v>
      </c>
      <c r="T2603" s="32"/>
      <c r="U2603" s="32"/>
      <c r="V2603" s="32">
        <f>IFERROR(__xludf.DUMMYFUNCTION("$D2603 - IFERROR(FILTER($D:$D,$C:$C = $C2603, $A:$A = $A2603, $B:$B = $B2603 - 1),0)"),0.0)</f>
        <v>0</v>
      </c>
      <c r="W2603" s="93">
        <f>IFERROR(__xludf.DUMMYFUNCTION("$E2603 - IFERROR(FILTER($E:$E,$C:$C = $C2603, $A:$A = $A2603, $B:$B = $B2603 - 1),0)"),0.0)</f>
        <v>0</v>
      </c>
      <c r="X2603" s="91">
        <f>IFERROR(__xludf.DUMMYFUNCTION("iFERROR((FILTER('Fund Investment Data'!$Z:$Z, 'Fund Investment Data'!$C:$C = $C2603, 'Fund Investment Data'!$A:$A = $A2603 - 1, 'Fund Investment Data'!$B:$B = 12) + FILTER('Fund Investment Data'!$AB:$AB, 'Fund Investment Data'!$C:$C = $C2603, 'Fund Invest"&amp;"ment Data'!$A:$A = $A2603 - 1, 'Fund Investment Data'!$B:$B = 12)) * (1 + AVERAGE(FILTER('Inflation Data'!$C:$C,'Inflation Data'!$A:$A = ($A2603 - 2)))) * Parameters!$A$4,0)"),0.0)</f>
        <v>0</v>
      </c>
      <c r="Y2603" s="91">
        <f>IFERROR(__xludf.DUMMYFUNCTION("IFERROR((IFERROR(FILTER('Fund Investment Data'!$P:$P,'Fund Investment Data'!$C:$C = $C2603,'Fund Investment Data'!$A:$A = ($A2603 - 2), 'Fund Investment Data'!$B:$B = 12),0) - SUM(FILTER('Fund Investment Data'!$V:$V, 'Fund Investment Data'!$C:$C = $C2603,"&amp;" 'Fund Investment Data'!$A:$A = ($A2603 - 2), 'Fund Investment Data'!$B:$B &gt; 3)))  * Parameters!$B$4 * (1 - Parameters!$A$4),0)"),0.0)</f>
        <v>0</v>
      </c>
      <c r="Z2603" s="91">
        <f t="shared" si="24"/>
        <v>0</v>
      </c>
      <c r="AA2603" s="91">
        <f>IFERROR(__xludf.DUMMYFUNCTION("((IFERROR((SUM(FILTER('Fund Investment Data'!$V:$V, 'Fund Investment Data'!$C:$C = $C2603, 'Fund Investment Data'!$A:$A = $A2603 - 1, 'Fund Investment Data'!$B:$B &gt;= 4, 'Fund Investment Data'!$B:$B &lt;= ($B2603 + 5))) / 12) * ($B2603 - 3) * Parameters!$B$4,"&amp;" 0) + IF($B2603 &gt;= 9, IFERROR(SUM(FILTER('Fund Investment Data'!$V:$V, 'Fund Investment Data'!$C:$C = $C2603, 'Fund Investment Data'!$A:$A = $A2603, 'Fund Investment Data'!$B:$B &lt;= 3)) * Parameters!$B$4, 0),0)))"),0.0)</f>
        <v>0</v>
      </c>
      <c r="AB2603" s="32">
        <f>IFERROR(__xludf.DUMMYFUNCTION("IFERROR(((IFERROR(SUM(FILTER('Fund Investment Data'!$V:$V, 'Fund Investment Data'!$C:$C = $C2603, 'Fund Investment Data'!$A:$A = $A2603 - 2, 'Fund Investment Data'!$B:$B &gt;= 4)) * Parameters!$B$4,0) + IFERROR(SUM(FILTER('Fund Investment Data'!$V:$V, 'Fund "&amp;"Investment Data'!$C:$C = $C2603, 'Fund Investment Data'!$A:$A = $A2603 - 1, 'Fund Investment Data'!$B:$B &lt;= 3)) * Parameters!$B$4,0))),0)"),0.0)</f>
        <v>0</v>
      </c>
      <c r="AC2603" s="32">
        <f>IFERROR(__xludf.DUMMYFUNCTION("IFERROR(FILTER($AF:$AF,$C:$C = $C2603,$A:$A = $A2603 - 1,$B:$B = 12),0)"),0.0)</f>
        <v>0</v>
      </c>
      <c r="AD2603" s="32">
        <f t="shared" si="23"/>
        <v>0</v>
      </c>
      <c r="AE2603" s="32">
        <f t="shared" si="2"/>
        <v>0</v>
      </c>
      <c r="AF2603" s="32"/>
    </row>
    <row r="2604">
      <c r="A2604" s="86"/>
      <c r="B2604" s="87"/>
      <c r="C2604" s="88"/>
      <c r="D2604" s="104"/>
      <c r="E2604" s="104"/>
      <c r="F2604" s="104"/>
      <c r="G2604" s="104"/>
      <c r="H2604" s="104"/>
      <c r="I2604" s="104"/>
      <c r="J2604" s="104"/>
      <c r="K2604" s="32"/>
      <c r="L2604" s="32"/>
      <c r="M2604" s="32"/>
      <c r="N2604" s="32"/>
      <c r="O2604" s="106"/>
      <c r="P2604" s="91">
        <f>IFERROR(__xludf.DUMMYFUNCTION("IFERROR(sum(FILTER($D:$N,$C:$C = $C2604,$A:$A &lt; $A2604,$B:$B = 12)),0) + sum($D2604:$N2604)"),0.0)</f>
        <v>0</v>
      </c>
      <c r="Q2604" s="92">
        <f t="shared" si="1"/>
        <v>0</v>
      </c>
      <c r="R2604" s="91">
        <f t="array" ref="R2604">IFERROR(INDEX('Fund YTD Target Values'!$1:$1000, MATCH($C2604,'Fund YTD Target Values'!$A:$A,0), MATCH($A2604,'Fund YTD Target Values'!$1:$1,0)),0)</f>
        <v>0</v>
      </c>
      <c r="S2604" s="91">
        <f>IFERROR(__xludf.DUMMYFUNCTION("IFERROR(sum(FILTER('Fund Investment Data'!$V:$V, 'Fund Investment Data'!$C:$C = $C2604, 'Fund Investment Data'!$A:$A &lt; $A2604)),0) + IFERROR(sum(FILTER('Fund Investment Data'!$V:$V, 'Fund Investment Data'!$C:$C = $C2604, 'Fund Investment Data'!$A:$A = $A2"&amp;"604, 'Fund Investment Data'!$B:$B &lt;= $B2604)),0)"),0.0)</f>
        <v>0</v>
      </c>
      <c r="T2604" s="32"/>
      <c r="U2604" s="32"/>
      <c r="V2604" s="32">
        <f>IFERROR(__xludf.DUMMYFUNCTION("$D2604 - IFERROR(FILTER($D:$D,$C:$C = $C2604, $A:$A = $A2604, $B:$B = $B2604 - 1),0)"),0.0)</f>
        <v>0</v>
      </c>
      <c r="W2604" s="93">
        <f>IFERROR(__xludf.DUMMYFUNCTION("$E2604 - IFERROR(FILTER($E:$E,$C:$C = $C2604, $A:$A = $A2604, $B:$B = $B2604 - 1),0)"),0.0)</f>
        <v>0</v>
      </c>
      <c r="X2604" s="91">
        <f>IFERROR(__xludf.DUMMYFUNCTION("iFERROR((FILTER('Fund Investment Data'!$Z:$Z, 'Fund Investment Data'!$C:$C = $C2604, 'Fund Investment Data'!$A:$A = $A2604 - 1, 'Fund Investment Data'!$B:$B = 12) + FILTER('Fund Investment Data'!$AB:$AB, 'Fund Investment Data'!$C:$C = $C2604, 'Fund Invest"&amp;"ment Data'!$A:$A = $A2604 - 1, 'Fund Investment Data'!$B:$B = 12)) * (1 + AVERAGE(FILTER('Inflation Data'!$C:$C,'Inflation Data'!$A:$A = ($A2604 - 2)))) * Parameters!$A$4,0)"),0.0)</f>
        <v>0</v>
      </c>
      <c r="Y2604" s="91">
        <f>IFERROR(__xludf.DUMMYFUNCTION("IFERROR((IFERROR(FILTER('Fund Investment Data'!$P:$P,'Fund Investment Data'!$C:$C = $C2604,'Fund Investment Data'!$A:$A = ($A2604 - 2), 'Fund Investment Data'!$B:$B = 12),0) - SUM(FILTER('Fund Investment Data'!$V:$V, 'Fund Investment Data'!$C:$C = $C2604,"&amp;" 'Fund Investment Data'!$A:$A = ($A2604 - 2), 'Fund Investment Data'!$B:$B &gt; 3)))  * Parameters!$B$4 * (1 - Parameters!$A$4),0)"),0.0)</f>
        <v>0</v>
      </c>
      <c r="Z2604" s="91">
        <f t="shared" si="24"/>
        <v>0</v>
      </c>
      <c r="AA2604" s="91">
        <f>IFERROR(__xludf.DUMMYFUNCTION("((IFERROR((SUM(FILTER('Fund Investment Data'!$V:$V, 'Fund Investment Data'!$C:$C = $C2604, 'Fund Investment Data'!$A:$A = $A2604 - 1, 'Fund Investment Data'!$B:$B &gt;= 4, 'Fund Investment Data'!$B:$B &lt;= ($B2604 + 5))) / 12) * ($B2604 - 3) * Parameters!$B$4,"&amp;" 0) + IF($B2604 &gt;= 9, IFERROR(SUM(FILTER('Fund Investment Data'!$V:$V, 'Fund Investment Data'!$C:$C = $C2604, 'Fund Investment Data'!$A:$A = $A2604, 'Fund Investment Data'!$B:$B &lt;= 3)) * Parameters!$B$4, 0),0)))"),0.0)</f>
        <v>0</v>
      </c>
      <c r="AB2604" s="32">
        <f>IFERROR(__xludf.DUMMYFUNCTION("IFERROR(((IFERROR(SUM(FILTER('Fund Investment Data'!$V:$V, 'Fund Investment Data'!$C:$C = $C2604, 'Fund Investment Data'!$A:$A = $A2604 - 2, 'Fund Investment Data'!$B:$B &gt;= 4)) * Parameters!$B$4,0) + IFERROR(SUM(FILTER('Fund Investment Data'!$V:$V, 'Fund "&amp;"Investment Data'!$C:$C = $C2604, 'Fund Investment Data'!$A:$A = $A2604 - 1, 'Fund Investment Data'!$B:$B &lt;= 3)) * Parameters!$B$4,0))),0)"),0.0)</f>
        <v>0</v>
      </c>
      <c r="AC2604" s="32">
        <f>IFERROR(__xludf.DUMMYFUNCTION("IFERROR(FILTER($AF:$AF,$C:$C = $C2604,$A:$A = $A2604 - 1,$B:$B = 12),0)"),0.0)</f>
        <v>0</v>
      </c>
      <c r="AD2604" s="32">
        <f t="shared" si="23"/>
        <v>0</v>
      </c>
      <c r="AE2604" s="32">
        <f t="shared" si="2"/>
        <v>0</v>
      </c>
      <c r="AF2604" s="32"/>
    </row>
    <row r="2605">
      <c r="A2605" s="86"/>
      <c r="B2605" s="87"/>
      <c r="C2605" s="88"/>
      <c r="D2605" s="104"/>
      <c r="E2605" s="104"/>
      <c r="F2605" s="104"/>
      <c r="G2605" s="104"/>
      <c r="H2605" s="104"/>
      <c r="I2605" s="104"/>
      <c r="J2605" s="104"/>
      <c r="K2605" s="32"/>
      <c r="L2605" s="32"/>
      <c r="M2605" s="32"/>
      <c r="N2605" s="32"/>
      <c r="O2605" s="106"/>
      <c r="P2605" s="91">
        <f>IFERROR(__xludf.DUMMYFUNCTION("IFERROR(sum(FILTER($D:$N,$C:$C = $C2605,$A:$A &lt; $A2605,$B:$B = 12)),0) + sum($D2605:$N2605)"),0.0)</f>
        <v>0</v>
      </c>
      <c r="Q2605" s="92">
        <f t="shared" si="1"/>
        <v>0</v>
      </c>
      <c r="R2605" s="91">
        <f t="array" ref="R2605">IFERROR(INDEX('Fund YTD Target Values'!$1:$1000, MATCH($C2605,'Fund YTD Target Values'!$A:$A,0), MATCH($A2605,'Fund YTD Target Values'!$1:$1,0)),0)</f>
        <v>0</v>
      </c>
      <c r="S2605" s="91">
        <f>IFERROR(__xludf.DUMMYFUNCTION("IFERROR(sum(FILTER('Fund Investment Data'!$V:$V, 'Fund Investment Data'!$C:$C = $C2605, 'Fund Investment Data'!$A:$A &lt; $A2605)),0) + IFERROR(sum(FILTER('Fund Investment Data'!$V:$V, 'Fund Investment Data'!$C:$C = $C2605, 'Fund Investment Data'!$A:$A = $A2"&amp;"605, 'Fund Investment Data'!$B:$B &lt;= $B2605)),0)"),0.0)</f>
        <v>0</v>
      </c>
      <c r="T2605" s="32"/>
      <c r="U2605" s="32"/>
      <c r="V2605" s="32">
        <f>IFERROR(__xludf.DUMMYFUNCTION("$D2605 - IFERROR(FILTER($D:$D,$C:$C = $C2605, $A:$A = $A2605, $B:$B = $B2605 - 1),0)"),0.0)</f>
        <v>0</v>
      </c>
      <c r="W2605" s="93">
        <f>IFERROR(__xludf.DUMMYFUNCTION("$E2605 - IFERROR(FILTER($E:$E,$C:$C = $C2605, $A:$A = $A2605, $B:$B = $B2605 - 1),0)"),0.0)</f>
        <v>0</v>
      </c>
      <c r="X2605" s="91">
        <f>IFERROR(__xludf.DUMMYFUNCTION("iFERROR((FILTER('Fund Investment Data'!$Z:$Z, 'Fund Investment Data'!$C:$C = $C2605, 'Fund Investment Data'!$A:$A = $A2605 - 1, 'Fund Investment Data'!$B:$B = 12) + FILTER('Fund Investment Data'!$AB:$AB, 'Fund Investment Data'!$C:$C = $C2605, 'Fund Invest"&amp;"ment Data'!$A:$A = $A2605 - 1, 'Fund Investment Data'!$B:$B = 12)) * (1 + AVERAGE(FILTER('Inflation Data'!$C:$C,'Inflation Data'!$A:$A = ($A2605 - 2)))) * Parameters!$A$4,0)"),0.0)</f>
        <v>0</v>
      </c>
      <c r="Y2605" s="91">
        <f>IFERROR(__xludf.DUMMYFUNCTION("IFERROR((IFERROR(FILTER('Fund Investment Data'!$P:$P,'Fund Investment Data'!$C:$C = $C2605,'Fund Investment Data'!$A:$A = ($A2605 - 2), 'Fund Investment Data'!$B:$B = 12),0) - SUM(FILTER('Fund Investment Data'!$V:$V, 'Fund Investment Data'!$C:$C = $C2605,"&amp;" 'Fund Investment Data'!$A:$A = ($A2605 - 2), 'Fund Investment Data'!$B:$B &gt; 3)))  * Parameters!$B$4 * (1 - Parameters!$A$4),0)"),0.0)</f>
        <v>0</v>
      </c>
      <c r="Z2605" s="91">
        <f t="shared" si="24"/>
        <v>0</v>
      </c>
      <c r="AA2605" s="91">
        <f>IFERROR(__xludf.DUMMYFUNCTION("((IFERROR((SUM(FILTER('Fund Investment Data'!$V:$V, 'Fund Investment Data'!$C:$C = $C2605, 'Fund Investment Data'!$A:$A = $A2605 - 1, 'Fund Investment Data'!$B:$B &gt;= 4, 'Fund Investment Data'!$B:$B &lt;= ($B2605 + 5))) / 12) * ($B2605 - 3) * Parameters!$B$4,"&amp;" 0) + IF($B2605 &gt;= 9, IFERROR(SUM(FILTER('Fund Investment Data'!$V:$V, 'Fund Investment Data'!$C:$C = $C2605, 'Fund Investment Data'!$A:$A = $A2605, 'Fund Investment Data'!$B:$B &lt;= 3)) * Parameters!$B$4, 0),0)))"),0.0)</f>
        <v>0</v>
      </c>
      <c r="AB2605" s="32">
        <f>IFERROR(__xludf.DUMMYFUNCTION("IFERROR(((IFERROR(SUM(FILTER('Fund Investment Data'!$V:$V, 'Fund Investment Data'!$C:$C = $C2605, 'Fund Investment Data'!$A:$A = $A2605 - 2, 'Fund Investment Data'!$B:$B &gt;= 4)) * Parameters!$B$4,0) + IFERROR(SUM(FILTER('Fund Investment Data'!$V:$V, 'Fund "&amp;"Investment Data'!$C:$C = $C2605, 'Fund Investment Data'!$A:$A = $A2605 - 1, 'Fund Investment Data'!$B:$B &lt;= 3)) * Parameters!$B$4,0))),0)"),0.0)</f>
        <v>0</v>
      </c>
      <c r="AC2605" s="32">
        <f>IFERROR(__xludf.DUMMYFUNCTION("IFERROR(FILTER($AF:$AF,$C:$C = $C2605,$A:$A = $A2605 - 1,$B:$B = 12),0)"),0.0)</f>
        <v>0</v>
      </c>
      <c r="AD2605" s="32">
        <f t="shared" si="23"/>
        <v>0</v>
      </c>
      <c r="AE2605" s="32">
        <f t="shared" si="2"/>
        <v>0</v>
      </c>
      <c r="AF2605" s="32"/>
    </row>
    <row r="2606">
      <c r="A2606" s="86"/>
      <c r="B2606" s="87"/>
      <c r="C2606" s="88"/>
      <c r="D2606" s="104"/>
      <c r="E2606" s="104"/>
      <c r="F2606" s="104"/>
      <c r="G2606" s="104"/>
      <c r="H2606" s="104"/>
      <c r="I2606" s="104"/>
      <c r="J2606" s="104"/>
      <c r="K2606" s="32"/>
      <c r="L2606" s="32"/>
      <c r="M2606" s="32"/>
      <c r="N2606" s="32"/>
      <c r="O2606" s="106"/>
      <c r="P2606" s="91">
        <f>IFERROR(__xludf.DUMMYFUNCTION("IFERROR(sum(FILTER($D:$N,$C:$C = $C2606,$A:$A &lt; $A2606,$B:$B = 12)),0) + sum($D2606:$N2606)"),0.0)</f>
        <v>0</v>
      </c>
      <c r="Q2606" s="92">
        <f t="shared" si="1"/>
        <v>0</v>
      </c>
      <c r="R2606" s="91">
        <f t="array" ref="R2606">IFERROR(INDEX('Fund YTD Target Values'!$1:$1000, MATCH($C2606,'Fund YTD Target Values'!$A:$A,0), MATCH($A2606,'Fund YTD Target Values'!$1:$1,0)),0)</f>
        <v>0</v>
      </c>
      <c r="S2606" s="91">
        <f>IFERROR(__xludf.DUMMYFUNCTION("IFERROR(sum(FILTER('Fund Investment Data'!$V:$V, 'Fund Investment Data'!$C:$C = $C2606, 'Fund Investment Data'!$A:$A &lt; $A2606)),0) + IFERROR(sum(FILTER('Fund Investment Data'!$V:$V, 'Fund Investment Data'!$C:$C = $C2606, 'Fund Investment Data'!$A:$A = $A2"&amp;"606, 'Fund Investment Data'!$B:$B &lt;= $B2606)),0)"),0.0)</f>
        <v>0</v>
      </c>
      <c r="T2606" s="32"/>
      <c r="U2606" s="32"/>
      <c r="V2606" s="32">
        <f>IFERROR(__xludf.DUMMYFUNCTION("$D2606 - IFERROR(FILTER($D:$D,$C:$C = $C2606, $A:$A = $A2606, $B:$B = $B2606 - 1),0)"),0.0)</f>
        <v>0</v>
      </c>
      <c r="W2606" s="93">
        <f>IFERROR(__xludf.DUMMYFUNCTION("$E2606 - IFERROR(FILTER($E:$E,$C:$C = $C2606, $A:$A = $A2606, $B:$B = $B2606 - 1),0)"),0.0)</f>
        <v>0</v>
      </c>
      <c r="X2606" s="91">
        <f>IFERROR(__xludf.DUMMYFUNCTION("iFERROR((FILTER('Fund Investment Data'!$Z:$Z, 'Fund Investment Data'!$C:$C = $C2606, 'Fund Investment Data'!$A:$A = $A2606 - 1, 'Fund Investment Data'!$B:$B = 12) + FILTER('Fund Investment Data'!$AB:$AB, 'Fund Investment Data'!$C:$C = $C2606, 'Fund Invest"&amp;"ment Data'!$A:$A = $A2606 - 1, 'Fund Investment Data'!$B:$B = 12)) * (1 + AVERAGE(FILTER('Inflation Data'!$C:$C,'Inflation Data'!$A:$A = ($A2606 - 2)))) * Parameters!$A$4,0)"),0.0)</f>
        <v>0</v>
      </c>
      <c r="Y2606" s="91">
        <f>IFERROR(__xludf.DUMMYFUNCTION("IFERROR((IFERROR(FILTER('Fund Investment Data'!$P:$P,'Fund Investment Data'!$C:$C = $C2606,'Fund Investment Data'!$A:$A = ($A2606 - 2), 'Fund Investment Data'!$B:$B = 12),0) - SUM(FILTER('Fund Investment Data'!$V:$V, 'Fund Investment Data'!$C:$C = $C2606,"&amp;" 'Fund Investment Data'!$A:$A = ($A2606 - 2), 'Fund Investment Data'!$B:$B &gt; 3)))  * Parameters!$B$4 * (1 - Parameters!$A$4),0)"),0.0)</f>
        <v>0</v>
      </c>
      <c r="Z2606" s="91">
        <f t="shared" si="24"/>
        <v>0</v>
      </c>
      <c r="AA2606" s="91">
        <f>IFERROR(__xludf.DUMMYFUNCTION("((IFERROR((SUM(FILTER('Fund Investment Data'!$V:$V, 'Fund Investment Data'!$C:$C = $C2606, 'Fund Investment Data'!$A:$A = $A2606 - 1, 'Fund Investment Data'!$B:$B &gt;= 4, 'Fund Investment Data'!$B:$B &lt;= ($B2606 + 5))) / 12) * ($B2606 - 3) * Parameters!$B$4,"&amp;" 0) + IF($B2606 &gt;= 9, IFERROR(SUM(FILTER('Fund Investment Data'!$V:$V, 'Fund Investment Data'!$C:$C = $C2606, 'Fund Investment Data'!$A:$A = $A2606, 'Fund Investment Data'!$B:$B &lt;= 3)) * Parameters!$B$4, 0),0)))"),0.0)</f>
        <v>0</v>
      </c>
      <c r="AB2606" s="32">
        <f>IFERROR(__xludf.DUMMYFUNCTION("IFERROR(((IFERROR(SUM(FILTER('Fund Investment Data'!$V:$V, 'Fund Investment Data'!$C:$C = $C2606, 'Fund Investment Data'!$A:$A = $A2606 - 2, 'Fund Investment Data'!$B:$B &gt;= 4)) * Parameters!$B$4,0) + IFERROR(SUM(FILTER('Fund Investment Data'!$V:$V, 'Fund "&amp;"Investment Data'!$C:$C = $C2606, 'Fund Investment Data'!$A:$A = $A2606 - 1, 'Fund Investment Data'!$B:$B &lt;= 3)) * Parameters!$B$4,0))),0)"),0.0)</f>
        <v>0</v>
      </c>
      <c r="AC2606" s="32">
        <f>IFERROR(__xludf.DUMMYFUNCTION("IFERROR(FILTER($AF:$AF,$C:$C = $C2606,$A:$A = $A2606 - 1,$B:$B = 12),0)"),0.0)</f>
        <v>0</v>
      </c>
      <c r="AD2606" s="32">
        <f t="shared" si="23"/>
        <v>0</v>
      </c>
      <c r="AE2606" s="32">
        <f t="shared" si="2"/>
        <v>0</v>
      </c>
      <c r="AF2606" s="32"/>
    </row>
    <row r="2607">
      <c r="A2607" s="86"/>
      <c r="B2607" s="87"/>
      <c r="C2607" s="88"/>
      <c r="D2607" s="104"/>
      <c r="E2607" s="104"/>
      <c r="F2607" s="104"/>
      <c r="G2607" s="104"/>
      <c r="H2607" s="104"/>
      <c r="I2607" s="104"/>
      <c r="J2607" s="104"/>
      <c r="K2607" s="32"/>
      <c r="L2607" s="32"/>
      <c r="M2607" s="32"/>
      <c r="N2607" s="32"/>
      <c r="O2607" s="106"/>
      <c r="P2607" s="91">
        <f>IFERROR(__xludf.DUMMYFUNCTION("IFERROR(sum(FILTER($D:$N,$C:$C = $C2607,$A:$A &lt; $A2607,$B:$B = 12)),0) + sum($D2607:$N2607)"),0.0)</f>
        <v>0</v>
      </c>
      <c r="Q2607" s="92">
        <f t="shared" si="1"/>
        <v>0</v>
      </c>
      <c r="R2607" s="91">
        <f t="array" ref="R2607">IFERROR(INDEX('Fund YTD Target Values'!$1:$1000, MATCH($C2607,'Fund YTD Target Values'!$A:$A,0), MATCH($A2607,'Fund YTD Target Values'!$1:$1,0)),0)</f>
        <v>0</v>
      </c>
      <c r="S2607" s="91">
        <f>IFERROR(__xludf.DUMMYFUNCTION("IFERROR(sum(FILTER('Fund Investment Data'!$V:$V, 'Fund Investment Data'!$C:$C = $C2607, 'Fund Investment Data'!$A:$A &lt; $A2607)),0) + IFERROR(sum(FILTER('Fund Investment Data'!$V:$V, 'Fund Investment Data'!$C:$C = $C2607, 'Fund Investment Data'!$A:$A = $A2"&amp;"607, 'Fund Investment Data'!$B:$B &lt;= $B2607)),0)"),0.0)</f>
        <v>0</v>
      </c>
      <c r="T2607" s="32"/>
      <c r="U2607" s="32"/>
      <c r="V2607" s="32">
        <f>IFERROR(__xludf.DUMMYFUNCTION("$D2607 - IFERROR(FILTER($D:$D,$C:$C = $C2607, $A:$A = $A2607, $B:$B = $B2607 - 1),0)"),0.0)</f>
        <v>0</v>
      </c>
      <c r="W2607" s="93">
        <f>IFERROR(__xludf.DUMMYFUNCTION("$E2607 - IFERROR(FILTER($E:$E,$C:$C = $C2607, $A:$A = $A2607, $B:$B = $B2607 - 1),0)"),0.0)</f>
        <v>0</v>
      </c>
      <c r="X2607" s="91">
        <f>IFERROR(__xludf.DUMMYFUNCTION("iFERROR((FILTER('Fund Investment Data'!$Z:$Z, 'Fund Investment Data'!$C:$C = $C2607, 'Fund Investment Data'!$A:$A = $A2607 - 1, 'Fund Investment Data'!$B:$B = 12) + FILTER('Fund Investment Data'!$AB:$AB, 'Fund Investment Data'!$C:$C = $C2607, 'Fund Invest"&amp;"ment Data'!$A:$A = $A2607 - 1, 'Fund Investment Data'!$B:$B = 12)) * (1 + AVERAGE(FILTER('Inflation Data'!$C:$C,'Inflation Data'!$A:$A = ($A2607 - 2)))) * Parameters!$A$4,0)"),0.0)</f>
        <v>0</v>
      </c>
      <c r="Y2607" s="91">
        <f>IFERROR(__xludf.DUMMYFUNCTION("IFERROR((IFERROR(FILTER('Fund Investment Data'!$P:$P,'Fund Investment Data'!$C:$C = $C2607,'Fund Investment Data'!$A:$A = ($A2607 - 2), 'Fund Investment Data'!$B:$B = 12),0) - SUM(FILTER('Fund Investment Data'!$V:$V, 'Fund Investment Data'!$C:$C = $C2607,"&amp;" 'Fund Investment Data'!$A:$A = ($A2607 - 2), 'Fund Investment Data'!$B:$B &gt; 3)))  * Parameters!$B$4 * (1 - Parameters!$A$4),0)"),0.0)</f>
        <v>0</v>
      </c>
      <c r="Z2607" s="91">
        <f t="shared" si="24"/>
        <v>0</v>
      </c>
      <c r="AA2607" s="91">
        <f>IFERROR(__xludf.DUMMYFUNCTION("((IFERROR((SUM(FILTER('Fund Investment Data'!$V:$V, 'Fund Investment Data'!$C:$C = $C2607, 'Fund Investment Data'!$A:$A = $A2607 - 1, 'Fund Investment Data'!$B:$B &gt;= 4, 'Fund Investment Data'!$B:$B &lt;= ($B2607 + 5))) / 12) * ($B2607 - 3) * Parameters!$B$4,"&amp;" 0) + IF($B2607 &gt;= 9, IFERROR(SUM(FILTER('Fund Investment Data'!$V:$V, 'Fund Investment Data'!$C:$C = $C2607, 'Fund Investment Data'!$A:$A = $A2607, 'Fund Investment Data'!$B:$B &lt;= 3)) * Parameters!$B$4, 0),0)))"),0.0)</f>
        <v>0</v>
      </c>
      <c r="AB2607" s="32">
        <f>IFERROR(__xludf.DUMMYFUNCTION("IFERROR(((IFERROR(SUM(FILTER('Fund Investment Data'!$V:$V, 'Fund Investment Data'!$C:$C = $C2607, 'Fund Investment Data'!$A:$A = $A2607 - 2, 'Fund Investment Data'!$B:$B &gt;= 4)) * Parameters!$B$4,0) + IFERROR(SUM(FILTER('Fund Investment Data'!$V:$V, 'Fund "&amp;"Investment Data'!$C:$C = $C2607, 'Fund Investment Data'!$A:$A = $A2607 - 1, 'Fund Investment Data'!$B:$B &lt;= 3)) * Parameters!$B$4,0))),0)"),0.0)</f>
        <v>0</v>
      </c>
      <c r="AC2607" s="32">
        <f>IFERROR(__xludf.DUMMYFUNCTION("IFERROR(FILTER($AF:$AF,$C:$C = $C2607,$A:$A = $A2607 - 1,$B:$B = 12),0)"),0.0)</f>
        <v>0</v>
      </c>
      <c r="AD2607" s="32">
        <f t="shared" si="23"/>
        <v>0</v>
      </c>
      <c r="AE2607" s="32">
        <f t="shared" si="2"/>
        <v>0</v>
      </c>
      <c r="AF2607" s="32"/>
    </row>
    <row r="2608">
      <c r="A2608" s="86"/>
      <c r="B2608" s="87"/>
      <c r="C2608" s="88"/>
      <c r="D2608" s="104"/>
      <c r="E2608" s="104"/>
      <c r="F2608" s="104"/>
      <c r="G2608" s="104"/>
      <c r="H2608" s="104"/>
      <c r="I2608" s="104"/>
      <c r="J2608" s="104"/>
      <c r="K2608" s="32"/>
      <c r="L2608" s="32"/>
      <c r="M2608" s="32"/>
      <c r="N2608" s="32"/>
      <c r="O2608" s="106"/>
      <c r="P2608" s="91">
        <f>IFERROR(__xludf.DUMMYFUNCTION("IFERROR(sum(FILTER($D:$N,$C:$C = $C2608,$A:$A &lt; $A2608,$B:$B = 12)),0) + sum($D2608:$N2608)"),0.0)</f>
        <v>0</v>
      </c>
      <c r="Q2608" s="92">
        <f t="shared" si="1"/>
        <v>0</v>
      </c>
      <c r="R2608" s="91">
        <f t="array" ref="R2608">IFERROR(INDEX('Fund YTD Target Values'!$1:$1000, MATCH($C2608,'Fund YTD Target Values'!$A:$A,0), MATCH($A2608,'Fund YTD Target Values'!$1:$1,0)),0)</f>
        <v>0</v>
      </c>
      <c r="S2608" s="91">
        <f>IFERROR(__xludf.DUMMYFUNCTION("IFERROR(sum(FILTER('Fund Investment Data'!$V:$V, 'Fund Investment Data'!$C:$C = $C2608, 'Fund Investment Data'!$A:$A &lt; $A2608)),0) + IFERROR(sum(FILTER('Fund Investment Data'!$V:$V, 'Fund Investment Data'!$C:$C = $C2608, 'Fund Investment Data'!$A:$A = $A2"&amp;"608, 'Fund Investment Data'!$B:$B &lt;= $B2608)),0)"),0.0)</f>
        <v>0</v>
      </c>
      <c r="T2608" s="32"/>
      <c r="U2608" s="32"/>
      <c r="V2608" s="32">
        <f>IFERROR(__xludf.DUMMYFUNCTION("$D2608 - IFERROR(FILTER($D:$D,$C:$C = $C2608, $A:$A = $A2608, $B:$B = $B2608 - 1),0)"),0.0)</f>
        <v>0</v>
      </c>
      <c r="W2608" s="93">
        <f>IFERROR(__xludf.DUMMYFUNCTION("$E2608 - IFERROR(FILTER($E:$E,$C:$C = $C2608, $A:$A = $A2608, $B:$B = $B2608 - 1),0)"),0.0)</f>
        <v>0</v>
      </c>
      <c r="X2608" s="91">
        <f>IFERROR(__xludf.DUMMYFUNCTION("iFERROR((FILTER('Fund Investment Data'!$Z:$Z, 'Fund Investment Data'!$C:$C = $C2608, 'Fund Investment Data'!$A:$A = $A2608 - 1, 'Fund Investment Data'!$B:$B = 12) + FILTER('Fund Investment Data'!$AB:$AB, 'Fund Investment Data'!$C:$C = $C2608, 'Fund Invest"&amp;"ment Data'!$A:$A = $A2608 - 1, 'Fund Investment Data'!$B:$B = 12)) * (1 + AVERAGE(FILTER('Inflation Data'!$C:$C,'Inflation Data'!$A:$A = ($A2608 - 2)))) * Parameters!$A$4,0)"),0.0)</f>
        <v>0</v>
      </c>
      <c r="Y2608" s="91">
        <f>IFERROR(__xludf.DUMMYFUNCTION("IFERROR((IFERROR(FILTER('Fund Investment Data'!$P:$P,'Fund Investment Data'!$C:$C = $C2608,'Fund Investment Data'!$A:$A = ($A2608 - 2), 'Fund Investment Data'!$B:$B = 12),0) - SUM(FILTER('Fund Investment Data'!$V:$V, 'Fund Investment Data'!$C:$C = $C2608,"&amp;" 'Fund Investment Data'!$A:$A = ($A2608 - 2), 'Fund Investment Data'!$B:$B &gt; 3)))  * Parameters!$B$4 * (1 - Parameters!$A$4),0)"),0.0)</f>
        <v>0</v>
      </c>
      <c r="Z2608" s="91">
        <f t="shared" si="24"/>
        <v>0</v>
      </c>
      <c r="AA2608" s="91">
        <f>IFERROR(__xludf.DUMMYFUNCTION("((IFERROR((SUM(FILTER('Fund Investment Data'!$V:$V, 'Fund Investment Data'!$C:$C = $C2608, 'Fund Investment Data'!$A:$A = $A2608 - 1, 'Fund Investment Data'!$B:$B &gt;= 4, 'Fund Investment Data'!$B:$B &lt;= ($B2608 + 5))) / 12) * ($B2608 - 3) * Parameters!$B$4,"&amp;" 0) + IF($B2608 &gt;= 9, IFERROR(SUM(FILTER('Fund Investment Data'!$V:$V, 'Fund Investment Data'!$C:$C = $C2608, 'Fund Investment Data'!$A:$A = $A2608, 'Fund Investment Data'!$B:$B &lt;= 3)) * Parameters!$B$4, 0),0)))"),0.0)</f>
        <v>0</v>
      </c>
      <c r="AB2608" s="32">
        <f>IFERROR(__xludf.DUMMYFUNCTION("IFERROR(((IFERROR(SUM(FILTER('Fund Investment Data'!$V:$V, 'Fund Investment Data'!$C:$C = $C2608, 'Fund Investment Data'!$A:$A = $A2608 - 2, 'Fund Investment Data'!$B:$B &gt;= 4)) * Parameters!$B$4,0) + IFERROR(SUM(FILTER('Fund Investment Data'!$V:$V, 'Fund "&amp;"Investment Data'!$C:$C = $C2608, 'Fund Investment Data'!$A:$A = $A2608 - 1, 'Fund Investment Data'!$B:$B &lt;= 3)) * Parameters!$B$4,0))),0)"),0.0)</f>
        <v>0</v>
      </c>
      <c r="AC2608" s="32">
        <f>IFERROR(__xludf.DUMMYFUNCTION("IFERROR(FILTER($AF:$AF,$C:$C = $C2608,$A:$A = $A2608 - 1,$B:$B = 12),0)"),0.0)</f>
        <v>0</v>
      </c>
      <c r="AD2608" s="32">
        <f t="shared" si="23"/>
        <v>0</v>
      </c>
      <c r="AE2608" s="32">
        <f t="shared" si="2"/>
        <v>0</v>
      </c>
      <c r="AF2608" s="32"/>
    </row>
    <row r="2609">
      <c r="A2609" s="86"/>
      <c r="B2609" s="87"/>
      <c r="C2609" s="88"/>
      <c r="D2609" s="104"/>
      <c r="E2609" s="104"/>
      <c r="F2609" s="104"/>
      <c r="G2609" s="104"/>
      <c r="H2609" s="104"/>
      <c r="I2609" s="104"/>
      <c r="J2609" s="104"/>
      <c r="K2609" s="32"/>
      <c r="L2609" s="32"/>
      <c r="M2609" s="32"/>
      <c r="N2609" s="32"/>
      <c r="O2609" s="106"/>
      <c r="P2609" s="91">
        <f>IFERROR(__xludf.DUMMYFUNCTION("IFERROR(sum(FILTER($D:$N,$C:$C = $C2609,$A:$A &lt; $A2609,$B:$B = 12)),0) + sum($D2609:$N2609)"),0.0)</f>
        <v>0</v>
      </c>
      <c r="Q2609" s="92">
        <f t="shared" si="1"/>
        <v>0</v>
      </c>
      <c r="R2609" s="91">
        <f t="array" ref="R2609">IFERROR(INDEX('Fund YTD Target Values'!$1:$1000, MATCH($C2609,'Fund YTD Target Values'!$A:$A,0), MATCH($A2609,'Fund YTD Target Values'!$1:$1,0)),0)</f>
        <v>0</v>
      </c>
      <c r="S2609" s="91">
        <f>IFERROR(__xludf.DUMMYFUNCTION("IFERROR(sum(FILTER('Fund Investment Data'!$V:$V, 'Fund Investment Data'!$C:$C = $C2609, 'Fund Investment Data'!$A:$A &lt; $A2609)),0) + IFERROR(sum(FILTER('Fund Investment Data'!$V:$V, 'Fund Investment Data'!$C:$C = $C2609, 'Fund Investment Data'!$A:$A = $A2"&amp;"609, 'Fund Investment Data'!$B:$B &lt;= $B2609)),0)"),0.0)</f>
        <v>0</v>
      </c>
      <c r="T2609" s="32"/>
      <c r="U2609" s="32"/>
      <c r="V2609" s="32">
        <f>IFERROR(__xludf.DUMMYFUNCTION("$D2609 - IFERROR(FILTER($D:$D,$C:$C = $C2609, $A:$A = $A2609, $B:$B = $B2609 - 1),0)"),0.0)</f>
        <v>0</v>
      </c>
      <c r="W2609" s="93">
        <f>IFERROR(__xludf.DUMMYFUNCTION("$E2609 - IFERROR(FILTER($E:$E,$C:$C = $C2609, $A:$A = $A2609, $B:$B = $B2609 - 1),0)"),0.0)</f>
        <v>0</v>
      </c>
      <c r="X2609" s="91">
        <f>IFERROR(__xludf.DUMMYFUNCTION("iFERROR((FILTER('Fund Investment Data'!$Z:$Z, 'Fund Investment Data'!$C:$C = $C2609, 'Fund Investment Data'!$A:$A = $A2609 - 1, 'Fund Investment Data'!$B:$B = 12) + FILTER('Fund Investment Data'!$AB:$AB, 'Fund Investment Data'!$C:$C = $C2609, 'Fund Invest"&amp;"ment Data'!$A:$A = $A2609 - 1, 'Fund Investment Data'!$B:$B = 12)) * (1 + AVERAGE(FILTER('Inflation Data'!$C:$C,'Inflation Data'!$A:$A = ($A2609 - 2)))) * Parameters!$A$4,0)"),0.0)</f>
        <v>0</v>
      </c>
      <c r="Y2609" s="91">
        <f>IFERROR(__xludf.DUMMYFUNCTION("IFERROR((IFERROR(FILTER('Fund Investment Data'!$P:$P,'Fund Investment Data'!$C:$C = $C2609,'Fund Investment Data'!$A:$A = ($A2609 - 2), 'Fund Investment Data'!$B:$B = 12),0) - SUM(FILTER('Fund Investment Data'!$V:$V, 'Fund Investment Data'!$C:$C = $C2609,"&amp;" 'Fund Investment Data'!$A:$A = ($A2609 - 2), 'Fund Investment Data'!$B:$B &gt; 3)))  * Parameters!$B$4 * (1 - Parameters!$A$4),0)"),0.0)</f>
        <v>0</v>
      </c>
      <c r="Z2609" s="91">
        <f t="shared" si="24"/>
        <v>0</v>
      </c>
      <c r="AA2609" s="91">
        <f>IFERROR(__xludf.DUMMYFUNCTION("((IFERROR((SUM(FILTER('Fund Investment Data'!$V:$V, 'Fund Investment Data'!$C:$C = $C2609, 'Fund Investment Data'!$A:$A = $A2609 - 1, 'Fund Investment Data'!$B:$B &gt;= 4, 'Fund Investment Data'!$B:$B &lt;= ($B2609 + 5))) / 12) * ($B2609 - 3) * Parameters!$B$4,"&amp;" 0) + IF($B2609 &gt;= 9, IFERROR(SUM(FILTER('Fund Investment Data'!$V:$V, 'Fund Investment Data'!$C:$C = $C2609, 'Fund Investment Data'!$A:$A = $A2609, 'Fund Investment Data'!$B:$B &lt;= 3)) * Parameters!$B$4, 0),0)))"),0.0)</f>
        <v>0</v>
      </c>
      <c r="AB2609" s="32">
        <f>IFERROR(__xludf.DUMMYFUNCTION("IFERROR(((IFERROR(SUM(FILTER('Fund Investment Data'!$V:$V, 'Fund Investment Data'!$C:$C = $C2609, 'Fund Investment Data'!$A:$A = $A2609 - 2, 'Fund Investment Data'!$B:$B &gt;= 4)) * Parameters!$B$4,0) + IFERROR(SUM(FILTER('Fund Investment Data'!$V:$V, 'Fund "&amp;"Investment Data'!$C:$C = $C2609, 'Fund Investment Data'!$A:$A = $A2609 - 1, 'Fund Investment Data'!$B:$B &lt;= 3)) * Parameters!$B$4,0))),0)"),0.0)</f>
        <v>0</v>
      </c>
      <c r="AC2609" s="32">
        <f>IFERROR(__xludf.DUMMYFUNCTION("IFERROR(FILTER($AF:$AF,$C:$C = $C2609,$A:$A = $A2609 - 1,$B:$B = 12),0)"),0.0)</f>
        <v>0</v>
      </c>
      <c r="AD2609" s="32">
        <f t="shared" si="23"/>
        <v>0</v>
      </c>
      <c r="AE2609" s="32">
        <f t="shared" si="2"/>
        <v>0</v>
      </c>
      <c r="AF2609" s="32"/>
    </row>
    <row r="2610">
      <c r="A2610" s="86"/>
      <c r="B2610" s="87"/>
      <c r="C2610" s="88"/>
      <c r="D2610" s="104"/>
      <c r="E2610" s="104"/>
      <c r="F2610" s="104"/>
      <c r="G2610" s="104"/>
      <c r="H2610" s="104"/>
      <c r="I2610" s="104"/>
      <c r="J2610" s="104"/>
      <c r="K2610" s="32"/>
      <c r="L2610" s="32"/>
      <c r="M2610" s="32"/>
      <c r="N2610" s="32"/>
      <c r="O2610" s="106"/>
      <c r="P2610" s="91">
        <f>IFERROR(__xludf.DUMMYFUNCTION("IFERROR(sum(FILTER($D:$N,$C:$C = $C2610,$A:$A &lt; $A2610,$B:$B = 12)),0) + sum($D2610:$N2610)"),0.0)</f>
        <v>0</v>
      </c>
      <c r="Q2610" s="92">
        <f t="shared" si="1"/>
        <v>0</v>
      </c>
      <c r="R2610" s="91">
        <f t="array" ref="R2610">IFERROR(INDEX('Fund YTD Target Values'!$1:$1000, MATCH($C2610,'Fund YTD Target Values'!$A:$A,0), MATCH($A2610,'Fund YTD Target Values'!$1:$1,0)),0)</f>
        <v>0</v>
      </c>
      <c r="S2610" s="91">
        <f>IFERROR(__xludf.DUMMYFUNCTION("IFERROR(sum(FILTER('Fund Investment Data'!$V:$V, 'Fund Investment Data'!$C:$C = $C2610, 'Fund Investment Data'!$A:$A &lt; $A2610)),0) + IFERROR(sum(FILTER('Fund Investment Data'!$V:$V, 'Fund Investment Data'!$C:$C = $C2610, 'Fund Investment Data'!$A:$A = $A2"&amp;"610, 'Fund Investment Data'!$B:$B &lt;= $B2610)),0)"),0.0)</f>
        <v>0</v>
      </c>
      <c r="T2610" s="32"/>
      <c r="U2610" s="32"/>
      <c r="V2610" s="32">
        <f>IFERROR(__xludf.DUMMYFUNCTION("$D2610 - IFERROR(FILTER($D:$D,$C:$C = $C2610, $A:$A = $A2610, $B:$B = $B2610 - 1),0)"),0.0)</f>
        <v>0</v>
      </c>
      <c r="W2610" s="93">
        <f>IFERROR(__xludf.DUMMYFUNCTION("$E2610 - IFERROR(FILTER($E:$E,$C:$C = $C2610, $A:$A = $A2610, $B:$B = $B2610 - 1),0)"),0.0)</f>
        <v>0</v>
      </c>
      <c r="X2610" s="91">
        <f>IFERROR(__xludf.DUMMYFUNCTION("iFERROR((FILTER('Fund Investment Data'!$Z:$Z, 'Fund Investment Data'!$C:$C = $C2610, 'Fund Investment Data'!$A:$A = $A2610 - 1, 'Fund Investment Data'!$B:$B = 12) + FILTER('Fund Investment Data'!$AB:$AB, 'Fund Investment Data'!$C:$C = $C2610, 'Fund Invest"&amp;"ment Data'!$A:$A = $A2610 - 1, 'Fund Investment Data'!$B:$B = 12)) * (1 + AVERAGE(FILTER('Inflation Data'!$C:$C,'Inflation Data'!$A:$A = ($A2610 - 2)))) * Parameters!$A$4,0)"),0.0)</f>
        <v>0</v>
      </c>
      <c r="Y2610" s="91">
        <f>IFERROR(__xludf.DUMMYFUNCTION("IFERROR((IFERROR(FILTER('Fund Investment Data'!$P:$P,'Fund Investment Data'!$C:$C = $C2610,'Fund Investment Data'!$A:$A = ($A2610 - 2), 'Fund Investment Data'!$B:$B = 12),0) - SUM(FILTER('Fund Investment Data'!$V:$V, 'Fund Investment Data'!$C:$C = $C2610,"&amp;" 'Fund Investment Data'!$A:$A = ($A2610 - 2), 'Fund Investment Data'!$B:$B &gt; 3)))  * Parameters!$B$4 * (1 - Parameters!$A$4),0)"),0.0)</f>
        <v>0</v>
      </c>
      <c r="Z2610" s="91">
        <f t="shared" si="24"/>
        <v>0</v>
      </c>
      <c r="AA2610" s="91">
        <f>IFERROR(__xludf.DUMMYFUNCTION("((IFERROR((SUM(FILTER('Fund Investment Data'!$V:$V, 'Fund Investment Data'!$C:$C = $C2610, 'Fund Investment Data'!$A:$A = $A2610 - 1, 'Fund Investment Data'!$B:$B &gt;= 4, 'Fund Investment Data'!$B:$B &lt;= ($B2610 + 5))) / 12) * ($B2610 - 3) * Parameters!$B$4,"&amp;" 0) + IF($B2610 &gt;= 9, IFERROR(SUM(FILTER('Fund Investment Data'!$V:$V, 'Fund Investment Data'!$C:$C = $C2610, 'Fund Investment Data'!$A:$A = $A2610, 'Fund Investment Data'!$B:$B &lt;= 3)) * Parameters!$B$4, 0),0)))"),0.0)</f>
        <v>0</v>
      </c>
      <c r="AB2610" s="32">
        <f>IFERROR(__xludf.DUMMYFUNCTION("IFERROR(((IFERROR(SUM(FILTER('Fund Investment Data'!$V:$V, 'Fund Investment Data'!$C:$C = $C2610, 'Fund Investment Data'!$A:$A = $A2610 - 2, 'Fund Investment Data'!$B:$B &gt;= 4)) * Parameters!$B$4,0) + IFERROR(SUM(FILTER('Fund Investment Data'!$V:$V, 'Fund "&amp;"Investment Data'!$C:$C = $C2610, 'Fund Investment Data'!$A:$A = $A2610 - 1, 'Fund Investment Data'!$B:$B &lt;= 3)) * Parameters!$B$4,0))),0)"),0.0)</f>
        <v>0</v>
      </c>
      <c r="AC2610" s="32">
        <f>IFERROR(__xludf.DUMMYFUNCTION("IFERROR(FILTER($AF:$AF,$C:$C = $C2610,$A:$A = $A2610 - 1,$B:$B = 12),0)"),0.0)</f>
        <v>0</v>
      </c>
      <c r="AD2610" s="32">
        <f t="shared" si="23"/>
        <v>0</v>
      </c>
      <c r="AE2610" s="32">
        <f t="shared" si="2"/>
        <v>0</v>
      </c>
      <c r="AF2610" s="32"/>
    </row>
    <row r="2611">
      <c r="A2611" s="86"/>
      <c r="B2611" s="87"/>
      <c r="C2611" s="88"/>
      <c r="D2611" s="104"/>
      <c r="E2611" s="104"/>
      <c r="F2611" s="104"/>
      <c r="G2611" s="104"/>
      <c r="H2611" s="104"/>
      <c r="I2611" s="104"/>
      <c r="J2611" s="104"/>
      <c r="K2611" s="32"/>
      <c r="L2611" s="32"/>
      <c r="M2611" s="32"/>
      <c r="N2611" s="32"/>
      <c r="O2611" s="106"/>
      <c r="P2611" s="91">
        <f>IFERROR(__xludf.DUMMYFUNCTION("IFERROR(sum(FILTER($D:$N,$C:$C = $C2611,$A:$A &lt; $A2611,$B:$B = 12)),0) + sum($D2611:$N2611)"),0.0)</f>
        <v>0</v>
      </c>
      <c r="Q2611" s="92">
        <f t="shared" si="1"/>
        <v>0</v>
      </c>
      <c r="R2611" s="91">
        <f t="array" ref="R2611">IFERROR(INDEX('Fund YTD Target Values'!$1:$1000, MATCH($C2611,'Fund YTD Target Values'!$A:$A,0), MATCH($A2611,'Fund YTD Target Values'!$1:$1,0)),0)</f>
        <v>0</v>
      </c>
      <c r="S2611" s="91">
        <f>IFERROR(__xludf.DUMMYFUNCTION("IFERROR(sum(FILTER('Fund Investment Data'!$V:$V, 'Fund Investment Data'!$C:$C = $C2611, 'Fund Investment Data'!$A:$A &lt; $A2611)),0) + IFERROR(sum(FILTER('Fund Investment Data'!$V:$V, 'Fund Investment Data'!$C:$C = $C2611, 'Fund Investment Data'!$A:$A = $A2"&amp;"611, 'Fund Investment Data'!$B:$B &lt;= $B2611)),0)"),0.0)</f>
        <v>0</v>
      </c>
      <c r="T2611" s="32"/>
      <c r="U2611" s="32"/>
      <c r="V2611" s="32">
        <f>IFERROR(__xludf.DUMMYFUNCTION("$D2611 - IFERROR(FILTER($D:$D,$C:$C = $C2611, $A:$A = $A2611, $B:$B = $B2611 - 1),0)"),0.0)</f>
        <v>0</v>
      </c>
      <c r="W2611" s="93">
        <f>IFERROR(__xludf.DUMMYFUNCTION("$E2611 - IFERROR(FILTER($E:$E,$C:$C = $C2611, $A:$A = $A2611, $B:$B = $B2611 - 1),0)"),0.0)</f>
        <v>0</v>
      </c>
      <c r="X2611" s="91">
        <f>IFERROR(__xludf.DUMMYFUNCTION("iFERROR((FILTER('Fund Investment Data'!$Z:$Z, 'Fund Investment Data'!$C:$C = $C2611, 'Fund Investment Data'!$A:$A = $A2611 - 1, 'Fund Investment Data'!$B:$B = 12) + FILTER('Fund Investment Data'!$AB:$AB, 'Fund Investment Data'!$C:$C = $C2611, 'Fund Invest"&amp;"ment Data'!$A:$A = $A2611 - 1, 'Fund Investment Data'!$B:$B = 12)) * (1 + AVERAGE(FILTER('Inflation Data'!$C:$C,'Inflation Data'!$A:$A = ($A2611 - 2)))) * Parameters!$A$4,0)"),0.0)</f>
        <v>0</v>
      </c>
      <c r="Y2611" s="91">
        <f>IFERROR(__xludf.DUMMYFUNCTION("IFERROR((IFERROR(FILTER('Fund Investment Data'!$P:$P,'Fund Investment Data'!$C:$C = $C2611,'Fund Investment Data'!$A:$A = ($A2611 - 2), 'Fund Investment Data'!$B:$B = 12),0) - SUM(FILTER('Fund Investment Data'!$V:$V, 'Fund Investment Data'!$C:$C = $C2611,"&amp;" 'Fund Investment Data'!$A:$A = ($A2611 - 2), 'Fund Investment Data'!$B:$B &gt; 3)))  * Parameters!$B$4 * (1 - Parameters!$A$4),0)"),0.0)</f>
        <v>0</v>
      </c>
      <c r="Z2611" s="91">
        <f t="shared" si="24"/>
        <v>0</v>
      </c>
      <c r="AA2611" s="91">
        <f>IFERROR(__xludf.DUMMYFUNCTION("((IFERROR((SUM(FILTER('Fund Investment Data'!$V:$V, 'Fund Investment Data'!$C:$C = $C2611, 'Fund Investment Data'!$A:$A = $A2611 - 1, 'Fund Investment Data'!$B:$B &gt;= 4, 'Fund Investment Data'!$B:$B &lt;= ($B2611 + 5))) / 12) * ($B2611 - 3) * Parameters!$B$4,"&amp;" 0) + IF($B2611 &gt;= 9, IFERROR(SUM(FILTER('Fund Investment Data'!$V:$V, 'Fund Investment Data'!$C:$C = $C2611, 'Fund Investment Data'!$A:$A = $A2611, 'Fund Investment Data'!$B:$B &lt;= 3)) * Parameters!$B$4, 0),0)))"),0.0)</f>
        <v>0</v>
      </c>
      <c r="AB2611" s="32">
        <f>IFERROR(__xludf.DUMMYFUNCTION("IFERROR(((IFERROR(SUM(FILTER('Fund Investment Data'!$V:$V, 'Fund Investment Data'!$C:$C = $C2611, 'Fund Investment Data'!$A:$A = $A2611 - 2, 'Fund Investment Data'!$B:$B &gt;= 4)) * Parameters!$B$4,0) + IFERROR(SUM(FILTER('Fund Investment Data'!$V:$V, 'Fund "&amp;"Investment Data'!$C:$C = $C2611, 'Fund Investment Data'!$A:$A = $A2611 - 1, 'Fund Investment Data'!$B:$B &lt;= 3)) * Parameters!$B$4,0))),0)"),0.0)</f>
        <v>0</v>
      </c>
      <c r="AC2611" s="32">
        <f>IFERROR(__xludf.DUMMYFUNCTION("IFERROR(FILTER($AF:$AF,$C:$C = $C2611,$A:$A = $A2611 - 1,$B:$B = 12),0)"),0.0)</f>
        <v>0</v>
      </c>
      <c r="AD2611" s="32">
        <f t="shared" si="23"/>
        <v>0</v>
      </c>
      <c r="AE2611" s="32">
        <f t="shared" si="2"/>
        <v>0</v>
      </c>
      <c r="AF2611" s="32"/>
    </row>
    <row r="2612">
      <c r="A2612" s="86"/>
      <c r="B2612" s="87"/>
      <c r="C2612" s="88"/>
      <c r="D2612" s="104"/>
      <c r="E2612" s="104"/>
      <c r="F2612" s="104"/>
      <c r="G2612" s="104"/>
      <c r="H2612" s="104"/>
      <c r="I2612" s="104"/>
      <c r="J2612" s="104"/>
      <c r="K2612" s="32"/>
      <c r="L2612" s="32"/>
      <c r="M2612" s="32"/>
      <c r="N2612" s="32"/>
      <c r="O2612" s="106"/>
      <c r="P2612" s="91">
        <f>IFERROR(__xludf.DUMMYFUNCTION("IFERROR(sum(FILTER($D:$N,$C:$C = $C2612,$A:$A &lt; $A2612,$B:$B = 12)),0) + sum($D2612:$N2612)"),0.0)</f>
        <v>0</v>
      </c>
      <c r="Q2612" s="92">
        <f t="shared" si="1"/>
        <v>0</v>
      </c>
      <c r="R2612" s="91">
        <f t="array" ref="R2612">IFERROR(INDEX('Fund YTD Target Values'!$1:$1000, MATCH($C2612,'Fund YTD Target Values'!$A:$A,0), MATCH($A2612,'Fund YTD Target Values'!$1:$1,0)),0)</f>
        <v>0</v>
      </c>
      <c r="S2612" s="91">
        <f>IFERROR(__xludf.DUMMYFUNCTION("IFERROR(sum(FILTER('Fund Investment Data'!$V:$V, 'Fund Investment Data'!$C:$C = $C2612, 'Fund Investment Data'!$A:$A &lt; $A2612)),0) + IFERROR(sum(FILTER('Fund Investment Data'!$V:$V, 'Fund Investment Data'!$C:$C = $C2612, 'Fund Investment Data'!$A:$A = $A2"&amp;"612, 'Fund Investment Data'!$B:$B &lt;= $B2612)),0)"),0.0)</f>
        <v>0</v>
      </c>
      <c r="T2612" s="32"/>
      <c r="U2612" s="32"/>
      <c r="V2612" s="32">
        <f>IFERROR(__xludf.DUMMYFUNCTION("$D2612 - IFERROR(FILTER($D:$D,$C:$C = $C2612, $A:$A = $A2612, $B:$B = $B2612 - 1),0)"),0.0)</f>
        <v>0</v>
      </c>
      <c r="W2612" s="93">
        <f>IFERROR(__xludf.DUMMYFUNCTION("$E2612 - IFERROR(FILTER($E:$E,$C:$C = $C2612, $A:$A = $A2612, $B:$B = $B2612 - 1),0)"),0.0)</f>
        <v>0</v>
      </c>
      <c r="X2612" s="91">
        <f>IFERROR(__xludf.DUMMYFUNCTION("iFERROR((FILTER('Fund Investment Data'!$Z:$Z, 'Fund Investment Data'!$C:$C = $C2612, 'Fund Investment Data'!$A:$A = $A2612 - 1, 'Fund Investment Data'!$B:$B = 12) + FILTER('Fund Investment Data'!$AB:$AB, 'Fund Investment Data'!$C:$C = $C2612, 'Fund Invest"&amp;"ment Data'!$A:$A = $A2612 - 1, 'Fund Investment Data'!$B:$B = 12)) * (1 + AVERAGE(FILTER('Inflation Data'!$C:$C,'Inflation Data'!$A:$A = ($A2612 - 2)))) * Parameters!$A$4,0)"),0.0)</f>
        <v>0</v>
      </c>
      <c r="Y2612" s="91">
        <f>IFERROR(__xludf.DUMMYFUNCTION("IFERROR((IFERROR(FILTER('Fund Investment Data'!$P:$P,'Fund Investment Data'!$C:$C = $C2612,'Fund Investment Data'!$A:$A = ($A2612 - 2), 'Fund Investment Data'!$B:$B = 12),0) - SUM(FILTER('Fund Investment Data'!$V:$V, 'Fund Investment Data'!$C:$C = $C2612,"&amp;" 'Fund Investment Data'!$A:$A = ($A2612 - 2), 'Fund Investment Data'!$B:$B &gt; 3)))  * Parameters!$B$4 * (1 - Parameters!$A$4),0)"),0.0)</f>
        <v>0</v>
      </c>
      <c r="Z2612" s="91">
        <f t="shared" si="24"/>
        <v>0</v>
      </c>
      <c r="AA2612" s="91">
        <f>IFERROR(__xludf.DUMMYFUNCTION("((IFERROR((SUM(FILTER('Fund Investment Data'!$V:$V, 'Fund Investment Data'!$C:$C = $C2612, 'Fund Investment Data'!$A:$A = $A2612 - 1, 'Fund Investment Data'!$B:$B &gt;= 4, 'Fund Investment Data'!$B:$B &lt;= ($B2612 + 5))) / 12) * ($B2612 - 3) * Parameters!$B$4,"&amp;" 0) + IF($B2612 &gt;= 9, IFERROR(SUM(FILTER('Fund Investment Data'!$V:$V, 'Fund Investment Data'!$C:$C = $C2612, 'Fund Investment Data'!$A:$A = $A2612, 'Fund Investment Data'!$B:$B &lt;= 3)) * Parameters!$B$4, 0),0)))"),0.0)</f>
        <v>0</v>
      </c>
      <c r="AB2612" s="32">
        <f>IFERROR(__xludf.DUMMYFUNCTION("IFERROR(((IFERROR(SUM(FILTER('Fund Investment Data'!$V:$V, 'Fund Investment Data'!$C:$C = $C2612, 'Fund Investment Data'!$A:$A = $A2612 - 2, 'Fund Investment Data'!$B:$B &gt;= 4)) * Parameters!$B$4,0) + IFERROR(SUM(FILTER('Fund Investment Data'!$V:$V, 'Fund "&amp;"Investment Data'!$C:$C = $C2612, 'Fund Investment Data'!$A:$A = $A2612 - 1, 'Fund Investment Data'!$B:$B &lt;= 3)) * Parameters!$B$4,0))),0)"),0.0)</f>
        <v>0</v>
      </c>
      <c r="AC2612" s="32">
        <f>IFERROR(__xludf.DUMMYFUNCTION("IFERROR(FILTER($AF:$AF,$C:$C = $C2612,$A:$A = $A2612 - 1,$B:$B = 12),0)"),0.0)</f>
        <v>0</v>
      </c>
      <c r="AD2612" s="32">
        <f t="shared" si="23"/>
        <v>0</v>
      </c>
      <c r="AE2612" s="32">
        <f t="shared" si="2"/>
        <v>0</v>
      </c>
      <c r="AF2612" s="32"/>
    </row>
    <row r="2613">
      <c r="A2613" s="86"/>
      <c r="B2613" s="87"/>
      <c r="C2613" s="88"/>
      <c r="D2613" s="104"/>
      <c r="E2613" s="104"/>
      <c r="F2613" s="104"/>
      <c r="G2613" s="104"/>
      <c r="H2613" s="104"/>
      <c r="I2613" s="104"/>
      <c r="J2613" s="104"/>
      <c r="K2613" s="32"/>
      <c r="L2613" s="32"/>
      <c r="M2613" s="32"/>
      <c r="N2613" s="32"/>
      <c r="O2613" s="106"/>
      <c r="P2613" s="91">
        <f>IFERROR(__xludf.DUMMYFUNCTION("IFERROR(sum(FILTER($D:$N,$C:$C = $C2613,$A:$A &lt; $A2613,$B:$B = 12)),0) + sum($D2613:$N2613)"),0.0)</f>
        <v>0</v>
      </c>
      <c r="Q2613" s="92">
        <f t="shared" si="1"/>
        <v>0</v>
      </c>
      <c r="R2613" s="91">
        <f t="array" ref="R2613">IFERROR(INDEX('Fund YTD Target Values'!$1:$1000, MATCH($C2613,'Fund YTD Target Values'!$A:$A,0), MATCH($A2613,'Fund YTD Target Values'!$1:$1,0)),0)</f>
        <v>0</v>
      </c>
      <c r="S2613" s="91">
        <f>IFERROR(__xludf.DUMMYFUNCTION("IFERROR(sum(FILTER('Fund Investment Data'!$V:$V, 'Fund Investment Data'!$C:$C = $C2613, 'Fund Investment Data'!$A:$A &lt; $A2613)),0) + IFERROR(sum(FILTER('Fund Investment Data'!$V:$V, 'Fund Investment Data'!$C:$C = $C2613, 'Fund Investment Data'!$A:$A = $A2"&amp;"613, 'Fund Investment Data'!$B:$B &lt;= $B2613)),0)"),0.0)</f>
        <v>0</v>
      </c>
      <c r="T2613" s="32"/>
      <c r="U2613" s="32"/>
      <c r="V2613" s="32">
        <f>IFERROR(__xludf.DUMMYFUNCTION("$D2613 - IFERROR(FILTER($D:$D,$C:$C = $C2613, $A:$A = $A2613, $B:$B = $B2613 - 1),0)"),0.0)</f>
        <v>0</v>
      </c>
      <c r="W2613" s="93">
        <f>IFERROR(__xludf.DUMMYFUNCTION("$E2613 - IFERROR(FILTER($E:$E,$C:$C = $C2613, $A:$A = $A2613, $B:$B = $B2613 - 1),0)"),0.0)</f>
        <v>0</v>
      </c>
      <c r="X2613" s="91">
        <f>IFERROR(__xludf.DUMMYFUNCTION("iFERROR((FILTER('Fund Investment Data'!$Z:$Z, 'Fund Investment Data'!$C:$C = $C2613, 'Fund Investment Data'!$A:$A = $A2613 - 1, 'Fund Investment Data'!$B:$B = 12) + FILTER('Fund Investment Data'!$AB:$AB, 'Fund Investment Data'!$C:$C = $C2613, 'Fund Invest"&amp;"ment Data'!$A:$A = $A2613 - 1, 'Fund Investment Data'!$B:$B = 12)) * (1 + AVERAGE(FILTER('Inflation Data'!$C:$C,'Inflation Data'!$A:$A = ($A2613 - 2)))) * Parameters!$A$4,0)"),0.0)</f>
        <v>0</v>
      </c>
      <c r="Y2613" s="91">
        <f>IFERROR(__xludf.DUMMYFUNCTION("IFERROR((IFERROR(FILTER('Fund Investment Data'!$P:$P,'Fund Investment Data'!$C:$C = $C2613,'Fund Investment Data'!$A:$A = ($A2613 - 2), 'Fund Investment Data'!$B:$B = 12),0) - SUM(FILTER('Fund Investment Data'!$V:$V, 'Fund Investment Data'!$C:$C = $C2613,"&amp;" 'Fund Investment Data'!$A:$A = ($A2613 - 2), 'Fund Investment Data'!$B:$B &gt; 3)))  * Parameters!$B$4 * (1 - Parameters!$A$4),0)"),0.0)</f>
        <v>0</v>
      </c>
      <c r="Z2613" s="91">
        <f t="shared" si="24"/>
        <v>0</v>
      </c>
      <c r="AA2613" s="91">
        <f>IFERROR(__xludf.DUMMYFUNCTION("((IFERROR((SUM(FILTER('Fund Investment Data'!$V:$V, 'Fund Investment Data'!$C:$C = $C2613, 'Fund Investment Data'!$A:$A = $A2613 - 1, 'Fund Investment Data'!$B:$B &gt;= 4, 'Fund Investment Data'!$B:$B &lt;= ($B2613 + 5))) / 12) * ($B2613 - 3) * Parameters!$B$4,"&amp;" 0) + IF($B2613 &gt;= 9, IFERROR(SUM(FILTER('Fund Investment Data'!$V:$V, 'Fund Investment Data'!$C:$C = $C2613, 'Fund Investment Data'!$A:$A = $A2613, 'Fund Investment Data'!$B:$B &lt;= 3)) * Parameters!$B$4, 0),0)))"),0.0)</f>
        <v>0</v>
      </c>
      <c r="AB2613" s="32">
        <f>IFERROR(__xludf.DUMMYFUNCTION("IFERROR(((IFERROR(SUM(FILTER('Fund Investment Data'!$V:$V, 'Fund Investment Data'!$C:$C = $C2613, 'Fund Investment Data'!$A:$A = $A2613 - 2, 'Fund Investment Data'!$B:$B &gt;= 4)) * Parameters!$B$4,0) + IFERROR(SUM(FILTER('Fund Investment Data'!$V:$V, 'Fund "&amp;"Investment Data'!$C:$C = $C2613, 'Fund Investment Data'!$A:$A = $A2613 - 1, 'Fund Investment Data'!$B:$B &lt;= 3)) * Parameters!$B$4,0))),0)"),0.0)</f>
        <v>0</v>
      </c>
      <c r="AC2613" s="32">
        <f>IFERROR(__xludf.DUMMYFUNCTION("IFERROR(FILTER($AF:$AF,$C:$C = $C2613,$A:$A = $A2613 - 1,$B:$B = 12),0)"),0.0)</f>
        <v>0</v>
      </c>
      <c r="AD2613" s="32">
        <f t="shared" si="23"/>
        <v>0</v>
      </c>
      <c r="AE2613" s="32">
        <f t="shared" si="2"/>
        <v>0</v>
      </c>
      <c r="AF2613" s="32"/>
    </row>
    <row r="2614">
      <c r="A2614" s="86"/>
      <c r="B2614" s="87"/>
      <c r="C2614" s="88"/>
      <c r="D2614" s="104"/>
      <c r="E2614" s="104"/>
      <c r="F2614" s="104"/>
      <c r="G2614" s="104"/>
      <c r="H2614" s="104"/>
      <c r="I2614" s="104"/>
      <c r="J2614" s="104"/>
      <c r="K2614" s="32"/>
      <c r="L2614" s="32"/>
      <c r="M2614" s="32"/>
      <c r="N2614" s="32"/>
      <c r="O2614" s="106"/>
      <c r="P2614" s="91">
        <f>IFERROR(__xludf.DUMMYFUNCTION("IFERROR(sum(FILTER($D:$N,$C:$C = $C2614,$A:$A &lt; $A2614,$B:$B = 12)),0) + sum($D2614:$N2614)"),0.0)</f>
        <v>0</v>
      </c>
      <c r="Q2614" s="92">
        <f t="shared" si="1"/>
        <v>0</v>
      </c>
      <c r="R2614" s="91">
        <f t="array" ref="R2614">IFERROR(INDEX('Fund YTD Target Values'!$1:$1000, MATCH($C2614,'Fund YTD Target Values'!$A:$A,0), MATCH($A2614,'Fund YTD Target Values'!$1:$1,0)),0)</f>
        <v>0</v>
      </c>
      <c r="S2614" s="91">
        <f>IFERROR(__xludf.DUMMYFUNCTION("IFERROR(sum(FILTER('Fund Investment Data'!$V:$V, 'Fund Investment Data'!$C:$C = $C2614, 'Fund Investment Data'!$A:$A &lt; $A2614)),0) + IFERROR(sum(FILTER('Fund Investment Data'!$V:$V, 'Fund Investment Data'!$C:$C = $C2614, 'Fund Investment Data'!$A:$A = $A2"&amp;"614, 'Fund Investment Data'!$B:$B &lt;= $B2614)),0)"),0.0)</f>
        <v>0</v>
      </c>
      <c r="T2614" s="32"/>
      <c r="U2614" s="32"/>
      <c r="V2614" s="32">
        <f>IFERROR(__xludf.DUMMYFUNCTION("$D2614 - IFERROR(FILTER($D:$D,$C:$C = $C2614, $A:$A = $A2614, $B:$B = $B2614 - 1),0)"),0.0)</f>
        <v>0</v>
      </c>
      <c r="W2614" s="93">
        <f>IFERROR(__xludf.DUMMYFUNCTION("$E2614 - IFERROR(FILTER($E:$E,$C:$C = $C2614, $A:$A = $A2614, $B:$B = $B2614 - 1),0)"),0.0)</f>
        <v>0</v>
      </c>
      <c r="X2614" s="91">
        <f>IFERROR(__xludf.DUMMYFUNCTION("iFERROR((FILTER('Fund Investment Data'!$Z:$Z, 'Fund Investment Data'!$C:$C = $C2614, 'Fund Investment Data'!$A:$A = $A2614 - 1, 'Fund Investment Data'!$B:$B = 12) + FILTER('Fund Investment Data'!$AB:$AB, 'Fund Investment Data'!$C:$C = $C2614, 'Fund Invest"&amp;"ment Data'!$A:$A = $A2614 - 1, 'Fund Investment Data'!$B:$B = 12)) * (1 + AVERAGE(FILTER('Inflation Data'!$C:$C,'Inflation Data'!$A:$A = ($A2614 - 2)))) * Parameters!$A$4,0)"),0.0)</f>
        <v>0</v>
      </c>
      <c r="Y2614" s="91">
        <f>IFERROR(__xludf.DUMMYFUNCTION("IFERROR((IFERROR(FILTER('Fund Investment Data'!$P:$P,'Fund Investment Data'!$C:$C = $C2614,'Fund Investment Data'!$A:$A = ($A2614 - 2), 'Fund Investment Data'!$B:$B = 12),0) - SUM(FILTER('Fund Investment Data'!$V:$V, 'Fund Investment Data'!$C:$C = $C2614,"&amp;" 'Fund Investment Data'!$A:$A = ($A2614 - 2), 'Fund Investment Data'!$B:$B &gt; 3)))  * Parameters!$B$4 * (1 - Parameters!$A$4),0)"),0.0)</f>
        <v>0</v>
      </c>
      <c r="Z2614" s="91">
        <f t="shared" si="24"/>
        <v>0</v>
      </c>
      <c r="AA2614" s="91">
        <f>IFERROR(__xludf.DUMMYFUNCTION("((IFERROR((SUM(FILTER('Fund Investment Data'!$V:$V, 'Fund Investment Data'!$C:$C = $C2614, 'Fund Investment Data'!$A:$A = $A2614 - 1, 'Fund Investment Data'!$B:$B &gt;= 4, 'Fund Investment Data'!$B:$B &lt;= ($B2614 + 5))) / 12) * ($B2614 - 3) * Parameters!$B$4,"&amp;" 0) + IF($B2614 &gt;= 9, IFERROR(SUM(FILTER('Fund Investment Data'!$V:$V, 'Fund Investment Data'!$C:$C = $C2614, 'Fund Investment Data'!$A:$A = $A2614, 'Fund Investment Data'!$B:$B &lt;= 3)) * Parameters!$B$4, 0),0)))"),0.0)</f>
        <v>0</v>
      </c>
      <c r="AB2614" s="32">
        <f>IFERROR(__xludf.DUMMYFUNCTION("IFERROR(((IFERROR(SUM(FILTER('Fund Investment Data'!$V:$V, 'Fund Investment Data'!$C:$C = $C2614, 'Fund Investment Data'!$A:$A = $A2614 - 2, 'Fund Investment Data'!$B:$B &gt;= 4)) * Parameters!$B$4,0) + IFERROR(SUM(FILTER('Fund Investment Data'!$V:$V, 'Fund "&amp;"Investment Data'!$C:$C = $C2614, 'Fund Investment Data'!$A:$A = $A2614 - 1, 'Fund Investment Data'!$B:$B &lt;= 3)) * Parameters!$B$4,0))),0)"),0.0)</f>
        <v>0</v>
      </c>
      <c r="AC2614" s="32">
        <f>IFERROR(__xludf.DUMMYFUNCTION("IFERROR(FILTER($AF:$AF,$C:$C = $C2614,$A:$A = $A2614 - 1,$B:$B = 12),0)"),0.0)</f>
        <v>0</v>
      </c>
      <c r="AD2614" s="32">
        <f t="shared" si="23"/>
        <v>0</v>
      </c>
      <c r="AE2614" s="32">
        <f t="shared" si="2"/>
        <v>0</v>
      </c>
      <c r="AF2614" s="32"/>
    </row>
    <row r="2615">
      <c r="A2615" s="86"/>
      <c r="B2615" s="87"/>
      <c r="C2615" s="88"/>
      <c r="D2615" s="104"/>
      <c r="E2615" s="104"/>
      <c r="F2615" s="104"/>
      <c r="G2615" s="104"/>
      <c r="H2615" s="104"/>
      <c r="I2615" s="104"/>
      <c r="J2615" s="104"/>
      <c r="K2615" s="32"/>
      <c r="L2615" s="32"/>
      <c r="M2615" s="32"/>
      <c r="N2615" s="32"/>
      <c r="O2615" s="106"/>
      <c r="P2615" s="91">
        <f>IFERROR(__xludf.DUMMYFUNCTION("IFERROR(sum(FILTER($D:$N,$C:$C = $C2615,$A:$A &lt; $A2615,$B:$B = 12)),0) + sum($D2615:$N2615)"),0.0)</f>
        <v>0</v>
      </c>
      <c r="Q2615" s="92">
        <f t="shared" si="1"/>
        <v>0</v>
      </c>
      <c r="R2615" s="91">
        <f t="array" ref="R2615">IFERROR(INDEX('Fund YTD Target Values'!$1:$1000, MATCH($C2615,'Fund YTD Target Values'!$A:$A,0), MATCH($A2615,'Fund YTD Target Values'!$1:$1,0)),0)</f>
        <v>0</v>
      </c>
      <c r="S2615" s="91">
        <f>IFERROR(__xludf.DUMMYFUNCTION("IFERROR(sum(FILTER('Fund Investment Data'!$V:$V, 'Fund Investment Data'!$C:$C = $C2615, 'Fund Investment Data'!$A:$A &lt; $A2615)),0) + IFERROR(sum(FILTER('Fund Investment Data'!$V:$V, 'Fund Investment Data'!$C:$C = $C2615, 'Fund Investment Data'!$A:$A = $A2"&amp;"615, 'Fund Investment Data'!$B:$B &lt;= $B2615)),0)"),0.0)</f>
        <v>0</v>
      </c>
      <c r="T2615" s="32"/>
      <c r="U2615" s="32"/>
      <c r="V2615" s="32">
        <f>IFERROR(__xludf.DUMMYFUNCTION("$D2615 - IFERROR(FILTER($D:$D,$C:$C = $C2615, $A:$A = $A2615, $B:$B = $B2615 - 1),0)"),0.0)</f>
        <v>0</v>
      </c>
      <c r="W2615" s="93">
        <f>IFERROR(__xludf.DUMMYFUNCTION("$E2615 - IFERROR(FILTER($E:$E,$C:$C = $C2615, $A:$A = $A2615, $B:$B = $B2615 - 1),0)"),0.0)</f>
        <v>0</v>
      </c>
      <c r="X2615" s="91">
        <f>IFERROR(__xludf.DUMMYFUNCTION("iFERROR((FILTER('Fund Investment Data'!$Z:$Z, 'Fund Investment Data'!$C:$C = $C2615, 'Fund Investment Data'!$A:$A = $A2615 - 1, 'Fund Investment Data'!$B:$B = 12) + FILTER('Fund Investment Data'!$AB:$AB, 'Fund Investment Data'!$C:$C = $C2615, 'Fund Invest"&amp;"ment Data'!$A:$A = $A2615 - 1, 'Fund Investment Data'!$B:$B = 12)) * (1 + AVERAGE(FILTER('Inflation Data'!$C:$C,'Inflation Data'!$A:$A = ($A2615 - 2)))) * Parameters!$A$4,0)"),0.0)</f>
        <v>0</v>
      </c>
      <c r="Y2615" s="91">
        <f>IFERROR(__xludf.DUMMYFUNCTION("IFERROR((IFERROR(FILTER('Fund Investment Data'!$P:$P,'Fund Investment Data'!$C:$C = $C2615,'Fund Investment Data'!$A:$A = ($A2615 - 2), 'Fund Investment Data'!$B:$B = 12),0) - SUM(FILTER('Fund Investment Data'!$V:$V, 'Fund Investment Data'!$C:$C = $C2615,"&amp;" 'Fund Investment Data'!$A:$A = ($A2615 - 2), 'Fund Investment Data'!$B:$B &gt; 3)))  * Parameters!$B$4 * (1 - Parameters!$A$4),0)"),0.0)</f>
        <v>0</v>
      </c>
      <c r="Z2615" s="91">
        <f t="shared" si="24"/>
        <v>0</v>
      </c>
      <c r="AA2615" s="91">
        <f>IFERROR(__xludf.DUMMYFUNCTION("((IFERROR((SUM(FILTER('Fund Investment Data'!$V:$V, 'Fund Investment Data'!$C:$C = $C2615, 'Fund Investment Data'!$A:$A = $A2615 - 1, 'Fund Investment Data'!$B:$B &gt;= 4, 'Fund Investment Data'!$B:$B &lt;= ($B2615 + 5))) / 12) * ($B2615 - 3) * Parameters!$B$4,"&amp;" 0) + IF($B2615 &gt;= 9, IFERROR(SUM(FILTER('Fund Investment Data'!$V:$V, 'Fund Investment Data'!$C:$C = $C2615, 'Fund Investment Data'!$A:$A = $A2615, 'Fund Investment Data'!$B:$B &lt;= 3)) * Parameters!$B$4, 0),0)))"),0.0)</f>
        <v>0</v>
      </c>
      <c r="AB2615" s="32">
        <f>IFERROR(__xludf.DUMMYFUNCTION("IFERROR(((IFERROR(SUM(FILTER('Fund Investment Data'!$V:$V, 'Fund Investment Data'!$C:$C = $C2615, 'Fund Investment Data'!$A:$A = $A2615 - 2, 'Fund Investment Data'!$B:$B &gt;= 4)) * Parameters!$B$4,0) + IFERROR(SUM(FILTER('Fund Investment Data'!$V:$V, 'Fund "&amp;"Investment Data'!$C:$C = $C2615, 'Fund Investment Data'!$A:$A = $A2615 - 1, 'Fund Investment Data'!$B:$B &lt;= 3)) * Parameters!$B$4,0))),0)"),0.0)</f>
        <v>0</v>
      </c>
      <c r="AC2615" s="32">
        <f>IFERROR(__xludf.DUMMYFUNCTION("IFERROR(FILTER($AF:$AF,$C:$C = $C2615,$A:$A = $A2615 - 1,$B:$B = 12),0)"),0.0)</f>
        <v>0</v>
      </c>
      <c r="AD2615" s="32">
        <f t="shared" si="23"/>
        <v>0</v>
      </c>
      <c r="AE2615" s="32">
        <f t="shared" si="2"/>
        <v>0</v>
      </c>
      <c r="AF2615" s="32"/>
    </row>
    <row r="2616">
      <c r="A2616" s="86"/>
      <c r="B2616" s="87"/>
      <c r="C2616" s="88"/>
      <c r="D2616" s="104"/>
      <c r="E2616" s="104"/>
      <c r="F2616" s="104"/>
      <c r="G2616" s="104"/>
      <c r="H2616" s="104"/>
      <c r="I2616" s="104"/>
      <c r="J2616" s="104"/>
      <c r="K2616" s="32"/>
      <c r="L2616" s="32"/>
      <c r="M2616" s="32"/>
      <c r="N2616" s="32"/>
      <c r="O2616" s="106"/>
      <c r="P2616" s="91">
        <f>IFERROR(__xludf.DUMMYFUNCTION("IFERROR(sum(FILTER($D:$N,$C:$C = $C2616,$A:$A &lt; $A2616,$B:$B = 12)),0) + sum($D2616:$N2616)"),0.0)</f>
        <v>0</v>
      </c>
      <c r="Q2616" s="92">
        <f t="shared" si="1"/>
        <v>0</v>
      </c>
      <c r="R2616" s="91">
        <f t="array" ref="R2616">IFERROR(INDEX('Fund YTD Target Values'!$1:$1000, MATCH($C2616,'Fund YTD Target Values'!$A:$A,0), MATCH($A2616,'Fund YTD Target Values'!$1:$1,0)),0)</f>
        <v>0</v>
      </c>
      <c r="S2616" s="91">
        <f>IFERROR(__xludf.DUMMYFUNCTION("IFERROR(sum(FILTER('Fund Investment Data'!$V:$V, 'Fund Investment Data'!$C:$C = $C2616, 'Fund Investment Data'!$A:$A &lt; $A2616)),0) + IFERROR(sum(FILTER('Fund Investment Data'!$V:$V, 'Fund Investment Data'!$C:$C = $C2616, 'Fund Investment Data'!$A:$A = $A2"&amp;"616, 'Fund Investment Data'!$B:$B &lt;= $B2616)),0)"),0.0)</f>
        <v>0</v>
      </c>
      <c r="T2616" s="32"/>
      <c r="U2616" s="32"/>
      <c r="V2616" s="32">
        <f>IFERROR(__xludf.DUMMYFUNCTION("$D2616 - IFERROR(FILTER($D:$D,$C:$C = $C2616, $A:$A = $A2616, $B:$B = $B2616 - 1),0)"),0.0)</f>
        <v>0</v>
      </c>
      <c r="W2616" s="93">
        <f>IFERROR(__xludf.DUMMYFUNCTION("$E2616 - IFERROR(FILTER($E:$E,$C:$C = $C2616, $A:$A = $A2616, $B:$B = $B2616 - 1),0)"),0.0)</f>
        <v>0</v>
      </c>
      <c r="X2616" s="91">
        <f>IFERROR(__xludf.DUMMYFUNCTION("iFERROR((FILTER('Fund Investment Data'!$Z:$Z, 'Fund Investment Data'!$C:$C = $C2616, 'Fund Investment Data'!$A:$A = $A2616 - 1, 'Fund Investment Data'!$B:$B = 12) + FILTER('Fund Investment Data'!$AB:$AB, 'Fund Investment Data'!$C:$C = $C2616, 'Fund Invest"&amp;"ment Data'!$A:$A = $A2616 - 1, 'Fund Investment Data'!$B:$B = 12)) * (1 + AVERAGE(FILTER('Inflation Data'!$C:$C,'Inflation Data'!$A:$A = ($A2616 - 2)))) * Parameters!$A$4,0)"),0.0)</f>
        <v>0</v>
      </c>
      <c r="Y2616" s="91">
        <f>IFERROR(__xludf.DUMMYFUNCTION("IFERROR((IFERROR(FILTER('Fund Investment Data'!$P:$P,'Fund Investment Data'!$C:$C = $C2616,'Fund Investment Data'!$A:$A = ($A2616 - 2), 'Fund Investment Data'!$B:$B = 12),0) - SUM(FILTER('Fund Investment Data'!$V:$V, 'Fund Investment Data'!$C:$C = $C2616,"&amp;" 'Fund Investment Data'!$A:$A = ($A2616 - 2), 'Fund Investment Data'!$B:$B &gt; 3)))  * Parameters!$B$4 * (1 - Parameters!$A$4),0)"),0.0)</f>
        <v>0</v>
      </c>
      <c r="Z2616" s="91">
        <f t="shared" si="24"/>
        <v>0</v>
      </c>
      <c r="AA2616" s="91">
        <f>IFERROR(__xludf.DUMMYFUNCTION("((IFERROR((SUM(FILTER('Fund Investment Data'!$V:$V, 'Fund Investment Data'!$C:$C = $C2616, 'Fund Investment Data'!$A:$A = $A2616 - 1, 'Fund Investment Data'!$B:$B &gt;= 4, 'Fund Investment Data'!$B:$B &lt;= ($B2616 + 5))) / 12) * ($B2616 - 3) * Parameters!$B$4,"&amp;" 0) + IF($B2616 &gt;= 9, IFERROR(SUM(FILTER('Fund Investment Data'!$V:$V, 'Fund Investment Data'!$C:$C = $C2616, 'Fund Investment Data'!$A:$A = $A2616, 'Fund Investment Data'!$B:$B &lt;= 3)) * Parameters!$B$4, 0),0)))"),0.0)</f>
        <v>0</v>
      </c>
      <c r="AB2616" s="32">
        <f>IFERROR(__xludf.DUMMYFUNCTION("IFERROR(((IFERROR(SUM(FILTER('Fund Investment Data'!$V:$V, 'Fund Investment Data'!$C:$C = $C2616, 'Fund Investment Data'!$A:$A = $A2616 - 2, 'Fund Investment Data'!$B:$B &gt;= 4)) * Parameters!$B$4,0) + IFERROR(SUM(FILTER('Fund Investment Data'!$V:$V, 'Fund "&amp;"Investment Data'!$C:$C = $C2616, 'Fund Investment Data'!$A:$A = $A2616 - 1, 'Fund Investment Data'!$B:$B &lt;= 3)) * Parameters!$B$4,0))),0)"),0.0)</f>
        <v>0</v>
      </c>
      <c r="AC2616" s="32">
        <f>IFERROR(__xludf.DUMMYFUNCTION("IFERROR(FILTER($AF:$AF,$C:$C = $C2616,$A:$A = $A2616 - 1,$B:$B = 12),0)"),0.0)</f>
        <v>0</v>
      </c>
      <c r="AD2616" s="32">
        <f t="shared" si="23"/>
        <v>0</v>
      </c>
      <c r="AE2616" s="32">
        <f t="shared" si="2"/>
        <v>0</v>
      </c>
      <c r="AF2616" s="32"/>
    </row>
    <row r="2617">
      <c r="A2617" s="86"/>
      <c r="B2617" s="87"/>
      <c r="C2617" s="88"/>
      <c r="D2617" s="104"/>
      <c r="E2617" s="104"/>
      <c r="F2617" s="104"/>
      <c r="G2617" s="104"/>
      <c r="H2617" s="104"/>
      <c r="I2617" s="104"/>
      <c r="J2617" s="104"/>
      <c r="K2617" s="32"/>
      <c r="L2617" s="32"/>
      <c r="M2617" s="32"/>
      <c r="N2617" s="32"/>
      <c r="O2617" s="106"/>
      <c r="P2617" s="91">
        <f>IFERROR(__xludf.DUMMYFUNCTION("IFERROR(sum(FILTER($D:$N,$C:$C = $C2617,$A:$A &lt; $A2617,$B:$B = 12)),0) + sum($D2617:$N2617)"),0.0)</f>
        <v>0</v>
      </c>
      <c r="Q2617" s="92">
        <f t="shared" si="1"/>
        <v>0</v>
      </c>
      <c r="R2617" s="91">
        <f t="array" ref="R2617">IFERROR(INDEX('Fund YTD Target Values'!$1:$1000, MATCH($C2617,'Fund YTD Target Values'!$A:$A,0), MATCH($A2617,'Fund YTD Target Values'!$1:$1,0)),0)</f>
        <v>0</v>
      </c>
      <c r="S2617" s="91">
        <f>IFERROR(__xludf.DUMMYFUNCTION("IFERROR(sum(FILTER('Fund Investment Data'!$V:$V, 'Fund Investment Data'!$C:$C = $C2617, 'Fund Investment Data'!$A:$A &lt; $A2617)),0) + IFERROR(sum(FILTER('Fund Investment Data'!$V:$V, 'Fund Investment Data'!$C:$C = $C2617, 'Fund Investment Data'!$A:$A = $A2"&amp;"617, 'Fund Investment Data'!$B:$B &lt;= $B2617)),0)"),0.0)</f>
        <v>0</v>
      </c>
      <c r="T2617" s="32"/>
      <c r="U2617" s="32"/>
      <c r="V2617" s="32">
        <f>IFERROR(__xludf.DUMMYFUNCTION("$D2617 - IFERROR(FILTER($D:$D,$C:$C = $C2617, $A:$A = $A2617, $B:$B = $B2617 - 1),0)"),0.0)</f>
        <v>0</v>
      </c>
      <c r="W2617" s="93">
        <f>IFERROR(__xludf.DUMMYFUNCTION("$E2617 - IFERROR(FILTER($E:$E,$C:$C = $C2617, $A:$A = $A2617, $B:$B = $B2617 - 1),0)"),0.0)</f>
        <v>0</v>
      </c>
      <c r="X2617" s="91">
        <f>IFERROR(__xludf.DUMMYFUNCTION("iFERROR((FILTER('Fund Investment Data'!$Z:$Z, 'Fund Investment Data'!$C:$C = $C2617, 'Fund Investment Data'!$A:$A = $A2617 - 1, 'Fund Investment Data'!$B:$B = 12) + FILTER('Fund Investment Data'!$AB:$AB, 'Fund Investment Data'!$C:$C = $C2617, 'Fund Invest"&amp;"ment Data'!$A:$A = $A2617 - 1, 'Fund Investment Data'!$B:$B = 12)) * (1 + AVERAGE(FILTER('Inflation Data'!$C:$C,'Inflation Data'!$A:$A = ($A2617 - 2)))) * Parameters!$A$4,0)"),0.0)</f>
        <v>0</v>
      </c>
      <c r="Y2617" s="91">
        <f>IFERROR(__xludf.DUMMYFUNCTION("IFERROR((IFERROR(FILTER('Fund Investment Data'!$P:$P,'Fund Investment Data'!$C:$C = $C2617,'Fund Investment Data'!$A:$A = ($A2617 - 2), 'Fund Investment Data'!$B:$B = 12),0) - SUM(FILTER('Fund Investment Data'!$V:$V, 'Fund Investment Data'!$C:$C = $C2617,"&amp;" 'Fund Investment Data'!$A:$A = ($A2617 - 2), 'Fund Investment Data'!$B:$B &gt; 3)))  * Parameters!$B$4 * (1 - Parameters!$A$4),0)"),0.0)</f>
        <v>0</v>
      </c>
      <c r="Z2617" s="91">
        <f t="shared" si="24"/>
        <v>0</v>
      </c>
      <c r="AA2617" s="91">
        <f>IFERROR(__xludf.DUMMYFUNCTION("((IFERROR((SUM(FILTER('Fund Investment Data'!$V:$V, 'Fund Investment Data'!$C:$C = $C2617, 'Fund Investment Data'!$A:$A = $A2617 - 1, 'Fund Investment Data'!$B:$B &gt;= 4, 'Fund Investment Data'!$B:$B &lt;= ($B2617 + 5))) / 12) * ($B2617 - 3) * Parameters!$B$4,"&amp;" 0) + IF($B2617 &gt;= 9, IFERROR(SUM(FILTER('Fund Investment Data'!$V:$V, 'Fund Investment Data'!$C:$C = $C2617, 'Fund Investment Data'!$A:$A = $A2617, 'Fund Investment Data'!$B:$B &lt;= 3)) * Parameters!$B$4, 0),0)))"),0.0)</f>
        <v>0</v>
      </c>
      <c r="AB2617" s="32">
        <f>IFERROR(__xludf.DUMMYFUNCTION("IFERROR(((IFERROR(SUM(FILTER('Fund Investment Data'!$V:$V, 'Fund Investment Data'!$C:$C = $C2617, 'Fund Investment Data'!$A:$A = $A2617 - 2, 'Fund Investment Data'!$B:$B &gt;= 4)) * Parameters!$B$4,0) + IFERROR(SUM(FILTER('Fund Investment Data'!$V:$V, 'Fund "&amp;"Investment Data'!$C:$C = $C2617, 'Fund Investment Data'!$A:$A = $A2617 - 1, 'Fund Investment Data'!$B:$B &lt;= 3)) * Parameters!$B$4,0))),0)"),0.0)</f>
        <v>0</v>
      </c>
      <c r="AC2617" s="32">
        <f>IFERROR(__xludf.DUMMYFUNCTION("IFERROR(FILTER($AF:$AF,$C:$C = $C2617,$A:$A = $A2617 - 1,$B:$B = 12),0)"),0.0)</f>
        <v>0</v>
      </c>
      <c r="AD2617" s="32">
        <f t="shared" si="23"/>
        <v>0</v>
      </c>
      <c r="AE2617" s="32">
        <f t="shared" si="2"/>
        <v>0</v>
      </c>
      <c r="AF2617" s="32"/>
    </row>
    <row r="2618">
      <c r="A2618" s="86"/>
      <c r="B2618" s="87"/>
      <c r="C2618" s="88"/>
      <c r="D2618" s="104"/>
      <c r="E2618" s="104"/>
      <c r="F2618" s="104"/>
      <c r="G2618" s="104"/>
      <c r="H2618" s="104"/>
      <c r="I2618" s="104"/>
      <c r="J2618" s="104"/>
      <c r="K2618" s="32"/>
      <c r="L2618" s="32"/>
      <c r="M2618" s="32"/>
      <c r="N2618" s="32"/>
      <c r="O2618" s="106"/>
      <c r="P2618" s="91">
        <f>IFERROR(__xludf.DUMMYFUNCTION("IFERROR(sum(FILTER($D:$N,$C:$C = $C2618,$A:$A &lt; $A2618,$B:$B = 12)),0) + sum($D2618:$N2618)"),0.0)</f>
        <v>0</v>
      </c>
      <c r="Q2618" s="92">
        <f t="shared" si="1"/>
        <v>0</v>
      </c>
      <c r="R2618" s="91">
        <f t="array" ref="R2618">IFERROR(INDEX('Fund YTD Target Values'!$1:$1000, MATCH($C2618,'Fund YTD Target Values'!$A:$A,0), MATCH($A2618,'Fund YTD Target Values'!$1:$1,0)),0)</f>
        <v>0</v>
      </c>
      <c r="S2618" s="91">
        <f>IFERROR(__xludf.DUMMYFUNCTION("IFERROR(sum(FILTER('Fund Investment Data'!$V:$V, 'Fund Investment Data'!$C:$C = $C2618, 'Fund Investment Data'!$A:$A &lt; $A2618)),0) + IFERROR(sum(FILTER('Fund Investment Data'!$V:$V, 'Fund Investment Data'!$C:$C = $C2618, 'Fund Investment Data'!$A:$A = $A2"&amp;"618, 'Fund Investment Data'!$B:$B &lt;= $B2618)),0)"),0.0)</f>
        <v>0</v>
      </c>
      <c r="T2618" s="32"/>
      <c r="U2618" s="32"/>
      <c r="V2618" s="32">
        <f>IFERROR(__xludf.DUMMYFUNCTION("$D2618 - IFERROR(FILTER($D:$D,$C:$C = $C2618, $A:$A = $A2618, $B:$B = $B2618 - 1),0)"),0.0)</f>
        <v>0</v>
      </c>
      <c r="W2618" s="93">
        <f>IFERROR(__xludf.DUMMYFUNCTION("$E2618 - IFERROR(FILTER($E:$E,$C:$C = $C2618, $A:$A = $A2618, $B:$B = $B2618 - 1),0)"),0.0)</f>
        <v>0</v>
      </c>
      <c r="X2618" s="91">
        <f>IFERROR(__xludf.DUMMYFUNCTION("iFERROR((FILTER('Fund Investment Data'!$Z:$Z, 'Fund Investment Data'!$C:$C = $C2618, 'Fund Investment Data'!$A:$A = $A2618 - 1, 'Fund Investment Data'!$B:$B = 12) + FILTER('Fund Investment Data'!$AB:$AB, 'Fund Investment Data'!$C:$C = $C2618, 'Fund Invest"&amp;"ment Data'!$A:$A = $A2618 - 1, 'Fund Investment Data'!$B:$B = 12)) * (1 + AVERAGE(FILTER('Inflation Data'!$C:$C,'Inflation Data'!$A:$A = ($A2618 - 2)))) * Parameters!$A$4,0)"),0.0)</f>
        <v>0</v>
      </c>
      <c r="Y2618" s="91">
        <f>IFERROR(__xludf.DUMMYFUNCTION("IFERROR((IFERROR(FILTER('Fund Investment Data'!$P:$P,'Fund Investment Data'!$C:$C = $C2618,'Fund Investment Data'!$A:$A = ($A2618 - 2), 'Fund Investment Data'!$B:$B = 12),0) - SUM(FILTER('Fund Investment Data'!$V:$V, 'Fund Investment Data'!$C:$C = $C2618,"&amp;" 'Fund Investment Data'!$A:$A = ($A2618 - 2), 'Fund Investment Data'!$B:$B &gt; 3)))  * Parameters!$B$4 * (1 - Parameters!$A$4),0)"),0.0)</f>
        <v>0</v>
      </c>
      <c r="Z2618" s="91">
        <f t="shared" si="24"/>
        <v>0</v>
      </c>
      <c r="AA2618" s="91">
        <f>IFERROR(__xludf.DUMMYFUNCTION("((IFERROR((SUM(FILTER('Fund Investment Data'!$V:$V, 'Fund Investment Data'!$C:$C = $C2618, 'Fund Investment Data'!$A:$A = $A2618 - 1, 'Fund Investment Data'!$B:$B &gt;= 4, 'Fund Investment Data'!$B:$B &lt;= ($B2618 + 5))) / 12) * ($B2618 - 3) * Parameters!$B$4,"&amp;" 0) + IF($B2618 &gt;= 9, IFERROR(SUM(FILTER('Fund Investment Data'!$V:$V, 'Fund Investment Data'!$C:$C = $C2618, 'Fund Investment Data'!$A:$A = $A2618, 'Fund Investment Data'!$B:$B &lt;= 3)) * Parameters!$B$4, 0),0)))"),0.0)</f>
        <v>0</v>
      </c>
      <c r="AB2618" s="32">
        <f>IFERROR(__xludf.DUMMYFUNCTION("IFERROR(((IFERROR(SUM(FILTER('Fund Investment Data'!$V:$V, 'Fund Investment Data'!$C:$C = $C2618, 'Fund Investment Data'!$A:$A = $A2618 - 2, 'Fund Investment Data'!$B:$B &gt;= 4)) * Parameters!$B$4,0) + IFERROR(SUM(FILTER('Fund Investment Data'!$V:$V, 'Fund "&amp;"Investment Data'!$C:$C = $C2618, 'Fund Investment Data'!$A:$A = $A2618 - 1, 'Fund Investment Data'!$B:$B &lt;= 3)) * Parameters!$B$4,0))),0)"),0.0)</f>
        <v>0</v>
      </c>
      <c r="AC2618" s="32">
        <f>IFERROR(__xludf.DUMMYFUNCTION("IFERROR(FILTER($AF:$AF,$C:$C = $C2618,$A:$A = $A2618 - 1,$B:$B = 12),0)"),0.0)</f>
        <v>0</v>
      </c>
      <c r="AD2618" s="32">
        <f t="shared" si="23"/>
        <v>0</v>
      </c>
      <c r="AE2618" s="32">
        <f t="shared" si="2"/>
        <v>0</v>
      </c>
      <c r="AF2618" s="32"/>
    </row>
    <row r="2619">
      <c r="A2619" s="86"/>
      <c r="B2619" s="87"/>
      <c r="C2619" s="88"/>
      <c r="D2619" s="104"/>
      <c r="E2619" s="104"/>
      <c r="F2619" s="104"/>
      <c r="G2619" s="104"/>
      <c r="H2619" s="104"/>
      <c r="I2619" s="104"/>
      <c r="J2619" s="104"/>
      <c r="K2619" s="32"/>
      <c r="L2619" s="32"/>
      <c r="M2619" s="32"/>
      <c r="N2619" s="32"/>
      <c r="O2619" s="106"/>
      <c r="P2619" s="91">
        <f>IFERROR(__xludf.DUMMYFUNCTION("IFERROR(sum(FILTER($D:$N,$C:$C = $C2619,$A:$A &lt; $A2619,$B:$B = 12)),0) + sum($D2619:$N2619)"),0.0)</f>
        <v>0</v>
      </c>
      <c r="Q2619" s="92">
        <f t="shared" si="1"/>
        <v>0</v>
      </c>
      <c r="R2619" s="91">
        <f t="array" ref="R2619">IFERROR(INDEX('Fund YTD Target Values'!$1:$1000, MATCH($C2619,'Fund YTD Target Values'!$A:$A,0), MATCH($A2619,'Fund YTD Target Values'!$1:$1,0)),0)</f>
        <v>0</v>
      </c>
      <c r="S2619" s="91">
        <f>IFERROR(__xludf.DUMMYFUNCTION("IFERROR(sum(FILTER('Fund Investment Data'!$V:$V, 'Fund Investment Data'!$C:$C = $C2619, 'Fund Investment Data'!$A:$A &lt; $A2619)),0) + IFERROR(sum(FILTER('Fund Investment Data'!$V:$V, 'Fund Investment Data'!$C:$C = $C2619, 'Fund Investment Data'!$A:$A = $A2"&amp;"619, 'Fund Investment Data'!$B:$B &lt;= $B2619)),0)"),0.0)</f>
        <v>0</v>
      </c>
      <c r="T2619" s="32"/>
      <c r="U2619" s="32"/>
      <c r="V2619" s="32">
        <f>IFERROR(__xludf.DUMMYFUNCTION("$D2619 - IFERROR(FILTER($D:$D,$C:$C = $C2619, $A:$A = $A2619, $B:$B = $B2619 - 1),0)"),0.0)</f>
        <v>0</v>
      </c>
      <c r="W2619" s="93">
        <f>IFERROR(__xludf.DUMMYFUNCTION("$E2619 - IFERROR(FILTER($E:$E,$C:$C = $C2619, $A:$A = $A2619, $B:$B = $B2619 - 1),0)"),0.0)</f>
        <v>0</v>
      </c>
      <c r="X2619" s="91">
        <f>IFERROR(__xludf.DUMMYFUNCTION("iFERROR((FILTER('Fund Investment Data'!$Z:$Z, 'Fund Investment Data'!$C:$C = $C2619, 'Fund Investment Data'!$A:$A = $A2619 - 1, 'Fund Investment Data'!$B:$B = 12) + FILTER('Fund Investment Data'!$AB:$AB, 'Fund Investment Data'!$C:$C = $C2619, 'Fund Invest"&amp;"ment Data'!$A:$A = $A2619 - 1, 'Fund Investment Data'!$B:$B = 12)) * (1 + AVERAGE(FILTER('Inflation Data'!$C:$C,'Inflation Data'!$A:$A = ($A2619 - 2)))) * Parameters!$A$4,0)"),0.0)</f>
        <v>0</v>
      </c>
      <c r="Y2619" s="91">
        <f>IFERROR(__xludf.DUMMYFUNCTION("IFERROR((IFERROR(FILTER('Fund Investment Data'!$P:$P,'Fund Investment Data'!$C:$C = $C2619,'Fund Investment Data'!$A:$A = ($A2619 - 2), 'Fund Investment Data'!$B:$B = 12),0) - SUM(FILTER('Fund Investment Data'!$V:$V, 'Fund Investment Data'!$C:$C = $C2619,"&amp;" 'Fund Investment Data'!$A:$A = ($A2619 - 2), 'Fund Investment Data'!$B:$B &gt; 3)))  * Parameters!$B$4 * (1 - Parameters!$A$4),0)"),0.0)</f>
        <v>0</v>
      </c>
      <c r="Z2619" s="91">
        <f t="shared" si="24"/>
        <v>0</v>
      </c>
      <c r="AA2619" s="91">
        <f>IFERROR(__xludf.DUMMYFUNCTION("((IFERROR((SUM(FILTER('Fund Investment Data'!$V:$V, 'Fund Investment Data'!$C:$C = $C2619, 'Fund Investment Data'!$A:$A = $A2619 - 1, 'Fund Investment Data'!$B:$B &gt;= 4, 'Fund Investment Data'!$B:$B &lt;= ($B2619 + 5))) / 12) * ($B2619 - 3) * Parameters!$B$4,"&amp;" 0) + IF($B2619 &gt;= 9, IFERROR(SUM(FILTER('Fund Investment Data'!$V:$V, 'Fund Investment Data'!$C:$C = $C2619, 'Fund Investment Data'!$A:$A = $A2619, 'Fund Investment Data'!$B:$B &lt;= 3)) * Parameters!$B$4, 0),0)))"),0.0)</f>
        <v>0</v>
      </c>
      <c r="AB2619" s="32">
        <f>IFERROR(__xludf.DUMMYFUNCTION("IFERROR(((IFERROR(SUM(FILTER('Fund Investment Data'!$V:$V, 'Fund Investment Data'!$C:$C = $C2619, 'Fund Investment Data'!$A:$A = $A2619 - 2, 'Fund Investment Data'!$B:$B &gt;= 4)) * Parameters!$B$4,0) + IFERROR(SUM(FILTER('Fund Investment Data'!$V:$V, 'Fund "&amp;"Investment Data'!$C:$C = $C2619, 'Fund Investment Data'!$A:$A = $A2619 - 1, 'Fund Investment Data'!$B:$B &lt;= 3)) * Parameters!$B$4,0))),0)"),0.0)</f>
        <v>0</v>
      </c>
      <c r="AC2619" s="32">
        <f>IFERROR(__xludf.DUMMYFUNCTION("IFERROR(FILTER($AF:$AF,$C:$C = $C2619,$A:$A = $A2619 - 1,$B:$B = 12),0)"),0.0)</f>
        <v>0</v>
      </c>
      <c r="AD2619" s="32">
        <f t="shared" si="23"/>
        <v>0</v>
      </c>
      <c r="AE2619" s="32">
        <f t="shared" si="2"/>
        <v>0</v>
      </c>
      <c r="AF2619" s="32"/>
    </row>
    <row r="2620">
      <c r="A2620" s="86"/>
      <c r="B2620" s="87"/>
      <c r="C2620" s="88"/>
      <c r="D2620" s="104"/>
      <c r="E2620" s="104"/>
      <c r="F2620" s="104"/>
      <c r="G2620" s="104"/>
      <c r="H2620" s="104"/>
      <c r="I2620" s="104"/>
      <c r="J2620" s="104"/>
      <c r="K2620" s="32"/>
      <c r="L2620" s="32"/>
      <c r="M2620" s="32"/>
      <c r="N2620" s="32"/>
      <c r="O2620" s="106"/>
      <c r="P2620" s="91">
        <f>IFERROR(__xludf.DUMMYFUNCTION("IFERROR(sum(FILTER($D:$N,$C:$C = $C2620,$A:$A &lt; $A2620,$B:$B = 12)),0) + sum($D2620:$N2620)"),0.0)</f>
        <v>0</v>
      </c>
      <c r="Q2620" s="92">
        <f t="shared" si="1"/>
        <v>0</v>
      </c>
      <c r="R2620" s="91">
        <f t="array" ref="R2620">IFERROR(INDEX('Fund YTD Target Values'!$1:$1000, MATCH($C2620,'Fund YTD Target Values'!$A:$A,0), MATCH($A2620,'Fund YTD Target Values'!$1:$1,0)),0)</f>
        <v>0</v>
      </c>
      <c r="S2620" s="91">
        <f>IFERROR(__xludf.DUMMYFUNCTION("IFERROR(sum(FILTER('Fund Investment Data'!$V:$V, 'Fund Investment Data'!$C:$C = $C2620, 'Fund Investment Data'!$A:$A &lt; $A2620)),0) + IFERROR(sum(FILTER('Fund Investment Data'!$V:$V, 'Fund Investment Data'!$C:$C = $C2620, 'Fund Investment Data'!$A:$A = $A2"&amp;"620, 'Fund Investment Data'!$B:$B &lt;= $B2620)),0)"),0.0)</f>
        <v>0</v>
      </c>
      <c r="T2620" s="32"/>
      <c r="U2620" s="32"/>
      <c r="V2620" s="32">
        <f>IFERROR(__xludf.DUMMYFUNCTION("$D2620 - IFERROR(FILTER($D:$D,$C:$C = $C2620, $A:$A = $A2620, $B:$B = $B2620 - 1),0)"),0.0)</f>
        <v>0</v>
      </c>
      <c r="W2620" s="93">
        <f>IFERROR(__xludf.DUMMYFUNCTION("$E2620 - IFERROR(FILTER($E:$E,$C:$C = $C2620, $A:$A = $A2620, $B:$B = $B2620 - 1),0)"),0.0)</f>
        <v>0</v>
      </c>
      <c r="X2620" s="91">
        <f>IFERROR(__xludf.DUMMYFUNCTION("iFERROR((FILTER('Fund Investment Data'!$Z:$Z, 'Fund Investment Data'!$C:$C = $C2620, 'Fund Investment Data'!$A:$A = $A2620 - 1, 'Fund Investment Data'!$B:$B = 12) + FILTER('Fund Investment Data'!$AB:$AB, 'Fund Investment Data'!$C:$C = $C2620, 'Fund Invest"&amp;"ment Data'!$A:$A = $A2620 - 1, 'Fund Investment Data'!$B:$B = 12)) * (1 + AVERAGE(FILTER('Inflation Data'!$C:$C,'Inflation Data'!$A:$A = ($A2620 - 2)))) * Parameters!$A$4,0)"),0.0)</f>
        <v>0</v>
      </c>
      <c r="Y2620" s="91">
        <f>IFERROR(__xludf.DUMMYFUNCTION("IFERROR((IFERROR(FILTER('Fund Investment Data'!$P:$P,'Fund Investment Data'!$C:$C = $C2620,'Fund Investment Data'!$A:$A = ($A2620 - 2), 'Fund Investment Data'!$B:$B = 12),0) - SUM(FILTER('Fund Investment Data'!$V:$V, 'Fund Investment Data'!$C:$C = $C2620,"&amp;" 'Fund Investment Data'!$A:$A = ($A2620 - 2), 'Fund Investment Data'!$B:$B &gt; 3)))  * Parameters!$B$4 * (1 - Parameters!$A$4),0)"),0.0)</f>
        <v>0</v>
      </c>
      <c r="Z2620" s="91">
        <f t="shared" si="24"/>
        <v>0</v>
      </c>
      <c r="AA2620" s="91">
        <f>IFERROR(__xludf.DUMMYFUNCTION("((IFERROR((SUM(FILTER('Fund Investment Data'!$V:$V, 'Fund Investment Data'!$C:$C = $C2620, 'Fund Investment Data'!$A:$A = $A2620 - 1, 'Fund Investment Data'!$B:$B &gt;= 4, 'Fund Investment Data'!$B:$B &lt;= ($B2620 + 5))) / 12) * ($B2620 - 3) * Parameters!$B$4,"&amp;" 0) + IF($B2620 &gt;= 9, IFERROR(SUM(FILTER('Fund Investment Data'!$V:$V, 'Fund Investment Data'!$C:$C = $C2620, 'Fund Investment Data'!$A:$A = $A2620, 'Fund Investment Data'!$B:$B &lt;= 3)) * Parameters!$B$4, 0),0)))"),0.0)</f>
        <v>0</v>
      </c>
      <c r="AB2620" s="32">
        <f>IFERROR(__xludf.DUMMYFUNCTION("IFERROR(((IFERROR(SUM(FILTER('Fund Investment Data'!$V:$V, 'Fund Investment Data'!$C:$C = $C2620, 'Fund Investment Data'!$A:$A = $A2620 - 2, 'Fund Investment Data'!$B:$B &gt;= 4)) * Parameters!$B$4,0) + IFERROR(SUM(FILTER('Fund Investment Data'!$V:$V, 'Fund "&amp;"Investment Data'!$C:$C = $C2620, 'Fund Investment Data'!$A:$A = $A2620 - 1, 'Fund Investment Data'!$B:$B &lt;= 3)) * Parameters!$B$4,0))),0)"),0.0)</f>
        <v>0</v>
      </c>
      <c r="AC2620" s="32">
        <f>IFERROR(__xludf.DUMMYFUNCTION("IFERROR(FILTER($AF:$AF,$C:$C = $C2620,$A:$A = $A2620 - 1,$B:$B = 12),0)"),0.0)</f>
        <v>0</v>
      </c>
      <c r="AD2620" s="32">
        <f t="shared" si="23"/>
        <v>0</v>
      </c>
      <c r="AE2620" s="32">
        <f t="shared" si="2"/>
        <v>0</v>
      </c>
      <c r="AF2620" s="32"/>
    </row>
    <row r="2621">
      <c r="A2621" s="86"/>
      <c r="B2621" s="87"/>
      <c r="C2621" s="88"/>
      <c r="D2621" s="104"/>
      <c r="E2621" s="104"/>
      <c r="F2621" s="104"/>
      <c r="G2621" s="104"/>
      <c r="H2621" s="104"/>
      <c r="I2621" s="104"/>
      <c r="J2621" s="104"/>
      <c r="K2621" s="32"/>
      <c r="L2621" s="32"/>
      <c r="M2621" s="32"/>
      <c r="N2621" s="32"/>
      <c r="O2621" s="106"/>
      <c r="P2621" s="91">
        <f>IFERROR(__xludf.DUMMYFUNCTION("IFERROR(sum(FILTER($D:$N,$C:$C = $C2621,$A:$A &lt; $A2621,$B:$B = 12)),0) + sum($D2621:$N2621)"),0.0)</f>
        <v>0</v>
      </c>
      <c r="Q2621" s="92">
        <f t="shared" si="1"/>
        <v>0</v>
      </c>
      <c r="R2621" s="91">
        <f t="array" ref="R2621">IFERROR(INDEX('Fund YTD Target Values'!$1:$1000, MATCH($C2621,'Fund YTD Target Values'!$A:$A,0), MATCH($A2621,'Fund YTD Target Values'!$1:$1,0)),0)</f>
        <v>0</v>
      </c>
      <c r="S2621" s="91">
        <f>IFERROR(__xludf.DUMMYFUNCTION("IFERROR(sum(FILTER('Fund Investment Data'!$V:$V, 'Fund Investment Data'!$C:$C = $C2621, 'Fund Investment Data'!$A:$A &lt; $A2621)),0) + IFERROR(sum(FILTER('Fund Investment Data'!$V:$V, 'Fund Investment Data'!$C:$C = $C2621, 'Fund Investment Data'!$A:$A = $A2"&amp;"621, 'Fund Investment Data'!$B:$B &lt;= $B2621)),0)"),0.0)</f>
        <v>0</v>
      </c>
      <c r="T2621" s="32"/>
      <c r="U2621" s="32"/>
      <c r="V2621" s="32">
        <f>IFERROR(__xludf.DUMMYFUNCTION("$D2621 - IFERROR(FILTER($D:$D,$C:$C = $C2621, $A:$A = $A2621, $B:$B = $B2621 - 1),0)"),0.0)</f>
        <v>0</v>
      </c>
      <c r="W2621" s="93">
        <f>IFERROR(__xludf.DUMMYFUNCTION("$E2621 - IFERROR(FILTER($E:$E,$C:$C = $C2621, $A:$A = $A2621, $B:$B = $B2621 - 1),0)"),0.0)</f>
        <v>0</v>
      </c>
      <c r="X2621" s="91">
        <f>IFERROR(__xludf.DUMMYFUNCTION("iFERROR((FILTER('Fund Investment Data'!$Z:$Z, 'Fund Investment Data'!$C:$C = $C2621, 'Fund Investment Data'!$A:$A = $A2621 - 1, 'Fund Investment Data'!$B:$B = 12) + FILTER('Fund Investment Data'!$AB:$AB, 'Fund Investment Data'!$C:$C = $C2621, 'Fund Invest"&amp;"ment Data'!$A:$A = $A2621 - 1, 'Fund Investment Data'!$B:$B = 12)) * (1 + AVERAGE(FILTER('Inflation Data'!$C:$C,'Inflation Data'!$A:$A = ($A2621 - 2)))) * Parameters!$A$4,0)"),0.0)</f>
        <v>0</v>
      </c>
      <c r="Y2621" s="91">
        <f>IFERROR(__xludf.DUMMYFUNCTION("IFERROR((IFERROR(FILTER('Fund Investment Data'!$P:$P,'Fund Investment Data'!$C:$C = $C2621,'Fund Investment Data'!$A:$A = ($A2621 - 2), 'Fund Investment Data'!$B:$B = 12),0) - SUM(FILTER('Fund Investment Data'!$V:$V, 'Fund Investment Data'!$C:$C = $C2621,"&amp;" 'Fund Investment Data'!$A:$A = ($A2621 - 2), 'Fund Investment Data'!$B:$B &gt; 3)))  * Parameters!$B$4 * (1 - Parameters!$A$4),0)"),0.0)</f>
        <v>0</v>
      </c>
      <c r="Z2621" s="91">
        <f t="shared" si="24"/>
        <v>0</v>
      </c>
      <c r="AA2621" s="91">
        <f>IFERROR(__xludf.DUMMYFUNCTION("((IFERROR((SUM(FILTER('Fund Investment Data'!$V:$V, 'Fund Investment Data'!$C:$C = $C2621, 'Fund Investment Data'!$A:$A = $A2621 - 1, 'Fund Investment Data'!$B:$B &gt;= 4, 'Fund Investment Data'!$B:$B &lt;= ($B2621 + 5))) / 12) * ($B2621 - 3) * Parameters!$B$4,"&amp;" 0) + IF($B2621 &gt;= 9, IFERROR(SUM(FILTER('Fund Investment Data'!$V:$V, 'Fund Investment Data'!$C:$C = $C2621, 'Fund Investment Data'!$A:$A = $A2621, 'Fund Investment Data'!$B:$B &lt;= 3)) * Parameters!$B$4, 0),0)))"),0.0)</f>
        <v>0</v>
      </c>
      <c r="AB2621" s="32">
        <f>IFERROR(__xludf.DUMMYFUNCTION("IFERROR(((IFERROR(SUM(FILTER('Fund Investment Data'!$V:$V, 'Fund Investment Data'!$C:$C = $C2621, 'Fund Investment Data'!$A:$A = $A2621 - 2, 'Fund Investment Data'!$B:$B &gt;= 4)) * Parameters!$B$4,0) + IFERROR(SUM(FILTER('Fund Investment Data'!$V:$V, 'Fund "&amp;"Investment Data'!$C:$C = $C2621, 'Fund Investment Data'!$A:$A = $A2621 - 1, 'Fund Investment Data'!$B:$B &lt;= 3)) * Parameters!$B$4,0))),0)"),0.0)</f>
        <v>0</v>
      </c>
      <c r="AC2621" s="32">
        <f>IFERROR(__xludf.DUMMYFUNCTION("IFERROR(FILTER($AF:$AF,$C:$C = $C2621,$A:$A = $A2621 - 1,$B:$B = 12),0)"),0.0)</f>
        <v>0</v>
      </c>
      <c r="AD2621" s="32">
        <f t="shared" si="23"/>
        <v>0</v>
      </c>
      <c r="AE2621" s="32">
        <f t="shared" si="2"/>
        <v>0</v>
      </c>
      <c r="AF2621" s="32"/>
    </row>
    <row r="2622">
      <c r="A2622" s="86"/>
      <c r="B2622" s="87"/>
      <c r="C2622" s="88"/>
      <c r="D2622" s="104"/>
      <c r="E2622" s="104"/>
      <c r="F2622" s="104"/>
      <c r="G2622" s="104"/>
      <c r="H2622" s="104"/>
      <c r="I2622" s="104"/>
      <c r="J2622" s="104"/>
      <c r="K2622" s="32"/>
      <c r="L2622" s="32"/>
      <c r="M2622" s="32"/>
      <c r="N2622" s="32"/>
      <c r="O2622" s="106"/>
      <c r="P2622" s="91">
        <f>IFERROR(__xludf.DUMMYFUNCTION("IFERROR(sum(FILTER($D:$N,$C:$C = $C2622,$A:$A &lt; $A2622,$B:$B = 12)),0) + sum($D2622:$N2622)"),0.0)</f>
        <v>0</v>
      </c>
      <c r="Q2622" s="92">
        <f t="shared" si="1"/>
        <v>0</v>
      </c>
      <c r="R2622" s="91">
        <f t="array" ref="R2622">IFERROR(INDEX('Fund YTD Target Values'!$1:$1000, MATCH($C2622,'Fund YTD Target Values'!$A:$A,0), MATCH($A2622,'Fund YTD Target Values'!$1:$1,0)),0)</f>
        <v>0</v>
      </c>
      <c r="S2622" s="91">
        <f>IFERROR(__xludf.DUMMYFUNCTION("IFERROR(sum(FILTER('Fund Investment Data'!$V:$V, 'Fund Investment Data'!$C:$C = $C2622, 'Fund Investment Data'!$A:$A &lt; $A2622)),0) + IFERROR(sum(FILTER('Fund Investment Data'!$V:$V, 'Fund Investment Data'!$C:$C = $C2622, 'Fund Investment Data'!$A:$A = $A2"&amp;"622, 'Fund Investment Data'!$B:$B &lt;= $B2622)),0)"),0.0)</f>
        <v>0</v>
      </c>
      <c r="T2622" s="32"/>
      <c r="U2622" s="32"/>
      <c r="V2622" s="32">
        <f>IFERROR(__xludf.DUMMYFUNCTION("$D2622 - IFERROR(FILTER($D:$D,$C:$C = $C2622, $A:$A = $A2622, $B:$B = $B2622 - 1),0)"),0.0)</f>
        <v>0</v>
      </c>
      <c r="W2622" s="93">
        <f>IFERROR(__xludf.DUMMYFUNCTION("$E2622 - IFERROR(FILTER($E:$E,$C:$C = $C2622, $A:$A = $A2622, $B:$B = $B2622 - 1),0)"),0.0)</f>
        <v>0</v>
      </c>
      <c r="X2622" s="91">
        <f>IFERROR(__xludf.DUMMYFUNCTION("iFERROR((FILTER('Fund Investment Data'!$Z:$Z, 'Fund Investment Data'!$C:$C = $C2622, 'Fund Investment Data'!$A:$A = $A2622 - 1, 'Fund Investment Data'!$B:$B = 12) + FILTER('Fund Investment Data'!$AB:$AB, 'Fund Investment Data'!$C:$C = $C2622, 'Fund Invest"&amp;"ment Data'!$A:$A = $A2622 - 1, 'Fund Investment Data'!$B:$B = 12)) * (1 + AVERAGE(FILTER('Inflation Data'!$C:$C,'Inflation Data'!$A:$A = ($A2622 - 2)))) * Parameters!$A$4,0)"),0.0)</f>
        <v>0</v>
      </c>
      <c r="Y2622" s="91">
        <f>IFERROR(__xludf.DUMMYFUNCTION("IFERROR((IFERROR(FILTER('Fund Investment Data'!$P:$P,'Fund Investment Data'!$C:$C = $C2622,'Fund Investment Data'!$A:$A = ($A2622 - 2), 'Fund Investment Data'!$B:$B = 12),0) - SUM(FILTER('Fund Investment Data'!$V:$V, 'Fund Investment Data'!$C:$C = $C2622,"&amp;" 'Fund Investment Data'!$A:$A = ($A2622 - 2), 'Fund Investment Data'!$B:$B &gt; 3)))  * Parameters!$B$4 * (1 - Parameters!$A$4),0)"),0.0)</f>
        <v>0</v>
      </c>
      <c r="Z2622" s="91">
        <f t="shared" si="24"/>
        <v>0</v>
      </c>
      <c r="AA2622" s="91">
        <f>IFERROR(__xludf.DUMMYFUNCTION("((IFERROR((SUM(FILTER('Fund Investment Data'!$V:$V, 'Fund Investment Data'!$C:$C = $C2622, 'Fund Investment Data'!$A:$A = $A2622 - 1, 'Fund Investment Data'!$B:$B &gt;= 4, 'Fund Investment Data'!$B:$B &lt;= ($B2622 + 5))) / 12) * ($B2622 - 3) * Parameters!$B$4,"&amp;" 0) + IF($B2622 &gt;= 9, IFERROR(SUM(FILTER('Fund Investment Data'!$V:$V, 'Fund Investment Data'!$C:$C = $C2622, 'Fund Investment Data'!$A:$A = $A2622, 'Fund Investment Data'!$B:$B &lt;= 3)) * Parameters!$B$4, 0),0)))"),0.0)</f>
        <v>0</v>
      </c>
      <c r="AB2622" s="32">
        <f>IFERROR(__xludf.DUMMYFUNCTION("IFERROR(((IFERROR(SUM(FILTER('Fund Investment Data'!$V:$V, 'Fund Investment Data'!$C:$C = $C2622, 'Fund Investment Data'!$A:$A = $A2622 - 2, 'Fund Investment Data'!$B:$B &gt;= 4)) * Parameters!$B$4,0) + IFERROR(SUM(FILTER('Fund Investment Data'!$V:$V, 'Fund "&amp;"Investment Data'!$C:$C = $C2622, 'Fund Investment Data'!$A:$A = $A2622 - 1, 'Fund Investment Data'!$B:$B &lt;= 3)) * Parameters!$B$4,0))),0)"),0.0)</f>
        <v>0</v>
      </c>
      <c r="AC2622" s="32">
        <f>IFERROR(__xludf.DUMMYFUNCTION("IFERROR(FILTER($AF:$AF,$C:$C = $C2622,$A:$A = $A2622 - 1,$B:$B = 12),0)"),0.0)</f>
        <v>0</v>
      </c>
      <c r="AD2622" s="32">
        <f t="shared" si="23"/>
        <v>0</v>
      </c>
      <c r="AE2622" s="32">
        <f t="shared" si="2"/>
        <v>0</v>
      </c>
      <c r="AF2622" s="32"/>
    </row>
    <row r="2623">
      <c r="A2623" s="86"/>
      <c r="B2623" s="87"/>
      <c r="C2623" s="88"/>
      <c r="D2623" s="104"/>
      <c r="E2623" s="104"/>
      <c r="F2623" s="104"/>
      <c r="G2623" s="104"/>
      <c r="H2623" s="104"/>
      <c r="I2623" s="104"/>
      <c r="J2623" s="104"/>
      <c r="K2623" s="32"/>
      <c r="L2623" s="32"/>
      <c r="M2623" s="32"/>
      <c r="N2623" s="32"/>
      <c r="O2623" s="106"/>
      <c r="P2623" s="91">
        <f>IFERROR(__xludf.DUMMYFUNCTION("IFERROR(sum(FILTER($D:$N,$C:$C = $C2623,$A:$A &lt; $A2623,$B:$B = 12)),0) + sum($D2623:$N2623)"),0.0)</f>
        <v>0</v>
      </c>
      <c r="Q2623" s="92">
        <f t="shared" si="1"/>
        <v>0</v>
      </c>
      <c r="R2623" s="91">
        <f t="array" ref="R2623">IFERROR(INDEX('Fund YTD Target Values'!$1:$1000, MATCH($C2623,'Fund YTD Target Values'!$A:$A,0), MATCH($A2623,'Fund YTD Target Values'!$1:$1,0)),0)</f>
        <v>0</v>
      </c>
      <c r="S2623" s="91">
        <f>IFERROR(__xludf.DUMMYFUNCTION("IFERROR(sum(FILTER('Fund Investment Data'!$V:$V, 'Fund Investment Data'!$C:$C = $C2623, 'Fund Investment Data'!$A:$A &lt; $A2623)),0) + IFERROR(sum(FILTER('Fund Investment Data'!$V:$V, 'Fund Investment Data'!$C:$C = $C2623, 'Fund Investment Data'!$A:$A = $A2"&amp;"623, 'Fund Investment Data'!$B:$B &lt;= $B2623)),0)"),0.0)</f>
        <v>0</v>
      </c>
      <c r="T2623" s="32"/>
      <c r="U2623" s="32"/>
      <c r="V2623" s="32">
        <f>IFERROR(__xludf.DUMMYFUNCTION("$D2623 - IFERROR(FILTER($D:$D,$C:$C = $C2623, $A:$A = $A2623, $B:$B = $B2623 - 1),0)"),0.0)</f>
        <v>0</v>
      </c>
      <c r="W2623" s="93">
        <f>IFERROR(__xludf.DUMMYFUNCTION("$E2623 - IFERROR(FILTER($E:$E,$C:$C = $C2623, $A:$A = $A2623, $B:$B = $B2623 - 1),0)"),0.0)</f>
        <v>0</v>
      </c>
      <c r="X2623" s="91">
        <f>IFERROR(__xludf.DUMMYFUNCTION("iFERROR((FILTER('Fund Investment Data'!$Z:$Z, 'Fund Investment Data'!$C:$C = $C2623, 'Fund Investment Data'!$A:$A = $A2623 - 1, 'Fund Investment Data'!$B:$B = 12) + FILTER('Fund Investment Data'!$AB:$AB, 'Fund Investment Data'!$C:$C = $C2623, 'Fund Invest"&amp;"ment Data'!$A:$A = $A2623 - 1, 'Fund Investment Data'!$B:$B = 12)) * (1 + AVERAGE(FILTER('Inflation Data'!$C:$C,'Inflation Data'!$A:$A = ($A2623 - 2)))) * Parameters!$A$4,0)"),0.0)</f>
        <v>0</v>
      </c>
      <c r="Y2623" s="91">
        <f>IFERROR(__xludf.DUMMYFUNCTION("IFERROR((IFERROR(FILTER('Fund Investment Data'!$P:$P,'Fund Investment Data'!$C:$C = $C2623,'Fund Investment Data'!$A:$A = ($A2623 - 2), 'Fund Investment Data'!$B:$B = 12),0) - SUM(FILTER('Fund Investment Data'!$V:$V, 'Fund Investment Data'!$C:$C = $C2623,"&amp;" 'Fund Investment Data'!$A:$A = ($A2623 - 2), 'Fund Investment Data'!$B:$B &gt; 3)))  * Parameters!$B$4 * (1 - Parameters!$A$4),0)"),0.0)</f>
        <v>0</v>
      </c>
      <c r="Z2623" s="91">
        <f t="shared" si="24"/>
        <v>0</v>
      </c>
      <c r="AA2623" s="91">
        <f>IFERROR(__xludf.DUMMYFUNCTION("((IFERROR((SUM(FILTER('Fund Investment Data'!$V:$V, 'Fund Investment Data'!$C:$C = $C2623, 'Fund Investment Data'!$A:$A = $A2623 - 1, 'Fund Investment Data'!$B:$B &gt;= 4, 'Fund Investment Data'!$B:$B &lt;= ($B2623 + 5))) / 12) * ($B2623 - 3) * Parameters!$B$4,"&amp;" 0) + IF($B2623 &gt;= 9, IFERROR(SUM(FILTER('Fund Investment Data'!$V:$V, 'Fund Investment Data'!$C:$C = $C2623, 'Fund Investment Data'!$A:$A = $A2623, 'Fund Investment Data'!$B:$B &lt;= 3)) * Parameters!$B$4, 0),0)))"),0.0)</f>
        <v>0</v>
      </c>
      <c r="AB2623" s="32">
        <f>IFERROR(__xludf.DUMMYFUNCTION("IFERROR(((IFERROR(SUM(FILTER('Fund Investment Data'!$V:$V, 'Fund Investment Data'!$C:$C = $C2623, 'Fund Investment Data'!$A:$A = $A2623 - 2, 'Fund Investment Data'!$B:$B &gt;= 4)) * Parameters!$B$4,0) + IFERROR(SUM(FILTER('Fund Investment Data'!$V:$V, 'Fund "&amp;"Investment Data'!$C:$C = $C2623, 'Fund Investment Data'!$A:$A = $A2623 - 1, 'Fund Investment Data'!$B:$B &lt;= 3)) * Parameters!$B$4,0))),0)"),0.0)</f>
        <v>0</v>
      </c>
      <c r="AC2623" s="32">
        <f>IFERROR(__xludf.DUMMYFUNCTION("IFERROR(FILTER($AF:$AF,$C:$C = $C2623,$A:$A = $A2623 - 1,$B:$B = 12),0)"),0.0)</f>
        <v>0</v>
      </c>
      <c r="AD2623" s="32">
        <f t="shared" si="23"/>
        <v>0</v>
      </c>
      <c r="AE2623" s="32">
        <f t="shared" si="2"/>
        <v>0</v>
      </c>
      <c r="AF2623" s="32"/>
    </row>
    <row r="2624">
      <c r="A2624" s="86"/>
      <c r="B2624" s="87"/>
      <c r="C2624" s="88"/>
      <c r="D2624" s="104"/>
      <c r="E2624" s="104"/>
      <c r="F2624" s="104"/>
      <c r="G2624" s="104"/>
      <c r="H2624" s="104"/>
      <c r="I2624" s="104"/>
      <c r="J2624" s="104"/>
      <c r="K2624" s="32"/>
      <c r="L2624" s="32"/>
      <c r="M2624" s="32"/>
      <c r="N2624" s="32"/>
      <c r="O2624" s="106"/>
      <c r="P2624" s="91">
        <f>IFERROR(__xludf.DUMMYFUNCTION("IFERROR(sum(FILTER($D:$N,$C:$C = $C2624,$A:$A &lt; $A2624,$B:$B = 12)),0) + sum($D2624:$N2624)"),0.0)</f>
        <v>0</v>
      </c>
      <c r="Q2624" s="92">
        <f t="shared" si="1"/>
        <v>0</v>
      </c>
      <c r="R2624" s="91">
        <f t="array" ref="R2624">IFERROR(INDEX('Fund YTD Target Values'!$1:$1000, MATCH($C2624,'Fund YTD Target Values'!$A:$A,0), MATCH($A2624,'Fund YTD Target Values'!$1:$1,0)),0)</f>
        <v>0</v>
      </c>
      <c r="S2624" s="91">
        <f>IFERROR(__xludf.DUMMYFUNCTION("IFERROR(sum(FILTER('Fund Investment Data'!$V:$V, 'Fund Investment Data'!$C:$C = $C2624, 'Fund Investment Data'!$A:$A &lt; $A2624)),0) + IFERROR(sum(FILTER('Fund Investment Data'!$V:$V, 'Fund Investment Data'!$C:$C = $C2624, 'Fund Investment Data'!$A:$A = $A2"&amp;"624, 'Fund Investment Data'!$B:$B &lt;= $B2624)),0)"),0.0)</f>
        <v>0</v>
      </c>
      <c r="T2624" s="32"/>
      <c r="U2624" s="32"/>
      <c r="V2624" s="32">
        <f>IFERROR(__xludf.DUMMYFUNCTION("$D2624 - IFERROR(FILTER($D:$D,$C:$C = $C2624, $A:$A = $A2624, $B:$B = $B2624 - 1),0)"),0.0)</f>
        <v>0</v>
      </c>
      <c r="W2624" s="93">
        <f>IFERROR(__xludf.DUMMYFUNCTION("$E2624 - IFERROR(FILTER($E:$E,$C:$C = $C2624, $A:$A = $A2624, $B:$B = $B2624 - 1),0)"),0.0)</f>
        <v>0</v>
      </c>
      <c r="X2624" s="91">
        <f>IFERROR(__xludf.DUMMYFUNCTION("iFERROR((FILTER('Fund Investment Data'!$Z:$Z, 'Fund Investment Data'!$C:$C = $C2624, 'Fund Investment Data'!$A:$A = $A2624 - 1, 'Fund Investment Data'!$B:$B = 12) + FILTER('Fund Investment Data'!$AB:$AB, 'Fund Investment Data'!$C:$C = $C2624, 'Fund Invest"&amp;"ment Data'!$A:$A = $A2624 - 1, 'Fund Investment Data'!$B:$B = 12)) * (1 + AVERAGE(FILTER('Inflation Data'!$C:$C,'Inflation Data'!$A:$A = ($A2624 - 2)))) * Parameters!$A$4,0)"),0.0)</f>
        <v>0</v>
      </c>
      <c r="Y2624" s="91">
        <f>IFERROR(__xludf.DUMMYFUNCTION("IFERROR((IFERROR(FILTER('Fund Investment Data'!$P:$P,'Fund Investment Data'!$C:$C = $C2624,'Fund Investment Data'!$A:$A = ($A2624 - 2), 'Fund Investment Data'!$B:$B = 12),0) - SUM(FILTER('Fund Investment Data'!$V:$V, 'Fund Investment Data'!$C:$C = $C2624,"&amp;" 'Fund Investment Data'!$A:$A = ($A2624 - 2), 'Fund Investment Data'!$B:$B &gt; 3)))  * Parameters!$B$4 * (1 - Parameters!$A$4),0)"),0.0)</f>
        <v>0</v>
      </c>
      <c r="Z2624" s="91">
        <f t="shared" si="24"/>
        <v>0</v>
      </c>
      <c r="AA2624" s="91">
        <f>IFERROR(__xludf.DUMMYFUNCTION("((IFERROR((SUM(FILTER('Fund Investment Data'!$V:$V, 'Fund Investment Data'!$C:$C = $C2624, 'Fund Investment Data'!$A:$A = $A2624 - 1, 'Fund Investment Data'!$B:$B &gt;= 4, 'Fund Investment Data'!$B:$B &lt;= ($B2624 + 5))) / 12) * ($B2624 - 3) * Parameters!$B$4,"&amp;" 0) + IF($B2624 &gt;= 9, IFERROR(SUM(FILTER('Fund Investment Data'!$V:$V, 'Fund Investment Data'!$C:$C = $C2624, 'Fund Investment Data'!$A:$A = $A2624, 'Fund Investment Data'!$B:$B &lt;= 3)) * Parameters!$B$4, 0),0)))"),0.0)</f>
        <v>0</v>
      </c>
      <c r="AB2624" s="32">
        <f>IFERROR(__xludf.DUMMYFUNCTION("IFERROR(((IFERROR(SUM(FILTER('Fund Investment Data'!$V:$V, 'Fund Investment Data'!$C:$C = $C2624, 'Fund Investment Data'!$A:$A = $A2624 - 2, 'Fund Investment Data'!$B:$B &gt;= 4)) * Parameters!$B$4,0) + IFERROR(SUM(FILTER('Fund Investment Data'!$V:$V, 'Fund "&amp;"Investment Data'!$C:$C = $C2624, 'Fund Investment Data'!$A:$A = $A2624 - 1, 'Fund Investment Data'!$B:$B &lt;= 3)) * Parameters!$B$4,0))),0)"),0.0)</f>
        <v>0</v>
      </c>
      <c r="AC2624" s="32">
        <f>IFERROR(__xludf.DUMMYFUNCTION("IFERROR(FILTER($AF:$AF,$C:$C = $C2624,$A:$A = $A2624 - 1,$B:$B = 12),0)"),0.0)</f>
        <v>0</v>
      </c>
      <c r="AD2624" s="32">
        <f t="shared" si="23"/>
        <v>0</v>
      </c>
      <c r="AE2624" s="32">
        <f t="shared" si="2"/>
        <v>0</v>
      </c>
      <c r="AF2624" s="32"/>
    </row>
    <row r="2625">
      <c r="A2625" s="86"/>
      <c r="B2625" s="87"/>
      <c r="C2625" s="88"/>
      <c r="D2625" s="104"/>
      <c r="E2625" s="104"/>
      <c r="F2625" s="104"/>
      <c r="G2625" s="104"/>
      <c r="H2625" s="104"/>
      <c r="I2625" s="104"/>
      <c r="J2625" s="104"/>
      <c r="K2625" s="32"/>
      <c r="L2625" s="32"/>
      <c r="M2625" s="32"/>
      <c r="N2625" s="32"/>
      <c r="O2625" s="106"/>
      <c r="P2625" s="91">
        <f>IFERROR(__xludf.DUMMYFUNCTION("IFERROR(sum(FILTER($D:$N,$C:$C = $C2625,$A:$A &lt; $A2625,$B:$B = 12)),0) + sum($D2625:$N2625)"),0.0)</f>
        <v>0</v>
      </c>
      <c r="Q2625" s="92">
        <f t="shared" si="1"/>
        <v>0</v>
      </c>
      <c r="R2625" s="91">
        <f t="array" ref="R2625">IFERROR(INDEX('Fund YTD Target Values'!$1:$1000, MATCH($C2625,'Fund YTD Target Values'!$A:$A,0), MATCH($A2625,'Fund YTD Target Values'!$1:$1,0)),0)</f>
        <v>0</v>
      </c>
      <c r="S2625" s="91">
        <f>IFERROR(__xludf.DUMMYFUNCTION("IFERROR(sum(FILTER('Fund Investment Data'!$V:$V, 'Fund Investment Data'!$C:$C = $C2625, 'Fund Investment Data'!$A:$A &lt; $A2625)),0) + IFERROR(sum(FILTER('Fund Investment Data'!$V:$V, 'Fund Investment Data'!$C:$C = $C2625, 'Fund Investment Data'!$A:$A = $A2"&amp;"625, 'Fund Investment Data'!$B:$B &lt;= $B2625)),0)"),0.0)</f>
        <v>0</v>
      </c>
      <c r="T2625" s="32"/>
      <c r="U2625" s="32"/>
      <c r="V2625" s="32">
        <f>IFERROR(__xludf.DUMMYFUNCTION("$D2625 - IFERROR(FILTER($D:$D,$C:$C = $C2625, $A:$A = $A2625, $B:$B = $B2625 - 1),0)"),0.0)</f>
        <v>0</v>
      </c>
      <c r="W2625" s="93">
        <f>IFERROR(__xludf.DUMMYFUNCTION("$E2625 - IFERROR(FILTER($E:$E,$C:$C = $C2625, $A:$A = $A2625, $B:$B = $B2625 - 1),0)"),0.0)</f>
        <v>0</v>
      </c>
      <c r="X2625" s="91">
        <f>IFERROR(__xludf.DUMMYFUNCTION("iFERROR((FILTER('Fund Investment Data'!$Z:$Z, 'Fund Investment Data'!$C:$C = $C2625, 'Fund Investment Data'!$A:$A = $A2625 - 1, 'Fund Investment Data'!$B:$B = 12) + FILTER('Fund Investment Data'!$AB:$AB, 'Fund Investment Data'!$C:$C = $C2625, 'Fund Invest"&amp;"ment Data'!$A:$A = $A2625 - 1, 'Fund Investment Data'!$B:$B = 12)) * (1 + AVERAGE(FILTER('Inflation Data'!$C:$C,'Inflation Data'!$A:$A = ($A2625 - 2)))) * Parameters!$A$4,0)"),0.0)</f>
        <v>0</v>
      </c>
      <c r="Y2625" s="91">
        <f>IFERROR(__xludf.DUMMYFUNCTION("IFERROR((IFERROR(FILTER('Fund Investment Data'!$P:$P,'Fund Investment Data'!$C:$C = $C2625,'Fund Investment Data'!$A:$A = ($A2625 - 2), 'Fund Investment Data'!$B:$B = 12),0) - SUM(FILTER('Fund Investment Data'!$V:$V, 'Fund Investment Data'!$C:$C = $C2625,"&amp;" 'Fund Investment Data'!$A:$A = ($A2625 - 2), 'Fund Investment Data'!$B:$B &gt; 3)))  * Parameters!$B$4 * (1 - Parameters!$A$4),0)"),0.0)</f>
        <v>0</v>
      </c>
      <c r="Z2625" s="91">
        <f t="shared" si="24"/>
        <v>0</v>
      </c>
      <c r="AA2625" s="91">
        <f>IFERROR(__xludf.DUMMYFUNCTION("((IFERROR((SUM(FILTER('Fund Investment Data'!$V:$V, 'Fund Investment Data'!$C:$C = $C2625, 'Fund Investment Data'!$A:$A = $A2625 - 1, 'Fund Investment Data'!$B:$B &gt;= 4, 'Fund Investment Data'!$B:$B &lt;= ($B2625 + 5))) / 12) * ($B2625 - 3) * Parameters!$B$4,"&amp;" 0) + IF($B2625 &gt;= 9, IFERROR(SUM(FILTER('Fund Investment Data'!$V:$V, 'Fund Investment Data'!$C:$C = $C2625, 'Fund Investment Data'!$A:$A = $A2625, 'Fund Investment Data'!$B:$B &lt;= 3)) * Parameters!$B$4, 0),0)))"),0.0)</f>
        <v>0</v>
      </c>
      <c r="AB2625" s="32">
        <f>IFERROR(__xludf.DUMMYFUNCTION("IFERROR(((IFERROR(SUM(FILTER('Fund Investment Data'!$V:$V, 'Fund Investment Data'!$C:$C = $C2625, 'Fund Investment Data'!$A:$A = $A2625 - 2, 'Fund Investment Data'!$B:$B &gt;= 4)) * Parameters!$B$4,0) + IFERROR(SUM(FILTER('Fund Investment Data'!$V:$V, 'Fund "&amp;"Investment Data'!$C:$C = $C2625, 'Fund Investment Data'!$A:$A = $A2625 - 1, 'Fund Investment Data'!$B:$B &lt;= 3)) * Parameters!$B$4,0))),0)"),0.0)</f>
        <v>0</v>
      </c>
      <c r="AC2625" s="32">
        <f>IFERROR(__xludf.DUMMYFUNCTION("IFERROR(FILTER($AF:$AF,$C:$C = $C2625,$A:$A = $A2625 - 1,$B:$B = 12),0)"),0.0)</f>
        <v>0</v>
      </c>
      <c r="AD2625" s="32">
        <f t="shared" si="23"/>
        <v>0</v>
      </c>
      <c r="AE2625" s="32">
        <f t="shared" si="2"/>
        <v>0</v>
      </c>
      <c r="AF2625" s="32"/>
    </row>
    <row r="2626">
      <c r="A2626" s="86"/>
      <c r="B2626" s="87"/>
      <c r="C2626" s="88"/>
      <c r="D2626" s="104"/>
      <c r="E2626" s="104"/>
      <c r="F2626" s="104"/>
      <c r="G2626" s="104"/>
      <c r="H2626" s="104"/>
      <c r="I2626" s="104"/>
      <c r="J2626" s="104"/>
      <c r="K2626" s="32"/>
      <c r="L2626" s="32"/>
      <c r="M2626" s="32"/>
      <c r="N2626" s="32"/>
      <c r="O2626" s="106"/>
      <c r="P2626" s="91">
        <f>IFERROR(__xludf.DUMMYFUNCTION("IFERROR(sum(FILTER($D:$N,$C:$C = $C2626,$A:$A &lt; $A2626,$B:$B = 12)),0) + sum($D2626:$N2626)"),0.0)</f>
        <v>0</v>
      </c>
      <c r="Q2626" s="92">
        <f t="shared" si="1"/>
        <v>0</v>
      </c>
      <c r="R2626" s="91">
        <f t="array" ref="R2626">IFERROR(INDEX('Fund YTD Target Values'!$1:$1000, MATCH($C2626,'Fund YTD Target Values'!$A:$A,0), MATCH($A2626,'Fund YTD Target Values'!$1:$1,0)),0)</f>
        <v>0</v>
      </c>
      <c r="S2626" s="91">
        <f>IFERROR(__xludf.DUMMYFUNCTION("IFERROR(sum(FILTER('Fund Investment Data'!$V:$V, 'Fund Investment Data'!$C:$C = $C2626, 'Fund Investment Data'!$A:$A &lt; $A2626)),0) + IFERROR(sum(FILTER('Fund Investment Data'!$V:$V, 'Fund Investment Data'!$C:$C = $C2626, 'Fund Investment Data'!$A:$A = $A2"&amp;"626, 'Fund Investment Data'!$B:$B &lt;= $B2626)),0)"),0.0)</f>
        <v>0</v>
      </c>
      <c r="T2626" s="32"/>
      <c r="U2626" s="32"/>
      <c r="V2626" s="32">
        <f>IFERROR(__xludf.DUMMYFUNCTION("$D2626 - IFERROR(FILTER($D:$D,$C:$C = $C2626, $A:$A = $A2626, $B:$B = $B2626 - 1),0)"),0.0)</f>
        <v>0</v>
      </c>
      <c r="W2626" s="93">
        <f>IFERROR(__xludf.DUMMYFUNCTION("$E2626 - IFERROR(FILTER($E:$E,$C:$C = $C2626, $A:$A = $A2626, $B:$B = $B2626 - 1),0)"),0.0)</f>
        <v>0</v>
      </c>
      <c r="X2626" s="91">
        <f>IFERROR(__xludf.DUMMYFUNCTION("iFERROR((FILTER('Fund Investment Data'!$Z:$Z, 'Fund Investment Data'!$C:$C = $C2626, 'Fund Investment Data'!$A:$A = $A2626 - 1, 'Fund Investment Data'!$B:$B = 12) + FILTER('Fund Investment Data'!$AB:$AB, 'Fund Investment Data'!$C:$C = $C2626, 'Fund Invest"&amp;"ment Data'!$A:$A = $A2626 - 1, 'Fund Investment Data'!$B:$B = 12)) * (1 + AVERAGE(FILTER('Inflation Data'!$C:$C,'Inflation Data'!$A:$A = ($A2626 - 2)))) * Parameters!$A$4,0)"),0.0)</f>
        <v>0</v>
      </c>
      <c r="Y2626" s="91">
        <f>IFERROR(__xludf.DUMMYFUNCTION("IFERROR((IFERROR(FILTER('Fund Investment Data'!$P:$P,'Fund Investment Data'!$C:$C = $C2626,'Fund Investment Data'!$A:$A = ($A2626 - 2), 'Fund Investment Data'!$B:$B = 12),0) - SUM(FILTER('Fund Investment Data'!$V:$V, 'Fund Investment Data'!$C:$C = $C2626,"&amp;" 'Fund Investment Data'!$A:$A = ($A2626 - 2), 'Fund Investment Data'!$B:$B &gt; 3)))  * Parameters!$B$4 * (1 - Parameters!$A$4),0)"),0.0)</f>
        <v>0</v>
      </c>
      <c r="Z2626" s="91">
        <f t="shared" si="24"/>
        <v>0</v>
      </c>
      <c r="AA2626" s="91">
        <f>IFERROR(__xludf.DUMMYFUNCTION("((IFERROR((SUM(FILTER('Fund Investment Data'!$V:$V, 'Fund Investment Data'!$C:$C = $C2626, 'Fund Investment Data'!$A:$A = $A2626 - 1, 'Fund Investment Data'!$B:$B &gt;= 4, 'Fund Investment Data'!$B:$B &lt;= ($B2626 + 5))) / 12) * ($B2626 - 3) * Parameters!$B$4,"&amp;" 0) + IF($B2626 &gt;= 9, IFERROR(SUM(FILTER('Fund Investment Data'!$V:$V, 'Fund Investment Data'!$C:$C = $C2626, 'Fund Investment Data'!$A:$A = $A2626, 'Fund Investment Data'!$B:$B &lt;= 3)) * Parameters!$B$4, 0),0)))"),0.0)</f>
        <v>0</v>
      </c>
      <c r="AB2626" s="32">
        <f>IFERROR(__xludf.DUMMYFUNCTION("IFERROR(((IFERROR(SUM(FILTER('Fund Investment Data'!$V:$V, 'Fund Investment Data'!$C:$C = $C2626, 'Fund Investment Data'!$A:$A = $A2626 - 2, 'Fund Investment Data'!$B:$B &gt;= 4)) * Parameters!$B$4,0) + IFERROR(SUM(FILTER('Fund Investment Data'!$V:$V, 'Fund "&amp;"Investment Data'!$C:$C = $C2626, 'Fund Investment Data'!$A:$A = $A2626 - 1, 'Fund Investment Data'!$B:$B &lt;= 3)) * Parameters!$B$4,0))),0)"),0.0)</f>
        <v>0</v>
      </c>
      <c r="AC2626" s="32">
        <f>IFERROR(__xludf.DUMMYFUNCTION("IFERROR(FILTER($AF:$AF,$C:$C = $C2626,$A:$A = $A2626 - 1,$B:$B = 12),0)"),0.0)</f>
        <v>0</v>
      </c>
      <c r="AD2626" s="32">
        <f t="shared" si="23"/>
        <v>0</v>
      </c>
      <c r="AE2626" s="32">
        <f t="shared" si="2"/>
        <v>0</v>
      </c>
      <c r="AF2626" s="32"/>
    </row>
    <row r="2627">
      <c r="A2627" s="86"/>
      <c r="B2627" s="87"/>
      <c r="C2627" s="88"/>
      <c r="D2627" s="104"/>
      <c r="E2627" s="104"/>
      <c r="F2627" s="104"/>
      <c r="G2627" s="104"/>
      <c r="H2627" s="104"/>
      <c r="I2627" s="104"/>
      <c r="J2627" s="104"/>
      <c r="K2627" s="32"/>
      <c r="L2627" s="32"/>
      <c r="M2627" s="32"/>
      <c r="N2627" s="32"/>
      <c r="O2627" s="106"/>
      <c r="P2627" s="91">
        <f>IFERROR(__xludf.DUMMYFUNCTION("IFERROR(sum(FILTER($D:$N,$C:$C = $C2627,$A:$A &lt; $A2627,$B:$B = 12)),0) + sum($D2627:$N2627)"),0.0)</f>
        <v>0</v>
      </c>
      <c r="Q2627" s="92">
        <f t="shared" si="1"/>
        <v>0</v>
      </c>
      <c r="R2627" s="91">
        <f t="array" ref="R2627">IFERROR(INDEX('Fund YTD Target Values'!$1:$1000, MATCH($C2627,'Fund YTD Target Values'!$A:$A,0), MATCH($A2627,'Fund YTD Target Values'!$1:$1,0)),0)</f>
        <v>0</v>
      </c>
      <c r="S2627" s="91">
        <f>IFERROR(__xludf.DUMMYFUNCTION("IFERROR(sum(FILTER('Fund Investment Data'!$V:$V, 'Fund Investment Data'!$C:$C = $C2627, 'Fund Investment Data'!$A:$A &lt; $A2627)),0) + IFERROR(sum(FILTER('Fund Investment Data'!$V:$V, 'Fund Investment Data'!$C:$C = $C2627, 'Fund Investment Data'!$A:$A = $A2"&amp;"627, 'Fund Investment Data'!$B:$B &lt;= $B2627)),0)"),0.0)</f>
        <v>0</v>
      </c>
      <c r="T2627" s="32"/>
      <c r="U2627" s="32"/>
      <c r="V2627" s="32">
        <f>IFERROR(__xludf.DUMMYFUNCTION("$D2627 - IFERROR(FILTER($D:$D,$C:$C = $C2627, $A:$A = $A2627, $B:$B = $B2627 - 1),0)"),0.0)</f>
        <v>0</v>
      </c>
      <c r="W2627" s="93">
        <f>IFERROR(__xludf.DUMMYFUNCTION("$E2627 - IFERROR(FILTER($E:$E,$C:$C = $C2627, $A:$A = $A2627, $B:$B = $B2627 - 1),0)"),0.0)</f>
        <v>0</v>
      </c>
      <c r="X2627" s="91">
        <f>IFERROR(__xludf.DUMMYFUNCTION("iFERROR((FILTER('Fund Investment Data'!$Z:$Z, 'Fund Investment Data'!$C:$C = $C2627, 'Fund Investment Data'!$A:$A = $A2627 - 1, 'Fund Investment Data'!$B:$B = 12) + FILTER('Fund Investment Data'!$AB:$AB, 'Fund Investment Data'!$C:$C = $C2627, 'Fund Invest"&amp;"ment Data'!$A:$A = $A2627 - 1, 'Fund Investment Data'!$B:$B = 12)) * (1 + AVERAGE(FILTER('Inflation Data'!$C:$C,'Inflation Data'!$A:$A = ($A2627 - 2)))) * Parameters!$A$4,0)"),0.0)</f>
        <v>0</v>
      </c>
      <c r="Y2627" s="91">
        <f>IFERROR(__xludf.DUMMYFUNCTION("IFERROR((IFERROR(FILTER('Fund Investment Data'!$P:$P,'Fund Investment Data'!$C:$C = $C2627,'Fund Investment Data'!$A:$A = ($A2627 - 2), 'Fund Investment Data'!$B:$B = 12),0) - SUM(FILTER('Fund Investment Data'!$V:$V, 'Fund Investment Data'!$C:$C = $C2627,"&amp;" 'Fund Investment Data'!$A:$A = ($A2627 - 2), 'Fund Investment Data'!$B:$B &gt; 3)))  * Parameters!$B$4 * (1 - Parameters!$A$4),0)"),0.0)</f>
        <v>0</v>
      </c>
      <c r="Z2627" s="91">
        <f t="shared" si="24"/>
        <v>0</v>
      </c>
      <c r="AA2627" s="91">
        <f>IFERROR(__xludf.DUMMYFUNCTION("((IFERROR((SUM(FILTER('Fund Investment Data'!$V:$V, 'Fund Investment Data'!$C:$C = $C2627, 'Fund Investment Data'!$A:$A = $A2627 - 1, 'Fund Investment Data'!$B:$B &gt;= 4, 'Fund Investment Data'!$B:$B &lt;= ($B2627 + 5))) / 12) * ($B2627 - 3) * Parameters!$B$4,"&amp;" 0) + IF($B2627 &gt;= 9, IFERROR(SUM(FILTER('Fund Investment Data'!$V:$V, 'Fund Investment Data'!$C:$C = $C2627, 'Fund Investment Data'!$A:$A = $A2627, 'Fund Investment Data'!$B:$B &lt;= 3)) * Parameters!$B$4, 0),0)))"),0.0)</f>
        <v>0</v>
      </c>
      <c r="AB2627" s="32">
        <f>IFERROR(__xludf.DUMMYFUNCTION("IFERROR(((IFERROR(SUM(FILTER('Fund Investment Data'!$V:$V, 'Fund Investment Data'!$C:$C = $C2627, 'Fund Investment Data'!$A:$A = $A2627 - 2, 'Fund Investment Data'!$B:$B &gt;= 4)) * Parameters!$B$4,0) + IFERROR(SUM(FILTER('Fund Investment Data'!$V:$V, 'Fund "&amp;"Investment Data'!$C:$C = $C2627, 'Fund Investment Data'!$A:$A = $A2627 - 1, 'Fund Investment Data'!$B:$B &lt;= 3)) * Parameters!$B$4,0))),0)"),0.0)</f>
        <v>0</v>
      </c>
      <c r="AC2627" s="32">
        <f>IFERROR(__xludf.DUMMYFUNCTION("IFERROR(FILTER($AF:$AF,$C:$C = $C2627,$A:$A = $A2627 - 1,$B:$B = 12),0)"),0.0)</f>
        <v>0</v>
      </c>
      <c r="AD2627" s="32">
        <f t="shared" si="23"/>
        <v>0</v>
      </c>
      <c r="AE2627" s="32">
        <f t="shared" si="2"/>
        <v>0</v>
      </c>
      <c r="AF2627" s="32"/>
    </row>
    <row r="2628">
      <c r="A2628" s="86"/>
      <c r="B2628" s="87"/>
      <c r="C2628" s="88"/>
      <c r="D2628" s="104"/>
      <c r="E2628" s="104"/>
      <c r="F2628" s="104"/>
      <c r="G2628" s="104"/>
      <c r="H2628" s="104"/>
      <c r="I2628" s="104"/>
      <c r="J2628" s="104"/>
      <c r="K2628" s="32"/>
      <c r="L2628" s="32"/>
      <c r="M2628" s="32"/>
      <c r="N2628" s="32"/>
      <c r="O2628" s="106"/>
      <c r="P2628" s="91">
        <f>IFERROR(__xludf.DUMMYFUNCTION("IFERROR(sum(FILTER($D:$N,$C:$C = $C2628,$A:$A &lt; $A2628,$B:$B = 12)),0) + sum($D2628:$N2628)"),0.0)</f>
        <v>0</v>
      </c>
      <c r="Q2628" s="92">
        <f t="shared" si="1"/>
        <v>0</v>
      </c>
      <c r="R2628" s="91">
        <f t="array" ref="R2628">IFERROR(INDEX('Fund YTD Target Values'!$1:$1000, MATCH($C2628,'Fund YTD Target Values'!$A:$A,0), MATCH($A2628,'Fund YTD Target Values'!$1:$1,0)),0)</f>
        <v>0</v>
      </c>
      <c r="S2628" s="91">
        <f>IFERROR(__xludf.DUMMYFUNCTION("IFERROR(sum(FILTER('Fund Investment Data'!$V:$V, 'Fund Investment Data'!$C:$C = $C2628, 'Fund Investment Data'!$A:$A &lt; $A2628)),0) + IFERROR(sum(FILTER('Fund Investment Data'!$V:$V, 'Fund Investment Data'!$C:$C = $C2628, 'Fund Investment Data'!$A:$A = $A2"&amp;"628, 'Fund Investment Data'!$B:$B &lt;= $B2628)),0)"),0.0)</f>
        <v>0</v>
      </c>
      <c r="T2628" s="32"/>
      <c r="U2628" s="32"/>
      <c r="V2628" s="32">
        <f>IFERROR(__xludf.DUMMYFUNCTION("$D2628 - IFERROR(FILTER($D:$D,$C:$C = $C2628, $A:$A = $A2628, $B:$B = $B2628 - 1),0)"),0.0)</f>
        <v>0</v>
      </c>
      <c r="W2628" s="93">
        <f>IFERROR(__xludf.DUMMYFUNCTION("$E2628 - IFERROR(FILTER($E:$E,$C:$C = $C2628, $A:$A = $A2628, $B:$B = $B2628 - 1),0)"),0.0)</f>
        <v>0</v>
      </c>
      <c r="X2628" s="91">
        <f>IFERROR(__xludf.DUMMYFUNCTION("iFERROR((FILTER('Fund Investment Data'!$Z:$Z, 'Fund Investment Data'!$C:$C = $C2628, 'Fund Investment Data'!$A:$A = $A2628 - 1, 'Fund Investment Data'!$B:$B = 12) + FILTER('Fund Investment Data'!$AB:$AB, 'Fund Investment Data'!$C:$C = $C2628, 'Fund Invest"&amp;"ment Data'!$A:$A = $A2628 - 1, 'Fund Investment Data'!$B:$B = 12)) * (1 + AVERAGE(FILTER('Inflation Data'!$C:$C,'Inflation Data'!$A:$A = ($A2628 - 2)))) * Parameters!$A$4,0)"),0.0)</f>
        <v>0</v>
      </c>
      <c r="Y2628" s="91">
        <f>IFERROR(__xludf.DUMMYFUNCTION("IFERROR((IFERROR(FILTER('Fund Investment Data'!$P:$P,'Fund Investment Data'!$C:$C = $C2628,'Fund Investment Data'!$A:$A = ($A2628 - 2), 'Fund Investment Data'!$B:$B = 12),0) - SUM(FILTER('Fund Investment Data'!$V:$V, 'Fund Investment Data'!$C:$C = $C2628,"&amp;" 'Fund Investment Data'!$A:$A = ($A2628 - 2), 'Fund Investment Data'!$B:$B &gt; 3)))  * Parameters!$B$4 * (1 - Parameters!$A$4),0)"),0.0)</f>
        <v>0</v>
      </c>
      <c r="Z2628" s="91">
        <f t="shared" si="24"/>
        <v>0</v>
      </c>
      <c r="AA2628" s="91">
        <f>IFERROR(__xludf.DUMMYFUNCTION("((IFERROR((SUM(FILTER('Fund Investment Data'!$V:$V, 'Fund Investment Data'!$C:$C = $C2628, 'Fund Investment Data'!$A:$A = $A2628 - 1, 'Fund Investment Data'!$B:$B &gt;= 4, 'Fund Investment Data'!$B:$B &lt;= ($B2628 + 5))) / 12) * ($B2628 - 3) * Parameters!$B$4,"&amp;" 0) + IF($B2628 &gt;= 9, IFERROR(SUM(FILTER('Fund Investment Data'!$V:$V, 'Fund Investment Data'!$C:$C = $C2628, 'Fund Investment Data'!$A:$A = $A2628, 'Fund Investment Data'!$B:$B &lt;= 3)) * Parameters!$B$4, 0),0)))"),0.0)</f>
        <v>0</v>
      </c>
      <c r="AB2628" s="32">
        <f>IFERROR(__xludf.DUMMYFUNCTION("IFERROR(((IFERROR(SUM(FILTER('Fund Investment Data'!$V:$V, 'Fund Investment Data'!$C:$C = $C2628, 'Fund Investment Data'!$A:$A = $A2628 - 2, 'Fund Investment Data'!$B:$B &gt;= 4)) * Parameters!$B$4,0) + IFERROR(SUM(FILTER('Fund Investment Data'!$V:$V, 'Fund "&amp;"Investment Data'!$C:$C = $C2628, 'Fund Investment Data'!$A:$A = $A2628 - 1, 'Fund Investment Data'!$B:$B &lt;= 3)) * Parameters!$B$4,0))),0)"),0.0)</f>
        <v>0</v>
      </c>
      <c r="AC2628" s="32">
        <f>IFERROR(__xludf.DUMMYFUNCTION("IFERROR(FILTER($AF:$AF,$C:$C = $C2628,$A:$A = $A2628 - 1,$B:$B = 12),0)"),0.0)</f>
        <v>0</v>
      </c>
      <c r="AD2628" s="32">
        <f t="shared" si="23"/>
        <v>0</v>
      </c>
      <c r="AE2628" s="32">
        <f t="shared" si="2"/>
        <v>0</v>
      </c>
      <c r="AF2628" s="32"/>
    </row>
    <row r="2629">
      <c r="A2629" s="86"/>
      <c r="B2629" s="87"/>
      <c r="C2629" s="88"/>
      <c r="D2629" s="104"/>
      <c r="E2629" s="104"/>
      <c r="F2629" s="104"/>
      <c r="G2629" s="104"/>
      <c r="H2629" s="104"/>
      <c r="I2629" s="104"/>
      <c r="J2629" s="104"/>
      <c r="K2629" s="32"/>
      <c r="L2629" s="32"/>
      <c r="M2629" s="32"/>
      <c r="N2629" s="32"/>
      <c r="O2629" s="106"/>
      <c r="P2629" s="91">
        <f>IFERROR(__xludf.DUMMYFUNCTION("IFERROR(sum(FILTER($D:$N,$C:$C = $C2629,$A:$A &lt; $A2629,$B:$B = 12)),0) + sum($D2629:$N2629)"),0.0)</f>
        <v>0</v>
      </c>
      <c r="Q2629" s="92">
        <f t="shared" si="1"/>
        <v>0</v>
      </c>
      <c r="R2629" s="91">
        <f t="array" ref="R2629">IFERROR(INDEX('Fund YTD Target Values'!$1:$1000, MATCH($C2629,'Fund YTD Target Values'!$A:$A,0), MATCH($A2629,'Fund YTD Target Values'!$1:$1,0)),0)</f>
        <v>0</v>
      </c>
      <c r="S2629" s="91">
        <f>IFERROR(__xludf.DUMMYFUNCTION("IFERROR(sum(FILTER('Fund Investment Data'!$V:$V, 'Fund Investment Data'!$C:$C = $C2629, 'Fund Investment Data'!$A:$A &lt; $A2629)),0) + IFERROR(sum(FILTER('Fund Investment Data'!$V:$V, 'Fund Investment Data'!$C:$C = $C2629, 'Fund Investment Data'!$A:$A = $A2"&amp;"629, 'Fund Investment Data'!$B:$B &lt;= $B2629)),0)"),0.0)</f>
        <v>0</v>
      </c>
      <c r="T2629" s="32"/>
      <c r="U2629" s="32"/>
      <c r="V2629" s="32">
        <f>IFERROR(__xludf.DUMMYFUNCTION("$D2629 - IFERROR(FILTER($D:$D,$C:$C = $C2629, $A:$A = $A2629, $B:$B = $B2629 - 1),0)"),0.0)</f>
        <v>0</v>
      </c>
      <c r="W2629" s="93">
        <f>IFERROR(__xludf.DUMMYFUNCTION("$E2629 - IFERROR(FILTER($E:$E,$C:$C = $C2629, $A:$A = $A2629, $B:$B = $B2629 - 1),0)"),0.0)</f>
        <v>0</v>
      </c>
      <c r="X2629" s="91">
        <f>IFERROR(__xludf.DUMMYFUNCTION("iFERROR((FILTER('Fund Investment Data'!$Z:$Z, 'Fund Investment Data'!$C:$C = $C2629, 'Fund Investment Data'!$A:$A = $A2629 - 1, 'Fund Investment Data'!$B:$B = 12) + FILTER('Fund Investment Data'!$AB:$AB, 'Fund Investment Data'!$C:$C = $C2629, 'Fund Invest"&amp;"ment Data'!$A:$A = $A2629 - 1, 'Fund Investment Data'!$B:$B = 12)) * (1 + AVERAGE(FILTER('Inflation Data'!$C:$C,'Inflation Data'!$A:$A = ($A2629 - 2)))) * Parameters!$A$4,0)"),0.0)</f>
        <v>0</v>
      </c>
      <c r="Y2629" s="91">
        <f>IFERROR(__xludf.DUMMYFUNCTION("IFERROR((IFERROR(FILTER('Fund Investment Data'!$P:$P,'Fund Investment Data'!$C:$C = $C2629,'Fund Investment Data'!$A:$A = ($A2629 - 2), 'Fund Investment Data'!$B:$B = 12),0) - SUM(FILTER('Fund Investment Data'!$V:$V, 'Fund Investment Data'!$C:$C = $C2629,"&amp;" 'Fund Investment Data'!$A:$A = ($A2629 - 2), 'Fund Investment Data'!$B:$B &gt; 3)))  * Parameters!$B$4 * (1 - Parameters!$A$4),0)"),0.0)</f>
        <v>0</v>
      </c>
      <c r="Z2629" s="91">
        <f t="shared" si="24"/>
        <v>0</v>
      </c>
      <c r="AA2629" s="91">
        <f>IFERROR(__xludf.DUMMYFUNCTION("((IFERROR((SUM(FILTER('Fund Investment Data'!$V:$V, 'Fund Investment Data'!$C:$C = $C2629, 'Fund Investment Data'!$A:$A = $A2629 - 1, 'Fund Investment Data'!$B:$B &gt;= 4, 'Fund Investment Data'!$B:$B &lt;= ($B2629 + 5))) / 12) * ($B2629 - 3) * Parameters!$B$4,"&amp;" 0) + IF($B2629 &gt;= 9, IFERROR(SUM(FILTER('Fund Investment Data'!$V:$V, 'Fund Investment Data'!$C:$C = $C2629, 'Fund Investment Data'!$A:$A = $A2629, 'Fund Investment Data'!$B:$B &lt;= 3)) * Parameters!$B$4, 0),0)))"),0.0)</f>
        <v>0</v>
      </c>
      <c r="AB2629" s="32">
        <f>IFERROR(__xludf.DUMMYFUNCTION("IFERROR(((IFERROR(SUM(FILTER('Fund Investment Data'!$V:$V, 'Fund Investment Data'!$C:$C = $C2629, 'Fund Investment Data'!$A:$A = $A2629 - 2, 'Fund Investment Data'!$B:$B &gt;= 4)) * Parameters!$B$4,0) + IFERROR(SUM(FILTER('Fund Investment Data'!$V:$V, 'Fund "&amp;"Investment Data'!$C:$C = $C2629, 'Fund Investment Data'!$A:$A = $A2629 - 1, 'Fund Investment Data'!$B:$B &lt;= 3)) * Parameters!$B$4,0))),0)"),0.0)</f>
        <v>0</v>
      </c>
      <c r="AC2629" s="32">
        <f>IFERROR(__xludf.DUMMYFUNCTION("IFERROR(FILTER($AF:$AF,$C:$C = $C2629,$A:$A = $A2629 - 1,$B:$B = 12),0)"),0.0)</f>
        <v>0</v>
      </c>
      <c r="AD2629" s="32">
        <f t="shared" si="23"/>
        <v>0</v>
      </c>
      <c r="AE2629" s="32">
        <f t="shared" si="2"/>
        <v>0</v>
      </c>
      <c r="AF2629" s="32"/>
    </row>
    <row r="2630">
      <c r="A2630" s="86"/>
      <c r="B2630" s="87"/>
      <c r="C2630" s="88"/>
      <c r="D2630" s="104"/>
      <c r="E2630" s="104"/>
      <c r="F2630" s="104"/>
      <c r="G2630" s="104"/>
      <c r="H2630" s="104"/>
      <c r="I2630" s="104"/>
      <c r="J2630" s="104"/>
      <c r="K2630" s="32"/>
      <c r="L2630" s="32"/>
      <c r="M2630" s="32"/>
      <c r="N2630" s="32"/>
      <c r="O2630" s="106"/>
      <c r="P2630" s="91">
        <f>IFERROR(__xludf.DUMMYFUNCTION("IFERROR(sum(FILTER($D:$N,$C:$C = $C2630,$A:$A &lt; $A2630,$B:$B = 12)),0) + sum($D2630:$N2630)"),0.0)</f>
        <v>0</v>
      </c>
      <c r="Q2630" s="92">
        <f t="shared" si="1"/>
        <v>0</v>
      </c>
      <c r="R2630" s="91">
        <f t="array" ref="R2630">IFERROR(INDEX('Fund YTD Target Values'!$1:$1000, MATCH($C2630,'Fund YTD Target Values'!$A:$A,0), MATCH($A2630,'Fund YTD Target Values'!$1:$1,0)),0)</f>
        <v>0</v>
      </c>
      <c r="S2630" s="91">
        <f>IFERROR(__xludf.DUMMYFUNCTION("IFERROR(sum(FILTER('Fund Investment Data'!$V:$V, 'Fund Investment Data'!$C:$C = $C2630, 'Fund Investment Data'!$A:$A &lt; $A2630)),0) + IFERROR(sum(FILTER('Fund Investment Data'!$V:$V, 'Fund Investment Data'!$C:$C = $C2630, 'Fund Investment Data'!$A:$A = $A2"&amp;"630, 'Fund Investment Data'!$B:$B &lt;= $B2630)),0)"),0.0)</f>
        <v>0</v>
      </c>
      <c r="T2630" s="32"/>
      <c r="U2630" s="32"/>
      <c r="V2630" s="32">
        <f>IFERROR(__xludf.DUMMYFUNCTION("$D2630 - IFERROR(FILTER($D:$D,$C:$C = $C2630, $A:$A = $A2630, $B:$B = $B2630 - 1),0)"),0.0)</f>
        <v>0</v>
      </c>
      <c r="W2630" s="93">
        <f>IFERROR(__xludf.DUMMYFUNCTION("$E2630 - IFERROR(FILTER($E:$E,$C:$C = $C2630, $A:$A = $A2630, $B:$B = $B2630 - 1),0)"),0.0)</f>
        <v>0</v>
      </c>
      <c r="X2630" s="91">
        <f>IFERROR(__xludf.DUMMYFUNCTION("iFERROR((FILTER('Fund Investment Data'!$Z:$Z, 'Fund Investment Data'!$C:$C = $C2630, 'Fund Investment Data'!$A:$A = $A2630 - 1, 'Fund Investment Data'!$B:$B = 12) + FILTER('Fund Investment Data'!$AB:$AB, 'Fund Investment Data'!$C:$C = $C2630, 'Fund Invest"&amp;"ment Data'!$A:$A = $A2630 - 1, 'Fund Investment Data'!$B:$B = 12)) * (1 + AVERAGE(FILTER('Inflation Data'!$C:$C,'Inflation Data'!$A:$A = ($A2630 - 2)))) * Parameters!$A$4,0)"),0.0)</f>
        <v>0</v>
      </c>
      <c r="Y2630" s="91">
        <f>IFERROR(__xludf.DUMMYFUNCTION("IFERROR((IFERROR(FILTER('Fund Investment Data'!$P:$P,'Fund Investment Data'!$C:$C = $C2630,'Fund Investment Data'!$A:$A = ($A2630 - 2), 'Fund Investment Data'!$B:$B = 12),0) - SUM(FILTER('Fund Investment Data'!$V:$V, 'Fund Investment Data'!$C:$C = $C2630,"&amp;" 'Fund Investment Data'!$A:$A = ($A2630 - 2), 'Fund Investment Data'!$B:$B &gt; 3)))  * Parameters!$B$4 * (1 - Parameters!$A$4),0)"),0.0)</f>
        <v>0</v>
      </c>
      <c r="Z2630" s="91">
        <f t="shared" si="24"/>
        <v>0</v>
      </c>
      <c r="AA2630" s="91">
        <f>IFERROR(__xludf.DUMMYFUNCTION("((IFERROR((SUM(FILTER('Fund Investment Data'!$V:$V, 'Fund Investment Data'!$C:$C = $C2630, 'Fund Investment Data'!$A:$A = $A2630 - 1, 'Fund Investment Data'!$B:$B &gt;= 4, 'Fund Investment Data'!$B:$B &lt;= ($B2630 + 5))) / 12) * ($B2630 - 3) * Parameters!$B$4,"&amp;" 0) + IF($B2630 &gt;= 9, IFERROR(SUM(FILTER('Fund Investment Data'!$V:$V, 'Fund Investment Data'!$C:$C = $C2630, 'Fund Investment Data'!$A:$A = $A2630, 'Fund Investment Data'!$B:$B &lt;= 3)) * Parameters!$B$4, 0),0)))"),0.0)</f>
        <v>0</v>
      </c>
      <c r="AB2630" s="32">
        <f>IFERROR(__xludf.DUMMYFUNCTION("IFERROR(((IFERROR(SUM(FILTER('Fund Investment Data'!$V:$V, 'Fund Investment Data'!$C:$C = $C2630, 'Fund Investment Data'!$A:$A = $A2630 - 2, 'Fund Investment Data'!$B:$B &gt;= 4)) * Parameters!$B$4,0) + IFERROR(SUM(FILTER('Fund Investment Data'!$V:$V, 'Fund "&amp;"Investment Data'!$C:$C = $C2630, 'Fund Investment Data'!$A:$A = $A2630 - 1, 'Fund Investment Data'!$B:$B &lt;= 3)) * Parameters!$B$4,0))),0)"),0.0)</f>
        <v>0</v>
      </c>
      <c r="AC2630" s="32">
        <f>IFERROR(__xludf.DUMMYFUNCTION("IFERROR(FILTER($AF:$AF,$C:$C = $C2630,$A:$A = $A2630 - 1,$B:$B = 12),0)"),0.0)</f>
        <v>0</v>
      </c>
      <c r="AD2630" s="32">
        <f t="shared" si="23"/>
        <v>0</v>
      </c>
      <c r="AE2630" s="32">
        <f t="shared" si="2"/>
        <v>0</v>
      </c>
      <c r="AF2630" s="32"/>
    </row>
    <row r="2631">
      <c r="A2631" s="86"/>
      <c r="B2631" s="87"/>
      <c r="C2631" s="88"/>
      <c r="D2631" s="104"/>
      <c r="E2631" s="104"/>
      <c r="F2631" s="104"/>
      <c r="G2631" s="104"/>
      <c r="H2631" s="104"/>
      <c r="I2631" s="104"/>
      <c r="J2631" s="104"/>
      <c r="K2631" s="32"/>
      <c r="L2631" s="32"/>
      <c r="M2631" s="32"/>
      <c r="N2631" s="32"/>
      <c r="O2631" s="106"/>
      <c r="P2631" s="91">
        <f>IFERROR(__xludf.DUMMYFUNCTION("IFERROR(sum(FILTER($D:$N,$C:$C = $C2631,$A:$A &lt; $A2631,$B:$B = 12)),0) + sum($D2631:$N2631)"),0.0)</f>
        <v>0</v>
      </c>
      <c r="Q2631" s="92">
        <f t="shared" si="1"/>
        <v>0</v>
      </c>
      <c r="R2631" s="91">
        <f t="array" ref="R2631">IFERROR(INDEX('Fund YTD Target Values'!$1:$1000, MATCH($C2631,'Fund YTD Target Values'!$A:$A,0), MATCH($A2631,'Fund YTD Target Values'!$1:$1,0)),0)</f>
        <v>0</v>
      </c>
      <c r="S2631" s="91">
        <f>IFERROR(__xludf.DUMMYFUNCTION("IFERROR(sum(FILTER('Fund Investment Data'!$V:$V, 'Fund Investment Data'!$C:$C = $C2631, 'Fund Investment Data'!$A:$A &lt; $A2631)),0) + IFERROR(sum(FILTER('Fund Investment Data'!$V:$V, 'Fund Investment Data'!$C:$C = $C2631, 'Fund Investment Data'!$A:$A = $A2"&amp;"631, 'Fund Investment Data'!$B:$B &lt;= $B2631)),0)"),0.0)</f>
        <v>0</v>
      </c>
      <c r="T2631" s="32"/>
      <c r="U2631" s="32"/>
      <c r="V2631" s="32">
        <f>IFERROR(__xludf.DUMMYFUNCTION("$D2631 - IFERROR(FILTER($D:$D,$C:$C = $C2631, $A:$A = $A2631, $B:$B = $B2631 - 1),0)"),0.0)</f>
        <v>0</v>
      </c>
      <c r="W2631" s="93">
        <f>IFERROR(__xludf.DUMMYFUNCTION("$E2631 - IFERROR(FILTER($E:$E,$C:$C = $C2631, $A:$A = $A2631, $B:$B = $B2631 - 1),0)"),0.0)</f>
        <v>0</v>
      </c>
      <c r="X2631" s="91">
        <f>IFERROR(__xludf.DUMMYFUNCTION("iFERROR((FILTER('Fund Investment Data'!$Z:$Z, 'Fund Investment Data'!$C:$C = $C2631, 'Fund Investment Data'!$A:$A = $A2631 - 1, 'Fund Investment Data'!$B:$B = 12) + FILTER('Fund Investment Data'!$AB:$AB, 'Fund Investment Data'!$C:$C = $C2631, 'Fund Invest"&amp;"ment Data'!$A:$A = $A2631 - 1, 'Fund Investment Data'!$B:$B = 12)) * (1 + AVERAGE(FILTER('Inflation Data'!$C:$C,'Inflation Data'!$A:$A = ($A2631 - 2)))) * Parameters!$A$4,0)"),0.0)</f>
        <v>0</v>
      </c>
      <c r="Y2631" s="91">
        <f>IFERROR(__xludf.DUMMYFUNCTION("IFERROR((IFERROR(FILTER('Fund Investment Data'!$P:$P,'Fund Investment Data'!$C:$C = $C2631,'Fund Investment Data'!$A:$A = ($A2631 - 2), 'Fund Investment Data'!$B:$B = 12),0) - SUM(FILTER('Fund Investment Data'!$V:$V, 'Fund Investment Data'!$C:$C = $C2631,"&amp;" 'Fund Investment Data'!$A:$A = ($A2631 - 2), 'Fund Investment Data'!$B:$B &gt; 3)))  * Parameters!$B$4 * (1 - Parameters!$A$4),0)"),0.0)</f>
        <v>0</v>
      </c>
      <c r="Z2631" s="91">
        <f t="shared" si="24"/>
        <v>0</v>
      </c>
      <c r="AA2631" s="91">
        <f>IFERROR(__xludf.DUMMYFUNCTION("((IFERROR((SUM(FILTER('Fund Investment Data'!$V:$V, 'Fund Investment Data'!$C:$C = $C2631, 'Fund Investment Data'!$A:$A = $A2631 - 1, 'Fund Investment Data'!$B:$B &gt;= 4, 'Fund Investment Data'!$B:$B &lt;= ($B2631 + 5))) / 12) * ($B2631 - 3) * Parameters!$B$4,"&amp;" 0) + IF($B2631 &gt;= 9, IFERROR(SUM(FILTER('Fund Investment Data'!$V:$V, 'Fund Investment Data'!$C:$C = $C2631, 'Fund Investment Data'!$A:$A = $A2631, 'Fund Investment Data'!$B:$B &lt;= 3)) * Parameters!$B$4, 0),0)))"),0.0)</f>
        <v>0</v>
      </c>
      <c r="AB2631" s="32">
        <f>IFERROR(__xludf.DUMMYFUNCTION("IFERROR(((IFERROR(SUM(FILTER('Fund Investment Data'!$V:$V, 'Fund Investment Data'!$C:$C = $C2631, 'Fund Investment Data'!$A:$A = $A2631 - 2, 'Fund Investment Data'!$B:$B &gt;= 4)) * Parameters!$B$4,0) + IFERROR(SUM(FILTER('Fund Investment Data'!$V:$V, 'Fund "&amp;"Investment Data'!$C:$C = $C2631, 'Fund Investment Data'!$A:$A = $A2631 - 1, 'Fund Investment Data'!$B:$B &lt;= 3)) * Parameters!$B$4,0))),0)"),0.0)</f>
        <v>0</v>
      </c>
      <c r="AC2631" s="32">
        <f>IFERROR(__xludf.DUMMYFUNCTION("IFERROR(FILTER($AF:$AF,$C:$C = $C2631,$A:$A = $A2631 - 1,$B:$B = 12),0)"),0.0)</f>
        <v>0</v>
      </c>
      <c r="AD2631" s="32">
        <f t="shared" si="23"/>
        <v>0</v>
      </c>
      <c r="AE2631" s="32">
        <f t="shared" si="2"/>
        <v>0</v>
      </c>
      <c r="AF2631" s="32"/>
    </row>
    <row r="2632">
      <c r="A2632" s="86"/>
      <c r="B2632" s="87"/>
      <c r="C2632" s="88"/>
      <c r="D2632" s="104"/>
      <c r="E2632" s="104"/>
      <c r="F2632" s="104"/>
      <c r="G2632" s="104"/>
      <c r="H2632" s="104"/>
      <c r="I2632" s="104"/>
      <c r="J2632" s="104"/>
      <c r="K2632" s="32"/>
      <c r="L2632" s="32"/>
      <c r="M2632" s="32"/>
      <c r="N2632" s="32"/>
      <c r="O2632" s="106"/>
      <c r="P2632" s="91">
        <f>IFERROR(__xludf.DUMMYFUNCTION("IFERROR(sum(FILTER($D:$N,$C:$C = $C2632,$A:$A &lt; $A2632,$B:$B = 12)),0) + sum($D2632:$N2632)"),0.0)</f>
        <v>0</v>
      </c>
      <c r="Q2632" s="92">
        <f t="shared" si="1"/>
        <v>0</v>
      </c>
      <c r="R2632" s="91">
        <f t="array" ref="R2632">IFERROR(INDEX('Fund YTD Target Values'!$1:$1000, MATCH($C2632,'Fund YTD Target Values'!$A:$A,0), MATCH($A2632,'Fund YTD Target Values'!$1:$1,0)),0)</f>
        <v>0</v>
      </c>
      <c r="S2632" s="91">
        <f>IFERROR(__xludf.DUMMYFUNCTION("IFERROR(sum(FILTER('Fund Investment Data'!$V:$V, 'Fund Investment Data'!$C:$C = $C2632, 'Fund Investment Data'!$A:$A &lt; $A2632)),0) + IFERROR(sum(FILTER('Fund Investment Data'!$V:$V, 'Fund Investment Data'!$C:$C = $C2632, 'Fund Investment Data'!$A:$A = $A2"&amp;"632, 'Fund Investment Data'!$B:$B &lt;= $B2632)),0)"),0.0)</f>
        <v>0</v>
      </c>
      <c r="T2632" s="32"/>
      <c r="U2632" s="32"/>
      <c r="V2632" s="32">
        <f>IFERROR(__xludf.DUMMYFUNCTION("$D2632 - IFERROR(FILTER($D:$D,$C:$C = $C2632, $A:$A = $A2632, $B:$B = $B2632 - 1),0)"),0.0)</f>
        <v>0</v>
      </c>
      <c r="W2632" s="93">
        <f>IFERROR(__xludf.DUMMYFUNCTION("$E2632 - IFERROR(FILTER($E:$E,$C:$C = $C2632, $A:$A = $A2632, $B:$B = $B2632 - 1),0)"),0.0)</f>
        <v>0</v>
      </c>
      <c r="X2632" s="91">
        <f>IFERROR(__xludf.DUMMYFUNCTION("iFERROR((FILTER('Fund Investment Data'!$Z:$Z, 'Fund Investment Data'!$C:$C = $C2632, 'Fund Investment Data'!$A:$A = $A2632 - 1, 'Fund Investment Data'!$B:$B = 12) + FILTER('Fund Investment Data'!$AB:$AB, 'Fund Investment Data'!$C:$C = $C2632, 'Fund Invest"&amp;"ment Data'!$A:$A = $A2632 - 1, 'Fund Investment Data'!$B:$B = 12)) * (1 + AVERAGE(FILTER('Inflation Data'!$C:$C,'Inflation Data'!$A:$A = ($A2632 - 2)))) * Parameters!$A$4,0)"),0.0)</f>
        <v>0</v>
      </c>
      <c r="Y2632" s="91">
        <f>IFERROR(__xludf.DUMMYFUNCTION("IFERROR((IFERROR(FILTER('Fund Investment Data'!$P:$P,'Fund Investment Data'!$C:$C = $C2632,'Fund Investment Data'!$A:$A = ($A2632 - 2), 'Fund Investment Data'!$B:$B = 12),0) - SUM(FILTER('Fund Investment Data'!$V:$V, 'Fund Investment Data'!$C:$C = $C2632,"&amp;" 'Fund Investment Data'!$A:$A = ($A2632 - 2), 'Fund Investment Data'!$B:$B &gt; 3)))  * Parameters!$B$4 * (1 - Parameters!$A$4),0)"),0.0)</f>
        <v>0</v>
      </c>
      <c r="Z2632" s="91">
        <f t="shared" si="24"/>
        <v>0</v>
      </c>
      <c r="AA2632" s="91">
        <f>IFERROR(__xludf.DUMMYFUNCTION("((IFERROR((SUM(FILTER('Fund Investment Data'!$V:$V, 'Fund Investment Data'!$C:$C = $C2632, 'Fund Investment Data'!$A:$A = $A2632 - 1, 'Fund Investment Data'!$B:$B &gt;= 4, 'Fund Investment Data'!$B:$B &lt;= ($B2632 + 5))) / 12) * ($B2632 - 3) * Parameters!$B$4,"&amp;" 0) + IF($B2632 &gt;= 9, IFERROR(SUM(FILTER('Fund Investment Data'!$V:$V, 'Fund Investment Data'!$C:$C = $C2632, 'Fund Investment Data'!$A:$A = $A2632, 'Fund Investment Data'!$B:$B &lt;= 3)) * Parameters!$B$4, 0),0)))"),0.0)</f>
        <v>0</v>
      </c>
      <c r="AB2632" s="32">
        <f>IFERROR(__xludf.DUMMYFUNCTION("IFERROR(((IFERROR(SUM(FILTER('Fund Investment Data'!$V:$V, 'Fund Investment Data'!$C:$C = $C2632, 'Fund Investment Data'!$A:$A = $A2632 - 2, 'Fund Investment Data'!$B:$B &gt;= 4)) * Parameters!$B$4,0) + IFERROR(SUM(FILTER('Fund Investment Data'!$V:$V, 'Fund "&amp;"Investment Data'!$C:$C = $C2632, 'Fund Investment Data'!$A:$A = $A2632 - 1, 'Fund Investment Data'!$B:$B &lt;= 3)) * Parameters!$B$4,0))),0)"),0.0)</f>
        <v>0</v>
      </c>
      <c r="AC2632" s="32">
        <f>IFERROR(__xludf.DUMMYFUNCTION("IFERROR(FILTER($AF:$AF,$C:$C = $C2632,$A:$A = $A2632 - 1,$B:$B = 12),0)"),0.0)</f>
        <v>0</v>
      </c>
      <c r="AD2632" s="32">
        <f t="shared" si="23"/>
        <v>0</v>
      </c>
      <c r="AE2632" s="32">
        <f t="shared" si="2"/>
        <v>0</v>
      </c>
      <c r="AF2632" s="32"/>
    </row>
    <row r="2633">
      <c r="A2633" s="86"/>
      <c r="B2633" s="87"/>
      <c r="C2633" s="88"/>
      <c r="D2633" s="104"/>
      <c r="E2633" s="104"/>
      <c r="F2633" s="104"/>
      <c r="G2633" s="104"/>
      <c r="H2633" s="104"/>
      <c r="I2633" s="104"/>
      <c r="J2633" s="104"/>
      <c r="K2633" s="32"/>
      <c r="L2633" s="32"/>
      <c r="M2633" s="32"/>
      <c r="N2633" s="32"/>
      <c r="O2633" s="106"/>
      <c r="P2633" s="91">
        <f>IFERROR(__xludf.DUMMYFUNCTION("IFERROR(sum(FILTER($D:$N,$C:$C = $C2633,$A:$A &lt; $A2633,$B:$B = 12)),0) + sum($D2633:$N2633)"),0.0)</f>
        <v>0</v>
      </c>
      <c r="Q2633" s="92">
        <f t="shared" si="1"/>
        <v>0</v>
      </c>
      <c r="R2633" s="91">
        <f t="array" ref="R2633">IFERROR(INDEX('Fund YTD Target Values'!$1:$1000, MATCH($C2633,'Fund YTD Target Values'!$A:$A,0), MATCH($A2633,'Fund YTD Target Values'!$1:$1,0)),0)</f>
        <v>0</v>
      </c>
      <c r="S2633" s="91">
        <f>IFERROR(__xludf.DUMMYFUNCTION("IFERROR(sum(FILTER('Fund Investment Data'!$V:$V, 'Fund Investment Data'!$C:$C = $C2633, 'Fund Investment Data'!$A:$A &lt; $A2633)),0) + IFERROR(sum(FILTER('Fund Investment Data'!$V:$V, 'Fund Investment Data'!$C:$C = $C2633, 'Fund Investment Data'!$A:$A = $A2"&amp;"633, 'Fund Investment Data'!$B:$B &lt;= $B2633)),0)"),0.0)</f>
        <v>0</v>
      </c>
      <c r="T2633" s="32"/>
      <c r="U2633" s="32"/>
      <c r="V2633" s="32">
        <f>IFERROR(__xludf.DUMMYFUNCTION("$D2633 - IFERROR(FILTER($D:$D,$C:$C = $C2633, $A:$A = $A2633, $B:$B = $B2633 - 1),0)"),0.0)</f>
        <v>0</v>
      </c>
      <c r="W2633" s="93">
        <f>IFERROR(__xludf.DUMMYFUNCTION("$E2633 - IFERROR(FILTER($E:$E,$C:$C = $C2633, $A:$A = $A2633, $B:$B = $B2633 - 1),0)"),0.0)</f>
        <v>0</v>
      </c>
      <c r="X2633" s="91">
        <f>IFERROR(__xludf.DUMMYFUNCTION("iFERROR((FILTER('Fund Investment Data'!$Z:$Z, 'Fund Investment Data'!$C:$C = $C2633, 'Fund Investment Data'!$A:$A = $A2633 - 1, 'Fund Investment Data'!$B:$B = 12) + FILTER('Fund Investment Data'!$AB:$AB, 'Fund Investment Data'!$C:$C = $C2633, 'Fund Invest"&amp;"ment Data'!$A:$A = $A2633 - 1, 'Fund Investment Data'!$B:$B = 12)) * (1 + AVERAGE(FILTER('Inflation Data'!$C:$C,'Inflation Data'!$A:$A = ($A2633 - 2)))) * Parameters!$A$4,0)"),0.0)</f>
        <v>0</v>
      </c>
      <c r="Y2633" s="91">
        <f>IFERROR(__xludf.DUMMYFUNCTION("IFERROR((IFERROR(FILTER('Fund Investment Data'!$P:$P,'Fund Investment Data'!$C:$C = $C2633,'Fund Investment Data'!$A:$A = ($A2633 - 2), 'Fund Investment Data'!$B:$B = 12),0) - SUM(FILTER('Fund Investment Data'!$V:$V, 'Fund Investment Data'!$C:$C = $C2633,"&amp;" 'Fund Investment Data'!$A:$A = ($A2633 - 2), 'Fund Investment Data'!$B:$B &gt; 3)))  * Parameters!$B$4 * (1 - Parameters!$A$4),0)"),0.0)</f>
        <v>0</v>
      </c>
      <c r="Z2633" s="91">
        <f t="shared" si="24"/>
        <v>0</v>
      </c>
      <c r="AA2633" s="91">
        <f>IFERROR(__xludf.DUMMYFUNCTION("((IFERROR((SUM(FILTER('Fund Investment Data'!$V:$V, 'Fund Investment Data'!$C:$C = $C2633, 'Fund Investment Data'!$A:$A = $A2633 - 1, 'Fund Investment Data'!$B:$B &gt;= 4, 'Fund Investment Data'!$B:$B &lt;= ($B2633 + 5))) / 12) * ($B2633 - 3) * Parameters!$B$4,"&amp;" 0) + IF($B2633 &gt;= 9, IFERROR(SUM(FILTER('Fund Investment Data'!$V:$V, 'Fund Investment Data'!$C:$C = $C2633, 'Fund Investment Data'!$A:$A = $A2633, 'Fund Investment Data'!$B:$B &lt;= 3)) * Parameters!$B$4, 0),0)))"),0.0)</f>
        <v>0</v>
      </c>
      <c r="AB2633" s="32">
        <f>IFERROR(__xludf.DUMMYFUNCTION("IFERROR(((IFERROR(SUM(FILTER('Fund Investment Data'!$V:$V, 'Fund Investment Data'!$C:$C = $C2633, 'Fund Investment Data'!$A:$A = $A2633 - 2, 'Fund Investment Data'!$B:$B &gt;= 4)) * Parameters!$B$4,0) + IFERROR(SUM(FILTER('Fund Investment Data'!$V:$V, 'Fund "&amp;"Investment Data'!$C:$C = $C2633, 'Fund Investment Data'!$A:$A = $A2633 - 1, 'Fund Investment Data'!$B:$B &lt;= 3)) * Parameters!$B$4,0))),0)"),0.0)</f>
        <v>0</v>
      </c>
      <c r="AC2633" s="32">
        <f>IFERROR(__xludf.DUMMYFUNCTION("IFERROR(FILTER($AF:$AF,$C:$C = $C2633,$A:$A = $A2633 - 1,$B:$B = 12),0)"),0.0)</f>
        <v>0</v>
      </c>
      <c r="AD2633" s="32">
        <f t="shared" si="23"/>
        <v>0</v>
      </c>
      <c r="AE2633" s="32">
        <f t="shared" si="2"/>
        <v>0</v>
      </c>
      <c r="AF2633" s="32"/>
    </row>
    <row r="2634">
      <c r="A2634" s="86"/>
      <c r="B2634" s="87"/>
      <c r="C2634" s="88"/>
      <c r="D2634" s="104"/>
      <c r="E2634" s="104"/>
      <c r="F2634" s="104"/>
      <c r="G2634" s="104"/>
      <c r="H2634" s="104"/>
      <c r="I2634" s="104"/>
      <c r="J2634" s="104"/>
      <c r="K2634" s="32"/>
      <c r="L2634" s="32"/>
      <c r="M2634" s="32"/>
      <c r="N2634" s="32"/>
      <c r="O2634" s="106"/>
      <c r="P2634" s="91">
        <f>IFERROR(__xludf.DUMMYFUNCTION("IFERROR(sum(FILTER($D:$N,$C:$C = $C2634,$A:$A &lt; $A2634,$B:$B = 12)),0) + sum($D2634:$N2634)"),0.0)</f>
        <v>0</v>
      </c>
      <c r="Q2634" s="92">
        <f t="shared" si="1"/>
        <v>0</v>
      </c>
      <c r="R2634" s="91">
        <f t="array" ref="R2634">IFERROR(INDEX('Fund YTD Target Values'!$1:$1000, MATCH($C2634,'Fund YTD Target Values'!$A:$A,0), MATCH($A2634,'Fund YTD Target Values'!$1:$1,0)),0)</f>
        <v>0</v>
      </c>
      <c r="S2634" s="91">
        <f>IFERROR(__xludf.DUMMYFUNCTION("IFERROR(sum(FILTER('Fund Investment Data'!$V:$V, 'Fund Investment Data'!$C:$C = $C2634, 'Fund Investment Data'!$A:$A &lt; $A2634)),0) + IFERROR(sum(FILTER('Fund Investment Data'!$V:$V, 'Fund Investment Data'!$C:$C = $C2634, 'Fund Investment Data'!$A:$A = $A2"&amp;"634, 'Fund Investment Data'!$B:$B &lt;= $B2634)),0)"),0.0)</f>
        <v>0</v>
      </c>
      <c r="T2634" s="32"/>
      <c r="U2634" s="32"/>
      <c r="V2634" s="32">
        <f>IFERROR(__xludf.DUMMYFUNCTION("$D2634 - IFERROR(FILTER($D:$D,$C:$C = $C2634, $A:$A = $A2634, $B:$B = $B2634 - 1),0)"),0.0)</f>
        <v>0</v>
      </c>
      <c r="W2634" s="93">
        <f>IFERROR(__xludf.DUMMYFUNCTION("$E2634 - IFERROR(FILTER($E:$E,$C:$C = $C2634, $A:$A = $A2634, $B:$B = $B2634 - 1),0)"),0.0)</f>
        <v>0</v>
      </c>
      <c r="X2634" s="91">
        <f>IFERROR(__xludf.DUMMYFUNCTION("iFERROR((FILTER('Fund Investment Data'!$Z:$Z, 'Fund Investment Data'!$C:$C = $C2634, 'Fund Investment Data'!$A:$A = $A2634 - 1, 'Fund Investment Data'!$B:$B = 12) + FILTER('Fund Investment Data'!$AB:$AB, 'Fund Investment Data'!$C:$C = $C2634, 'Fund Invest"&amp;"ment Data'!$A:$A = $A2634 - 1, 'Fund Investment Data'!$B:$B = 12)) * (1 + AVERAGE(FILTER('Inflation Data'!$C:$C,'Inflation Data'!$A:$A = ($A2634 - 2)))) * Parameters!$A$4,0)"),0.0)</f>
        <v>0</v>
      </c>
      <c r="Y2634" s="91">
        <f>IFERROR(__xludf.DUMMYFUNCTION("IFERROR((IFERROR(FILTER('Fund Investment Data'!$P:$P,'Fund Investment Data'!$C:$C = $C2634,'Fund Investment Data'!$A:$A = ($A2634 - 2), 'Fund Investment Data'!$B:$B = 12),0) - SUM(FILTER('Fund Investment Data'!$V:$V, 'Fund Investment Data'!$C:$C = $C2634,"&amp;" 'Fund Investment Data'!$A:$A = ($A2634 - 2), 'Fund Investment Data'!$B:$B &gt; 3)))  * Parameters!$B$4 * (1 - Parameters!$A$4),0)"),0.0)</f>
        <v>0</v>
      </c>
      <c r="Z2634" s="91">
        <f t="shared" si="24"/>
        <v>0</v>
      </c>
      <c r="AA2634" s="91">
        <f>IFERROR(__xludf.DUMMYFUNCTION("((IFERROR((SUM(FILTER('Fund Investment Data'!$V:$V, 'Fund Investment Data'!$C:$C = $C2634, 'Fund Investment Data'!$A:$A = $A2634 - 1, 'Fund Investment Data'!$B:$B &gt;= 4, 'Fund Investment Data'!$B:$B &lt;= ($B2634 + 5))) / 12) * ($B2634 - 3) * Parameters!$B$4,"&amp;" 0) + IF($B2634 &gt;= 9, IFERROR(SUM(FILTER('Fund Investment Data'!$V:$V, 'Fund Investment Data'!$C:$C = $C2634, 'Fund Investment Data'!$A:$A = $A2634, 'Fund Investment Data'!$B:$B &lt;= 3)) * Parameters!$B$4, 0),0)))"),0.0)</f>
        <v>0</v>
      </c>
      <c r="AB2634" s="32">
        <f>IFERROR(__xludf.DUMMYFUNCTION("IFERROR(((IFERROR(SUM(FILTER('Fund Investment Data'!$V:$V, 'Fund Investment Data'!$C:$C = $C2634, 'Fund Investment Data'!$A:$A = $A2634 - 2, 'Fund Investment Data'!$B:$B &gt;= 4)) * Parameters!$B$4,0) + IFERROR(SUM(FILTER('Fund Investment Data'!$V:$V, 'Fund "&amp;"Investment Data'!$C:$C = $C2634, 'Fund Investment Data'!$A:$A = $A2634 - 1, 'Fund Investment Data'!$B:$B &lt;= 3)) * Parameters!$B$4,0))),0)"),0.0)</f>
        <v>0</v>
      </c>
      <c r="AC2634" s="32">
        <f>IFERROR(__xludf.DUMMYFUNCTION("IFERROR(FILTER($AF:$AF,$C:$C = $C2634,$A:$A = $A2634 - 1,$B:$B = 12),0)"),0.0)</f>
        <v>0</v>
      </c>
      <c r="AD2634" s="32">
        <f t="shared" si="23"/>
        <v>0</v>
      </c>
      <c r="AE2634" s="32">
        <f t="shared" si="2"/>
        <v>0</v>
      </c>
      <c r="AF2634" s="32"/>
    </row>
    <row r="2635">
      <c r="A2635" s="86"/>
      <c r="B2635" s="87"/>
      <c r="C2635" s="88"/>
      <c r="D2635" s="104"/>
      <c r="E2635" s="104"/>
      <c r="F2635" s="104"/>
      <c r="G2635" s="104"/>
      <c r="H2635" s="104"/>
      <c r="I2635" s="104"/>
      <c r="J2635" s="104"/>
      <c r="K2635" s="32"/>
      <c r="L2635" s="32"/>
      <c r="M2635" s="32"/>
      <c r="N2635" s="32"/>
      <c r="O2635" s="106"/>
      <c r="P2635" s="91">
        <f>IFERROR(__xludf.DUMMYFUNCTION("IFERROR(sum(FILTER($D:$N,$C:$C = $C2635,$A:$A &lt; $A2635,$B:$B = 12)),0) + sum($D2635:$N2635)"),0.0)</f>
        <v>0</v>
      </c>
      <c r="Q2635" s="92">
        <f t="shared" si="1"/>
        <v>0</v>
      </c>
      <c r="R2635" s="91">
        <f t="array" ref="R2635">IFERROR(INDEX('Fund YTD Target Values'!$1:$1000, MATCH($C2635,'Fund YTD Target Values'!$A:$A,0), MATCH($A2635,'Fund YTD Target Values'!$1:$1,0)),0)</f>
        <v>0</v>
      </c>
      <c r="S2635" s="91">
        <f>IFERROR(__xludf.DUMMYFUNCTION("IFERROR(sum(FILTER('Fund Investment Data'!$V:$V, 'Fund Investment Data'!$C:$C = $C2635, 'Fund Investment Data'!$A:$A &lt; $A2635)),0) + IFERROR(sum(FILTER('Fund Investment Data'!$V:$V, 'Fund Investment Data'!$C:$C = $C2635, 'Fund Investment Data'!$A:$A = $A2"&amp;"635, 'Fund Investment Data'!$B:$B &lt;= $B2635)),0)"),0.0)</f>
        <v>0</v>
      </c>
      <c r="T2635" s="32"/>
      <c r="U2635" s="32"/>
      <c r="V2635" s="32">
        <f>IFERROR(__xludf.DUMMYFUNCTION("$D2635 - IFERROR(FILTER($D:$D,$C:$C = $C2635, $A:$A = $A2635, $B:$B = $B2635 - 1),0)"),0.0)</f>
        <v>0</v>
      </c>
      <c r="W2635" s="93">
        <f>IFERROR(__xludf.DUMMYFUNCTION("$E2635 - IFERROR(FILTER($E:$E,$C:$C = $C2635, $A:$A = $A2635, $B:$B = $B2635 - 1),0)"),0.0)</f>
        <v>0</v>
      </c>
      <c r="X2635" s="91">
        <f>IFERROR(__xludf.DUMMYFUNCTION("iFERROR((FILTER('Fund Investment Data'!$Z:$Z, 'Fund Investment Data'!$C:$C = $C2635, 'Fund Investment Data'!$A:$A = $A2635 - 1, 'Fund Investment Data'!$B:$B = 12) + FILTER('Fund Investment Data'!$AB:$AB, 'Fund Investment Data'!$C:$C = $C2635, 'Fund Invest"&amp;"ment Data'!$A:$A = $A2635 - 1, 'Fund Investment Data'!$B:$B = 12)) * (1 + AVERAGE(FILTER('Inflation Data'!$C:$C,'Inflation Data'!$A:$A = ($A2635 - 2)))) * Parameters!$A$4,0)"),0.0)</f>
        <v>0</v>
      </c>
      <c r="Y2635" s="91">
        <f>IFERROR(__xludf.DUMMYFUNCTION("IFERROR((IFERROR(FILTER('Fund Investment Data'!$P:$P,'Fund Investment Data'!$C:$C = $C2635,'Fund Investment Data'!$A:$A = ($A2635 - 2), 'Fund Investment Data'!$B:$B = 12),0) - SUM(FILTER('Fund Investment Data'!$V:$V, 'Fund Investment Data'!$C:$C = $C2635,"&amp;" 'Fund Investment Data'!$A:$A = ($A2635 - 2), 'Fund Investment Data'!$B:$B &gt; 3)))  * Parameters!$B$4 * (1 - Parameters!$A$4),0)"),0.0)</f>
        <v>0</v>
      </c>
      <c r="Z2635" s="91">
        <f t="shared" si="24"/>
        <v>0</v>
      </c>
      <c r="AA2635" s="91">
        <f>IFERROR(__xludf.DUMMYFUNCTION("((IFERROR((SUM(FILTER('Fund Investment Data'!$V:$V, 'Fund Investment Data'!$C:$C = $C2635, 'Fund Investment Data'!$A:$A = $A2635 - 1, 'Fund Investment Data'!$B:$B &gt;= 4, 'Fund Investment Data'!$B:$B &lt;= ($B2635 + 5))) / 12) * ($B2635 - 3) * Parameters!$B$4,"&amp;" 0) + IF($B2635 &gt;= 9, IFERROR(SUM(FILTER('Fund Investment Data'!$V:$V, 'Fund Investment Data'!$C:$C = $C2635, 'Fund Investment Data'!$A:$A = $A2635, 'Fund Investment Data'!$B:$B &lt;= 3)) * Parameters!$B$4, 0),0)))"),0.0)</f>
        <v>0</v>
      </c>
      <c r="AB2635" s="32">
        <f>IFERROR(__xludf.DUMMYFUNCTION("IFERROR(((IFERROR(SUM(FILTER('Fund Investment Data'!$V:$V, 'Fund Investment Data'!$C:$C = $C2635, 'Fund Investment Data'!$A:$A = $A2635 - 2, 'Fund Investment Data'!$B:$B &gt;= 4)) * Parameters!$B$4,0) + IFERROR(SUM(FILTER('Fund Investment Data'!$V:$V, 'Fund "&amp;"Investment Data'!$C:$C = $C2635, 'Fund Investment Data'!$A:$A = $A2635 - 1, 'Fund Investment Data'!$B:$B &lt;= 3)) * Parameters!$B$4,0))),0)"),0.0)</f>
        <v>0</v>
      </c>
      <c r="AC2635" s="32">
        <f>IFERROR(__xludf.DUMMYFUNCTION("IFERROR(FILTER($AF:$AF,$C:$C = $C2635,$A:$A = $A2635 - 1,$B:$B = 12),0)"),0.0)</f>
        <v>0</v>
      </c>
      <c r="AD2635" s="32">
        <f t="shared" si="23"/>
        <v>0</v>
      </c>
      <c r="AE2635" s="32">
        <f t="shared" si="2"/>
        <v>0</v>
      </c>
      <c r="AF2635" s="32"/>
    </row>
    <row r="2636">
      <c r="A2636" s="86"/>
      <c r="B2636" s="87"/>
      <c r="C2636" s="88"/>
      <c r="D2636" s="104"/>
      <c r="E2636" s="104"/>
      <c r="F2636" s="104"/>
      <c r="G2636" s="104"/>
      <c r="H2636" s="104"/>
      <c r="I2636" s="104"/>
      <c r="J2636" s="104"/>
      <c r="K2636" s="32"/>
      <c r="L2636" s="32"/>
      <c r="M2636" s="32"/>
      <c r="N2636" s="32"/>
      <c r="O2636" s="106"/>
      <c r="P2636" s="91">
        <f>IFERROR(__xludf.DUMMYFUNCTION("IFERROR(sum(FILTER($D:$N,$C:$C = $C2636,$A:$A &lt; $A2636,$B:$B = 12)),0) + sum($D2636:$N2636)"),0.0)</f>
        <v>0</v>
      </c>
      <c r="Q2636" s="92">
        <f t="shared" si="1"/>
        <v>0</v>
      </c>
      <c r="R2636" s="91">
        <f t="array" ref="R2636">IFERROR(INDEX('Fund YTD Target Values'!$1:$1000, MATCH($C2636,'Fund YTD Target Values'!$A:$A,0), MATCH($A2636,'Fund YTD Target Values'!$1:$1,0)),0)</f>
        <v>0</v>
      </c>
      <c r="S2636" s="91">
        <f>IFERROR(__xludf.DUMMYFUNCTION("IFERROR(sum(FILTER('Fund Investment Data'!$V:$V, 'Fund Investment Data'!$C:$C = $C2636, 'Fund Investment Data'!$A:$A &lt; $A2636)),0) + IFERROR(sum(FILTER('Fund Investment Data'!$V:$V, 'Fund Investment Data'!$C:$C = $C2636, 'Fund Investment Data'!$A:$A = $A2"&amp;"636, 'Fund Investment Data'!$B:$B &lt;= $B2636)),0)"),0.0)</f>
        <v>0</v>
      </c>
      <c r="T2636" s="32"/>
      <c r="U2636" s="32"/>
      <c r="V2636" s="32">
        <f>IFERROR(__xludf.DUMMYFUNCTION("$D2636 - IFERROR(FILTER($D:$D,$C:$C = $C2636, $A:$A = $A2636, $B:$B = $B2636 - 1),0)"),0.0)</f>
        <v>0</v>
      </c>
      <c r="W2636" s="93">
        <f>IFERROR(__xludf.DUMMYFUNCTION("$E2636 - IFERROR(FILTER($E:$E,$C:$C = $C2636, $A:$A = $A2636, $B:$B = $B2636 - 1),0)"),0.0)</f>
        <v>0</v>
      </c>
      <c r="X2636" s="91">
        <f>IFERROR(__xludf.DUMMYFUNCTION("iFERROR((FILTER('Fund Investment Data'!$Z:$Z, 'Fund Investment Data'!$C:$C = $C2636, 'Fund Investment Data'!$A:$A = $A2636 - 1, 'Fund Investment Data'!$B:$B = 12) + FILTER('Fund Investment Data'!$AB:$AB, 'Fund Investment Data'!$C:$C = $C2636, 'Fund Invest"&amp;"ment Data'!$A:$A = $A2636 - 1, 'Fund Investment Data'!$B:$B = 12)) * (1 + AVERAGE(FILTER('Inflation Data'!$C:$C,'Inflation Data'!$A:$A = ($A2636 - 2)))) * Parameters!$A$4,0)"),0.0)</f>
        <v>0</v>
      </c>
      <c r="Y2636" s="91">
        <f>IFERROR(__xludf.DUMMYFUNCTION("IFERROR((IFERROR(FILTER('Fund Investment Data'!$P:$P,'Fund Investment Data'!$C:$C = $C2636,'Fund Investment Data'!$A:$A = ($A2636 - 2), 'Fund Investment Data'!$B:$B = 12),0) - SUM(FILTER('Fund Investment Data'!$V:$V, 'Fund Investment Data'!$C:$C = $C2636,"&amp;" 'Fund Investment Data'!$A:$A = ($A2636 - 2), 'Fund Investment Data'!$B:$B &gt; 3)))  * Parameters!$B$4 * (1 - Parameters!$A$4),0)"),0.0)</f>
        <v>0</v>
      </c>
      <c r="Z2636" s="91">
        <f t="shared" si="24"/>
        <v>0</v>
      </c>
      <c r="AA2636" s="91">
        <f>IFERROR(__xludf.DUMMYFUNCTION("((IFERROR((SUM(FILTER('Fund Investment Data'!$V:$V, 'Fund Investment Data'!$C:$C = $C2636, 'Fund Investment Data'!$A:$A = $A2636 - 1, 'Fund Investment Data'!$B:$B &gt;= 4, 'Fund Investment Data'!$B:$B &lt;= ($B2636 + 5))) / 12) * ($B2636 - 3) * Parameters!$B$4,"&amp;" 0) + IF($B2636 &gt;= 9, IFERROR(SUM(FILTER('Fund Investment Data'!$V:$V, 'Fund Investment Data'!$C:$C = $C2636, 'Fund Investment Data'!$A:$A = $A2636, 'Fund Investment Data'!$B:$B &lt;= 3)) * Parameters!$B$4, 0),0)))"),0.0)</f>
        <v>0</v>
      </c>
      <c r="AB2636" s="32">
        <f>IFERROR(__xludf.DUMMYFUNCTION("IFERROR(((IFERROR(SUM(FILTER('Fund Investment Data'!$V:$V, 'Fund Investment Data'!$C:$C = $C2636, 'Fund Investment Data'!$A:$A = $A2636 - 2, 'Fund Investment Data'!$B:$B &gt;= 4)) * Parameters!$B$4,0) + IFERROR(SUM(FILTER('Fund Investment Data'!$V:$V, 'Fund "&amp;"Investment Data'!$C:$C = $C2636, 'Fund Investment Data'!$A:$A = $A2636 - 1, 'Fund Investment Data'!$B:$B &lt;= 3)) * Parameters!$B$4,0))),0)"),0.0)</f>
        <v>0</v>
      </c>
      <c r="AC2636" s="32">
        <f>IFERROR(__xludf.DUMMYFUNCTION("IFERROR(FILTER($AF:$AF,$C:$C = $C2636,$A:$A = $A2636 - 1,$B:$B = 12),0)"),0.0)</f>
        <v>0</v>
      </c>
      <c r="AD2636" s="32">
        <f t="shared" si="23"/>
        <v>0</v>
      </c>
      <c r="AE2636" s="32">
        <f t="shared" si="2"/>
        <v>0</v>
      </c>
      <c r="AF2636" s="32"/>
    </row>
    <row r="2637">
      <c r="A2637" s="86"/>
      <c r="B2637" s="87"/>
      <c r="C2637" s="88"/>
      <c r="D2637" s="104"/>
      <c r="E2637" s="104"/>
      <c r="F2637" s="104"/>
      <c r="G2637" s="104"/>
      <c r="H2637" s="104"/>
      <c r="I2637" s="104"/>
      <c r="J2637" s="104"/>
      <c r="K2637" s="32"/>
      <c r="L2637" s="32"/>
      <c r="M2637" s="32"/>
      <c r="N2637" s="32"/>
      <c r="O2637" s="106"/>
      <c r="P2637" s="91">
        <f>IFERROR(__xludf.DUMMYFUNCTION("IFERROR(sum(FILTER($D:$N,$C:$C = $C2637,$A:$A &lt; $A2637,$B:$B = 12)),0) + sum($D2637:$N2637)"),0.0)</f>
        <v>0</v>
      </c>
      <c r="Q2637" s="92">
        <f t="shared" si="1"/>
        <v>0</v>
      </c>
      <c r="R2637" s="91">
        <f t="array" ref="R2637">IFERROR(INDEX('Fund YTD Target Values'!$1:$1000, MATCH($C2637,'Fund YTD Target Values'!$A:$A,0), MATCH($A2637,'Fund YTD Target Values'!$1:$1,0)),0)</f>
        <v>0</v>
      </c>
      <c r="S2637" s="91">
        <f>IFERROR(__xludf.DUMMYFUNCTION("IFERROR(sum(FILTER('Fund Investment Data'!$V:$V, 'Fund Investment Data'!$C:$C = $C2637, 'Fund Investment Data'!$A:$A &lt; $A2637)),0) + IFERROR(sum(FILTER('Fund Investment Data'!$V:$V, 'Fund Investment Data'!$C:$C = $C2637, 'Fund Investment Data'!$A:$A = $A2"&amp;"637, 'Fund Investment Data'!$B:$B &lt;= $B2637)),0)"),0.0)</f>
        <v>0</v>
      </c>
      <c r="T2637" s="32"/>
      <c r="U2637" s="32"/>
      <c r="V2637" s="32">
        <f>IFERROR(__xludf.DUMMYFUNCTION("$D2637 - IFERROR(FILTER($D:$D,$C:$C = $C2637, $A:$A = $A2637, $B:$B = $B2637 - 1),0)"),0.0)</f>
        <v>0</v>
      </c>
      <c r="W2637" s="93">
        <f>IFERROR(__xludf.DUMMYFUNCTION("$E2637 - IFERROR(FILTER($E:$E,$C:$C = $C2637, $A:$A = $A2637, $B:$B = $B2637 - 1),0)"),0.0)</f>
        <v>0</v>
      </c>
      <c r="X2637" s="91">
        <f>IFERROR(__xludf.DUMMYFUNCTION("iFERROR((FILTER('Fund Investment Data'!$Z:$Z, 'Fund Investment Data'!$C:$C = $C2637, 'Fund Investment Data'!$A:$A = $A2637 - 1, 'Fund Investment Data'!$B:$B = 12) + FILTER('Fund Investment Data'!$AB:$AB, 'Fund Investment Data'!$C:$C = $C2637, 'Fund Invest"&amp;"ment Data'!$A:$A = $A2637 - 1, 'Fund Investment Data'!$B:$B = 12)) * (1 + AVERAGE(FILTER('Inflation Data'!$C:$C,'Inflation Data'!$A:$A = ($A2637 - 2)))) * Parameters!$A$4,0)"),0.0)</f>
        <v>0</v>
      </c>
      <c r="Y2637" s="91">
        <f>IFERROR(__xludf.DUMMYFUNCTION("IFERROR((IFERROR(FILTER('Fund Investment Data'!$P:$P,'Fund Investment Data'!$C:$C = $C2637,'Fund Investment Data'!$A:$A = ($A2637 - 2), 'Fund Investment Data'!$B:$B = 12),0) - SUM(FILTER('Fund Investment Data'!$V:$V, 'Fund Investment Data'!$C:$C = $C2637,"&amp;" 'Fund Investment Data'!$A:$A = ($A2637 - 2), 'Fund Investment Data'!$B:$B &gt; 3)))  * Parameters!$B$4 * (1 - Parameters!$A$4),0)"),0.0)</f>
        <v>0</v>
      </c>
      <c r="Z2637" s="91">
        <f t="shared" si="24"/>
        <v>0</v>
      </c>
      <c r="AA2637" s="91">
        <f>IFERROR(__xludf.DUMMYFUNCTION("((IFERROR((SUM(FILTER('Fund Investment Data'!$V:$V, 'Fund Investment Data'!$C:$C = $C2637, 'Fund Investment Data'!$A:$A = $A2637 - 1, 'Fund Investment Data'!$B:$B &gt;= 4, 'Fund Investment Data'!$B:$B &lt;= ($B2637 + 5))) / 12) * ($B2637 - 3) * Parameters!$B$4,"&amp;" 0) + IF($B2637 &gt;= 9, IFERROR(SUM(FILTER('Fund Investment Data'!$V:$V, 'Fund Investment Data'!$C:$C = $C2637, 'Fund Investment Data'!$A:$A = $A2637, 'Fund Investment Data'!$B:$B &lt;= 3)) * Parameters!$B$4, 0),0)))"),0.0)</f>
        <v>0</v>
      </c>
      <c r="AB2637" s="32">
        <f>IFERROR(__xludf.DUMMYFUNCTION("IFERROR(((IFERROR(SUM(FILTER('Fund Investment Data'!$V:$V, 'Fund Investment Data'!$C:$C = $C2637, 'Fund Investment Data'!$A:$A = $A2637 - 2, 'Fund Investment Data'!$B:$B &gt;= 4)) * Parameters!$B$4,0) + IFERROR(SUM(FILTER('Fund Investment Data'!$V:$V, 'Fund "&amp;"Investment Data'!$C:$C = $C2637, 'Fund Investment Data'!$A:$A = $A2637 - 1, 'Fund Investment Data'!$B:$B &lt;= 3)) * Parameters!$B$4,0))),0)"),0.0)</f>
        <v>0</v>
      </c>
      <c r="AC2637" s="32">
        <f>IFERROR(__xludf.DUMMYFUNCTION("IFERROR(FILTER($AF:$AF,$C:$C = $C2637,$A:$A = $A2637 - 1,$B:$B = 12),0)"),0.0)</f>
        <v>0</v>
      </c>
      <c r="AD2637" s="32">
        <f t="shared" si="23"/>
        <v>0</v>
      </c>
      <c r="AE2637" s="32">
        <f t="shared" si="2"/>
        <v>0</v>
      </c>
      <c r="AF2637" s="32"/>
    </row>
    <row r="2638">
      <c r="A2638" s="86"/>
      <c r="B2638" s="87"/>
      <c r="C2638" s="88"/>
      <c r="D2638" s="104"/>
      <c r="E2638" s="104"/>
      <c r="F2638" s="104"/>
      <c r="G2638" s="104"/>
      <c r="H2638" s="104"/>
      <c r="I2638" s="104"/>
      <c r="J2638" s="104"/>
      <c r="K2638" s="32"/>
      <c r="L2638" s="32"/>
      <c r="M2638" s="32"/>
      <c r="N2638" s="32"/>
      <c r="O2638" s="106"/>
      <c r="P2638" s="91">
        <f>IFERROR(__xludf.DUMMYFUNCTION("IFERROR(sum(FILTER($D:$N,$C:$C = $C2638,$A:$A &lt; $A2638,$B:$B = 12)),0) + sum($D2638:$N2638)"),0.0)</f>
        <v>0</v>
      </c>
      <c r="Q2638" s="92">
        <f t="shared" si="1"/>
        <v>0</v>
      </c>
      <c r="R2638" s="91">
        <f t="array" ref="R2638">IFERROR(INDEX('Fund YTD Target Values'!$1:$1000, MATCH($C2638,'Fund YTD Target Values'!$A:$A,0), MATCH($A2638,'Fund YTD Target Values'!$1:$1,0)),0)</f>
        <v>0</v>
      </c>
      <c r="S2638" s="91">
        <f>IFERROR(__xludf.DUMMYFUNCTION("IFERROR(sum(FILTER('Fund Investment Data'!$V:$V, 'Fund Investment Data'!$C:$C = $C2638, 'Fund Investment Data'!$A:$A &lt; $A2638)),0) + IFERROR(sum(FILTER('Fund Investment Data'!$V:$V, 'Fund Investment Data'!$C:$C = $C2638, 'Fund Investment Data'!$A:$A = $A2"&amp;"638, 'Fund Investment Data'!$B:$B &lt;= $B2638)),0)"),0.0)</f>
        <v>0</v>
      </c>
      <c r="T2638" s="32"/>
      <c r="U2638" s="32"/>
      <c r="V2638" s="32">
        <f>IFERROR(__xludf.DUMMYFUNCTION("$D2638 - IFERROR(FILTER($D:$D,$C:$C = $C2638, $A:$A = $A2638, $B:$B = $B2638 - 1),0)"),0.0)</f>
        <v>0</v>
      </c>
      <c r="W2638" s="93">
        <f>IFERROR(__xludf.DUMMYFUNCTION("$E2638 - IFERROR(FILTER($E:$E,$C:$C = $C2638, $A:$A = $A2638, $B:$B = $B2638 - 1),0)"),0.0)</f>
        <v>0</v>
      </c>
      <c r="X2638" s="91">
        <f>IFERROR(__xludf.DUMMYFUNCTION("iFERROR((FILTER('Fund Investment Data'!$Z:$Z, 'Fund Investment Data'!$C:$C = $C2638, 'Fund Investment Data'!$A:$A = $A2638 - 1, 'Fund Investment Data'!$B:$B = 12) + FILTER('Fund Investment Data'!$AB:$AB, 'Fund Investment Data'!$C:$C = $C2638, 'Fund Invest"&amp;"ment Data'!$A:$A = $A2638 - 1, 'Fund Investment Data'!$B:$B = 12)) * (1 + AVERAGE(FILTER('Inflation Data'!$C:$C,'Inflation Data'!$A:$A = ($A2638 - 2)))) * Parameters!$A$4,0)"),0.0)</f>
        <v>0</v>
      </c>
      <c r="Y2638" s="91">
        <f>IFERROR(__xludf.DUMMYFUNCTION("IFERROR((IFERROR(FILTER('Fund Investment Data'!$P:$P,'Fund Investment Data'!$C:$C = $C2638,'Fund Investment Data'!$A:$A = ($A2638 - 2), 'Fund Investment Data'!$B:$B = 12),0) - SUM(FILTER('Fund Investment Data'!$V:$V, 'Fund Investment Data'!$C:$C = $C2638,"&amp;" 'Fund Investment Data'!$A:$A = ($A2638 - 2), 'Fund Investment Data'!$B:$B &gt; 3)))  * Parameters!$B$4 * (1 - Parameters!$A$4),0)"),0.0)</f>
        <v>0</v>
      </c>
      <c r="Z2638" s="91">
        <f t="shared" si="24"/>
        <v>0</v>
      </c>
      <c r="AA2638" s="91">
        <f>IFERROR(__xludf.DUMMYFUNCTION("((IFERROR((SUM(FILTER('Fund Investment Data'!$V:$V, 'Fund Investment Data'!$C:$C = $C2638, 'Fund Investment Data'!$A:$A = $A2638 - 1, 'Fund Investment Data'!$B:$B &gt;= 4, 'Fund Investment Data'!$B:$B &lt;= ($B2638 + 5))) / 12) * ($B2638 - 3) * Parameters!$B$4,"&amp;" 0) + IF($B2638 &gt;= 9, IFERROR(SUM(FILTER('Fund Investment Data'!$V:$V, 'Fund Investment Data'!$C:$C = $C2638, 'Fund Investment Data'!$A:$A = $A2638, 'Fund Investment Data'!$B:$B &lt;= 3)) * Parameters!$B$4, 0),0)))"),0.0)</f>
        <v>0</v>
      </c>
      <c r="AB2638" s="32">
        <f>IFERROR(__xludf.DUMMYFUNCTION("IFERROR(((IFERROR(SUM(FILTER('Fund Investment Data'!$V:$V, 'Fund Investment Data'!$C:$C = $C2638, 'Fund Investment Data'!$A:$A = $A2638 - 2, 'Fund Investment Data'!$B:$B &gt;= 4)) * Parameters!$B$4,0) + IFERROR(SUM(FILTER('Fund Investment Data'!$V:$V, 'Fund "&amp;"Investment Data'!$C:$C = $C2638, 'Fund Investment Data'!$A:$A = $A2638 - 1, 'Fund Investment Data'!$B:$B &lt;= 3)) * Parameters!$B$4,0))),0)"),0.0)</f>
        <v>0</v>
      </c>
      <c r="AC2638" s="32">
        <f>IFERROR(__xludf.DUMMYFUNCTION("IFERROR(FILTER($AF:$AF,$C:$C = $C2638,$A:$A = $A2638 - 1,$B:$B = 12),0)"),0.0)</f>
        <v>0</v>
      </c>
      <c r="AD2638" s="32">
        <f t="shared" si="23"/>
        <v>0</v>
      </c>
      <c r="AE2638" s="32">
        <f t="shared" si="2"/>
        <v>0</v>
      </c>
      <c r="AF2638" s="32"/>
    </row>
    <row r="2639">
      <c r="A2639" s="86"/>
      <c r="B2639" s="87"/>
      <c r="C2639" s="88"/>
      <c r="D2639" s="104"/>
      <c r="E2639" s="104"/>
      <c r="F2639" s="104"/>
      <c r="G2639" s="104"/>
      <c r="H2639" s="104"/>
      <c r="I2639" s="104"/>
      <c r="J2639" s="104"/>
      <c r="K2639" s="32"/>
      <c r="L2639" s="32"/>
      <c r="M2639" s="32"/>
      <c r="N2639" s="32"/>
      <c r="O2639" s="106"/>
      <c r="P2639" s="91">
        <f>IFERROR(__xludf.DUMMYFUNCTION("IFERROR(sum(FILTER($D:$N,$C:$C = $C2639,$A:$A &lt; $A2639,$B:$B = 12)),0) + sum($D2639:$N2639)"),0.0)</f>
        <v>0</v>
      </c>
      <c r="Q2639" s="92">
        <f t="shared" si="1"/>
        <v>0</v>
      </c>
      <c r="R2639" s="91">
        <f t="array" ref="R2639">IFERROR(INDEX('Fund YTD Target Values'!$1:$1000, MATCH($C2639,'Fund YTD Target Values'!$A:$A,0), MATCH($A2639,'Fund YTD Target Values'!$1:$1,0)),0)</f>
        <v>0</v>
      </c>
      <c r="S2639" s="91">
        <f>IFERROR(__xludf.DUMMYFUNCTION("IFERROR(sum(FILTER('Fund Investment Data'!$V:$V, 'Fund Investment Data'!$C:$C = $C2639, 'Fund Investment Data'!$A:$A &lt; $A2639)),0) + IFERROR(sum(FILTER('Fund Investment Data'!$V:$V, 'Fund Investment Data'!$C:$C = $C2639, 'Fund Investment Data'!$A:$A = $A2"&amp;"639, 'Fund Investment Data'!$B:$B &lt;= $B2639)),0)"),0.0)</f>
        <v>0</v>
      </c>
      <c r="T2639" s="32"/>
      <c r="U2639" s="32"/>
      <c r="V2639" s="32">
        <f>IFERROR(__xludf.DUMMYFUNCTION("$D2639 - IFERROR(FILTER($D:$D,$C:$C = $C2639, $A:$A = $A2639, $B:$B = $B2639 - 1),0)"),0.0)</f>
        <v>0</v>
      </c>
      <c r="W2639" s="93">
        <f>IFERROR(__xludf.DUMMYFUNCTION("$E2639 - IFERROR(FILTER($E:$E,$C:$C = $C2639, $A:$A = $A2639, $B:$B = $B2639 - 1),0)"),0.0)</f>
        <v>0</v>
      </c>
      <c r="X2639" s="91">
        <f>IFERROR(__xludf.DUMMYFUNCTION("iFERROR((FILTER('Fund Investment Data'!$Z:$Z, 'Fund Investment Data'!$C:$C = $C2639, 'Fund Investment Data'!$A:$A = $A2639 - 1, 'Fund Investment Data'!$B:$B = 12) + FILTER('Fund Investment Data'!$AB:$AB, 'Fund Investment Data'!$C:$C = $C2639, 'Fund Invest"&amp;"ment Data'!$A:$A = $A2639 - 1, 'Fund Investment Data'!$B:$B = 12)) * (1 + AVERAGE(FILTER('Inflation Data'!$C:$C,'Inflation Data'!$A:$A = ($A2639 - 2)))) * Parameters!$A$4,0)"),0.0)</f>
        <v>0</v>
      </c>
      <c r="Y2639" s="91">
        <f>IFERROR(__xludf.DUMMYFUNCTION("IFERROR((IFERROR(FILTER('Fund Investment Data'!$P:$P,'Fund Investment Data'!$C:$C = $C2639,'Fund Investment Data'!$A:$A = ($A2639 - 2), 'Fund Investment Data'!$B:$B = 12),0) - SUM(FILTER('Fund Investment Data'!$V:$V, 'Fund Investment Data'!$C:$C = $C2639,"&amp;" 'Fund Investment Data'!$A:$A = ($A2639 - 2), 'Fund Investment Data'!$B:$B &gt; 3)))  * Parameters!$B$4 * (1 - Parameters!$A$4),0)"),0.0)</f>
        <v>0</v>
      </c>
      <c r="Z2639" s="91">
        <f t="shared" si="24"/>
        <v>0</v>
      </c>
      <c r="AA2639" s="91">
        <f>IFERROR(__xludf.DUMMYFUNCTION("((IFERROR((SUM(FILTER('Fund Investment Data'!$V:$V, 'Fund Investment Data'!$C:$C = $C2639, 'Fund Investment Data'!$A:$A = $A2639 - 1, 'Fund Investment Data'!$B:$B &gt;= 4, 'Fund Investment Data'!$B:$B &lt;= ($B2639 + 5))) / 12) * ($B2639 - 3) * Parameters!$B$4,"&amp;" 0) + IF($B2639 &gt;= 9, IFERROR(SUM(FILTER('Fund Investment Data'!$V:$V, 'Fund Investment Data'!$C:$C = $C2639, 'Fund Investment Data'!$A:$A = $A2639, 'Fund Investment Data'!$B:$B &lt;= 3)) * Parameters!$B$4, 0),0)))"),0.0)</f>
        <v>0</v>
      </c>
      <c r="AB2639" s="32">
        <f>IFERROR(__xludf.DUMMYFUNCTION("IFERROR(((IFERROR(SUM(FILTER('Fund Investment Data'!$V:$V, 'Fund Investment Data'!$C:$C = $C2639, 'Fund Investment Data'!$A:$A = $A2639 - 2, 'Fund Investment Data'!$B:$B &gt;= 4)) * Parameters!$B$4,0) + IFERROR(SUM(FILTER('Fund Investment Data'!$V:$V, 'Fund "&amp;"Investment Data'!$C:$C = $C2639, 'Fund Investment Data'!$A:$A = $A2639 - 1, 'Fund Investment Data'!$B:$B &lt;= 3)) * Parameters!$B$4,0))),0)"),0.0)</f>
        <v>0</v>
      </c>
      <c r="AC2639" s="32">
        <f>IFERROR(__xludf.DUMMYFUNCTION("IFERROR(FILTER($AF:$AF,$C:$C = $C2639,$A:$A = $A2639 - 1,$B:$B = 12),0)"),0.0)</f>
        <v>0</v>
      </c>
      <c r="AD2639" s="32">
        <f t="shared" si="23"/>
        <v>0</v>
      </c>
      <c r="AE2639" s="32">
        <f t="shared" si="2"/>
        <v>0</v>
      </c>
      <c r="AF2639" s="32"/>
    </row>
    <row r="2640">
      <c r="A2640" s="86"/>
      <c r="B2640" s="87"/>
      <c r="C2640" s="88"/>
      <c r="D2640" s="104"/>
      <c r="E2640" s="104"/>
      <c r="F2640" s="104"/>
      <c r="G2640" s="104"/>
      <c r="H2640" s="104"/>
      <c r="I2640" s="104"/>
      <c r="J2640" s="104"/>
      <c r="K2640" s="32"/>
      <c r="L2640" s="32"/>
      <c r="M2640" s="32"/>
      <c r="N2640" s="32"/>
      <c r="O2640" s="106"/>
      <c r="P2640" s="91">
        <f>IFERROR(__xludf.DUMMYFUNCTION("IFERROR(sum(FILTER($D:$N,$C:$C = $C2640,$A:$A &lt; $A2640,$B:$B = 12)),0) + sum($D2640:$N2640)"),0.0)</f>
        <v>0</v>
      </c>
      <c r="Q2640" s="92">
        <f t="shared" si="1"/>
        <v>0</v>
      </c>
      <c r="R2640" s="91">
        <f t="array" ref="R2640">IFERROR(INDEX('Fund YTD Target Values'!$1:$1000, MATCH($C2640,'Fund YTD Target Values'!$A:$A,0), MATCH($A2640,'Fund YTD Target Values'!$1:$1,0)),0)</f>
        <v>0</v>
      </c>
      <c r="S2640" s="91">
        <f>IFERROR(__xludf.DUMMYFUNCTION("IFERROR(sum(FILTER('Fund Investment Data'!$V:$V, 'Fund Investment Data'!$C:$C = $C2640, 'Fund Investment Data'!$A:$A &lt; $A2640)),0) + IFERROR(sum(FILTER('Fund Investment Data'!$V:$V, 'Fund Investment Data'!$C:$C = $C2640, 'Fund Investment Data'!$A:$A = $A2"&amp;"640, 'Fund Investment Data'!$B:$B &lt;= $B2640)),0)"),0.0)</f>
        <v>0</v>
      </c>
      <c r="T2640" s="32"/>
      <c r="U2640" s="32"/>
      <c r="V2640" s="32">
        <f>IFERROR(__xludf.DUMMYFUNCTION("$D2640 - IFERROR(FILTER($D:$D,$C:$C = $C2640, $A:$A = $A2640, $B:$B = $B2640 - 1),0)"),0.0)</f>
        <v>0</v>
      </c>
      <c r="W2640" s="93">
        <f>IFERROR(__xludf.DUMMYFUNCTION("$E2640 - IFERROR(FILTER($E:$E,$C:$C = $C2640, $A:$A = $A2640, $B:$B = $B2640 - 1),0)"),0.0)</f>
        <v>0</v>
      </c>
      <c r="X2640" s="91">
        <f>IFERROR(__xludf.DUMMYFUNCTION("iFERROR((FILTER('Fund Investment Data'!$Z:$Z, 'Fund Investment Data'!$C:$C = $C2640, 'Fund Investment Data'!$A:$A = $A2640 - 1, 'Fund Investment Data'!$B:$B = 12) + FILTER('Fund Investment Data'!$AB:$AB, 'Fund Investment Data'!$C:$C = $C2640, 'Fund Invest"&amp;"ment Data'!$A:$A = $A2640 - 1, 'Fund Investment Data'!$B:$B = 12)) * (1 + AVERAGE(FILTER('Inflation Data'!$C:$C,'Inflation Data'!$A:$A = ($A2640 - 2)))) * Parameters!$A$4,0)"),0.0)</f>
        <v>0</v>
      </c>
      <c r="Y2640" s="91">
        <f>IFERROR(__xludf.DUMMYFUNCTION("IFERROR((IFERROR(FILTER('Fund Investment Data'!$P:$P,'Fund Investment Data'!$C:$C = $C2640,'Fund Investment Data'!$A:$A = ($A2640 - 2), 'Fund Investment Data'!$B:$B = 12),0) - SUM(FILTER('Fund Investment Data'!$V:$V, 'Fund Investment Data'!$C:$C = $C2640,"&amp;" 'Fund Investment Data'!$A:$A = ($A2640 - 2), 'Fund Investment Data'!$B:$B &gt; 3)))  * Parameters!$B$4 * (1 - Parameters!$A$4),0)"),0.0)</f>
        <v>0</v>
      </c>
      <c r="Z2640" s="91">
        <f t="shared" si="24"/>
        <v>0</v>
      </c>
      <c r="AA2640" s="91">
        <f>IFERROR(__xludf.DUMMYFUNCTION("((IFERROR((SUM(FILTER('Fund Investment Data'!$V:$V, 'Fund Investment Data'!$C:$C = $C2640, 'Fund Investment Data'!$A:$A = $A2640 - 1, 'Fund Investment Data'!$B:$B &gt;= 4, 'Fund Investment Data'!$B:$B &lt;= ($B2640 + 5))) / 12) * ($B2640 - 3) * Parameters!$B$4,"&amp;" 0) + IF($B2640 &gt;= 9, IFERROR(SUM(FILTER('Fund Investment Data'!$V:$V, 'Fund Investment Data'!$C:$C = $C2640, 'Fund Investment Data'!$A:$A = $A2640, 'Fund Investment Data'!$B:$B &lt;= 3)) * Parameters!$B$4, 0),0)))"),0.0)</f>
        <v>0</v>
      </c>
      <c r="AB2640" s="32">
        <f>IFERROR(__xludf.DUMMYFUNCTION("IFERROR(((IFERROR(SUM(FILTER('Fund Investment Data'!$V:$V, 'Fund Investment Data'!$C:$C = $C2640, 'Fund Investment Data'!$A:$A = $A2640 - 2, 'Fund Investment Data'!$B:$B &gt;= 4)) * Parameters!$B$4,0) + IFERROR(SUM(FILTER('Fund Investment Data'!$V:$V, 'Fund "&amp;"Investment Data'!$C:$C = $C2640, 'Fund Investment Data'!$A:$A = $A2640 - 1, 'Fund Investment Data'!$B:$B &lt;= 3)) * Parameters!$B$4,0))),0)"),0.0)</f>
        <v>0</v>
      </c>
      <c r="AC2640" s="32">
        <f>IFERROR(__xludf.DUMMYFUNCTION("IFERROR(FILTER($AF:$AF,$C:$C = $C2640,$A:$A = $A2640 - 1,$B:$B = 12),0)"),0.0)</f>
        <v>0</v>
      </c>
      <c r="AD2640" s="32">
        <f t="shared" si="23"/>
        <v>0</v>
      </c>
      <c r="AE2640" s="32">
        <f t="shared" si="2"/>
        <v>0</v>
      </c>
      <c r="AF2640" s="32"/>
    </row>
    <row r="2641">
      <c r="A2641" s="86"/>
      <c r="B2641" s="87"/>
      <c r="C2641" s="88"/>
      <c r="D2641" s="104"/>
      <c r="E2641" s="104"/>
      <c r="F2641" s="104"/>
      <c r="G2641" s="104"/>
      <c r="H2641" s="104"/>
      <c r="I2641" s="104"/>
      <c r="J2641" s="104"/>
      <c r="K2641" s="32"/>
      <c r="L2641" s="32"/>
      <c r="M2641" s="32"/>
      <c r="N2641" s="32"/>
      <c r="O2641" s="106"/>
      <c r="P2641" s="91">
        <f>IFERROR(__xludf.DUMMYFUNCTION("IFERROR(sum(FILTER($D:$N,$C:$C = $C2641,$A:$A &lt; $A2641,$B:$B = 12)),0) + sum($D2641:$N2641)"),0.0)</f>
        <v>0</v>
      </c>
      <c r="Q2641" s="92">
        <f t="shared" si="1"/>
        <v>0</v>
      </c>
      <c r="R2641" s="91">
        <f t="array" ref="R2641">IFERROR(INDEX('Fund YTD Target Values'!$1:$1000, MATCH($C2641,'Fund YTD Target Values'!$A:$A,0), MATCH($A2641,'Fund YTD Target Values'!$1:$1,0)),0)</f>
        <v>0</v>
      </c>
      <c r="S2641" s="91">
        <f>IFERROR(__xludf.DUMMYFUNCTION("IFERROR(sum(FILTER('Fund Investment Data'!$V:$V, 'Fund Investment Data'!$C:$C = $C2641, 'Fund Investment Data'!$A:$A &lt; $A2641)),0) + IFERROR(sum(FILTER('Fund Investment Data'!$V:$V, 'Fund Investment Data'!$C:$C = $C2641, 'Fund Investment Data'!$A:$A = $A2"&amp;"641, 'Fund Investment Data'!$B:$B &lt;= $B2641)),0)"),0.0)</f>
        <v>0</v>
      </c>
      <c r="T2641" s="32"/>
      <c r="U2641" s="32"/>
      <c r="V2641" s="32">
        <f>IFERROR(__xludf.DUMMYFUNCTION("$D2641 - IFERROR(FILTER($D:$D,$C:$C = $C2641, $A:$A = $A2641, $B:$B = $B2641 - 1),0)"),0.0)</f>
        <v>0</v>
      </c>
      <c r="W2641" s="93">
        <f>IFERROR(__xludf.DUMMYFUNCTION("$E2641 - IFERROR(FILTER($E:$E,$C:$C = $C2641, $A:$A = $A2641, $B:$B = $B2641 - 1),0)"),0.0)</f>
        <v>0</v>
      </c>
      <c r="X2641" s="91">
        <f>IFERROR(__xludf.DUMMYFUNCTION("iFERROR((FILTER('Fund Investment Data'!$Z:$Z, 'Fund Investment Data'!$C:$C = $C2641, 'Fund Investment Data'!$A:$A = $A2641 - 1, 'Fund Investment Data'!$B:$B = 12) + FILTER('Fund Investment Data'!$AB:$AB, 'Fund Investment Data'!$C:$C = $C2641, 'Fund Invest"&amp;"ment Data'!$A:$A = $A2641 - 1, 'Fund Investment Data'!$B:$B = 12)) * (1 + AVERAGE(FILTER('Inflation Data'!$C:$C,'Inflation Data'!$A:$A = ($A2641 - 2)))) * Parameters!$A$4,0)"),0.0)</f>
        <v>0</v>
      </c>
      <c r="Y2641" s="91">
        <f>IFERROR(__xludf.DUMMYFUNCTION("IFERROR((IFERROR(FILTER('Fund Investment Data'!$P:$P,'Fund Investment Data'!$C:$C = $C2641,'Fund Investment Data'!$A:$A = ($A2641 - 2), 'Fund Investment Data'!$B:$B = 12),0) - SUM(FILTER('Fund Investment Data'!$V:$V, 'Fund Investment Data'!$C:$C = $C2641,"&amp;" 'Fund Investment Data'!$A:$A = ($A2641 - 2), 'Fund Investment Data'!$B:$B &gt; 3)))  * Parameters!$B$4 * (1 - Parameters!$A$4),0)"),0.0)</f>
        <v>0</v>
      </c>
      <c r="Z2641" s="91">
        <f t="shared" si="24"/>
        <v>0</v>
      </c>
      <c r="AA2641" s="91">
        <f>IFERROR(__xludf.DUMMYFUNCTION("((IFERROR((SUM(FILTER('Fund Investment Data'!$V:$V, 'Fund Investment Data'!$C:$C = $C2641, 'Fund Investment Data'!$A:$A = $A2641 - 1, 'Fund Investment Data'!$B:$B &gt;= 4, 'Fund Investment Data'!$B:$B &lt;= ($B2641 + 5))) / 12) * ($B2641 - 3) * Parameters!$B$4,"&amp;" 0) + IF($B2641 &gt;= 9, IFERROR(SUM(FILTER('Fund Investment Data'!$V:$V, 'Fund Investment Data'!$C:$C = $C2641, 'Fund Investment Data'!$A:$A = $A2641, 'Fund Investment Data'!$B:$B &lt;= 3)) * Parameters!$B$4, 0),0)))"),0.0)</f>
        <v>0</v>
      </c>
      <c r="AB2641" s="32">
        <f>IFERROR(__xludf.DUMMYFUNCTION("IFERROR(((IFERROR(SUM(FILTER('Fund Investment Data'!$V:$V, 'Fund Investment Data'!$C:$C = $C2641, 'Fund Investment Data'!$A:$A = $A2641 - 2, 'Fund Investment Data'!$B:$B &gt;= 4)) * Parameters!$B$4,0) + IFERROR(SUM(FILTER('Fund Investment Data'!$V:$V, 'Fund "&amp;"Investment Data'!$C:$C = $C2641, 'Fund Investment Data'!$A:$A = $A2641 - 1, 'Fund Investment Data'!$B:$B &lt;= 3)) * Parameters!$B$4,0))),0)"),0.0)</f>
        <v>0</v>
      </c>
      <c r="AC2641" s="32">
        <f>IFERROR(__xludf.DUMMYFUNCTION("IFERROR(FILTER($AF:$AF,$C:$C = $C2641,$A:$A = $A2641 - 1,$B:$B = 12),0)"),0.0)</f>
        <v>0</v>
      </c>
      <c r="AD2641" s="32">
        <f t="shared" si="23"/>
        <v>0</v>
      </c>
      <c r="AE2641" s="32">
        <f t="shared" si="2"/>
        <v>0</v>
      </c>
      <c r="AF2641" s="32"/>
    </row>
    <row r="2642">
      <c r="A2642" s="86"/>
      <c r="B2642" s="87"/>
      <c r="C2642" s="88"/>
      <c r="D2642" s="104"/>
      <c r="E2642" s="104"/>
      <c r="F2642" s="104"/>
      <c r="G2642" s="104"/>
      <c r="H2642" s="104"/>
      <c r="I2642" s="104"/>
      <c r="J2642" s="104"/>
      <c r="K2642" s="32"/>
      <c r="L2642" s="32"/>
      <c r="M2642" s="32"/>
      <c r="N2642" s="32"/>
      <c r="O2642" s="106"/>
      <c r="P2642" s="91">
        <f>IFERROR(__xludf.DUMMYFUNCTION("IFERROR(sum(FILTER($D:$N,$C:$C = $C2642,$A:$A &lt; $A2642,$B:$B = 12)),0) + sum($D2642:$N2642)"),0.0)</f>
        <v>0</v>
      </c>
      <c r="Q2642" s="92">
        <f t="shared" si="1"/>
        <v>0</v>
      </c>
      <c r="R2642" s="91">
        <f t="array" ref="R2642">IFERROR(INDEX('Fund YTD Target Values'!$1:$1000, MATCH($C2642,'Fund YTD Target Values'!$A:$A,0), MATCH($A2642,'Fund YTD Target Values'!$1:$1,0)),0)</f>
        <v>0</v>
      </c>
      <c r="S2642" s="91">
        <f>IFERROR(__xludf.DUMMYFUNCTION("IFERROR(sum(FILTER('Fund Investment Data'!$V:$V, 'Fund Investment Data'!$C:$C = $C2642, 'Fund Investment Data'!$A:$A &lt; $A2642)),0) + IFERROR(sum(FILTER('Fund Investment Data'!$V:$V, 'Fund Investment Data'!$C:$C = $C2642, 'Fund Investment Data'!$A:$A = $A2"&amp;"642, 'Fund Investment Data'!$B:$B &lt;= $B2642)),0)"),0.0)</f>
        <v>0</v>
      </c>
      <c r="T2642" s="32"/>
      <c r="U2642" s="32"/>
      <c r="V2642" s="32">
        <f>IFERROR(__xludf.DUMMYFUNCTION("$D2642 - IFERROR(FILTER($D:$D,$C:$C = $C2642, $A:$A = $A2642, $B:$B = $B2642 - 1),0)"),0.0)</f>
        <v>0</v>
      </c>
      <c r="W2642" s="93">
        <f>IFERROR(__xludf.DUMMYFUNCTION("$E2642 - IFERROR(FILTER($E:$E,$C:$C = $C2642, $A:$A = $A2642, $B:$B = $B2642 - 1),0)"),0.0)</f>
        <v>0</v>
      </c>
      <c r="X2642" s="91">
        <f>IFERROR(__xludf.DUMMYFUNCTION("iFERROR((FILTER('Fund Investment Data'!$Z:$Z, 'Fund Investment Data'!$C:$C = $C2642, 'Fund Investment Data'!$A:$A = $A2642 - 1, 'Fund Investment Data'!$B:$B = 12) + FILTER('Fund Investment Data'!$AB:$AB, 'Fund Investment Data'!$C:$C = $C2642, 'Fund Invest"&amp;"ment Data'!$A:$A = $A2642 - 1, 'Fund Investment Data'!$B:$B = 12)) * (1 + AVERAGE(FILTER('Inflation Data'!$C:$C,'Inflation Data'!$A:$A = ($A2642 - 2)))) * Parameters!$A$4,0)"),0.0)</f>
        <v>0</v>
      </c>
      <c r="Y2642" s="91">
        <f>IFERROR(__xludf.DUMMYFUNCTION("IFERROR((IFERROR(FILTER('Fund Investment Data'!$P:$P,'Fund Investment Data'!$C:$C = $C2642,'Fund Investment Data'!$A:$A = ($A2642 - 2), 'Fund Investment Data'!$B:$B = 12),0) - SUM(FILTER('Fund Investment Data'!$V:$V, 'Fund Investment Data'!$C:$C = $C2642,"&amp;" 'Fund Investment Data'!$A:$A = ($A2642 - 2), 'Fund Investment Data'!$B:$B &gt; 3)))  * Parameters!$B$4 * (1 - Parameters!$A$4),0)"),0.0)</f>
        <v>0</v>
      </c>
      <c r="Z2642" s="91">
        <f t="shared" si="24"/>
        <v>0</v>
      </c>
      <c r="AA2642" s="91">
        <f>IFERROR(__xludf.DUMMYFUNCTION("((IFERROR((SUM(FILTER('Fund Investment Data'!$V:$V, 'Fund Investment Data'!$C:$C = $C2642, 'Fund Investment Data'!$A:$A = $A2642 - 1, 'Fund Investment Data'!$B:$B &gt;= 4, 'Fund Investment Data'!$B:$B &lt;= ($B2642 + 5))) / 12) * ($B2642 - 3) * Parameters!$B$4,"&amp;" 0) + IF($B2642 &gt;= 9, IFERROR(SUM(FILTER('Fund Investment Data'!$V:$V, 'Fund Investment Data'!$C:$C = $C2642, 'Fund Investment Data'!$A:$A = $A2642, 'Fund Investment Data'!$B:$B &lt;= 3)) * Parameters!$B$4, 0),0)))"),0.0)</f>
        <v>0</v>
      </c>
      <c r="AB2642" s="32">
        <f>IFERROR(__xludf.DUMMYFUNCTION("IFERROR(((IFERROR(SUM(FILTER('Fund Investment Data'!$V:$V, 'Fund Investment Data'!$C:$C = $C2642, 'Fund Investment Data'!$A:$A = $A2642 - 2, 'Fund Investment Data'!$B:$B &gt;= 4)) * Parameters!$B$4,0) + IFERROR(SUM(FILTER('Fund Investment Data'!$V:$V, 'Fund "&amp;"Investment Data'!$C:$C = $C2642, 'Fund Investment Data'!$A:$A = $A2642 - 1, 'Fund Investment Data'!$B:$B &lt;= 3)) * Parameters!$B$4,0))),0)"),0.0)</f>
        <v>0</v>
      </c>
      <c r="AC2642" s="32">
        <f>IFERROR(__xludf.DUMMYFUNCTION("IFERROR(FILTER($AF:$AF,$C:$C = $C2642,$A:$A = $A2642 - 1,$B:$B = 12),0)"),0.0)</f>
        <v>0</v>
      </c>
      <c r="AD2642" s="32">
        <f t="shared" si="23"/>
        <v>0</v>
      </c>
      <c r="AE2642" s="32">
        <f t="shared" si="2"/>
        <v>0</v>
      </c>
      <c r="AF2642" s="32"/>
    </row>
    <row r="2643">
      <c r="A2643" s="86"/>
      <c r="B2643" s="87"/>
      <c r="C2643" s="88"/>
      <c r="D2643" s="104"/>
      <c r="E2643" s="104"/>
      <c r="F2643" s="104"/>
      <c r="G2643" s="104"/>
      <c r="H2643" s="104"/>
      <c r="I2643" s="104"/>
      <c r="J2643" s="104"/>
      <c r="K2643" s="32"/>
      <c r="L2643" s="32"/>
      <c r="M2643" s="32"/>
      <c r="N2643" s="32"/>
      <c r="O2643" s="106"/>
      <c r="P2643" s="91">
        <f>IFERROR(__xludf.DUMMYFUNCTION("IFERROR(sum(FILTER($D:$N,$C:$C = $C2643,$A:$A &lt; $A2643,$B:$B = 12)),0) + sum($D2643:$N2643)"),0.0)</f>
        <v>0</v>
      </c>
      <c r="Q2643" s="92">
        <f t="shared" si="1"/>
        <v>0</v>
      </c>
      <c r="R2643" s="91">
        <f t="array" ref="R2643">IFERROR(INDEX('Fund YTD Target Values'!$1:$1000, MATCH($C2643,'Fund YTD Target Values'!$A:$A,0), MATCH($A2643,'Fund YTD Target Values'!$1:$1,0)),0)</f>
        <v>0</v>
      </c>
      <c r="S2643" s="91">
        <f>IFERROR(__xludf.DUMMYFUNCTION("IFERROR(sum(FILTER('Fund Investment Data'!$V:$V, 'Fund Investment Data'!$C:$C = $C2643, 'Fund Investment Data'!$A:$A &lt; $A2643)),0) + IFERROR(sum(FILTER('Fund Investment Data'!$V:$V, 'Fund Investment Data'!$C:$C = $C2643, 'Fund Investment Data'!$A:$A = $A2"&amp;"643, 'Fund Investment Data'!$B:$B &lt;= $B2643)),0)"),0.0)</f>
        <v>0</v>
      </c>
      <c r="T2643" s="32"/>
      <c r="U2643" s="32"/>
      <c r="V2643" s="32">
        <f>IFERROR(__xludf.DUMMYFUNCTION("$D2643 - IFERROR(FILTER($D:$D,$C:$C = $C2643, $A:$A = $A2643, $B:$B = $B2643 - 1),0)"),0.0)</f>
        <v>0</v>
      </c>
      <c r="W2643" s="93">
        <f>IFERROR(__xludf.DUMMYFUNCTION("$E2643 - IFERROR(FILTER($E:$E,$C:$C = $C2643, $A:$A = $A2643, $B:$B = $B2643 - 1),0)"),0.0)</f>
        <v>0</v>
      </c>
      <c r="X2643" s="91">
        <f>IFERROR(__xludf.DUMMYFUNCTION("iFERROR((FILTER('Fund Investment Data'!$Z:$Z, 'Fund Investment Data'!$C:$C = $C2643, 'Fund Investment Data'!$A:$A = $A2643 - 1, 'Fund Investment Data'!$B:$B = 12) + FILTER('Fund Investment Data'!$AB:$AB, 'Fund Investment Data'!$C:$C = $C2643, 'Fund Invest"&amp;"ment Data'!$A:$A = $A2643 - 1, 'Fund Investment Data'!$B:$B = 12)) * (1 + AVERAGE(FILTER('Inflation Data'!$C:$C,'Inflation Data'!$A:$A = ($A2643 - 2)))) * Parameters!$A$4,0)"),0.0)</f>
        <v>0</v>
      </c>
      <c r="Y2643" s="91">
        <f>IFERROR(__xludf.DUMMYFUNCTION("IFERROR((IFERROR(FILTER('Fund Investment Data'!$P:$P,'Fund Investment Data'!$C:$C = $C2643,'Fund Investment Data'!$A:$A = ($A2643 - 2), 'Fund Investment Data'!$B:$B = 12),0) - SUM(FILTER('Fund Investment Data'!$V:$V, 'Fund Investment Data'!$C:$C = $C2643,"&amp;" 'Fund Investment Data'!$A:$A = ($A2643 - 2), 'Fund Investment Data'!$B:$B &gt; 3)))  * Parameters!$B$4 * (1 - Parameters!$A$4),0)"),0.0)</f>
        <v>0</v>
      </c>
      <c r="Z2643" s="91">
        <f t="shared" si="24"/>
        <v>0</v>
      </c>
      <c r="AA2643" s="91">
        <f>IFERROR(__xludf.DUMMYFUNCTION("((IFERROR((SUM(FILTER('Fund Investment Data'!$V:$V, 'Fund Investment Data'!$C:$C = $C2643, 'Fund Investment Data'!$A:$A = $A2643 - 1, 'Fund Investment Data'!$B:$B &gt;= 4, 'Fund Investment Data'!$B:$B &lt;= ($B2643 + 5))) / 12) * ($B2643 - 3) * Parameters!$B$4,"&amp;" 0) + IF($B2643 &gt;= 9, IFERROR(SUM(FILTER('Fund Investment Data'!$V:$V, 'Fund Investment Data'!$C:$C = $C2643, 'Fund Investment Data'!$A:$A = $A2643, 'Fund Investment Data'!$B:$B &lt;= 3)) * Parameters!$B$4, 0),0)))"),0.0)</f>
        <v>0</v>
      </c>
      <c r="AB2643" s="32">
        <f>IFERROR(__xludf.DUMMYFUNCTION("IFERROR(((IFERROR(SUM(FILTER('Fund Investment Data'!$V:$V, 'Fund Investment Data'!$C:$C = $C2643, 'Fund Investment Data'!$A:$A = $A2643 - 2, 'Fund Investment Data'!$B:$B &gt;= 4)) * Parameters!$B$4,0) + IFERROR(SUM(FILTER('Fund Investment Data'!$V:$V, 'Fund "&amp;"Investment Data'!$C:$C = $C2643, 'Fund Investment Data'!$A:$A = $A2643 - 1, 'Fund Investment Data'!$B:$B &lt;= 3)) * Parameters!$B$4,0))),0)"),0.0)</f>
        <v>0</v>
      </c>
      <c r="AC2643" s="32">
        <f>IFERROR(__xludf.DUMMYFUNCTION("IFERROR(FILTER($AF:$AF,$C:$C = $C2643,$A:$A = $A2643 - 1,$B:$B = 12),0)"),0.0)</f>
        <v>0</v>
      </c>
      <c r="AD2643" s="32">
        <f t="shared" si="23"/>
        <v>0</v>
      </c>
      <c r="AE2643" s="32">
        <f t="shared" si="2"/>
        <v>0</v>
      </c>
      <c r="AF2643" s="32"/>
    </row>
    <row r="2644">
      <c r="A2644" s="86"/>
      <c r="B2644" s="87"/>
      <c r="C2644" s="88"/>
      <c r="D2644" s="104"/>
      <c r="E2644" s="104"/>
      <c r="F2644" s="104"/>
      <c r="G2644" s="104"/>
      <c r="H2644" s="104"/>
      <c r="I2644" s="104"/>
      <c r="J2644" s="104"/>
      <c r="K2644" s="32"/>
      <c r="L2644" s="32"/>
      <c r="M2644" s="32"/>
      <c r="N2644" s="32"/>
      <c r="O2644" s="106"/>
      <c r="P2644" s="91">
        <f>IFERROR(__xludf.DUMMYFUNCTION("IFERROR(sum(FILTER($D:$N,$C:$C = $C2644,$A:$A &lt; $A2644,$B:$B = 12)),0) + sum($D2644:$N2644)"),0.0)</f>
        <v>0</v>
      </c>
      <c r="Q2644" s="92">
        <f t="shared" si="1"/>
        <v>0</v>
      </c>
      <c r="R2644" s="91">
        <f t="array" ref="R2644">IFERROR(INDEX('Fund YTD Target Values'!$1:$1000, MATCH($C2644,'Fund YTD Target Values'!$A:$A,0), MATCH($A2644,'Fund YTD Target Values'!$1:$1,0)),0)</f>
        <v>0</v>
      </c>
      <c r="S2644" s="91">
        <f>IFERROR(__xludf.DUMMYFUNCTION("IFERROR(sum(FILTER('Fund Investment Data'!$V:$V, 'Fund Investment Data'!$C:$C = $C2644, 'Fund Investment Data'!$A:$A &lt; $A2644)),0) + IFERROR(sum(FILTER('Fund Investment Data'!$V:$V, 'Fund Investment Data'!$C:$C = $C2644, 'Fund Investment Data'!$A:$A = $A2"&amp;"644, 'Fund Investment Data'!$B:$B &lt;= $B2644)),0)"),0.0)</f>
        <v>0</v>
      </c>
      <c r="T2644" s="32"/>
      <c r="U2644" s="32"/>
      <c r="V2644" s="32">
        <f>IFERROR(__xludf.DUMMYFUNCTION("$D2644 - IFERROR(FILTER($D:$D,$C:$C = $C2644, $A:$A = $A2644, $B:$B = $B2644 - 1),0)"),0.0)</f>
        <v>0</v>
      </c>
      <c r="W2644" s="93">
        <f>IFERROR(__xludf.DUMMYFUNCTION("$E2644 - IFERROR(FILTER($E:$E,$C:$C = $C2644, $A:$A = $A2644, $B:$B = $B2644 - 1),0)"),0.0)</f>
        <v>0</v>
      </c>
      <c r="X2644" s="91">
        <f>IFERROR(__xludf.DUMMYFUNCTION("iFERROR((FILTER('Fund Investment Data'!$Z:$Z, 'Fund Investment Data'!$C:$C = $C2644, 'Fund Investment Data'!$A:$A = $A2644 - 1, 'Fund Investment Data'!$B:$B = 12) + FILTER('Fund Investment Data'!$AB:$AB, 'Fund Investment Data'!$C:$C = $C2644, 'Fund Invest"&amp;"ment Data'!$A:$A = $A2644 - 1, 'Fund Investment Data'!$B:$B = 12)) * (1 + AVERAGE(FILTER('Inflation Data'!$C:$C,'Inflation Data'!$A:$A = ($A2644 - 2)))) * Parameters!$A$4,0)"),0.0)</f>
        <v>0</v>
      </c>
      <c r="Y2644" s="91">
        <f>IFERROR(__xludf.DUMMYFUNCTION("IFERROR((IFERROR(FILTER('Fund Investment Data'!$P:$P,'Fund Investment Data'!$C:$C = $C2644,'Fund Investment Data'!$A:$A = ($A2644 - 2), 'Fund Investment Data'!$B:$B = 12),0) - SUM(FILTER('Fund Investment Data'!$V:$V, 'Fund Investment Data'!$C:$C = $C2644,"&amp;" 'Fund Investment Data'!$A:$A = ($A2644 - 2), 'Fund Investment Data'!$B:$B &gt; 3)))  * Parameters!$B$4 * (1 - Parameters!$A$4),0)"),0.0)</f>
        <v>0</v>
      </c>
      <c r="Z2644" s="91">
        <f t="shared" si="24"/>
        <v>0</v>
      </c>
      <c r="AA2644" s="91">
        <f>IFERROR(__xludf.DUMMYFUNCTION("((IFERROR((SUM(FILTER('Fund Investment Data'!$V:$V, 'Fund Investment Data'!$C:$C = $C2644, 'Fund Investment Data'!$A:$A = $A2644 - 1, 'Fund Investment Data'!$B:$B &gt;= 4, 'Fund Investment Data'!$B:$B &lt;= ($B2644 + 5))) / 12) * ($B2644 - 3) * Parameters!$B$4,"&amp;" 0) + IF($B2644 &gt;= 9, IFERROR(SUM(FILTER('Fund Investment Data'!$V:$V, 'Fund Investment Data'!$C:$C = $C2644, 'Fund Investment Data'!$A:$A = $A2644, 'Fund Investment Data'!$B:$B &lt;= 3)) * Parameters!$B$4, 0),0)))"),0.0)</f>
        <v>0</v>
      </c>
      <c r="AB2644" s="32">
        <f>IFERROR(__xludf.DUMMYFUNCTION("IFERROR(((IFERROR(SUM(FILTER('Fund Investment Data'!$V:$V, 'Fund Investment Data'!$C:$C = $C2644, 'Fund Investment Data'!$A:$A = $A2644 - 2, 'Fund Investment Data'!$B:$B &gt;= 4)) * Parameters!$B$4,0) + IFERROR(SUM(FILTER('Fund Investment Data'!$V:$V, 'Fund "&amp;"Investment Data'!$C:$C = $C2644, 'Fund Investment Data'!$A:$A = $A2644 - 1, 'Fund Investment Data'!$B:$B &lt;= 3)) * Parameters!$B$4,0))),0)"),0.0)</f>
        <v>0</v>
      </c>
      <c r="AC2644" s="32">
        <f>IFERROR(__xludf.DUMMYFUNCTION("IFERROR(FILTER($AF:$AF,$C:$C = $C2644,$A:$A = $A2644 - 1,$B:$B = 12),0)"),0.0)</f>
        <v>0</v>
      </c>
      <c r="AD2644" s="32">
        <f t="shared" si="23"/>
        <v>0</v>
      </c>
      <c r="AE2644" s="32">
        <f t="shared" si="2"/>
        <v>0</v>
      </c>
      <c r="AF2644" s="32"/>
    </row>
    <row r="2645">
      <c r="A2645" s="86"/>
      <c r="B2645" s="87"/>
      <c r="C2645" s="88"/>
      <c r="D2645" s="104"/>
      <c r="E2645" s="104"/>
      <c r="F2645" s="104"/>
      <c r="G2645" s="104"/>
      <c r="H2645" s="104"/>
      <c r="I2645" s="104"/>
      <c r="J2645" s="104"/>
      <c r="K2645" s="32"/>
      <c r="L2645" s="32"/>
      <c r="M2645" s="32"/>
      <c r="N2645" s="32"/>
      <c r="O2645" s="106"/>
      <c r="P2645" s="91">
        <f>IFERROR(__xludf.DUMMYFUNCTION("IFERROR(sum(FILTER($D:$N,$C:$C = $C2645,$A:$A &lt; $A2645,$B:$B = 12)),0) + sum($D2645:$N2645)"),0.0)</f>
        <v>0</v>
      </c>
      <c r="Q2645" s="92">
        <f t="shared" si="1"/>
        <v>0</v>
      </c>
      <c r="R2645" s="91">
        <f t="array" ref="R2645">IFERROR(INDEX('Fund YTD Target Values'!$1:$1000, MATCH($C2645,'Fund YTD Target Values'!$A:$A,0), MATCH($A2645,'Fund YTD Target Values'!$1:$1,0)),0)</f>
        <v>0</v>
      </c>
      <c r="S2645" s="91">
        <f>IFERROR(__xludf.DUMMYFUNCTION("IFERROR(sum(FILTER('Fund Investment Data'!$V:$V, 'Fund Investment Data'!$C:$C = $C2645, 'Fund Investment Data'!$A:$A &lt; $A2645)),0) + IFERROR(sum(FILTER('Fund Investment Data'!$V:$V, 'Fund Investment Data'!$C:$C = $C2645, 'Fund Investment Data'!$A:$A = $A2"&amp;"645, 'Fund Investment Data'!$B:$B &lt;= $B2645)),0)"),0.0)</f>
        <v>0</v>
      </c>
      <c r="T2645" s="32"/>
      <c r="U2645" s="32"/>
      <c r="V2645" s="32">
        <f>IFERROR(__xludf.DUMMYFUNCTION("$D2645 - IFERROR(FILTER($D:$D,$C:$C = $C2645, $A:$A = $A2645, $B:$B = $B2645 - 1),0)"),0.0)</f>
        <v>0</v>
      </c>
      <c r="W2645" s="93">
        <f>IFERROR(__xludf.DUMMYFUNCTION("$E2645 - IFERROR(FILTER($E:$E,$C:$C = $C2645, $A:$A = $A2645, $B:$B = $B2645 - 1),0)"),0.0)</f>
        <v>0</v>
      </c>
      <c r="X2645" s="91">
        <f>IFERROR(__xludf.DUMMYFUNCTION("iFERROR((FILTER('Fund Investment Data'!$Z:$Z, 'Fund Investment Data'!$C:$C = $C2645, 'Fund Investment Data'!$A:$A = $A2645 - 1, 'Fund Investment Data'!$B:$B = 12) + FILTER('Fund Investment Data'!$AB:$AB, 'Fund Investment Data'!$C:$C = $C2645, 'Fund Invest"&amp;"ment Data'!$A:$A = $A2645 - 1, 'Fund Investment Data'!$B:$B = 12)) * (1 + AVERAGE(FILTER('Inflation Data'!$C:$C,'Inflation Data'!$A:$A = ($A2645 - 2)))) * Parameters!$A$4,0)"),0.0)</f>
        <v>0</v>
      </c>
      <c r="Y2645" s="91">
        <f>IFERROR(__xludf.DUMMYFUNCTION("IFERROR((IFERROR(FILTER('Fund Investment Data'!$P:$P,'Fund Investment Data'!$C:$C = $C2645,'Fund Investment Data'!$A:$A = ($A2645 - 2), 'Fund Investment Data'!$B:$B = 12),0) - SUM(FILTER('Fund Investment Data'!$V:$V, 'Fund Investment Data'!$C:$C = $C2645,"&amp;" 'Fund Investment Data'!$A:$A = ($A2645 - 2), 'Fund Investment Data'!$B:$B &gt; 3)))  * Parameters!$B$4 * (1 - Parameters!$A$4),0)"),0.0)</f>
        <v>0</v>
      </c>
      <c r="Z2645" s="91">
        <f t="shared" si="24"/>
        <v>0</v>
      </c>
      <c r="AA2645" s="91">
        <f>IFERROR(__xludf.DUMMYFUNCTION("((IFERROR((SUM(FILTER('Fund Investment Data'!$V:$V, 'Fund Investment Data'!$C:$C = $C2645, 'Fund Investment Data'!$A:$A = $A2645 - 1, 'Fund Investment Data'!$B:$B &gt;= 4, 'Fund Investment Data'!$B:$B &lt;= ($B2645 + 5))) / 12) * ($B2645 - 3) * Parameters!$B$4,"&amp;" 0) + IF($B2645 &gt;= 9, IFERROR(SUM(FILTER('Fund Investment Data'!$V:$V, 'Fund Investment Data'!$C:$C = $C2645, 'Fund Investment Data'!$A:$A = $A2645, 'Fund Investment Data'!$B:$B &lt;= 3)) * Parameters!$B$4, 0),0)))"),0.0)</f>
        <v>0</v>
      </c>
      <c r="AB2645" s="32">
        <f>IFERROR(__xludf.DUMMYFUNCTION("IFERROR(((IFERROR(SUM(FILTER('Fund Investment Data'!$V:$V, 'Fund Investment Data'!$C:$C = $C2645, 'Fund Investment Data'!$A:$A = $A2645 - 2, 'Fund Investment Data'!$B:$B &gt;= 4)) * Parameters!$B$4,0) + IFERROR(SUM(FILTER('Fund Investment Data'!$V:$V, 'Fund "&amp;"Investment Data'!$C:$C = $C2645, 'Fund Investment Data'!$A:$A = $A2645 - 1, 'Fund Investment Data'!$B:$B &lt;= 3)) * Parameters!$B$4,0))),0)"),0.0)</f>
        <v>0</v>
      </c>
      <c r="AC2645" s="32">
        <f>IFERROR(__xludf.DUMMYFUNCTION("IFERROR(FILTER($AF:$AF,$C:$C = $C2645,$A:$A = $A2645 - 1,$B:$B = 12),0)"),0.0)</f>
        <v>0</v>
      </c>
      <c r="AD2645" s="32">
        <f t="shared" si="23"/>
        <v>0</v>
      </c>
      <c r="AE2645" s="32">
        <f t="shared" si="2"/>
        <v>0</v>
      </c>
      <c r="AF2645" s="32"/>
    </row>
    <row r="2646">
      <c r="A2646" s="86"/>
      <c r="B2646" s="87"/>
      <c r="C2646" s="88"/>
      <c r="D2646" s="104"/>
      <c r="E2646" s="104"/>
      <c r="F2646" s="104"/>
      <c r="G2646" s="104"/>
      <c r="H2646" s="104"/>
      <c r="I2646" s="104"/>
      <c r="J2646" s="104"/>
      <c r="K2646" s="32"/>
      <c r="L2646" s="32"/>
      <c r="M2646" s="32"/>
      <c r="N2646" s="32"/>
      <c r="O2646" s="106"/>
      <c r="P2646" s="91">
        <f>IFERROR(__xludf.DUMMYFUNCTION("IFERROR(sum(FILTER($D:$N,$C:$C = $C2646,$A:$A &lt; $A2646,$B:$B = 12)),0) + sum($D2646:$N2646)"),0.0)</f>
        <v>0</v>
      </c>
      <c r="Q2646" s="92">
        <f t="shared" si="1"/>
        <v>0</v>
      </c>
      <c r="R2646" s="91">
        <f t="array" ref="R2646">IFERROR(INDEX('Fund YTD Target Values'!$1:$1000, MATCH($C2646,'Fund YTD Target Values'!$A:$A,0), MATCH($A2646,'Fund YTD Target Values'!$1:$1,0)),0)</f>
        <v>0</v>
      </c>
      <c r="S2646" s="91">
        <f>IFERROR(__xludf.DUMMYFUNCTION("IFERROR(sum(FILTER('Fund Investment Data'!$V:$V, 'Fund Investment Data'!$C:$C = $C2646, 'Fund Investment Data'!$A:$A &lt; $A2646)),0) + IFERROR(sum(FILTER('Fund Investment Data'!$V:$V, 'Fund Investment Data'!$C:$C = $C2646, 'Fund Investment Data'!$A:$A = $A2"&amp;"646, 'Fund Investment Data'!$B:$B &lt;= $B2646)),0)"),0.0)</f>
        <v>0</v>
      </c>
      <c r="T2646" s="32"/>
      <c r="U2646" s="32"/>
      <c r="V2646" s="32">
        <f>IFERROR(__xludf.DUMMYFUNCTION("$D2646 - IFERROR(FILTER($D:$D,$C:$C = $C2646, $A:$A = $A2646, $B:$B = $B2646 - 1),0)"),0.0)</f>
        <v>0</v>
      </c>
      <c r="W2646" s="93">
        <f>IFERROR(__xludf.DUMMYFUNCTION("$E2646 - IFERROR(FILTER($E:$E,$C:$C = $C2646, $A:$A = $A2646, $B:$B = $B2646 - 1),0)"),0.0)</f>
        <v>0</v>
      </c>
      <c r="X2646" s="91">
        <f>IFERROR(__xludf.DUMMYFUNCTION("iFERROR((FILTER('Fund Investment Data'!$Z:$Z, 'Fund Investment Data'!$C:$C = $C2646, 'Fund Investment Data'!$A:$A = $A2646 - 1, 'Fund Investment Data'!$B:$B = 12) + FILTER('Fund Investment Data'!$AB:$AB, 'Fund Investment Data'!$C:$C = $C2646, 'Fund Invest"&amp;"ment Data'!$A:$A = $A2646 - 1, 'Fund Investment Data'!$B:$B = 12)) * (1 + AVERAGE(FILTER('Inflation Data'!$C:$C,'Inflation Data'!$A:$A = ($A2646 - 2)))) * Parameters!$A$4,0)"),0.0)</f>
        <v>0</v>
      </c>
      <c r="Y2646" s="91">
        <f>IFERROR(__xludf.DUMMYFUNCTION("IFERROR((IFERROR(FILTER('Fund Investment Data'!$P:$P,'Fund Investment Data'!$C:$C = $C2646,'Fund Investment Data'!$A:$A = ($A2646 - 2), 'Fund Investment Data'!$B:$B = 12),0) - SUM(FILTER('Fund Investment Data'!$V:$V, 'Fund Investment Data'!$C:$C = $C2646,"&amp;" 'Fund Investment Data'!$A:$A = ($A2646 - 2), 'Fund Investment Data'!$B:$B &gt; 3)))  * Parameters!$B$4 * (1 - Parameters!$A$4),0)"),0.0)</f>
        <v>0</v>
      </c>
      <c r="Z2646" s="91">
        <f t="shared" si="24"/>
        <v>0</v>
      </c>
      <c r="AA2646" s="91">
        <f>IFERROR(__xludf.DUMMYFUNCTION("((IFERROR((SUM(FILTER('Fund Investment Data'!$V:$V, 'Fund Investment Data'!$C:$C = $C2646, 'Fund Investment Data'!$A:$A = $A2646 - 1, 'Fund Investment Data'!$B:$B &gt;= 4, 'Fund Investment Data'!$B:$B &lt;= ($B2646 + 5))) / 12) * ($B2646 - 3) * Parameters!$B$4,"&amp;" 0) + IF($B2646 &gt;= 9, IFERROR(SUM(FILTER('Fund Investment Data'!$V:$V, 'Fund Investment Data'!$C:$C = $C2646, 'Fund Investment Data'!$A:$A = $A2646, 'Fund Investment Data'!$B:$B &lt;= 3)) * Parameters!$B$4, 0),0)))"),0.0)</f>
        <v>0</v>
      </c>
      <c r="AB2646" s="32">
        <f>IFERROR(__xludf.DUMMYFUNCTION("IFERROR(((IFERROR(SUM(FILTER('Fund Investment Data'!$V:$V, 'Fund Investment Data'!$C:$C = $C2646, 'Fund Investment Data'!$A:$A = $A2646 - 2, 'Fund Investment Data'!$B:$B &gt;= 4)) * Parameters!$B$4,0) + IFERROR(SUM(FILTER('Fund Investment Data'!$V:$V, 'Fund "&amp;"Investment Data'!$C:$C = $C2646, 'Fund Investment Data'!$A:$A = $A2646 - 1, 'Fund Investment Data'!$B:$B &lt;= 3)) * Parameters!$B$4,0))),0)"),0.0)</f>
        <v>0</v>
      </c>
      <c r="AC2646" s="32">
        <f>IFERROR(__xludf.DUMMYFUNCTION("IFERROR(FILTER($AF:$AF,$C:$C = $C2646,$A:$A = $A2646 - 1,$B:$B = 12),0)"),0.0)</f>
        <v>0</v>
      </c>
      <c r="AD2646" s="32">
        <f t="shared" si="23"/>
        <v>0</v>
      </c>
      <c r="AE2646" s="32">
        <f t="shared" si="2"/>
        <v>0</v>
      </c>
      <c r="AF2646" s="32"/>
    </row>
    <row r="2647">
      <c r="A2647" s="86"/>
      <c r="B2647" s="87"/>
      <c r="C2647" s="88"/>
      <c r="D2647" s="104"/>
      <c r="E2647" s="104"/>
      <c r="F2647" s="104"/>
      <c r="G2647" s="104"/>
      <c r="H2647" s="104"/>
      <c r="I2647" s="104"/>
      <c r="J2647" s="104"/>
      <c r="K2647" s="32"/>
      <c r="L2647" s="32"/>
      <c r="M2647" s="32"/>
      <c r="N2647" s="32"/>
      <c r="O2647" s="106"/>
      <c r="P2647" s="91">
        <f>IFERROR(__xludf.DUMMYFUNCTION("IFERROR(sum(FILTER($D:$N,$C:$C = $C2647,$A:$A &lt; $A2647,$B:$B = 12)),0) + sum($D2647:$N2647)"),0.0)</f>
        <v>0</v>
      </c>
      <c r="Q2647" s="92">
        <f t="shared" si="1"/>
        <v>0</v>
      </c>
      <c r="R2647" s="91">
        <f t="array" ref="R2647">IFERROR(INDEX('Fund YTD Target Values'!$1:$1000, MATCH($C2647,'Fund YTD Target Values'!$A:$A,0), MATCH($A2647,'Fund YTD Target Values'!$1:$1,0)),0)</f>
        <v>0</v>
      </c>
      <c r="S2647" s="91">
        <f>IFERROR(__xludf.DUMMYFUNCTION("IFERROR(sum(FILTER('Fund Investment Data'!$V:$V, 'Fund Investment Data'!$C:$C = $C2647, 'Fund Investment Data'!$A:$A &lt; $A2647)),0) + IFERROR(sum(FILTER('Fund Investment Data'!$V:$V, 'Fund Investment Data'!$C:$C = $C2647, 'Fund Investment Data'!$A:$A = $A2"&amp;"647, 'Fund Investment Data'!$B:$B &lt;= $B2647)),0)"),0.0)</f>
        <v>0</v>
      </c>
      <c r="T2647" s="32"/>
      <c r="U2647" s="32"/>
      <c r="V2647" s="32">
        <f>IFERROR(__xludf.DUMMYFUNCTION("$D2647 - IFERROR(FILTER($D:$D,$C:$C = $C2647, $A:$A = $A2647, $B:$B = $B2647 - 1),0)"),0.0)</f>
        <v>0</v>
      </c>
      <c r="W2647" s="93">
        <f>IFERROR(__xludf.DUMMYFUNCTION("$E2647 - IFERROR(FILTER($E:$E,$C:$C = $C2647, $A:$A = $A2647, $B:$B = $B2647 - 1),0)"),0.0)</f>
        <v>0</v>
      </c>
      <c r="X2647" s="91">
        <f>IFERROR(__xludf.DUMMYFUNCTION("iFERROR((FILTER('Fund Investment Data'!$Z:$Z, 'Fund Investment Data'!$C:$C = $C2647, 'Fund Investment Data'!$A:$A = $A2647 - 1, 'Fund Investment Data'!$B:$B = 12) + FILTER('Fund Investment Data'!$AB:$AB, 'Fund Investment Data'!$C:$C = $C2647, 'Fund Invest"&amp;"ment Data'!$A:$A = $A2647 - 1, 'Fund Investment Data'!$B:$B = 12)) * (1 + AVERAGE(FILTER('Inflation Data'!$C:$C,'Inflation Data'!$A:$A = ($A2647 - 2)))) * Parameters!$A$4,0)"),0.0)</f>
        <v>0</v>
      </c>
      <c r="Y2647" s="91">
        <f>IFERROR(__xludf.DUMMYFUNCTION("IFERROR((IFERROR(FILTER('Fund Investment Data'!$P:$P,'Fund Investment Data'!$C:$C = $C2647,'Fund Investment Data'!$A:$A = ($A2647 - 2), 'Fund Investment Data'!$B:$B = 12),0) - SUM(FILTER('Fund Investment Data'!$V:$V, 'Fund Investment Data'!$C:$C = $C2647,"&amp;" 'Fund Investment Data'!$A:$A = ($A2647 - 2), 'Fund Investment Data'!$B:$B &gt; 3)))  * Parameters!$B$4 * (1 - Parameters!$A$4),0)"),0.0)</f>
        <v>0</v>
      </c>
      <c r="Z2647" s="91">
        <f t="shared" si="24"/>
        <v>0</v>
      </c>
      <c r="AA2647" s="91">
        <f>IFERROR(__xludf.DUMMYFUNCTION("((IFERROR((SUM(FILTER('Fund Investment Data'!$V:$V, 'Fund Investment Data'!$C:$C = $C2647, 'Fund Investment Data'!$A:$A = $A2647 - 1, 'Fund Investment Data'!$B:$B &gt;= 4, 'Fund Investment Data'!$B:$B &lt;= ($B2647 + 5))) / 12) * ($B2647 - 3) * Parameters!$B$4,"&amp;" 0) + IF($B2647 &gt;= 9, IFERROR(SUM(FILTER('Fund Investment Data'!$V:$V, 'Fund Investment Data'!$C:$C = $C2647, 'Fund Investment Data'!$A:$A = $A2647, 'Fund Investment Data'!$B:$B &lt;= 3)) * Parameters!$B$4, 0),0)))"),0.0)</f>
        <v>0</v>
      </c>
      <c r="AB2647" s="32">
        <f>IFERROR(__xludf.DUMMYFUNCTION("IFERROR(((IFERROR(SUM(FILTER('Fund Investment Data'!$V:$V, 'Fund Investment Data'!$C:$C = $C2647, 'Fund Investment Data'!$A:$A = $A2647 - 2, 'Fund Investment Data'!$B:$B &gt;= 4)) * Parameters!$B$4,0) + IFERROR(SUM(FILTER('Fund Investment Data'!$V:$V, 'Fund "&amp;"Investment Data'!$C:$C = $C2647, 'Fund Investment Data'!$A:$A = $A2647 - 1, 'Fund Investment Data'!$B:$B &lt;= 3)) * Parameters!$B$4,0))),0)"),0.0)</f>
        <v>0</v>
      </c>
      <c r="AC2647" s="32">
        <f>IFERROR(__xludf.DUMMYFUNCTION("IFERROR(FILTER($AF:$AF,$C:$C = $C2647,$A:$A = $A2647 - 1,$B:$B = 12),0)"),0.0)</f>
        <v>0</v>
      </c>
      <c r="AD2647" s="32">
        <f t="shared" si="23"/>
        <v>0</v>
      </c>
      <c r="AE2647" s="32">
        <f t="shared" si="2"/>
        <v>0</v>
      </c>
      <c r="AF2647" s="32"/>
    </row>
    <row r="2648">
      <c r="A2648" s="86"/>
      <c r="B2648" s="87"/>
      <c r="C2648" s="88"/>
      <c r="D2648" s="104"/>
      <c r="E2648" s="104"/>
      <c r="F2648" s="104"/>
      <c r="G2648" s="104"/>
      <c r="H2648" s="104"/>
      <c r="I2648" s="104"/>
      <c r="J2648" s="104"/>
      <c r="K2648" s="32"/>
      <c r="L2648" s="32"/>
      <c r="M2648" s="32"/>
      <c r="N2648" s="32"/>
      <c r="O2648" s="106"/>
      <c r="P2648" s="91">
        <f>IFERROR(__xludf.DUMMYFUNCTION("IFERROR(sum(FILTER($D:$N,$C:$C = $C2648,$A:$A &lt; $A2648,$B:$B = 12)),0) + sum($D2648:$N2648)"),0.0)</f>
        <v>0</v>
      </c>
      <c r="Q2648" s="92">
        <f t="shared" si="1"/>
        <v>0</v>
      </c>
      <c r="R2648" s="91">
        <f t="array" ref="R2648">IFERROR(INDEX('Fund YTD Target Values'!$1:$1000, MATCH($C2648,'Fund YTD Target Values'!$A:$A,0), MATCH($A2648,'Fund YTD Target Values'!$1:$1,0)),0)</f>
        <v>0</v>
      </c>
      <c r="S2648" s="91">
        <f>IFERROR(__xludf.DUMMYFUNCTION("IFERROR(sum(FILTER('Fund Investment Data'!$V:$V, 'Fund Investment Data'!$C:$C = $C2648, 'Fund Investment Data'!$A:$A &lt; $A2648)),0) + IFERROR(sum(FILTER('Fund Investment Data'!$V:$V, 'Fund Investment Data'!$C:$C = $C2648, 'Fund Investment Data'!$A:$A = $A2"&amp;"648, 'Fund Investment Data'!$B:$B &lt;= $B2648)),0)"),0.0)</f>
        <v>0</v>
      </c>
      <c r="T2648" s="32"/>
      <c r="U2648" s="32"/>
      <c r="V2648" s="32">
        <f>IFERROR(__xludf.DUMMYFUNCTION("$D2648 - IFERROR(FILTER($D:$D,$C:$C = $C2648, $A:$A = $A2648, $B:$B = $B2648 - 1),0)"),0.0)</f>
        <v>0</v>
      </c>
      <c r="W2648" s="93">
        <f>IFERROR(__xludf.DUMMYFUNCTION("$E2648 - IFERROR(FILTER($E:$E,$C:$C = $C2648, $A:$A = $A2648, $B:$B = $B2648 - 1),0)"),0.0)</f>
        <v>0</v>
      </c>
      <c r="X2648" s="91">
        <f>IFERROR(__xludf.DUMMYFUNCTION("iFERROR((FILTER('Fund Investment Data'!$Z:$Z, 'Fund Investment Data'!$C:$C = $C2648, 'Fund Investment Data'!$A:$A = $A2648 - 1, 'Fund Investment Data'!$B:$B = 12) + FILTER('Fund Investment Data'!$AB:$AB, 'Fund Investment Data'!$C:$C = $C2648, 'Fund Invest"&amp;"ment Data'!$A:$A = $A2648 - 1, 'Fund Investment Data'!$B:$B = 12)) * (1 + AVERAGE(FILTER('Inflation Data'!$C:$C,'Inflation Data'!$A:$A = ($A2648 - 2)))) * Parameters!$A$4,0)"),0.0)</f>
        <v>0</v>
      </c>
      <c r="Y2648" s="91">
        <f>IFERROR(__xludf.DUMMYFUNCTION("IFERROR((IFERROR(FILTER('Fund Investment Data'!$P:$P,'Fund Investment Data'!$C:$C = $C2648,'Fund Investment Data'!$A:$A = ($A2648 - 2), 'Fund Investment Data'!$B:$B = 12),0) - SUM(FILTER('Fund Investment Data'!$V:$V, 'Fund Investment Data'!$C:$C = $C2648,"&amp;" 'Fund Investment Data'!$A:$A = ($A2648 - 2), 'Fund Investment Data'!$B:$B &gt; 3)))  * Parameters!$B$4 * (1 - Parameters!$A$4),0)"),0.0)</f>
        <v>0</v>
      </c>
      <c r="Z2648" s="91">
        <f t="shared" si="24"/>
        <v>0</v>
      </c>
      <c r="AA2648" s="91">
        <f>IFERROR(__xludf.DUMMYFUNCTION("((IFERROR((SUM(FILTER('Fund Investment Data'!$V:$V, 'Fund Investment Data'!$C:$C = $C2648, 'Fund Investment Data'!$A:$A = $A2648 - 1, 'Fund Investment Data'!$B:$B &gt;= 4, 'Fund Investment Data'!$B:$B &lt;= ($B2648 + 5))) / 12) * ($B2648 - 3) * Parameters!$B$4,"&amp;" 0) + IF($B2648 &gt;= 9, IFERROR(SUM(FILTER('Fund Investment Data'!$V:$V, 'Fund Investment Data'!$C:$C = $C2648, 'Fund Investment Data'!$A:$A = $A2648, 'Fund Investment Data'!$B:$B &lt;= 3)) * Parameters!$B$4, 0),0)))"),0.0)</f>
        <v>0</v>
      </c>
      <c r="AB2648" s="32">
        <f>IFERROR(__xludf.DUMMYFUNCTION("IFERROR(((IFERROR(SUM(FILTER('Fund Investment Data'!$V:$V, 'Fund Investment Data'!$C:$C = $C2648, 'Fund Investment Data'!$A:$A = $A2648 - 2, 'Fund Investment Data'!$B:$B &gt;= 4)) * Parameters!$B$4,0) + IFERROR(SUM(FILTER('Fund Investment Data'!$V:$V, 'Fund "&amp;"Investment Data'!$C:$C = $C2648, 'Fund Investment Data'!$A:$A = $A2648 - 1, 'Fund Investment Data'!$B:$B &lt;= 3)) * Parameters!$B$4,0))),0)"),0.0)</f>
        <v>0</v>
      </c>
      <c r="AC2648" s="32">
        <f>IFERROR(__xludf.DUMMYFUNCTION("IFERROR(FILTER($AF:$AF,$C:$C = $C2648,$A:$A = $A2648 - 1,$B:$B = 12),0)"),0.0)</f>
        <v>0</v>
      </c>
      <c r="AD2648" s="32">
        <f t="shared" si="23"/>
        <v>0</v>
      </c>
      <c r="AE2648" s="32">
        <f t="shared" si="2"/>
        <v>0</v>
      </c>
      <c r="AF2648" s="32"/>
    </row>
    <row r="2649">
      <c r="A2649" s="86"/>
      <c r="B2649" s="87"/>
      <c r="C2649" s="88"/>
      <c r="D2649" s="104"/>
      <c r="E2649" s="104"/>
      <c r="F2649" s="104"/>
      <c r="G2649" s="104"/>
      <c r="H2649" s="104"/>
      <c r="I2649" s="104"/>
      <c r="J2649" s="104"/>
      <c r="K2649" s="32"/>
      <c r="L2649" s="32"/>
      <c r="M2649" s="32"/>
      <c r="N2649" s="32"/>
      <c r="O2649" s="106"/>
      <c r="P2649" s="91">
        <f>IFERROR(__xludf.DUMMYFUNCTION("IFERROR(sum(FILTER($D:$N,$C:$C = $C2649,$A:$A &lt; $A2649,$B:$B = 12)),0) + sum($D2649:$N2649)"),0.0)</f>
        <v>0</v>
      </c>
      <c r="Q2649" s="92">
        <f t="shared" si="1"/>
        <v>0</v>
      </c>
      <c r="R2649" s="91">
        <f t="array" ref="R2649">IFERROR(INDEX('Fund YTD Target Values'!$1:$1000, MATCH($C2649,'Fund YTD Target Values'!$A:$A,0), MATCH($A2649,'Fund YTD Target Values'!$1:$1,0)),0)</f>
        <v>0</v>
      </c>
      <c r="S2649" s="91">
        <f>IFERROR(__xludf.DUMMYFUNCTION("IFERROR(sum(FILTER('Fund Investment Data'!$V:$V, 'Fund Investment Data'!$C:$C = $C2649, 'Fund Investment Data'!$A:$A &lt; $A2649)),0) + IFERROR(sum(FILTER('Fund Investment Data'!$V:$V, 'Fund Investment Data'!$C:$C = $C2649, 'Fund Investment Data'!$A:$A = $A2"&amp;"649, 'Fund Investment Data'!$B:$B &lt;= $B2649)),0)"),0.0)</f>
        <v>0</v>
      </c>
      <c r="T2649" s="32"/>
      <c r="U2649" s="32"/>
      <c r="V2649" s="32">
        <f>IFERROR(__xludf.DUMMYFUNCTION("$D2649 - IFERROR(FILTER($D:$D,$C:$C = $C2649, $A:$A = $A2649, $B:$B = $B2649 - 1),0)"),0.0)</f>
        <v>0</v>
      </c>
      <c r="W2649" s="93">
        <f>IFERROR(__xludf.DUMMYFUNCTION("$E2649 - IFERROR(FILTER($E:$E,$C:$C = $C2649, $A:$A = $A2649, $B:$B = $B2649 - 1),0)"),0.0)</f>
        <v>0</v>
      </c>
      <c r="X2649" s="91">
        <f>IFERROR(__xludf.DUMMYFUNCTION("iFERROR((FILTER('Fund Investment Data'!$Z:$Z, 'Fund Investment Data'!$C:$C = $C2649, 'Fund Investment Data'!$A:$A = $A2649 - 1, 'Fund Investment Data'!$B:$B = 12) + FILTER('Fund Investment Data'!$AB:$AB, 'Fund Investment Data'!$C:$C = $C2649, 'Fund Invest"&amp;"ment Data'!$A:$A = $A2649 - 1, 'Fund Investment Data'!$B:$B = 12)) * (1 + AVERAGE(FILTER('Inflation Data'!$C:$C,'Inflation Data'!$A:$A = ($A2649 - 2)))) * Parameters!$A$4,0)"),0.0)</f>
        <v>0</v>
      </c>
      <c r="Y2649" s="91">
        <f>IFERROR(__xludf.DUMMYFUNCTION("IFERROR((IFERROR(FILTER('Fund Investment Data'!$P:$P,'Fund Investment Data'!$C:$C = $C2649,'Fund Investment Data'!$A:$A = ($A2649 - 2), 'Fund Investment Data'!$B:$B = 12),0) - SUM(FILTER('Fund Investment Data'!$V:$V, 'Fund Investment Data'!$C:$C = $C2649,"&amp;" 'Fund Investment Data'!$A:$A = ($A2649 - 2), 'Fund Investment Data'!$B:$B &gt; 3)))  * Parameters!$B$4 * (1 - Parameters!$A$4),0)"),0.0)</f>
        <v>0</v>
      </c>
      <c r="Z2649" s="91">
        <f t="shared" si="24"/>
        <v>0</v>
      </c>
      <c r="AA2649" s="91">
        <f>IFERROR(__xludf.DUMMYFUNCTION("((IFERROR((SUM(FILTER('Fund Investment Data'!$V:$V, 'Fund Investment Data'!$C:$C = $C2649, 'Fund Investment Data'!$A:$A = $A2649 - 1, 'Fund Investment Data'!$B:$B &gt;= 4, 'Fund Investment Data'!$B:$B &lt;= ($B2649 + 5))) / 12) * ($B2649 - 3) * Parameters!$B$4,"&amp;" 0) + IF($B2649 &gt;= 9, IFERROR(SUM(FILTER('Fund Investment Data'!$V:$V, 'Fund Investment Data'!$C:$C = $C2649, 'Fund Investment Data'!$A:$A = $A2649, 'Fund Investment Data'!$B:$B &lt;= 3)) * Parameters!$B$4, 0),0)))"),0.0)</f>
        <v>0</v>
      </c>
      <c r="AB2649" s="32">
        <f>IFERROR(__xludf.DUMMYFUNCTION("IFERROR(((IFERROR(SUM(FILTER('Fund Investment Data'!$V:$V, 'Fund Investment Data'!$C:$C = $C2649, 'Fund Investment Data'!$A:$A = $A2649 - 2, 'Fund Investment Data'!$B:$B &gt;= 4)) * Parameters!$B$4,0) + IFERROR(SUM(FILTER('Fund Investment Data'!$V:$V, 'Fund "&amp;"Investment Data'!$C:$C = $C2649, 'Fund Investment Data'!$A:$A = $A2649 - 1, 'Fund Investment Data'!$B:$B &lt;= 3)) * Parameters!$B$4,0))),0)"),0.0)</f>
        <v>0</v>
      </c>
      <c r="AC2649" s="32">
        <f>IFERROR(__xludf.DUMMYFUNCTION("IFERROR(FILTER($AF:$AF,$C:$C = $C2649,$A:$A = $A2649 - 1,$B:$B = 12),0)"),0.0)</f>
        <v>0</v>
      </c>
      <c r="AD2649" s="32">
        <f t="shared" si="23"/>
        <v>0</v>
      </c>
      <c r="AE2649" s="32">
        <f t="shared" si="2"/>
        <v>0</v>
      </c>
      <c r="AF2649" s="32"/>
    </row>
    <row r="2650">
      <c r="A2650" s="86"/>
      <c r="B2650" s="87"/>
      <c r="C2650" s="88"/>
      <c r="D2650" s="104"/>
      <c r="E2650" s="104"/>
      <c r="F2650" s="104"/>
      <c r="G2650" s="104"/>
      <c r="H2650" s="104"/>
      <c r="I2650" s="104"/>
      <c r="J2650" s="104"/>
      <c r="K2650" s="32"/>
      <c r="L2650" s="32"/>
      <c r="M2650" s="32"/>
      <c r="N2650" s="32"/>
      <c r="O2650" s="106"/>
      <c r="P2650" s="91">
        <f>IFERROR(__xludf.DUMMYFUNCTION("IFERROR(sum(FILTER($D:$N,$C:$C = $C2650,$A:$A &lt; $A2650,$B:$B = 12)),0) + sum($D2650:$N2650)"),0.0)</f>
        <v>0</v>
      </c>
      <c r="Q2650" s="92">
        <f t="shared" si="1"/>
        <v>0</v>
      </c>
      <c r="R2650" s="91">
        <f t="array" ref="R2650">IFERROR(INDEX('Fund YTD Target Values'!$1:$1000, MATCH($C2650,'Fund YTD Target Values'!$A:$A,0), MATCH($A2650,'Fund YTD Target Values'!$1:$1,0)),0)</f>
        <v>0</v>
      </c>
      <c r="S2650" s="91">
        <f>IFERROR(__xludf.DUMMYFUNCTION("IFERROR(sum(FILTER('Fund Investment Data'!$V:$V, 'Fund Investment Data'!$C:$C = $C2650, 'Fund Investment Data'!$A:$A &lt; $A2650)),0) + IFERROR(sum(FILTER('Fund Investment Data'!$V:$V, 'Fund Investment Data'!$C:$C = $C2650, 'Fund Investment Data'!$A:$A = $A2"&amp;"650, 'Fund Investment Data'!$B:$B &lt;= $B2650)),0)"),0.0)</f>
        <v>0</v>
      </c>
      <c r="T2650" s="32"/>
      <c r="U2650" s="32"/>
      <c r="V2650" s="32">
        <f>IFERROR(__xludf.DUMMYFUNCTION("$D2650 - IFERROR(FILTER($D:$D,$C:$C = $C2650, $A:$A = $A2650, $B:$B = $B2650 - 1),0)"),0.0)</f>
        <v>0</v>
      </c>
      <c r="W2650" s="93">
        <f>IFERROR(__xludf.DUMMYFUNCTION("$E2650 - IFERROR(FILTER($E:$E,$C:$C = $C2650, $A:$A = $A2650, $B:$B = $B2650 - 1),0)"),0.0)</f>
        <v>0</v>
      </c>
      <c r="X2650" s="91">
        <f>IFERROR(__xludf.DUMMYFUNCTION("iFERROR((FILTER('Fund Investment Data'!$Z:$Z, 'Fund Investment Data'!$C:$C = $C2650, 'Fund Investment Data'!$A:$A = $A2650 - 1, 'Fund Investment Data'!$B:$B = 12) + FILTER('Fund Investment Data'!$AB:$AB, 'Fund Investment Data'!$C:$C = $C2650, 'Fund Invest"&amp;"ment Data'!$A:$A = $A2650 - 1, 'Fund Investment Data'!$B:$B = 12)) * (1 + AVERAGE(FILTER('Inflation Data'!$C:$C,'Inflation Data'!$A:$A = ($A2650 - 2)))) * Parameters!$A$4,0)"),0.0)</f>
        <v>0</v>
      </c>
      <c r="Y2650" s="91">
        <f>IFERROR(__xludf.DUMMYFUNCTION("IFERROR((IFERROR(FILTER('Fund Investment Data'!$P:$P,'Fund Investment Data'!$C:$C = $C2650,'Fund Investment Data'!$A:$A = ($A2650 - 2), 'Fund Investment Data'!$B:$B = 12),0) - SUM(FILTER('Fund Investment Data'!$V:$V, 'Fund Investment Data'!$C:$C = $C2650,"&amp;" 'Fund Investment Data'!$A:$A = ($A2650 - 2), 'Fund Investment Data'!$B:$B &gt; 3)))  * Parameters!$B$4 * (1 - Parameters!$A$4),0)"),0.0)</f>
        <v>0</v>
      </c>
      <c r="Z2650" s="91">
        <f t="shared" si="24"/>
        <v>0</v>
      </c>
      <c r="AA2650" s="91">
        <f>IFERROR(__xludf.DUMMYFUNCTION("((IFERROR((SUM(FILTER('Fund Investment Data'!$V:$V, 'Fund Investment Data'!$C:$C = $C2650, 'Fund Investment Data'!$A:$A = $A2650 - 1, 'Fund Investment Data'!$B:$B &gt;= 4, 'Fund Investment Data'!$B:$B &lt;= ($B2650 + 5))) / 12) * ($B2650 - 3) * Parameters!$B$4,"&amp;" 0) + IF($B2650 &gt;= 9, IFERROR(SUM(FILTER('Fund Investment Data'!$V:$V, 'Fund Investment Data'!$C:$C = $C2650, 'Fund Investment Data'!$A:$A = $A2650, 'Fund Investment Data'!$B:$B &lt;= 3)) * Parameters!$B$4, 0),0)))"),0.0)</f>
        <v>0</v>
      </c>
      <c r="AB2650" s="32">
        <f>IFERROR(__xludf.DUMMYFUNCTION("IFERROR(((IFERROR(SUM(FILTER('Fund Investment Data'!$V:$V, 'Fund Investment Data'!$C:$C = $C2650, 'Fund Investment Data'!$A:$A = $A2650 - 2, 'Fund Investment Data'!$B:$B &gt;= 4)) * Parameters!$B$4,0) + IFERROR(SUM(FILTER('Fund Investment Data'!$V:$V, 'Fund "&amp;"Investment Data'!$C:$C = $C2650, 'Fund Investment Data'!$A:$A = $A2650 - 1, 'Fund Investment Data'!$B:$B &lt;= 3)) * Parameters!$B$4,0))),0)"),0.0)</f>
        <v>0</v>
      </c>
      <c r="AC2650" s="32">
        <f>IFERROR(__xludf.DUMMYFUNCTION("IFERROR(FILTER($AF:$AF,$C:$C = $C2650,$A:$A = $A2650 - 1,$B:$B = 12),0)"),0.0)</f>
        <v>0</v>
      </c>
      <c r="AD2650" s="32">
        <f t="shared" si="23"/>
        <v>0</v>
      </c>
      <c r="AE2650" s="32">
        <f t="shared" si="2"/>
        <v>0</v>
      </c>
      <c r="AF2650" s="32"/>
    </row>
    <row r="2651">
      <c r="A2651" s="86"/>
      <c r="B2651" s="87"/>
      <c r="C2651" s="88"/>
      <c r="D2651" s="104"/>
      <c r="E2651" s="104"/>
      <c r="F2651" s="104"/>
      <c r="G2651" s="104"/>
      <c r="H2651" s="104"/>
      <c r="I2651" s="104"/>
      <c r="J2651" s="104"/>
      <c r="K2651" s="32"/>
      <c r="L2651" s="32"/>
      <c r="M2651" s="32"/>
      <c r="N2651" s="32"/>
      <c r="O2651" s="106"/>
      <c r="P2651" s="91">
        <f>IFERROR(__xludf.DUMMYFUNCTION("IFERROR(sum(FILTER($D:$N,$C:$C = $C2651,$A:$A &lt; $A2651,$B:$B = 12)),0) + sum($D2651:$N2651)"),0.0)</f>
        <v>0</v>
      </c>
      <c r="Q2651" s="92">
        <f t="shared" si="1"/>
        <v>0</v>
      </c>
      <c r="R2651" s="91">
        <f t="array" ref="R2651">IFERROR(INDEX('Fund YTD Target Values'!$1:$1000, MATCH($C2651,'Fund YTD Target Values'!$A:$A,0), MATCH($A2651,'Fund YTD Target Values'!$1:$1,0)),0)</f>
        <v>0</v>
      </c>
      <c r="S2651" s="91">
        <f>IFERROR(__xludf.DUMMYFUNCTION("IFERROR(sum(FILTER('Fund Investment Data'!$V:$V, 'Fund Investment Data'!$C:$C = $C2651, 'Fund Investment Data'!$A:$A &lt; $A2651)),0) + IFERROR(sum(FILTER('Fund Investment Data'!$V:$V, 'Fund Investment Data'!$C:$C = $C2651, 'Fund Investment Data'!$A:$A = $A2"&amp;"651, 'Fund Investment Data'!$B:$B &lt;= $B2651)),0)"),0.0)</f>
        <v>0</v>
      </c>
      <c r="T2651" s="32"/>
      <c r="U2651" s="32"/>
      <c r="V2651" s="32">
        <f>IFERROR(__xludf.DUMMYFUNCTION("$D2651 - IFERROR(FILTER($D:$D,$C:$C = $C2651, $A:$A = $A2651, $B:$B = $B2651 - 1),0)"),0.0)</f>
        <v>0</v>
      </c>
      <c r="W2651" s="93">
        <f>IFERROR(__xludf.DUMMYFUNCTION("$E2651 - IFERROR(FILTER($E:$E,$C:$C = $C2651, $A:$A = $A2651, $B:$B = $B2651 - 1),0)"),0.0)</f>
        <v>0</v>
      </c>
      <c r="X2651" s="91">
        <f>IFERROR(__xludf.DUMMYFUNCTION("iFERROR((FILTER('Fund Investment Data'!$Z:$Z, 'Fund Investment Data'!$C:$C = $C2651, 'Fund Investment Data'!$A:$A = $A2651 - 1, 'Fund Investment Data'!$B:$B = 12) + FILTER('Fund Investment Data'!$AB:$AB, 'Fund Investment Data'!$C:$C = $C2651, 'Fund Invest"&amp;"ment Data'!$A:$A = $A2651 - 1, 'Fund Investment Data'!$B:$B = 12)) * (1 + AVERAGE(FILTER('Inflation Data'!$C:$C,'Inflation Data'!$A:$A = ($A2651 - 2)))) * Parameters!$A$4,0)"),0.0)</f>
        <v>0</v>
      </c>
      <c r="Y2651" s="91">
        <f>IFERROR(__xludf.DUMMYFUNCTION("IFERROR((IFERROR(FILTER('Fund Investment Data'!$P:$P,'Fund Investment Data'!$C:$C = $C2651,'Fund Investment Data'!$A:$A = ($A2651 - 2), 'Fund Investment Data'!$B:$B = 12),0) - SUM(FILTER('Fund Investment Data'!$V:$V, 'Fund Investment Data'!$C:$C = $C2651,"&amp;" 'Fund Investment Data'!$A:$A = ($A2651 - 2), 'Fund Investment Data'!$B:$B &gt; 3)))  * Parameters!$B$4 * (1 - Parameters!$A$4),0)"),0.0)</f>
        <v>0</v>
      </c>
      <c r="Z2651" s="91">
        <f t="shared" si="24"/>
        <v>0</v>
      </c>
      <c r="AA2651" s="91">
        <f>IFERROR(__xludf.DUMMYFUNCTION("((IFERROR((SUM(FILTER('Fund Investment Data'!$V:$V, 'Fund Investment Data'!$C:$C = $C2651, 'Fund Investment Data'!$A:$A = $A2651 - 1, 'Fund Investment Data'!$B:$B &gt;= 4, 'Fund Investment Data'!$B:$B &lt;= ($B2651 + 5))) / 12) * ($B2651 - 3) * Parameters!$B$4,"&amp;" 0) + IF($B2651 &gt;= 9, IFERROR(SUM(FILTER('Fund Investment Data'!$V:$V, 'Fund Investment Data'!$C:$C = $C2651, 'Fund Investment Data'!$A:$A = $A2651, 'Fund Investment Data'!$B:$B &lt;= 3)) * Parameters!$B$4, 0),0)))"),0.0)</f>
        <v>0</v>
      </c>
      <c r="AB2651" s="32">
        <f>IFERROR(__xludf.DUMMYFUNCTION("IFERROR(((IFERROR(SUM(FILTER('Fund Investment Data'!$V:$V, 'Fund Investment Data'!$C:$C = $C2651, 'Fund Investment Data'!$A:$A = $A2651 - 2, 'Fund Investment Data'!$B:$B &gt;= 4)) * Parameters!$B$4,0) + IFERROR(SUM(FILTER('Fund Investment Data'!$V:$V, 'Fund "&amp;"Investment Data'!$C:$C = $C2651, 'Fund Investment Data'!$A:$A = $A2651 - 1, 'Fund Investment Data'!$B:$B &lt;= 3)) * Parameters!$B$4,0))),0)"),0.0)</f>
        <v>0</v>
      </c>
      <c r="AC2651" s="32">
        <f>IFERROR(__xludf.DUMMYFUNCTION("IFERROR(FILTER($AF:$AF,$C:$C = $C2651,$A:$A = $A2651 - 1,$B:$B = 12),0)"),0.0)</f>
        <v>0</v>
      </c>
      <c r="AD2651" s="32">
        <f t="shared" si="23"/>
        <v>0</v>
      </c>
      <c r="AE2651" s="32">
        <f t="shared" si="2"/>
        <v>0</v>
      </c>
      <c r="AF2651" s="32"/>
    </row>
    <row r="2652">
      <c r="A2652" s="86"/>
      <c r="B2652" s="87"/>
      <c r="C2652" s="88"/>
      <c r="D2652" s="104"/>
      <c r="E2652" s="104"/>
      <c r="F2652" s="104"/>
      <c r="G2652" s="104"/>
      <c r="H2652" s="104"/>
      <c r="I2652" s="104"/>
      <c r="J2652" s="104"/>
      <c r="K2652" s="32"/>
      <c r="L2652" s="32"/>
      <c r="M2652" s="32"/>
      <c r="N2652" s="32"/>
      <c r="O2652" s="106"/>
      <c r="P2652" s="91">
        <f>IFERROR(__xludf.DUMMYFUNCTION("IFERROR(sum(FILTER($D:$N,$C:$C = $C2652,$A:$A &lt; $A2652,$B:$B = 12)),0) + sum($D2652:$N2652)"),0.0)</f>
        <v>0</v>
      </c>
      <c r="Q2652" s="92">
        <f t="shared" si="1"/>
        <v>0</v>
      </c>
      <c r="R2652" s="91">
        <f t="array" ref="R2652">IFERROR(INDEX('Fund YTD Target Values'!$1:$1000, MATCH($C2652,'Fund YTD Target Values'!$A:$A,0), MATCH($A2652,'Fund YTD Target Values'!$1:$1,0)),0)</f>
        <v>0</v>
      </c>
      <c r="S2652" s="91">
        <f>IFERROR(__xludf.DUMMYFUNCTION("IFERROR(sum(FILTER('Fund Investment Data'!$V:$V, 'Fund Investment Data'!$C:$C = $C2652, 'Fund Investment Data'!$A:$A &lt; $A2652)),0) + IFERROR(sum(FILTER('Fund Investment Data'!$V:$V, 'Fund Investment Data'!$C:$C = $C2652, 'Fund Investment Data'!$A:$A = $A2"&amp;"652, 'Fund Investment Data'!$B:$B &lt;= $B2652)),0)"),0.0)</f>
        <v>0</v>
      </c>
      <c r="T2652" s="32"/>
      <c r="U2652" s="32"/>
      <c r="V2652" s="32">
        <f>IFERROR(__xludf.DUMMYFUNCTION("$D2652 - IFERROR(FILTER($D:$D,$C:$C = $C2652, $A:$A = $A2652, $B:$B = $B2652 - 1),0)"),0.0)</f>
        <v>0</v>
      </c>
      <c r="W2652" s="93">
        <f>IFERROR(__xludf.DUMMYFUNCTION("$E2652 - IFERROR(FILTER($E:$E,$C:$C = $C2652, $A:$A = $A2652, $B:$B = $B2652 - 1),0)"),0.0)</f>
        <v>0</v>
      </c>
      <c r="X2652" s="91">
        <f>IFERROR(__xludf.DUMMYFUNCTION("iFERROR((FILTER('Fund Investment Data'!$Z:$Z, 'Fund Investment Data'!$C:$C = $C2652, 'Fund Investment Data'!$A:$A = $A2652 - 1, 'Fund Investment Data'!$B:$B = 12) + FILTER('Fund Investment Data'!$AB:$AB, 'Fund Investment Data'!$C:$C = $C2652, 'Fund Invest"&amp;"ment Data'!$A:$A = $A2652 - 1, 'Fund Investment Data'!$B:$B = 12)) * (1 + AVERAGE(FILTER('Inflation Data'!$C:$C,'Inflation Data'!$A:$A = ($A2652 - 2)))) * Parameters!$A$4,0)"),0.0)</f>
        <v>0</v>
      </c>
      <c r="Y2652" s="91">
        <f>IFERROR(__xludf.DUMMYFUNCTION("IFERROR((IFERROR(FILTER('Fund Investment Data'!$P:$P,'Fund Investment Data'!$C:$C = $C2652,'Fund Investment Data'!$A:$A = ($A2652 - 2), 'Fund Investment Data'!$B:$B = 12),0) - SUM(FILTER('Fund Investment Data'!$V:$V, 'Fund Investment Data'!$C:$C = $C2652,"&amp;" 'Fund Investment Data'!$A:$A = ($A2652 - 2), 'Fund Investment Data'!$B:$B &gt; 3)))  * Parameters!$B$4 * (1 - Parameters!$A$4),0)"),0.0)</f>
        <v>0</v>
      </c>
      <c r="Z2652" s="91">
        <f t="shared" si="24"/>
        <v>0</v>
      </c>
      <c r="AA2652" s="91">
        <f>IFERROR(__xludf.DUMMYFUNCTION("((IFERROR((SUM(FILTER('Fund Investment Data'!$V:$V, 'Fund Investment Data'!$C:$C = $C2652, 'Fund Investment Data'!$A:$A = $A2652 - 1, 'Fund Investment Data'!$B:$B &gt;= 4, 'Fund Investment Data'!$B:$B &lt;= ($B2652 + 5))) / 12) * ($B2652 - 3) * Parameters!$B$4,"&amp;" 0) + IF($B2652 &gt;= 9, IFERROR(SUM(FILTER('Fund Investment Data'!$V:$V, 'Fund Investment Data'!$C:$C = $C2652, 'Fund Investment Data'!$A:$A = $A2652, 'Fund Investment Data'!$B:$B &lt;= 3)) * Parameters!$B$4, 0),0)))"),0.0)</f>
        <v>0</v>
      </c>
      <c r="AB2652" s="32">
        <f>IFERROR(__xludf.DUMMYFUNCTION("IFERROR(((IFERROR(SUM(FILTER('Fund Investment Data'!$V:$V, 'Fund Investment Data'!$C:$C = $C2652, 'Fund Investment Data'!$A:$A = $A2652 - 2, 'Fund Investment Data'!$B:$B &gt;= 4)) * Parameters!$B$4,0) + IFERROR(SUM(FILTER('Fund Investment Data'!$V:$V, 'Fund "&amp;"Investment Data'!$C:$C = $C2652, 'Fund Investment Data'!$A:$A = $A2652 - 1, 'Fund Investment Data'!$B:$B &lt;= 3)) * Parameters!$B$4,0))),0)"),0.0)</f>
        <v>0</v>
      </c>
      <c r="AC2652" s="32">
        <f>IFERROR(__xludf.DUMMYFUNCTION("IFERROR(FILTER($AF:$AF,$C:$C = $C2652,$A:$A = $A2652 - 1,$B:$B = 12),0)"),0.0)</f>
        <v>0</v>
      </c>
      <c r="AD2652" s="32">
        <f t="shared" si="23"/>
        <v>0</v>
      </c>
      <c r="AE2652" s="32">
        <f t="shared" si="2"/>
        <v>0</v>
      </c>
      <c r="AF2652" s="32"/>
    </row>
    <row r="2653">
      <c r="A2653" s="86"/>
      <c r="B2653" s="87"/>
      <c r="C2653" s="88"/>
      <c r="D2653" s="104"/>
      <c r="E2653" s="104"/>
      <c r="F2653" s="104"/>
      <c r="G2653" s="104"/>
      <c r="H2653" s="104"/>
      <c r="I2653" s="104"/>
      <c r="J2653" s="104"/>
      <c r="K2653" s="32"/>
      <c r="L2653" s="32"/>
      <c r="M2653" s="32"/>
      <c r="N2653" s="32"/>
      <c r="O2653" s="106"/>
      <c r="P2653" s="91">
        <f>IFERROR(__xludf.DUMMYFUNCTION("IFERROR(sum(FILTER($D:$N,$C:$C = $C2653,$A:$A &lt; $A2653,$B:$B = 12)),0) + sum($D2653:$N2653)"),0.0)</f>
        <v>0</v>
      </c>
      <c r="Q2653" s="92">
        <f t="shared" si="1"/>
        <v>0</v>
      </c>
      <c r="R2653" s="91">
        <f t="array" ref="R2653">IFERROR(INDEX('Fund YTD Target Values'!$1:$1000, MATCH($C2653,'Fund YTD Target Values'!$A:$A,0), MATCH($A2653,'Fund YTD Target Values'!$1:$1,0)),0)</f>
        <v>0</v>
      </c>
      <c r="S2653" s="91">
        <f>IFERROR(__xludf.DUMMYFUNCTION("IFERROR(sum(FILTER('Fund Investment Data'!$V:$V, 'Fund Investment Data'!$C:$C = $C2653, 'Fund Investment Data'!$A:$A &lt; $A2653)),0) + IFERROR(sum(FILTER('Fund Investment Data'!$V:$V, 'Fund Investment Data'!$C:$C = $C2653, 'Fund Investment Data'!$A:$A = $A2"&amp;"653, 'Fund Investment Data'!$B:$B &lt;= $B2653)),0)"),0.0)</f>
        <v>0</v>
      </c>
      <c r="T2653" s="32"/>
      <c r="U2653" s="32"/>
      <c r="V2653" s="32">
        <f>IFERROR(__xludf.DUMMYFUNCTION("$D2653 - IFERROR(FILTER($D:$D,$C:$C = $C2653, $A:$A = $A2653, $B:$B = $B2653 - 1),0)"),0.0)</f>
        <v>0</v>
      </c>
      <c r="W2653" s="93">
        <f>IFERROR(__xludf.DUMMYFUNCTION("$E2653 - IFERROR(FILTER($E:$E,$C:$C = $C2653, $A:$A = $A2653, $B:$B = $B2653 - 1),0)"),0.0)</f>
        <v>0</v>
      </c>
      <c r="X2653" s="91">
        <f>IFERROR(__xludf.DUMMYFUNCTION("iFERROR((FILTER('Fund Investment Data'!$Z:$Z, 'Fund Investment Data'!$C:$C = $C2653, 'Fund Investment Data'!$A:$A = $A2653 - 1, 'Fund Investment Data'!$B:$B = 12) + FILTER('Fund Investment Data'!$AB:$AB, 'Fund Investment Data'!$C:$C = $C2653, 'Fund Invest"&amp;"ment Data'!$A:$A = $A2653 - 1, 'Fund Investment Data'!$B:$B = 12)) * (1 + AVERAGE(FILTER('Inflation Data'!$C:$C,'Inflation Data'!$A:$A = ($A2653 - 2)))) * Parameters!$A$4,0)"),0.0)</f>
        <v>0</v>
      </c>
      <c r="Y2653" s="91">
        <f>IFERROR(__xludf.DUMMYFUNCTION("IFERROR((IFERROR(FILTER('Fund Investment Data'!$P:$P,'Fund Investment Data'!$C:$C = $C2653,'Fund Investment Data'!$A:$A = ($A2653 - 2), 'Fund Investment Data'!$B:$B = 12),0) - SUM(FILTER('Fund Investment Data'!$V:$V, 'Fund Investment Data'!$C:$C = $C2653,"&amp;" 'Fund Investment Data'!$A:$A = ($A2653 - 2), 'Fund Investment Data'!$B:$B &gt; 3)))  * Parameters!$B$4 * (1 - Parameters!$A$4),0)"),0.0)</f>
        <v>0</v>
      </c>
      <c r="Z2653" s="91">
        <f t="shared" si="24"/>
        <v>0</v>
      </c>
      <c r="AA2653" s="91">
        <f>IFERROR(__xludf.DUMMYFUNCTION("((IFERROR((SUM(FILTER('Fund Investment Data'!$V:$V, 'Fund Investment Data'!$C:$C = $C2653, 'Fund Investment Data'!$A:$A = $A2653 - 1, 'Fund Investment Data'!$B:$B &gt;= 4, 'Fund Investment Data'!$B:$B &lt;= ($B2653 + 5))) / 12) * ($B2653 - 3) * Parameters!$B$4,"&amp;" 0) + IF($B2653 &gt;= 9, IFERROR(SUM(FILTER('Fund Investment Data'!$V:$V, 'Fund Investment Data'!$C:$C = $C2653, 'Fund Investment Data'!$A:$A = $A2653, 'Fund Investment Data'!$B:$B &lt;= 3)) * Parameters!$B$4, 0),0)))"),0.0)</f>
        <v>0</v>
      </c>
      <c r="AB2653" s="32">
        <f>IFERROR(__xludf.DUMMYFUNCTION("IFERROR(((IFERROR(SUM(FILTER('Fund Investment Data'!$V:$V, 'Fund Investment Data'!$C:$C = $C2653, 'Fund Investment Data'!$A:$A = $A2653 - 2, 'Fund Investment Data'!$B:$B &gt;= 4)) * Parameters!$B$4,0) + IFERROR(SUM(FILTER('Fund Investment Data'!$V:$V, 'Fund "&amp;"Investment Data'!$C:$C = $C2653, 'Fund Investment Data'!$A:$A = $A2653 - 1, 'Fund Investment Data'!$B:$B &lt;= 3)) * Parameters!$B$4,0))),0)"),0.0)</f>
        <v>0</v>
      </c>
      <c r="AC2653" s="32">
        <f>IFERROR(__xludf.DUMMYFUNCTION("IFERROR(FILTER($AF:$AF,$C:$C = $C2653,$A:$A = $A2653 - 1,$B:$B = 12),0)"),0.0)</f>
        <v>0</v>
      </c>
      <c r="AD2653" s="32">
        <f t="shared" si="23"/>
        <v>0</v>
      </c>
      <c r="AE2653" s="32">
        <f t="shared" si="2"/>
        <v>0</v>
      </c>
      <c r="AF2653" s="32"/>
    </row>
    <row r="2654">
      <c r="A2654" s="86"/>
      <c r="B2654" s="87"/>
      <c r="C2654" s="88"/>
      <c r="D2654" s="104"/>
      <c r="E2654" s="104"/>
      <c r="F2654" s="104"/>
      <c r="G2654" s="104"/>
      <c r="H2654" s="104"/>
      <c r="I2654" s="104"/>
      <c r="J2654" s="104"/>
      <c r="K2654" s="32"/>
      <c r="L2654" s="32"/>
      <c r="M2654" s="32"/>
      <c r="N2654" s="32"/>
      <c r="O2654" s="106"/>
      <c r="P2654" s="91">
        <f>IFERROR(__xludf.DUMMYFUNCTION("IFERROR(sum(FILTER($D:$N,$C:$C = $C2654,$A:$A &lt; $A2654,$B:$B = 12)),0) + sum($D2654:$N2654)"),0.0)</f>
        <v>0</v>
      </c>
      <c r="Q2654" s="92">
        <f t="shared" si="1"/>
        <v>0</v>
      </c>
      <c r="R2654" s="91">
        <f t="array" ref="R2654">IFERROR(INDEX('Fund YTD Target Values'!$1:$1000, MATCH($C2654,'Fund YTD Target Values'!$A:$A,0), MATCH($A2654,'Fund YTD Target Values'!$1:$1,0)),0)</f>
        <v>0</v>
      </c>
      <c r="S2654" s="91">
        <f>IFERROR(__xludf.DUMMYFUNCTION("IFERROR(sum(FILTER('Fund Investment Data'!$V:$V, 'Fund Investment Data'!$C:$C = $C2654, 'Fund Investment Data'!$A:$A &lt; $A2654)),0) + IFERROR(sum(FILTER('Fund Investment Data'!$V:$V, 'Fund Investment Data'!$C:$C = $C2654, 'Fund Investment Data'!$A:$A = $A2"&amp;"654, 'Fund Investment Data'!$B:$B &lt;= $B2654)),0)"),0.0)</f>
        <v>0</v>
      </c>
      <c r="T2654" s="32"/>
      <c r="U2654" s="32"/>
      <c r="V2654" s="32">
        <f>IFERROR(__xludf.DUMMYFUNCTION("$D2654 - IFERROR(FILTER($D:$D,$C:$C = $C2654, $A:$A = $A2654, $B:$B = $B2654 - 1),0)"),0.0)</f>
        <v>0</v>
      </c>
      <c r="W2654" s="93">
        <f>IFERROR(__xludf.DUMMYFUNCTION("$E2654 - IFERROR(FILTER($E:$E,$C:$C = $C2654, $A:$A = $A2654, $B:$B = $B2654 - 1),0)"),0.0)</f>
        <v>0</v>
      </c>
      <c r="X2654" s="91">
        <f>IFERROR(__xludf.DUMMYFUNCTION("iFERROR((FILTER('Fund Investment Data'!$Z:$Z, 'Fund Investment Data'!$C:$C = $C2654, 'Fund Investment Data'!$A:$A = $A2654 - 1, 'Fund Investment Data'!$B:$B = 12) + FILTER('Fund Investment Data'!$AB:$AB, 'Fund Investment Data'!$C:$C = $C2654, 'Fund Invest"&amp;"ment Data'!$A:$A = $A2654 - 1, 'Fund Investment Data'!$B:$B = 12)) * (1 + AVERAGE(FILTER('Inflation Data'!$C:$C,'Inflation Data'!$A:$A = ($A2654 - 2)))) * Parameters!$A$4,0)"),0.0)</f>
        <v>0</v>
      </c>
      <c r="Y2654" s="91">
        <f>IFERROR(__xludf.DUMMYFUNCTION("IFERROR((IFERROR(FILTER('Fund Investment Data'!$P:$P,'Fund Investment Data'!$C:$C = $C2654,'Fund Investment Data'!$A:$A = ($A2654 - 2), 'Fund Investment Data'!$B:$B = 12),0) - SUM(FILTER('Fund Investment Data'!$V:$V, 'Fund Investment Data'!$C:$C = $C2654,"&amp;" 'Fund Investment Data'!$A:$A = ($A2654 - 2), 'Fund Investment Data'!$B:$B &gt; 3)))  * Parameters!$B$4 * (1 - Parameters!$A$4),0)"),0.0)</f>
        <v>0</v>
      </c>
      <c r="Z2654" s="91">
        <f t="shared" si="24"/>
        <v>0</v>
      </c>
      <c r="AA2654" s="91">
        <f>IFERROR(__xludf.DUMMYFUNCTION("((IFERROR((SUM(FILTER('Fund Investment Data'!$V:$V, 'Fund Investment Data'!$C:$C = $C2654, 'Fund Investment Data'!$A:$A = $A2654 - 1, 'Fund Investment Data'!$B:$B &gt;= 4, 'Fund Investment Data'!$B:$B &lt;= ($B2654 + 5))) / 12) * ($B2654 - 3) * Parameters!$B$4,"&amp;" 0) + IF($B2654 &gt;= 9, IFERROR(SUM(FILTER('Fund Investment Data'!$V:$V, 'Fund Investment Data'!$C:$C = $C2654, 'Fund Investment Data'!$A:$A = $A2654, 'Fund Investment Data'!$B:$B &lt;= 3)) * Parameters!$B$4, 0),0)))"),0.0)</f>
        <v>0</v>
      </c>
      <c r="AB2654" s="32">
        <f>IFERROR(__xludf.DUMMYFUNCTION("IFERROR(((IFERROR(SUM(FILTER('Fund Investment Data'!$V:$V, 'Fund Investment Data'!$C:$C = $C2654, 'Fund Investment Data'!$A:$A = $A2654 - 2, 'Fund Investment Data'!$B:$B &gt;= 4)) * Parameters!$B$4,0) + IFERROR(SUM(FILTER('Fund Investment Data'!$V:$V, 'Fund "&amp;"Investment Data'!$C:$C = $C2654, 'Fund Investment Data'!$A:$A = $A2654 - 1, 'Fund Investment Data'!$B:$B &lt;= 3)) * Parameters!$B$4,0))),0)"),0.0)</f>
        <v>0</v>
      </c>
      <c r="AC2654" s="32">
        <f>IFERROR(__xludf.DUMMYFUNCTION("IFERROR(FILTER($AF:$AF,$C:$C = $C2654,$A:$A = $A2654 - 1,$B:$B = 12),0)"),0.0)</f>
        <v>0</v>
      </c>
      <c r="AD2654" s="32">
        <f t="shared" si="23"/>
        <v>0</v>
      </c>
      <c r="AE2654" s="32">
        <f t="shared" si="2"/>
        <v>0</v>
      </c>
      <c r="AF2654" s="32"/>
    </row>
    <row r="2655">
      <c r="A2655" s="86"/>
      <c r="B2655" s="87"/>
      <c r="C2655" s="88"/>
      <c r="D2655" s="104"/>
      <c r="E2655" s="104"/>
      <c r="F2655" s="104"/>
      <c r="G2655" s="104"/>
      <c r="H2655" s="104"/>
      <c r="I2655" s="104"/>
      <c r="J2655" s="104"/>
      <c r="K2655" s="32"/>
      <c r="L2655" s="32"/>
      <c r="M2655" s="32"/>
      <c r="N2655" s="32"/>
      <c r="O2655" s="106"/>
      <c r="P2655" s="91">
        <f>IFERROR(__xludf.DUMMYFUNCTION("IFERROR(sum(FILTER($D:$N,$C:$C = $C2655,$A:$A &lt; $A2655,$B:$B = 12)),0) + sum($D2655:$N2655)"),0.0)</f>
        <v>0</v>
      </c>
      <c r="Q2655" s="92">
        <f t="shared" si="1"/>
        <v>0</v>
      </c>
      <c r="R2655" s="91">
        <f t="array" ref="R2655">IFERROR(INDEX('Fund YTD Target Values'!$1:$1000, MATCH($C2655,'Fund YTD Target Values'!$A:$A,0), MATCH($A2655,'Fund YTD Target Values'!$1:$1,0)),0)</f>
        <v>0</v>
      </c>
      <c r="S2655" s="91">
        <f>IFERROR(__xludf.DUMMYFUNCTION("IFERROR(sum(FILTER('Fund Investment Data'!$V:$V, 'Fund Investment Data'!$C:$C = $C2655, 'Fund Investment Data'!$A:$A &lt; $A2655)),0) + IFERROR(sum(FILTER('Fund Investment Data'!$V:$V, 'Fund Investment Data'!$C:$C = $C2655, 'Fund Investment Data'!$A:$A = $A2"&amp;"655, 'Fund Investment Data'!$B:$B &lt;= $B2655)),0)"),0.0)</f>
        <v>0</v>
      </c>
      <c r="T2655" s="32"/>
      <c r="U2655" s="32"/>
      <c r="V2655" s="32">
        <f>IFERROR(__xludf.DUMMYFUNCTION("$D2655 - IFERROR(FILTER($D:$D,$C:$C = $C2655, $A:$A = $A2655, $B:$B = $B2655 - 1),0)"),0.0)</f>
        <v>0</v>
      </c>
      <c r="W2655" s="93">
        <f>IFERROR(__xludf.DUMMYFUNCTION("$E2655 - IFERROR(FILTER($E:$E,$C:$C = $C2655, $A:$A = $A2655, $B:$B = $B2655 - 1),0)"),0.0)</f>
        <v>0</v>
      </c>
      <c r="X2655" s="91">
        <f>IFERROR(__xludf.DUMMYFUNCTION("iFERROR((FILTER('Fund Investment Data'!$Z:$Z, 'Fund Investment Data'!$C:$C = $C2655, 'Fund Investment Data'!$A:$A = $A2655 - 1, 'Fund Investment Data'!$B:$B = 12) + FILTER('Fund Investment Data'!$AB:$AB, 'Fund Investment Data'!$C:$C = $C2655, 'Fund Invest"&amp;"ment Data'!$A:$A = $A2655 - 1, 'Fund Investment Data'!$B:$B = 12)) * (1 + AVERAGE(FILTER('Inflation Data'!$C:$C,'Inflation Data'!$A:$A = ($A2655 - 2)))) * Parameters!$A$4,0)"),0.0)</f>
        <v>0</v>
      </c>
      <c r="Y2655" s="91">
        <f>IFERROR(__xludf.DUMMYFUNCTION("IFERROR((IFERROR(FILTER('Fund Investment Data'!$P:$P,'Fund Investment Data'!$C:$C = $C2655,'Fund Investment Data'!$A:$A = ($A2655 - 2), 'Fund Investment Data'!$B:$B = 12),0) - SUM(FILTER('Fund Investment Data'!$V:$V, 'Fund Investment Data'!$C:$C = $C2655,"&amp;" 'Fund Investment Data'!$A:$A = ($A2655 - 2), 'Fund Investment Data'!$B:$B &gt; 3)))  * Parameters!$B$4 * (1 - Parameters!$A$4),0)"),0.0)</f>
        <v>0</v>
      </c>
      <c r="Z2655" s="91">
        <f t="shared" si="24"/>
        <v>0</v>
      </c>
      <c r="AA2655" s="91">
        <f>IFERROR(__xludf.DUMMYFUNCTION("((IFERROR((SUM(FILTER('Fund Investment Data'!$V:$V, 'Fund Investment Data'!$C:$C = $C2655, 'Fund Investment Data'!$A:$A = $A2655 - 1, 'Fund Investment Data'!$B:$B &gt;= 4, 'Fund Investment Data'!$B:$B &lt;= ($B2655 + 5))) / 12) * ($B2655 - 3) * Parameters!$B$4,"&amp;" 0) + IF($B2655 &gt;= 9, IFERROR(SUM(FILTER('Fund Investment Data'!$V:$V, 'Fund Investment Data'!$C:$C = $C2655, 'Fund Investment Data'!$A:$A = $A2655, 'Fund Investment Data'!$B:$B &lt;= 3)) * Parameters!$B$4, 0),0)))"),0.0)</f>
        <v>0</v>
      </c>
      <c r="AB2655" s="32">
        <f>IFERROR(__xludf.DUMMYFUNCTION("IFERROR(((IFERROR(SUM(FILTER('Fund Investment Data'!$V:$V, 'Fund Investment Data'!$C:$C = $C2655, 'Fund Investment Data'!$A:$A = $A2655 - 2, 'Fund Investment Data'!$B:$B &gt;= 4)) * Parameters!$B$4,0) + IFERROR(SUM(FILTER('Fund Investment Data'!$V:$V, 'Fund "&amp;"Investment Data'!$C:$C = $C2655, 'Fund Investment Data'!$A:$A = $A2655 - 1, 'Fund Investment Data'!$B:$B &lt;= 3)) * Parameters!$B$4,0))),0)"),0.0)</f>
        <v>0</v>
      </c>
      <c r="AC2655" s="32">
        <f>IFERROR(__xludf.DUMMYFUNCTION("IFERROR(FILTER($AF:$AF,$C:$C = $C2655,$A:$A = $A2655 - 1,$B:$B = 12),0)"),0.0)</f>
        <v>0</v>
      </c>
      <c r="AD2655" s="32">
        <f t="shared" si="23"/>
        <v>0</v>
      </c>
      <c r="AE2655" s="32">
        <f t="shared" si="2"/>
        <v>0</v>
      </c>
      <c r="AF2655" s="32"/>
    </row>
    <row r="2656">
      <c r="A2656" s="86"/>
      <c r="B2656" s="87"/>
      <c r="C2656" s="88"/>
      <c r="D2656" s="104"/>
      <c r="E2656" s="104"/>
      <c r="F2656" s="104"/>
      <c r="G2656" s="104"/>
      <c r="H2656" s="104"/>
      <c r="I2656" s="104"/>
      <c r="J2656" s="104"/>
      <c r="K2656" s="32"/>
      <c r="L2656" s="32"/>
      <c r="M2656" s="32"/>
      <c r="N2656" s="32"/>
      <c r="O2656" s="106"/>
      <c r="P2656" s="91">
        <f>IFERROR(__xludf.DUMMYFUNCTION("IFERROR(sum(FILTER($D:$N,$C:$C = $C2656,$A:$A &lt; $A2656,$B:$B = 12)),0) + sum($D2656:$N2656)"),0.0)</f>
        <v>0</v>
      </c>
      <c r="Q2656" s="92">
        <f t="shared" si="1"/>
        <v>0</v>
      </c>
      <c r="R2656" s="91">
        <f t="array" ref="R2656">IFERROR(INDEX('Fund YTD Target Values'!$1:$1000, MATCH($C2656,'Fund YTD Target Values'!$A:$A,0), MATCH($A2656,'Fund YTD Target Values'!$1:$1,0)),0)</f>
        <v>0</v>
      </c>
      <c r="S2656" s="91">
        <f>IFERROR(__xludf.DUMMYFUNCTION("IFERROR(sum(FILTER('Fund Investment Data'!$V:$V, 'Fund Investment Data'!$C:$C = $C2656, 'Fund Investment Data'!$A:$A &lt; $A2656)),0) + IFERROR(sum(FILTER('Fund Investment Data'!$V:$V, 'Fund Investment Data'!$C:$C = $C2656, 'Fund Investment Data'!$A:$A = $A2"&amp;"656, 'Fund Investment Data'!$B:$B &lt;= $B2656)),0)"),0.0)</f>
        <v>0</v>
      </c>
      <c r="T2656" s="32"/>
      <c r="U2656" s="32"/>
      <c r="V2656" s="32">
        <f>IFERROR(__xludf.DUMMYFUNCTION("$D2656 - IFERROR(FILTER($D:$D,$C:$C = $C2656, $A:$A = $A2656, $B:$B = $B2656 - 1),0)"),0.0)</f>
        <v>0</v>
      </c>
      <c r="W2656" s="93">
        <f>IFERROR(__xludf.DUMMYFUNCTION("$E2656 - IFERROR(FILTER($E:$E,$C:$C = $C2656, $A:$A = $A2656, $B:$B = $B2656 - 1),0)"),0.0)</f>
        <v>0</v>
      </c>
      <c r="X2656" s="91">
        <f>IFERROR(__xludf.DUMMYFUNCTION("iFERROR((FILTER('Fund Investment Data'!$Z:$Z, 'Fund Investment Data'!$C:$C = $C2656, 'Fund Investment Data'!$A:$A = $A2656 - 1, 'Fund Investment Data'!$B:$B = 12) + FILTER('Fund Investment Data'!$AB:$AB, 'Fund Investment Data'!$C:$C = $C2656, 'Fund Invest"&amp;"ment Data'!$A:$A = $A2656 - 1, 'Fund Investment Data'!$B:$B = 12)) * (1 + AVERAGE(FILTER('Inflation Data'!$C:$C,'Inflation Data'!$A:$A = ($A2656 - 2)))) * Parameters!$A$4,0)"),0.0)</f>
        <v>0</v>
      </c>
      <c r="Y2656" s="91">
        <f>IFERROR(__xludf.DUMMYFUNCTION("IFERROR((IFERROR(FILTER('Fund Investment Data'!$P:$P,'Fund Investment Data'!$C:$C = $C2656,'Fund Investment Data'!$A:$A = ($A2656 - 2), 'Fund Investment Data'!$B:$B = 12),0) - SUM(FILTER('Fund Investment Data'!$V:$V, 'Fund Investment Data'!$C:$C = $C2656,"&amp;" 'Fund Investment Data'!$A:$A = ($A2656 - 2), 'Fund Investment Data'!$B:$B &gt; 3)))  * Parameters!$B$4 * (1 - Parameters!$A$4),0)"),0.0)</f>
        <v>0</v>
      </c>
      <c r="Z2656" s="91">
        <f t="shared" si="24"/>
        <v>0</v>
      </c>
      <c r="AA2656" s="91">
        <f>IFERROR(__xludf.DUMMYFUNCTION("((IFERROR((SUM(FILTER('Fund Investment Data'!$V:$V, 'Fund Investment Data'!$C:$C = $C2656, 'Fund Investment Data'!$A:$A = $A2656 - 1, 'Fund Investment Data'!$B:$B &gt;= 4, 'Fund Investment Data'!$B:$B &lt;= ($B2656 + 5))) / 12) * ($B2656 - 3) * Parameters!$B$4,"&amp;" 0) + IF($B2656 &gt;= 9, IFERROR(SUM(FILTER('Fund Investment Data'!$V:$V, 'Fund Investment Data'!$C:$C = $C2656, 'Fund Investment Data'!$A:$A = $A2656, 'Fund Investment Data'!$B:$B &lt;= 3)) * Parameters!$B$4, 0),0)))"),0.0)</f>
        <v>0</v>
      </c>
      <c r="AB2656" s="32">
        <f>IFERROR(__xludf.DUMMYFUNCTION("IFERROR(((IFERROR(SUM(FILTER('Fund Investment Data'!$V:$V, 'Fund Investment Data'!$C:$C = $C2656, 'Fund Investment Data'!$A:$A = $A2656 - 2, 'Fund Investment Data'!$B:$B &gt;= 4)) * Parameters!$B$4,0) + IFERROR(SUM(FILTER('Fund Investment Data'!$V:$V, 'Fund "&amp;"Investment Data'!$C:$C = $C2656, 'Fund Investment Data'!$A:$A = $A2656 - 1, 'Fund Investment Data'!$B:$B &lt;= 3)) * Parameters!$B$4,0))),0)"),0.0)</f>
        <v>0</v>
      </c>
      <c r="AC2656" s="32">
        <f>IFERROR(__xludf.DUMMYFUNCTION("IFERROR(FILTER($AF:$AF,$C:$C = $C2656,$A:$A = $A2656 - 1,$B:$B = 12),0)"),0.0)</f>
        <v>0</v>
      </c>
      <c r="AD2656" s="32">
        <f t="shared" si="23"/>
        <v>0</v>
      </c>
      <c r="AE2656" s="32">
        <f t="shared" si="2"/>
        <v>0</v>
      </c>
      <c r="AF2656" s="32"/>
    </row>
    <row r="2657">
      <c r="A2657" s="86"/>
      <c r="B2657" s="87"/>
      <c r="C2657" s="88"/>
      <c r="D2657" s="104"/>
      <c r="E2657" s="104"/>
      <c r="F2657" s="104"/>
      <c r="G2657" s="104"/>
      <c r="H2657" s="104"/>
      <c r="I2657" s="104"/>
      <c r="J2657" s="104"/>
      <c r="K2657" s="32"/>
      <c r="L2657" s="32"/>
      <c r="M2657" s="32"/>
      <c r="N2657" s="32"/>
      <c r="O2657" s="106"/>
      <c r="P2657" s="91">
        <f>IFERROR(__xludf.DUMMYFUNCTION("IFERROR(sum(FILTER($D:$N,$C:$C = $C2657,$A:$A &lt; $A2657,$B:$B = 12)),0) + sum($D2657:$N2657)"),0.0)</f>
        <v>0</v>
      </c>
      <c r="Q2657" s="92">
        <f t="shared" si="1"/>
        <v>0</v>
      </c>
      <c r="R2657" s="91">
        <f t="array" ref="R2657">IFERROR(INDEX('Fund YTD Target Values'!$1:$1000, MATCH($C2657,'Fund YTD Target Values'!$A:$A,0), MATCH($A2657,'Fund YTD Target Values'!$1:$1,0)),0)</f>
        <v>0</v>
      </c>
      <c r="S2657" s="91">
        <f>IFERROR(__xludf.DUMMYFUNCTION("IFERROR(sum(FILTER('Fund Investment Data'!$V:$V, 'Fund Investment Data'!$C:$C = $C2657, 'Fund Investment Data'!$A:$A &lt; $A2657)),0) + IFERROR(sum(FILTER('Fund Investment Data'!$V:$V, 'Fund Investment Data'!$C:$C = $C2657, 'Fund Investment Data'!$A:$A = $A2"&amp;"657, 'Fund Investment Data'!$B:$B &lt;= $B2657)),0)"),0.0)</f>
        <v>0</v>
      </c>
      <c r="T2657" s="32"/>
      <c r="U2657" s="32"/>
      <c r="V2657" s="32">
        <f>IFERROR(__xludf.DUMMYFUNCTION("$D2657 - IFERROR(FILTER($D:$D,$C:$C = $C2657, $A:$A = $A2657, $B:$B = $B2657 - 1),0)"),0.0)</f>
        <v>0</v>
      </c>
      <c r="W2657" s="93">
        <f>IFERROR(__xludf.DUMMYFUNCTION("$E2657 - IFERROR(FILTER($E:$E,$C:$C = $C2657, $A:$A = $A2657, $B:$B = $B2657 - 1),0)"),0.0)</f>
        <v>0</v>
      </c>
      <c r="X2657" s="91">
        <f>IFERROR(__xludf.DUMMYFUNCTION("iFERROR((FILTER('Fund Investment Data'!$Z:$Z, 'Fund Investment Data'!$C:$C = $C2657, 'Fund Investment Data'!$A:$A = $A2657 - 1, 'Fund Investment Data'!$B:$B = 12) + FILTER('Fund Investment Data'!$AB:$AB, 'Fund Investment Data'!$C:$C = $C2657, 'Fund Invest"&amp;"ment Data'!$A:$A = $A2657 - 1, 'Fund Investment Data'!$B:$B = 12)) * (1 + AVERAGE(FILTER('Inflation Data'!$C:$C,'Inflation Data'!$A:$A = ($A2657 - 2)))) * Parameters!$A$4,0)"),0.0)</f>
        <v>0</v>
      </c>
      <c r="Y2657" s="91">
        <f>IFERROR(__xludf.DUMMYFUNCTION("IFERROR((IFERROR(FILTER('Fund Investment Data'!$P:$P,'Fund Investment Data'!$C:$C = $C2657,'Fund Investment Data'!$A:$A = ($A2657 - 2), 'Fund Investment Data'!$B:$B = 12),0) - SUM(FILTER('Fund Investment Data'!$V:$V, 'Fund Investment Data'!$C:$C = $C2657,"&amp;" 'Fund Investment Data'!$A:$A = ($A2657 - 2), 'Fund Investment Data'!$B:$B &gt; 3)))  * Parameters!$B$4 * (1 - Parameters!$A$4),0)"),0.0)</f>
        <v>0</v>
      </c>
      <c r="Z2657" s="91">
        <f t="shared" si="24"/>
        <v>0</v>
      </c>
      <c r="AA2657" s="91">
        <f>IFERROR(__xludf.DUMMYFUNCTION("((IFERROR((SUM(FILTER('Fund Investment Data'!$V:$V, 'Fund Investment Data'!$C:$C = $C2657, 'Fund Investment Data'!$A:$A = $A2657 - 1, 'Fund Investment Data'!$B:$B &gt;= 4, 'Fund Investment Data'!$B:$B &lt;= ($B2657 + 5))) / 12) * ($B2657 - 3) * Parameters!$B$4,"&amp;" 0) + IF($B2657 &gt;= 9, IFERROR(SUM(FILTER('Fund Investment Data'!$V:$V, 'Fund Investment Data'!$C:$C = $C2657, 'Fund Investment Data'!$A:$A = $A2657, 'Fund Investment Data'!$B:$B &lt;= 3)) * Parameters!$B$4, 0),0)))"),0.0)</f>
        <v>0</v>
      </c>
      <c r="AB2657" s="32">
        <f>IFERROR(__xludf.DUMMYFUNCTION("IFERROR(((IFERROR(SUM(FILTER('Fund Investment Data'!$V:$V, 'Fund Investment Data'!$C:$C = $C2657, 'Fund Investment Data'!$A:$A = $A2657 - 2, 'Fund Investment Data'!$B:$B &gt;= 4)) * Parameters!$B$4,0) + IFERROR(SUM(FILTER('Fund Investment Data'!$V:$V, 'Fund "&amp;"Investment Data'!$C:$C = $C2657, 'Fund Investment Data'!$A:$A = $A2657 - 1, 'Fund Investment Data'!$B:$B &lt;= 3)) * Parameters!$B$4,0))),0)"),0.0)</f>
        <v>0</v>
      </c>
      <c r="AC2657" s="32">
        <f>IFERROR(__xludf.DUMMYFUNCTION("IFERROR(FILTER($AF:$AF,$C:$C = $C2657,$A:$A = $A2657 - 1,$B:$B = 12),0)"),0.0)</f>
        <v>0</v>
      </c>
      <c r="AD2657" s="32">
        <f t="shared" si="23"/>
        <v>0</v>
      </c>
      <c r="AE2657" s="32">
        <f t="shared" si="2"/>
        <v>0</v>
      </c>
      <c r="AF2657" s="32"/>
    </row>
    <row r="2658">
      <c r="A2658" s="86"/>
      <c r="B2658" s="87"/>
      <c r="C2658" s="88"/>
      <c r="D2658" s="104"/>
      <c r="E2658" s="104"/>
      <c r="F2658" s="104"/>
      <c r="G2658" s="104"/>
      <c r="H2658" s="104"/>
      <c r="I2658" s="104"/>
      <c r="J2658" s="104"/>
      <c r="K2658" s="32"/>
      <c r="L2658" s="32"/>
      <c r="M2658" s="32"/>
      <c r="N2658" s="32"/>
      <c r="O2658" s="106"/>
      <c r="P2658" s="91">
        <f>IFERROR(__xludf.DUMMYFUNCTION("IFERROR(sum(FILTER($D:$N,$C:$C = $C2658,$A:$A &lt; $A2658,$B:$B = 12)),0) + sum($D2658:$N2658)"),0.0)</f>
        <v>0</v>
      </c>
      <c r="Q2658" s="92">
        <f t="shared" si="1"/>
        <v>0</v>
      </c>
      <c r="R2658" s="91">
        <f t="array" ref="R2658">IFERROR(INDEX('Fund YTD Target Values'!$1:$1000, MATCH($C2658,'Fund YTD Target Values'!$A:$A,0), MATCH($A2658,'Fund YTD Target Values'!$1:$1,0)),0)</f>
        <v>0</v>
      </c>
      <c r="S2658" s="91">
        <f>IFERROR(__xludf.DUMMYFUNCTION("IFERROR(sum(FILTER('Fund Investment Data'!$V:$V, 'Fund Investment Data'!$C:$C = $C2658, 'Fund Investment Data'!$A:$A &lt; $A2658)),0) + IFERROR(sum(FILTER('Fund Investment Data'!$V:$V, 'Fund Investment Data'!$C:$C = $C2658, 'Fund Investment Data'!$A:$A = $A2"&amp;"658, 'Fund Investment Data'!$B:$B &lt;= $B2658)),0)"),0.0)</f>
        <v>0</v>
      </c>
      <c r="T2658" s="32"/>
      <c r="U2658" s="32"/>
      <c r="V2658" s="32">
        <f>IFERROR(__xludf.DUMMYFUNCTION("$D2658 - IFERROR(FILTER($D:$D,$C:$C = $C2658, $A:$A = $A2658, $B:$B = $B2658 - 1),0)"),0.0)</f>
        <v>0</v>
      </c>
      <c r="W2658" s="93">
        <f>IFERROR(__xludf.DUMMYFUNCTION("$E2658 - IFERROR(FILTER($E:$E,$C:$C = $C2658, $A:$A = $A2658, $B:$B = $B2658 - 1),0)"),0.0)</f>
        <v>0</v>
      </c>
      <c r="X2658" s="91">
        <f>IFERROR(__xludf.DUMMYFUNCTION("iFERROR((FILTER('Fund Investment Data'!$Z:$Z, 'Fund Investment Data'!$C:$C = $C2658, 'Fund Investment Data'!$A:$A = $A2658 - 1, 'Fund Investment Data'!$B:$B = 12) + FILTER('Fund Investment Data'!$AB:$AB, 'Fund Investment Data'!$C:$C = $C2658, 'Fund Invest"&amp;"ment Data'!$A:$A = $A2658 - 1, 'Fund Investment Data'!$B:$B = 12)) * (1 + AVERAGE(FILTER('Inflation Data'!$C:$C,'Inflation Data'!$A:$A = ($A2658 - 2)))) * Parameters!$A$4,0)"),0.0)</f>
        <v>0</v>
      </c>
      <c r="Y2658" s="91">
        <f>IFERROR(__xludf.DUMMYFUNCTION("IFERROR((IFERROR(FILTER('Fund Investment Data'!$P:$P,'Fund Investment Data'!$C:$C = $C2658,'Fund Investment Data'!$A:$A = ($A2658 - 2), 'Fund Investment Data'!$B:$B = 12),0) - SUM(FILTER('Fund Investment Data'!$V:$V, 'Fund Investment Data'!$C:$C = $C2658,"&amp;" 'Fund Investment Data'!$A:$A = ($A2658 - 2), 'Fund Investment Data'!$B:$B &gt; 3)))  * Parameters!$B$4 * (1 - Parameters!$A$4),0)"),0.0)</f>
        <v>0</v>
      </c>
      <c r="Z2658" s="91">
        <f t="shared" si="24"/>
        <v>0</v>
      </c>
      <c r="AA2658" s="91">
        <f>IFERROR(__xludf.DUMMYFUNCTION("((IFERROR((SUM(FILTER('Fund Investment Data'!$V:$V, 'Fund Investment Data'!$C:$C = $C2658, 'Fund Investment Data'!$A:$A = $A2658 - 1, 'Fund Investment Data'!$B:$B &gt;= 4, 'Fund Investment Data'!$B:$B &lt;= ($B2658 + 5))) / 12) * ($B2658 - 3) * Parameters!$B$4,"&amp;" 0) + IF($B2658 &gt;= 9, IFERROR(SUM(FILTER('Fund Investment Data'!$V:$V, 'Fund Investment Data'!$C:$C = $C2658, 'Fund Investment Data'!$A:$A = $A2658, 'Fund Investment Data'!$B:$B &lt;= 3)) * Parameters!$B$4, 0),0)))"),0.0)</f>
        <v>0</v>
      </c>
      <c r="AB2658" s="32">
        <f>IFERROR(__xludf.DUMMYFUNCTION("IFERROR(((IFERROR(SUM(FILTER('Fund Investment Data'!$V:$V, 'Fund Investment Data'!$C:$C = $C2658, 'Fund Investment Data'!$A:$A = $A2658 - 2, 'Fund Investment Data'!$B:$B &gt;= 4)) * Parameters!$B$4,0) + IFERROR(SUM(FILTER('Fund Investment Data'!$V:$V, 'Fund "&amp;"Investment Data'!$C:$C = $C2658, 'Fund Investment Data'!$A:$A = $A2658 - 1, 'Fund Investment Data'!$B:$B &lt;= 3)) * Parameters!$B$4,0))),0)"),0.0)</f>
        <v>0</v>
      </c>
      <c r="AC2658" s="32">
        <f>IFERROR(__xludf.DUMMYFUNCTION("IFERROR(FILTER($AF:$AF,$C:$C = $C2658,$A:$A = $A2658 - 1,$B:$B = 12),0)"),0.0)</f>
        <v>0</v>
      </c>
      <c r="AD2658" s="32">
        <f t="shared" si="23"/>
        <v>0</v>
      </c>
      <c r="AE2658" s="32">
        <f t="shared" si="2"/>
        <v>0</v>
      </c>
      <c r="AF2658" s="32"/>
    </row>
    <row r="2659">
      <c r="A2659" s="86"/>
      <c r="B2659" s="87"/>
      <c r="C2659" s="88"/>
      <c r="D2659" s="104"/>
      <c r="E2659" s="104"/>
      <c r="F2659" s="104"/>
      <c r="G2659" s="104"/>
      <c r="H2659" s="104"/>
      <c r="I2659" s="104"/>
      <c r="J2659" s="104"/>
      <c r="K2659" s="32"/>
      <c r="L2659" s="32"/>
      <c r="M2659" s="32"/>
      <c r="N2659" s="32"/>
      <c r="O2659" s="106"/>
      <c r="P2659" s="91">
        <f>IFERROR(__xludf.DUMMYFUNCTION("IFERROR(sum(FILTER($D:$N,$C:$C = $C2659,$A:$A &lt; $A2659,$B:$B = 12)),0) + sum($D2659:$N2659)"),0.0)</f>
        <v>0</v>
      </c>
      <c r="Q2659" s="92">
        <f t="shared" si="1"/>
        <v>0</v>
      </c>
      <c r="R2659" s="91">
        <f t="array" ref="R2659">IFERROR(INDEX('Fund YTD Target Values'!$1:$1000, MATCH($C2659,'Fund YTD Target Values'!$A:$A,0), MATCH($A2659,'Fund YTD Target Values'!$1:$1,0)),0)</f>
        <v>0</v>
      </c>
      <c r="S2659" s="91">
        <f>IFERROR(__xludf.DUMMYFUNCTION("IFERROR(sum(FILTER('Fund Investment Data'!$V:$V, 'Fund Investment Data'!$C:$C = $C2659, 'Fund Investment Data'!$A:$A &lt; $A2659)),0) + IFERROR(sum(FILTER('Fund Investment Data'!$V:$V, 'Fund Investment Data'!$C:$C = $C2659, 'Fund Investment Data'!$A:$A = $A2"&amp;"659, 'Fund Investment Data'!$B:$B &lt;= $B2659)),0)"),0.0)</f>
        <v>0</v>
      </c>
      <c r="T2659" s="32"/>
      <c r="U2659" s="32"/>
      <c r="V2659" s="32">
        <f>IFERROR(__xludf.DUMMYFUNCTION("$D2659 - IFERROR(FILTER($D:$D,$C:$C = $C2659, $A:$A = $A2659, $B:$B = $B2659 - 1),0)"),0.0)</f>
        <v>0</v>
      </c>
      <c r="W2659" s="93">
        <f>IFERROR(__xludf.DUMMYFUNCTION("$E2659 - IFERROR(FILTER($E:$E,$C:$C = $C2659, $A:$A = $A2659, $B:$B = $B2659 - 1),0)"),0.0)</f>
        <v>0</v>
      </c>
      <c r="X2659" s="91">
        <f>IFERROR(__xludf.DUMMYFUNCTION("iFERROR((FILTER('Fund Investment Data'!$Z:$Z, 'Fund Investment Data'!$C:$C = $C2659, 'Fund Investment Data'!$A:$A = $A2659 - 1, 'Fund Investment Data'!$B:$B = 12) + FILTER('Fund Investment Data'!$AB:$AB, 'Fund Investment Data'!$C:$C = $C2659, 'Fund Invest"&amp;"ment Data'!$A:$A = $A2659 - 1, 'Fund Investment Data'!$B:$B = 12)) * (1 + AVERAGE(FILTER('Inflation Data'!$C:$C,'Inflation Data'!$A:$A = ($A2659 - 2)))) * Parameters!$A$4,0)"),0.0)</f>
        <v>0</v>
      </c>
      <c r="Y2659" s="91">
        <f>IFERROR(__xludf.DUMMYFUNCTION("IFERROR((IFERROR(FILTER('Fund Investment Data'!$P:$P,'Fund Investment Data'!$C:$C = $C2659,'Fund Investment Data'!$A:$A = ($A2659 - 2), 'Fund Investment Data'!$B:$B = 12),0) - SUM(FILTER('Fund Investment Data'!$V:$V, 'Fund Investment Data'!$C:$C = $C2659,"&amp;" 'Fund Investment Data'!$A:$A = ($A2659 - 2), 'Fund Investment Data'!$B:$B &gt; 3)))  * Parameters!$B$4 * (1 - Parameters!$A$4),0)"),0.0)</f>
        <v>0</v>
      </c>
      <c r="Z2659" s="91">
        <f t="shared" si="24"/>
        <v>0</v>
      </c>
      <c r="AA2659" s="91">
        <f>IFERROR(__xludf.DUMMYFUNCTION("((IFERROR((SUM(FILTER('Fund Investment Data'!$V:$V, 'Fund Investment Data'!$C:$C = $C2659, 'Fund Investment Data'!$A:$A = $A2659 - 1, 'Fund Investment Data'!$B:$B &gt;= 4, 'Fund Investment Data'!$B:$B &lt;= ($B2659 + 5))) / 12) * ($B2659 - 3) * Parameters!$B$4,"&amp;" 0) + IF($B2659 &gt;= 9, IFERROR(SUM(FILTER('Fund Investment Data'!$V:$V, 'Fund Investment Data'!$C:$C = $C2659, 'Fund Investment Data'!$A:$A = $A2659, 'Fund Investment Data'!$B:$B &lt;= 3)) * Parameters!$B$4, 0),0)))"),0.0)</f>
        <v>0</v>
      </c>
      <c r="AB2659" s="32">
        <f>IFERROR(__xludf.DUMMYFUNCTION("IFERROR(((IFERROR(SUM(FILTER('Fund Investment Data'!$V:$V, 'Fund Investment Data'!$C:$C = $C2659, 'Fund Investment Data'!$A:$A = $A2659 - 2, 'Fund Investment Data'!$B:$B &gt;= 4)) * Parameters!$B$4,0) + IFERROR(SUM(FILTER('Fund Investment Data'!$V:$V, 'Fund "&amp;"Investment Data'!$C:$C = $C2659, 'Fund Investment Data'!$A:$A = $A2659 - 1, 'Fund Investment Data'!$B:$B &lt;= 3)) * Parameters!$B$4,0))),0)"),0.0)</f>
        <v>0</v>
      </c>
      <c r="AC2659" s="32">
        <f>IFERROR(__xludf.DUMMYFUNCTION("IFERROR(FILTER($AF:$AF,$C:$C = $C2659,$A:$A = $A2659 - 1,$B:$B = 12),0)"),0.0)</f>
        <v>0</v>
      </c>
      <c r="AD2659" s="32">
        <f t="shared" si="23"/>
        <v>0</v>
      </c>
      <c r="AE2659" s="32">
        <f t="shared" si="2"/>
        <v>0</v>
      </c>
      <c r="AF2659" s="32"/>
    </row>
    <row r="2660">
      <c r="A2660" s="86"/>
      <c r="B2660" s="87"/>
      <c r="C2660" s="88"/>
      <c r="D2660" s="104"/>
      <c r="E2660" s="104"/>
      <c r="F2660" s="104"/>
      <c r="G2660" s="104"/>
      <c r="H2660" s="104"/>
      <c r="I2660" s="104"/>
      <c r="J2660" s="104"/>
      <c r="K2660" s="32"/>
      <c r="L2660" s="32"/>
      <c r="M2660" s="32"/>
      <c r="N2660" s="32"/>
      <c r="O2660" s="106"/>
      <c r="P2660" s="91">
        <f>IFERROR(__xludf.DUMMYFUNCTION("IFERROR(sum(FILTER($D:$N,$C:$C = $C2660,$A:$A &lt; $A2660,$B:$B = 12)),0) + sum($D2660:$N2660)"),0.0)</f>
        <v>0</v>
      </c>
      <c r="Q2660" s="92">
        <f t="shared" si="1"/>
        <v>0</v>
      </c>
      <c r="R2660" s="91">
        <f t="array" ref="R2660">IFERROR(INDEX('Fund YTD Target Values'!$1:$1000, MATCH($C2660,'Fund YTD Target Values'!$A:$A,0), MATCH($A2660,'Fund YTD Target Values'!$1:$1,0)),0)</f>
        <v>0</v>
      </c>
      <c r="S2660" s="91">
        <f>IFERROR(__xludf.DUMMYFUNCTION("IFERROR(sum(FILTER('Fund Investment Data'!$V:$V, 'Fund Investment Data'!$C:$C = $C2660, 'Fund Investment Data'!$A:$A &lt; $A2660)),0) + IFERROR(sum(FILTER('Fund Investment Data'!$V:$V, 'Fund Investment Data'!$C:$C = $C2660, 'Fund Investment Data'!$A:$A = $A2"&amp;"660, 'Fund Investment Data'!$B:$B &lt;= $B2660)),0)"),0.0)</f>
        <v>0</v>
      </c>
      <c r="T2660" s="32"/>
      <c r="U2660" s="32"/>
      <c r="V2660" s="32">
        <f>IFERROR(__xludf.DUMMYFUNCTION("$D2660 - IFERROR(FILTER($D:$D,$C:$C = $C2660, $A:$A = $A2660, $B:$B = $B2660 - 1),0)"),0.0)</f>
        <v>0</v>
      </c>
      <c r="W2660" s="93">
        <f>IFERROR(__xludf.DUMMYFUNCTION("$E2660 - IFERROR(FILTER($E:$E,$C:$C = $C2660, $A:$A = $A2660, $B:$B = $B2660 - 1),0)"),0.0)</f>
        <v>0</v>
      </c>
      <c r="X2660" s="91">
        <f>IFERROR(__xludf.DUMMYFUNCTION("iFERROR((FILTER('Fund Investment Data'!$Z:$Z, 'Fund Investment Data'!$C:$C = $C2660, 'Fund Investment Data'!$A:$A = $A2660 - 1, 'Fund Investment Data'!$B:$B = 12) + FILTER('Fund Investment Data'!$AB:$AB, 'Fund Investment Data'!$C:$C = $C2660, 'Fund Invest"&amp;"ment Data'!$A:$A = $A2660 - 1, 'Fund Investment Data'!$B:$B = 12)) * (1 + AVERAGE(FILTER('Inflation Data'!$C:$C,'Inflation Data'!$A:$A = ($A2660 - 2)))) * Parameters!$A$4,0)"),0.0)</f>
        <v>0</v>
      </c>
      <c r="Y2660" s="91">
        <f>IFERROR(__xludf.DUMMYFUNCTION("IFERROR((IFERROR(FILTER('Fund Investment Data'!$P:$P,'Fund Investment Data'!$C:$C = $C2660,'Fund Investment Data'!$A:$A = ($A2660 - 2), 'Fund Investment Data'!$B:$B = 12),0) - SUM(FILTER('Fund Investment Data'!$V:$V, 'Fund Investment Data'!$C:$C = $C2660,"&amp;" 'Fund Investment Data'!$A:$A = ($A2660 - 2), 'Fund Investment Data'!$B:$B &gt; 3)))  * Parameters!$B$4 * (1 - Parameters!$A$4),0)"),0.0)</f>
        <v>0</v>
      </c>
      <c r="Z2660" s="91">
        <f t="shared" si="24"/>
        <v>0</v>
      </c>
      <c r="AA2660" s="91">
        <f>IFERROR(__xludf.DUMMYFUNCTION("((IFERROR((SUM(FILTER('Fund Investment Data'!$V:$V, 'Fund Investment Data'!$C:$C = $C2660, 'Fund Investment Data'!$A:$A = $A2660 - 1, 'Fund Investment Data'!$B:$B &gt;= 4, 'Fund Investment Data'!$B:$B &lt;= ($B2660 + 5))) / 12) * ($B2660 - 3) * Parameters!$B$4,"&amp;" 0) + IF($B2660 &gt;= 9, IFERROR(SUM(FILTER('Fund Investment Data'!$V:$V, 'Fund Investment Data'!$C:$C = $C2660, 'Fund Investment Data'!$A:$A = $A2660, 'Fund Investment Data'!$B:$B &lt;= 3)) * Parameters!$B$4, 0),0)))"),0.0)</f>
        <v>0</v>
      </c>
      <c r="AB2660" s="32">
        <f>IFERROR(__xludf.DUMMYFUNCTION("IFERROR(((IFERROR(SUM(FILTER('Fund Investment Data'!$V:$V, 'Fund Investment Data'!$C:$C = $C2660, 'Fund Investment Data'!$A:$A = $A2660 - 2, 'Fund Investment Data'!$B:$B &gt;= 4)) * Parameters!$B$4,0) + IFERROR(SUM(FILTER('Fund Investment Data'!$V:$V, 'Fund "&amp;"Investment Data'!$C:$C = $C2660, 'Fund Investment Data'!$A:$A = $A2660 - 1, 'Fund Investment Data'!$B:$B &lt;= 3)) * Parameters!$B$4,0))),0)"),0.0)</f>
        <v>0</v>
      </c>
      <c r="AC2660" s="32">
        <f>IFERROR(__xludf.DUMMYFUNCTION("IFERROR(FILTER($AF:$AF,$C:$C = $C2660,$A:$A = $A2660 - 1,$B:$B = 12),0)"),0.0)</f>
        <v>0</v>
      </c>
      <c r="AD2660" s="32">
        <f t="shared" si="23"/>
        <v>0</v>
      </c>
      <c r="AE2660" s="32">
        <f t="shared" si="2"/>
        <v>0</v>
      </c>
      <c r="AF2660" s="32"/>
    </row>
    <row r="2661">
      <c r="A2661" s="86"/>
      <c r="B2661" s="87"/>
      <c r="C2661" s="88"/>
      <c r="D2661" s="104"/>
      <c r="E2661" s="104"/>
      <c r="F2661" s="104"/>
      <c r="G2661" s="104"/>
      <c r="H2661" s="104"/>
      <c r="I2661" s="104"/>
      <c r="J2661" s="104"/>
      <c r="K2661" s="32"/>
      <c r="L2661" s="32"/>
      <c r="M2661" s="32"/>
      <c r="N2661" s="32"/>
      <c r="O2661" s="106"/>
      <c r="P2661" s="91">
        <f>IFERROR(__xludf.DUMMYFUNCTION("IFERROR(sum(FILTER($D:$N,$C:$C = $C2661,$A:$A &lt; $A2661,$B:$B = 12)),0) + sum($D2661:$N2661)"),0.0)</f>
        <v>0</v>
      </c>
      <c r="Q2661" s="92">
        <f t="shared" si="1"/>
        <v>0</v>
      </c>
      <c r="R2661" s="91">
        <f t="array" ref="R2661">IFERROR(INDEX('Fund YTD Target Values'!$1:$1000, MATCH($C2661,'Fund YTD Target Values'!$A:$A,0), MATCH($A2661,'Fund YTD Target Values'!$1:$1,0)),0)</f>
        <v>0</v>
      </c>
      <c r="S2661" s="91">
        <f>IFERROR(__xludf.DUMMYFUNCTION("IFERROR(sum(FILTER('Fund Investment Data'!$V:$V, 'Fund Investment Data'!$C:$C = $C2661, 'Fund Investment Data'!$A:$A &lt; $A2661)),0) + IFERROR(sum(FILTER('Fund Investment Data'!$V:$V, 'Fund Investment Data'!$C:$C = $C2661, 'Fund Investment Data'!$A:$A = $A2"&amp;"661, 'Fund Investment Data'!$B:$B &lt;= $B2661)),0)"),0.0)</f>
        <v>0</v>
      </c>
      <c r="T2661" s="32"/>
      <c r="U2661" s="32"/>
      <c r="V2661" s="32">
        <f>IFERROR(__xludf.DUMMYFUNCTION("$D2661 - IFERROR(FILTER($D:$D,$C:$C = $C2661, $A:$A = $A2661, $B:$B = $B2661 - 1),0)"),0.0)</f>
        <v>0</v>
      </c>
      <c r="W2661" s="93">
        <f>IFERROR(__xludf.DUMMYFUNCTION("$E2661 - IFERROR(FILTER($E:$E,$C:$C = $C2661, $A:$A = $A2661, $B:$B = $B2661 - 1),0)"),0.0)</f>
        <v>0</v>
      </c>
      <c r="X2661" s="91">
        <f>IFERROR(__xludf.DUMMYFUNCTION("iFERROR((FILTER('Fund Investment Data'!$Z:$Z, 'Fund Investment Data'!$C:$C = $C2661, 'Fund Investment Data'!$A:$A = $A2661 - 1, 'Fund Investment Data'!$B:$B = 12) + FILTER('Fund Investment Data'!$AB:$AB, 'Fund Investment Data'!$C:$C = $C2661, 'Fund Invest"&amp;"ment Data'!$A:$A = $A2661 - 1, 'Fund Investment Data'!$B:$B = 12)) * (1 + AVERAGE(FILTER('Inflation Data'!$C:$C,'Inflation Data'!$A:$A = ($A2661 - 2)))) * Parameters!$A$4,0)"),0.0)</f>
        <v>0</v>
      </c>
      <c r="Y2661" s="91">
        <f>IFERROR(__xludf.DUMMYFUNCTION("IFERROR((IFERROR(FILTER('Fund Investment Data'!$P:$P,'Fund Investment Data'!$C:$C = $C2661,'Fund Investment Data'!$A:$A = ($A2661 - 2), 'Fund Investment Data'!$B:$B = 12),0) - SUM(FILTER('Fund Investment Data'!$V:$V, 'Fund Investment Data'!$C:$C = $C2661,"&amp;" 'Fund Investment Data'!$A:$A = ($A2661 - 2), 'Fund Investment Data'!$B:$B &gt; 3)))  * Parameters!$B$4 * (1 - Parameters!$A$4),0)"),0.0)</f>
        <v>0</v>
      </c>
      <c r="Z2661" s="91">
        <f t="shared" si="24"/>
        <v>0</v>
      </c>
      <c r="AA2661" s="91">
        <f>IFERROR(__xludf.DUMMYFUNCTION("((IFERROR((SUM(FILTER('Fund Investment Data'!$V:$V, 'Fund Investment Data'!$C:$C = $C2661, 'Fund Investment Data'!$A:$A = $A2661 - 1, 'Fund Investment Data'!$B:$B &gt;= 4, 'Fund Investment Data'!$B:$B &lt;= ($B2661 + 5))) / 12) * ($B2661 - 3) * Parameters!$B$4,"&amp;" 0) + IF($B2661 &gt;= 9, IFERROR(SUM(FILTER('Fund Investment Data'!$V:$V, 'Fund Investment Data'!$C:$C = $C2661, 'Fund Investment Data'!$A:$A = $A2661, 'Fund Investment Data'!$B:$B &lt;= 3)) * Parameters!$B$4, 0),0)))"),0.0)</f>
        <v>0</v>
      </c>
      <c r="AB2661" s="32">
        <f>IFERROR(__xludf.DUMMYFUNCTION("IFERROR(((IFERROR(SUM(FILTER('Fund Investment Data'!$V:$V, 'Fund Investment Data'!$C:$C = $C2661, 'Fund Investment Data'!$A:$A = $A2661 - 2, 'Fund Investment Data'!$B:$B &gt;= 4)) * Parameters!$B$4,0) + IFERROR(SUM(FILTER('Fund Investment Data'!$V:$V, 'Fund "&amp;"Investment Data'!$C:$C = $C2661, 'Fund Investment Data'!$A:$A = $A2661 - 1, 'Fund Investment Data'!$B:$B &lt;= 3)) * Parameters!$B$4,0))),0)"),0.0)</f>
        <v>0</v>
      </c>
      <c r="AC2661" s="32">
        <f>IFERROR(__xludf.DUMMYFUNCTION("IFERROR(FILTER($AF:$AF,$C:$C = $C2661,$A:$A = $A2661 - 1,$B:$B = 12),0)"),0.0)</f>
        <v>0</v>
      </c>
      <c r="AD2661" s="32">
        <f t="shared" si="23"/>
        <v>0</v>
      </c>
      <c r="AE2661" s="32">
        <f t="shared" si="2"/>
        <v>0</v>
      </c>
      <c r="AF2661" s="32"/>
    </row>
    <row r="2662">
      <c r="A2662" s="86"/>
      <c r="B2662" s="87"/>
      <c r="C2662" s="88"/>
      <c r="D2662" s="104"/>
      <c r="E2662" s="104"/>
      <c r="F2662" s="104"/>
      <c r="G2662" s="104"/>
      <c r="H2662" s="104"/>
      <c r="I2662" s="104"/>
      <c r="J2662" s="104"/>
      <c r="K2662" s="32"/>
      <c r="L2662" s="32"/>
      <c r="M2662" s="32"/>
      <c r="N2662" s="32"/>
      <c r="O2662" s="106"/>
      <c r="P2662" s="91">
        <f>IFERROR(__xludf.DUMMYFUNCTION("IFERROR(sum(FILTER($D:$N,$C:$C = $C2662,$A:$A &lt; $A2662,$B:$B = 12)),0) + sum($D2662:$N2662)"),0.0)</f>
        <v>0</v>
      </c>
      <c r="Q2662" s="92">
        <f t="shared" si="1"/>
        <v>0</v>
      </c>
      <c r="R2662" s="91">
        <f t="array" ref="R2662">IFERROR(INDEX('Fund YTD Target Values'!$1:$1000, MATCH($C2662,'Fund YTD Target Values'!$A:$A,0), MATCH($A2662,'Fund YTD Target Values'!$1:$1,0)),0)</f>
        <v>0</v>
      </c>
      <c r="S2662" s="91">
        <f>IFERROR(__xludf.DUMMYFUNCTION("IFERROR(sum(FILTER('Fund Investment Data'!$V:$V, 'Fund Investment Data'!$C:$C = $C2662, 'Fund Investment Data'!$A:$A &lt; $A2662)),0) + IFERROR(sum(FILTER('Fund Investment Data'!$V:$V, 'Fund Investment Data'!$C:$C = $C2662, 'Fund Investment Data'!$A:$A = $A2"&amp;"662, 'Fund Investment Data'!$B:$B &lt;= $B2662)),0)"),0.0)</f>
        <v>0</v>
      </c>
      <c r="T2662" s="32"/>
      <c r="U2662" s="32"/>
      <c r="V2662" s="32">
        <f>IFERROR(__xludf.DUMMYFUNCTION("$D2662 - IFERROR(FILTER($D:$D,$C:$C = $C2662, $A:$A = $A2662, $B:$B = $B2662 - 1),0)"),0.0)</f>
        <v>0</v>
      </c>
      <c r="W2662" s="93">
        <f>IFERROR(__xludf.DUMMYFUNCTION("$E2662 - IFERROR(FILTER($E:$E,$C:$C = $C2662, $A:$A = $A2662, $B:$B = $B2662 - 1),0)"),0.0)</f>
        <v>0</v>
      </c>
      <c r="X2662" s="91">
        <f>IFERROR(__xludf.DUMMYFUNCTION("iFERROR((FILTER('Fund Investment Data'!$Z:$Z, 'Fund Investment Data'!$C:$C = $C2662, 'Fund Investment Data'!$A:$A = $A2662 - 1, 'Fund Investment Data'!$B:$B = 12) + FILTER('Fund Investment Data'!$AB:$AB, 'Fund Investment Data'!$C:$C = $C2662, 'Fund Invest"&amp;"ment Data'!$A:$A = $A2662 - 1, 'Fund Investment Data'!$B:$B = 12)) * (1 + AVERAGE(FILTER('Inflation Data'!$C:$C,'Inflation Data'!$A:$A = ($A2662 - 2)))) * Parameters!$A$4,0)"),0.0)</f>
        <v>0</v>
      </c>
      <c r="Y2662" s="91">
        <f>IFERROR(__xludf.DUMMYFUNCTION("IFERROR((IFERROR(FILTER('Fund Investment Data'!$P:$P,'Fund Investment Data'!$C:$C = $C2662,'Fund Investment Data'!$A:$A = ($A2662 - 2), 'Fund Investment Data'!$B:$B = 12),0) - SUM(FILTER('Fund Investment Data'!$V:$V, 'Fund Investment Data'!$C:$C = $C2662,"&amp;" 'Fund Investment Data'!$A:$A = ($A2662 - 2), 'Fund Investment Data'!$B:$B &gt; 3)))  * Parameters!$B$4 * (1 - Parameters!$A$4),0)"),0.0)</f>
        <v>0</v>
      </c>
      <c r="Z2662" s="91">
        <f t="shared" si="24"/>
        <v>0</v>
      </c>
      <c r="AA2662" s="91">
        <f>IFERROR(__xludf.DUMMYFUNCTION("((IFERROR((SUM(FILTER('Fund Investment Data'!$V:$V, 'Fund Investment Data'!$C:$C = $C2662, 'Fund Investment Data'!$A:$A = $A2662 - 1, 'Fund Investment Data'!$B:$B &gt;= 4, 'Fund Investment Data'!$B:$B &lt;= ($B2662 + 5))) / 12) * ($B2662 - 3) * Parameters!$B$4,"&amp;" 0) + IF($B2662 &gt;= 9, IFERROR(SUM(FILTER('Fund Investment Data'!$V:$V, 'Fund Investment Data'!$C:$C = $C2662, 'Fund Investment Data'!$A:$A = $A2662, 'Fund Investment Data'!$B:$B &lt;= 3)) * Parameters!$B$4, 0),0)))"),0.0)</f>
        <v>0</v>
      </c>
      <c r="AB2662" s="32">
        <f>IFERROR(__xludf.DUMMYFUNCTION("IFERROR(((IFERROR(SUM(FILTER('Fund Investment Data'!$V:$V, 'Fund Investment Data'!$C:$C = $C2662, 'Fund Investment Data'!$A:$A = $A2662 - 2, 'Fund Investment Data'!$B:$B &gt;= 4)) * Parameters!$B$4,0) + IFERROR(SUM(FILTER('Fund Investment Data'!$V:$V, 'Fund "&amp;"Investment Data'!$C:$C = $C2662, 'Fund Investment Data'!$A:$A = $A2662 - 1, 'Fund Investment Data'!$B:$B &lt;= 3)) * Parameters!$B$4,0))),0)"),0.0)</f>
        <v>0</v>
      </c>
      <c r="AC2662" s="32">
        <f>IFERROR(__xludf.DUMMYFUNCTION("IFERROR(FILTER($AF:$AF,$C:$C = $C2662,$A:$A = $A2662 - 1,$B:$B = 12),0)"),0.0)</f>
        <v>0</v>
      </c>
      <c r="AD2662" s="32">
        <f t="shared" si="23"/>
        <v>0</v>
      </c>
      <c r="AE2662" s="32">
        <f t="shared" si="2"/>
        <v>0</v>
      </c>
      <c r="AF2662" s="32"/>
    </row>
    <row r="2663">
      <c r="A2663" s="86"/>
      <c r="B2663" s="87"/>
      <c r="C2663" s="88"/>
      <c r="D2663" s="104"/>
      <c r="E2663" s="104"/>
      <c r="F2663" s="104"/>
      <c r="G2663" s="104"/>
      <c r="H2663" s="104"/>
      <c r="I2663" s="104"/>
      <c r="J2663" s="104"/>
      <c r="K2663" s="32"/>
      <c r="L2663" s="32"/>
      <c r="M2663" s="32"/>
      <c r="N2663" s="32"/>
      <c r="O2663" s="106"/>
      <c r="P2663" s="91">
        <f>IFERROR(__xludf.DUMMYFUNCTION("IFERROR(sum(FILTER($D:$N,$C:$C = $C2663,$A:$A &lt; $A2663,$B:$B = 12)),0) + sum($D2663:$N2663)"),0.0)</f>
        <v>0</v>
      </c>
      <c r="Q2663" s="92">
        <f t="shared" si="1"/>
        <v>0</v>
      </c>
      <c r="R2663" s="91">
        <f t="array" ref="R2663">IFERROR(INDEX('Fund YTD Target Values'!$1:$1000, MATCH($C2663,'Fund YTD Target Values'!$A:$A,0), MATCH($A2663,'Fund YTD Target Values'!$1:$1,0)),0)</f>
        <v>0</v>
      </c>
      <c r="S2663" s="91">
        <f>IFERROR(__xludf.DUMMYFUNCTION("IFERROR(sum(FILTER('Fund Investment Data'!$V:$V, 'Fund Investment Data'!$C:$C = $C2663, 'Fund Investment Data'!$A:$A &lt; $A2663)),0) + IFERROR(sum(FILTER('Fund Investment Data'!$V:$V, 'Fund Investment Data'!$C:$C = $C2663, 'Fund Investment Data'!$A:$A = $A2"&amp;"663, 'Fund Investment Data'!$B:$B &lt;= $B2663)),0)"),0.0)</f>
        <v>0</v>
      </c>
      <c r="T2663" s="32"/>
      <c r="U2663" s="32"/>
      <c r="V2663" s="32">
        <f>IFERROR(__xludf.DUMMYFUNCTION("$D2663 - IFERROR(FILTER($D:$D,$C:$C = $C2663, $A:$A = $A2663, $B:$B = $B2663 - 1),0)"),0.0)</f>
        <v>0</v>
      </c>
      <c r="W2663" s="93">
        <f>IFERROR(__xludf.DUMMYFUNCTION("$E2663 - IFERROR(FILTER($E:$E,$C:$C = $C2663, $A:$A = $A2663, $B:$B = $B2663 - 1),0)"),0.0)</f>
        <v>0</v>
      </c>
      <c r="X2663" s="91">
        <f>IFERROR(__xludf.DUMMYFUNCTION("iFERROR((FILTER('Fund Investment Data'!$Z:$Z, 'Fund Investment Data'!$C:$C = $C2663, 'Fund Investment Data'!$A:$A = $A2663 - 1, 'Fund Investment Data'!$B:$B = 12) + FILTER('Fund Investment Data'!$AB:$AB, 'Fund Investment Data'!$C:$C = $C2663, 'Fund Invest"&amp;"ment Data'!$A:$A = $A2663 - 1, 'Fund Investment Data'!$B:$B = 12)) * (1 + AVERAGE(FILTER('Inflation Data'!$C:$C,'Inflation Data'!$A:$A = ($A2663 - 2)))) * Parameters!$A$4,0)"),0.0)</f>
        <v>0</v>
      </c>
      <c r="Y2663" s="91">
        <f>IFERROR(__xludf.DUMMYFUNCTION("IFERROR((IFERROR(FILTER('Fund Investment Data'!$P:$P,'Fund Investment Data'!$C:$C = $C2663,'Fund Investment Data'!$A:$A = ($A2663 - 2), 'Fund Investment Data'!$B:$B = 12),0) - SUM(FILTER('Fund Investment Data'!$V:$V, 'Fund Investment Data'!$C:$C = $C2663,"&amp;" 'Fund Investment Data'!$A:$A = ($A2663 - 2), 'Fund Investment Data'!$B:$B &gt; 3)))  * Parameters!$B$4 * (1 - Parameters!$A$4),0)"),0.0)</f>
        <v>0</v>
      </c>
      <c r="Z2663" s="91">
        <f t="shared" si="24"/>
        <v>0</v>
      </c>
      <c r="AA2663" s="91">
        <f>IFERROR(__xludf.DUMMYFUNCTION("((IFERROR((SUM(FILTER('Fund Investment Data'!$V:$V, 'Fund Investment Data'!$C:$C = $C2663, 'Fund Investment Data'!$A:$A = $A2663 - 1, 'Fund Investment Data'!$B:$B &gt;= 4, 'Fund Investment Data'!$B:$B &lt;= ($B2663 + 5))) / 12) * ($B2663 - 3) * Parameters!$B$4,"&amp;" 0) + IF($B2663 &gt;= 9, IFERROR(SUM(FILTER('Fund Investment Data'!$V:$V, 'Fund Investment Data'!$C:$C = $C2663, 'Fund Investment Data'!$A:$A = $A2663, 'Fund Investment Data'!$B:$B &lt;= 3)) * Parameters!$B$4, 0),0)))"),0.0)</f>
        <v>0</v>
      </c>
      <c r="AB2663" s="32">
        <f>IFERROR(__xludf.DUMMYFUNCTION("IFERROR(((IFERROR(SUM(FILTER('Fund Investment Data'!$V:$V, 'Fund Investment Data'!$C:$C = $C2663, 'Fund Investment Data'!$A:$A = $A2663 - 2, 'Fund Investment Data'!$B:$B &gt;= 4)) * Parameters!$B$4,0) + IFERROR(SUM(FILTER('Fund Investment Data'!$V:$V, 'Fund "&amp;"Investment Data'!$C:$C = $C2663, 'Fund Investment Data'!$A:$A = $A2663 - 1, 'Fund Investment Data'!$B:$B &lt;= 3)) * Parameters!$B$4,0))),0)"),0.0)</f>
        <v>0</v>
      </c>
      <c r="AC2663" s="32">
        <f>IFERROR(__xludf.DUMMYFUNCTION("IFERROR(FILTER($AF:$AF,$C:$C = $C2663,$A:$A = $A2663 - 1,$B:$B = 12),0)"),0.0)</f>
        <v>0</v>
      </c>
      <c r="AD2663" s="32">
        <f t="shared" si="23"/>
        <v>0</v>
      </c>
      <c r="AE2663" s="32">
        <f t="shared" si="2"/>
        <v>0</v>
      </c>
      <c r="AF2663" s="32"/>
    </row>
    <row r="2664">
      <c r="A2664" s="86"/>
      <c r="B2664" s="87"/>
      <c r="C2664" s="88"/>
      <c r="D2664" s="104"/>
      <c r="E2664" s="104"/>
      <c r="F2664" s="104"/>
      <c r="G2664" s="104"/>
      <c r="H2664" s="104"/>
      <c r="I2664" s="104"/>
      <c r="J2664" s="104"/>
      <c r="K2664" s="32"/>
      <c r="L2664" s="32"/>
      <c r="M2664" s="32"/>
      <c r="N2664" s="32"/>
      <c r="O2664" s="106"/>
      <c r="P2664" s="91">
        <f>IFERROR(__xludf.DUMMYFUNCTION("IFERROR(sum(FILTER($D:$N,$C:$C = $C2664,$A:$A &lt; $A2664,$B:$B = 12)),0) + sum($D2664:$N2664)"),0.0)</f>
        <v>0</v>
      </c>
      <c r="Q2664" s="92">
        <f t="shared" si="1"/>
        <v>0</v>
      </c>
      <c r="R2664" s="91">
        <f t="array" ref="R2664">IFERROR(INDEX('Fund YTD Target Values'!$1:$1000, MATCH($C2664,'Fund YTD Target Values'!$A:$A,0), MATCH($A2664,'Fund YTD Target Values'!$1:$1,0)),0)</f>
        <v>0</v>
      </c>
      <c r="S2664" s="91">
        <f>IFERROR(__xludf.DUMMYFUNCTION("IFERROR(sum(FILTER('Fund Investment Data'!$V:$V, 'Fund Investment Data'!$C:$C = $C2664, 'Fund Investment Data'!$A:$A &lt; $A2664)),0) + IFERROR(sum(FILTER('Fund Investment Data'!$V:$V, 'Fund Investment Data'!$C:$C = $C2664, 'Fund Investment Data'!$A:$A = $A2"&amp;"664, 'Fund Investment Data'!$B:$B &lt;= $B2664)),0)"),0.0)</f>
        <v>0</v>
      </c>
      <c r="T2664" s="32"/>
      <c r="U2664" s="32"/>
      <c r="V2664" s="32">
        <f>IFERROR(__xludf.DUMMYFUNCTION("$D2664 - IFERROR(FILTER($D:$D,$C:$C = $C2664, $A:$A = $A2664, $B:$B = $B2664 - 1),0)"),0.0)</f>
        <v>0</v>
      </c>
      <c r="W2664" s="93">
        <f>IFERROR(__xludf.DUMMYFUNCTION("$E2664 - IFERROR(FILTER($E:$E,$C:$C = $C2664, $A:$A = $A2664, $B:$B = $B2664 - 1),0)"),0.0)</f>
        <v>0</v>
      </c>
      <c r="X2664" s="91">
        <f>IFERROR(__xludf.DUMMYFUNCTION("iFERROR((FILTER('Fund Investment Data'!$Z:$Z, 'Fund Investment Data'!$C:$C = $C2664, 'Fund Investment Data'!$A:$A = $A2664 - 1, 'Fund Investment Data'!$B:$B = 12) + FILTER('Fund Investment Data'!$AB:$AB, 'Fund Investment Data'!$C:$C = $C2664, 'Fund Invest"&amp;"ment Data'!$A:$A = $A2664 - 1, 'Fund Investment Data'!$B:$B = 12)) * (1 + AVERAGE(FILTER('Inflation Data'!$C:$C,'Inflation Data'!$A:$A = ($A2664 - 2)))) * Parameters!$A$4,0)"),0.0)</f>
        <v>0</v>
      </c>
      <c r="Y2664" s="91">
        <f>IFERROR(__xludf.DUMMYFUNCTION("IFERROR((IFERROR(FILTER('Fund Investment Data'!$P:$P,'Fund Investment Data'!$C:$C = $C2664,'Fund Investment Data'!$A:$A = ($A2664 - 2), 'Fund Investment Data'!$B:$B = 12),0) - SUM(FILTER('Fund Investment Data'!$V:$V, 'Fund Investment Data'!$C:$C = $C2664,"&amp;" 'Fund Investment Data'!$A:$A = ($A2664 - 2), 'Fund Investment Data'!$B:$B &gt; 3)))  * Parameters!$B$4 * (1 - Parameters!$A$4),0)"),0.0)</f>
        <v>0</v>
      </c>
      <c r="Z2664" s="91">
        <f t="shared" si="24"/>
        <v>0</v>
      </c>
      <c r="AA2664" s="91">
        <f>IFERROR(__xludf.DUMMYFUNCTION("((IFERROR((SUM(FILTER('Fund Investment Data'!$V:$V, 'Fund Investment Data'!$C:$C = $C2664, 'Fund Investment Data'!$A:$A = $A2664 - 1, 'Fund Investment Data'!$B:$B &gt;= 4, 'Fund Investment Data'!$B:$B &lt;= ($B2664 + 5))) / 12) * ($B2664 - 3) * Parameters!$B$4,"&amp;" 0) + IF($B2664 &gt;= 9, IFERROR(SUM(FILTER('Fund Investment Data'!$V:$V, 'Fund Investment Data'!$C:$C = $C2664, 'Fund Investment Data'!$A:$A = $A2664, 'Fund Investment Data'!$B:$B &lt;= 3)) * Parameters!$B$4, 0),0)))"),0.0)</f>
        <v>0</v>
      </c>
      <c r="AB2664" s="32">
        <f>IFERROR(__xludf.DUMMYFUNCTION("IFERROR(((IFERROR(SUM(FILTER('Fund Investment Data'!$V:$V, 'Fund Investment Data'!$C:$C = $C2664, 'Fund Investment Data'!$A:$A = $A2664 - 2, 'Fund Investment Data'!$B:$B &gt;= 4)) * Parameters!$B$4,0) + IFERROR(SUM(FILTER('Fund Investment Data'!$V:$V, 'Fund "&amp;"Investment Data'!$C:$C = $C2664, 'Fund Investment Data'!$A:$A = $A2664 - 1, 'Fund Investment Data'!$B:$B &lt;= 3)) * Parameters!$B$4,0))),0)"),0.0)</f>
        <v>0</v>
      </c>
      <c r="AC2664" s="32">
        <f>IFERROR(__xludf.DUMMYFUNCTION("IFERROR(FILTER($AF:$AF,$C:$C = $C2664,$A:$A = $A2664 - 1,$B:$B = 12),0)"),0.0)</f>
        <v>0</v>
      </c>
      <c r="AD2664" s="32">
        <f t="shared" si="23"/>
        <v>0</v>
      </c>
      <c r="AE2664" s="32">
        <f t="shared" si="2"/>
        <v>0</v>
      </c>
      <c r="AF2664" s="32"/>
    </row>
    <row r="2665">
      <c r="A2665" s="86"/>
      <c r="B2665" s="87"/>
      <c r="C2665" s="88"/>
      <c r="D2665" s="104"/>
      <c r="E2665" s="104"/>
      <c r="F2665" s="104"/>
      <c r="G2665" s="104"/>
      <c r="H2665" s="104"/>
      <c r="I2665" s="104"/>
      <c r="J2665" s="104"/>
      <c r="K2665" s="32"/>
      <c r="L2665" s="32"/>
      <c r="M2665" s="32"/>
      <c r="N2665" s="32"/>
      <c r="O2665" s="106"/>
      <c r="P2665" s="91">
        <f>IFERROR(__xludf.DUMMYFUNCTION("IFERROR(sum(FILTER($D:$N,$C:$C = $C2665,$A:$A &lt; $A2665,$B:$B = 12)),0) + sum($D2665:$N2665)"),0.0)</f>
        <v>0</v>
      </c>
      <c r="Q2665" s="92">
        <f t="shared" si="1"/>
        <v>0</v>
      </c>
      <c r="R2665" s="91">
        <f t="array" ref="R2665">IFERROR(INDEX('Fund YTD Target Values'!$1:$1000, MATCH($C2665,'Fund YTD Target Values'!$A:$A,0), MATCH($A2665,'Fund YTD Target Values'!$1:$1,0)),0)</f>
        <v>0</v>
      </c>
      <c r="S2665" s="91">
        <f>IFERROR(__xludf.DUMMYFUNCTION("IFERROR(sum(FILTER('Fund Investment Data'!$V:$V, 'Fund Investment Data'!$C:$C = $C2665, 'Fund Investment Data'!$A:$A &lt; $A2665)),0) + IFERROR(sum(FILTER('Fund Investment Data'!$V:$V, 'Fund Investment Data'!$C:$C = $C2665, 'Fund Investment Data'!$A:$A = $A2"&amp;"665, 'Fund Investment Data'!$B:$B &lt;= $B2665)),0)"),0.0)</f>
        <v>0</v>
      </c>
      <c r="T2665" s="32"/>
      <c r="U2665" s="32"/>
      <c r="V2665" s="32">
        <f>IFERROR(__xludf.DUMMYFUNCTION("$D2665 - IFERROR(FILTER($D:$D,$C:$C = $C2665, $A:$A = $A2665, $B:$B = $B2665 - 1),0)"),0.0)</f>
        <v>0</v>
      </c>
      <c r="W2665" s="93">
        <f>IFERROR(__xludf.DUMMYFUNCTION("$E2665 - IFERROR(FILTER($E:$E,$C:$C = $C2665, $A:$A = $A2665, $B:$B = $B2665 - 1),0)"),0.0)</f>
        <v>0</v>
      </c>
      <c r="X2665" s="91">
        <f>IFERROR(__xludf.DUMMYFUNCTION("iFERROR((FILTER('Fund Investment Data'!$Z:$Z, 'Fund Investment Data'!$C:$C = $C2665, 'Fund Investment Data'!$A:$A = $A2665 - 1, 'Fund Investment Data'!$B:$B = 12) + FILTER('Fund Investment Data'!$AB:$AB, 'Fund Investment Data'!$C:$C = $C2665, 'Fund Invest"&amp;"ment Data'!$A:$A = $A2665 - 1, 'Fund Investment Data'!$B:$B = 12)) * (1 + AVERAGE(FILTER('Inflation Data'!$C:$C,'Inflation Data'!$A:$A = ($A2665 - 2)))) * Parameters!$A$4,0)"),0.0)</f>
        <v>0</v>
      </c>
      <c r="Y2665" s="91">
        <f>IFERROR(__xludf.DUMMYFUNCTION("IFERROR((IFERROR(FILTER('Fund Investment Data'!$P:$P,'Fund Investment Data'!$C:$C = $C2665,'Fund Investment Data'!$A:$A = ($A2665 - 2), 'Fund Investment Data'!$B:$B = 12),0) - SUM(FILTER('Fund Investment Data'!$V:$V, 'Fund Investment Data'!$C:$C = $C2665,"&amp;" 'Fund Investment Data'!$A:$A = ($A2665 - 2), 'Fund Investment Data'!$B:$B &gt; 3)))  * Parameters!$B$4 * (1 - Parameters!$A$4),0)"),0.0)</f>
        <v>0</v>
      </c>
      <c r="Z2665" s="91">
        <f t="shared" si="24"/>
        <v>0</v>
      </c>
      <c r="AA2665" s="91">
        <f>IFERROR(__xludf.DUMMYFUNCTION("((IFERROR((SUM(FILTER('Fund Investment Data'!$V:$V, 'Fund Investment Data'!$C:$C = $C2665, 'Fund Investment Data'!$A:$A = $A2665 - 1, 'Fund Investment Data'!$B:$B &gt;= 4, 'Fund Investment Data'!$B:$B &lt;= ($B2665 + 5))) / 12) * ($B2665 - 3) * Parameters!$B$4,"&amp;" 0) + IF($B2665 &gt;= 9, IFERROR(SUM(FILTER('Fund Investment Data'!$V:$V, 'Fund Investment Data'!$C:$C = $C2665, 'Fund Investment Data'!$A:$A = $A2665, 'Fund Investment Data'!$B:$B &lt;= 3)) * Parameters!$B$4, 0),0)))"),0.0)</f>
        <v>0</v>
      </c>
      <c r="AB2665" s="32">
        <f>IFERROR(__xludf.DUMMYFUNCTION("IFERROR(((IFERROR(SUM(FILTER('Fund Investment Data'!$V:$V, 'Fund Investment Data'!$C:$C = $C2665, 'Fund Investment Data'!$A:$A = $A2665 - 2, 'Fund Investment Data'!$B:$B &gt;= 4)) * Parameters!$B$4,0) + IFERROR(SUM(FILTER('Fund Investment Data'!$V:$V, 'Fund "&amp;"Investment Data'!$C:$C = $C2665, 'Fund Investment Data'!$A:$A = $A2665 - 1, 'Fund Investment Data'!$B:$B &lt;= 3)) * Parameters!$B$4,0))),0)"),0.0)</f>
        <v>0</v>
      </c>
      <c r="AC2665" s="32">
        <f>IFERROR(__xludf.DUMMYFUNCTION("IFERROR(FILTER($AF:$AF,$C:$C = $C2665,$A:$A = $A2665 - 1,$B:$B = 12),0)"),0.0)</f>
        <v>0</v>
      </c>
      <c r="AD2665" s="32">
        <f t="shared" si="23"/>
        <v>0</v>
      </c>
      <c r="AE2665" s="32">
        <f t="shared" si="2"/>
        <v>0</v>
      </c>
      <c r="AF2665" s="32"/>
    </row>
    <row r="2666">
      <c r="A2666" s="86"/>
      <c r="B2666" s="87"/>
      <c r="C2666" s="88"/>
      <c r="D2666" s="104"/>
      <c r="E2666" s="104"/>
      <c r="F2666" s="104"/>
      <c r="G2666" s="104"/>
      <c r="H2666" s="104"/>
      <c r="I2666" s="104"/>
      <c r="J2666" s="104"/>
      <c r="K2666" s="32"/>
      <c r="L2666" s="32"/>
      <c r="M2666" s="32"/>
      <c r="N2666" s="32"/>
      <c r="O2666" s="106"/>
      <c r="P2666" s="91">
        <f>IFERROR(__xludf.DUMMYFUNCTION("IFERROR(sum(FILTER($D:$N,$C:$C = $C2666,$A:$A &lt; $A2666,$B:$B = 12)),0) + sum($D2666:$N2666)"),0.0)</f>
        <v>0</v>
      </c>
      <c r="Q2666" s="92">
        <f t="shared" si="1"/>
        <v>0</v>
      </c>
      <c r="R2666" s="91">
        <f t="array" ref="R2666">IFERROR(INDEX('Fund YTD Target Values'!$1:$1000, MATCH($C2666,'Fund YTD Target Values'!$A:$A,0), MATCH($A2666,'Fund YTD Target Values'!$1:$1,0)),0)</f>
        <v>0</v>
      </c>
      <c r="S2666" s="91">
        <f>IFERROR(__xludf.DUMMYFUNCTION("IFERROR(sum(FILTER('Fund Investment Data'!$V:$V, 'Fund Investment Data'!$C:$C = $C2666, 'Fund Investment Data'!$A:$A &lt; $A2666)),0) + IFERROR(sum(FILTER('Fund Investment Data'!$V:$V, 'Fund Investment Data'!$C:$C = $C2666, 'Fund Investment Data'!$A:$A = $A2"&amp;"666, 'Fund Investment Data'!$B:$B &lt;= $B2666)),0)"),0.0)</f>
        <v>0</v>
      </c>
      <c r="T2666" s="32"/>
      <c r="U2666" s="32"/>
      <c r="V2666" s="32">
        <f>IFERROR(__xludf.DUMMYFUNCTION("$D2666 - IFERROR(FILTER($D:$D,$C:$C = $C2666, $A:$A = $A2666, $B:$B = $B2666 - 1),0)"),0.0)</f>
        <v>0</v>
      </c>
      <c r="W2666" s="93">
        <f>IFERROR(__xludf.DUMMYFUNCTION("$E2666 - IFERROR(FILTER($E:$E,$C:$C = $C2666, $A:$A = $A2666, $B:$B = $B2666 - 1),0)"),0.0)</f>
        <v>0</v>
      </c>
      <c r="X2666" s="91">
        <f>IFERROR(__xludf.DUMMYFUNCTION("iFERROR((FILTER('Fund Investment Data'!$Z:$Z, 'Fund Investment Data'!$C:$C = $C2666, 'Fund Investment Data'!$A:$A = $A2666 - 1, 'Fund Investment Data'!$B:$B = 12) + FILTER('Fund Investment Data'!$AB:$AB, 'Fund Investment Data'!$C:$C = $C2666, 'Fund Invest"&amp;"ment Data'!$A:$A = $A2666 - 1, 'Fund Investment Data'!$B:$B = 12)) * (1 + AVERAGE(FILTER('Inflation Data'!$C:$C,'Inflation Data'!$A:$A = ($A2666 - 2)))) * Parameters!$A$4,0)"),0.0)</f>
        <v>0</v>
      </c>
      <c r="Y2666" s="91">
        <f>IFERROR(__xludf.DUMMYFUNCTION("IFERROR((IFERROR(FILTER('Fund Investment Data'!$P:$P,'Fund Investment Data'!$C:$C = $C2666,'Fund Investment Data'!$A:$A = ($A2666 - 2), 'Fund Investment Data'!$B:$B = 12),0) - SUM(FILTER('Fund Investment Data'!$V:$V, 'Fund Investment Data'!$C:$C = $C2666,"&amp;" 'Fund Investment Data'!$A:$A = ($A2666 - 2), 'Fund Investment Data'!$B:$B &gt; 3)))  * Parameters!$B$4 * (1 - Parameters!$A$4),0)"),0.0)</f>
        <v>0</v>
      </c>
      <c r="Z2666" s="91">
        <f t="shared" si="24"/>
        <v>0</v>
      </c>
      <c r="AA2666" s="91">
        <f>IFERROR(__xludf.DUMMYFUNCTION("((IFERROR((SUM(FILTER('Fund Investment Data'!$V:$V, 'Fund Investment Data'!$C:$C = $C2666, 'Fund Investment Data'!$A:$A = $A2666 - 1, 'Fund Investment Data'!$B:$B &gt;= 4, 'Fund Investment Data'!$B:$B &lt;= ($B2666 + 5))) / 12) * ($B2666 - 3) * Parameters!$B$4,"&amp;" 0) + IF($B2666 &gt;= 9, IFERROR(SUM(FILTER('Fund Investment Data'!$V:$V, 'Fund Investment Data'!$C:$C = $C2666, 'Fund Investment Data'!$A:$A = $A2666, 'Fund Investment Data'!$B:$B &lt;= 3)) * Parameters!$B$4, 0),0)))"),0.0)</f>
        <v>0</v>
      </c>
      <c r="AB2666" s="32">
        <f>IFERROR(__xludf.DUMMYFUNCTION("IFERROR(((IFERROR(SUM(FILTER('Fund Investment Data'!$V:$V, 'Fund Investment Data'!$C:$C = $C2666, 'Fund Investment Data'!$A:$A = $A2666 - 2, 'Fund Investment Data'!$B:$B &gt;= 4)) * Parameters!$B$4,0) + IFERROR(SUM(FILTER('Fund Investment Data'!$V:$V, 'Fund "&amp;"Investment Data'!$C:$C = $C2666, 'Fund Investment Data'!$A:$A = $A2666 - 1, 'Fund Investment Data'!$B:$B &lt;= 3)) * Parameters!$B$4,0))),0)"),0.0)</f>
        <v>0</v>
      </c>
      <c r="AC2666" s="32">
        <f>IFERROR(__xludf.DUMMYFUNCTION("IFERROR(FILTER($AF:$AF,$C:$C = $C2666,$A:$A = $A2666 - 1,$B:$B = 12),0)"),0.0)</f>
        <v>0</v>
      </c>
      <c r="AD2666" s="32">
        <f t="shared" si="23"/>
        <v>0</v>
      </c>
      <c r="AE2666" s="32">
        <f t="shared" si="2"/>
        <v>0</v>
      </c>
      <c r="AF2666" s="32"/>
    </row>
    <row r="2667">
      <c r="A2667" s="86"/>
      <c r="B2667" s="87"/>
      <c r="C2667" s="88"/>
      <c r="D2667" s="104"/>
      <c r="E2667" s="104"/>
      <c r="F2667" s="104"/>
      <c r="G2667" s="104"/>
      <c r="H2667" s="104"/>
      <c r="I2667" s="104"/>
      <c r="J2667" s="104"/>
      <c r="K2667" s="32"/>
      <c r="L2667" s="32"/>
      <c r="M2667" s="32"/>
      <c r="N2667" s="32"/>
      <c r="O2667" s="106"/>
      <c r="P2667" s="91">
        <f>IFERROR(__xludf.DUMMYFUNCTION("IFERROR(sum(FILTER($D:$N,$C:$C = $C2667,$A:$A &lt; $A2667,$B:$B = 12)),0) + sum($D2667:$N2667)"),0.0)</f>
        <v>0</v>
      </c>
      <c r="Q2667" s="92">
        <f t="shared" si="1"/>
        <v>0</v>
      </c>
      <c r="R2667" s="91">
        <f t="array" ref="R2667">IFERROR(INDEX('Fund YTD Target Values'!$1:$1000, MATCH($C2667,'Fund YTD Target Values'!$A:$A,0), MATCH($A2667,'Fund YTD Target Values'!$1:$1,0)),0)</f>
        <v>0</v>
      </c>
      <c r="S2667" s="91">
        <f>IFERROR(__xludf.DUMMYFUNCTION("IFERROR(sum(FILTER('Fund Investment Data'!$V:$V, 'Fund Investment Data'!$C:$C = $C2667, 'Fund Investment Data'!$A:$A &lt; $A2667)),0) + IFERROR(sum(FILTER('Fund Investment Data'!$V:$V, 'Fund Investment Data'!$C:$C = $C2667, 'Fund Investment Data'!$A:$A = $A2"&amp;"667, 'Fund Investment Data'!$B:$B &lt;= $B2667)),0)"),0.0)</f>
        <v>0</v>
      </c>
      <c r="T2667" s="32"/>
      <c r="U2667" s="32"/>
      <c r="V2667" s="32">
        <f>IFERROR(__xludf.DUMMYFUNCTION("$D2667 - IFERROR(FILTER($D:$D,$C:$C = $C2667, $A:$A = $A2667, $B:$B = $B2667 - 1),0)"),0.0)</f>
        <v>0</v>
      </c>
      <c r="W2667" s="93">
        <f>IFERROR(__xludf.DUMMYFUNCTION("$E2667 - IFERROR(FILTER($E:$E,$C:$C = $C2667, $A:$A = $A2667, $B:$B = $B2667 - 1),0)"),0.0)</f>
        <v>0</v>
      </c>
      <c r="X2667" s="91">
        <f>IFERROR(__xludf.DUMMYFUNCTION("iFERROR((FILTER('Fund Investment Data'!$Z:$Z, 'Fund Investment Data'!$C:$C = $C2667, 'Fund Investment Data'!$A:$A = $A2667 - 1, 'Fund Investment Data'!$B:$B = 12) + FILTER('Fund Investment Data'!$AB:$AB, 'Fund Investment Data'!$C:$C = $C2667, 'Fund Invest"&amp;"ment Data'!$A:$A = $A2667 - 1, 'Fund Investment Data'!$B:$B = 12)) * (1 + AVERAGE(FILTER('Inflation Data'!$C:$C,'Inflation Data'!$A:$A = ($A2667 - 2)))) * Parameters!$A$4,0)"),0.0)</f>
        <v>0</v>
      </c>
      <c r="Y2667" s="91">
        <f>IFERROR(__xludf.DUMMYFUNCTION("IFERROR((IFERROR(FILTER('Fund Investment Data'!$P:$P,'Fund Investment Data'!$C:$C = $C2667,'Fund Investment Data'!$A:$A = ($A2667 - 2), 'Fund Investment Data'!$B:$B = 12),0) - SUM(FILTER('Fund Investment Data'!$V:$V, 'Fund Investment Data'!$C:$C = $C2667,"&amp;" 'Fund Investment Data'!$A:$A = ($A2667 - 2), 'Fund Investment Data'!$B:$B &gt; 3)))  * Parameters!$B$4 * (1 - Parameters!$A$4),0)"),0.0)</f>
        <v>0</v>
      </c>
      <c r="Z2667" s="91">
        <f t="shared" si="24"/>
        <v>0</v>
      </c>
      <c r="AA2667" s="91">
        <f>IFERROR(__xludf.DUMMYFUNCTION("((IFERROR((SUM(FILTER('Fund Investment Data'!$V:$V, 'Fund Investment Data'!$C:$C = $C2667, 'Fund Investment Data'!$A:$A = $A2667 - 1, 'Fund Investment Data'!$B:$B &gt;= 4, 'Fund Investment Data'!$B:$B &lt;= ($B2667 + 5))) / 12) * ($B2667 - 3) * Parameters!$B$4,"&amp;" 0) + IF($B2667 &gt;= 9, IFERROR(SUM(FILTER('Fund Investment Data'!$V:$V, 'Fund Investment Data'!$C:$C = $C2667, 'Fund Investment Data'!$A:$A = $A2667, 'Fund Investment Data'!$B:$B &lt;= 3)) * Parameters!$B$4, 0),0)))"),0.0)</f>
        <v>0</v>
      </c>
      <c r="AB2667" s="32">
        <f>IFERROR(__xludf.DUMMYFUNCTION("IFERROR(((IFERROR(SUM(FILTER('Fund Investment Data'!$V:$V, 'Fund Investment Data'!$C:$C = $C2667, 'Fund Investment Data'!$A:$A = $A2667 - 2, 'Fund Investment Data'!$B:$B &gt;= 4)) * Parameters!$B$4,0) + IFERROR(SUM(FILTER('Fund Investment Data'!$V:$V, 'Fund "&amp;"Investment Data'!$C:$C = $C2667, 'Fund Investment Data'!$A:$A = $A2667 - 1, 'Fund Investment Data'!$B:$B &lt;= 3)) * Parameters!$B$4,0))),0)"),0.0)</f>
        <v>0</v>
      </c>
      <c r="AC2667" s="32">
        <f>IFERROR(__xludf.DUMMYFUNCTION("IFERROR(FILTER($AF:$AF,$C:$C = $C2667,$A:$A = $A2667 - 1,$B:$B = 12),0)"),0.0)</f>
        <v>0</v>
      </c>
      <c r="AD2667" s="32">
        <f t="shared" si="23"/>
        <v>0</v>
      </c>
      <c r="AE2667" s="32">
        <f t="shared" si="2"/>
        <v>0</v>
      </c>
      <c r="AF2667" s="32"/>
    </row>
    <row r="2668">
      <c r="A2668" s="86"/>
      <c r="B2668" s="87"/>
      <c r="C2668" s="88"/>
      <c r="D2668" s="104"/>
      <c r="E2668" s="104"/>
      <c r="F2668" s="104"/>
      <c r="G2668" s="104"/>
      <c r="H2668" s="104"/>
      <c r="I2668" s="104"/>
      <c r="J2668" s="104"/>
      <c r="K2668" s="32"/>
      <c r="L2668" s="32"/>
      <c r="M2668" s="32"/>
      <c r="N2668" s="32"/>
      <c r="O2668" s="106"/>
      <c r="P2668" s="91">
        <f>IFERROR(__xludf.DUMMYFUNCTION("IFERROR(sum(FILTER($D:$N,$C:$C = $C2668,$A:$A &lt; $A2668,$B:$B = 12)),0) + sum($D2668:$N2668)"),0.0)</f>
        <v>0</v>
      </c>
      <c r="Q2668" s="92">
        <f t="shared" si="1"/>
        <v>0</v>
      </c>
      <c r="R2668" s="91">
        <f t="array" ref="R2668">IFERROR(INDEX('Fund YTD Target Values'!$1:$1000, MATCH($C2668,'Fund YTD Target Values'!$A:$A,0), MATCH($A2668,'Fund YTD Target Values'!$1:$1,0)),0)</f>
        <v>0</v>
      </c>
      <c r="S2668" s="91">
        <f>IFERROR(__xludf.DUMMYFUNCTION("IFERROR(sum(FILTER('Fund Investment Data'!$V:$V, 'Fund Investment Data'!$C:$C = $C2668, 'Fund Investment Data'!$A:$A &lt; $A2668)),0) + IFERROR(sum(FILTER('Fund Investment Data'!$V:$V, 'Fund Investment Data'!$C:$C = $C2668, 'Fund Investment Data'!$A:$A = $A2"&amp;"668, 'Fund Investment Data'!$B:$B &lt;= $B2668)),0)"),0.0)</f>
        <v>0</v>
      </c>
      <c r="T2668" s="32"/>
      <c r="U2668" s="32"/>
      <c r="V2668" s="32">
        <f>IFERROR(__xludf.DUMMYFUNCTION("$D2668 - IFERROR(FILTER($D:$D,$C:$C = $C2668, $A:$A = $A2668, $B:$B = $B2668 - 1),0)"),0.0)</f>
        <v>0</v>
      </c>
      <c r="W2668" s="93">
        <f>IFERROR(__xludf.DUMMYFUNCTION("$E2668 - IFERROR(FILTER($E:$E,$C:$C = $C2668, $A:$A = $A2668, $B:$B = $B2668 - 1),0)"),0.0)</f>
        <v>0</v>
      </c>
      <c r="X2668" s="91">
        <f>IFERROR(__xludf.DUMMYFUNCTION("iFERROR((FILTER('Fund Investment Data'!$Z:$Z, 'Fund Investment Data'!$C:$C = $C2668, 'Fund Investment Data'!$A:$A = $A2668 - 1, 'Fund Investment Data'!$B:$B = 12) + FILTER('Fund Investment Data'!$AB:$AB, 'Fund Investment Data'!$C:$C = $C2668, 'Fund Invest"&amp;"ment Data'!$A:$A = $A2668 - 1, 'Fund Investment Data'!$B:$B = 12)) * (1 + AVERAGE(FILTER('Inflation Data'!$C:$C,'Inflation Data'!$A:$A = ($A2668 - 2)))) * Parameters!$A$4,0)"),0.0)</f>
        <v>0</v>
      </c>
      <c r="Y2668" s="91">
        <f>IFERROR(__xludf.DUMMYFUNCTION("IFERROR((IFERROR(FILTER('Fund Investment Data'!$P:$P,'Fund Investment Data'!$C:$C = $C2668,'Fund Investment Data'!$A:$A = ($A2668 - 2), 'Fund Investment Data'!$B:$B = 12),0) - SUM(FILTER('Fund Investment Data'!$V:$V, 'Fund Investment Data'!$C:$C = $C2668,"&amp;" 'Fund Investment Data'!$A:$A = ($A2668 - 2), 'Fund Investment Data'!$B:$B &gt; 3)))  * Parameters!$B$4 * (1 - Parameters!$A$4),0)"),0.0)</f>
        <v>0</v>
      </c>
      <c r="Z2668" s="91">
        <f t="shared" si="24"/>
        <v>0</v>
      </c>
      <c r="AA2668" s="91">
        <f>IFERROR(__xludf.DUMMYFUNCTION("((IFERROR((SUM(FILTER('Fund Investment Data'!$V:$V, 'Fund Investment Data'!$C:$C = $C2668, 'Fund Investment Data'!$A:$A = $A2668 - 1, 'Fund Investment Data'!$B:$B &gt;= 4, 'Fund Investment Data'!$B:$B &lt;= ($B2668 + 5))) / 12) * ($B2668 - 3) * Parameters!$B$4,"&amp;" 0) + IF($B2668 &gt;= 9, IFERROR(SUM(FILTER('Fund Investment Data'!$V:$V, 'Fund Investment Data'!$C:$C = $C2668, 'Fund Investment Data'!$A:$A = $A2668, 'Fund Investment Data'!$B:$B &lt;= 3)) * Parameters!$B$4, 0),0)))"),0.0)</f>
        <v>0</v>
      </c>
      <c r="AB2668" s="32">
        <f>IFERROR(__xludf.DUMMYFUNCTION("IFERROR(((IFERROR(SUM(FILTER('Fund Investment Data'!$V:$V, 'Fund Investment Data'!$C:$C = $C2668, 'Fund Investment Data'!$A:$A = $A2668 - 2, 'Fund Investment Data'!$B:$B &gt;= 4)) * Parameters!$B$4,0) + IFERROR(SUM(FILTER('Fund Investment Data'!$V:$V, 'Fund "&amp;"Investment Data'!$C:$C = $C2668, 'Fund Investment Data'!$A:$A = $A2668 - 1, 'Fund Investment Data'!$B:$B &lt;= 3)) * Parameters!$B$4,0))),0)"),0.0)</f>
        <v>0</v>
      </c>
      <c r="AC2668" s="32">
        <f>IFERROR(__xludf.DUMMYFUNCTION("IFERROR(FILTER($AF:$AF,$C:$C = $C2668,$A:$A = $A2668 - 1,$B:$B = 12),0)"),0.0)</f>
        <v>0</v>
      </c>
      <c r="AD2668" s="32">
        <f t="shared" si="23"/>
        <v>0</v>
      </c>
      <c r="AE2668" s="32">
        <f t="shared" si="2"/>
        <v>0</v>
      </c>
      <c r="AF2668" s="32"/>
    </row>
    <row r="2669">
      <c r="A2669" s="86"/>
      <c r="B2669" s="87"/>
      <c r="C2669" s="88"/>
      <c r="D2669" s="104"/>
      <c r="E2669" s="104"/>
      <c r="F2669" s="104"/>
      <c r="G2669" s="104"/>
      <c r="H2669" s="104"/>
      <c r="I2669" s="104"/>
      <c r="J2669" s="104"/>
      <c r="K2669" s="32"/>
      <c r="L2669" s="32"/>
      <c r="M2669" s="32"/>
      <c r="N2669" s="32"/>
      <c r="O2669" s="106"/>
      <c r="P2669" s="91">
        <f>IFERROR(__xludf.DUMMYFUNCTION("IFERROR(sum(FILTER($D:$N,$C:$C = $C2669,$A:$A &lt; $A2669,$B:$B = 12)),0) + sum($D2669:$N2669)"),0.0)</f>
        <v>0</v>
      </c>
      <c r="Q2669" s="92">
        <f t="shared" si="1"/>
        <v>0</v>
      </c>
      <c r="R2669" s="91">
        <f t="array" ref="R2669">IFERROR(INDEX('Fund YTD Target Values'!$1:$1000, MATCH($C2669,'Fund YTD Target Values'!$A:$A,0), MATCH($A2669,'Fund YTD Target Values'!$1:$1,0)),0)</f>
        <v>0</v>
      </c>
      <c r="S2669" s="91">
        <f>IFERROR(__xludf.DUMMYFUNCTION("IFERROR(sum(FILTER('Fund Investment Data'!$V:$V, 'Fund Investment Data'!$C:$C = $C2669, 'Fund Investment Data'!$A:$A &lt; $A2669)),0) + IFERROR(sum(FILTER('Fund Investment Data'!$V:$V, 'Fund Investment Data'!$C:$C = $C2669, 'Fund Investment Data'!$A:$A = $A2"&amp;"669, 'Fund Investment Data'!$B:$B &lt;= $B2669)),0)"),0.0)</f>
        <v>0</v>
      </c>
      <c r="T2669" s="32"/>
      <c r="U2669" s="32"/>
      <c r="V2669" s="32">
        <f>IFERROR(__xludf.DUMMYFUNCTION("$D2669 - IFERROR(FILTER($D:$D,$C:$C = $C2669, $A:$A = $A2669, $B:$B = $B2669 - 1),0)"),0.0)</f>
        <v>0</v>
      </c>
      <c r="W2669" s="93">
        <f>IFERROR(__xludf.DUMMYFUNCTION("$E2669 - IFERROR(FILTER($E:$E,$C:$C = $C2669, $A:$A = $A2669, $B:$B = $B2669 - 1),0)"),0.0)</f>
        <v>0</v>
      </c>
      <c r="X2669" s="91">
        <f>IFERROR(__xludf.DUMMYFUNCTION("iFERROR((FILTER('Fund Investment Data'!$Z:$Z, 'Fund Investment Data'!$C:$C = $C2669, 'Fund Investment Data'!$A:$A = $A2669 - 1, 'Fund Investment Data'!$B:$B = 12) + FILTER('Fund Investment Data'!$AB:$AB, 'Fund Investment Data'!$C:$C = $C2669, 'Fund Invest"&amp;"ment Data'!$A:$A = $A2669 - 1, 'Fund Investment Data'!$B:$B = 12)) * (1 + AVERAGE(FILTER('Inflation Data'!$C:$C,'Inflation Data'!$A:$A = ($A2669 - 2)))) * Parameters!$A$4,0)"),0.0)</f>
        <v>0</v>
      </c>
      <c r="Y2669" s="91">
        <f>IFERROR(__xludf.DUMMYFUNCTION("IFERROR((IFERROR(FILTER('Fund Investment Data'!$P:$P,'Fund Investment Data'!$C:$C = $C2669,'Fund Investment Data'!$A:$A = ($A2669 - 2), 'Fund Investment Data'!$B:$B = 12),0) - SUM(FILTER('Fund Investment Data'!$V:$V, 'Fund Investment Data'!$C:$C = $C2669,"&amp;" 'Fund Investment Data'!$A:$A = ($A2669 - 2), 'Fund Investment Data'!$B:$B &gt; 3)))  * Parameters!$B$4 * (1 - Parameters!$A$4),0)"),0.0)</f>
        <v>0</v>
      </c>
      <c r="Z2669" s="91">
        <f t="shared" si="24"/>
        <v>0</v>
      </c>
      <c r="AA2669" s="91">
        <f>IFERROR(__xludf.DUMMYFUNCTION("((IFERROR((SUM(FILTER('Fund Investment Data'!$V:$V, 'Fund Investment Data'!$C:$C = $C2669, 'Fund Investment Data'!$A:$A = $A2669 - 1, 'Fund Investment Data'!$B:$B &gt;= 4, 'Fund Investment Data'!$B:$B &lt;= ($B2669 + 5))) / 12) * ($B2669 - 3) * Parameters!$B$4,"&amp;" 0) + IF($B2669 &gt;= 9, IFERROR(SUM(FILTER('Fund Investment Data'!$V:$V, 'Fund Investment Data'!$C:$C = $C2669, 'Fund Investment Data'!$A:$A = $A2669, 'Fund Investment Data'!$B:$B &lt;= 3)) * Parameters!$B$4, 0),0)))"),0.0)</f>
        <v>0</v>
      </c>
      <c r="AB2669" s="32">
        <f>IFERROR(__xludf.DUMMYFUNCTION("IFERROR(((IFERROR(SUM(FILTER('Fund Investment Data'!$V:$V, 'Fund Investment Data'!$C:$C = $C2669, 'Fund Investment Data'!$A:$A = $A2669 - 2, 'Fund Investment Data'!$B:$B &gt;= 4)) * Parameters!$B$4,0) + IFERROR(SUM(FILTER('Fund Investment Data'!$V:$V, 'Fund "&amp;"Investment Data'!$C:$C = $C2669, 'Fund Investment Data'!$A:$A = $A2669 - 1, 'Fund Investment Data'!$B:$B &lt;= 3)) * Parameters!$B$4,0))),0)"),0.0)</f>
        <v>0</v>
      </c>
      <c r="AC2669" s="32">
        <f>IFERROR(__xludf.DUMMYFUNCTION("IFERROR(FILTER($AF:$AF,$C:$C = $C2669,$A:$A = $A2669 - 1,$B:$B = 12),0)"),0.0)</f>
        <v>0</v>
      </c>
      <c r="AD2669" s="32">
        <f t="shared" si="23"/>
        <v>0</v>
      </c>
      <c r="AE2669" s="32">
        <f t="shared" si="2"/>
        <v>0</v>
      </c>
      <c r="AF2669" s="32"/>
    </row>
    <row r="2670">
      <c r="A2670" s="86"/>
      <c r="B2670" s="87"/>
      <c r="C2670" s="88"/>
      <c r="D2670" s="104"/>
      <c r="E2670" s="104"/>
      <c r="F2670" s="104"/>
      <c r="G2670" s="104"/>
      <c r="H2670" s="104"/>
      <c r="I2670" s="104"/>
      <c r="J2670" s="104"/>
      <c r="K2670" s="32"/>
      <c r="L2670" s="32"/>
      <c r="M2670" s="32"/>
      <c r="N2670" s="32"/>
      <c r="O2670" s="106"/>
      <c r="P2670" s="91">
        <f>IFERROR(__xludf.DUMMYFUNCTION("IFERROR(sum(FILTER($D:$N,$C:$C = $C2670,$A:$A &lt; $A2670,$B:$B = 12)),0) + sum($D2670:$N2670)"),0.0)</f>
        <v>0</v>
      </c>
      <c r="Q2670" s="92">
        <f t="shared" si="1"/>
        <v>0</v>
      </c>
      <c r="R2670" s="91">
        <f t="array" ref="R2670">IFERROR(INDEX('Fund YTD Target Values'!$1:$1000, MATCH($C2670,'Fund YTD Target Values'!$A:$A,0), MATCH($A2670,'Fund YTD Target Values'!$1:$1,0)),0)</f>
        <v>0</v>
      </c>
      <c r="S2670" s="91">
        <f>IFERROR(__xludf.DUMMYFUNCTION("IFERROR(sum(FILTER('Fund Investment Data'!$V:$V, 'Fund Investment Data'!$C:$C = $C2670, 'Fund Investment Data'!$A:$A &lt; $A2670)),0) + IFERROR(sum(FILTER('Fund Investment Data'!$V:$V, 'Fund Investment Data'!$C:$C = $C2670, 'Fund Investment Data'!$A:$A = $A2"&amp;"670, 'Fund Investment Data'!$B:$B &lt;= $B2670)),0)"),0.0)</f>
        <v>0</v>
      </c>
      <c r="T2670" s="32"/>
      <c r="U2670" s="32"/>
      <c r="V2670" s="32">
        <f>IFERROR(__xludf.DUMMYFUNCTION("$D2670 - IFERROR(FILTER($D:$D,$C:$C = $C2670, $A:$A = $A2670, $B:$B = $B2670 - 1),0)"),0.0)</f>
        <v>0</v>
      </c>
      <c r="W2670" s="93">
        <f>IFERROR(__xludf.DUMMYFUNCTION("$E2670 - IFERROR(FILTER($E:$E,$C:$C = $C2670, $A:$A = $A2670, $B:$B = $B2670 - 1),0)"),0.0)</f>
        <v>0</v>
      </c>
      <c r="X2670" s="91">
        <f>IFERROR(__xludf.DUMMYFUNCTION("iFERROR((FILTER('Fund Investment Data'!$Z:$Z, 'Fund Investment Data'!$C:$C = $C2670, 'Fund Investment Data'!$A:$A = $A2670 - 1, 'Fund Investment Data'!$B:$B = 12) + FILTER('Fund Investment Data'!$AB:$AB, 'Fund Investment Data'!$C:$C = $C2670, 'Fund Invest"&amp;"ment Data'!$A:$A = $A2670 - 1, 'Fund Investment Data'!$B:$B = 12)) * (1 + AVERAGE(FILTER('Inflation Data'!$C:$C,'Inflation Data'!$A:$A = ($A2670 - 2)))) * Parameters!$A$4,0)"),0.0)</f>
        <v>0</v>
      </c>
      <c r="Y2670" s="91">
        <f>IFERROR(__xludf.DUMMYFUNCTION("IFERROR((IFERROR(FILTER('Fund Investment Data'!$P:$P,'Fund Investment Data'!$C:$C = $C2670,'Fund Investment Data'!$A:$A = ($A2670 - 2), 'Fund Investment Data'!$B:$B = 12),0) - SUM(FILTER('Fund Investment Data'!$V:$V, 'Fund Investment Data'!$C:$C = $C2670,"&amp;" 'Fund Investment Data'!$A:$A = ($A2670 - 2), 'Fund Investment Data'!$B:$B &gt; 3)))  * Parameters!$B$4 * (1 - Parameters!$A$4),0)"),0.0)</f>
        <v>0</v>
      </c>
      <c r="Z2670" s="91">
        <f t="shared" si="24"/>
        <v>0</v>
      </c>
      <c r="AA2670" s="91">
        <f>IFERROR(__xludf.DUMMYFUNCTION("((IFERROR((SUM(FILTER('Fund Investment Data'!$V:$V, 'Fund Investment Data'!$C:$C = $C2670, 'Fund Investment Data'!$A:$A = $A2670 - 1, 'Fund Investment Data'!$B:$B &gt;= 4, 'Fund Investment Data'!$B:$B &lt;= ($B2670 + 5))) / 12) * ($B2670 - 3) * Parameters!$B$4,"&amp;" 0) + IF($B2670 &gt;= 9, IFERROR(SUM(FILTER('Fund Investment Data'!$V:$V, 'Fund Investment Data'!$C:$C = $C2670, 'Fund Investment Data'!$A:$A = $A2670, 'Fund Investment Data'!$B:$B &lt;= 3)) * Parameters!$B$4, 0),0)))"),0.0)</f>
        <v>0</v>
      </c>
      <c r="AB2670" s="32">
        <f>IFERROR(__xludf.DUMMYFUNCTION("IFERROR(((IFERROR(SUM(FILTER('Fund Investment Data'!$V:$V, 'Fund Investment Data'!$C:$C = $C2670, 'Fund Investment Data'!$A:$A = $A2670 - 2, 'Fund Investment Data'!$B:$B &gt;= 4)) * Parameters!$B$4,0) + IFERROR(SUM(FILTER('Fund Investment Data'!$V:$V, 'Fund "&amp;"Investment Data'!$C:$C = $C2670, 'Fund Investment Data'!$A:$A = $A2670 - 1, 'Fund Investment Data'!$B:$B &lt;= 3)) * Parameters!$B$4,0))),0)"),0.0)</f>
        <v>0</v>
      </c>
      <c r="AC2670" s="32">
        <f>IFERROR(__xludf.DUMMYFUNCTION("IFERROR(FILTER($AF:$AF,$C:$C = $C2670,$A:$A = $A2670 - 1,$B:$B = 12),0)"),0.0)</f>
        <v>0</v>
      </c>
      <c r="AD2670" s="32">
        <f t="shared" si="23"/>
        <v>0</v>
      </c>
      <c r="AE2670" s="32">
        <f t="shared" si="2"/>
        <v>0</v>
      </c>
      <c r="AF2670" s="32"/>
    </row>
    <row r="2671">
      <c r="A2671" s="86"/>
      <c r="B2671" s="87"/>
      <c r="C2671" s="88"/>
      <c r="D2671" s="104"/>
      <c r="E2671" s="104"/>
      <c r="F2671" s="104"/>
      <c r="G2671" s="104"/>
      <c r="H2671" s="104"/>
      <c r="I2671" s="104"/>
      <c r="J2671" s="104"/>
      <c r="K2671" s="32"/>
      <c r="L2671" s="32"/>
      <c r="M2671" s="32"/>
      <c r="N2671" s="32"/>
      <c r="O2671" s="106"/>
      <c r="P2671" s="91">
        <f>IFERROR(__xludf.DUMMYFUNCTION("IFERROR(sum(FILTER($D:$N,$C:$C = $C2671,$A:$A &lt; $A2671,$B:$B = 12)),0) + sum($D2671:$N2671)"),0.0)</f>
        <v>0</v>
      </c>
      <c r="Q2671" s="92">
        <f t="shared" si="1"/>
        <v>0</v>
      </c>
      <c r="R2671" s="91">
        <f t="array" ref="R2671">IFERROR(INDEX('Fund YTD Target Values'!$1:$1000, MATCH($C2671,'Fund YTD Target Values'!$A:$A,0), MATCH($A2671,'Fund YTD Target Values'!$1:$1,0)),0)</f>
        <v>0</v>
      </c>
      <c r="S2671" s="91">
        <f>IFERROR(__xludf.DUMMYFUNCTION("IFERROR(sum(FILTER('Fund Investment Data'!$V:$V, 'Fund Investment Data'!$C:$C = $C2671, 'Fund Investment Data'!$A:$A &lt; $A2671)),0) + IFERROR(sum(FILTER('Fund Investment Data'!$V:$V, 'Fund Investment Data'!$C:$C = $C2671, 'Fund Investment Data'!$A:$A = $A2"&amp;"671, 'Fund Investment Data'!$B:$B &lt;= $B2671)),0)"),0.0)</f>
        <v>0</v>
      </c>
      <c r="T2671" s="32"/>
      <c r="U2671" s="32"/>
      <c r="V2671" s="32">
        <f>IFERROR(__xludf.DUMMYFUNCTION("$D2671 - IFERROR(FILTER($D:$D,$C:$C = $C2671, $A:$A = $A2671, $B:$B = $B2671 - 1),0)"),0.0)</f>
        <v>0</v>
      </c>
      <c r="W2671" s="93">
        <f>IFERROR(__xludf.DUMMYFUNCTION("$E2671 - IFERROR(FILTER($E:$E,$C:$C = $C2671, $A:$A = $A2671, $B:$B = $B2671 - 1),0)"),0.0)</f>
        <v>0</v>
      </c>
      <c r="X2671" s="91">
        <f>IFERROR(__xludf.DUMMYFUNCTION("iFERROR((FILTER('Fund Investment Data'!$Z:$Z, 'Fund Investment Data'!$C:$C = $C2671, 'Fund Investment Data'!$A:$A = $A2671 - 1, 'Fund Investment Data'!$B:$B = 12) + FILTER('Fund Investment Data'!$AB:$AB, 'Fund Investment Data'!$C:$C = $C2671, 'Fund Invest"&amp;"ment Data'!$A:$A = $A2671 - 1, 'Fund Investment Data'!$B:$B = 12)) * (1 + AVERAGE(FILTER('Inflation Data'!$C:$C,'Inflation Data'!$A:$A = ($A2671 - 2)))) * Parameters!$A$4,0)"),0.0)</f>
        <v>0</v>
      </c>
      <c r="Y2671" s="91">
        <f>IFERROR(__xludf.DUMMYFUNCTION("IFERROR((IFERROR(FILTER('Fund Investment Data'!$P:$P,'Fund Investment Data'!$C:$C = $C2671,'Fund Investment Data'!$A:$A = ($A2671 - 2), 'Fund Investment Data'!$B:$B = 12),0) - SUM(FILTER('Fund Investment Data'!$V:$V, 'Fund Investment Data'!$C:$C = $C2671,"&amp;" 'Fund Investment Data'!$A:$A = ($A2671 - 2), 'Fund Investment Data'!$B:$B &gt; 3)))  * Parameters!$B$4 * (1 - Parameters!$A$4),0)"),0.0)</f>
        <v>0</v>
      </c>
      <c r="Z2671" s="91">
        <f t="shared" si="24"/>
        <v>0</v>
      </c>
      <c r="AA2671" s="91">
        <f>IFERROR(__xludf.DUMMYFUNCTION("((IFERROR((SUM(FILTER('Fund Investment Data'!$V:$V, 'Fund Investment Data'!$C:$C = $C2671, 'Fund Investment Data'!$A:$A = $A2671 - 1, 'Fund Investment Data'!$B:$B &gt;= 4, 'Fund Investment Data'!$B:$B &lt;= ($B2671 + 5))) / 12) * ($B2671 - 3) * Parameters!$B$4,"&amp;" 0) + IF($B2671 &gt;= 9, IFERROR(SUM(FILTER('Fund Investment Data'!$V:$V, 'Fund Investment Data'!$C:$C = $C2671, 'Fund Investment Data'!$A:$A = $A2671, 'Fund Investment Data'!$B:$B &lt;= 3)) * Parameters!$B$4, 0),0)))"),0.0)</f>
        <v>0</v>
      </c>
      <c r="AB2671" s="32">
        <f>IFERROR(__xludf.DUMMYFUNCTION("IFERROR(((IFERROR(SUM(FILTER('Fund Investment Data'!$V:$V, 'Fund Investment Data'!$C:$C = $C2671, 'Fund Investment Data'!$A:$A = $A2671 - 2, 'Fund Investment Data'!$B:$B &gt;= 4)) * Parameters!$B$4,0) + IFERROR(SUM(FILTER('Fund Investment Data'!$V:$V, 'Fund "&amp;"Investment Data'!$C:$C = $C2671, 'Fund Investment Data'!$A:$A = $A2671 - 1, 'Fund Investment Data'!$B:$B &lt;= 3)) * Parameters!$B$4,0))),0)"),0.0)</f>
        <v>0</v>
      </c>
      <c r="AC2671" s="32">
        <f>IFERROR(__xludf.DUMMYFUNCTION("IFERROR(FILTER($AF:$AF,$C:$C = $C2671,$A:$A = $A2671 - 1,$B:$B = 12),0)"),0.0)</f>
        <v>0</v>
      </c>
      <c r="AD2671" s="32">
        <f t="shared" si="23"/>
        <v>0</v>
      </c>
      <c r="AE2671" s="32">
        <f t="shared" si="2"/>
        <v>0</v>
      </c>
      <c r="AF2671" s="32"/>
    </row>
    <row r="2672">
      <c r="A2672" s="86"/>
      <c r="B2672" s="87"/>
      <c r="C2672" s="88"/>
      <c r="D2672" s="104"/>
      <c r="E2672" s="104"/>
      <c r="F2672" s="104"/>
      <c r="G2672" s="104"/>
      <c r="H2672" s="104"/>
      <c r="I2672" s="104"/>
      <c r="J2672" s="104"/>
      <c r="K2672" s="32"/>
      <c r="L2672" s="32"/>
      <c r="M2672" s="32"/>
      <c r="N2672" s="32"/>
      <c r="O2672" s="106"/>
      <c r="P2672" s="91">
        <f>IFERROR(__xludf.DUMMYFUNCTION("IFERROR(sum(FILTER($D:$N,$C:$C = $C2672,$A:$A &lt; $A2672,$B:$B = 12)),0) + sum($D2672:$N2672)"),0.0)</f>
        <v>0</v>
      </c>
      <c r="Q2672" s="92">
        <f t="shared" si="1"/>
        <v>0</v>
      </c>
      <c r="R2672" s="91">
        <f t="array" ref="R2672">IFERROR(INDEX('Fund YTD Target Values'!$1:$1000, MATCH($C2672,'Fund YTD Target Values'!$A:$A,0), MATCH($A2672,'Fund YTD Target Values'!$1:$1,0)),0)</f>
        <v>0</v>
      </c>
      <c r="S2672" s="91">
        <f>IFERROR(__xludf.DUMMYFUNCTION("IFERROR(sum(FILTER('Fund Investment Data'!$V:$V, 'Fund Investment Data'!$C:$C = $C2672, 'Fund Investment Data'!$A:$A &lt; $A2672)),0) + IFERROR(sum(FILTER('Fund Investment Data'!$V:$V, 'Fund Investment Data'!$C:$C = $C2672, 'Fund Investment Data'!$A:$A = $A2"&amp;"672, 'Fund Investment Data'!$B:$B &lt;= $B2672)),0)"),0.0)</f>
        <v>0</v>
      </c>
      <c r="T2672" s="32"/>
      <c r="U2672" s="32"/>
      <c r="V2672" s="32">
        <f>IFERROR(__xludf.DUMMYFUNCTION("$D2672 - IFERROR(FILTER($D:$D,$C:$C = $C2672, $A:$A = $A2672, $B:$B = $B2672 - 1),0)"),0.0)</f>
        <v>0</v>
      </c>
      <c r="W2672" s="93">
        <f>IFERROR(__xludf.DUMMYFUNCTION("$E2672 - IFERROR(FILTER($E:$E,$C:$C = $C2672, $A:$A = $A2672, $B:$B = $B2672 - 1),0)"),0.0)</f>
        <v>0</v>
      </c>
      <c r="X2672" s="91">
        <f>IFERROR(__xludf.DUMMYFUNCTION("iFERROR((FILTER('Fund Investment Data'!$Z:$Z, 'Fund Investment Data'!$C:$C = $C2672, 'Fund Investment Data'!$A:$A = $A2672 - 1, 'Fund Investment Data'!$B:$B = 12) + FILTER('Fund Investment Data'!$AB:$AB, 'Fund Investment Data'!$C:$C = $C2672, 'Fund Invest"&amp;"ment Data'!$A:$A = $A2672 - 1, 'Fund Investment Data'!$B:$B = 12)) * (1 + AVERAGE(FILTER('Inflation Data'!$C:$C,'Inflation Data'!$A:$A = ($A2672 - 2)))) * Parameters!$A$4,0)"),0.0)</f>
        <v>0</v>
      </c>
      <c r="Y2672" s="91">
        <f>IFERROR(__xludf.DUMMYFUNCTION("IFERROR((IFERROR(FILTER('Fund Investment Data'!$P:$P,'Fund Investment Data'!$C:$C = $C2672,'Fund Investment Data'!$A:$A = ($A2672 - 2), 'Fund Investment Data'!$B:$B = 12),0) - SUM(FILTER('Fund Investment Data'!$V:$V, 'Fund Investment Data'!$C:$C = $C2672,"&amp;" 'Fund Investment Data'!$A:$A = ($A2672 - 2), 'Fund Investment Data'!$B:$B &gt; 3)))  * Parameters!$B$4 * (1 - Parameters!$A$4),0)"),0.0)</f>
        <v>0</v>
      </c>
      <c r="Z2672" s="91">
        <f t="shared" si="24"/>
        <v>0</v>
      </c>
      <c r="AA2672" s="91">
        <f>IFERROR(__xludf.DUMMYFUNCTION("((IFERROR((SUM(FILTER('Fund Investment Data'!$V:$V, 'Fund Investment Data'!$C:$C = $C2672, 'Fund Investment Data'!$A:$A = $A2672 - 1, 'Fund Investment Data'!$B:$B &gt;= 4, 'Fund Investment Data'!$B:$B &lt;= ($B2672 + 5))) / 12) * ($B2672 - 3) * Parameters!$B$4,"&amp;" 0) + IF($B2672 &gt;= 9, IFERROR(SUM(FILTER('Fund Investment Data'!$V:$V, 'Fund Investment Data'!$C:$C = $C2672, 'Fund Investment Data'!$A:$A = $A2672, 'Fund Investment Data'!$B:$B &lt;= 3)) * Parameters!$B$4, 0),0)))"),0.0)</f>
        <v>0</v>
      </c>
      <c r="AB2672" s="32">
        <f>IFERROR(__xludf.DUMMYFUNCTION("IFERROR(((IFERROR(SUM(FILTER('Fund Investment Data'!$V:$V, 'Fund Investment Data'!$C:$C = $C2672, 'Fund Investment Data'!$A:$A = $A2672 - 2, 'Fund Investment Data'!$B:$B &gt;= 4)) * Parameters!$B$4,0) + IFERROR(SUM(FILTER('Fund Investment Data'!$V:$V, 'Fund "&amp;"Investment Data'!$C:$C = $C2672, 'Fund Investment Data'!$A:$A = $A2672 - 1, 'Fund Investment Data'!$B:$B &lt;= 3)) * Parameters!$B$4,0))),0)"),0.0)</f>
        <v>0</v>
      </c>
      <c r="AC2672" s="32">
        <f>IFERROR(__xludf.DUMMYFUNCTION("IFERROR(FILTER($AF:$AF,$C:$C = $C2672,$A:$A = $A2672 - 1,$B:$B = 12),0)"),0.0)</f>
        <v>0</v>
      </c>
      <c r="AD2672" s="32">
        <f t="shared" si="23"/>
        <v>0</v>
      </c>
      <c r="AE2672" s="32">
        <f t="shared" si="2"/>
        <v>0</v>
      </c>
      <c r="AF2672" s="32"/>
    </row>
    <row r="2673">
      <c r="A2673" s="86"/>
      <c r="B2673" s="87"/>
      <c r="C2673" s="88"/>
      <c r="D2673" s="104"/>
      <c r="E2673" s="104"/>
      <c r="F2673" s="104"/>
      <c r="G2673" s="104"/>
      <c r="H2673" s="104"/>
      <c r="I2673" s="104"/>
      <c r="J2673" s="104"/>
      <c r="K2673" s="32"/>
      <c r="L2673" s="32"/>
      <c r="M2673" s="32"/>
      <c r="N2673" s="32"/>
      <c r="O2673" s="106"/>
      <c r="P2673" s="91">
        <f>IFERROR(__xludf.DUMMYFUNCTION("IFERROR(sum(FILTER($D:$N,$C:$C = $C2673,$A:$A &lt; $A2673,$B:$B = 12)),0) + sum($D2673:$N2673)"),0.0)</f>
        <v>0</v>
      </c>
      <c r="Q2673" s="92">
        <f t="shared" si="1"/>
        <v>0</v>
      </c>
      <c r="R2673" s="91">
        <f t="array" ref="R2673">IFERROR(INDEX('Fund YTD Target Values'!$1:$1000, MATCH($C2673,'Fund YTD Target Values'!$A:$A,0), MATCH($A2673,'Fund YTD Target Values'!$1:$1,0)),0)</f>
        <v>0</v>
      </c>
      <c r="S2673" s="91">
        <f>IFERROR(__xludf.DUMMYFUNCTION("IFERROR(sum(FILTER('Fund Investment Data'!$V:$V, 'Fund Investment Data'!$C:$C = $C2673, 'Fund Investment Data'!$A:$A &lt; $A2673)),0) + IFERROR(sum(FILTER('Fund Investment Data'!$V:$V, 'Fund Investment Data'!$C:$C = $C2673, 'Fund Investment Data'!$A:$A = $A2"&amp;"673, 'Fund Investment Data'!$B:$B &lt;= $B2673)),0)"),0.0)</f>
        <v>0</v>
      </c>
      <c r="T2673" s="32"/>
      <c r="U2673" s="32"/>
      <c r="V2673" s="32">
        <f>IFERROR(__xludf.DUMMYFUNCTION("$D2673 - IFERROR(FILTER($D:$D,$C:$C = $C2673, $A:$A = $A2673, $B:$B = $B2673 - 1),0)"),0.0)</f>
        <v>0</v>
      </c>
      <c r="W2673" s="93">
        <f>IFERROR(__xludf.DUMMYFUNCTION("$E2673 - IFERROR(FILTER($E:$E,$C:$C = $C2673, $A:$A = $A2673, $B:$B = $B2673 - 1),0)"),0.0)</f>
        <v>0</v>
      </c>
      <c r="X2673" s="91">
        <f>IFERROR(__xludf.DUMMYFUNCTION("iFERROR((FILTER('Fund Investment Data'!$Z:$Z, 'Fund Investment Data'!$C:$C = $C2673, 'Fund Investment Data'!$A:$A = $A2673 - 1, 'Fund Investment Data'!$B:$B = 12) + FILTER('Fund Investment Data'!$AB:$AB, 'Fund Investment Data'!$C:$C = $C2673, 'Fund Invest"&amp;"ment Data'!$A:$A = $A2673 - 1, 'Fund Investment Data'!$B:$B = 12)) * (1 + AVERAGE(FILTER('Inflation Data'!$C:$C,'Inflation Data'!$A:$A = ($A2673 - 2)))) * Parameters!$A$4,0)"),0.0)</f>
        <v>0</v>
      </c>
      <c r="Y2673" s="91">
        <f>IFERROR(__xludf.DUMMYFUNCTION("IFERROR((IFERROR(FILTER('Fund Investment Data'!$P:$P,'Fund Investment Data'!$C:$C = $C2673,'Fund Investment Data'!$A:$A = ($A2673 - 2), 'Fund Investment Data'!$B:$B = 12),0) - SUM(FILTER('Fund Investment Data'!$V:$V, 'Fund Investment Data'!$C:$C = $C2673,"&amp;" 'Fund Investment Data'!$A:$A = ($A2673 - 2), 'Fund Investment Data'!$B:$B &gt; 3)))  * Parameters!$B$4 * (1 - Parameters!$A$4),0)"),0.0)</f>
        <v>0</v>
      </c>
      <c r="Z2673" s="91">
        <f t="shared" si="24"/>
        <v>0</v>
      </c>
      <c r="AA2673" s="91">
        <f>IFERROR(__xludf.DUMMYFUNCTION("((IFERROR((SUM(FILTER('Fund Investment Data'!$V:$V, 'Fund Investment Data'!$C:$C = $C2673, 'Fund Investment Data'!$A:$A = $A2673 - 1, 'Fund Investment Data'!$B:$B &gt;= 4, 'Fund Investment Data'!$B:$B &lt;= ($B2673 + 5))) / 12) * ($B2673 - 3) * Parameters!$B$4,"&amp;" 0) + IF($B2673 &gt;= 9, IFERROR(SUM(FILTER('Fund Investment Data'!$V:$V, 'Fund Investment Data'!$C:$C = $C2673, 'Fund Investment Data'!$A:$A = $A2673, 'Fund Investment Data'!$B:$B &lt;= 3)) * Parameters!$B$4, 0),0)))"),0.0)</f>
        <v>0</v>
      </c>
      <c r="AB2673" s="32">
        <f>IFERROR(__xludf.DUMMYFUNCTION("IFERROR(((IFERROR(SUM(FILTER('Fund Investment Data'!$V:$V, 'Fund Investment Data'!$C:$C = $C2673, 'Fund Investment Data'!$A:$A = $A2673 - 2, 'Fund Investment Data'!$B:$B &gt;= 4)) * Parameters!$B$4,0) + IFERROR(SUM(FILTER('Fund Investment Data'!$V:$V, 'Fund "&amp;"Investment Data'!$C:$C = $C2673, 'Fund Investment Data'!$A:$A = $A2673 - 1, 'Fund Investment Data'!$B:$B &lt;= 3)) * Parameters!$B$4,0))),0)"),0.0)</f>
        <v>0</v>
      </c>
      <c r="AC2673" s="32">
        <f>IFERROR(__xludf.DUMMYFUNCTION("IFERROR(FILTER($AF:$AF,$C:$C = $C2673,$A:$A = $A2673 - 1,$B:$B = 12),0)"),0.0)</f>
        <v>0</v>
      </c>
      <c r="AD2673" s="32">
        <f t="shared" si="23"/>
        <v>0</v>
      </c>
      <c r="AE2673" s="32">
        <f t="shared" si="2"/>
        <v>0</v>
      </c>
      <c r="AF2673" s="32"/>
    </row>
    <row r="2674">
      <c r="A2674" s="86"/>
      <c r="B2674" s="87"/>
      <c r="C2674" s="88"/>
      <c r="D2674" s="104"/>
      <c r="E2674" s="104"/>
      <c r="F2674" s="104"/>
      <c r="G2674" s="104"/>
      <c r="H2674" s="104"/>
      <c r="I2674" s="104"/>
      <c r="J2674" s="104"/>
      <c r="K2674" s="32"/>
      <c r="L2674" s="32"/>
      <c r="M2674" s="32"/>
      <c r="N2674" s="32"/>
      <c r="O2674" s="106"/>
      <c r="P2674" s="91">
        <f>IFERROR(__xludf.DUMMYFUNCTION("IFERROR(sum(FILTER($D:$N,$C:$C = $C2674,$A:$A &lt; $A2674,$B:$B = 12)),0) + sum($D2674:$N2674)"),0.0)</f>
        <v>0</v>
      </c>
      <c r="Q2674" s="92">
        <f t="shared" si="1"/>
        <v>0</v>
      </c>
      <c r="R2674" s="91">
        <f t="array" ref="R2674">IFERROR(INDEX('Fund YTD Target Values'!$1:$1000, MATCH($C2674,'Fund YTD Target Values'!$A:$A,0), MATCH($A2674,'Fund YTD Target Values'!$1:$1,0)),0)</f>
        <v>0</v>
      </c>
      <c r="S2674" s="91">
        <f>IFERROR(__xludf.DUMMYFUNCTION("IFERROR(sum(FILTER('Fund Investment Data'!$V:$V, 'Fund Investment Data'!$C:$C = $C2674, 'Fund Investment Data'!$A:$A &lt; $A2674)),0) + IFERROR(sum(FILTER('Fund Investment Data'!$V:$V, 'Fund Investment Data'!$C:$C = $C2674, 'Fund Investment Data'!$A:$A = $A2"&amp;"674, 'Fund Investment Data'!$B:$B &lt;= $B2674)),0)"),0.0)</f>
        <v>0</v>
      </c>
      <c r="T2674" s="32"/>
      <c r="U2674" s="32"/>
      <c r="V2674" s="32">
        <f>IFERROR(__xludf.DUMMYFUNCTION("$D2674 - IFERROR(FILTER($D:$D,$C:$C = $C2674, $A:$A = $A2674, $B:$B = $B2674 - 1),0)"),0.0)</f>
        <v>0</v>
      </c>
      <c r="W2674" s="93">
        <f>IFERROR(__xludf.DUMMYFUNCTION("$E2674 - IFERROR(FILTER($E:$E,$C:$C = $C2674, $A:$A = $A2674, $B:$B = $B2674 - 1),0)"),0.0)</f>
        <v>0</v>
      </c>
      <c r="X2674" s="91">
        <f>IFERROR(__xludf.DUMMYFUNCTION("iFERROR((FILTER('Fund Investment Data'!$Z:$Z, 'Fund Investment Data'!$C:$C = $C2674, 'Fund Investment Data'!$A:$A = $A2674 - 1, 'Fund Investment Data'!$B:$B = 12) + FILTER('Fund Investment Data'!$AB:$AB, 'Fund Investment Data'!$C:$C = $C2674, 'Fund Invest"&amp;"ment Data'!$A:$A = $A2674 - 1, 'Fund Investment Data'!$B:$B = 12)) * (1 + AVERAGE(FILTER('Inflation Data'!$C:$C,'Inflation Data'!$A:$A = ($A2674 - 2)))) * Parameters!$A$4,0)"),0.0)</f>
        <v>0</v>
      </c>
      <c r="Y2674" s="91">
        <f>IFERROR(__xludf.DUMMYFUNCTION("IFERROR((IFERROR(FILTER('Fund Investment Data'!$P:$P,'Fund Investment Data'!$C:$C = $C2674,'Fund Investment Data'!$A:$A = ($A2674 - 2), 'Fund Investment Data'!$B:$B = 12),0) - SUM(FILTER('Fund Investment Data'!$V:$V, 'Fund Investment Data'!$C:$C = $C2674,"&amp;" 'Fund Investment Data'!$A:$A = ($A2674 - 2), 'Fund Investment Data'!$B:$B &gt; 3)))  * Parameters!$B$4 * (1 - Parameters!$A$4),0)"),0.0)</f>
        <v>0</v>
      </c>
      <c r="Z2674" s="91">
        <f t="shared" si="24"/>
        <v>0</v>
      </c>
      <c r="AA2674" s="91">
        <f>IFERROR(__xludf.DUMMYFUNCTION("((IFERROR((SUM(FILTER('Fund Investment Data'!$V:$V, 'Fund Investment Data'!$C:$C = $C2674, 'Fund Investment Data'!$A:$A = $A2674 - 1, 'Fund Investment Data'!$B:$B &gt;= 4, 'Fund Investment Data'!$B:$B &lt;= ($B2674 + 5))) / 12) * ($B2674 - 3) * Parameters!$B$4,"&amp;" 0) + IF($B2674 &gt;= 9, IFERROR(SUM(FILTER('Fund Investment Data'!$V:$V, 'Fund Investment Data'!$C:$C = $C2674, 'Fund Investment Data'!$A:$A = $A2674, 'Fund Investment Data'!$B:$B &lt;= 3)) * Parameters!$B$4, 0),0)))"),0.0)</f>
        <v>0</v>
      </c>
      <c r="AB2674" s="32">
        <f>IFERROR(__xludf.DUMMYFUNCTION("IFERROR(((IFERROR(SUM(FILTER('Fund Investment Data'!$V:$V, 'Fund Investment Data'!$C:$C = $C2674, 'Fund Investment Data'!$A:$A = $A2674 - 2, 'Fund Investment Data'!$B:$B &gt;= 4)) * Parameters!$B$4,0) + IFERROR(SUM(FILTER('Fund Investment Data'!$V:$V, 'Fund "&amp;"Investment Data'!$C:$C = $C2674, 'Fund Investment Data'!$A:$A = $A2674 - 1, 'Fund Investment Data'!$B:$B &lt;= 3)) * Parameters!$B$4,0))),0)"),0.0)</f>
        <v>0</v>
      </c>
      <c r="AC2674" s="32">
        <f>IFERROR(__xludf.DUMMYFUNCTION("IFERROR(FILTER($AF:$AF,$C:$C = $C2674,$A:$A = $A2674 - 1,$B:$B = 12),0)"),0.0)</f>
        <v>0</v>
      </c>
      <c r="AD2674" s="32">
        <f t="shared" si="23"/>
        <v>0</v>
      </c>
      <c r="AE2674" s="32">
        <f t="shared" si="2"/>
        <v>0</v>
      </c>
      <c r="AF2674" s="32"/>
    </row>
    <row r="2675">
      <c r="A2675" s="86"/>
      <c r="B2675" s="87"/>
      <c r="C2675" s="88"/>
      <c r="D2675" s="104"/>
      <c r="E2675" s="104"/>
      <c r="F2675" s="104"/>
      <c r="G2675" s="104"/>
      <c r="H2675" s="104"/>
      <c r="I2675" s="104"/>
      <c r="J2675" s="104"/>
      <c r="K2675" s="32"/>
      <c r="L2675" s="32"/>
      <c r="M2675" s="32"/>
      <c r="N2675" s="32"/>
      <c r="O2675" s="106"/>
      <c r="P2675" s="91">
        <f>IFERROR(__xludf.DUMMYFUNCTION("IFERROR(sum(FILTER($D:$N,$C:$C = $C2675,$A:$A &lt; $A2675,$B:$B = 12)),0) + sum($D2675:$N2675)"),0.0)</f>
        <v>0</v>
      </c>
      <c r="Q2675" s="92">
        <f t="shared" si="1"/>
        <v>0</v>
      </c>
      <c r="R2675" s="91">
        <f t="array" ref="R2675">IFERROR(INDEX('Fund YTD Target Values'!$1:$1000, MATCH($C2675,'Fund YTD Target Values'!$A:$A,0), MATCH($A2675,'Fund YTD Target Values'!$1:$1,0)),0)</f>
        <v>0</v>
      </c>
      <c r="S2675" s="91">
        <f>IFERROR(__xludf.DUMMYFUNCTION("IFERROR(sum(FILTER('Fund Investment Data'!$V:$V, 'Fund Investment Data'!$C:$C = $C2675, 'Fund Investment Data'!$A:$A &lt; $A2675)),0) + IFERROR(sum(FILTER('Fund Investment Data'!$V:$V, 'Fund Investment Data'!$C:$C = $C2675, 'Fund Investment Data'!$A:$A = $A2"&amp;"675, 'Fund Investment Data'!$B:$B &lt;= $B2675)),0)"),0.0)</f>
        <v>0</v>
      </c>
      <c r="T2675" s="32"/>
      <c r="U2675" s="32"/>
      <c r="V2675" s="32">
        <f>IFERROR(__xludf.DUMMYFUNCTION("$D2675 - IFERROR(FILTER($D:$D,$C:$C = $C2675, $A:$A = $A2675, $B:$B = $B2675 - 1),0)"),0.0)</f>
        <v>0</v>
      </c>
      <c r="W2675" s="93">
        <f>IFERROR(__xludf.DUMMYFUNCTION("$E2675 - IFERROR(FILTER($E:$E,$C:$C = $C2675, $A:$A = $A2675, $B:$B = $B2675 - 1),0)"),0.0)</f>
        <v>0</v>
      </c>
      <c r="X2675" s="91">
        <f>IFERROR(__xludf.DUMMYFUNCTION("iFERROR((FILTER('Fund Investment Data'!$Z:$Z, 'Fund Investment Data'!$C:$C = $C2675, 'Fund Investment Data'!$A:$A = $A2675 - 1, 'Fund Investment Data'!$B:$B = 12) + FILTER('Fund Investment Data'!$AB:$AB, 'Fund Investment Data'!$C:$C = $C2675, 'Fund Invest"&amp;"ment Data'!$A:$A = $A2675 - 1, 'Fund Investment Data'!$B:$B = 12)) * (1 + AVERAGE(FILTER('Inflation Data'!$C:$C,'Inflation Data'!$A:$A = ($A2675 - 2)))) * Parameters!$A$4,0)"),0.0)</f>
        <v>0</v>
      </c>
      <c r="Y2675" s="91">
        <f>IFERROR(__xludf.DUMMYFUNCTION("IFERROR((IFERROR(FILTER('Fund Investment Data'!$P:$P,'Fund Investment Data'!$C:$C = $C2675,'Fund Investment Data'!$A:$A = ($A2675 - 2), 'Fund Investment Data'!$B:$B = 12),0) - SUM(FILTER('Fund Investment Data'!$V:$V, 'Fund Investment Data'!$C:$C = $C2675,"&amp;" 'Fund Investment Data'!$A:$A = ($A2675 - 2), 'Fund Investment Data'!$B:$B &gt; 3)))  * Parameters!$B$4 * (1 - Parameters!$A$4),0)"),0.0)</f>
        <v>0</v>
      </c>
      <c r="Z2675" s="91">
        <f t="shared" si="24"/>
        <v>0</v>
      </c>
      <c r="AA2675" s="91">
        <f>IFERROR(__xludf.DUMMYFUNCTION("((IFERROR((SUM(FILTER('Fund Investment Data'!$V:$V, 'Fund Investment Data'!$C:$C = $C2675, 'Fund Investment Data'!$A:$A = $A2675 - 1, 'Fund Investment Data'!$B:$B &gt;= 4, 'Fund Investment Data'!$B:$B &lt;= ($B2675 + 5))) / 12) * ($B2675 - 3) * Parameters!$B$4,"&amp;" 0) + IF($B2675 &gt;= 9, IFERROR(SUM(FILTER('Fund Investment Data'!$V:$V, 'Fund Investment Data'!$C:$C = $C2675, 'Fund Investment Data'!$A:$A = $A2675, 'Fund Investment Data'!$B:$B &lt;= 3)) * Parameters!$B$4, 0),0)))"),0.0)</f>
        <v>0</v>
      </c>
      <c r="AB2675" s="32">
        <f>IFERROR(__xludf.DUMMYFUNCTION("IFERROR(((IFERROR(SUM(FILTER('Fund Investment Data'!$V:$V, 'Fund Investment Data'!$C:$C = $C2675, 'Fund Investment Data'!$A:$A = $A2675 - 2, 'Fund Investment Data'!$B:$B &gt;= 4)) * Parameters!$B$4,0) + IFERROR(SUM(FILTER('Fund Investment Data'!$V:$V, 'Fund "&amp;"Investment Data'!$C:$C = $C2675, 'Fund Investment Data'!$A:$A = $A2675 - 1, 'Fund Investment Data'!$B:$B &lt;= 3)) * Parameters!$B$4,0))),0)"),0.0)</f>
        <v>0</v>
      </c>
      <c r="AC2675" s="32">
        <f>IFERROR(__xludf.DUMMYFUNCTION("IFERROR(FILTER($AF:$AF,$C:$C = $C2675,$A:$A = $A2675 - 1,$B:$B = 12),0)"),0.0)</f>
        <v>0</v>
      </c>
      <c r="AD2675" s="32">
        <f t="shared" si="23"/>
        <v>0</v>
      </c>
      <c r="AE2675" s="32">
        <f t="shared" si="2"/>
        <v>0</v>
      </c>
      <c r="AF2675" s="32"/>
    </row>
    <row r="2676">
      <c r="A2676" s="86"/>
      <c r="B2676" s="87"/>
      <c r="C2676" s="88"/>
      <c r="D2676" s="104"/>
      <c r="E2676" s="104"/>
      <c r="F2676" s="104"/>
      <c r="G2676" s="104"/>
      <c r="H2676" s="104"/>
      <c r="I2676" s="104"/>
      <c r="J2676" s="104"/>
      <c r="K2676" s="32"/>
      <c r="L2676" s="32"/>
      <c r="M2676" s="32"/>
      <c r="N2676" s="32"/>
      <c r="O2676" s="106"/>
      <c r="P2676" s="91">
        <f>IFERROR(__xludf.DUMMYFUNCTION("IFERROR(sum(FILTER($D:$N,$C:$C = $C2676,$A:$A &lt; $A2676,$B:$B = 12)),0) + sum($D2676:$N2676)"),0.0)</f>
        <v>0</v>
      </c>
      <c r="Q2676" s="92">
        <f t="shared" si="1"/>
        <v>0</v>
      </c>
      <c r="R2676" s="91">
        <f t="array" ref="R2676">IFERROR(INDEX('Fund YTD Target Values'!$1:$1000, MATCH($C2676,'Fund YTD Target Values'!$A:$A,0), MATCH($A2676,'Fund YTD Target Values'!$1:$1,0)),0)</f>
        <v>0</v>
      </c>
      <c r="S2676" s="91">
        <f>IFERROR(__xludf.DUMMYFUNCTION("IFERROR(sum(FILTER('Fund Investment Data'!$V:$V, 'Fund Investment Data'!$C:$C = $C2676, 'Fund Investment Data'!$A:$A &lt; $A2676)),0) + IFERROR(sum(FILTER('Fund Investment Data'!$V:$V, 'Fund Investment Data'!$C:$C = $C2676, 'Fund Investment Data'!$A:$A = $A2"&amp;"676, 'Fund Investment Data'!$B:$B &lt;= $B2676)),0)"),0.0)</f>
        <v>0</v>
      </c>
      <c r="T2676" s="32"/>
      <c r="U2676" s="32"/>
      <c r="V2676" s="32">
        <f>IFERROR(__xludf.DUMMYFUNCTION("$D2676 - IFERROR(FILTER($D:$D,$C:$C = $C2676, $A:$A = $A2676, $B:$B = $B2676 - 1),0)"),0.0)</f>
        <v>0</v>
      </c>
      <c r="W2676" s="93">
        <f>IFERROR(__xludf.DUMMYFUNCTION("$E2676 - IFERROR(FILTER($E:$E,$C:$C = $C2676, $A:$A = $A2676, $B:$B = $B2676 - 1),0)"),0.0)</f>
        <v>0</v>
      </c>
      <c r="X2676" s="91">
        <f>IFERROR(__xludf.DUMMYFUNCTION("iFERROR((FILTER('Fund Investment Data'!$Z:$Z, 'Fund Investment Data'!$C:$C = $C2676, 'Fund Investment Data'!$A:$A = $A2676 - 1, 'Fund Investment Data'!$B:$B = 12) + FILTER('Fund Investment Data'!$AB:$AB, 'Fund Investment Data'!$C:$C = $C2676, 'Fund Invest"&amp;"ment Data'!$A:$A = $A2676 - 1, 'Fund Investment Data'!$B:$B = 12)) * (1 + AVERAGE(FILTER('Inflation Data'!$C:$C,'Inflation Data'!$A:$A = ($A2676 - 2)))) * Parameters!$A$4,0)"),0.0)</f>
        <v>0</v>
      </c>
      <c r="Y2676" s="91">
        <f>IFERROR(__xludf.DUMMYFUNCTION("IFERROR((IFERROR(FILTER('Fund Investment Data'!$P:$P,'Fund Investment Data'!$C:$C = $C2676,'Fund Investment Data'!$A:$A = ($A2676 - 2), 'Fund Investment Data'!$B:$B = 12),0) - SUM(FILTER('Fund Investment Data'!$V:$V, 'Fund Investment Data'!$C:$C = $C2676,"&amp;" 'Fund Investment Data'!$A:$A = ($A2676 - 2), 'Fund Investment Data'!$B:$B &gt; 3)))  * Parameters!$B$4 * (1 - Parameters!$A$4),0)"),0.0)</f>
        <v>0</v>
      </c>
      <c r="Z2676" s="91">
        <f t="shared" si="24"/>
        <v>0</v>
      </c>
      <c r="AA2676" s="91">
        <f>IFERROR(__xludf.DUMMYFUNCTION("((IFERROR((SUM(FILTER('Fund Investment Data'!$V:$V, 'Fund Investment Data'!$C:$C = $C2676, 'Fund Investment Data'!$A:$A = $A2676 - 1, 'Fund Investment Data'!$B:$B &gt;= 4, 'Fund Investment Data'!$B:$B &lt;= ($B2676 + 5))) / 12) * ($B2676 - 3) * Parameters!$B$4,"&amp;" 0) + IF($B2676 &gt;= 9, IFERROR(SUM(FILTER('Fund Investment Data'!$V:$V, 'Fund Investment Data'!$C:$C = $C2676, 'Fund Investment Data'!$A:$A = $A2676, 'Fund Investment Data'!$B:$B &lt;= 3)) * Parameters!$B$4, 0),0)))"),0.0)</f>
        <v>0</v>
      </c>
      <c r="AB2676" s="32">
        <f>IFERROR(__xludf.DUMMYFUNCTION("IFERROR(((IFERROR(SUM(FILTER('Fund Investment Data'!$V:$V, 'Fund Investment Data'!$C:$C = $C2676, 'Fund Investment Data'!$A:$A = $A2676 - 2, 'Fund Investment Data'!$B:$B &gt;= 4)) * Parameters!$B$4,0) + IFERROR(SUM(FILTER('Fund Investment Data'!$V:$V, 'Fund "&amp;"Investment Data'!$C:$C = $C2676, 'Fund Investment Data'!$A:$A = $A2676 - 1, 'Fund Investment Data'!$B:$B &lt;= 3)) * Parameters!$B$4,0))),0)"),0.0)</f>
        <v>0</v>
      </c>
      <c r="AC2676" s="32">
        <f>IFERROR(__xludf.DUMMYFUNCTION("IFERROR(FILTER($AF:$AF,$C:$C = $C2676,$A:$A = $A2676 - 1,$B:$B = 12),0)"),0.0)</f>
        <v>0</v>
      </c>
      <c r="AD2676" s="32">
        <f t="shared" si="23"/>
        <v>0</v>
      </c>
      <c r="AE2676" s="32">
        <f t="shared" si="2"/>
        <v>0</v>
      </c>
      <c r="AF2676" s="32"/>
    </row>
    <row r="2677">
      <c r="A2677" s="86"/>
      <c r="B2677" s="87"/>
      <c r="C2677" s="88"/>
      <c r="D2677" s="104"/>
      <c r="E2677" s="104"/>
      <c r="F2677" s="104"/>
      <c r="G2677" s="104"/>
      <c r="H2677" s="104"/>
      <c r="I2677" s="104"/>
      <c r="J2677" s="104"/>
      <c r="K2677" s="32"/>
      <c r="L2677" s="32"/>
      <c r="M2677" s="32"/>
      <c r="N2677" s="32"/>
      <c r="O2677" s="106"/>
      <c r="P2677" s="91">
        <f>IFERROR(__xludf.DUMMYFUNCTION("IFERROR(sum(FILTER($D:$N,$C:$C = $C2677,$A:$A &lt; $A2677,$B:$B = 12)),0) + sum($D2677:$N2677)"),0.0)</f>
        <v>0</v>
      </c>
      <c r="Q2677" s="92">
        <f t="shared" si="1"/>
        <v>0</v>
      </c>
      <c r="R2677" s="91">
        <f t="array" ref="R2677">IFERROR(INDEX('Fund YTD Target Values'!$1:$1000, MATCH($C2677,'Fund YTD Target Values'!$A:$A,0), MATCH($A2677,'Fund YTD Target Values'!$1:$1,0)),0)</f>
        <v>0</v>
      </c>
      <c r="S2677" s="91">
        <f>IFERROR(__xludf.DUMMYFUNCTION("IFERROR(sum(FILTER('Fund Investment Data'!$V:$V, 'Fund Investment Data'!$C:$C = $C2677, 'Fund Investment Data'!$A:$A &lt; $A2677)),0) + IFERROR(sum(FILTER('Fund Investment Data'!$V:$V, 'Fund Investment Data'!$C:$C = $C2677, 'Fund Investment Data'!$A:$A = $A2"&amp;"677, 'Fund Investment Data'!$B:$B &lt;= $B2677)),0)"),0.0)</f>
        <v>0</v>
      </c>
      <c r="T2677" s="32"/>
      <c r="U2677" s="32"/>
      <c r="V2677" s="32">
        <f>IFERROR(__xludf.DUMMYFUNCTION("$D2677 - IFERROR(FILTER($D:$D,$C:$C = $C2677, $A:$A = $A2677, $B:$B = $B2677 - 1),0)"),0.0)</f>
        <v>0</v>
      </c>
      <c r="W2677" s="93">
        <f>IFERROR(__xludf.DUMMYFUNCTION("$E2677 - IFERROR(FILTER($E:$E,$C:$C = $C2677, $A:$A = $A2677, $B:$B = $B2677 - 1),0)"),0.0)</f>
        <v>0</v>
      </c>
      <c r="X2677" s="91">
        <f>IFERROR(__xludf.DUMMYFUNCTION("iFERROR((FILTER('Fund Investment Data'!$Z:$Z, 'Fund Investment Data'!$C:$C = $C2677, 'Fund Investment Data'!$A:$A = $A2677 - 1, 'Fund Investment Data'!$B:$B = 12) + FILTER('Fund Investment Data'!$AB:$AB, 'Fund Investment Data'!$C:$C = $C2677, 'Fund Invest"&amp;"ment Data'!$A:$A = $A2677 - 1, 'Fund Investment Data'!$B:$B = 12)) * (1 + AVERAGE(FILTER('Inflation Data'!$C:$C,'Inflation Data'!$A:$A = ($A2677 - 2)))) * Parameters!$A$4,0)"),0.0)</f>
        <v>0</v>
      </c>
      <c r="Y2677" s="91">
        <f>IFERROR(__xludf.DUMMYFUNCTION("IFERROR((IFERROR(FILTER('Fund Investment Data'!$P:$P,'Fund Investment Data'!$C:$C = $C2677,'Fund Investment Data'!$A:$A = ($A2677 - 2), 'Fund Investment Data'!$B:$B = 12),0) - SUM(FILTER('Fund Investment Data'!$V:$V, 'Fund Investment Data'!$C:$C = $C2677,"&amp;" 'Fund Investment Data'!$A:$A = ($A2677 - 2), 'Fund Investment Data'!$B:$B &gt; 3)))  * Parameters!$B$4 * (1 - Parameters!$A$4),0)"),0.0)</f>
        <v>0</v>
      </c>
      <c r="Z2677" s="91">
        <f t="shared" si="24"/>
        <v>0</v>
      </c>
      <c r="AA2677" s="91">
        <f>IFERROR(__xludf.DUMMYFUNCTION("((IFERROR((SUM(FILTER('Fund Investment Data'!$V:$V, 'Fund Investment Data'!$C:$C = $C2677, 'Fund Investment Data'!$A:$A = $A2677 - 1, 'Fund Investment Data'!$B:$B &gt;= 4, 'Fund Investment Data'!$B:$B &lt;= ($B2677 + 5))) / 12) * ($B2677 - 3) * Parameters!$B$4,"&amp;" 0) + IF($B2677 &gt;= 9, IFERROR(SUM(FILTER('Fund Investment Data'!$V:$V, 'Fund Investment Data'!$C:$C = $C2677, 'Fund Investment Data'!$A:$A = $A2677, 'Fund Investment Data'!$B:$B &lt;= 3)) * Parameters!$B$4, 0),0)))"),0.0)</f>
        <v>0</v>
      </c>
      <c r="AB2677" s="32">
        <f>IFERROR(__xludf.DUMMYFUNCTION("IFERROR(((IFERROR(SUM(FILTER('Fund Investment Data'!$V:$V, 'Fund Investment Data'!$C:$C = $C2677, 'Fund Investment Data'!$A:$A = $A2677 - 2, 'Fund Investment Data'!$B:$B &gt;= 4)) * Parameters!$B$4,0) + IFERROR(SUM(FILTER('Fund Investment Data'!$V:$V, 'Fund "&amp;"Investment Data'!$C:$C = $C2677, 'Fund Investment Data'!$A:$A = $A2677 - 1, 'Fund Investment Data'!$B:$B &lt;= 3)) * Parameters!$B$4,0))),0)"),0.0)</f>
        <v>0</v>
      </c>
      <c r="AC2677" s="32">
        <f>IFERROR(__xludf.DUMMYFUNCTION("IFERROR(FILTER($AF:$AF,$C:$C = $C2677,$A:$A = $A2677 - 1,$B:$B = 12),0)"),0.0)</f>
        <v>0</v>
      </c>
      <c r="AD2677" s="32">
        <f t="shared" si="23"/>
        <v>0</v>
      </c>
      <c r="AE2677" s="32">
        <f t="shared" si="2"/>
        <v>0</v>
      </c>
      <c r="AF2677" s="32"/>
    </row>
    <row r="2678">
      <c r="A2678" s="86"/>
      <c r="B2678" s="87"/>
      <c r="C2678" s="88"/>
      <c r="D2678" s="104"/>
      <c r="E2678" s="104"/>
      <c r="F2678" s="104"/>
      <c r="G2678" s="104"/>
      <c r="H2678" s="104"/>
      <c r="I2678" s="104"/>
      <c r="J2678" s="104"/>
      <c r="K2678" s="32"/>
      <c r="L2678" s="32"/>
      <c r="M2678" s="32"/>
      <c r="N2678" s="32"/>
      <c r="O2678" s="106"/>
      <c r="P2678" s="91">
        <f>IFERROR(__xludf.DUMMYFUNCTION("IFERROR(sum(FILTER($D:$N,$C:$C = $C2678,$A:$A &lt; $A2678,$B:$B = 12)),0) + sum($D2678:$N2678)"),0.0)</f>
        <v>0</v>
      </c>
      <c r="Q2678" s="92">
        <f t="shared" si="1"/>
        <v>0</v>
      </c>
      <c r="R2678" s="91">
        <f t="array" ref="R2678">IFERROR(INDEX('Fund YTD Target Values'!$1:$1000, MATCH($C2678,'Fund YTD Target Values'!$A:$A,0), MATCH($A2678,'Fund YTD Target Values'!$1:$1,0)),0)</f>
        <v>0</v>
      </c>
      <c r="S2678" s="91">
        <f>IFERROR(__xludf.DUMMYFUNCTION("IFERROR(sum(FILTER('Fund Investment Data'!$V:$V, 'Fund Investment Data'!$C:$C = $C2678, 'Fund Investment Data'!$A:$A &lt; $A2678)),0) + IFERROR(sum(FILTER('Fund Investment Data'!$V:$V, 'Fund Investment Data'!$C:$C = $C2678, 'Fund Investment Data'!$A:$A = $A2"&amp;"678, 'Fund Investment Data'!$B:$B &lt;= $B2678)),0)"),0.0)</f>
        <v>0</v>
      </c>
      <c r="T2678" s="32"/>
      <c r="U2678" s="32"/>
      <c r="V2678" s="32">
        <f>IFERROR(__xludf.DUMMYFUNCTION("$D2678 - IFERROR(FILTER($D:$D,$C:$C = $C2678, $A:$A = $A2678, $B:$B = $B2678 - 1),0)"),0.0)</f>
        <v>0</v>
      </c>
      <c r="W2678" s="93">
        <f>IFERROR(__xludf.DUMMYFUNCTION("$E2678 - IFERROR(FILTER($E:$E,$C:$C = $C2678, $A:$A = $A2678, $B:$B = $B2678 - 1),0)"),0.0)</f>
        <v>0</v>
      </c>
      <c r="X2678" s="91">
        <f>IFERROR(__xludf.DUMMYFUNCTION("iFERROR((FILTER('Fund Investment Data'!$Z:$Z, 'Fund Investment Data'!$C:$C = $C2678, 'Fund Investment Data'!$A:$A = $A2678 - 1, 'Fund Investment Data'!$B:$B = 12) + FILTER('Fund Investment Data'!$AB:$AB, 'Fund Investment Data'!$C:$C = $C2678, 'Fund Invest"&amp;"ment Data'!$A:$A = $A2678 - 1, 'Fund Investment Data'!$B:$B = 12)) * (1 + AVERAGE(FILTER('Inflation Data'!$C:$C,'Inflation Data'!$A:$A = ($A2678 - 2)))) * Parameters!$A$4,0)"),0.0)</f>
        <v>0</v>
      </c>
      <c r="Y2678" s="91">
        <f>IFERROR(__xludf.DUMMYFUNCTION("IFERROR((IFERROR(FILTER('Fund Investment Data'!$P:$P,'Fund Investment Data'!$C:$C = $C2678,'Fund Investment Data'!$A:$A = ($A2678 - 2), 'Fund Investment Data'!$B:$B = 12),0) - SUM(FILTER('Fund Investment Data'!$V:$V, 'Fund Investment Data'!$C:$C = $C2678,"&amp;" 'Fund Investment Data'!$A:$A = ($A2678 - 2), 'Fund Investment Data'!$B:$B &gt; 3)))  * Parameters!$B$4 * (1 - Parameters!$A$4),0)"),0.0)</f>
        <v>0</v>
      </c>
      <c r="Z2678" s="91">
        <f t="shared" si="24"/>
        <v>0</v>
      </c>
      <c r="AA2678" s="91">
        <f>IFERROR(__xludf.DUMMYFUNCTION("((IFERROR((SUM(FILTER('Fund Investment Data'!$V:$V, 'Fund Investment Data'!$C:$C = $C2678, 'Fund Investment Data'!$A:$A = $A2678 - 1, 'Fund Investment Data'!$B:$B &gt;= 4, 'Fund Investment Data'!$B:$B &lt;= ($B2678 + 5))) / 12) * ($B2678 - 3) * Parameters!$B$4,"&amp;" 0) + IF($B2678 &gt;= 9, IFERROR(SUM(FILTER('Fund Investment Data'!$V:$V, 'Fund Investment Data'!$C:$C = $C2678, 'Fund Investment Data'!$A:$A = $A2678, 'Fund Investment Data'!$B:$B &lt;= 3)) * Parameters!$B$4, 0),0)))"),0.0)</f>
        <v>0</v>
      </c>
      <c r="AB2678" s="32">
        <f>IFERROR(__xludf.DUMMYFUNCTION("IFERROR(((IFERROR(SUM(FILTER('Fund Investment Data'!$V:$V, 'Fund Investment Data'!$C:$C = $C2678, 'Fund Investment Data'!$A:$A = $A2678 - 2, 'Fund Investment Data'!$B:$B &gt;= 4)) * Parameters!$B$4,0) + IFERROR(SUM(FILTER('Fund Investment Data'!$V:$V, 'Fund "&amp;"Investment Data'!$C:$C = $C2678, 'Fund Investment Data'!$A:$A = $A2678 - 1, 'Fund Investment Data'!$B:$B &lt;= 3)) * Parameters!$B$4,0))),0)"),0.0)</f>
        <v>0</v>
      </c>
      <c r="AC2678" s="32">
        <f>IFERROR(__xludf.DUMMYFUNCTION("IFERROR(FILTER($AF:$AF,$C:$C = $C2678,$A:$A = $A2678 - 1,$B:$B = 12),0)"),0.0)</f>
        <v>0</v>
      </c>
      <c r="AD2678" s="32">
        <f t="shared" si="23"/>
        <v>0</v>
      </c>
      <c r="AE2678" s="32">
        <f t="shared" si="2"/>
        <v>0</v>
      </c>
      <c r="AF2678" s="32"/>
    </row>
    <row r="2679">
      <c r="A2679" s="86"/>
      <c r="B2679" s="87"/>
      <c r="C2679" s="88"/>
      <c r="D2679" s="104"/>
      <c r="E2679" s="104"/>
      <c r="F2679" s="104"/>
      <c r="G2679" s="104"/>
      <c r="H2679" s="104"/>
      <c r="I2679" s="104"/>
      <c r="J2679" s="104"/>
      <c r="K2679" s="32"/>
      <c r="L2679" s="32"/>
      <c r="M2679" s="32"/>
      <c r="N2679" s="32"/>
      <c r="O2679" s="106"/>
      <c r="P2679" s="91">
        <f>IFERROR(__xludf.DUMMYFUNCTION("IFERROR(sum(FILTER($D:$N,$C:$C = $C2679,$A:$A &lt; $A2679,$B:$B = 12)),0) + sum($D2679:$N2679)"),0.0)</f>
        <v>0</v>
      </c>
      <c r="Q2679" s="92">
        <f t="shared" si="1"/>
        <v>0</v>
      </c>
      <c r="R2679" s="91">
        <f t="array" ref="R2679">IFERROR(INDEX('Fund YTD Target Values'!$1:$1000, MATCH($C2679,'Fund YTD Target Values'!$A:$A,0), MATCH($A2679,'Fund YTD Target Values'!$1:$1,0)),0)</f>
        <v>0</v>
      </c>
      <c r="S2679" s="91">
        <f>IFERROR(__xludf.DUMMYFUNCTION("IFERROR(sum(FILTER('Fund Investment Data'!$V:$V, 'Fund Investment Data'!$C:$C = $C2679, 'Fund Investment Data'!$A:$A &lt; $A2679)),0) + IFERROR(sum(FILTER('Fund Investment Data'!$V:$V, 'Fund Investment Data'!$C:$C = $C2679, 'Fund Investment Data'!$A:$A = $A2"&amp;"679, 'Fund Investment Data'!$B:$B &lt;= $B2679)),0)"),0.0)</f>
        <v>0</v>
      </c>
      <c r="T2679" s="32"/>
      <c r="U2679" s="32"/>
      <c r="V2679" s="32">
        <f>IFERROR(__xludf.DUMMYFUNCTION("$D2679 - IFERROR(FILTER($D:$D,$C:$C = $C2679, $A:$A = $A2679, $B:$B = $B2679 - 1),0)"),0.0)</f>
        <v>0</v>
      </c>
      <c r="W2679" s="93">
        <f>IFERROR(__xludf.DUMMYFUNCTION("$E2679 - IFERROR(FILTER($E:$E,$C:$C = $C2679, $A:$A = $A2679, $B:$B = $B2679 - 1),0)"),0.0)</f>
        <v>0</v>
      </c>
      <c r="X2679" s="91">
        <f>IFERROR(__xludf.DUMMYFUNCTION("iFERROR((FILTER('Fund Investment Data'!$Z:$Z, 'Fund Investment Data'!$C:$C = $C2679, 'Fund Investment Data'!$A:$A = $A2679 - 1, 'Fund Investment Data'!$B:$B = 12) + FILTER('Fund Investment Data'!$AB:$AB, 'Fund Investment Data'!$C:$C = $C2679, 'Fund Invest"&amp;"ment Data'!$A:$A = $A2679 - 1, 'Fund Investment Data'!$B:$B = 12)) * (1 + AVERAGE(FILTER('Inflation Data'!$C:$C,'Inflation Data'!$A:$A = ($A2679 - 2)))) * Parameters!$A$4,0)"),0.0)</f>
        <v>0</v>
      </c>
      <c r="Y2679" s="91">
        <f>IFERROR(__xludf.DUMMYFUNCTION("IFERROR((IFERROR(FILTER('Fund Investment Data'!$P:$P,'Fund Investment Data'!$C:$C = $C2679,'Fund Investment Data'!$A:$A = ($A2679 - 2), 'Fund Investment Data'!$B:$B = 12),0) - SUM(FILTER('Fund Investment Data'!$V:$V, 'Fund Investment Data'!$C:$C = $C2679,"&amp;" 'Fund Investment Data'!$A:$A = ($A2679 - 2), 'Fund Investment Data'!$B:$B &gt; 3)))  * Parameters!$B$4 * (1 - Parameters!$A$4),0)"),0.0)</f>
        <v>0</v>
      </c>
      <c r="Z2679" s="91">
        <f t="shared" si="24"/>
        <v>0</v>
      </c>
      <c r="AA2679" s="91">
        <f>IFERROR(__xludf.DUMMYFUNCTION("((IFERROR((SUM(FILTER('Fund Investment Data'!$V:$V, 'Fund Investment Data'!$C:$C = $C2679, 'Fund Investment Data'!$A:$A = $A2679 - 1, 'Fund Investment Data'!$B:$B &gt;= 4, 'Fund Investment Data'!$B:$B &lt;= ($B2679 + 5))) / 12) * ($B2679 - 3) * Parameters!$B$4,"&amp;" 0) + IF($B2679 &gt;= 9, IFERROR(SUM(FILTER('Fund Investment Data'!$V:$V, 'Fund Investment Data'!$C:$C = $C2679, 'Fund Investment Data'!$A:$A = $A2679, 'Fund Investment Data'!$B:$B &lt;= 3)) * Parameters!$B$4, 0),0)))"),0.0)</f>
        <v>0</v>
      </c>
      <c r="AB2679" s="32">
        <f>IFERROR(__xludf.DUMMYFUNCTION("IFERROR(((IFERROR(SUM(FILTER('Fund Investment Data'!$V:$V, 'Fund Investment Data'!$C:$C = $C2679, 'Fund Investment Data'!$A:$A = $A2679 - 2, 'Fund Investment Data'!$B:$B &gt;= 4)) * Parameters!$B$4,0) + IFERROR(SUM(FILTER('Fund Investment Data'!$V:$V, 'Fund "&amp;"Investment Data'!$C:$C = $C2679, 'Fund Investment Data'!$A:$A = $A2679 - 1, 'Fund Investment Data'!$B:$B &lt;= 3)) * Parameters!$B$4,0))),0)"),0.0)</f>
        <v>0</v>
      </c>
      <c r="AC2679" s="32">
        <f>IFERROR(__xludf.DUMMYFUNCTION("IFERROR(FILTER($AF:$AF,$C:$C = $C2679,$A:$A = $A2679 - 1,$B:$B = 12),0)"),0.0)</f>
        <v>0</v>
      </c>
      <c r="AD2679" s="32">
        <f t="shared" si="23"/>
        <v>0</v>
      </c>
      <c r="AE2679" s="32">
        <f t="shared" si="2"/>
        <v>0</v>
      </c>
      <c r="AF2679" s="32"/>
    </row>
    <row r="2680">
      <c r="A2680" s="86"/>
      <c r="B2680" s="87"/>
      <c r="C2680" s="88"/>
      <c r="D2680" s="104"/>
      <c r="E2680" s="104"/>
      <c r="F2680" s="104"/>
      <c r="G2680" s="104"/>
      <c r="H2680" s="104"/>
      <c r="I2680" s="104"/>
      <c r="J2680" s="104"/>
      <c r="K2680" s="32"/>
      <c r="L2680" s="32"/>
      <c r="M2680" s="32"/>
      <c r="N2680" s="32"/>
      <c r="O2680" s="106"/>
      <c r="P2680" s="91">
        <f>IFERROR(__xludf.DUMMYFUNCTION("IFERROR(sum(FILTER($D:$N,$C:$C = $C2680,$A:$A &lt; $A2680,$B:$B = 12)),0) + sum($D2680:$N2680)"),0.0)</f>
        <v>0</v>
      </c>
      <c r="Q2680" s="92">
        <f t="shared" si="1"/>
        <v>0</v>
      </c>
      <c r="R2680" s="91">
        <f t="array" ref="R2680">IFERROR(INDEX('Fund YTD Target Values'!$1:$1000, MATCH($C2680,'Fund YTD Target Values'!$A:$A,0), MATCH($A2680,'Fund YTD Target Values'!$1:$1,0)),0)</f>
        <v>0</v>
      </c>
      <c r="S2680" s="91">
        <f>IFERROR(__xludf.DUMMYFUNCTION("IFERROR(sum(FILTER('Fund Investment Data'!$V:$V, 'Fund Investment Data'!$C:$C = $C2680, 'Fund Investment Data'!$A:$A &lt; $A2680)),0) + IFERROR(sum(FILTER('Fund Investment Data'!$V:$V, 'Fund Investment Data'!$C:$C = $C2680, 'Fund Investment Data'!$A:$A = $A2"&amp;"680, 'Fund Investment Data'!$B:$B &lt;= $B2680)),0)"),0.0)</f>
        <v>0</v>
      </c>
      <c r="T2680" s="32"/>
      <c r="U2680" s="32"/>
      <c r="V2680" s="32">
        <f>IFERROR(__xludf.DUMMYFUNCTION("$D2680 - IFERROR(FILTER($D:$D,$C:$C = $C2680, $A:$A = $A2680, $B:$B = $B2680 - 1),0)"),0.0)</f>
        <v>0</v>
      </c>
      <c r="W2680" s="93">
        <f>IFERROR(__xludf.DUMMYFUNCTION("$E2680 - IFERROR(FILTER($E:$E,$C:$C = $C2680, $A:$A = $A2680, $B:$B = $B2680 - 1),0)"),0.0)</f>
        <v>0</v>
      </c>
      <c r="X2680" s="91">
        <f>IFERROR(__xludf.DUMMYFUNCTION("iFERROR((FILTER('Fund Investment Data'!$Z:$Z, 'Fund Investment Data'!$C:$C = $C2680, 'Fund Investment Data'!$A:$A = $A2680 - 1, 'Fund Investment Data'!$B:$B = 12) + FILTER('Fund Investment Data'!$AB:$AB, 'Fund Investment Data'!$C:$C = $C2680, 'Fund Invest"&amp;"ment Data'!$A:$A = $A2680 - 1, 'Fund Investment Data'!$B:$B = 12)) * (1 + AVERAGE(FILTER('Inflation Data'!$C:$C,'Inflation Data'!$A:$A = ($A2680 - 2)))) * Parameters!$A$4,0)"),0.0)</f>
        <v>0</v>
      </c>
      <c r="Y2680" s="91">
        <f>IFERROR(__xludf.DUMMYFUNCTION("IFERROR((IFERROR(FILTER('Fund Investment Data'!$P:$P,'Fund Investment Data'!$C:$C = $C2680,'Fund Investment Data'!$A:$A = ($A2680 - 2), 'Fund Investment Data'!$B:$B = 12),0) - SUM(FILTER('Fund Investment Data'!$V:$V, 'Fund Investment Data'!$C:$C = $C2680,"&amp;" 'Fund Investment Data'!$A:$A = ($A2680 - 2), 'Fund Investment Data'!$B:$B &gt; 3)))  * Parameters!$B$4 * (1 - Parameters!$A$4),0)"),0.0)</f>
        <v>0</v>
      </c>
      <c r="Z2680" s="91">
        <f t="shared" si="24"/>
        <v>0</v>
      </c>
      <c r="AA2680" s="91">
        <f>IFERROR(__xludf.DUMMYFUNCTION("((IFERROR((SUM(FILTER('Fund Investment Data'!$V:$V, 'Fund Investment Data'!$C:$C = $C2680, 'Fund Investment Data'!$A:$A = $A2680 - 1, 'Fund Investment Data'!$B:$B &gt;= 4, 'Fund Investment Data'!$B:$B &lt;= ($B2680 + 5))) / 12) * ($B2680 - 3) * Parameters!$B$4,"&amp;" 0) + IF($B2680 &gt;= 9, IFERROR(SUM(FILTER('Fund Investment Data'!$V:$V, 'Fund Investment Data'!$C:$C = $C2680, 'Fund Investment Data'!$A:$A = $A2680, 'Fund Investment Data'!$B:$B &lt;= 3)) * Parameters!$B$4, 0),0)))"),0.0)</f>
        <v>0</v>
      </c>
      <c r="AB2680" s="32">
        <f>IFERROR(__xludf.DUMMYFUNCTION("IFERROR(((IFERROR(SUM(FILTER('Fund Investment Data'!$V:$V, 'Fund Investment Data'!$C:$C = $C2680, 'Fund Investment Data'!$A:$A = $A2680 - 2, 'Fund Investment Data'!$B:$B &gt;= 4)) * Parameters!$B$4,0) + IFERROR(SUM(FILTER('Fund Investment Data'!$V:$V, 'Fund "&amp;"Investment Data'!$C:$C = $C2680, 'Fund Investment Data'!$A:$A = $A2680 - 1, 'Fund Investment Data'!$B:$B &lt;= 3)) * Parameters!$B$4,0))),0)"),0.0)</f>
        <v>0</v>
      </c>
      <c r="AC2680" s="32">
        <f>IFERROR(__xludf.DUMMYFUNCTION("IFERROR(FILTER($AF:$AF,$C:$C = $C2680,$A:$A = $A2680 - 1,$B:$B = 12),0)"),0.0)</f>
        <v>0</v>
      </c>
      <c r="AD2680" s="32">
        <f t="shared" si="23"/>
        <v>0</v>
      </c>
      <c r="AE2680" s="32">
        <f t="shared" si="2"/>
        <v>0</v>
      </c>
      <c r="AF2680" s="32"/>
    </row>
    <row r="2681">
      <c r="A2681" s="86"/>
      <c r="B2681" s="87"/>
      <c r="C2681" s="88"/>
      <c r="D2681" s="104"/>
      <c r="E2681" s="104"/>
      <c r="F2681" s="104"/>
      <c r="G2681" s="104"/>
      <c r="H2681" s="104"/>
      <c r="I2681" s="104"/>
      <c r="J2681" s="104"/>
      <c r="K2681" s="32"/>
      <c r="L2681" s="32"/>
      <c r="M2681" s="32"/>
      <c r="N2681" s="32"/>
      <c r="O2681" s="106"/>
      <c r="P2681" s="91">
        <f>IFERROR(__xludf.DUMMYFUNCTION("IFERROR(sum(FILTER($D:$N,$C:$C = $C2681,$A:$A &lt; $A2681,$B:$B = 12)),0) + sum($D2681:$N2681)"),0.0)</f>
        <v>0</v>
      </c>
      <c r="Q2681" s="92">
        <f t="shared" si="1"/>
        <v>0</v>
      </c>
      <c r="R2681" s="91">
        <f t="array" ref="R2681">IFERROR(INDEX('Fund YTD Target Values'!$1:$1000, MATCH($C2681,'Fund YTD Target Values'!$A:$A,0), MATCH($A2681,'Fund YTD Target Values'!$1:$1,0)),0)</f>
        <v>0</v>
      </c>
      <c r="S2681" s="91">
        <f>IFERROR(__xludf.DUMMYFUNCTION("IFERROR(sum(FILTER('Fund Investment Data'!$V:$V, 'Fund Investment Data'!$C:$C = $C2681, 'Fund Investment Data'!$A:$A &lt; $A2681)),0) + IFERROR(sum(FILTER('Fund Investment Data'!$V:$V, 'Fund Investment Data'!$C:$C = $C2681, 'Fund Investment Data'!$A:$A = $A2"&amp;"681, 'Fund Investment Data'!$B:$B &lt;= $B2681)),0)"),0.0)</f>
        <v>0</v>
      </c>
      <c r="T2681" s="32"/>
      <c r="U2681" s="32"/>
      <c r="V2681" s="32">
        <f>IFERROR(__xludf.DUMMYFUNCTION("$D2681 - IFERROR(FILTER($D:$D,$C:$C = $C2681, $A:$A = $A2681, $B:$B = $B2681 - 1),0)"),0.0)</f>
        <v>0</v>
      </c>
      <c r="W2681" s="93">
        <f>IFERROR(__xludf.DUMMYFUNCTION("$E2681 - IFERROR(FILTER($E:$E,$C:$C = $C2681, $A:$A = $A2681, $B:$B = $B2681 - 1),0)"),0.0)</f>
        <v>0</v>
      </c>
      <c r="X2681" s="91">
        <f>IFERROR(__xludf.DUMMYFUNCTION("iFERROR((FILTER('Fund Investment Data'!$Z:$Z, 'Fund Investment Data'!$C:$C = $C2681, 'Fund Investment Data'!$A:$A = $A2681 - 1, 'Fund Investment Data'!$B:$B = 12) + FILTER('Fund Investment Data'!$AB:$AB, 'Fund Investment Data'!$C:$C = $C2681, 'Fund Invest"&amp;"ment Data'!$A:$A = $A2681 - 1, 'Fund Investment Data'!$B:$B = 12)) * (1 + AVERAGE(FILTER('Inflation Data'!$C:$C,'Inflation Data'!$A:$A = ($A2681 - 2)))) * Parameters!$A$4,0)"),0.0)</f>
        <v>0</v>
      </c>
      <c r="Y2681" s="91">
        <f>IFERROR(__xludf.DUMMYFUNCTION("IFERROR((IFERROR(FILTER('Fund Investment Data'!$P:$P,'Fund Investment Data'!$C:$C = $C2681,'Fund Investment Data'!$A:$A = ($A2681 - 2), 'Fund Investment Data'!$B:$B = 12),0) - SUM(FILTER('Fund Investment Data'!$V:$V, 'Fund Investment Data'!$C:$C = $C2681,"&amp;" 'Fund Investment Data'!$A:$A = ($A2681 - 2), 'Fund Investment Data'!$B:$B &gt; 3)))  * Parameters!$B$4 * (1 - Parameters!$A$4),0)"),0.0)</f>
        <v>0</v>
      </c>
      <c r="Z2681" s="91">
        <f t="shared" si="24"/>
        <v>0</v>
      </c>
      <c r="AA2681" s="91">
        <f>IFERROR(__xludf.DUMMYFUNCTION("((IFERROR((SUM(FILTER('Fund Investment Data'!$V:$V, 'Fund Investment Data'!$C:$C = $C2681, 'Fund Investment Data'!$A:$A = $A2681 - 1, 'Fund Investment Data'!$B:$B &gt;= 4, 'Fund Investment Data'!$B:$B &lt;= ($B2681 + 5))) / 12) * ($B2681 - 3) * Parameters!$B$4,"&amp;" 0) + IF($B2681 &gt;= 9, IFERROR(SUM(FILTER('Fund Investment Data'!$V:$V, 'Fund Investment Data'!$C:$C = $C2681, 'Fund Investment Data'!$A:$A = $A2681, 'Fund Investment Data'!$B:$B &lt;= 3)) * Parameters!$B$4, 0),0)))"),0.0)</f>
        <v>0</v>
      </c>
      <c r="AB2681" s="32">
        <f>IFERROR(__xludf.DUMMYFUNCTION("IFERROR(((IFERROR(SUM(FILTER('Fund Investment Data'!$V:$V, 'Fund Investment Data'!$C:$C = $C2681, 'Fund Investment Data'!$A:$A = $A2681 - 2, 'Fund Investment Data'!$B:$B &gt;= 4)) * Parameters!$B$4,0) + IFERROR(SUM(FILTER('Fund Investment Data'!$V:$V, 'Fund "&amp;"Investment Data'!$C:$C = $C2681, 'Fund Investment Data'!$A:$A = $A2681 - 1, 'Fund Investment Data'!$B:$B &lt;= 3)) * Parameters!$B$4,0))),0)"),0.0)</f>
        <v>0</v>
      </c>
      <c r="AC2681" s="32">
        <f>IFERROR(__xludf.DUMMYFUNCTION("IFERROR(FILTER($AF:$AF,$C:$C = $C2681,$A:$A = $A2681 - 1,$B:$B = 12),0)"),0.0)</f>
        <v>0</v>
      </c>
      <c r="AD2681" s="32">
        <f t="shared" si="23"/>
        <v>0</v>
      </c>
      <c r="AE2681" s="32">
        <f t="shared" si="2"/>
        <v>0</v>
      </c>
      <c r="AF2681" s="32"/>
    </row>
    <row r="2682">
      <c r="A2682" s="86"/>
      <c r="B2682" s="87"/>
      <c r="C2682" s="88"/>
      <c r="D2682" s="104"/>
      <c r="E2682" s="104"/>
      <c r="F2682" s="104"/>
      <c r="G2682" s="104"/>
      <c r="H2682" s="104"/>
      <c r="I2682" s="104"/>
      <c r="J2682" s="104"/>
      <c r="K2682" s="32"/>
      <c r="L2682" s="32"/>
      <c r="M2682" s="32"/>
      <c r="N2682" s="32"/>
      <c r="O2682" s="106"/>
      <c r="P2682" s="91">
        <f>IFERROR(__xludf.DUMMYFUNCTION("IFERROR(sum(FILTER($D:$N,$C:$C = $C2682,$A:$A &lt; $A2682,$B:$B = 12)),0) + sum($D2682:$N2682)"),0.0)</f>
        <v>0</v>
      </c>
      <c r="Q2682" s="92">
        <f t="shared" si="1"/>
        <v>0</v>
      </c>
      <c r="R2682" s="91">
        <f t="array" ref="R2682">IFERROR(INDEX('Fund YTD Target Values'!$1:$1000, MATCH($C2682,'Fund YTD Target Values'!$A:$A,0), MATCH($A2682,'Fund YTD Target Values'!$1:$1,0)),0)</f>
        <v>0</v>
      </c>
      <c r="S2682" s="91">
        <f>IFERROR(__xludf.DUMMYFUNCTION("IFERROR(sum(FILTER('Fund Investment Data'!$V:$V, 'Fund Investment Data'!$C:$C = $C2682, 'Fund Investment Data'!$A:$A &lt; $A2682)),0) + IFERROR(sum(FILTER('Fund Investment Data'!$V:$V, 'Fund Investment Data'!$C:$C = $C2682, 'Fund Investment Data'!$A:$A = $A2"&amp;"682, 'Fund Investment Data'!$B:$B &lt;= $B2682)),0)"),0.0)</f>
        <v>0</v>
      </c>
      <c r="T2682" s="32"/>
      <c r="U2682" s="32"/>
      <c r="V2682" s="32">
        <f>IFERROR(__xludf.DUMMYFUNCTION("$D2682 - IFERROR(FILTER($D:$D,$C:$C = $C2682, $A:$A = $A2682, $B:$B = $B2682 - 1),0)"),0.0)</f>
        <v>0</v>
      </c>
      <c r="W2682" s="93">
        <f>IFERROR(__xludf.DUMMYFUNCTION("$E2682 - IFERROR(FILTER($E:$E,$C:$C = $C2682, $A:$A = $A2682, $B:$B = $B2682 - 1),0)"),0.0)</f>
        <v>0</v>
      </c>
      <c r="X2682" s="91">
        <f>IFERROR(__xludf.DUMMYFUNCTION("iFERROR((FILTER('Fund Investment Data'!$Z:$Z, 'Fund Investment Data'!$C:$C = $C2682, 'Fund Investment Data'!$A:$A = $A2682 - 1, 'Fund Investment Data'!$B:$B = 12) + FILTER('Fund Investment Data'!$AB:$AB, 'Fund Investment Data'!$C:$C = $C2682, 'Fund Invest"&amp;"ment Data'!$A:$A = $A2682 - 1, 'Fund Investment Data'!$B:$B = 12)) * (1 + AVERAGE(FILTER('Inflation Data'!$C:$C,'Inflation Data'!$A:$A = ($A2682 - 2)))) * Parameters!$A$4,0)"),0.0)</f>
        <v>0</v>
      </c>
      <c r="Y2682" s="91">
        <f>IFERROR(__xludf.DUMMYFUNCTION("IFERROR((IFERROR(FILTER('Fund Investment Data'!$P:$P,'Fund Investment Data'!$C:$C = $C2682,'Fund Investment Data'!$A:$A = ($A2682 - 2), 'Fund Investment Data'!$B:$B = 12),0) - SUM(FILTER('Fund Investment Data'!$V:$V, 'Fund Investment Data'!$C:$C = $C2682,"&amp;" 'Fund Investment Data'!$A:$A = ($A2682 - 2), 'Fund Investment Data'!$B:$B &gt; 3)))  * Parameters!$B$4 * (1 - Parameters!$A$4),0)"),0.0)</f>
        <v>0</v>
      </c>
      <c r="Z2682" s="91">
        <f t="shared" si="24"/>
        <v>0</v>
      </c>
      <c r="AA2682" s="91">
        <f>IFERROR(__xludf.DUMMYFUNCTION("((IFERROR((SUM(FILTER('Fund Investment Data'!$V:$V, 'Fund Investment Data'!$C:$C = $C2682, 'Fund Investment Data'!$A:$A = $A2682 - 1, 'Fund Investment Data'!$B:$B &gt;= 4, 'Fund Investment Data'!$B:$B &lt;= ($B2682 + 5))) / 12) * ($B2682 - 3) * Parameters!$B$4,"&amp;" 0) + IF($B2682 &gt;= 9, IFERROR(SUM(FILTER('Fund Investment Data'!$V:$V, 'Fund Investment Data'!$C:$C = $C2682, 'Fund Investment Data'!$A:$A = $A2682, 'Fund Investment Data'!$B:$B &lt;= 3)) * Parameters!$B$4, 0),0)))"),0.0)</f>
        <v>0</v>
      </c>
      <c r="AB2682" s="32">
        <f>IFERROR(__xludf.DUMMYFUNCTION("IFERROR(((IFERROR(SUM(FILTER('Fund Investment Data'!$V:$V, 'Fund Investment Data'!$C:$C = $C2682, 'Fund Investment Data'!$A:$A = $A2682 - 2, 'Fund Investment Data'!$B:$B &gt;= 4)) * Parameters!$B$4,0) + IFERROR(SUM(FILTER('Fund Investment Data'!$V:$V, 'Fund "&amp;"Investment Data'!$C:$C = $C2682, 'Fund Investment Data'!$A:$A = $A2682 - 1, 'Fund Investment Data'!$B:$B &lt;= 3)) * Parameters!$B$4,0))),0)"),0.0)</f>
        <v>0</v>
      </c>
      <c r="AC2682" s="32">
        <f>IFERROR(__xludf.DUMMYFUNCTION("IFERROR(FILTER($AF:$AF,$C:$C = $C2682,$A:$A = $A2682 - 1,$B:$B = 12),0)"),0.0)</f>
        <v>0</v>
      </c>
      <c r="AD2682" s="32">
        <f t="shared" si="23"/>
        <v>0</v>
      </c>
      <c r="AE2682" s="32">
        <f t="shared" si="2"/>
        <v>0</v>
      </c>
      <c r="AF2682" s="32"/>
    </row>
    <row r="2683">
      <c r="A2683" s="86"/>
      <c r="B2683" s="87"/>
      <c r="C2683" s="88"/>
      <c r="D2683" s="104"/>
      <c r="E2683" s="104"/>
      <c r="F2683" s="104"/>
      <c r="G2683" s="104"/>
      <c r="H2683" s="104"/>
      <c r="I2683" s="104"/>
      <c r="J2683" s="104"/>
      <c r="K2683" s="32"/>
      <c r="L2683" s="32"/>
      <c r="M2683" s="32"/>
      <c r="N2683" s="32"/>
      <c r="O2683" s="106"/>
      <c r="P2683" s="91">
        <f>IFERROR(__xludf.DUMMYFUNCTION("IFERROR(sum(FILTER($D:$N,$C:$C = $C2683,$A:$A &lt; $A2683,$B:$B = 12)),0) + sum($D2683:$N2683)"),0.0)</f>
        <v>0</v>
      </c>
      <c r="Q2683" s="92">
        <f t="shared" si="1"/>
        <v>0</v>
      </c>
      <c r="R2683" s="91">
        <f t="array" ref="R2683">IFERROR(INDEX('Fund YTD Target Values'!$1:$1000, MATCH($C2683,'Fund YTD Target Values'!$A:$A,0), MATCH($A2683,'Fund YTD Target Values'!$1:$1,0)),0)</f>
        <v>0</v>
      </c>
      <c r="S2683" s="91">
        <f>IFERROR(__xludf.DUMMYFUNCTION("IFERROR(sum(FILTER('Fund Investment Data'!$V:$V, 'Fund Investment Data'!$C:$C = $C2683, 'Fund Investment Data'!$A:$A &lt; $A2683)),0) + IFERROR(sum(FILTER('Fund Investment Data'!$V:$V, 'Fund Investment Data'!$C:$C = $C2683, 'Fund Investment Data'!$A:$A = $A2"&amp;"683, 'Fund Investment Data'!$B:$B &lt;= $B2683)),0)"),0.0)</f>
        <v>0</v>
      </c>
      <c r="T2683" s="32"/>
      <c r="U2683" s="32"/>
      <c r="V2683" s="32">
        <f>IFERROR(__xludf.DUMMYFUNCTION("$D2683 - IFERROR(FILTER($D:$D,$C:$C = $C2683, $A:$A = $A2683, $B:$B = $B2683 - 1),0)"),0.0)</f>
        <v>0</v>
      </c>
      <c r="W2683" s="93">
        <f>IFERROR(__xludf.DUMMYFUNCTION("$E2683 - IFERROR(FILTER($E:$E,$C:$C = $C2683, $A:$A = $A2683, $B:$B = $B2683 - 1),0)"),0.0)</f>
        <v>0</v>
      </c>
      <c r="X2683" s="91">
        <f>IFERROR(__xludf.DUMMYFUNCTION("iFERROR((FILTER('Fund Investment Data'!$Z:$Z, 'Fund Investment Data'!$C:$C = $C2683, 'Fund Investment Data'!$A:$A = $A2683 - 1, 'Fund Investment Data'!$B:$B = 12) + FILTER('Fund Investment Data'!$AB:$AB, 'Fund Investment Data'!$C:$C = $C2683, 'Fund Invest"&amp;"ment Data'!$A:$A = $A2683 - 1, 'Fund Investment Data'!$B:$B = 12)) * (1 + AVERAGE(FILTER('Inflation Data'!$C:$C,'Inflation Data'!$A:$A = ($A2683 - 2)))) * Parameters!$A$4,0)"),0.0)</f>
        <v>0</v>
      </c>
      <c r="Y2683" s="91">
        <f>IFERROR(__xludf.DUMMYFUNCTION("IFERROR((IFERROR(FILTER('Fund Investment Data'!$P:$P,'Fund Investment Data'!$C:$C = $C2683,'Fund Investment Data'!$A:$A = ($A2683 - 2), 'Fund Investment Data'!$B:$B = 12),0) - SUM(FILTER('Fund Investment Data'!$V:$V, 'Fund Investment Data'!$C:$C = $C2683,"&amp;" 'Fund Investment Data'!$A:$A = ($A2683 - 2), 'Fund Investment Data'!$B:$B &gt; 3)))  * Parameters!$B$4 * (1 - Parameters!$A$4),0)"),0.0)</f>
        <v>0</v>
      </c>
      <c r="Z2683" s="91">
        <f t="shared" si="24"/>
        <v>0</v>
      </c>
      <c r="AA2683" s="91">
        <f>IFERROR(__xludf.DUMMYFUNCTION("((IFERROR((SUM(FILTER('Fund Investment Data'!$V:$V, 'Fund Investment Data'!$C:$C = $C2683, 'Fund Investment Data'!$A:$A = $A2683 - 1, 'Fund Investment Data'!$B:$B &gt;= 4, 'Fund Investment Data'!$B:$B &lt;= ($B2683 + 5))) / 12) * ($B2683 - 3) * Parameters!$B$4,"&amp;" 0) + IF($B2683 &gt;= 9, IFERROR(SUM(FILTER('Fund Investment Data'!$V:$V, 'Fund Investment Data'!$C:$C = $C2683, 'Fund Investment Data'!$A:$A = $A2683, 'Fund Investment Data'!$B:$B &lt;= 3)) * Parameters!$B$4, 0),0)))"),0.0)</f>
        <v>0</v>
      </c>
      <c r="AB2683" s="32">
        <f>IFERROR(__xludf.DUMMYFUNCTION("IFERROR(((IFERROR(SUM(FILTER('Fund Investment Data'!$V:$V, 'Fund Investment Data'!$C:$C = $C2683, 'Fund Investment Data'!$A:$A = $A2683 - 2, 'Fund Investment Data'!$B:$B &gt;= 4)) * Parameters!$B$4,0) + IFERROR(SUM(FILTER('Fund Investment Data'!$V:$V, 'Fund "&amp;"Investment Data'!$C:$C = $C2683, 'Fund Investment Data'!$A:$A = $A2683 - 1, 'Fund Investment Data'!$B:$B &lt;= 3)) * Parameters!$B$4,0))),0)"),0.0)</f>
        <v>0</v>
      </c>
      <c r="AC2683" s="32">
        <f>IFERROR(__xludf.DUMMYFUNCTION("IFERROR(FILTER($AF:$AF,$C:$C = $C2683,$A:$A = $A2683 - 1,$B:$B = 12),0)"),0.0)</f>
        <v>0</v>
      </c>
      <c r="AD2683" s="32">
        <f t="shared" si="23"/>
        <v>0</v>
      </c>
      <c r="AE2683" s="32">
        <f t="shared" si="2"/>
        <v>0</v>
      </c>
      <c r="AF2683" s="32"/>
    </row>
    <row r="2684">
      <c r="A2684" s="86"/>
      <c r="B2684" s="87"/>
      <c r="C2684" s="88"/>
      <c r="D2684" s="104"/>
      <c r="E2684" s="104"/>
      <c r="F2684" s="104"/>
      <c r="G2684" s="104"/>
      <c r="H2684" s="104"/>
      <c r="I2684" s="104"/>
      <c r="J2684" s="104"/>
      <c r="K2684" s="32"/>
      <c r="L2684" s="32"/>
      <c r="M2684" s="32"/>
      <c r="N2684" s="32"/>
      <c r="O2684" s="106"/>
      <c r="P2684" s="91">
        <f>IFERROR(__xludf.DUMMYFUNCTION("IFERROR(sum(FILTER($D:$N,$C:$C = $C2684,$A:$A &lt; $A2684,$B:$B = 12)),0) + sum($D2684:$N2684)"),0.0)</f>
        <v>0</v>
      </c>
      <c r="Q2684" s="92">
        <f t="shared" si="1"/>
        <v>0</v>
      </c>
      <c r="R2684" s="91">
        <f t="array" ref="R2684">IFERROR(INDEX('Fund YTD Target Values'!$1:$1000, MATCH($C2684,'Fund YTD Target Values'!$A:$A,0), MATCH($A2684,'Fund YTD Target Values'!$1:$1,0)),0)</f>
        <v>0</v>
      </c>
      <c r="S2684" s="91">
        <f>IFERROR(__xludf.DUMMYFUNCTION("IFERROR(sum(FILTER('Fund Investment Data'!$V:$V, 'Fund Investment Data'!$C:$C = $C2684, 'Fund Investment Data'!$A:$A &lt; $A2684)),0) + IFERROR(sum(FILTER('Fund Investment Data'!$V:$V, 'Fund Investment Data'!$C:$C = $C2684, 'Fund Investment Data'!$A:$A = $A2"&amp;"684, 'Fund Investment Data'!$B:$B &lt;= $B2684)),0)"),0.0)</f>
        <v>0</v>
      </c>
      <c r="T2684" s="32"/>
      <c r="U2684" s="32"/>
      <c r="V2684" s="32">
        <f>IFERROR(__xludf.DUMMYFUNCTION("$D2684 - IFERROR(FILTER($D:$D,$C:$C = $C2684, $A:$A = $A2684, $B:$B = $B2684 - 1),0)"),0.0)</f>
        <v>0</v>
      </c>
      <c r="W2684" s="93">
        <f>IFERROR(__xludf.DUMMYFUNCTION("$E2684 - IFERROR(FILTER($E:$E,$C:$C = $C2684, $A:$A = $A2684, $B:$B = $B2684 - 1),0)"),0.0)</f>
        <v>0</v>
      </c>
      <c r="X2684" s="91">
        <f>IFERROR(__xludf.DUMMYFUNCTION("iFERROR((FILTER('Fund Investment Data'!$Z:$Z, 'Fund Investment Data'!$C:$C = $C2684, 'Fund Investment Data'!$A:$A = $A2684 - 1, 'Fund Investment Data'!$B:$B = 12) + FILTER('Fund Investment Data'!$AB:$AB, 'Fund Investment Data'!$C:$C = $C2684, 'Fund Invest"&amp;"ment Data'!$A:$A = $A2684 - 1, 'Fund Investment Data'!$B:$B = 12)) * (1 + AVERAGE(FILTER('Inflation Data'!$C:$C,'Inflation Data'!$A:$A = ($A2684 - 2)))) * Parameters!$A$4,0)"),0.0)</f>
        <v>0</v>
      </c>
      <c r="Y2684" s="91">
        <f>IFERROR(__xludf.DUMMYFUNCTION("IFERROR((IFERROR(FILTER('Fund Investment Data'!$P:$P,'Fund Investment Data'!$C:$C = $C2684,'Fund Investment Data'!$A:$A = ($A2684 - 2), 'Fund Investment Data'!$B:$B = 12),0) - SUM(FILTER('Fund Investment Data'!$V:$V, 'Fund Investment Data'!$C:$C = $C2684,"&amp;" 'Fund Investment Data'!$A:$A = ($A2684 - 2), 'Fund Investment Data'!$B:$B &gt; 3)))  * Parameters!$B$4 * (1 - Parameters!$A$4),0)"),0.0)</f>
        <v>0</v>
      </c>
      <c r="Z2684" s="91">
        <f t="shared" si="24"/>
        <v>0</v>
      </c>
      <c r="AA2684" s="91">
        <f>IFERROR(__xludf.DUMMYFUNCTION("((IFERROR((SUM(FILTER('Fund Investment Data'!$V:$V, 'Fund Investment Data'!$C:$C = $C2684, 'Fund Investment Data'!$A:$A = $A2684 - 1, 'Fund Investment Data'!$B:$B &gt;= 4, 'Fund Investment Data'!$B:$B &lt;= ($B2684 + 5))) / 12) * ($B2684 - 3) * Parameters!$B$4,"&amp;" 0) + IF($B2684 &gt;= 9, IFERROR(SUM(FILTER('Fund Investment Data'!$V:$V, 'Fund Investment Data'!$C:$C = $C2684, 'Fund Investment Data'!$A:$A = $A2684, 'Fund Investment Data'!$B:$B &lt;= 3)) * Parameters!$B$4, 0),0)))"),0.0)</f>
        <v>0</v>
      </c>
      <c r="AB2684" s="32">
        <f>IFERROR(__xludf.DUMMYFUNCTION("IFERROR(((IFERROR(SUM(FILTER('Fund Investment Data'!$V:$V, 'Fund Investment Data'!$C:$C = $C2684, 'Fund Investment Data'!$A:$A = $A2684 - 2, 'Fund Investment Data'!$B:$B &gt;= 4)) * Parameters!$B$4,0) + IFERROR(SUM(FILTER('Fund Investment Data'!$V:$V, 'Fund "&amp;"Investment Data'!$C:$C = $C2684, 'Fund Investment Data'!$A:$A = $A2684 - 1, 'Fund Investment Data'!$B:$B &lt;= 3)) * Parameters!$B$4,0))),0)"),0.0)</f>
        <v>0</v>
      </c>
      <c r="AC2684" s="32">
        <f>IFERROR(__xludf.DUMMYFUNCTION("IFERROR(FILTER($AF:$AF,$C:$C = $C2684,$A:$A = $A2684 - 1,$B:$B = 12),0)"),0.0)</f>
        <v>0</v>
      </c>
      <c r="AD2684" s="32">
        <f t="shared" si="23"/>
        <v>0</v>
      </c>
      <c r="AE2684" s="32">
        <f t="shared" si="2"/>
        <v>0</v>
      </c>
      <c r="AF2684" s="32"/>
    </row>
    <row r="2685">
      <c r="A2685" s="86"/>
      <c r="B2685" s="87"/>
      <c r="C2685" s="88"/>
      <c r="D2685" s="104"/>
      <c r="E2685" s="104"/>
      <c r="F2685" s="104"/>
      <c r="G2685" s="104"/>
      <c r="H2685" s="104"/>
      <c r="I2685" s="104"/>
      <c r="J2685" s="104"/>
      <c r="K2685" s="32"/>
      <c r="L2685" s="32"/>
      <c r="M2685" s="32"/>
      <c r="N2685" s="32"/>
      <c r="O2685" s="106"/>
      <c r="P2685" s="91">
        <f>IFERROR(__xludf.DUMMYFUNCTION("IFERROR(sum(FILTER($D:$N,$C:$C = $C2685,$A:$A &lt; $A2685,$B:$B = 12)),0) + sum($D2685:$N2685)"),0.0)</f>
        <v>0</v>
      </c>
      <c r="Q2685" s="92">
        <f t="shared" si="1"/>
        <v>0</v>
      </c>
      <c r="R2685" s="91">
        <f t="array" ref="R2685">IFERROR(INDEX('Fund YTD Target Values'!$1:$1000, MATCH($C2685,'Fund YTD Target Values'!$A:$A,0), MATCH($A2685,'Fund YTD Target Values'!$1:$1,0)),0)</f>
        <v>0</v>
      </c>
      <c r="S2685" s="91">
        <f>IFERROR(__xludf.DUMMYFUNCTION("IFERROR(sum(FILTER('Fund Investment Data'!$V:$V, 'Fund Investment Data'!$C:$C = $C2685, 'Fund Investment Data'!$A:$A &lt; $A2685)),0) + IFERROR(sum(FILTER('Fund Investment Data'!$V:$V, 'Fund Investment Data'!$C:$C = $C2685, 'Fund Investment Data'!$A:$A = $A2"&amp;"685, 'Fund Investment Data'!$B:$B &lt;= $B2685)),0)"),0.0)</f>
        <v>0</v>
      </c>
      <c r="T2685" s="32"/>
      <c r="U2685" s="32"/>
      <c r="V2685" s="32">
        <f>IFERROR(__xludf.DUMMYFUNCTION("$D2685 - IFERROR(FILTER($D:$D,$C:$C = $C2685, $A:$A = $A2685, $B:$B = $B2685 - 1),0)"),0.0)</f>
        <v>0</v>
      </c>
      <c r="W2685" s="93">
        <f>IFERROR(__xludf.DUMMYFUNCTION("$E2685 - IFERROR(FILTER($E:$E,$C:$C = $C2685, $A:$A = $A2685, $B:$B = $B2685 - 1),0)"),0.0)</f>
        <v>0</v>
      </c>
      <c r="X2685" s="91">
        <f>IFERROR(__xludf.DUMMYFUNCTION("iFERROR((FILTER('Fund Investment Data'!$Z:$Z, 'Fund Investment Data'!$C:$C = $C2685, 'Fund Investment Data'!$A:$A = $A2685 - 1, 'Fund Investment Data'!$B:$B = 12) + FILTER('Fund Investment Data'!$AB:$AB, 'Fund Investment Data'!$C:$C = $C2685, 'Fund Invest"&amp;"ment Data'!$A:$A = $A2685 - 1, 'Fund Investment Data'!$B:$B = 12)) * (1 + AVERAGE(FILTER('Inflation Data'!$C:$C,'Inflation Data'!$A:$A = ($A2685 - 2)))) * Parameters!$A$4,0)"),0.0)</f>
        <v>0</v>
      </c>
      <c r="Y2685" s="91">
        <f>IFERROR(__xludf.DUMMYFUNCTION("IFERROR((IFERROR(FILTER('Fund Investment Data'!$P:$P,'Fund Investment Data'!$C:$C = $C2685,'Fund Investment Data'!$A:$A = ($A2685 - 2), 'Fund Investment Data'!$B:$B = 12),0) - SUM(FILTER('Fund Investment Data'!$V:$V, 'Fund Investment Data'!$C:$C = $C2685,"&amp;" 'Fund Investment Data'!$A:$A = ($A2685 - 2), 'Fund Investment Data'!$B:$B &gt; 3)))  * Parameters!$B$4 * (1 - Parameters!$A$4),0)"),0.0)</f>
        <v>0</v>
      </c>
      <c r="Z2685" s="91">
        <f t="shared" si="24"/>
        <v>0</v>
      </c>
      <c r="AA2685" s="91">
        <f>IFERROR(__xludf.DUMMYFUNCTION("((IFERROR((SUM(FILTER('Fund Investment Data'!$V:$V, 'Fund Investment Data'!$C:$C = $C2685, 'Fund Investment Data'!$A:$A = $A2685 - 1, 'Fund Investment Data'!$B:$B &gt;= 4, 'Fund Investment Data'!$B:$B &lt;= ($B2685 + 5))) / 12) * ($B2685 - 3) * Parameters!$B$4,"&amp;" 0) + IF($B2685 &gt;= 9, IFERROR(SUM(FILTER('Fund Investment Data'!$V:$V, 'Fund Investment Data'!$C:$C = $C2685, 'Fund Investment Data'!$A:$A = $A2685, 'Fund Investment Data'!$B:$B &lt;= 3)) * Parameters!$B$4, 0),0)))"),0.0)</f>
        <v>0</v>
      </c>
      <c r="AB2685" s="32">
        <f>IFERROR(__xludf.DUMMYFUNCTION("IFERROR(((IFERROR(SUM(FILTER('Fund Investment Data'!$V:$V, 'Fund Investment Data'!$C:$C = $C2685, 'Fund Investment Data'!$A:$A = $A2685 - 2, 'Fund Investment Data'!$B:$B &gt;= 4)) * Parameters!$B$4,0) + IFERROR(SUM(FILTER('Fund Investment Data'!$V:$V, 'Fund "&amp;"Investment Data'!$C:$C = $C2685, 'Fund Investment Data'!$A:$A = $A2685 - 1, 'Fund Investment Data'!$B:$B &lt;= 3)) * Parameters!$B$4,0))),0)"),0.0)</f>
        <v>0</v>
      </c>
      <c r="AC2685" s="32">
        <f>IFERROR(__xludf.DUMMYFUNCTION("IFERROR(FILTER($AF:$AF,$C:$C = $C2685,$A:$A = $A2685 - 1,$B:$B = 12),0)"),0.0)</f>
        <v>0</v>
      </c>
      <c r="AD2685" s="32">
        <f t="shared" si="23"/>
        <v>0</v>
      </c>
      <c r="AE2685" s="32">
        <f t="shared" si="2"/>
        <v>0</v>
      </c>
      <c r="AF2685" s="32"/>
    </row>
    <row r="2686">
      <c r="A2686" s="86"/>
      <c r="B2686" s="87"/>
      <c r="C2686" s="88"/>
      <c r="D2686" s="104"/>
      <c r="E2686" s="104"/>
      <c r="F2686" s="104"/>
      <c r="G2686" s="104"/>
      <c r="H2686" s="104"/>
      <c r="I2686" s="104"/>
      <c r="J2686" s="104"/>
      <c r="K2686" s="32"/>
      <c r="L2686" s="32"/>
      <c r="M2686" s="32"/>
      <c r="N2686" s="32"/>
      <c r="O2686" s="106"/>
      <c r="P2686" s="91">
        <f>IFERROR(__xludf.DUMMYFUNCTION("IFERROR(sum(FILTER($D:$N,$C:$C = $C2686,$A:$A &lt; $A2686,$B:$B = 12)),0) + sum($D2686:$N2686)"),0.0)</f>
        <v>0</v>
      </c>
      <c r="Q2686" s="92">
        <f t="shared" si="1"/>
        <v>0</v>
      </c>
      <c r="R2686" s="91">
        <f t="array" ref="R2686">IFERROR(INDEX('Fund YTD Target Values'!$1:$1000, MATCH($C2686,'Fund YTD Target Values'!$A:$A,0), MATCH($A2686,'Fund YTD Target Values'!$1:$1,0)),0)</f>
        <v>0</v>
      </c>
      <c r="S2686" s="91">
        <f>IFERROR(__xludf.DUMMYFUNCTION("IFERROR(sum(FILTER('Fund Investment Data'!$V:$V, 'Fund Investment Data'!$C:$C = $C2686, 'Fund Investment Data'!$A:$A &lt; $A2686)),0) + IFERROR(sum(FILTER('Fund Investment Data'!$V:$V, 'Fund Investment Data'!$C:$C = $C2686, 'Fund Investment Data'!$A:$A = $A2"&amp;"686, 'Fund Investment Data'!$B:$B &lt;= $B2686)),0)"),0.0)</f>
        <v>0</v>
      </c>
      <c r="T2686" s="32"/>
      <c r="U2686" s="32"/>
      <c r="V2686" s="32">
        <f>IFERROR(__xludf.DUMMYFUNCTION("$D2686 - IFERROR(FILTER($D:$D,$C:$C = $C2686, $A:$A = $A2686, $B:$B = $B2686 - 1),0)"),0.0)</f>
        <v>0</v>
      </c>
      <c r="W2686" s="93">
        <f>IFERROR(__xludf.DUMMYFUNCTION("$E2686 - IFERROR(FILTER($E:$E,$C:$C = $C2686, $A:$A = $A2686, $B:$B = $B2686 - 1),0)"),0.0)</f>
        <v>0</v>
      </c>
      <c r="X2686" s="91">
        <f>IFERROR(__xludf.DUMMYFUNCTION("iFERROR((FILTER('Fund Investment Data'!$Z:$Z, 'Fund Investment Data'!$C:$C = $C2686, 'Fund Investment Data'!$A:$A = $A2686 - 1, 'Fund Investment Data'!$B:$B = 12) + FILTER('Fund Investment Data'!$AB:$AB, 'Fund Investment Data'!$C:$C = $C2686, 'Fund Invest"&amp;"ment Data'!$A:$A = $A2686 - 1, 'Fund Investment Data'!$B:$B = 12)) * (1 + AVERAGE(FILTER('Inflation Data'!$C:$C,'Inflation Data'!$A:$A = ($A2686 - 2)))) * Parameters!$A$4,0)"),0.0)</f>
        <v>0</v>
      </c>
      <c r="Y2686" s="91">
        <f>IFERROR(__xludf.DUMMYFUNCTION("IFERROR((IFERROR(FILTER('Fund Investment Data'!$P:$P,'Fund Investment Data'!$C:$C = $C2686,'Fund Investment Data'!$A:$A = ($A2686 - 2), 'Fund Investment Data'!$B:$B = 12),0) - SUM(FILTER('Fund Investment Data'!$V:$V, 'Fund Investment Data'!$C:$C = $C2686,"&amp;" 'Fund Investment Data'!$A:$A = ($A2686 - 2), 'Fund Investment Data'!$B:$B &gt; 3)))  * Parameters!$B$4 * (1 - Parameters!$A$4),0)"),0.0)</f>
        <v>0</v>
      </c>
      <c r="Z2686" s="91">
        <f t="shared" si="24"/>
        <v>0</v>
      </c>
      <c r="AA2686" s="91">
        <f>IFERROR(__xludf.DUMMYFUNCTION("((IFERROR((SUM(FILTER('Fund Investment Data'!$V:$V, 'Fund Investment Data'!$C:$C = $C2686, 'Fund Investment Data'!$A:$A = $A2686 - 1, 'Fund Investment Data'!$B:$B &gt;= 4, 'Fund Investment Data'!$B:$B &lt;= ($B2686 + 5))) / 12) * ($B2686 - 3) * Parameters!$B$4,"&amp;" 0) + IF($B2686 &gt;= 9, IFERROR(SUM(FILTER('Fund Investment Data'!$V:$V, 'Fund Investment Data'!$C:$C = $C2686, 'Fund Investment Data'!$A:$A = $A2686, 'Fund Investment Data'!$B:$B &lt;= 3)) * Parameters!$B$4, 0),0)))"),0.0)</f>
        <v>0</v>
      </c>
      <c r="AB2686" s="32">
        <f>IFERROR(__xludf.DUMMYFUNCTION("IFERROR(((IFERROR(SUM(FILTER('Fund Investment Data'!$V:$V, 'Fund Investment Data'!$C:$C = $C2686, 'Fund Investment Data'!$A:$A = $A2686 - 2, 'Fund Investment Data'!$B:$B &gt;= 4)) * Parameters!$B$4,0) + IFERROR(SUM(FILTER('Fund Investment Data'!$V:$V, 'Fund "&amp;"Investment Data'!$C:$C = $C2686, 'Fund Investment Data'!$A:$A = $A2686 - 1, 'Fund Investment Data'!$B:$B &lt;= 3)) * Parameters!$B$4,0))),0)"),0.0)</f>
        <v>0</v>
      </c>
      <c r="AC2686" s="32">
        <f>IFERROR(__xludf.DUMMYFUNCTION("IFERROR(FILTER($AF:$AF,$C:$C = $C2686,$A:$A = $A2686 - 1,$B:$B = 12),0)"),0.0)</f>
        <v>0</v>
      </c>
      <c r="AD2686" s="32">
        <f t="shared" si="23"/>
        <v>0</v>
      </c>
      <c r="AE2686" s="32">
        <f t="shared" si="2"/>
        <v>0</v>
      </c>
      <c r="AF2686" s="32"/>
    </row>
    <row r="2687">
      <c r="A2687" s="86"/>
      <c r="B2687" s="87"/>
      <c r="C2687" s="88"/>
      <c r="D2687" s="104"/>
      <c r="E2687" s="104"/>
      <c r="F2687" s="104"/>
      <c r="G2687" s="104"/>
      <c r="H2687" s="104"/>
      <c r="I2687" s="104"/>
      <c r="J2687" s="104"/>
      <c r="K2687" s="32"/>
      <c r="L2687" s="32"/>
      <c r="M2687" s="32"/>
      <c r="N2687" s="32"/>
      <c r="O2687" s="106"/>
      <c r="P2687" s="91">
        <f>IFERROR(__xludf.DUMMYFUNCTION("IFERROR(sum(FILTER($D:$N,$C:$C = $C2687,$A:$A &lt; $A2687,$B:$B = 12)),0) + sum($D2687:$N2687)"),0.0)</f>
        <v>0</v>
      </c>
      <c r="Q2687" s="92">
        <f t="shared" si="1"/>
        <v>0</v>
      </c>
      <c r="R2687" s="91">
        <f t="array" ref="R2687">IFERROR(INDEX('Fund YTD Target Values'!$1:$1000, MATCH($C2687,'Fund YTD Target Values'!$A:$A,0), MATCH($A2687,'Fund YTD Target Values'!$1:$1,0)),0)</f>
        <v>0</v>
      </c>
      <c r="S2687" s="91">
        <f>IFERROR(__xludf.DUMMYFUNCTION("IFERROR(sum(FILTER('Fund Investment Data'!$V:$V, 'Fund Investment Data'!$C:$C = $C2687, 'Fund Investment Data'!$A:$A &lt; $A2687)),0) + IFERROR(sum(FILTER('Fund Investment Data'!$V:$V, 'Fund Investment Data'!$C:$C = $C2687, 'Fund Investment Data'!$A:$A = $A2"&amp;"687, 'Fund Investment Data'!$B:$B &lt;= $B2687)),0)"),0.0)</f>
        <v>0</v>
      </c>
      <c r="T2687" s="32"/>
      <c r="U2687" s="32"/>
      <c r="V2687" s="32">
        <f>IFERROR(__xludf.DUMMYFUNCTION("$D2687 - IFERROR(FILTER($D:$D,$C:$C = $C2687, $A:$A = $A2687, $B:$B = $B2687 - 1),0)"),0.0)</f>
        <v>0</v>
      </c>
      <c r="W2687" s="93">
        <f>IFERROR(__xludf.DUMMYFUNCTION("$E2687 - IFERROR(FILTER($E:$E,$C:$C = $C2687, $A:$A = $A2687, $B:$B = $B2687 - 1),0)"),0.0)</f>
        <v>0</v>
      </c>
      <c r="X2687" s="91">
        <f>IFERROR(__xludf.DUMMYFUNCTION("iFERROR((FILTER('Fund Investment Data'!$Z:$Z, 'Fund Investment Data'!$C:$C = $C2687, 'Fund Investment Data'!$A:$A = $A2687 - 1, 'Fund Investment Data'!$B:$B = 12) + FILTER('Fund Investment Data'!$AB:$AB, 'Fund Investment Data'!$C:$C = $C2687, 'Fund Invest"&amp;"ment Data'!$A:$A = $A2687 - 1, 'Fund Investment Data'!$B:$B = 12)) * (1 + AVERAGE(FILTER('Inflation Data'!$C:$C,'Inflation Data'!$A:$A = ($A2687 - 2)))) * Parameters!$A$4,0)"),0.0)</f>
        <v>0</v>
      </c>
      <c r="Y2687" s="91">
        <f>IFERROR(__xludf.DUMMYFUNCTION("IFERROR((IFERROR(FILTER('Fund Investment Data'!$P:$P,'Fund Investment Data'!$C:$C = $C2687,'Fund Investment Data'!$A:$A = ($A2687 - 2), 'Fund Investment Data'!$B:$B = 12),0) - SUM(FILTER('Fund Investment Data'!$V:$V, 'Fund Investment Data'!$C:$C = $C2687,"&amp;" 'Fund Investment Data'!$A:$A = ($A2687 - 2), 'Fund Investment Data'!$B:$B &gt; 3)))  * Parameters!$B$4 * (1 - Parameters!$A$4),0)"),0.0)</f>
        <v>0</v>
      </c>
      <c r="Z2687" s="91">
        <f t="shared" si="24"/>
        <v>0</v>
      </c>
      <c r="AA2687" s="91">
        <f>IFERROR(__xludf.DUMMYFUNCTION("((IFERROR((SUM(FILTER('Fund Investment Data'!$V:$V, 'Fund Investment Data'!$C:$C = $C2687, 'Fund Investment Data'!$A:$A = $A2687 - 1, 'Fund Investment Data'!$B:$B &gt;= 4, 'Fund Investment Data'!$B:$B &lt;= ($B2687 + 5))) / 12) * ($B2687 - 3) * Parameters!$B$4,"&amp;" 0) + IF($B2687 &gt;= 9, IFERROR(SUM(FILTER('Fund Investment Data'!$V:$V, 'Fund Investment Data'!$C:$C = $C2687, 'Fund Investment Data'!$A:$A = $A2687, 'Fund Investment Data'!$B:$B &lt;= 3)) * Parameters!$B$4, 0),0)))"),0.0)</f>
        <v>0</v>
      </c>
      <c r="AB2687" s="32">
        <f>IFERROR(__xludf.DUMMYFUNCTION("IFERROR(((IFERROR(SUM(FILTER('Fund Investment Data'!$V:$V, 'Fund Investment Data'!$C:$C = $C2687, 'Fund Investment Data'!$A:$A = $A2687 - 2, 'Fund Investment Data'!$B:$B &gt;= 4)) * Parameters!$B$4,0) + IFERROR(SUM(FILTER('Fund Investment Data'!$V:$V, 'Fund "&amp;"Investment Data'!$C:$C = $C2687, 'Fund Investment Data'!$A:$A = $A2687 - 1, 'Fund Investment Data'!$B:$B &lt;= 3)) * Parameters!$B$4,0))),0)"),0.0)</f>
        <v>0</v>
      </c>
      <c r="AC2687" s="32">
        <f>IFERROR(__xludf.DUMMYFUNCTION("IFERROR(FILTER($AF:$AF,$C:$C = $C2687,$A:$A = $A2687 - 1,$B:$B = 12),0)"),0.0)</f>
        <v>0</v>
      </c>
      <c r="AD2687" s="32">
        <f t="shared" si="23"/>
        <v>0</v>
      </c>
      <c r="AE2687" s="32">
        <f t="shared" si="2"/>
        <v>0</v>
      </c>
      <c r="AF2687" s="32"/>
    </row>
    <row r="2688">
      <c r="A2688" s="86"/>
      <c r="B2688" s="87"/>
      <c r="C2688" s="88"/>
      <c r="D2688" s="104"/>
      <c r="E2688" s="104"/>
      <c r="F2688" s="104"/>
      <c r="G2688" s="104"/>
      <c r="H2688" s="104"/>
      <c r="I2688" s="104"/>
      <c r="J2688" s="104"/>
      <c r="K2688" s="32"/>
      <c r="L2688" s="32"/>
      <c r="M2688" s="32"/>
      <c r="N2688" s="32"/>
      <c r="O2688" s="106"/>
      <c r="P2688" s="91">
        <f>IFERROR(__xludf.DUMMYFUNCTION("IFERROR(sum(FILTER($D:$N,$C:$C = $C2688,$A:$A &lt; $A2688,$B:$B = 12)),0) + sum($D2688:$N2688)"),0.0)</f>
        <v>0</v>
      </c>
      <c r="Q2688" s="92">
        <f t="shared" si="1"/>
        <v>0</v>
      </c>
      <c r="R2688" s="91">
        <f t="array" ref="R2688">IFERROR(INDEX('Fund YTD Target Values'!$1:$1000, MATCH($C2688,'Fund YTD Target Values'!$A:$A,0), MATCH($A2688,'Fund YTD Target Values'!$1:$1,0)),0)</f>
        <v>0</v>
      </c>
      <c r="S2688" s="91">
        <f>IFERROR(__xludf.DUMMYFUNCTION("IFERROR(sum(FILTER('Fund Investment Data'!$V:$V, 'Fund Investment Data'!$C:$C = $C2688, 'Fund Investment Data'!$A:$A &lt; $A2688)),0) + IFERROR(sum(FILTER('Fund Investment Data'!$V:$V, 'Fund Investment Data'!$C:$C = $C2688, 'Fund Investment Data'!$A:$A = $A2"&amp;"688, 'Fund Investment Data'!$B:$B &lt;= $B2688)),0)"),0.0)</f>
        <v>0</v>
      </c>
      <c r="T2688" s="32"/>
      <c r="U2688" s="32"/>
      <c r="V2688" s="32">
        <f>IFERROR(__xludf.DUMMYFUNCTION("$D2688 - IFERROR(FILTER($D:$D,$C:$C = $C2688, $A:$A = $A2688, $B:$B = $B2688 - 1),0)"),0.0)</f>
        <v>0</v>
      </c>
      <c r="W2688" s="93">
        <f>IFERROR(__xludf.DUMMYFUNCTION("$E2688 - IFERROR(FILTER($E:$E,$C:$C = $C2688, $A:$A = $A2688, $B:$B = $B2688 - 1),0)"),0.0)</f>
        <v>0</v>
      </c>
      <c r="X2688" s="91">
        <f>IFERROR(__xludf.DUMMYFUNCTION("iFERROR((FILTER('Fund Investment Data'!$Z:$Z, 'Fund Investment Data'!$C:$C = $C2688, 'Fund Investment Data'!$A:$A = $A2688 - 1, 'Fund Investment Data'!$B:$B = 12) + FILTER('Fund Investment Data'!$AB:$AB, 'Fund Investment Data'!$C:$C = $C2688, 'Fund Invest"&amp;"ment Data'!$A:$A = $A2688 - 1, 'Fund Investment Data'!$B:$B = 12)) * (1 + AVERAGE(FILTER('Inflation Data'!$C:$C,'Inflation Data'!$A:$A = ($A2688 - 2)))) * Parameters!$A$4,0)"),0.0)</f>
        <v>0</v>
      </c>
      <c r="Y2688" s="91">
        <f>IFERROR(__xludf.DUMMYFUNCTION("IFERROR((IFERROR(FILTER('Fund Investment Data'!$P:$P,'Fund Investment Data'!$C:$C = $C2688,'Fund Investment Data'!$A:$A = ($A2688 - 2), 'Fund Investment Data'!$B:$B = 12),0) - SUM(FILTER('Fund Investment Data'!$V:$V, 'Fund Investment Data'!$C:$C = $C2688,"&amp;" 'Fund Investment Data'!$A:$A = ($A2688 - 2), 'Fund Investment Data'!$B:$B &gt; 3)))  * Parameters!$B$4 * (1 - Parameters!$A$4),0)"),0.0)</f>
        <v>0</v>
      </c>
      <c r="Z2688" s="91">
        <f t="shared" si="24"/>
        <v>0</v>
      </c>
      <c r="AA2688" s="91">
        <f>IFERROR(__xludf.DUMMYFUNCTION("((IFERROR((SUM(FILTER('Fund Investment Data'!$V:$V, 'Fund Investment Data'!$C:$C = $C2688, 'Fund Investment Data'!$A:$A = $A2688 - 1, 'Fund Investment Data'!$B:$B &gt;= 4, 'Fund Investment Data'!$B:$B &lt;= ($B2688 + 5))) / 12) * ($B2688 - 3) * Parameters!$B$4,"&amp;" 0) + IF($B2688 &gt;= 9, IFERROR(SUM(FILTER('Fund Investment Data'!$V:$V, 'Fund Investment Data'!$C:$C = $C2688, 'Fund Investment Data'!$A:$A = $A2688, 'Fund Investment Data'!$B:$B &lt;= 3)) * Parameters!$B$4, 0),0)))"),0.0)</f>
        <v>0</v>
      </c>
      <c r="AB2688" s="32">
        <f>IFERROR(__xludf.DUMMYFUNCTION("IFERROR(((IFERROR(SUM(FILTER('Fund Investment Data'!$V:$V, 'Fund Investment Data'!$C:$C = $C2688, 'Fund Investment Data'!$A:$A = $A2688 - 2, 'Fund Investment Data'!$B:$B &gt;= 4)) * Parameters!$B$4,0) + IFERROR(SUM(FILTER('Fund Investment Data'!$V:$V, 'Fund "&amp;"Investment Data'!$C:$C = $C2688, 'Fund Investment Data'!$A:$A = $A2688 - 1, 'Fund Investment Data'!$B:$B &lt;= 3)) * Parameters!$B$4,0))),0)"),0.0)</f>
        <v>0</v>
      </c>
      <c r="AC2688" s="32">
        <f>IFERROR(__xludf.DUMMYFUNCTION("IFERROR(FILTER($AF:$AF,$C:$C = $C2688,$A:$A = $A2688 - 1,$B:$B = 12),0)"),0.0)</f>
        <v>0</v>
      </c>
      <c r="AD2688" s="32">
        <f t="shared" si="23"/>
        <v>0</v>
      </c>
      <c r="AE2688" s="32">
        <f t="shared" si="2"/>
        <v>0</v>
      </c>
      <c r="AF2688" s="32"/>
    </row>
    <row r="2689">
      <c r="A2689" s="86"/>
      <c r="B2689" s="87"/>
      <c r="C2689" s="88"/>
      <c r="D2689" s="104"/>
      <c r="E2689" s="104"/>
      <c r="F2689" s="104"/>
      <c r="G2689" s="104"/>
      <c r="H2689" s="104"/>
      <c r="I2689" s="104"/>
      <c r="J2689" s="104"/>
      <c r="K2689" s="32"/>
      <c r="L2689" s="32"/>
      <c r="M2689" s="32"/>
      <c r="N2689" s="32"/>
      <c r="O2689" s="106"/>
      <c r="P2689" s="91">
        <f>IFERROR(__xludf.DUMMYFUNCTION("IFERROR(sum(FILTER($D:$N,$C:$C = $C2689,$A:$A &lt; $A2689,$B:$B = 12)),0) + sum($D2689:$N2689)"),0.0)</f>
        <v>0</v>
      </c>
      <c r="Q2689" s="92">
        <f t="shared" si="1"/>
        <v>0</v>
      </c>
      <c r="R2689" s="91">
        <f t="array" ref="R2689">IFERROR(INDEX('Fund YTD Target Values'!$1:$1000, MATCH($C2689,'Fund YTD Target Values'!$A:$A,0), MATCH($A2689,'Fund YTD Target Values'!$1:$1,0)),0)</f>
        <v>0</v>
      </c>
      <c r="S2689" s="91">
        <f>IFERROR(__xludf.DUMMYFUNCTION("IFERROR(sum(FILTER('Fund Investment Data'!$V:$V, 'Fund Investment Data'!$C:$C = $C2689, 'Fund Investment Data'!$A:$A &lt; $A2689)),0) + IFERROR(sum(FILTER('Fund Investment Data'!$V:$V, 'Fund Investment Data'!$C:$C = $C2689, 'Fund Investment Data'!$A:$A = $A2"&amp;"689, 'Fund Investment Data'!$B:$B &lt;= $B2689)),0)"),0.0)</f>
        <v>0</v>
      </c>
      <c r="T2689" s="32"/>
      <c r="U2689" s="32"/>
      <c r="V2689" s="32">
        <f>IFERROR(__xludf.DUMMYFUNCTION("$D2689 - IFERROR(FILTER($D:$D,$C:$C = $C2689, $A:$A = $A2689, $B:$B = $B2689 - 1),0)"),0.0)</f>
        <v>0</v>
      </c>
      <c r="W2689" s="93">
        <f>IFERROR(__xludf.DUMMYFUNCTION("$E2689 - IFERROR(FILTER($E:$E,$C:$C = $C2689, $A:$A = $A2689, $B:$B = $B2689 - 1),0)"),0.0)</f>
        <v>0</v>
      </c>
      <c r="X2689" s="91">
        <f>IFERROR(__xludf.DUMMYFUNCTION("iFERROR((FILTER('Fund Investment Data'!$Z:$Z, 'Fund Investment Data'!$C:$C = $C2689, 'Fund Investment Data'!$A:$A = $A2689 - 1, 'Fund Investment Data'!$B:$B = 12) + FILTER('Fund Investment Data'!$AB:$AB, 'Fund Investment Data'!$C:$C = $C2689, 'Fund Invest"&amp;"ment Data'!$A:$A = $A2689 - 1, 'Fund Investment Data'!$B:$B = 12)) * (1 + AVERAGE(FILTER('Inflation Data'!$C:$C,'Inflation Data'!$A:$A = ($A2689 - 2)))) * Parameters!$A$4,0)"),0.0)</f>
        <v>0</v>
      </c>
      <c r="Y2689" s="91">
        <f>IFERROR(__xludf.DUMMYFUNCTION("IFERROR((IFERROR(FILTER('Fund Investment Data'!$P:$P,'Fund Investment Data'!$C:$C = $C2689,'Fund Investment Data'!$A:$A = ($A2689 - 2), 'Fund Investment Data'!$B:$B = 12),0) - SUM(FILTER('Fund Investment Data'!$V:$V, 'Fund Investment Data'!$C:$C = $C2689,"&amp;" 'Fund Investment Data'!$A:$A = ($A2689 - 2), 'Fund Investment Data'!$B:$B &gt; 3)))  * Parameters!$B$4 * (1 - Parameters!$A$4),0)"),0.0)</f>
        <v>0</v>
      </c>
      <c r="Z2689" s="91">
        <f t="shared" si="24"/>
        <v>0</v>
      </c>
      <c r="AA2689" s="91">
        <f>IFERROR(__xludf.DUMMYFUNCTION("((IFERROR((SUM(FILTER('Fund Investment Data'!$V:$V, 'Fund Investment Data'!$C:$C = $C2689, 'Fund Investment Data'!$A:$A = $A2689 - 1, 'Fund Investment Data'!$B:$B &gt;= 4, 'Fund Investment Data'!$B:$B &lt;= ($B2689 + 5))) / 12) * ($B2689 - 3) * Parameters!$B$4,"&amp;" 0) + IF($B2689 &gt;= 9, IFERROR(SUM(FILTER('Fund Investment Data'!$V:$V, 'Fund Investment Data'!$C:$C = $C2689, 'Fund Investment Data'!$A:$A = $A2689, 'Fund Investment Data'!$B:$B &lt;= 3)) * Parameters!$B$4, 0),0)))"),0.0)</f>
        <v>0</v>
      </c>
      <c r="AB2689" s="32">
        <f>IFERROR(__xludf.DUMMYFUNCTION("IFERROR(((IFERROR(SUM(FILTER('Fund Investment Data'!$V:$V, 'Fund Investment Data'!$C:$C = $C2689, 'Fund Investment Data'!$A:$A = $A2689 - 2, 'Fund Investment Data'!$B:$B &gt;= 4)) * Parameters!$B$4,0) + IFERROR(SUM(FILTER('Fund Investment Data'!$V:$V, 'Fund "&amp;"Investment Data'!$C:$C = $C2689, 'Fund Investment Data'!$A:$A = $A2689 - 1, 'Fund Investment Data'!$B:$B &lt;= 3)) * Parameters!$B$4,0))),0)"),0.0)</f>
        <v>0</v>
      </c>
      <c r="AC2689" s="32">
        <f>IFERROR(__xludf.DUMMYFUNCTION("IFERROR(FILTER($AF:$AF,$C:$C = $C2689,$A:$A = $A2689 - 1,$B:$B = 12),0)"),0.0)</f>
        <v>0</v>
      </c>
      <c r="AD2689" s="32">
        <f t="shared" si="23"/>
        <v>0</v>
      </c>
      <c r="AE2689" s="32">
        <f t="shared" si="2"/>
        <v>0</v>
      </c>
      <c r="AF2689" s="32"/>
    </row>
    <row r="2690">
      <c r="A2690" s="86"/>
      <c r="B2690" s="87"/>
      <c r="C2690" s="88"/>
      <c r="D2690" s="104"/>
      <c r="E2690" s="104"/>
      <c r="F2690" s="104"/>
      <c r="G2690" s="104"/>
      <c r="H2690" s="104"/>
      <c r="I2690" s="104"/>
      <c r="J2690" s="104"/>
      <c r="K2690" s="32"/>
      <c r="L2690" s="32"/>
      <c r="M2690" s="32"/>
      <c r="N2690" s="32"/>
      <c r="O2690" s="106"/>
      <c r="P2690" s="91">
        <f>IFERROR(__xludf.DUMMYFUNCTION("IFERROR(sum(FILTER($D:$N,$C:$C = $C2690,$A:$A &lt; $A2690,$B:$B = 12)),0) + sum($D2690:$N2690)"),0.0)</f>
        <v>0</v>
      </c>
      <c r="Q2690" s="92">
        <f t="shared" si="1"/>
        <v>0</v>
      </c>
      <c r="R2690" s="91">
        <f t="array" ref="R2690">IFERROR(INDEX('Fund YTD Target Values'!$1:$1000, MATCH($C2690,'Fund YTD Target Values'!$A:$A,0), MATCH($A2690,'Fund YTD Target Values'!$1:$1,0)),0)</f>
        <v>0</v>
      </c>
      <c r="S2690" s="91">
        <f>IFERROR(__xludf.DUMMYFUNCTION("IFERROR(sum(FILTER('Fund Investment Data'!$V:$V, 'Fund Investment Data'!$C:$C = $C2690, 'Fund Investment Data'!$A:$A &lt; $A2690)),0) + IFERROR(sum(FILTER('Fund Investment Data'!$V:$V, 'Fund Investment Data'!$C:$C = $C2690, 'Fund Investment Data'!$A:$A = $A2"&amp;"690, 'Fund Investment Data'!$B:$B &lt;= $B2690)),0)"),0.0)</f>
        <v>0</v>
      </c>
      <c r="T2690" s="32"/>
      <c r="U2690" s="32"/>
      <c r="V2690" s="32">
        <f>IFERROR(__xludf.DUMMYFUNCTION("$D2690 - IFERROR(FILTER($D:$D,$C:$C = $C2690, $A:$A = $A2690, $B:$B = $B2690 - 1),0)"),0.0)</f>
        <v>0</v>
      </c>
      <c r="W2690" s="93">
        <f>IFERROR(__xludf.DUMMYFUNCTION("$E2690 - IFERROR(FILTER($E:$E,$C:$C = $C2690, $A:$A = $A2690, $B:$B = $B2690 - 1),0)"),0.0)</f>
        <v>0</v>
      </c>
      <c r="X2690" s="91">
        <f>IFERROR(__xludf.DUMMYFUNCTION("iFERROR((FILTER('Fund Investment Data'!$Z:$Z, 'Fund Investment Data'!$C:$C = $C2690, 'Fund Investment Data'!$A:$A = $A2690 - 1, 'Fund Investment Data'!$B:$B = 12) + FILTER('Fund Investment Data'!$AB:$AB, 'Fund Investment Data'!$C:$C = $C2690, 'Fund Invest"&amp;"ment Data'!$A:$A = $A2690 - 1, 'Fund Investment Data'!$B:$B = 12)) * (1 + AVERAGE(FILTER('Inflation Data'!$C:$C,'Inflation Data'!$A:$A = ($A2690 - 2)))) * Parameters!$A$4,0)"),0.0)</f>
        <v>0</v>
      </c>
      <c r="Y2690" s="91">
        <f>IFERROR(__xludf.DUMMYFUNCTION("IFERROR((IFERROR(FILTER('Fund Investment Data'!$P:$P,'Fund Investment Data'!$C:$C = $C2690,'Fund Investment Data'!$A:$A = ($A2690 - 2), 'Fund Investment Data'!$B:$B = 12),0) - SUM(FILTER('Fund Investment Data'!$V:$V, 'Fund Investment Data'!$C:$C = $C2690,"&amp;" 'Fund Investment Data'!$A:$A = ($A2690 - 2), 'Fund Investment Data'!$B:$B &gt; 3)))  * Parameters!$B$4 * (1 - Parameters!$A$4),0)"),0.0)</f>
        <v>0</v>
      </c>
      <c r="Z2690" s="91">
        <f t="shared" si="24"/>
        <v>0</v>
      </c>
      <c r="AA2690" s="91">
        <f>IFERROR(__xludf.DUMMYFUNCTION("((IFERROR((SUM(FILTER('Fund Investment Data'!$V:$V, 'Fund Investment Data'!$C:$C = $C2690, 'Fund Investment Data'!$A:$A = $A2690 - 1, 'Fund Investment Data'!$B:$B &gt;= 4, 'Fund Investment Data'!$B:$B &lt;= ($B2690 + 5))) / 12) * ($B2690 - 3) * Parameters!$B$4,"&amp;" 0) + IF($B2690 &gt;= 9, IFERROR(SUM(FILTER('Fund Investment Data'!$V:$V, 'Fund Investment Data'!$C:$C = $C2690, 'Fund Investment Data'!$A:$A = $A2690, 'Fund Investment Data'!$B:$B &lt;= 3)) * Parameters!$B$4, 0),0)))"),0.0)</f>
        <v>0</v>
      </c>
      <c r="AB2690" s="32">
        <f>IFERROR(__xludf.DUMMYFUNCTION("IFERROR(((IFERROR(SUM(FILTER('Fund Investment Data'!$V:$V, 'Fund Investment Data'!$C:$C = $C2690, 'Fund Investment Data'!$A:$A = $A2690 - 2, 'Fund Investment Data'!$B:$B &gt;= 4)) * Parameters!$B$4,0) + IFERROR(SUM(FILTER('Fund Investment Data'!$V:$V, 'Fund "&amp;"Investment Data'!$C:$C = $C2690, 'Fund Investment Data'!$A:$A = $A2690 - 1, 'Fund Investment Data'!$B:$B &lt;= 3)) * Parameters!$B$4,0))),0)"),0.0)</f>
        <v>0</v>
      </c>
      <c r="AC2690" s="32">
        <f>IFERROR(__xludf.DUMMYFUNCTION("IFERROR(FILTER($AF:$AF,$C:$C = $C2690,$A:$A = $A2690 - 1,$B:$B = 12),0)"),0.0)</f>
        <v>0</v>
      </c>
      <c r="AD2690" s="32">
        <f t="shared" si="23"/>
        <v>0</v>
      </c>
      <c r="AE2690" s="32">
        <f t="shared" si="2"/>
        <v>0</v>
      </c>
      <c r="AF2690" s="32"/>
    </row>
    <row r="2691">
      <c r="A2691" s="86"/>
      <c r="B2691" s="87"/>
      <c r="C2691" s="88"/>
      <c r="D2691" s="104"/>
      <c r="E2691" s="104"/>
      <c r="F2691" s="104"/>
      <c r="G2691" s="104"/>
      <c r="H2691" s="104"/>
      <c r="I2691" s="104"/>
      <c r="J2691" s="104"/>
      <c r="K2691" s="32"/>
      <c r="L2691" s="32"/>
      <c r="M2691" s="32"/>
      <c r="N2691" s="32"/>
      <c r="O2691" s="106"/>
      <c r="P2691" s="91">
        <f>IFERROR(__xludf.DUMMYFUNCTION("IFERROR(sum(FILTER($D:$N,$C:$C = $C2691,$A:$A &lt; $A2691,$B:$B = 12)),0) + sum($D2691:$N2691)"),0.0)</f>
        <v>0</v>
      </c>
      <c r="Q2691" s="92">
        <f t="shared" si="1"/>
        <v>0</v>
      </c>
      <c r="R2691" s="91">
        <f t="array" ref="R2691">IFERROR(INDEX('Fund YTD Target Values'!$1:$1000, MATCH($C2691,'Fund YTD Target Values'!$A:$A,0), MATCH($A2691,'Fund YTD Target Values'!$1:$1,0)),0)</f>
        <v>0</v>
      </c>
      <c r="S2691" s="91">
        <f>IFERROR(__xludf.DUMMYFUNCTION("IFERROR(sum(FILTER('Fund Investment Data'!$V:$V, 'Fund Investment Data'!$C:$C = $C2691, 'Fund Investment Data'!$A:$A &lt; $A2691)),0) + IFERROR(sum(FILTER('Fund Investment Data'!$V:$V, 'Fund Investment Data'!$C:$C = $C2691, 'Fund Investment Data'!$A:$A = $A2"&amp;"691, 'Fund Investment Data'!$B:$B &lt;= $B2691)),0)"),0.0)</f>
        <v>0</v>
      </c>
      <c r="T2691" s="32"/>
      <c r="U2691" s="32"/>
      <c r="V2691" s="32">
        <f>IFERROR(__xludf.DUMMYFUNCTION("$D2691 - IFERROR(FILTER($D:$D,$C:$C = $C2691, $A:$A = $A2691, $B:$B = $B2691 - 1),0)"),0.0)</f>
        <v>0</v>
      </c>
      <c r="W2691" s="93">
        <f>IFERROR(__xludf.DUMMYFUNCTION("$E2691 - IFERROR(FILTER($E:$E,$C:$C = $C2691, $A:$A = $A2691, $B:$B = $B2691 - 1),0)"),0.0)</f>
        <v>0</v>
      </c>
      <c r="X2691" s="91">
        <f>IFERROR(__xludf.DUMMYFUNCTION("iFERROR((FILTER('Fund Investment Data'!$Z:$Z, 'Fund Investment Data'!$C:$C = $C2691, 'Fund Investment Data'!$A:$A = $A2691 - 1, 'Fund Investment Data'!$B:$B = 12) + FILTER('Fund Investment Data'!$AB:$AB, 'Fund Investment Data'!$C:$C = $C2691, 'Fund Invest"&amp;"ment Data'!$A:$A = $A2691 - 1, 'Fund Investment Data'!$B:$B = 12)) * (1 + AVERAGE(FILTER('Inflation Data'!$C:$C,'Inflation Data'!$A:$A = ($A2691 - 2)))) * Parameters!$A$4,0)"),0.0)</f>
        <v>0</v>
      </c>
      <c r="Y2691" s="91">
        <f>IFERROR(__xludf.DUMMYFUNCTION("IFERROR((IFERROR(FILTER('Fund Investment Data'!$P:$P,'Fund Investment Data'!$C:$C = $C2691,'Fund Investment Data'!$A:$A = ($A2691 - 2), 'Fund Investment Data'!$B:$B = 12),0) - SUM(FILTER('Fund Investment Data'!$V:$V, 'Fund Investment Data'!$C:$C = $C2691,"&amp;" 'Fund Investment Data'!$A:$A = ($A2691 - 2), 'Fund Investment Data'!$B:$B &gt; 3)))  * Parameters!$B$4 * (1 - Parameters!$A$4),0)"),0.0)</f>
        <v>0</v>
      </c>
      <c r="Z2691" s="91">
        <f t="shared" si="24"/>
        <v>0</v>
      </c>
      <c r="AA2691" s="91">
        <f>IFERROR(__xludf.DUMMYFUNCTION("((IFERROR((SUM(FILTER('Fund Investment Data'!$V:$V, 'Fund Investment Data'!$C:$C = $C2691, 'Fund Investment Data'!$A:$A = $A2691 - 1, 'Fund Investment Data'!$B:$B &gt;= 4, 'Fund Investment Data'!$B:$B &lt;= ($B2691 + 5))) / 12) * ($B2691 - 3) * Parameters!$B$4,"&amp;" 0) + IF($B2691 &gt;= 9, IFERROR(SUM(FILTER('Fund Investment Data'!$V:$V, 'Fund Investment Data'!$C:$C = $C2691, 'Fund Investment Data'!$A:$A = $A2691, 'Fund Investment Data'!$B:$B &lt;= 3)) * Parameters!$B$4, 0),0)))"),0.0)</f>
        <v>0</v>
      </c>
      <c r="AB2691" s="32">
        <f>IFERROR(__xludf.DUMMYFUNCTION("IFERROR(((IFERROR(SUM(FILTER('Fund Investment Data'!$V:$V, 'Fund Investment Data'!$C:$C = $C2691, 'Fund Investment Data'!$A:$A = $A2691 - 2, 'Fund Investment Data'!$B:$B &gt;= 4)) * Parameters!$B$4,0) + IFERROR(SUM(FILTER('Fund Investment Data'!$V:$V, 'Fund "&amp;"Investment Data'!$C:$C = $C2691, 'Fund Investment Data'!$A:$A = $A2691 - 1, 'Fund Investment Data'!$B:$B &lt;= 3)) * Parameters!$B$4,0))),0)"),0.0)</f>
        <v>0</v>
      </c>
      <c r="AC2691" s="32">
        <f>IFERROR(__xludf.DUMMYFUNCTION("IFERROR(FILTER($AF:$AF,$C:$C = $C2691,$A:$A = $A2691 - 1,$B:$B = 12),0)"),0.0)</f>
        <v>0</v>
      </c>
      <c r="AD2691" s="32">
        <f t="shared" si="23"/>
        <v>0</v>
      </c>
      <c r="AE2691" s="32">
        <f t="shared" si="2"/>
        <v>0</v>
      </c>
      <c r="AF2691" s="32"/>
    </row>
    <row r="2692">
      <c r="A2692" s="86"/>
      <c r="B2692" s="87"/>
      <c r="C2692" s="88"/>
      <c r="D2692" s="104"/>
      <c r="E2692" s="104"/>
      <c r="F2692" s="104"/>
      <c r="G2692" s="104"/>
      <c r="H2692" s="104"/>
      <c r="I2692" s="104"/>
      <c r="J2692" s="104"/>
      <c r="K2692" s="32"/>
      <c r="L2692" s="32"/>
      <c r="M2692" s="32"/>
      <c r="N2692" s="32"/>
      <c r="O2692" s="106"/>
      <c r="P2692" s="91">
        <f>IFERROR(__xludf.DUMMYFUNCTION("IFERROR(sum(FILTER($D:$N,$C:$C = $C2692,$A:$A &lt; $A2692,$B:$B = 12)),0) + sum($D2692:$N2692)"),0.0)</f>
        <v>0</v>
      </c>
      <c r="Q2692" s="92">
        <f t="shared" si="1"/>
        <v>0</v>
      </c>
      <c r="R2692" s="91">
        <f t="array" ref="R2692">IFERROR(INDEX('Fund YTD Target Values'!$1:$1000, MATCH($C2692,'Fund YTD Target Values'!$A:$A,0), MATCH($A2692,'Fund YTD Target Values'!$1:$1,0)),0)</f>
        <v>0</v>
      </c>
      <c r="S2692" s="91">
        <f>IFERROR(__xludf.DUMMYFUNCTION("IFERROR(sum(FILTER('Fund Investment Data'!$V:$V, 'Fund Investment Data'!$C:$C = $C2692, 'Fund Investment Data'!$A:$A &lt; $A2692)),0) + IFERROR(sum(FILTER('Fund Investment Data'!$V:$V, 'Fund Investment Data'!$C:$C = $C2692, 'Fund Investment Data'!$A:$A = $A2"&amp;"692, 'Fund Investment Data'!$B:$B &lt;= $B2692)),0)"),0.0)</f>
        <v>0</v>
      </c>
      <c r="T2692" s="32"/>
      <c r="U2692" s="32"/>
      <c r="V2692" s="32">
        <f>IFERROR(__xludf.DUMMYFUNCTION("$D2692 - IFERROR(FILTER($D:$D,$C:$C = $C2692, $A:$A = $A2692, $B:$B = $B2692 - 1),0)"),0.0)</f>
        <v>0</v>
      </c>
      <c r="W2692" s="93">
        <f>IFERROR(__xludf.DUMMYFUNCTION("$E2692 - IFERROR(FILTER($E:$E,$C:$C = $C2692, $A:$A = $A2692, $B:$B = $B2692 - 1),0)"),0.0)</f>
        <v>0</v>
      </c>
      <c r="X2692" s="91">
        <f>IFERROR(__xludf.DUMMYFUNCTION("iFERROR((FILTER('Fund Investment Data'!$Z:$Z, 'Fund Investment Data'!$C:$C = $C2692, 'Fund Investment Data'!$A:$A = $A2692 - 1, 'Fund Investment Data'!$B:$B = 12) + FILTER('Fund Investment Data'!$AB:$AB, 'Fund Investment Data'!$C:$C = $C2692, 'Fund Invest"&amp;"ment Data'!$A:$A = $A2692 - 1, 'Fund Investment Data'!$B:$B = 12)) * (1 + AVERAGE(FILTER('Inflation Data'!$C:$C,'Inflation Data'!$A:$A = ($A2692 - 2)))) * Parameters!$A$4,0)"),0.0)</f>
        <v>0</v>
      </c>
      <c r="Y2692" s="91">
        <f>IFERROR(__xludf.DUMMYFUNCTION("IFERROR((IFERROR(FILTER('Fund Investment Data'!$P:$P,'Fund Investment Data'!$C:$C = $C2692,'Fund Investment Data'!$A:$A = ($A2692 - 2), 'Fund Investment Data'!$B:$B = 12),0) - SUM(FILTER('Fund Investment Data'!$V:$V, 'Fund Investment Data'!$C:$C = $C2692,"&amp;" 'Fund Investment Data'!$A:$A = ($A2692 - 2), 'Fund Investment Data'!$B:$B &gt; 3)))  * Parameters!$B$4 * (1 - Parameters!$A$4),0)"),0.0)</f>
        <v>0</v>
      </c>
      <c r="Z2692" s="91">
        <f t="shared" si="24"/>
        <v>0</v>
      </c>
      <c r="AA2692" s="91">
        <f>IFERROR(__xludf.DUMMYFUNCTION("((IFERROR((SUM(FILTER('Fund Investment Data'!$V:$V, 'Fund Investment Data'!$C:$C = $C2692, 'Fund Investment Data'!$A:$A = $A2692 - 1, 'Fund Investment Data'!$B:$B &gt;= 4, 'Fund Investment Data'!$B:$B &lt;= ($B2692 + 5))) / 12) * ($B2692 - 3) * Parameters!$B$4,"&amp;" 0) + IF($B2692 &gt;= 9, IFERROR(SUM(FILTER('Fund Investment Data'!$V:$V, 'Fund Investment Data'!$C:$C = $C2692, 'Fund Investment Data'!$A:$A = $A2692, 'Fund Investment Data'!$B:$B &lt;= 3)) * Parameters!$B$4, 0),0)))"),0.0)</f>
        <v>0</v>
      </c>
      <c r="AB2692" s="32">
        <f>IFERROR(__xludf.DUMMYFUNCTION("IFERROR(((IFERROR(SUM(FILTER('Fund Investment Data'!$V:$V, 'Fund Investment Data'!$C:$C = $C2692, 'Fund Investment Data'!$A:$A = $A2692 - 2, 'Fund Investment Data'!$B:$B &gt;= 4)) * Parameters!$B$4,0) + IFERROR(SUM(FILTER('Fund Investment Data'!$V:$V, 'Fund "&amp;"Investment Data'!$C:$C = $C2692, 'Fund Investment Data'!$A:$A = $A2692 - 1, 'Fund Investment Data'!$B:$B &lt;= 3)) * Parameters!$B$4,0))),0)"),0.0)</f>
        <v>0</v>
      </c>
      <c r="AC2692" s="32">
        <f>IFERROR(__xludf.DUMMYFUNCTION("IFERROR(FILTER($AF:$AF,$C:$C = $C2692,$A:$A = $A2692 - 1,$B:$B = 12),0)"),0.0)</f>
        <v>0</v>
      </c>
      <c r="AD2692" s="32">
        <f t="shared" si="23"/>
        <v>0</v>
      </c>
      <c r="AE2692" s="32">
        <f t="shared" si="2"/>
        <v>0</v>
      </c>
      <c r="AF2692" s="32"/>
    </row>
    <row r="2693">
      <c r="A2693" s="86"/>
      <c r="B2693" s="87"/>
      <c r="C2693" s="88"/>
      <c r="D2693" s="104"/>
      <c r="E2693" s="104"/>
      <c r="F2693" s="104"/>
      <c r="G2693" s="104"/>
      <c r="H2693" s="104"/>
      <c r="I2693" s="104"/>
      <c r="J2693" s="104"/>
      <c r="K2693" s="32"/>
      <c r="L2693" s="32"/>
      <c r="M2693" s="32"/>
      <c r="N2693" s="32"/>
      <c r="O2693" s="106"/>
      <c r="P2693" s="91">
        <f>IFERROR(__xludf.DUMMYFUNCTION("IFERROR(sum(FILTER($D:$N,$C:$C = $C2693,$A:$A &lt; $A2693,$B:$B = 12)),0) + sum($D2693:$N2693)"),0.0)</f>
        <v>0</v>
      </c>
      <c r="Q2693" s="92">
        <f t="shared" si="1"/>
        <v>0</v>
      </c>
      <c r="R2693" s="91">
        <f t="array" ref="R2693">IFERROR(INDEX('Fund YTD Target Values'!$1:$1000, MATCH($C2693,'Fund YTD Target Values'!$A:$A,0), MATCH($A2693,'Fund YTD Target Values'!$1:$1,0)),0)</f>
        <v>0</v>
      </c>
      <c r="S2693" s="91">
        <f>IFERROR(__xludf.DUMMYFUNCTION("IFERROR(sum(FILTER('Fund Investment Data'!$V:$V, 'Fund Investment Data'!$C:$C = $C2693, 'Fund Investment Data'!$A:$A &lt; $A2693)),0) + IFERROR(sum(FILTER('Fund Investment Data'!$V:$V, 'Fund Investment Data'!$C:$C = $C2693, 'Fund Investment Data'!$A:$A = $A2"&amp;"693, 'Fund Investment Data'!$B:$B &lt;= $B2693)),0)"),0.0)</f>
        <v>0</v>
      </c>
      <c r="T2693" s="32"/>
      <c r="U2693" s="32"/>
      <c r="V2693" s="32">
        <f>IFERROR(__xludf.DUMMYFUNCTION("$D2693 - IFERROR(FILTER($D:$D,$C:$C = $C2693, $A:$A = $A2693, $B:$B = $B2693 - 1),0)"),0.0)</f>
        <v>0</v>
      </c>
      <c r="W2693" s="93">
        <f>IFERROR(__xludf.DUMMYFUNCTION("$E2693 - IFERROR(FILTER($E:$E,$C:$C = $C2693, $A:$A = $A2693, $B:$B = $B2693 - 1),0)"),0.0)</f>
        <v>0</v>
      </c>
      <c r="X2693" s="91">
        <f>IFERROR(__xludf.DUMMYFUNCTION("iFERROR((FILTER('Fund Investment Data'!$Z:$Z, 'Fund Investment Data'!$C:$C = $C2693, 'Fund Investment Data'!$A:$A = $A2693 - 1, 'Fund Investment Data'!$B:$B = 12) + FILTER('Fund Investment Data'!$AB:$AB, 'Fund Investment Data'!$C:$C = $C2693, 'Fund Invest"&amp;"ment Data'!$A:$A = $A2693 - 1, 'Fund Investment Data'!$B:$B = 12)) * (1 + AVERAGE(FILTER('Inflation Data'!$C:$C,'Inflation Data'!$A:$A = ($A2693 - 2)))) * Parameters!$A$4,0)"),0.0)</f>
        <v>0</v>
      </c>
      <c r="Y2693" s="91">
        <f>IFERROR(__xludf.DUMMYFUNCTION("IFERROR((IFERROR(FILTER('Fund Investment Data'!$P:$P,'Fund Investment Data'!$C:$C = $C2693,'Fund Investment Data'!$A:$A = ($A2693 - 2), 'Fund Investment Data'!$B:$B = 12),0) - SUM(FILTER('Fund Investment Data'!$V:$V, 'Fund Investment Data'!$C:$C = $C2693,"&amp;" 'Fund Investment Data'!$A:$A = ($A2693 - 2), 'Fund Investment Data'!$B:$B &gt; 3)))  * Parameters!$B$4 * (1 - Parameters!$A$4),0)"),0.0)</f>
        <v>0</v>
      </c>
      <c r="Z2693" s="91">
        <f t="shared" si="24"/>
        <v>0</v>
      </c>
      <c r="AA2693" s="91">
        <f>IFERROR(__xludf.DUMMYFUNCTION("((IFERROR((SUM(FILTER('Fund Investment Data'!$V:$V, 'Fund Investment Data'!$C:$C = $C2693, 'Fund Investment Data'!$A:$A = $A2693 - 1, 'Fund Investment Data'!$B:$B &gt;= 4, 'Fund Investment Data'!$B:$B &lt;= ($B2693 + 5))) / 12) * ($B2693 - 3) * Parameters!$B$4,"&amp;" 0) + IF($B2693 &gt;= 9, IFERROR(SUM(FILTER('Fund Investment Data'!$V:$V, 'Fund Investment Data'!$C:$C = $C2693, 'Fund Investment Data'!$A:$A = $A2693, 'Fund Investment Data'!$B:$B &lt;= 3)) * Parameters!$B$4, 0),0)))"),0.0)</f>
        <v>0</v>
      </c>
      <c r="AB2693" s="32">
        <f>IFERROR(__xludf.DUMMYFUNCTION("IFERROR(((IFERROR(SUM(FILTER('Fund Investment Data'!$V:$V, 'Fund Investment Data'!$C:$C = $C2693, 'Fund Investment Data'!$A:$A = $A2693 - 2, 'Fund Investment Data'!$B:$B &gt;= 4)) * Parameters!$B$4,0) + IFERROR(SUM(FILTER('Fund Investment Data'!$V:$V, 'Fund "&amp;"Investment Data'!$C:$C = $C2693, 'Fund Investment Data'!$A:$A = $A2693 - 1, 'Fund Investment Data'!$B:$B &lt;= 3)) * Parameters!$B$4,0))),0)"),0.0)</f>
        <v>0</v>
      </c>
      <c r="AC2693" s="32">
        <f>IFERROR(__xludf.DUMMYFUNCTION("IFERROR(FILTER($AF:$AF,$C:$C = $C2693,$A:$A = $A2693 - 1,$B:$B = 12),0)"),0.0)</f>
        <v>0</v>
      </c>
      <c r="AD2693" s="32">
        <f t="shared" si="23"/>
        <v>0</v>
      </c>
      <c r="AE2693" s="32">
        <f t="shared" si="2"/>
        <v>0</v>
      </c>
      <c r="AF2693" s="32"/>
    </row>
    <row r="2694">
      <c r="A2694" s="86"/>
      <c r="B2694" s="87"/>
      <c r="C2694" s="88"/>
      <c r="D2694" s="104"/>
      <c r="E2694" s="104"/>
      <c r="F2694" s="104"/>
      <c r="G2694" s="104"/>
      <c r="H2694" s="104"/>
      <c r="I2694" s="104"/>
      <c r="J2694" s="104"/>
      <c r="K2694" s="32"/>
      <c r="L2694" s="32"/>
      <c r="M2694" s="32"/>
      <c r="N2694" s="32"/>
      <c r="O2694" s="106"/>
      <c r="P2694" s="91">
        <f>IFERROR(__xludf.DUMMYFUNCTION("IFERROR(sum(FILTER($D:$N,$C:$C = $C2694,$A:$A &lt; $A2694,$B:$B = 12)),0) + sum($D2694:$N2694)"),0.0)</f>
        <v>0</v>
      </c>
      <c r="Q2694" s="92">
        <f t="shared" si="1"/>
        <v>0</v>
      </c>
      <c r="R2694" s="91">
        <f t="array" ref="R2694">IFERROR(INDEX('Fund YTD Target Values'!$1:$1000, MATCH($C2694,'Fund YTD Target Values'!$A:$A,0), MATCH($A2694,'Fund YTD Target Values'!$1:$1,0)),0)</f>
        <v>0</v>
      </c>
      <c r="S2694" s="91">
        <f>IFERROR(__xludf.DUMMYFUNCTION("IFERROR(sum(FILTER('Fund Investment Data'!$V:$V, 'Fund Investment Data'!$C:$C = $C2694, 'Fund Investment Data'!$A:$A &lt; $A2694)),0) + IFERROR(sum(FILTER('Fund Investment Data'!$V:$V, 'Fund Investment Data'!$C:$C = $C2694, 'Fund Investment Data'!$A:$A = $A2"&amp;"694, 'Fund Investment Data'!$B:$B &lt;= $B2694)),0)"),0.0)</f>
        <v>0</v>
      </c>
      <c r="T2694" s="32"/>
      <c r="U2694" s="32"/>
      <c r="V2694" s="32">
        <f>IFERROR(__xludf.DUMMYFUNCTION("$D2694 - IFERROR(FILTER($D:$D,$C:$C = $C2694, $A:$A = $A2694, $B:$B = $B2694 - 1),0)"),0.0)</f>
        <v>0</v>
      </c>
      <c r="W2694" s="93">
        <f>IFERROR(__xludf.DUMMYFUNCTION("$E2694 - IFERROR(FILTER($E:$E,$C:$C = $C2694, $A:$A = $A2694, $B:$B = $B2694 - 1),0)"),0.0)</f>
        <v>0</v>
      </c>
      <c r="X2694" s="91">
        <f>IFERROR(__xludf.DUMMYFUNCTION("iFERROR((FILTER('Fund Investment Data'!$Z:$Z, 'Fund Investment Data'!$C:$C = $C2694, 'Fund Investment Data'!$A:$A = $A2694 - 1, 'Fund Investment Data'!$B:$B = 12) + FILTER('Fund Investment Data'!$AB:$AB, 'Fund Investment Data'!$C:$C = $C2694, 'Fund Invest"&amp;"ment Data'!$A:$A = $A2694 - 1, 'Fund Investment Data'!$B:$B = 12)) * (1 + AVERAGE(FILTER('Inflation Data'!$C:$C,'Inflation Data'!$A:$A = ($A2694 - 2)))) * Parameters!$A$4,0)"),0.0)</f>
        <v>0</v>
      </c>
      <c r="Y2694" s="91">
        <f>IFERROR(__xludf.DUMMYFUNCTION("IFERROR((IFERROR(FILTER('Fund Investment Data'!$P:$P,'Fund Investment Data'!$C:$C = $C2694,'Fund Investment Data'!$A:$A = ($A2694 - 2), 'Fund Investment Data'!$B:$B = 12),0) - SUM(FILTER('Fund Investment Data'!$V:$V, 'Fund Investment Data'!$C:$C = $C2694,"&amp;" 'Fund Investment Data'!$A:$A = ($A2694 - 2), 'Fund Investment Data'!$B:$B &gt; 3)))  * Parameters!$B$4 * (1 - Parameters!$A$4),0)"),0.0)</f>
        <v>0</v>
      </c>
      <c r="Z2694" s="91">
        <f t="shared" si="24"/>
        <v>0</v>
      </c>
      <c r="AA2694" s="91">
        <f>IFERROR(__xludf.DUMMYFUNCTION("((IFERROR((SUM(FILTER('Fund Investment Data'!$V:$V, 'Fund Investment Data'!$C:$C = $C2694, 'Fund Investment Data'!$A:$A = $A2694 - 1, 'Fund Investment Data'!$B:$B &gt;= 4, 'Fund Investment Data'!$B:$B &lt;= ($B2694 + 5))) / 12) * ($B2694 - 3) * Parameters!$B$4,"&amp;" 0) + IF($B2694 &gt;= 9, IFERROR(SUM(FILTER('Fund Investment Data'!$V:$V, 'Fund Investment Data'!$C:$C = $C2694, 'Fund Investment Data'!$A:$A = $A2694, 'Fund Investment Data'!$B:$B &lt;= 3)) * Parameters!$B$4, 0),0)))"),0.0)</f>
        <v>0</v>
      </c>
      <c r="AB2694" s="32">
        <f>IFERROR(__xludf.DUMMYFUNCTION("IFERROR(((IFERROR(SUM(FILTER('Fund Investment Data'!$V:$V, 'Fund Investment Data'!$C:$C = $C2694, 'Fund Investment Data'!$A:$A = $A2694 - 2, 'Fund Investment Data'!$B:$B &gt;= 4)) * Parameters!$B$4,0) + IFERROR(SUM(FILTER('Fund Investment Data'!$V:$V, 'Fund "&amp;"Investment Data'!$C:$C = $C2694, 'Fund Investment Data'!$A:$A = $A2694 - 1, 'Fund Investment Data'!$B:$B &lt;= 3)) * Parameters!$B$4,0))),0)"),0.0)</f>
        <v>0</v>
      </c>
      <c r="AC2694" s="32">
        <f>IFERROR(__xludf.DUMMYFUNCTION("IFERROR(FILTER($AF:$AF,$C:$C = $C2694,$A:$A = $A2694 - 1,$B:$B = 12),0)"),0.0)</f>
        <v>0</v>
      </c>
      <c r="AD2694" s="32">
        <f t="shared" si="23"/>
        <v>0</v>
      </c>
      <c r="AE2694" s="32">
        <f t="shared" si="2"/>
        <v>0</v>
      </c>
      <c r="AF2694" s="32"/>
    </row>
    <row r="2695">
      <c r="A2695" s="86"/>
      <c r="B2695" s="87"/>
      <c r="C2695" s="88"/>
      <c r="D2695" s="104"/>
      <c r="E2695" s="104"/>
      <c r="F2695" s="104"/>
      <c r="G2695" s="104"/>
      <c r="H2695" s="104"/>
      <c r="I2695" s="104"/>
      <c r="J2695" s="104"/>
      <c r="K2695" s="32"/>
      <c r="L2695" s="32"/>
      <c r="M2695" s="32"/>
      <c r="N2695" s="32"/>
      <c r="O2695" s="106"/>
      <c r="P2695" s="91">
        <f>IFERROR(__xludf.DUMMYFUNCTION("IFERROR(sum(FILTER($D:$N,$C:$C = $C2695,$A:$A &lt; $A2695,$B:$B = 12)),0) + sum($D2695:$N2695)"),0.0)</f>
        <v>0</v>
      </c>
      <c r="Q2695" s="92">
        <f t="shared" si="1"/>
        <v>0</v>
      </c>
      <c r="R2695" s="91">
        <f t="array" ref="R2695">IFERROR(INDEX('Fund YTD Target Values'!$1:$1000, MATCH($C2695,'Fund YTD Target Values'!$A:$A,0), MATCH($A2695,'Fund YTD Target Values'!$1:$1,0)),0)</f>
        <v>0</v>
      </c>
      <c r="S2695" s="91">
        <f>IFERROR(__xludf.DUMMYFUNCTION("IFERROR(sum(FILTER('Fund Investment Data'!$V:$V, 'Fund Investment Data'!$C:$C = $C2695, 'Fund Investment Data'!$A:$A &lt; $A2695)),0) + IFERROR(sum(FILTER('Fund Investment Data'!$V:$V, 'Fund Investment Data'!$C:$C = $C2695, 'Fund Investment Data'!$A:$A = $A2"&amp;"695, 'Fund Investment Data'!$B:$B &lt;= $B2695)),0)"),0.0)</f>
        <v>0</v>
      </c>
      <c r="T2695" s="32"/>
      <c r="U2695" s="32"/>
      <c r="V2695" s="32">
        <f>IFERROR(__xludf.DUMMYFUNCTION("$D2695 - IFERROR(FILTER($D:$D,$C:$C = $C2695, $A:$A = $A2695, $B:$B = $B2695 - 1),0)"),0.0)</f>
        <v>0</v>
      </c>
      <c r="W2695" s="93">
        <f>IFERROR(__xludf.DUMMYFUNCTION("$E2695 - IFERROR(FILTER($E:$E,$C:$C = $C2695, $A:$A = $A2695, $B:$B = $B2695 - 1),0)"),0.0)</f>
        <v>0</v>
      </c>
      <c r="X2695" s="91">
        <f>IFERROR(__xludf.DUMMYFUNCTION("iFERROR((FILTER('Fund Investment Data'!$Z:$Z, 'Fund Investment Data'!$C:$C = $C2695, 'Fund Investment Data'!$A:$A = $A2695 - 1, 'Fund Investment Data'!$B:$B = 12) + FILTER('Fund Investment Data'!$AB:$AB, 'Fund Investment Data'!$C:$C = $C2695, 'Fund Invest"&amp;"ment Data'!$A:$A = $A2695 - 1, 'Fund Investment Data'!$B:$B = 12)) * (1 + AVERAGE(FILTER('Inflation Data'!$C:$C,'Inflation Data'!$A:$A = ($A2695 - 2)))) * Parameters!$A$4,0)"),0.0)</f>
        <v>0</v>
      </c>
      <c r="Y2695" s="91">
        <f>IFERROR(__xludf.DUMMYFUNCTION("IFERROR((IFERROR(FILTER('Fund Investment Data'!$P:$P,'Fund Investment Data'!$C:$C = $C2695,'Fund Investment Data'!$A:$A = ($A2695 - 2), 'Fund Investment Data'!$B:$B = 12),0) - SUM(FILTER('Fund Investment Data'!$V:$V, 'Fund Investment Data'!$C:$C = $C2695,"&amp;" 'Fund Investment Data'!$A:$A = ($A2695 - 2), 'Fund Investment Data'!$B:$B &gt; 3)))  * Parameters!$B$4 * (1 - Parameters!$A$4),0)"),0.0)</f>
        <v>0</v>
      </c>
      <c r="Z2695" s="91">
        <f t="shared" si="24"/>
        <v>0</v>
      </c>
      <c r="AA2695" s="91">
        <f>IFERROR(__xludf.DUMMYFUNCTION("((IFERROR((SUM(FILTER('Fund Investment Data'!$V:$V, 'Fund Investment Data'!$C:$C = $C2695, 'Fund Investment Data'!$A:$A = $A2695 - 1, 'Fund Investment Data'!$B:$B &gt;= 4, 'Fund Investment Data'!$B:$B &lt;= ($B2695 + 5))) / 12) * ($B2695 - 3) * Parameters!$B$4,"&amp;" 0) + IF($B2695 &gt;= 9, IFERROR(SUM(FILTER('Fund Investment Data'!$V:$V, 'Fund Investment Data'!$C:$C = $C2695, 'Fund Investment Data'!$A:$A = $A2695, 'Fund Investment Data'!$B:$B &lt;= 3)) * Parameters!$B$4, 0),0)))"),0.0)</f>
        <v>0</v>
      </c>
      <c r="AB2695" s="32">
        <f>IFERROR(__xludf.DUMMYFUNCTION("IFERROR(((IFERROR(SUM(FILTER('Fund Investment Data'!$V:$V, 'Fund Investment Data'!$C:$C = $C2695, 'Fund Investment Data'!$A:$A = $A2695 - 2, 'Fund Investment Data'!$B:$B &gt;= 4)) * Parameters!$B$4,0) + IFERROR(SUM(FILTER('Fund Investment Data'!$V:$V, 'Fund "&amp;"Investment Data'!$C:$C = $C2695, 'Fund Investment Data'!$A:$A = $A2695 - 1, 'Fund Investment Data'!$B:$B &lt;= 3)) * Parameters!$B$4,0))),0)"),0.0)</f>
        <v>0</v>
      </c>
      <c r="AC2695" s="32">
        <f>IFERROR(__xludf.DUMMYFUNCTION("IFERROR(FILTER($AF:$AF,$C:$C = $C2695,$A:$A = $A2695 - 1,$B:$B = 12),0)"),0.0)</f>
        <v>0</v>
      </c>
      <c r="AD2695" s="32">
        <f t="shared" si="23"/>
        <v>0</v>
      </c>
      <c r="AE2695" s="32">
        <f t="shared" si="2"/>
        <v>0</v>
      </c>
      <c r="AF2695" s="32"/>
    </row>
    <row r="2696">
      <c r="A2696" s="86"/>
      <c r="B2696" s="87"/>
      <c r="C2696" s="88"/>
      <c r="D2696" s="104"/>
      <c r="E2696" s="104"/>
      <c r="F2696" s="104"/>
      <c r="G2696" s="104"/>
      <c r="H2696" s="104"/>
      <c r="I2696" s="104"/>
      <c r="J2696" s="104"/>
      <c r="K2696" s="32"/>
      <c r="L2696" s="32"/>
      <c r="M2696" s="32"/>
      <c r="N2696" s="32"/>
      <c r="O2696" s="106"/>
      <c r="P2696" s="91">
        <f>IFERROR(__xludf.DUMMYFUNCTION("IFERROR(sum(FILTER($D:$N,$C:$C = $C2696,$A:$A &lt; $A2696,$B:$B = 12)),0) + sum($D2696:$N2696)"),0.0)</f>
        <v>0</v>
      </c>
      <c r="Q2696" s="92">
        <f t="shared" si="1"/>
        <v>0</v>
      </c>
      <c r="R2696" s="91">
        <f t="array" ref="R2696">IFERROR(INDEX('Fund YTD Target Values'!$1:$1000, MATCH($C2696,'Fund YTD Target Values'!$A:$A,0), MATCH($A2696,'Fund YTD Target Values'!$1:$1,0)),0)</f>
        <v>0</v>
      </c>
      <c r="S2696" s="91">
        <f>IFERROR(__xludf.DUMMYFUNCTION("IFERROR(sum(FILTER('Fund Investment Data'!$V:$V, 'Fund Investment Data'!$C:$C = $C2696, 'Fund Investment Data'!$A:$A &lt; $A2696)),0) + IFERROR(sum(FILTER('Fund Investment Data'!$V:$V, 'Fund Investment Data'!$C:$C = $C2696, 'Fund Investment Data'!$A:$A = $A2"&amp;"696, 'Fund Investment Data'!$B:$B &lt;= $B2696)),0)"),0.0)</f>
        <v>0</v>
      </c>
      <c r="T2696" s="32"/>
      <c r="U2696" s="32"/>
      <c r="V2696" s="32">
        <f>IFERROR(__xludf.DUMMYFUNCTION("$D2696 - IFERROR(FILTER($D:$D,$C:$C = $C2696, $A:$A = $A2696, $B:$B = $B2696 - 1),0)"),0.0)</f>
        <v>0</v>
      </c>
      <c r="W2696" s="93">
        <f>IFERROR(__xludf.DUMMYFUNCTION("$E2696 - IFERROR(FILTER($E:$E,$C:$C = $C2696, $A:$A = $A2696, $B:$B = $B2696 - 1),0)"),0.0)</f>
        <v>0</v>
      </c>
      <c r="X2696" s="91">
        <f>IFERROR(__xludf.DUMMYFUNCTION("iFERROR((FILTER('Fund Investment Data'!$Z:$Z, 'Fund Investment Data'!$C:$C = $C2696, 'Fund Investment Data'!$A:$A = $A2696 - 1, 'Fund Investment Data'!$B:$B = 12) + FILTER('Fund Investment Data'!$AB:$AB, 'Fund Investment Data'!$C:$C = $C2696, 'Fund Invest"&amp;"ment Data'!$A:$A = $A2696 - 1, 'Fund Investment Data'!$B:$B = 12)) * (1 + AVERAGE(FILTER('Inflation Data'!$C:$C,'Inflation Data'!$A:$A = ($A2696 - 2)))) * Parameters!$A$4,0)"),0.0)</f>
        <v>0</v>
      </c>
      <c r="Y2696" s="91">
        <f>IFERROR(__xludf.DUMMYFUNCTION("IFERROR((IFERROR(FILTER('Fund Investment Data'!$P:$P,'Fund Investment Data'!$C:$C = $C2696,'Fund Investment Data'!$A:$A = ($A2696 - 2), 'Fund Investment Data'!$B:$B = 12),0) - SUM(FILTER('Fund Investment Data'!$V:$V, 'Fund Investment Data'!$C:$C = $C2696,"&amp;" 'Fund Investment Data'!$A:$A = ($A2696 - 2), 'Fund Investment Data'!$B:$B &gt; 3)))  * Parameters!$B$4 * (1 - Parameters!$A$4),0)"),0.0)</f>
        <v>0</v>
      </c>
      <c r="Z2696" s="91">
        <f t="shared" si="24"/>
        <v>0</v>
      </c>
      <c r="AA2696" s="91">
        <f>IFERROR(__xludf.DUMMYFUNCTION("((IFERROR((SUM(FILTER('Fund Investment Data'!$V:$V, 'Fund Investment Data'!$C:$C = $C2696, 'Fund Investment Data'!$A:$A = $A2696 - 1, 'Fund Investment Data'!$B:$B &gt;= 4, 'Fund Investment Data'!$B:$B &lt;= ($B2696 + 5))) / 12) * ($B2696 - 3) * Parameters!$B$4,"&amp;" 0) + IF($B2696 &gt;= 9, IFERROR(SUM(FILTER('Fund Investment Data'!$V:$V, 'Fund Investment Data'!$C:$C = $C2696, 'Fund Investment Data'!$A:$A = $A2696, 'Fund Investment Data'!$B:$B &lt;= 3)) * Parameters!$B$4, 0),0)))"),0.0)</f>
        <v>0</v>
      </c>
      <c r="AB2696" s="32">
        <f>IFERROR(__xludf.DUMMYFUNCTION("IFERROR(((IFERROR(SUM(FILTER('Fund Investment Data'!$V:$V, 'Fund Investment Data'!$C:$C = $C2696, 'Fund Investment Data'!$A:$A = $A2696 - 2, 'Fund Investment Data'!$B:$B &gt;= 4)) * Parameters!$B$4,0) + IFERROR(SUM(FILTER('Fund Investment Data'!$V:$V, 'Fund "&amp;"Investment Data'!$C:$C = $C2696, 'Fund Investment Data'!$A:$A = $A2696 - 1, 'Fund Investment Data'!$B:$B &lt;= 3)) * Parameters!$B$4,0))),0)"),0.0)</f>
        <v>0</v>
      </c>
      <c r="AC2696" s="32">
        <f>IFERROR(__xludf.DUMMYFUNCTION("IFERROR(FILTER($AF:$AF,$C:$C = $C2696,$A:$A = $A2696 - 1,$B:$B = 12),0)"),0.0)</f>
        <v>0</v>
      </c>
      <c r="AD2696" s="32">
        <f t="shared" si="23"/>
        <v>0</v>
      </c>
      <c r="AE2696" s="32">
        <f t="shared" si="2"/>
        <v>0</v>
      </c>
      <c r="AF2696" s="32"/>
    </row>
    <row r="2697">
      <c r="A2697" s="86"/>
      <c r="B2697" s="87"/>
      <c r="C2697" s="88"/>
      <c r="D2697" s="104"/>
      <c r="E2697" s="104"/>
      <c r="F2697" s="104"/>
      <c r="G2697" s="104"/>
      <c r="H2697" s="104"/>
      <c r="I2697" s="104"/>
      <c r="J2697" s="104"/>
      <c r="K2697" s="32"/>
      <c r="L2697" s="32"/>
      <c r="M2697" s="32"/>
      <c r="N2697" s="32"/>
      <c r="O2697" s="106"/>
      <c r="P2697" s="91">
        <f>IFERROR(__xludf.DUMMYFUNCTION("IFERROR(sum(FILTER($D:$N,$C:$C = $C2697,$A:$A &lt; $A2697,$B:$B = 12)),0) + sum($D2697:$N2697)"),0.0)</f>
        <v>0</v>
      </c>
      <c r="Q2697" s="92">
        <f t="shared" si="1"/>
        <v>0</v>
      </c>
      <c r="R2697" s="91">
        <f t="array" ref="R2697">IFERROR(INDEX('Fund YTD Target Values'!$1:$1000, MATCH($C2697,'Fund YTD Target Values'!$A:$A,0), MATCH($A2697,'Fund YTD Target Values'!$1:$1,0)),0)</f>
        <v>0</v>
      </c>
      <c r="S2697" s="91">
        <f>IFERROR(__xludf.DUMMYFUNCTION("IFERROR(sum(FILTER('Fund Investment Data'!$V:$V, 'Fund Investment Data'!$C:$C = $C2697, 'Fund Investment Data'!$A:$A &lt; $A2697)),0) + IFERROR(sum(FILTER('Fund Investment Data'!$V:$V, 'Fund Investment Data'!$C:$C = $C2697, 'Fund Investment Data'!$A:$A = $A2"&amp;"697, 'Fund Investment Data'!$B:$B &lt;= $B2697)),0)"),0.0)</f>
        <v>0</v>
      </c>
      <c r="T2697" s="32"/>
      <c r="U2697" s="32"/>
      <c r="V2697" s="32">
        <f>IFERROR(__xludf.DUMMYFUNCTION("$D2697 - IFERROR(FILTER($D:$D,$C:$C = $C2697, $A:$A = $A2697, $B:$B = $B2697 - 1),0)"),0.0)</f>
        <v>0</v>
      </c>
      <c r="W2697" s="93">
        <f>IFERROR(__xludf.DUMMYFUNCTION("$E2697 - IFERROR(FILTER($E:$E,$C:$C = $C2697, $A:$A = $A2697, $B:$B = $B2697 - 1),0)"),0.0)</f>
        <v>0</v>
      </c>
      <c r="X2697" s="91">
        <f>IFERROR(__xludf.DUMMYFUNCTION("iFERROR((FILTER('Fund Investment Data'!$Z:$Z, 'Fund Investment Data'!$C:$C = $C2697, 'Fund Investment Data'!$A:$A = $A2697 - 1, 'Fund Investment Data'!$B:$B = 12) + FILTER('Fund Investment Data'!$AB:$AB, 'Fund Investment Data'!$C:$C = $C2697, 'Fund Invest"&amp;"ment Data'!$A:$A = $A2697 - 1, 'Fund Investment Data'!$B:$B = 12)) * (1 + AVERAGE(FILTER('Inflation Data'!$C:$C,'Inflation Data'!$A:$A = ($A2697 - 2)))) * Parameters!$A$4,0)"),0.0)</f>
        <v>0</v>
      </c>
      <c r="Y2697" s="91">
        <f>IFERROR(__xludf.DUMMYFUNCTION("IFERROR((IFERROR(FILTER('Fund Investment Data'!$P:$P,'Fund Investment Data'!$C:$C = $C2697,'Fund Investment Data'!$A:$A = ($A2697 - 2), 'Fund Investment Data'!$B:$B = 12),0) - SUM(FILTER('Fund Investment Data'!$V:$V, 'Fund Investment Data'!$C:$C = $C2697,"&amp;" 'Fund Investment Data'!$A:$A = ($A2697 - 2), 'Fund Investment Data'!$B:$B &gt; 3)))  * Parameters!$B$4 * (1 - Parameters!$A$4),0)"),0.0)</f>
        <v>0</v>
      </c>
      <c r="Z2697" s="91">
        <f t="shared" si="24"/>
        <v>0</v>
      </c>
      <c r="AA2697" s="91">
        <f>IFERROR(__xludf.DUMMYFUNCTION("((IFERROR((SUM(FILTER('Fund Investment Data'!$V:$V, 'Fund Investment Data'!$C:$C = $C2697, 'Fund Investment Data'!$A:$A = $A2697 - 1, 'Fund Investment Data'!$B:$B &gt;= 4, 'Fund Investment Data'!$B:$B &lt;= ($B2697 + 5))) / 12) * ($B2697 - 3) * Parameters!$B$4,"&amp;" 0) + IF($B2697 &gt;= 9, IFERROR(SUM(FILTER('Fund Investment Data'!$V:$V, 'Fund Investment Data'!$C:$C = $C2697, 'Fund Investment Data'!$A:$A = $A2697, 'Fund Investment Data'!$B:$B &lt;= 3)) * Parameters!$B$4, 0),0)))"),0.0)</f>
        <v>0</v>
      </c>
      <c r="AB2697" s="32">
        <f>IFERROR(__xludf.DUMMYFUNCTION("IFERROR(((IFERROR(SUM(FILTER('Fund Investment Data'!$V:$V, 'Fund Investment Data'!$C:$C = $C2697, 'Fund Investment Data'!$A:$A = $A2697 - 2, 'Fund Investment Data'!$B:$B &gt;= 4)) * Parameters!$B$4,0) + IFERROR(SUM(FILTER('Fund Investment Data'!$V:$V, 'Fund "&amp;"Investment Data'!$C:$C = $C2697, 'Fund Investment Data'!$A:$A = $A2697 - 1, 'Fund Investment Data'!$B:$B &lt;= 3)) * Parameters!$B$4,0))),0)"),0.0)</f>
        <v>0</v>
      </c>
      <c r="AC2697" s="32">
        <f>IFERROR(__xludf.DUMMYFUNCTION("IFERROR(FILTER($AF:$AF,$C:$C = $C2697,$A:$A = $A2697 - 1,$B:$B = 12),0)"),0.0)</f>
        <v>0</v>
      </c>
      <c r="AD2697" s="32">
        <f t="shared" si="23"/>
        <v>0</v>
      </c>
      <c r="AE2697" s="32">
        <f t="shared" si="2"/>
        <v>0</v>
      </c>
      <c r="AF2697" s="32"/>
    </row>
    <row r="2698">
      <c r="A2698" s="86"/>
      <c r="B2698" s="87"/>
      <c r="C2698" s="88"/>
      <c r="D2698" s="104"/>
      <c r="E2698" s="104"/>
      <c r="F2698" s="104"/>
      <c r="G2698" s="104"/>
      <c r="H2698" s="104"/>
      <c r="I2698" s="104"/>
      <c r="J2698" s="104"/>
      <c r="K2698" s="32"/>
      <c r="L2698" s="32"/>
      <c r="M2698" s="32"/>
      <c r="N2698" s="32"/>
      <c r="O2698" s="106"/>
      <c r="P2698" s="91">
        <f>IFERROR(__xludf.DUMMYFUNCTION("IFERROR(sum(FILTER($D:$N,$C:$C = $C2698,$A:$A &lt; $A2698,$B:$B = 12)),0) + sum($D2698:$N2698)"),0.0)</f>
        <v>0</v>
      </c>
      <c r="Q2698" s="92">
        <f t="shared" si="1"/>
        <v>0</v>
      </c>
      <c r="R2698" s="91">
        <f t="array" ref="R2698">IFERROR(INDEX('Fund YTD Target Values'!$1:$1000, MATCH($C2698,'Fund YTD Target Values'!$A:$A,0), MATCH($A2698,'Fund YTD Target Values'!$1:$1,0)),0)</f>
        <v>0</v>
      </c>
      <c r="S2698" s="91">
        <f>IFERROR(__xludf.DUMMYFUNCTION("IFERROR(sum(FILTER('Fund Investment Data'!$V:$V, 'Fund Investment Data'!$C:$C = $C2698, 'Fund Investment Data'!$A:$A &lt; $A2698)),0) + IFERROR(sum(FILTER('Fund Investment Data'!$V:$V, 'Fund Investment Data'!$C:$C = $C2698, 'Fund Investment Data'!$A:$A = $A2"&amp;"698, 'Fund Investment Data'!$B:$B &lt;= $B2698)),0)"),0.0)</f>
        <v>0</v>
      </c>
      <c r="T2698" s="32"/>
      <c r="U2698" s="32"/>
      <c r="V2698" s="32">
        <f>IFERROR(__xludf.DUMMYFUNCTION("$D2698 - IFERROR(FILTER($D:$D,$C:$C = $C2698, $A:$A = $A2698, $B:$B = $B2698 - 1),0)"),0.0)</f>
        <v>0</v>
      </c>
      <c r="W2698" s="93">
        <f>IFERROR(__xludf.DUMMYFUNCTION("$E2698 - IFERROR(FILTER($E:$E,$C:$C = $C2698, $A:$A = $A2698, $B:$B = $B2698 - 1),0)"),0.0)</f>
        <v>0</v>
      </c>
      <c r="X2698" s="91">
        <f>IFERROR(__xludf.DUMMYFUNCTION("iFERROR((FILTER('Fund Investment Data'!$Z:$Z, 'Fund Investment Data'!$C:$C = $C2698, 'Fund Investment Data'!$A:$A = $A2698 - 1, 'Fund Investment Data'!$B:$B = 12) + FILTER('Fund Investment Data'!$AB:$AB, 'Fund Investment Data'!$C:$C = $C2698, 'Fund Invest"&amp;"ment Data'!$A:$A = $A2698 - 1, 'Fund Investment Data'!$B:$B = 12)) * (1 + AVERAGE(FILTER('Inflation Data'!$C:$C,'Inflation Data'!$A:$A = ($A2698 - 2)))) * Parameters!$A$4,0)"),0.0)</f>
        <v>0</v>
      </c>
      <c r="Y2698" s="91">
        <f>IFERROR(__xludf.DUMMYFUNCTION("IFERROR((IFERROR(FILTER('Fund Investment Data'!$P:$P,'Fund Investment Data'!$C:$C = $C2698,'Fund Investment Data'!$A:$A = ($A2698 - 2), 'Fund Investment Data'!$B:$B = 12),0) - SUM(FILTER('Fund Investment Data'!$V:$V, 'Fund Investment Data'!$C:$C = $C2698,"&amp;" 'Fund Investment Data'!$A:$A = ($A2698 - 2), 'Fund Investment Data'!$B:$B &gt; 3)))  * Parameters!$B$4 * (1 - Parameters!$A$4),0)"),0.0)</f>
        <v>0</v>
      </c>
      <c r="Z2698" s="91">
        <f t="shared" si="24"/>
        <v>0</v>
      </c>
      <c r="AA2698" s="91">
        <f>IFERROR(__xludf.DUMMYFUNCTION("((IFERROR((SUM(FILTER('Fund Investment Data'!$V:$V, 'Fund Investment Data'!$C:$C = $C2698, 'Fund Investment Data'!$A:$A = $A2698 - 1, 'Fund Investment Data'!$B:$B &gt;= 4, 'Fund Investment Data'!$B:$B &lt;= ($B2698 + 5))) / 12) * ($B2698 - 3) * Parameters!$B$4,"&amp;" 0) + IF($B2698 &gt;= 9, IFERROR(SUM(FILTER('Fund Investment Data'!$V:$V, 'Fund Investment Data'!$C:$C = $C2698, 'Fund Investment Data'!$A:$A = $A2698, 'Fund Investment Data'!$B:$B &lt;= 3)) * Parameters!$B$4, 0),0)))"),0.0)</f>
        <v>0</v>
      </c>
      <c r="AB2698" s="32">
        <f>IFERROR(__xludf.DUMMYFUNCTION("IFERROR(((IFERROR(SUM(FILTER('Fund Investment Data'!$V:$V, 'Fund Investment Data'!$C:$C = $C2698, 'Fund Investment Data'!$A:$A = $A2698 - 2, 'Fund Investment Data'!$B:$B &gt;= 4)) * Parameters!$B$4,0) + IFERROR(SUM(FILTER('Fund Investment Data'!$V:$V, 'Fund "&amp;"Investment Data'!$C:$C = $C2698, 'Fund Investment Data'!$A:$A = $A2698 - 1, 'Fund Investment Data'!$B:$B &lt;= 3)) * Parameters!$B$4,0))),0)"),0.0)</f>
        <v>0</v>
      </c>
      <c r="AC2698" s="32">
        <f>IFERROR(__xludf.DUMMYFUNCTION("IFERROR(FILTER($AF:$AF,$C:$C = $C2698,$A:$A = $A2698 - 1,$B:$B = 12),0)"),0.0)</f>
        <v>0</v>
      </c>
      <c r="AD2698" s="32">
        <f t="shared" si="23"/>
        <v>0</v>
      </c>
      <c r="AE2698" s="32">
        <f t="shared" si="2"/>
        <v>0</v>
      </c>
      <c r="AF2698" s="32"/>
    </row>
    <row r="2699">
      <c r="A2699" s="86"/>
      <c r="B2699" s="87"/>
      <c r="C2699" s="88"/>
      <c r="D2699" s="104"/>
      <c r="E2699" s="104"/>
      <c r="F2699" s="104"/>
      <c r="G2699" s="104"/>
      <c r="H2699" s="104"/>
      <c r="I2699" s="104"/>
      <c r="J2699" s="104"/>
      <c r="K2699" s="32"/>
      <c r="L2699" s="32"/>
      <c r="M2699" s="32"/>
      <c r="N2699" s="32"/>
      <c r="O2699" s="106"/>
      <c r="P2699" s="91">
        <f>IFERROR(__xludf.DUMMYFUNCTION("IFERROR(sum(FILTER($D:$N,$C:$C = $C2699,$A:$A &lt; $A2699,$B:$B = 12)),0) + sum($D2699:$N2699)"),0.0)</f>
        <v>0</v>
      </c>
      <c r="Q2699" s="92">
        <f t="shared" si="1"/>
        <v>0</v>
      </c>
      <c r="R2699" s="91">
        <f t="array" ref="R2699">IFERROR(INDEX('Fund YTD Target Values'!$1:$1000, MATCH($C2699,'Fund YTD Target Values'!$A:$A,0), MATCH($A2699,'Fund YTD Target Values'!$1:$1,0)),0)</f>
        <v>0</v>
      </c>
      <c r="S2699" s="91">
        <f>IFERROR(__xludf.DUMMYFUNCTION("IFERROR(sum(FILTER('Fund Investment Data'!$V:$V, 'Fund Investment Data'!$C:$C = $C2699, 'Fund Investment Data'!$A:$A &lt; $A2699)),0) + IFERROR(sum(FILTER('Fund Investment Data'!$V:$V, 'Fund Investment Data'!$C:$C = $C2699, 'Fund Investment Data'!$A:$A = $A2"&amp;"699, 'Fund Investment Data'!$B:$B &lt;= $B2699)),0)"),0.0)</f>
        <v>0</v>
      </c>
      <c r="T2699" s="32"/>
      <c r="U2699" s="32"/>
      <c r="V2699" s="32">
        <f>IFERROR(__xludf.DUMMYFUNCTION("$D2699 - IFERROR(FILTER($D:$D,$C:$C = $C2699, $A:$A = $A2699, $B:$B = $B2699 - 1),0)"),0.0)</f>
        <v>0</v>
      </c>
      <c r="W2699" s="93">
        <f>IFERROR(__xludf.DUMMYFUNCTION("$E2699 - IFERROR(FILTER($E:$E,$C:$C = $C2699, $A:$A = $A2699, $B:$B = $B2699 - 1),0)"),0.0)</f>
        <v>0</v>
      </c>
      <c r="X2699" s="91">
        <f>IFERROR(__xludf.DUMMYFUNCTION("iFERROR((FILTER('Fund Investment Data'!$Z:$Z, 'Fund Investment Data'!$C:$C = $C2699, 'Fund Investment Data'!$A:$A = $A2699 - 1, 'Fund Investment Data'!$B:$B = 12) + FILTER('Fund Investment Data'!$AB:$AB, 'Fund Investment Data'!$C:$C = $C2699, 'Fund Invest"&amp;"ment Data'!$A:$A = $A2699 - 1, 'Fund Investment Data'!$B:$B = 12)) * (1 + AVERAGE(FILTER('Inflation Data'!$C:$C,'Inflation Data'!$A:$A = ($A2699 - 2)))) * Parameters!$A$4,0)"),0.0)</f>
        <v>0</v>
      </c>
      <c r="Y2699" s="91">
        <f>IFERROR(__xludf.DUMMYFUNCTION("IFERROR((IFERROR(FILTER('Fund Investment Data'!$P:$P,'Fund Investment Data'!$C:$C = $C2699,'Fund Investment Data'!$A:$A = ($A2699 - 2), 'Fund Investment Data'!$B:$B = 12),0) - SUM(FILTER('Fund Investment Data'!$V:$V, 'Fund Investment Data'!$C:$C = $C2699,"&amp;" 'Fund Investment Data'!$A:$A = ($A2699 - 2), 'Fund Investment Data'!$B:$B &gt; 3)))  * Parameters!$B$4 * (1 - Parameters!$A$4),0)"),0.0)</f>
        <v>0</v>
      </c>
      <c r="Z2699" s="91">
        <f t="shared" si="24"/>
        <v>0</v>
      </c>
      <c r="AA2699" s="91">
        <f>IFERROR(__xludf.DUMMYFUNCTION("((IFERROR((SUM(FILTER('Fund Investment Data'!$V:$V, 'Fund Investment Data'!$C:$C = $C2699, 'Fund Investment Data'!$A:$A = $A2699 - 1, 'Fund Investment Data'!$B:$B &gt;= 4, 'Fund Investment Data'!$B:$B &lt;= ($B2699 + 5))) / 12) * ($B2699 - 3) * Parameters!$B$4,"&amp;" 0) + IF($B2699 &gt;= 9, IFERROR(SUM(FILTER('Fund Investment Data'!$V:$V, 'Fund Investment Data'!$C:$C = $C2699, 'Fund Investment Data'!$A:$A = $A2699, 'Fund Investment Data'!$B:$B &lt;= 3)) * Parameters!$B$4, 0),0)))"),0.0)</f>
        <v>0</v>
      </c>
      <c r="AB2699" s="32">
        <f>IFERROR(__xludf.DUMMYFUNCTION("IFERROR(((IFERROR(SUM(FILTER('Fund Investment Data'!$V:$V, 'Fund Investment Data'!$C:$C = $C2699, 'Fund Investment Data'!$A:$A = $A2699 - 2, 'Fund Investment Data'!$B:$B &gt;= 4)) * Parameters!$B$4,0) + IFERROR(SUM(FILTER('Fund Investment Data'!$V:$V, 'Fund "&amp;"Investment Data'!$C:$C = $C2699, 'Fund Investment Data'!$A:$A = $A2699 - 1, 'Fund Investment Data'!$B:$B &lt;= 3)) * Parameters!$B$4,0))),0)"),0.0)</f>
        <v>0</v>
      </c>
      <c r="AC2699" s="32">
        <f>IFERROR(__xludf.DUMMYFUNCTION("IFERROR(FILTER($AF:$AF,$C:$C = $C2699,$A:$A = $A2699 - 1,$B:$B = 12),0)"),0.0)</f>
        <v>0</v>
      </c>
      <c r="AD2699" s="32">
        <f t="shared" si="23"/>
        <v>0</v>
      </c>
      <c r="AE2699" s="32">
        <f t="shared" si="2"/>
        <v>0</v>
      </c>
      <c r="AF2699" s="32"/>
    </row>
    <row r="2700">
      <c r="A2700" s="86"/>
      <c r="B2700" s="87"/>
      <c r="C2700" s="88"/>
      <c r="D2700" s="104"/>
      <c r="E2700" s="104"/>
      <c r="F2700" s="104"/>
      <c r="G2700" s="104"/>
      <c r="H2700" s="104"/>
      <c r="I2700" s="104"/>
      <c r="J2700" s="104"/>
      <c r="K2700" s="32"/>
      <c r="L2700" s="32"/>
      <c r="M2700" s="32"/>
      <c r="N2700" s="32"/>
      <c r="O2700" s="106"/>
      <c r="P2700" s="91">
        <f>IFERROR(__xludf.DUMMYFUNCTION("IFERROR(sum(FILTER($D:$N,$C:$C = $C2700,$A:$A &lt; $A2700,$B:$B = 12)),0) + sum($D2700:$N2700)"),0.0)</f>
        <v>0</v>
      </c>
      <c r="Q2700" s="92">
        <f t="shared" si="1"/>
        <v>0</v>
      </c>
      <c r="R2700" s="91">
        <f t="array" ref="R2700">IFERROR(INDEX('Fund YTD Target Values'!$1:$1000, MATCH($C2700,'Fund YTD Target Values'!$A:$A,0), MATCH($A2700,'Fund YTD Target Values'!$1:$1,0)),0)</f>
        <v>0</v>
      </c>
      <c r="S2700" s="91">
        <f>IFERROR(__xludf.DUMMYFUNCTION("IFERROR(sum(FILTER('Fund Investment Data'!$V:$V, 'Fund Investment Data'!$C:$C = $C2700, 'Fund Investment Data'!$A:$A &lt; $A2700)),0) + IFERROR(sum(FILTER('Fund Investment Data'!$V:$V, 'Fund Investment Data'!$C:$C = $C2700, 'Fund Investment Data'!$A:$A = $A2"&amp;"700, 'Fund Investment Data'!$B:$B &lt;= $B2700)),0)"),0.0)</f>
        <v>0</v>
      </c>
      <c r="T2700" s="32"/>
      <c r="U2700" s="32"/>
      <c r="V2700" s="32">
        <f>IFERROR(__xludf.DUMMYFUNCTION("$D2700 - IFERROR(FILTER($D:$D,$C:$C = $C2700, $A:$A = $A2700, $B:$B = $B2700 - 1),0)"),0.0)</f>
        <v>0</v>
      </c>
      <c r="W2700" s="93">
        <f>IFERROR(__xludf.DUMMYFUNCTION("$E2700 - IFERROR(FILTER($E:$E,$C:$C = $C2700, $A:$A = $A2700, $B:$B = $B2700 - 1),0)"),0.0)</f>
        <v>0</v>
      </c>
      <c r="X2700" s="91">
        <f>IFERROR(__xludf.DUMMYFUNCTION("iFERROR((FILTER('Fund Investment Data'!$Z:$Z, 'Fund Investment Data'!$C:$C = $C2700, 'Fund Investment Data'!$A:$A = $A2700 - 1, 'Fund Investment Data'!$B:$B = 12) + FILTER('Fund Investment Data'!$AB:$AB, 'Fund Investment Data'!$C:$C = $C2700, 'Fund Invest"&amp;"ment Data'!$A:$A = $A2700 - 1, 'Fund Investment Data'!$B:$B = 12)) * (1 + AVERAGE(FILTER('Inflation Data'!$C:$C,'Inflation Data'!$A:$A = ($A2700 - 2)))) * Parameters!$A$4,0)"),0.0)</f>
        <v>0</v>
      </c>
      <c r="Y2700" s="91">
        <f>IFERROR(__xludf.DUMMYFUNCTION("IFERROR((IFERROR(FILTER('Fund Investment Data'!$P:$P,'Fund Investment Data'!$C:$C = $C2700,'Fund Investment Data'!$A:$A = ($A2700 - 2), 'Fund Investment Data'!$B:$B = 12),0) - SUM(FILTER('Fund Investment Data'!$V:$V, 'Fund Investment Data'!$C:$C = $C2700,"&amp;" 'Fund Investment Data'!$A:$A = ($A2700 - 2), 'Fund Investment Data'!$B:$B &gt; 3)))  * Parameters!$B$4 * (1 - Parameters!$A$4),0)"),0.0)</f>
        <v>0</v>
      </c>
      <c r="Z2700" s="91">
        <f t="shared" si="24"/>
        <v>0</v>
      </c>
      <c r="AA2700" s="91">
        <f>IFERROR(__xludf.DUMMYFUNCTION("((IFERROR((SUM(FILTER('Fund Investment Data'!$V:$V, 'Fund Investment Data'!$C:$C = $C2700, 'Fund Investment Data'!$A:$A = $A2700 - 1, 'Fund Investment Data'!$B:$B &gt;= 4, 'Fund Investment Data'!$B:$B &lt;= ($B2700 + 5))) / 12) * ($B2700 - 3) * Parameters!$B$4,"&amp;" 0) + IF($B2700 &gt;= 9, IFERROR(SUM(FILTER('Fund Investment Data'!$V:$V, 'Fund Investment Data'!$C:$C = $C2700, 'Fund Investment Data'!$A:$A = $A2700, 'Fund Investment Data'!$B:$B &lt;= 3)) * Parameters!$B$4, 0),0)))"),0.0)</f>
        <v>0</v>
      </c>
      <c r="AB2700" s="32">
        <f>IFERROR(__xludf.DUMMYFUNCTION("IFERROR(((IFERROR(SUM(FILTER('Fund Investment Data'!$V:$V, 'Fund Investment Data'!$C:$C = $C2700, 'Fund Investment Data'!$A:$A = $A2700 - 2, 'Fund Investment Data'!$B:$B &gt;= 4)) * Parameters!$B$4,0) + IFERROR(SUM(FILTER('Fund Investment Data'!$V:$V, 'Fund "&amp;"Investment Data'!$C:$C = $C2700, 'Fund Investment Data'!$A:$A = $A2700 - 1, 'Fund Investment Data'!$B:$B &lt;= 3)) * Parameters!$B$4,0))),0)"),0.0)</f>
        <v>0</v>
      </c>
      <c r="AC2700" s="32">
        <f>IFERROR(__xludf.DUMMYFUNCTION("IFERROR(FILTER($AF:$AF,$C:$C = $C2700,$A:$A = $A2700 - 1,$B:$B = 12),0)"),0.0)</f>
        <v>0</v>
      </c>
      <c r="AD2700" s="32">
        <f t="shared" si="23"/>
        <v>0</v>
      </c>
      <c r="AE2700" s="32">
        <f t="shared" si="2"/>
        <v>0</v>
      </c>
      <c r="AF2700" s="32"/>
    </row>
    <row r="2701">
      <c r="A2701" s="86"/>
      <c r="B2701" s="87"/>
      <c r="C2701" s="88"/>
      <c r="D2701" s="104"/>
      <c r="E2701" s="104"/>
      <c r="F2701" s="104"/>
      <c r="G2701" s="104"/>
      <c r="H2701" s="104"/>
      <c r="I2701" s="104"/>
      <c r="J2701" s="104"/>
      <c r="K2701" s="32"/>
      <c r="L2701" s="32"/>
      <c r="M2701" s="32"/>
      <c r="N2701" s="32"/>
      <c r="O2701" s="106"/>
      <c r="P2701" s="91">
        <f>IFERROR(__xludf.DUMMYFUNCTION("IFERROR(sum(FILTER($D:$N,$C:$C = $C2701,$A:$A &lt; $A2701,$B:$B = 12)),0) + sum($D2701:$N2701)"),0.0)</f>
        <v>0</v>
      </c>
      <c r="Q2701" s="92">
        <f t="shared" si="1"/>
        <v>0</v>
      </c>
      <c r="R2701" s="91">
        <f t="array" ref="R2701">IFERROR(INDEX('Fund YTD Target Values'!$1:$1000, MATCH($C2701,'Fund YTD Target Values'!$A:$A,0), MATCH($A2701,'Fund YTD Target Values'!$1:$1,0)),0)</f>
        <v>0</v>
      </c>
      <c r="S2701" s="91">
        <f>IFERROR(__xludf.DUMMYFUNCTION("IFERROR(sum(FILTER('Fund Investment Data'!$V:$V, 'Fund Investment Data'!$C:$C = $C2701, 'Fund Investment Data'!$A:$A &lt; $A2701)),0) + IFERROR(sum(FILTER('Fund Investment Data'!$V:$V, 'Fund Investment Data'!$C:$C = $C2701, 'Fund Investment Data'!$A:$A = $A2"&amp;"701, 'Fund Investment Data'!$B:$B &lt;= $B2701)),0)"),0.0)</f>
        <v>0</v>
      </c>
      <c r="T2701" s="32"/>
      <c r="U2701" s="32"/>
      <c r="V2701" s="32">
        <f>IFERROR(__xludf.DUMMYFUNCTION("$D2701 - IFERROR(FILTER($D:$D,$C:$C = $C2701, $A:$A = $A2701, $B:$B = $B2701 - 1),0)"),0.0)</f>
        <v>0</v>
      </c>
      <c r="W2701" s="93">
        <f>IFERROR(__xludf.DUMMYFUNCTION("$E2701 - IFERROR(FILTER($E:$E,$C:$C = $C2701, $A:$A = $A2701, $B:$B = $B2701 - 1),0)"),0.0)</f>
        <v>0</v>
      </c>
      <c r="X2701" s="91">
        <f>IFERROR(__xludf.DUMMYFUNCTION("iFERROR((FILTER('Fund Investment Data'!$Z:$Z, 'Fund Investment Data'!$C:$C = $C2701, 'Fund Investment Data'!$A:$A = $A2701 - 1, 'Fund Investment Data'!$B:$B = 12) + FILTER('Fund Investment Data'!$AB:$AB, 'Fund Investment Data'!$C:$C = $C2701, 'Fund Invest"&amp;"ment Data'!$A:$A = $A2701 - 1, 'Fund Investment Data'!$B:$B = 12)) * (1 + AVERAGE(FILTER('Inflation Data'!$C:$C,'Inflation Data'!$A:$A = ($A2701 - 2)))) * Parameters!$A$4,0)"),0.0)</f>
        <v>0</v>
      </c>
      <c r="Y2701" s="91">
        <f>IFERROR(__xludf.DUMMYFUNCTION("IFERROR((IFERROR(FILTER('Fund Investment Data'!$P:$P,'Fund Investment Data'!$C:$C = $C2701,'Fund Investment Data'!$A:$A = ($A2701 - 2), 'Fund Investment Data'!$B:$B = 12),0) - SUM(FILTER('Fund Investment Data'!$V:$V, 'Fund Investment Data'!$C:$C = $C2701,"&amp;" 'Fund Investment Data'!$A:$A = ($A2701 - 2), 'Fund Investment Data'!$B:$B &gt; 3)))  * Parameters!$B$4 * (1 - Parameters!$A$4),0)"),0.0)</f>
        <v>0</v>
      </c>
      <c r="Z2701" s="91">
        <f t="shared" si="24"/>
        <v>0</v>
      </c>
      <c r="AA2701" s="91">
        <f>IFERROR(__xludf.DUMMYFUNCTION("((IFERROR((SUM(FILTER('Fund Investment Data'!$V:$V, 'Fund Investment Data'!$C:$C = $C2701, 'Fund Investment Data'!$A:$A = $A2701 - 1, 'Fund Investment Data'!$B:$B &gt;= 4, 'Fund Investment Data'!$B:$B &lt;= ($B2701 + 5))) / 12) * ($B2701 - 3) * Parameters!$B$4,"&amp;" 0) + IF($B2701 &gt;= 9, IFERROR(SUM(FILTER('Fund Investment Data'!$V:$V, 'Fund Investment Data'!$C:$C = $C2701, 'Fund Investment Data'!$A:$A = $A2701, 'Fund Investment Data'!$B:$B &lt;= 3)) * Parameters!$B$4, 0),0)))"),0.0)</f>
        <v>0</v>
      </c>
      <c r="AB2701" s="32">
        <f>IFERROR(__xludf.DUMMYFUNCTION("IFERROR(((IFERROR(SUM(FILTER('Fund Investment Data'!$V:$V, 'Fund Investment Data'!$C:$C = $C2701, 'Fund Investment Data'!$A:$A = $A2701 - 2, 'Fund Investment Data'!$B:$B &gt;= 4)) * Parameters!$B$4,0) + IFERROR(SUM(FILTER('Fund Investment Data'!$V:$V, 'Fund "&amp;"Investment Data'!$C:$C = $C2701, 'Fund Investment Data'!$A:$A = $A2701 - 1, 'Fund Investment Data'!$B:$B &lt;= 3)) * Parameters!$B$4,0))),0)"),0.0)</f>
        <v>0</v>
      </c>
      <c r="AC2701" s="32">
        <f>IFERROR(__xludf.DUMMYFUNCTION("IFERROR(FILTER($AF:$AF,$C:$C = $C2701,$A:$A = $A2701 - 1,$B:$B = 12),0)"),0.0)</f>
        <v>0</v>
      </c>
      <c r="AD2701" s="32">
        <f t="shared" si="23"/>
        <v>0</v>
      </c>
      <c r="AE2701" s="32">
        <f t="shared" si="2"/>
        <v>0</v>
      </c>
      <c r="AF2701" s="32"/>
    </row>
    <row r="2702">
      <c r="A2702" s="86"/>
      <c r="B2702" s="87"/>
      <c r="C2702" s="88"/>
      <c r="D2702" s="104"/>
      <c r="E2702" s="104"/>
      <c r="F2702" s="104"/>
      <c r="G2702" s="104"/>
      <c r="H2702" s="104"/>
      <c r="I2702" s="104"/>
      <c r="J2702" s="104"/>
      <c r="K2702" s="32"/>
      <c r="L2702" s="32"/>
      <c r="M2702" s="32"/>
      <c r="N2702" s="32"/>
      <c r="O2702" s="106"/>
      <c r="P2702" s="91">
        <f>IFERROR(__xludf.DUMMYFUNCTION("IFERROR(sum(FILTER($D:$N,$C:$C = $C2702,$A:$A &lt; $A2702,$B:$B = 12)),0) + sum($D2702:$N2702)"),0.0)</f>
        <v>0</v>
      </c>
      <c r="Q2702" s="92">
        <f t="shared" si="1"/>
        <v>0</v>
      </c>
      <c r="R2702" s="91">
        <f t="array" ref="R2702">IFERROR(INDEX('Fund YTD Target Values'!$1:$1000, MATCH($C2702,'Fund YTD Target Values'!$A:$A,0), MATCH($A2702,'Fund YTD Target Values'!$1:$1,0)),0)</f>
        <v>0</v>
      </c>
      <c r="S2702" s="91">
        <f>IFERROR(__xludf.DUMMYFUNCTION("IFERROR(sum(FILTER('Fund Investment Data'!$V:$V, 'Fund Investment Data'!$C:$C = $C2702, 'Fund Investment Data'!$A:$A &lt; $A2702)),0) + IFERROR(sum(FILTER('Fund Investment Data'!$V:$V, 'Fund Investment Data'!$C:$C = $C2702, 'Fund Investment Data'!$A:$A = $A2"&amp;"702, 'Fund Investment Data'!$B:$B &lt;= $B2702)),0)"),0.0)</f>
        <v>0</v>
      </c>
      <c r="T2702" s="32"/>
      <c r="U2702" s="32"/>
      <c r="V2702" s="32">
        <f>IFERROR(__xludf.DUMMYFUNCTION("$D2702 - IFERROR(FILTER($D:$D,$C:$C = $C2702, $A:$A = $A2702, $B:$B = $B2702 - 1),0)"),0.0)</f>
        <v>0</v>
      </c>
      <c r="W2702" s="93">
        <f>IFERROR(__xludf.DUMMYFUNCTION("$E2702 - IFERROR(FILTER($E:$E,$C:$C = $C2702, $A:$A = $A2702, $B:$B = $B2702 - 1),0)"),0.0)</f>
        <v>0</v>
      </c>
      <c r="X2702" s="91">
        <f>IFERROR(__xludf.DUMMYFUNCTION("iFERROR((FILTER('Fund Investment Data'!$Z:$Z, 'Fund Investment Data'!$C:$C = $C2702, 'Fund Investment Data'!$A:$A = $A2702 - 1, 'Fund Investment Data'!$B:$B = 12) + FILTER('Fund Investment Data'!$AB:$AB, 'Fund Investment Data'!$C:$C = $C2702, 'Fund Invest"&amp;"ment Data'!$A:$A = $A2702 - 1, 'Fund Investment Data'!$B:$B = 12)) * (1 + AVERAGE(FILTER('Inflation Data'!$C:$C,'Inflation Data'!$A:$A = ($A2702 - 2)))) * Parameters!$A$4,0)"),0.0)</f>
        <v>0</v>
      </c>
      <c r="Y2702" s="91">
        <f>IFERROR(__xludf.DUMMYFUNCTION("IFERROR((IFERROR(FILTER('Fund Investment Data'!$P:$P,'Fund Investment Data'!$C:$C = $C2702,'Fund Investment Data'!$A:$A = ($A2702 - 2), 'Fund Investment Data'!$B:$B = 12),0) - SUM(FILTER('Fund Investment Data'!$V:$V, 'Fund Investment Data'!$C:$C = $C2702,"&amp;" 'Fund Investment Data'!$A:$A = ($A2702 - 2), 'Fund Investment Data'!$B:$B &gt; 3)))  * Parameters!$B$4 * (1 - Parameters!$A$4),0)"),0.0)</f>
        <v>0</v>
      </c>
      <c r="Z2702" s="91">
        <f t="shared" si="24"/>
        <v>0</v>
      </c>
      <c r="AA2702" s="91">
        <f>IFERROR(__xludf.DUMMYFUNCTION("((IFERROR((SUM(FILTER('Fund Investment Data'!$V:$V, 'Fund Investment Data'!$C:$C = $C2702, 'Fund Investment Data'!$A:$A = $A2702 - 1, 'Fund Investment Data'!$B:$B &gt;= 4, 'Fund Investment Data'!$B:$B &lt;= ($B2702 + 5))) / 12) * ($B2702 - 3) * Parameters!$B$4,"&amp;" 0) + IF($B2702 &gt;= 9, IFERROR(SUM(FILTER('Fund Investment Data'!$V:$V, 'Fund Investment Data'!$C:$C = $C2702, 'Fund Investment Data'!$A:$A = $A2702, 'Fund Investment Data'!$B:$B &lt;= 3)) * Parameters!$B$4, 0),0)))"),0.0)</f>
        <v>0</v>
      </c>
      <c r="AB2702" s="32">
        <f>IFERROR(__xludf.DUMMYFUNCTION("IFERROR(((IFERROR(SUM(FILTER('Fund Investment Data'!$V:$V, 'Fund Investment Data'!$C:$C = $C2702, 'Fund Investment Data'!$A:$A = $A2702 - 2, 'Fund Investment Data'!$B:$B &gt;= 4)) * Parameters!$B$4,0) + IFERROR(SUM(FILTER('Fund Investment Data'!$V:$V, 'Fund "&amp;"Investment Data'!$C:$C = $C2702, 'Fund Investment Data'!$A:$A = $A2702 - 1, 'Fund Investment Data'!$B:$B &lt;= 3)) * Parameters!$B$4,0))),0)"),0.0)</f>
        <v>0</v>
      </c>
      <c r="AC2702" s="32">
        <f>IFERROR(__xludf.DUMMYFUNCTION("IFERROR(FILTER($AF:$AF,$C:$C = $C2702,$A:$A = $A2702 - 1,$B:$B = 12),0)"),0.0)</f>
        <v>0</v>
      </c>
      <c r="AD2702" s="32">
        <f t="shared" si="23"/>
        <v>0</v>
      </c>
      <c r="AE2702" s="32">
        <f t="shared" si="2"/>
        <v>0</v>
      </c>
      <c r="AF2702" s="32"/>
    </row>
    <row r="2703">
      <c r="A2703" s="86"/>
      <c r="B2703" s="87"/>
      <c r="C2703" s="88"/>
      <c r="D2703" s="104"/>
      <c r="E2703" s="104"/>
      <c r="F2703" s="104"/>
      <c r="G2703" s="104"/>
      <c r="H2703" s="104"/>
      <c r="I2703" s="104"/>
      <c r="J2703" s="104"/>
      <c r="K2703" s="32"/>
      <c r="L2703" s="32"/>
      <c r="M2703" s="32"/>
      <c r="N2703" s="32"/>
      <c r="O2703" s="106"/>
      <c r="P2703" s="91">
        <f>IFERROR(__xludf.DUMMYFUNCTION("IFERROR(sum(FILTER($D:$N,$C:$C = $C2703,$A:$A &lt; $A2703,$B:$B = 12)),0) + sum($D2703:$N2703)"),0.0)</f>
        <v>0</v>
      </c>
      <c r="Q2703" s="92">
        <f t="shared" si="1"/>
        <v>0</v>
      </c>
      <c r="R2703" s="91">
        <f t="array" ref="R2703">IFERROR(INDEX('Fund YTD Target Values'!$1:$1000, MATCH($C2703,'Fund YTD Target Values'!$A:$A,0), MATCH($A2703,'Fund YTD Target Values'!$1:$1,0)),0)</f>
        <v>0</v>
      </c>
      <c r="S2703" s="91">
        <f>IFERROR(__xludf.DUMMYFUNCTION("IFERROR(sum(FILTER('Fund Investment Data'!$V:$V, 'Fund Investment Data'!$C:$C = $C2703, 'Fund Investment Data'!$A:$A &lt; $A2703)),0) + IFERROR(sum(FILTER('Fund Investment Data'!$V:$V, 'Fund Investment Data'!$C:$C = $C2703, 'Fund Investment Data'!$A:$A = $A2"&amp;"703, 'Fund Investment Data'!$B:$B &lt;= $B2703)),0)"),0.0)</f>
        <v>0</v>
      </c>
      <c r="T2703" s="32"/>
      <c r="U2703" s="32"/>
      <c r="V2703" s="32">
        <f>IFERROR(__xludf.DUMMYFUNCTION("$D2703 - IFERROR(FILTER($D:$D,$C:$C = $C2703, $A:$A = $A2703, $B:$B = $B2703 - 1),0)"),0.0)</f>
        <v>0</v>
      </c>
      <c r="W2703" s="93">
        <f>IFERROR(__xludf.DUMMYFUNCTION("$E2703 - IFERROR(FILTER($E:$E,$C:$C = $C2703, $A:$A = $A2703, $B:$B = $B2703 - 1),0)"),0.0)</f>
        <v>0</v>
      </c>
      <c r="X2703" s="91">
        <f>IFERROR(__xludf.DUMMYFUNCTION("iFERROR((FILTER('Fund Investment Data'!$Z:$Z, 'Fund Investment Data'!$C:$C = $C2703, 'Fund Investment Data'!$A:$A = $A2703 - 1, 'Fund Investment Data'!$B:$B = 12) + FILTER('Fund Investment Data'!$AB:$AB, 'Fund Investment Data'!$C:$C = $C2703, 'Fund Invest"&amp;"ment Data'!$A:$A = $A2703 - 1, 'Fund Investment Data'!$B:$B = 12)) * (1 + AVERAGE(FILTER('Inflation Data'!$C:$C,'Inflation Data'!$A:$A = ($A2703 - 2)))) * Parameters!$A$4,0)"),0.0)</f>
        <v>0</v>
      </c>
      <c r="Y2703" s="91">
        <f>IFERROR(__xludf.DUMMYFUNCTION("IFERROR((IFERROR(FILTER('Fund Investment Data'!$P:$P,'Fund Investment Data'!$C:$C = $C2703,'Fund Investment Data'!$A:$A = ($A2703 - 2), 'Fund Investment Data'!$B:$B = 12),0) - SUM(FILTER('Fund Investment Data'!$V:$V, 'Fund Investment Data'!$C:$C = $C2703,"&amp;" 'Fund Investment Data'!$A:$A = ($A2703 - 2), 'Fund Investment Data'!$B:$B &gt; 3)))  * Parameters!$B$4 * (1 - Parameters!$A$4),0)"),0.0)</f>
        <v>0</v>
      </c>
      <c r="Z2703" s="91">
        <f t="shared" si="24"/>
        <v>0</v>
      </c>
      <c r="AA2703" s="91">
        <f>IFERROR(__xludf.DUMMYFUNCTION("((IFERROR((SUM(FILTER('Fund Investment Data'!$V:$V, 'Fund Investment Data'!$C:$C = $C2703, 'Fund Investment Data'!$A:$A = $A2703 - 1, 'Fund Investment Data'!$B:$B &gt;= 4, 'Fund Investment Data'!$B:$B &lt;= ($B2703 + 5))) / 12) * ($B2703 - 3) * Parameters!$B$4,"&amp;" 0) + IF($B2703 &gt;= 9, IFERROR(SUM(FILTER('Fund Investment Data'!$V:$V, 'Fund Investment Data'!$C:$C = $C2703, 'Fund Investment Data'!$A:$A = $A2703, 'Fund Investment Data'!$B:$B &lt;= 3)) * Parameters!$B$4, 0),0)))"),0.0)</f>
        <v>0</v>
      </c>
      <c r="AB2703" s="32">
        <f>IFERROR(__xludf.DUMMYFUNCTION("IFERROR(((IFERROR(SUM(FILTER('Fund Investment Data'!$V:$V, 'Fund Investment Data'!$C:$C = $C2703, 'Fund Investment Data'!$A:$A = $A2703 - 2, 'Fund Investment Data'!$B:$B &gt;= 4)) * Parameters!$B$4,0) + IFERROR(SUM(FILTER('Fund Investment Data'!$V:$V, 'Fund "&amp;"Investment Data'!$C:$C = $C2703, 'Fund Investment Data'!$A:$A = $A2703 - 1, 'Fund Investment Data'!$B:$B &lt;= 3)) * Parameters!$B$4,0))),0)"),0.0)</f>
        <v>0</v>
      </c>
      <c r="AC2703" s="32">
        <f>IFERROR(__xludf.DUMMYFUNCTION("IFERROR(FILTER($AF:$AF,$C:$C = $C2703,$A:$A = $A2703 - 1,$B:$B = 12),0)"),0.0)</f>
        <v>0</v>
      </c>
      <c r="AD2703" s="32">
        <f t="shared" si="23"/>
        <v>0</v>
      </c>
      <c r="AE2703" s="32">
        <f t="shared" si="2"/>
        <v>0</v>
      </c>
      <c r="AF2703" s="32"/>
    </row>
    <row r="2704">
      <c r="A2704" s="86"/>
      <c r="B2704" s="87"/>
      <c r="C2704" s="88"/>
      <c r="D2704" s="104"/>
      <c r="E2704" s="104"/>
      <c r="F2704" s="104"/>
      <c r="G2704" s="104"/>
      <c r="H2704" s="104"/>
      <c r="I2704" s="104"/>
      <c r="J2704" s="104"/>
      <c r="K2704" s="32"/>
      <c r="L2704" s="32"/>
      <c r="M2704" s="32"/>
      <c r="N2704" s="32"/>
      <c r="O2704" s="106"/>
      <c r="P2704" s="91">
        <f>IFERROR(__xludf.DUMMYFUNCTION("IFERROR(sum(FILTER($D:$N,$C:$C = $C2704,$A:$A &lt; $A2704,$B:$B = 12)),0) + sum($D2704:$N2704)"),0.0)</f>
        <v>0</v>
      </c>
      <c r="Q2704" s="92">
        <f t="shared" si="1"/>
        <v>0</v>
      </c>
      <c r="R2704" s="91">
        <f t="array" ref="R2704">IFERROR(INDEX('Fund YTD Target Values'!$1:$1000, MATCH($C2704,'Fund YTD Target Values'!$A:$A,0), MATCH($A2704,'Fund YTD Target Values'!$1:$1,0)),0)</f>
        <v>0</v>
      </c>
      <c r="S2704" s="91">
        <f>IFERROR(__xludf.DUMMYFUNCTION("IFERROR(sum(FILTER('Fund Investment Data'!$V:$V, 'Fund Investment Data'!$C:$C = $C2704, 'Fund Investment Data'!$A:$A &lt; $A2704)),0) + IFERROR(sum(FILTER('Fund Investment Data'!$V:$V, 'Fund Investment Data'!$C:$C = $C2704, 'Fund Investment Data'!$A:$A = $A2"&amp;"704, 'Fund Investment Data'!$B:$B &lt;= $B2704)),0)"),0.0)</f>
        <v>0</v>
      </c>
      <c r="T2704" s="32"/>
      <c r="U2704" s="32"/>
      <c r="V2704" s="32">
        <f>IFERROR(__xludf.DUMMYFUNCTION("$D2704 - IFERROR(FILTER($D:$D,$C:$C = $C2704, $A:$A = $A2704, $B:$B = $B2704 - 1),0)"),0.0)</f>
        <v>0</v>
      </c>
      <c r="W2704" s="93">
        <f>IFERROR(__xludf.DUMMYFUNCTION("$E2704 - IFERROR(FILTER($E:$E,$C:$C = $C2704, $A:$A = $A2704, $B:$B = $B2704 - 1),0)"),0.0)</f>
        <v>0</v>
      </c>
      <c r="X2704" s="91">
        <f>IFERROR(__xludf.DUMMYFUNCTION("iFERROR((FILTER('Fund Investment Data'!$Z:$Z, 'Fund Investment Data'!$C:$C = $C2704, 'Fund Investment Data'!$A:$A = $A2704 - 1, 'Fund Investment Data'!$B:$B = 12) + FILTER('Fund Investment Data'!$AB:$AB, 'Fund Investment Data'!$C:$C = $C2704, 'Fund Invest"&amp;"ment Data'!$A:$A = $A2704 - 1, 'Fund Investment Data'!$B:$B = 12)) * (1 + AVERAGE(FILTER('Inflation Data'!$C:$C,'Inflation Data'!$A:$A = ($A2704 - 2)))) * Parameters!$A$4,0)"),0.0)</f>
        <v>0</v>
      </c>
      <c r="Y2704" s="91">
        <f>IFERROR(__xludf.DUMMYFUNCTION("IFERROR((IFERROR(FILTER('Fund Investment Data'!$P:$P,'Fund Investment Data'!$C:$C = $C2704,'Fund Investment Data'!$A:$A = ($A2704 - 2), 'Fund Investment Data'!$B:$B = 12),0) - SUM(FILTER('Fund Investment Data'!$V:$V, 'Fund Investment Data'!$C:$C = $C2704,"&amp;" 'Fund Investment Data'!$A:$A = ($A2704 - 2), 'Fund Investment Data'!$B:$B &gt; 3)))  * Parameters!$B$4 * (1 - Parameters!$A$4),0)"),0.0)</f>
        <v>0</v>
      </c>
      <c r="Z2704" s="91">
        <f t="shared" si="24"/>
        <v>0</v>
      </c>
      <c r="AA2704" s="91">
        <f>IFERROR(__xludf.DUMMYFUNCTION("((IFERROR((SUM(FILTER('Fund Investment Data'!$V:$V, 'Fund Investment Data'!$C:$C = $C2704, 'Fund Investment Data'!$A:$A = $A2704 - 1, 'Fund Investment Data'!$B:$B &gt;= 4, 'Fund Investment Data'!$B:$B &lt;= ($B2704 + 5))) / 12) * ($B2704 - 3) * Parameters!$B$4,"&amp;" 0) + IF($B2704 &gt;= 9, IFERROR(SUM(FILTER('Fund Investment Data'!$V:$V, 'Fund Investment Data'!$C:$C = $C2704, 'Fund Investment Data'!$A:$A = $A2704, 'Fund Investment Data'!$B:$B &lt;= 3)) * Parameters!$B$4, 0),0)))"),0.0)</f>
        <v>0</v>
      </c>
      <c r="AB2704" s="32">
        <f>IFERROR(__xludf.DUMMYFUNCTION("IFERROR(((IFERROR(SUM(FILTER('Fund Investment Data'!$V:$V, 'Fund Investment Data'!$C:$C = $C2704, 'Fund Investment Data'!$A:$A = $A2704 - 2, 'Fund Investment Data'!$B:$B &gt;= 4)) * Parameters!$B$4,0) + IFERROR(SUM(FILTER('Fund Investment Data'!$V:$V, 'Fund "&amp;"Investment Data'!$C:$C = $C2704, 'Fund Investment Data'!$A:$A = $A2704 - 1, 'Fund Investment Data'!$B:$B &lt;= 3)) * Parameters!$B$4,0))),0)"),0.0)</f>
        <v>0</v>
      </c>
      <c r="AC2704" s="32">
        <f>IFERROR(__xludf.DUMMYFUNCTION("IFERROR(FILTER($AF:$AF,$C:$C = $C2704,$A:$A = $A2704 - 1,$B:$B = 12),0)"),0.0)</f>
        <v>0</v>
      </c>
      <c r="AD2704" s="32">
        <f t="shared" si="23"/>
        <v>0</v>
      </c>
      <c r="AE2704" s="32">
        <f t="shared" si="2"/>
        <v>0</v>
      </c>
      <c r="AF2704" s="32"/>
    </row>
    <row r="2705">
      <c r="A2705" s="86"/>
      <c r="B2705" s="87"/>
      <c r="C2705" s="88"/>
      <c r="D2705" s="104"/>
      <c r="E2705" s="104"/>
      <c r="F2705" s="104"/>
      <c r="G2705" s="104"/>
      <c r="H2705" s="104"/>
      <c r="I2705" s="104"/>
      <c r="J2705" s="104"/>
      <c r="K2705" s="32"/>
      <c r="L2705" s="32"/>
      <c r="M2705" s="32"/>
      <c r="N2705" s="32"/>
      <c r="O2705" s="106"/>
      <c r="P2705" s="91">
        <f>IFERROR(__xludf.DUMMYFUNCTION("IFERROR(sum(FILTER($D:$N,$C:$C = $C2705,$A:$A &lt; $A2705,$B:$B = 12)),0) + sum($D2705:$N2705)"),0.0)</f>
        <v>0</v>
      </c>
      <c r="Q2705" s="92">
        <f t="shared" si="1"/>
        <v>0</v>
      </c>
      <c r="R2705" s="91">
        <f t="array" ref="R2705">IFERROR(INDEX('Fund YTD Target Values'!$1:$1000, MATCH($C2705,'Fund YTD Target Values'!$A:$A,0), MATCH($A2705,'Fund YTD Target Values'!$1:$1,0)),0)</f>
        <v>0</v>
      </c>
      <c r="S2705" s="91">
        <f>IFERROR(__xludf.DUMMYFUNCTION("IFERROR(sum(FILTER('Fund Investment Data'!$V:$V, 'Fund Investment Data'!$C:$C = $C2705, 'Fund Investment Data'!$A:$A &lt; $A2705)),0) + IFERROR(sum(FILTER('Fund Investment Data'!$V:$V, 'Fund Investment Data'!$C:$C = $C2705, 'Fund Investment Data'!$A:$A = $A2"&amp;"705, 'Fund Investment Data'!$B:$B &lt;= $B2705)),0)"),0.0)</f>
        <v>0</v>
      </c>
      <c r="T2705" s="32"/>
      <c r="U2705" s="32"/>
      <c r="V2705" s="32">
        <f>IFERROR(__xludf.DUMMYFUNCTION("$D2705 - IFERROR(FILTER($D:$D,$C:$C = $C2705, $A:$A = $A2705, $B:$B = $B2705 - 1),0)"),0.0)</f>
        <v>0</v>
      </c>
      <c r="W2705" s="93">
        <f>IFERROR(__xludf.DUMMYFUNCTION("$E2705 - IFERROR(FILTER($E:$E,$C:$C = $C2705, $A:$A = $A2705, $B:$B = $B2705 - 1),0)"),0.0)</f>
        <v>0</v>
      </c>
      <c r="X2705" s="91">
        <f>IFERROR(__xludf.DUMMYFUNCTION("iFERROR((FILTER('Fund Investment Data'!$Z:$Z, 'Fund Investment Data'!$C:$C = $C2705, 'Fund Investment Data'!$A:$A = $A2705 - 1, 'Fund Investment Data'!$B:$B = 12) + FILTER('Fund Investment Data'!$AB:$AB, 'Fund Investment Data'!$C:$C = $C2705, 'Fund Invest"&amp;"ment Data'!$A:$A = $A2705 - 1, 'Fund Investment Data'!$B:$B = 12)) * (1 + AVERAGE(FILTER('Inflation Data'!$C:$C,'Inflation Data'!$A:$A = ($A2705 - 2)))) * Parameters!$A$4,0)"),0.0)</f>
        <v>0</v>
      </c>
      <c r="Y2705" s="91">
        <f>IFERROR(__xludf.DUMMYFUNCTION("IFERROR((IFERROR(FILTER('Fund Investment Data'!$P:$P,'Fund Investment Data'!$C:$C = $C2705,'Fund Investment Data'!$A:$A = ($A2705 - 2), 'Fund Investment Data'!$B:$B = 12),0) - SUM(FILTER('Fund Investment Data'!$V:$V, 'Fund Investment Data'!$C:$C = $C2705,"&amp;" 'Fund Investment Data'!$A:$A = ($A2705 - 2), 'Fund Investment Data'!$B:$B &gt; 3)))  * Parameters!$B$4 * (1 - Parameters!$A$4),0)"),0.0)</f>
        <v>0</v>
      </c>
      <c r="Z2705" s="91">
        <f t="shared" si="24"/>
        <v>0</v>
      </c>
      <c r="AA2705" s="91">
        <f>IFERROR(__xludf.DUMMYFUNCTION("((IFERROR((SUM(FILTER('Fund Investment Data'!$V:$V, 'Fund Investment Data'!$C:$C = $C2705, 'Fund Investment Data'!$A:$A = $A2705 - 1, 'Fund Investment Data'!$B:$B &gt;= 4, 'Fund Investment Data'!$B:$B &lt;= ($B2705 + 5))) / 12) * ($B2705 - 3) * Parameters!$B$4,"&amp;" 0) + IF($B2705 &gt;= 9, IFERROR(SUM(FILTER('Fund Investment Data'!$V:$V, 'Fund Investment Data'!$C:$C = $C2705, 'Fund Investment Data'!$A:$A = $A2705, 'Fund Investment Data'!$B:$B &lt;= 3)) * Parameters!$B$4, 0),0)))"),0.0)</f>
        <v>0</v>
      </c>
      <c r="AB2705" s="32">
        <f>IFERROR(__xludf.DUMMYFUNCTION("IFERROR(((IFERROR(SUM(FILTER('Fund Investment Data'!$V:$V, 'Fund Investment Data'!$C:$C = $C2705, 'Fund Investment Data'!$A:$A = $A2705 - 2, 'Fund Investment Data'!$B:$B &gt;= 4)) * Parameters!$B$4,0) + IFERROR(SUM(FILTER('Fund Investment Data'!$V:$V, 'Fund "&amp;"Investment Data'!$C:$C = $C2705, 'Fund Investment Data'!$A:$A = $A2705 - 1, 'Fund Investment Data'!$B:$B &lt;= 3)) * Parameters!$B$4,0))),0)"),0.0)</f>
        <v>0</v>
      </c>
      <c r="AC2705" s="32">
        <f>IFERROR(__xludf.DUMMYFUNCTION("IFERROR(FILTER($AF:$AF,$C:$C = $C2705,$A:$A = $A2705 - 1,$B:$B = 12),0)"),0.0)</f>
        <v>0</v>
      </c>
      <c r="AD2705" s="32">
        <f t="shared" si="23"/>
        <v>0</v>
      </c>
      <c r="AE2705" s="32">
        <f t="shared" si="2"/>
        <v>0</v>
      </c>
      <c r="AF2705" s="32"/>
    </row>
    <row r="2706">
      <c r="A2706" s="86"/>
      <c r="B2706" s="87"/>
      <c r="C2706" s="88"/>
      <c r="D2706" s="104"/>
      <c r="E2706" s="104"/>
      <c r="F2706" s="104"/>
      <c r="G2706" s="104"/>
      <c r="H2706" s="104"/>
      <c r="I2706" s="104"/>
      <c r="J2706" s="104"/>
      <c r="K2706" s="32"/>
      <c r="L2706" s="32"/>
      <c r="M2706" s="32"/>
      <c r="N2706" s="32"/>
      <c r="O2706" s="106"/>
      <c r="P2706" s="91">
        <f>IFERROR(__xludf.DUMMYFUNCTION("IFERROR(sum(FILTER($D:$N,$C:$C = $C2706,$A:$A &lt; $A2706,$B:$B = 12)),0) + sum($D2706:$N2706)"),0.0)</f>
        <v>0</v>
      </c>
      <c r="Q2706" s="92">
        <f t="shared" si="1"/>
        <v>0</v>
      </c>
      <c r="R2706" s="91">
        <f t="array" ref="R2706">IFERROR(INDEX('Fund YTD Target Values'!$1:$1000, MATCH($C2706,'Fund YTD Target Values'!$A:$A,0), MATCH($A2706,'Fund YTD Target Values'!$1:$1,0)),0)</f>
        <v>0</v>
      </c>
      <c r="S2706" s="91">
        <f>IFERROR(__xludf.DUMMYFUNCTION("IFERROR(sum(FILTER('Fund Investment Data'!$V:$V, 'Fund Investment Data'!$C:$C = $C2706, 'Fund Investment Data'!$A:$A &lt; $A2706)),0) + IFERROR(sum(FILTER('Fund Investment Data'!$V:$V, 'Fund Investment Data'!$C:$C = $C2706, 'Fund Investment Data'!$A:$A = $A2"&amp;"706, 'Fund Investment Data'!$B:$B &lt;= $B2706)),0)"),0.0)</f>
        <v>0</v>
      </c>
      <c r="T2706" s="32"/>
      <c r="U2706" s="32"/>
      <c r="V2706" s="32">
        <f>IFERROR(__xludf.DUMMYFUNCTION("$D2706 - IFERROR(FILTER($D:$D,$C:$C = $C2706, $A:$A = $A2706, $B:$B = $B2706 - 1),0)"),0.0)</f>
        <v>0</v>
      </c>
      <c r="W2706" s="93">
        <f>IFERROR(__xludf.DUMMYFUNCTION("$E2706 - IFERROR(FILTER($E:$E,$C:$C = $C2706, $A:$A = $A2706, $B:$B = $B2706 - 1),0)"),0.0)</f>
        <v>0</v>
      </c>
      <c r="X2706" s="91">
        <f>IFERROR(__xludf.DUMMYFUNCTION("iFERROR((FILTER('Fund Investment Data'!$Z:$Z, 'Fund Investment Data'!$C:$C = $C2706, 'Fund Investment Data'!$A:$A = $A2706 - 1, 'Fund Investment Data'!$B:$B = 12) + FILTER('Fund Investment Data'!$AB:$AB, 'Fund Investment Data'!$C:$C = $C2706, 'Fund Invest"&amp;"ment Data'!$A:$A = $A2706 - 1, 'Fund Investment Data'!$B:$B = 12)) * (1 + AVERAGE(FILTER('Inflation Data'!$C:$C,'Inflation Data'!$A:$A = ($A2706 - 2)))) * Parameters!$A$4,0)"),0.0)</f>
        <v>0</v>
      </c>
      <c r="Y2706" s="91">
        <f>IFERROR(__xludf.DUMMYFUNCTION("IFERROR((IFERROR(FILTER('Fund Investment Data'!$P:$P,'Fund Investment Data'!$C:$C = $C2706,'Fund Investment Data'!$A:$A = ($A2706 - 2), 'Fund Investment Data'!$B:$B = 12),0) - SUM(FILTER('Fund Investment Data'!$V:$V, 'Fund Investment Data'!$C:$C = $C2706,"&amp;" 'Fund Investment Data'!$A:$A = ($A2706 - 2), 'Fund Investment Data'!$B:$B &gt; 3)))  * Parameters!$B$4 * (1 - Parameters!$A$4),0)"),0.0)</f>
        <v>0</v>
      </c>
      <c r="Z2706" s="91">
        <f t="shared" si="24"/>
        <v>0</v>
      </c>
      <c r="AA2706" s="91">
        <f>IFERROR(__xludf.DUMMYFUNCTION("((IFERROR((SUM(FILTER('Fund Investment Data'!$V:$V, 'Fund Investment Data'!$C:$C = $C2706, 'Fund Investment Data'!$A:$A = $A2706 - 1, 'Fund Investment Data'!$B:$B &gt;= 4, 'Fund Investment Data'!$B:$B &lt;= ($B2706 + 5))) / 12) * ($B2706 - 3) * Parameters!$B$4,"&amp;" 0) + IF($B2706 &gt;= 9, IFERROR(SUM(FILTER('Fund Investment Data'!$V:$V, 'Fund Investment Data'!$C:$C = $C2706, 'Fund Investment Data'!$A:$A = $A2706, 'Fund Investment Data'!$B:$B &lt;= 3)) * Parameters!$B$4, 0),0)))"),0.0)</f>
        <v>0</v>
      </c>
      <c r="AB2706" s="32">
        <f>IFERROR(__xludf.DUMMYFUNCTION("IFERROR(((IFERROR(SUM(FILTER('Fund Investment Data'!$V:$V, 'Fund Investment Data'!$C:$C = $C2706, 'Fund Investment Data'!$A:$A = $A2706 - 2, 'Fund Investment Data'!$B:$B &gt;= 4)) * Parameters!$B$4,0) + IFERROR(SUM(FILTER('Fund Investment Data'!$V:$V, 'Fund "&amp;"Investment Data'!$C:$C = $C2706, 'Fund Investment Data'!$A:$A = $A2706 - 1, 'Fund Investment Data'!$B:$B &lt;= 3)) * Parameters!$B$4,0))),0)"),0.0)</f>
        <v>0</v>
      </c>
      <c r="AC2706" s="32">
        <f>IFERROR(__xludf.DUMMYFUNCTION("IFERROR(FILTER($AF:$AF,$C:$C = $C2706,$A:$A = $A2706 - 1,$B:$B = 12),0)"),0.0)</f>
        <v>0</v>
      </c>
      <c r="AD2706" s="32">
        <f t="shared" si="23"/>
        <v>0</v>
      </c>
      <c r="AE2706" s="32">
        <f t="shared" si="2"/>
        <v>0</v>
      </c>
      <c r="AF2706" s="32"/>
    </row>
    <row r="2707">
      <c r="A2707" s="86"/>
      <c r="B2707" s="87"/>
      <c r="C2707" s="88"/>
      <c r="D2707" s="104"/>
      <c r="E2707" s="104"/>
      <c r="F2707" s="104"/>
      <c r="G2707" s="104"/>
      <c r="H2707" s="104"/>
      <c r="I2707" s="104"/>
      <c r="J2707" s="104"/>
      <c r="K2707" s="32"/>
      <c r="L2707" s="32"/>
      <c r="M2707" s="32"/>
      <c r="N2707" s="32"/>
      <c r="O2707" s="106"/>
      <c r="P2707" s="91">
        <f>IFERROR(__xludf.DUMMYFUNCTION("IFERROR(sum(FILTER($D:$N,$C:$C = $C2707,$A:$A &lt; $A2707,$B:$B = 12)),0) + sum($D2707:$N2707)"),0.0)</f>
        <v>0</v>
      </c>
      <c r="Q2707" s="92">
        <f t="shared" si="1"/>
        <v>0</v>
      </c>
      <c r="R2707" s="91">
        <f t="array" ref="R2707">IFERROR(INDEX('Fund YTD Target Values'!$1:$1000, MATCH($C2707,'Fund YTD Target Values'!$A:$A,0), MATCH($A2707,'Fund YTD Target Values'!$1:$1,0)),0)</f>
        <v>0</v>
      </c>
      <c r="S2707" s="91">
        <f>IFERROR(__xludf.DUMMYFUNCTION("IFERROR(sum(FILTER('Fund Investment Data'!$V:$V, 'Fund Investment Data'!$C:$C = $C2707, 'Fund Investment Data'!$A:$A &lt; $A2707)),0) + IFERROR(sum(FILTER('Fund Investment Data'!$V:$V, 'Fund Investment Data'!$C:$C = $C2707, 'Fund Investment Data'!$A:$A = $A2"&amp;"707, 'Fund Investment Data'!$B:$B &lt;= $B2707)),0)"),0.0)</f>
        <v>0</v>
      </c>
      <c r="T2707" s="32"/>
      <c r="U2707" s="32"/>
      <c r="V2707" s="32">
        <f>IFERROR(__xludf.DUMMYFUNCTION("$D2707 - IFERROR(FILTER($D:$D,$C:$C = $C2707, $A:$A = $A2707, $B:$B = $B2707 - 1),0)"),0.0)</f>
        <v>0</v>
      </c>
      <c r="W2707" s="93">
        <f>IFERROR(__xludf.DUMMYFUNCTION("$E2707 - IFERROR(FILTER($E:$E,$C:$C = $C2707, $A:$A = $A2707, $B:$B = $B2707 - 1),0)"),0.0)</f>
        <v>0</v>
      </c>
      <c r="X2707" s="91">
        <f>IFERROR(__xludf.DUMMYFUNCTION("iFERROR((FILTER('Fund Investment Data'!$Z:$Z, 'Fund Investment Data'!$C:$C = $C2707, 'Fund Investment Data'!$A:$A = $A2707 - 1, 'Fund Investment Data'!$B:$B = 12) + FILTER('Fund Investment Data'!$AB:$AB, 'Fund Investment Data'!$C:$C = $C2707, 'Fund Invest"&amp;"ment Data'!$A:$A = $A2707 - 1, 'Fund Investment Data'!$B:$B = 12)) * (1 + AVERAGE(FILTER('Inflation Data'!$C:$C,'Inflation Data'!$A:$A = ($A2707 - 2)))) * Parameters!$A$4,0)"),0.0)</f>
        <v>0</v>
      </c>
      <c r="Y2707" s="91">
        <f>IFERROR(__xludf.DUMMYFUNCTION("IFERROR((IFERROR(FILTER('Fund Investment Data'!$P:$P,'Fund Investment Data'!$C:$C = $C2707,'Fund Investment Data'!$A:$A = ($A2707 - 2), 'Fund Investment Data'!$B:$B = 12),0) - SUM(FILTER('Fund Investment Data'!$V:$V, 'Fund Investment Data'!$C:$C = $C2707,"&amp;" 'Fund Investment Data'!$A:$A = ($A2707 - 2), 'Fund Investment Data'!$B:$B &gt; 3)))  * Parameters!$B$4 * (1 - Parameters!$A$4),0)"),0.0)</f>
        <v>0</v>
      </c>
      <c r="Z2707" s="91">
        <f t="shared" si="24"/>
        <v>0</v>
      </c>
      <c r="AA2707" s="91">
        <f>IFERROR(__xludf.DUMMYFUNCTION("((IFERROR((SUM(FILTER('Fund Investment Data'!$V:$V, 'Fund Investment Data'!$C:$C = $C2707, 'Fund Investment Data'!$A:$A = $A2707 - 1, 'Fund Investment Data'!$B:$B &gt;= 4, 'Fund Investment Data'!$B:$B &lt;= ($B2707 + 5))) / 12) * ($B2707 - 3) * Parameters!$B$4,"&amp;" 0) + IF($B2707 &gt;= 9, IFERROR(SUM(FILTER('Fund Investment Data'!$V:$V, 'Fund Investment Data'!$C:$C = $C2707, 'Fund Investment Data'!$A:$A = $A2707, 'Fund Investment Data'!$B:$B &lt;= 3)) * Parameters!$B$4, 0),0)))"),0.0)</f>
        <v>0</v>
      </c>
      <c r="AB2707" s="32">
        <f>IFERROR(__xludf.DUMMYFUNCTION("IFERROR(((IFERROR(SUM(FILTER('Fund Investment Data'!$V:$V, 'Fund Investment Data'!$C:$C = $C2707, 'Fund Investment Data'!$A:$A = $A2707 - 2, 'Fund Investment Data'!$B:$B &gt;= 4)) * Parameters!$B$4,0) + IFERROR(SUM(FILTER('Fund Investment Data'!$V:$V, 'Fund "&amp;"Investment Data'!$C:$C = $C2707, 'Fund Investment Data'!$A:$A = $A2707 - 1, 'Fund Investment Data'!$B:$B &lt;= 3)) * Parameters!$B$4,0))),0)"),0.0)</f>
        <v>0</v>
      </c>
      <c r="AC2707" s="32">
        <f>IFERROR(__xludf.DUMMYFUNCTION("IFERROR(FILTER($AF:$AF,$C:$C = $C2707,$A:$A = $A2707 - 1,$B:$B = 12),0)"),0.0)</f>
        <v>0</v>
      </c>
      <c r="AD2707" s="32">
        <f t="shared" si="23"/>
        <v>0</v>
      </c>
      <c r="AE2707" s="32">
        <f t="shared" si="2"/>
        <v>0</v>
      </c>
      <c r="AF2707" s="32"/>
    </row>
    <row r="2708">
      <c r="A2708" s="86"/>
      <c r="B2708" s="87"/>
      <c r="C2708" s="88"/>
      <c r="D2708" s="104"/>
      <c r="E2708" s="104"/>
      <c r="F2708" s="104"/>
      <c r="G2708" s="104"/>
      <c r="H2708" s="104"/>
      <c r="I2708" s="104"/>
      <c r="J2708" s="104"/>
      <c r="K2708" s="32"/>
      <c r="L2708" s="32"/>
      <c r="M2708" s="32"/>
      <c r="N2708" s="32"/>
      <c r="O2708" s="106"/>
      <c r="P2708" s="91">
        <f>IFERROR(__xludf.DUMMYFUNCTION("IFERROR(sum(FILTER($D:$N,$C:$C = $C2708,$A:$A &lt; $A2708,$B:$B = 12)),0) + sum($D2708:$N2708)"),0.0)</f>
        <v>0</v>
      </c>
      <c r="Q2708" s="92">
        <f t="shared" si="1"/>
        <v>0</v>
      </c>
      <c r="R2708" s="91">
        <f t="array" ref="R2708">IFERROR(INDEX('Fund YTD Target Values'!$1:$1000, MATCH($C2708,'Fund YTD Target Values'!$A:$A,0), MATCH($A2708,'Fund YTD Target Values'!$1:$1,0)),0)</f>
        <v>0</v>
      </c>
      <c r="S2708" s="91">
        <f>IFERROR(__xludf.DUMMYFUNCTION("IFERROR(sum(FILTER('Fund Investment Data'!$V:$V, 'Fund Investment Data'!$C:$C = $C2708, 'Fund Investment Data'!$A:$A &lt; $A2708)),0) + IFERROR(sum(FILTER('Fund Investment Data'!$V:$V, 'Fund Investment Data'!$C:$C = $C2708, 'Fund Investment Data'!$A:$A = $A2"&amp;"708, 'Fund Investment Data'!$B:$B &lt;= $B2708)),0)"),0.0)</f>
        <v>0</v>
      </c>
      <c r="T2708" s="32"/>
      <c r="U2708" s="32"/>
      <c r="V2708" s="32">
        <f>IFERROR(__xludf.DUMMYFUNCTION("$D2708 - IFERROR(FILTER($D:$D,$C:$C = $C2708, $A:$A = $A2708, $B:$B = $B2708 - 1),0)"),0.0)</f>
        <v>0</v>
      </c>
      <c r="W2708" s="93">
        <f>IFERROR(__xludf.DUMMYFUNCTION("$E2708 - IFERROR(FILTER($E:$E,$C:$C = $C2708, $A:$A = $A2708, $B:$B = $B2708 - 1),0)"),0.0)</f>
        <v>0</v>
      </c>
      <c r="X2708" s="91">
        <f>IFERROR(__xludf.DUMMYFUNCTION("iFERROR((FILTER('Fund Investment Data'!$Z:$Z, 'Fund Investment Data'!$C:$C = $C2708, 'Fund Investment Data'!$A:$A = $A2708 - 1, 'Fund Investment Data'!$B:$B = 12) + FILTER('Fund Investment Data'!$AB:$AB, 'Fund Investment Data'!$C:$C = $C2708, 'Fund Invest"&amp;"ment Data'!$A:$A = $A2708 - 1, 'Fund Investment Data'!$B:$B = 12)) * (1 + AVERAGE(FILTER('Inflation Data'!$C:$C,'Inflation Data'!$A:$A = ($A2708 - 2)))) * Parameters!$A$4,0)"),0.0)</f>
        <v>0</v>
      </c>
      <c r="Y2708" s="91">
        <f>IFERROR(__xludf.DUMMYFUNCTION("IFERROR((IFERROR(FILTER('Fund Investment Data'!$P:$P,'Fund Investment Data'!$C:$C = $C2708,'Fund Investment Data'!$A:$A = ($A2708 - 2), 'Fund Investment Data'!$B:$B = 12),0) - SUM(FILTER('Fund Investment Data'!$V:$V, 'Fund Investment Data'!$C:$C = $C2708,"&amp;" 'Fund Investment Data'!$A:$A = ($A2708 - 2), 'Fund Investment Data'!$B:$B &gt; 3)))  * Parameters!$B$4 * (1 - Parameters!$A$4),0)"),0.0)</f>
        <v>0</v>
      </c>
      <c r="Z2708" s="91">
        <f t="shared" si="24"/>
        <v>0</v>
      </c>
      <c r="AA2708" s="91">
        <f>IFERROR(__xludf.DUMMYFUNCTION("((IFERROR((SUM(FILTER('Fund Investment Data'!$V:$V, 'Fund Investment Data'!$C:$C = $C2708, 'Fund Investment Data'!$A:$A = $A2708 - 1, 'Fund Investment Data'!$B:$B &gt;= 4, 'Fund Investment Data'!$B:$B &lt;= ($B2708 + 5))) / 12) * ($B2708 - 3) * Parameters!$B$4,"&amp;" 0) + IF($B2708 &gt;= 9, IFERROR(SUM(FILTER('Fund Investment Data'!$V:$V, 'Fund Investment Data'!$C:$C = $C2708, 'Fund Investment Data'!$A:$A = $A2708, 'Fund Investment Data'!$B:$B &lt;= 3)) * Parameters!$B$4, 0),0)))"),0.0)</f>
        <v>0</v>
      </c>
      <c r="AB2708" s="32">
        <f>IFERROR(__xludf.DUMMYFUNCTION("IFERROR(((IFERROR(SUM(FILTER('Fund Investment Data'!$V:$V, 'Fund Investment Data'!$C:$C = $C2708, 'Fund Investment Data'!$A:$A = $A2708 - 2, 'Fund Investment Data'!$B:$B &gt;= 4)) * Parameters!$B$4,0) + IFERROR(SUM(FILTER('Fund Investment Data'!$V:$V, 'Fund "&amp;"Investment Data'!$C:$C = $C2708, 'Fund Investment Data'!$A:$A = $A2708 - 1, 'Fund Investment Data'!$B:$B &lt;= 3)) * Parameters!$B$4,0))),0)"),0.0)</f>
        <v>0</v>
      </c>
      <c r="AC2708" s="32">
        <f>IFERROR(__xludf.DUMMYFUNCTION("IFERROR(FILTER($AF:$AF,$C:$C = $C2708,$A:$A = $A2708 - 1,$B:$B = 12),0)"),0.0)</f>
        <v>0</v>
      </c>
      <c r="AD2708" s="32">
        <f t="shared" si="23"/>
        <v>0</v>
      </c>
      <c r="AE2708" s="32">
        <f t="shared" si="2"/>
        <v>0</v>
      </c>
      <c r="AF2708" s="32"/>
    </row>
    <row r="2709">
      <c r="A2709" s="86"/>
      <c r="B2709" s="87"/>
      <c r="C2709" s="88"/>
      <c r="D2709" s="104"/>
      <c r="E2709" s="104"/>
      <c r="F2709" s="104"/>
      <c r="G2709" s="104"/>
      <c r="H2709" s="104"/>
      <c r="I2709" s="104"/>
      <c r="J2709" s="104"/>
      <c r="K2709" s="32"/>
      <c r="L2709" s="32"/>
      <c r="M2709" s="32"/>
      <c r="N2709" s="32"/>
      <c r="O2709" s="106"/>
      <c r="P2709" s="91">
        <f>IFERROR(__xludf.DUMMYFUNCTION("IFERROR(sum(FILTER($D:$N,$C:$C = $C2709,$A:$A &lt; $A2709,$B:$B = 12)),0) + sum($D2709:$N2709)"),0.0)</f>
        <v>0</v>
      </c>
      <c r="Q2709" s="92">
        <f t="shared" si="1"/>
        <v>0</v>
      </c>
      <c r="R2709" s="91">
        <f t="array" ref="R2709">IFERROR(INDEX('Fund YTD Target Values'!$1:$1000, MATCH($C2709,'Fund YTD Target Values'!$A:$A,0), MATCH($A2709,'Fund YTD Target Values'!$1:$1,0)),0)</f>
        <v>0</v>
      </c>
      <c r="S2709" s="91">
        <f>IFERROR(__xludf.DUMMYFUNCTION("IFERROR(sum(FILTER('Fund Investment Data'!$V:$V, 'Fund Investment Data'!$C:$C = $C2709, 'Fund Investment Data'!$A:$A &lt; $A2709)),0) + IFERROR(sum(FILTER('Fund Investment Data'!$V:$V, 'Fund Investment Data'!$C:$C = $C2709, 'Fund Investment Data'!$A:$A = $A2"&amp;"709, 'Fund Investment Data'!$B:$B &lt;= $B2709)),0)"),0.0)</f>
        <v>0</v>
      </c>
      <c r="T2709" s="32"/>
      <c r="U2709" s="32"/>
      <c r="V2709" s="32">
        <f>IFERROR(__xludf.DUMMYFUNCTION("$D2709 - IFERROR(FILTER($D:$D,$C:$C = $C2709, $A:$A = $A2709, $B:$B = $B2709 - 1),0)"),0.0)</f>
        <v>0</v>
      </c>
      <c r="W2709" s="93">
        <f>IFERROR(__xludf.DUMMYFUNCTION("$E2709 - IFERROR(FILTER($E:$E,$C:$C = $C2709, $A:$A = $A2709, $B:$B = $B2709 - 1),0)"),0.0)</f>
        <v>0</v>
      </c>
      <c r="X2709" s="91">
        <f>IFERROR(__xludf.DUMMYFUNCTION("iFERROR((FILTER('Fund Investment Data'!$Z:$Z, 'Fund Investment Data'!$C:$C = $C2709, 'Fund Investment Data'!$A:$A = $A2709 - 1, 'Fund Investment Data'!$B:$B = 12) + FILTER('Fund Investment Data'!$AB:$AB, 'Fund Investment Data'!$C:$C = $C2709, 'Fund Invest"&amp;"ment Data'!$A:$A = $A2709 - 1, 'Fund Investment Data'!$B:$B = 12)) * (1 + AVERAGE(FILTER('Inflation Data'!$C:$C,'Inflation Data'!$A:$A = ($A2709 - 2)))) * Parameters!$A$4,0)"),0.0)</f>
        <v>0</v>
      </c>
      <c r="Y2709" s="91">
        <f>IFERROR(__xludf.DUMMYFUNCTION("IFERROR((IFERROR(FILTER('Fund Investment Data'!$P:$P,'Fund Investment Data'!$C:$C = $C2709,'Fund Investment Data'!$A:$A = ($A2709 - 2), 'Fund Investment Data'!$B:$B = 12),0) - SUM(FILTER('Fund Investment Data'!$V:$V, 'Fund Investment Data'!$C:$C = $C2709,"&amp;" 'Fund Investment Data'!$A:$A = ($A2709 - 2), 'Fund Investment Data'!$B:$B &gt; 3)))  * Parameters!$B$4 * (1 - Parameters!$A$4),0)"),0.0)</f>
        <v>0</v>
      </c>
      <c r="Z2709" s="91">
        <f t="shared" si="24"/>
        <v>0</v>
      </c>
      <c r="AA2709" s="91">
        <f>IFERROR(__xludf.DUMMYFUNCTION("((IFERROR((SUM(FILTER('Fund Investment Data'!$V:$V, 'Fund Investment Data'!$C:$C = $C2709, 'Fund Investment Data'!$A:$A = $A2709 - 1, 'Fund Investment Data'!$B:$B &gt;= 4, 'Fund Investment Data'!$B:$B &lt;= ($B2709 + 5))) / 12) * ($B2709 - 3) * Parameters!$B$4,"&amp;" 0) + IF($B2709 &gt;= 9, IFERROR(SUM(FILTER('Fund Investment Data'!$V:$V, 'Fund Investment Data'!$C:$C = $C2709, 'Fund Investment Data'!$A:$A = $A2709, 'Fund Investment Data'!$B:$B &lt;= 3)) * Parameters!$B$4, 0),0)))"),0.0)</f>
        <v>0</v>
      </c>
      <c r="AB2709" s="32">
        <f>IFERROR(__xludf.DUMMYFUNCTION("IFERROR(((IFERROR(SUM(FILTER('Fund Investment Data'!$V:$V, 'Fund Investment Data'!$C:$C = $C2709, 'Fund Investment Data'!$A:$A = $A2709 - 2, 'Fund Investment Data'!$B:$B &gt;= 4)) * Parameters!$B$4,0) + IFERROR(SUM(FILTER('Fund Investment Data'!$V:$V, 'Fund "&amp;"Investment Data'!$C:$C = $C2709, 'Fund Investment Data'!$A:$A = $A2709 - 1, 'Fund Investment Data'!$B:$B &lt;= 3)) * Parameters!$B$4,0))),0)"),0.0)</f>
        <v>0</v>
      </c>
      <c r="AC2709" s="32">
        <f>IFERROR(__xludf.DUMMYFUNCTION("IFERROR(FILTER($AF:$AF,$C:$C = $C2709,$A:$A = $A2709 - 1,$B:$B = 12),0)"),0.0)</f>
        <v>0</v>
      </c>
      <c r="AD2709" s="32">
        <f t="shared" si="23"/>
        <v>0</v>
      </c>
      <c r="AE2709" s="32">
        <f t="shared" si="2"/>
        <v>0</v>
      </c>
      <c r="AF2709" s="32"/>
    </row>
    <row r="2710">
      <c r="A2710" s="86"/>
      <c r="B2710" s="87"/>
      <c r="C2710" s="88"/>
      <c r="D2710" s="104"/>
      <c r="E2710" s="104"/>
      <c r="F2710" s="104"/>
      <c r="G2710" s="104"/>
      <c r="H2710" s="104"/>
      <c r="I2710" s="104"/>
      <c r="J2710" s="104"/>
      <c r="K2710" s="32"/>
      <c r="L2710" s="32"/>
      <c r="M2710" s="32"/>
      <c r="N2710" s="32"/>
      <c r="O2710" s="106"/>
      <c r="P2710" s="91">
        <f>IFERROR(__xludf.DUMMYFUNCTION("IFERROR(sum(FILTER($D:$N,$C:$C = $C2710,$A:$A &lt; $A2710,$B:$B = 12)),0) + sum($D2710:$N2710)"),0.0)</f>
        <v>0</v>
      </c>
      <c r="Q2710" s="92">
        <f t="shared" si="1"/>
        <v>0</v>
      </c>
      <c r="R2710" s="91">
        <f t="array" ref="R2710">IFERROR(INDEX('Fund YTD Target Values'!$1:$1000, MATCH($C2710,'Fund YTD Target Values'!$A:$A,0), MATCH($A2710,'Fund YTD Target Values'!$1:$1,0)),0)</f>
        <v>0</v>
      </c>
      <c r="S2710" s="91">
        <f>IFERROR(__xludf.DUMMYFUNCTION("IFERROR(sum(FILTER('Fund Investment Data'!$V:$V, 'Fund Investment Data'!$C:$C = $C2710, 'Fund Investment Data'!$A:$A &lt; $A2710)),0) + IFERROR(sum(FILTER('Fund Investment Data'!$V:$V, 'Fund Investment Data'!$C:$C = $C2710, 'Fund Investment Data'!$A:$A = $A2"&amp;"710, 'Fund Investment Data'!$B:$B &lt;= $B2710)),0)"),0.0)</f>
        <v>0</v>
      </c>
      <c r="T2710" s="32"/>
      <c r="U2710" s="32"/>
      <c r="V2710" s="32">
        <f>IFERROR(__xludf.DUMMYFUNCTION("$D2710 - IFERROR(FILTER($D:$D,$C:$C = $C2710, $A:$A = $A2710, $B:$B = $B2710 - 1),0)"),0.0)</f>
        <v>0</v>
      </c>
      <c r="W2710" s="93">
        <f>IFERROR(__xludf.DUMMYFUNCTION("$E2710 - IFERROR(FILTER($E:$E,$C:$C = $C2710, $A:$A = $A2710, $B:$B = $B2710 - 1),0)"),0.0)</f>
        <v>0</v>
      </c>
      <c r="X2710" s="91">
        <f>IFERROR(__xludf.DUMMYFUNCTION("iFERROR((FILTER('Fund Investment Data'!$Z:$Z, 'Fund Investment Data'!$C:$C = $C2710, 'Fund Investment Data'!$A:$A = $A2710 - 1, 'Fund Investment Data'!$B:$B = 12) + FILTER('Fund Investment Data'!$AB:$AB, 'Fund Investment Data'!$C:$C = $C2710, 'Fund Invest"&amp;"ment Data'!$A:$A = $A2710 - 1, 'Fund Investment Data'!$B:$B = 12)) * (1 + AVERAGE(FILTER('Inflation Data'!$C:$C,'Inflation Data'!$A:$A = ($A2710 - 2)))) * Parameters!$A$4,0)"),0.0)</f>
        <v>0</v>
      </c>
      <c r="Y2710" s="91">
        <f>IFERROR(__xludf.DUMMYFUNCTION("IFERROR((IFERROR(FILTER('Fund Investment Data'!$P:$P,'Fund Investment Data'!$C:$C = $C2710,'Fund Investment Data'!$A:$A = ($A2710 - 2), 'Fund Investment Data'!$B:$B = 12),0) - SUM(FILTER('Fund Investment Data'!$V:$V, 'Fund Investment Data'!$C:$C = $C2710,"&amp;" 'Fund Investment Data'!$A:$A = ($A2710 - 2), 'Fund Investment Data'!$B:$B &gt; 3)))  * Parameters!$B$4 * (1 - Parameters!$A$4),0)"),0.0)</f>
        <v>0</v>
      </c>
      <c r="Z2710" s="91">
        <f t="shared" si="24"/>
        <v>0</v>
      </c>
      <c r="AA2710" s="91">
        <f>IFERROR(__xludf.DUMMYFUNCTION("((IFERROR((SUM(FILTER('Fund Investment Data'!$V:$V, 'Fund Investment Data'!$C:$C = $C2710, 'Fund Investment Data'!$A:$A = $A2710 - 1, 'Fund Investment Data'!$B:$B &gt;= 4, 'Fund Investment Data'!$B:$B &lt;= ($B2710 + 5))) / 12) * ($B2710 - 3) * Parameters!$B$4,"&amp;" 0) + IF($B2710 &gt;= 9, IFERROR(SUM(FILTER('Fund Investment Data'!$V:$V, 'Fund Investment Data'!$C:$C = $C2710, 'Fund Investment Data'!$A:$A = $A2710, 'Fund Investment Data'!$B:$B &lt;= 3)) * Parameters!$B$4, 0),0)))"),0.0)</f>
        <v>0</v>
      </c>
      <c r="AB2710" s="32">
        <f>IFERROR(__xludf.DUMMYFUNCTION("IFERROR(((IFERROR(SUM(FILTER('Fund Investment Data'!$V:$V, 'Fund Investment Data'!$C:$C = $C2710, 'Fund Investment Data'!$A:$A = $A2710 - 2, 'Fund Investment Data'!$B:$B &gt;= 4)) * Parameters!$B$4,0) + IFERROR(SUM(FILTER('Fund Investment Data'!$V:$V, 'Fund "&amp;"Investment Data'!$C:$C = $C2710, 'Fund Investment Data'!$A:$A = $A2710 - 1, 'Fund Investment Data'!$B:$B &lt;= 3)) * Parameters!$B$4,0))),0)"),0.0)</f>
        <v>0</v>
      </c>
      <c r="AC2710" s="32">
        <f>IFERROR(__xludf.DUMMYFUNCTION("IFERROR(FILTER($AF:$AF,$C:$C = $C2710,$A:$A = $A2710 - 1,$B:$B = 12),0)"),0.0)</f>
        <v>0</v>
      </c>
      <c r="AD2710" s="32">
        <f t="shared" si="23"/>
        <v>0</v>
      </c>
      <c r="AE2710" s="32">
        <f t="shared" si="2"/>
        <v>0</v>
      </c>
      <c r="AF2710" s="32"/>
    </row>
    <row r="2711">
      <c r="A2711" s="86"/>
      <c r="B2711" s="87"/>
      <c r="C2711" s="88"/>
      <c r="D2711" s="104"/>
      <c r="E2711" s="104"/>
      <c r="F2711" s="104"/>
      <c r="G2711" s="104"/>
      <c r="H2711" s="104"/>
      <c r="I2711" s="104"/>
      <c r="J2711" s="104"/>
      <c r="K2711" s="32"/>
      <c r="L2711" s="32"/>
      <c r="M2711" s="32"/>
      <c r="N2711" s="32"/>
      <c r="O2711" s="106"/>
      <c r="P2711" s="91">
        <f>IFERROR(__xludf.DUMMYFUNCTION("IFERROR(sum(FILTER($D:$N,$C:$C = $C2711,$A:$A &lt; $A2711,$B:$B = 12)),0) + sum($D2711:$N2711)"),0.0)</f>
        <v>0</v>
      </c>
      <c r="Q2711" s="92">
        <f t="shared" si="1"/>
        <v>0</v>
      </c>
      <c r="R2711" s="91">
        <f t="array" ref="R2711">IFERROR(INDEX('Fund YTD Target Values'!$1:$1000, MATCH($C2711,'Fund YTD Target Values'!$A:$A,0), MATCH($A2711,'Fund YTD Target Values'!$1:$1,0)),0)</f>
        <v>0</v>
      </c>
      <c r="S2711" s="91">
        <f>IFERROR(__xludf.DUMMYFUNCTION("IFERROR(sum(FILTER('Fund Investment Data'!$V:$V, 'Fund Investment Data'!$C:$C = $C2711, 'Fund Investment Data'!$A:$A &lt; $A2711)),0) + IFERROR(sum(FILTER('Fund Investment Data'!$V:$V, 'Fund Investment Data'!$C:$C = $C2711, 'Fund Investment Data'!$A:$A = $A2"&amp;"711, 'Fund Investment Data'!$B:$B &lt;= $B2711)),0)"),0.0)</f>
        <v>0</v>
      </c>
      <c r="T2711" s="32"/>
      <c r="U2711" s="32"/>
      <c r="V2711" s="32">
        <f>IFERROR(__xludf.DUMMYFUNCTION("$D2711 - IFERROR(FILTER($D:$D,$C:$C = $C2711, $A:$A = $A2711, $B:$B = $B2711 - 1),0)"),0.0)</f>
        <v>0</v>
      </c>
      <c r="W2711" s="93">
        <f>IFERROR(__xludf.DUMMYFUNCTION("$E2711 - IFERROR(FILTER($E:$E,$C:$C = $C2711, $A:$A = $A2711, $B:$B = $B2711 - 1),0)"),0.0)</f>
        <v>0</v>
      </c>
      <c r="X2711" s="91">
        <f>IFERROR(__xludf.DUMMYFUNCTION("iFERROR((FILTER('Fund Investment Data'!$Z:$Z, 'Fund Investment Data'!$C:$C = $C2711, 'Fund Investment Data'!$A:$A = $A2711 - 1, 'Fund Investment Data'!$B:$B = 12) + FILTER('Fund Investment Data'!$AB:$AB, 'Fund Investment Data'!$C:$C = $C2711, 'Fund Invest"&amp;"ment Data'!$A:$A = $A2711 - 1, 'Fund Investment Data'!$B:$B = 12)) * (1 + AVERAGE(FILTER('Inflation Data'!$C:$C,'Inflation Data'!$A:$A = ($A2711 - 2)))) * Parameters!$A$4,0)"),0.0)</f>
        <v>0</v>
      </c>
      <c r="Y2711" s="91">
        <f>IFERROR(__xludf.DUMMYFUNCTION("IFERROR((IFERROR(FILTER('Fund Investment Data'!$P:$P,'Fund Investment Data'!$C:$C = $C2711,'Fund Investment Data'!$A:$A = ($A2711 - 2), 'Fund Investment Data'!$B:$B = 12),0) - SUM(FILTER('Fund Investment Data'!$V:$V, 'Fund Investment Data'!$C:$C = $C2711,"&amp;" 'Fund Investment Data'!$A:$A = ($A2711 - 2), 'Fund Investment Data'!$B:$B &gt; 3)))  * Parameters!$B$4 * (1 - Parameters!$A$4),0)"),0.0)</f>
        <v>0</v>
      </c>
      <c r="Z2711" s="91">
        <f t="shared" si="24"/>
        <v>0</v>
      </c>
      <c r="AA2711" s="91">
        <f>IFERROR(__xludf.DUMMYFUNCTION("((IFERROR((SUM(FILTER('Fund Investment Data'!$V:$V, 'Fund Investment Data'!$C:$C = $C2711, 'Fund Investment Data'!$A:$A = $A2711 - 1, 'Fund Investment Data'!$B:$B &gt;= 4, 'Fund Investment Data'!$B:$B &lt;= ($B2711 + 5))) / 12) * ($B2711 - 3) * Parameters!$B$4,"&amp;" 0) + IF($B2711 &gt;= 9, IFERROR(SUM(FILTER('Fund Investment Data'!$V:$V, 'Fund Investment Data'!$C:$C = $C2711, 'Fund Investment Data'!$A:$A = $A2711, 'Fund Investment Data'!$B:$B &lt;= 3)) * Parameters!$B$4, 0),0)))"),0.0)</f>
        <v>0</v>
      </c>
      <c r="AB2711" s="32">
        <f>IFERROR(__xludf.DUMMYFUNCTION("IFERROR(((IFERROR(SUM(FILTER('Fund Investment Data'!$V:$V, 'Fund Investment Data'!$C:$C = $C2711, 'Fund Investment Data'!$A:$A = $A2711 - 2, 'Fund Investment Data'!$B:$B &gt;= 4)) * Parameters!$B$4,0) + IFERROR(SUM(FILTER('Fund Investment Data'!$V:$V, 'Fund "&amp;"Investment Data'!$C:$C = $C2711, 'Fund Investment Data'!$A:$A = $A2711 - 1, 'Fund Investment Data'!$B:$B &lt;= 3)) * Parameters!$B$4,0))),0)"),0.0)</f>
        <v>0</v>
      </c>
      <c r="AC2711" s="32">
        <f>IFERROR(__xludf.DUMMYFUNCTION("IFERROR(FILTER($AF:$AF,$C:$C = $C2711,$A:$A = $A2711 - 1,$B:$B = 12),0)"),0.0)</f>
        <v>0</v>
      </c>
      <c r="AD2711" s="32">
        <f t="shared" si="23"/>
        <v>0</v>
      </c>
      <c r="AE2711" s="32">
        <f t="shared" si="2"/>
        <v>0</v>
      </c>
      <c r="AF2711" s="32"/>
    </row>
    <row r="2712">
      <c r="A2712" s="86"/>
      <c r="B2712" s="87"/>
      <c r="C2712" s="88"/>
      <c r="D2712" s="104"/>
      <c r="E2712" s="104"/>
      <c r="F2712" s="104"/>
      <c r="G2712" s="104"/>
      <c r="H2712" s="104"/>
      <c r="I2712" s="104"/>
      <c r="J2712" s="104"/>
      <c r="K2712" s="32"/>
      <c r="L2712" s="32"/>
      <c r="M2712" s="32"/>
      <c r="N2712" s="32"/>
      <c r="O2712" s="106"/>
      <c r="P2712" s="91">
        <f>IFERROR(__xludf.DUMMYFUNCTION("IFERROR(sum(FILTER($D:$N,$C:$C = $C2712,$A:$A &lt; $A2712,$B:$B = 12)),0) + sum($D2712:$N2712)"),0.0)</f>
        <v>0</v>
      </c>
      <c r="Q2712" s="92">
        <f t="shared" si="1"/>
        <v>0</v>
      </c>
      <c r="R2712" s="91">
        <f t="array" ref="R2712">IFERROR(INDEX('Fund YTD Target Values'!$1:$1000, MATCH($C2712,'Fund YTD Target Values'!$A:$A,0), MATCH($A2712,'Fund YTD Target Values'!$1:$1,0)),0)</f>
        <v>0</v>
      </c>
      <c r="S2712" s="91">
        <f>IFERROR(__xludf.DUMMYFUNCTION("IFERROR(sum(FILTER('Fund Investment Data'!$V:$V, 'Fund Investment Data'!$C:$C = $C2712, 'Fund Investment Data'!$A:$A &lt; $A2712)),0) + IFERROR(sum(FILTER('Fund Investment Data'!$V:$V, 'Fund Investment Data'!$C:$C = $C2712, 'Fund Investment Data'!$A:$A = $A2"&amp;"712, 'Fund Investment Data'!$B:$B &lt;= $B2712)),0)"),0.0)</f>
        <v>0</v>
      </c>
      <c r="T2712" s="32"/>
      <c r="U2712" s="32"/>
      <c r="V2712" s="32">
        <f>IFERROR(__xludf.DUMMYFUNCTION("$D2712 - IFERROR(FILTER($D:$D,$C:$C = $C2712, $A:$A = $A2712, $B:$B = $B2712 - 1),0)"),0.0)</f>
        <v>0</v>
      </c>
      <c r="W2712" s="93">
        <f>IFERROR(__xludf.DUMMYFUNCTION("$E2712 - IFERROR(FILTER($E:$E,$C:$C = $C2712, $A:$A = $A2712, $B:$B = $B2712 - 1),0)"),0.0)</f>
        <v>0</v>
      </c>
      <c r="X2712" s="91">
        <f>IFERROR(__xludf.DUMMYFUNCTION("iFERROR((FILTER('Fund Investment Data'!$Z:$Z, 'Fund Investment Data'!$C:$C = $C2712, 'Fund Investment Data'!$A:$A = $A2712 - 1, 'Fund Investment Data'!$B:$B = 12) + FILTER('Fund Investment Data'!$AB:$AB, 'Fund Investment Data'!$C:$C = $C2712, 'Fund Invest"&amp;"ment Data'!$A:$A = $A2712 - 1, 'Fund Investment Data'!$B:$B = 12)) * (1 + AVERAGE(FILTER('Inflation Data'!$C:$C,'Inflation Data'!$A:$A = ($A2712 - 2)))) * Parameters!$A$4,0)"),0.0)</f>
        <v>0</v>
      </c>
      <c r="Y2712" s="91">
        <f>IFERROR(__xludf.DUMMYFUNCTION("IFERROR((IFERROR(FILTER('Fund Investment Data'!$P:$P,'Fund Investment Data'!$C:$C = $C2712,'Fund Investment Data'!$A:$A = ($A2712 - 2), 'Fund Investment Data'!$B:$B = 12),0) - SUM(FILTER('Fund Investment Data'!$V:$V, 'Fund Investment Data'!$C:$C = $C2712,"&amp;" 'Fund Investment Data'!$A:$A = ($A2712 - 2), 'Fund Investment Data'!$B:$B &gt; 3)))  * Parameters!$B$4 * (1 - Parameters!$A$4),0)"),0.0)</f>
        <v>0</v>
      </c>
      <c r="Z2712" s="91">
        <f t="shared" si="24"/>
        <v>0</v>
      </c>
      <c r="AA2712" s="91">
        <f>IFERROR(__xludf.DUMMYFUNCTION("((IFERROR((SUM(FILTER('Fund Investment Data'!$V:$V, 'Fund Investment Data'!$C:$C = $C2712, 'Fund Investment Data'!$A:$A = $A2712 - 1, 'Fund Investment Data'!$B:$B &gt;= 4, 'Fund Investment Data'!$B:$B &lt;= ($B2712 + 5))) / 12) * ($B2712 - 3) * Parameters!$B$4,"&amp;" 0) + IF($B2712 &gt;= 9, IFERROR(SUM(FILTER('Fund Investment Data'!$V:$V, 'Fund Investment Data'!$C:$C = $C2712, 'Fund Investment Data'!$A:$A = $A2712, 'Fund Investment Data'!$B:$B &lt;= 3)) * Parameters!$B$4, 0),0)))"),0.0)</f>
        <v>0</v>
      </c>
      <c r="AB2712" s="32">
        <f>IFERROR(__xludf.DUMMYFUNCTION("IFERROR(((IFERROR(SUM(FILTER('Fund Investment Data'!$V:$V, 'Fund Investment Data'!$C:$C = $C2712, 'Fund Investment Data'!$A:$A = $A2712 - 2, 'Fund Investment Data'!$B:$B &gt;= 4)) * Parameters!$B$4,0) + IFERROR(SUM(FILTER('Fund Investment Data'!$V:$V, 'Fund "&amp;"Investment Data'!$C:$C = $C2712, 'Fund Investment Data'!$A:$A = $A2712 - 1, 'Fund Investment Data'!$B:$B &lt;= 3)) * Parameters!$B$4,0))),0)"),0.0)</f>
        <v>0</v>
      </c>
      <c r="AC2712" s="32">
        <f>IFERROR(__xludf.DUMMYFUNCTION("IFERROR(FILTER($AF:$AF,$C:$C = $C2712,$A:$A = $A2712 - 1,$B:$B = 12),0)"),0.0)</f>
        <v>0</v>
      </c>
      <c r="AD2712" s="32">
        <f t="shared" si="23"/>
        <v>0</v>
      </c>
      <c r="AE2712" s="32">
        <f t="shared" si="2"/>
        <v>0</v>
      </c>
      <c r="AF2712" s="32"/>
    </row>
    <row r="2713">
      <c r="A2713" s="86"/>
      <c r="B2713" s="87"/>
      <c r="C2713" s="88"/>
      <c r="D2713" s="104"/>
      <c r="E2713" s="104"/>
      <c r="F2713" s="104"/>
      <c r="G2713" s="104"/>
      <c r="H2713" s="104"/>
      <c r="I2713" s="104"/>
      <c r="J2713" s="104"/>
      <c r="K2713" s="32"/>
      <c r="L2713" s="32"/>
      <c r="M2713" s="32"/>
      <c r="N2713" s="32"/>
      <c r="O2713" s="106"/>
      <c r="P2713" s="91">
        <f>IFERROR(__xludf.DUMMYFUNCTION("IFERROR(sum(FILTER($D:$N,$C:$C = $C2713,$A:$A &lt; $A2713,$B:$B = 12)),0) + sum($D2713:$N2713)"),0.0)</f>
        <v>0</v>
      </c>
      <c r="Q2713" s="92">
        <f t="shared" si="1"/>
        <v>0</v>
      </c>
      <c r="R2713" s="91">
        <f t="array" ref="R2713">IFERROR(INDEX('Fund YTD Target Values'!$1:$1000, MATCH($C2713,'Fund YTD Target Values'!$A:$A,0), MATCH($A2713,'Fund YTD Target Values'!$1:$1,0)),0)</f>
        <v>0</v>
      </c>
      <c r="S2713" s="91">
        <f>IFERROR(__xludf.DUMMYFUNCTION("IFERROR(sum(FILTER('Fund Investment Data'!$V:$V, 'Fund Investment Data'!$C:$C = $C2713, 'Fund Investment Data'!$A:$A &lt; $A2713)),0) + IFERROR(sum(FILTER('Fund Investment Data'!$V:$V, 'Fund Investment Data'!$C:$C = $C2713, 'Fund Investment Data'!$A:$A = $A2"&amp;"713, 'Fund Investment Data'!$B:$B &lt;= $B2713)),0)"),0.0)</f>
        <v>0</v>
      </c>
      <c r="T2713" s="32"/>
      <c r="U2713" s="32"/>
      <c r="V2713" s="32">
        <f>IFERROR(__xludf.DUMMYFUNCTION("$D2713 - IFERROR(FILTER($D:$D,$C:$C = $C2713, $A:$A = $A2713, $B:$B = $B2713 - 1),0)"),0.0)</f>
        <v>0</v>
      </c>
      <c r="W2713" s="93">
        <f>IFERROR(__xludf.DUMMYFUNCTION("$E2713 - IFERROR(FILTER($E:$E,$C:$C = $C2713, $A:$A = $A2713, $B:$B = $B2713 - 1),0)"),0.0)</f>
        <v>0</v>
      </c>
      <c r="X2713" s="91">
        <f>IFERROR(__xludf.DUMMYFUNCTION("iFERROR((FILTER('Fund Investment Data'!$Z:$Z, 'Fund Investment Data'!$C:$C = $C2713, 'Fund Investment Data'!$A:$A = $A2713 - 1, 'Fund Investment Data'!$B:$B = 12) + FILTER('Fund Investment Data'!$AB:$AB, 'Fund Investment Data'!$C:$C = $C2713, 'Fund Invest"&amp;"ment Data'!$A:$A = $A2713 - 1, 'Fund Investment Data'!$B:$B = 12)) * (1 + AVERAGE(FILTER('Inflation Data'!$C:$C,'Inflation Data'!$A:$A = ($A2713 - 2)))) * Parameters!$A$4,0)"),0.0)</f>
        <v>0</v>
      </c>
      <c r="Y2713" s="91">
        <f>IFERROR(__xludf.DUMMYFUNCTION("IFERROR((IFERROR(FILTER('Fund Investment Data'!$P:$P,'Fund Investment Data'!$C:$C = $C2713,'Fund Investment Data'!$A:$A = ($A2713 - 2), 'Fund Investment Data'!$B:$B = 12),0) - SUM(FILTER('Fund Investment Data'!$V:$V, 'Fund Investment Data'!$C:$C = $C2713,"&amp;" 'Fund Investment Data'!$A:$A = ($A2713 - 2), 'Fund Investment Data'!$B:$B &gt; 3)))  * Parameters!$B$4 * (1 - Parameters!$A$4),0)"),0.0)</f>
        <v>0</v>
      </c>
      <c r="Z2713" s="91">
        <f t="shared" si="24"/>
        <v>0</v>
      </c>
      <c r="AA2713" s="91">
        <f>IFERROR(__xludf.DUMMYFUNCTION("((IFERROR((SUM(FILTER('Fund Investment Data'!$V:$V, 'Fund Investment Data'!$C:$C = $C2713, 'Fund Investment Data'!$A:$A = $A2713 - 1, 'Fund Investment Data'!$B:$B &gt;= 4, 'Fund Investment Data'!$B:$B &lt;= ($B2713 + 5))) / 12) * ($B2713 - 3) * Parameters!$B$4,"&amp;" 0) + IF($B2713 &gt;= 9, IFERROR(SUM(FILTER('Fund Investment Data'!$V:$V, 'Fund Investment Data'!$C:$C = $C2713, 'Fund Investment Data'!$A:$A = $A2713, 'Fund Investment Data'!$B:$B &lt;= 3)) * Parameters!$B$4, 0),0)))"),0.0)</f>
        <v>0</v>
      </c>
      <c r="AB2713" s="32">
        <f>IFERROR(__xludf.DUMMYFUNCTION("IFERROR(((IFERROR(SUM(FILTER('Fund Investment Data'!$V:$V, 'Fund Investment Data'!$C:$C = $C2713, 'Fund Investment Data'!$A:$A = $A2713 - 2, 'Fund Investment Data'!$B:$B &gt;= 4)) * Parameters!$B$4,0) + IFERROR(SUM(FILTER('Fund Investment Data'!$V:$V, 'Fund "&amp;"Investment Data'!$C:$C = $C2713, 'Fund Investment Data'!$A:$A = $A2713 - 1, 'Fund Investment Data'!$B:$B &lt;= 3)) * Parameters!$B$4,0))),0)"),0.0)</f>
        <v>0</v>
      </c>
      <c r="AC2713" s="32">
        <f>IFERROR(__xludf.DUMMYFUNCTION("IFERROR(FILTER($AF:$AF,$C:$C = $C2713,$A:$A = $A2713 - 1,$B:$B = 12),0)"),0.0)</f>
        <v>0</v>
      </c>
      <c r="AD2713" s="32">
        <f t="shared" si="23"/>
        <v>0</v>
      </c>
      <c r="AE2713" s="32">
        <f t="shared" si="2"/>
        <v>0</v>
      </c>
      <c r="AF2713" s="32"/>
    </row>
    <row r="2714">
      <c r="A2714" s="86"/>
      <c r="B2714" s="87"/>
      <c r="C2714" s="88"/>
      <c r="D2714" s="104"/>
      <c r="E2714" s="104"/>
      <c r="F2714" s="104"/>
      <c r="G2714" s="104"/>
      <c r="H2714" s="104"/>
      <c r="I2714" s="104"/>
      <c r="J2714" s="104"/>
      <c r="K2714" s="32"/>
      <c r="L2714" s="32"/>
      <c r="M2714" s="32"/>
      <c r="N2714" s="32"/>
      <c r="O2714" s="106"/>
      <c r="P2714" s="91">
        <f>IFERROR(__xludf.DUMMYFUNCTION("IFERROR(sum(FILTER($D:$N,$C:$C = $C2714,$A:$A &lt; $A2714,$B:$B = 12)),0) + sum($D2714:$N2714)"),0.0)</f>
        <v>0</v>
      </c>
      <c r="Q2714" s="92">
        <f t="shared" si="1"/>
        <v>0</v>
      </c>
      <c r="R2714" s="91">
        <f t="array" ref="R2714">IFERROR(INDEX('Fund YTD Target Values'!$1:$1000, MATCH($C2714,'Fund YTD Target Values'!$A:$A,0), MATCH($A2714,'Fund YTD Target Values'!$1:$1,0)),0)</f>
        <v>0</v>
      </c>
      <c r="S2714" s="91">
        <f>IFERROR(__xludf.DUMMYFUNCTION("IFERROR(sum(FILTER('Fund Investment Data'!$V:$V, 'Fund Investment Data'!$C:$C = $C2714, 'Fund Investment Data'!$A:$A &lt; $A2714)),0) + IFERROR(sum(FILTER('Fund Investment Data'!$V:$V, 'Fund Investment Data'!$C:$C = $C2714, 'Fund Investment Data'!$A:$A = $A2"&amp;"714, 'Fund Investment Data'!$B:$B &lt;= $B2714)),0)"),0.0)</f>
        <v>0</v>
      </c>
      <c r="T2714" s="32"/>
      <c r="U2714" s="32"/>
      <c r="V2714" s="32">
        <f>IFERROR(__xludf.DUMMYFUNCTION("$D2714 - IFERROR(FILTER($D:$D,$C:$C = $C2714, $A:$A = $A2714, $B:$B = $B2714 - 1),0)"),0.0)</f>
        <v>0</v>
      </c>
      <c r="W2714" s="93">
        <f>IFERROR(__xludf.DUMMYFUNCTION("$E2714 - IFERROR(FILTER($E:$E,$C:$C = $C2714, $A:$A = $A2714, $B:$B = $B2714 - 1),0)"),0.0)</f>
        <v>0</v>
      </c>
      <c r="X2714" s="91">
        <f>IFERROR(__xludf.DUMMYFUNCTION("iFERROR((FILTER('Fund Investment Data'!$Z:$Z, 'Fund Investment Data'!$C:$C = $C2714, 'Fund Investment Data'!$A:$A = $A2714 - 1, 'Fund Investment Data'!$B:$B = 12) + FILTER('Fund Investment Data'!$AB:$AB, 'Fund Investment Data'!$C:$C = $C2714, 'Fund Invest"&amp;"ment Data'!$A:$A = $A2714 - 1, 'Fund Investment Data'!$B:$B = 12)) * (1 + AVERAGE(FILTER('Inflation Data'!$C:$C,'Inflation Data'!$A:$A = ($A2714 - 2)))) * Parameters!$A$4,0)"),0.0)</f>
        <v>0</v>
      </c>
      <c r="Y2714" s="91">
        <f>IFERROR(__xludf.DUMMYFUNCTION("IFERROR((IFERROR(FILTER('Fund Investment Data'!$P:$P,'Fund Investment Data'!$C:$C = $C2714,'Fund Investment Data'!$A:$A = ($A2714 - 2), 'Fund Investment Data'!$B:$B = 12),0) - SUM(FILTER('Fund Investment Data'!$V:$V, 'Fund Investment Data'!$C:$C = $C2714,"&amp;" 'Fund Investment Data'!$A:$A = ($A2714 - 2), 'Fund Investment Data'!$B:$B &gt; 3)))  * Parameters!$B$4 * (1 - Parameters!$A$4),0)"),0.0)</f>
        <v>0</v>
      </c>
      <c r="Z2714" s="91">
        <f t="shared" si="24"/>
        <v>0</v>
      </c>
      <c r="AA2714" s="91">
        <f>IFERROR(__xludf.DUMMYFUNCTION("((IFERROR((SUM(FILTER('Fund Investment Data'!$V:$V, 'Fund Investment Data'!$C:$C = $C2714, 'Fund Investment Data'!$A:$A = $A2714 - 1, 'Fund Investment Data'!$B:$B &gt;= 4, 'Fund Investment Data'!$B:$B &lt;= ($B2714 + 5))) / 12) * ($B2714 - 3) * Parameters!$B$4,"&amp;" 0) + IF($B2714 &gt;= 9, IFERROR(SUM(FILTER('Fund Investment Data'!$V:$V, 'Fund Investment Data'!$C:$C = $C2714, 'Fund Investment Data'!$A:$A = $A2714, 'Fund Investment Data'!$B:$B &lt;= 3)) * Parameters!$B$4, 0),0)))"),0.0)</f>
        <v>0</v>
      </c>
      <c r="AB2714" s="32">
        <f>IFERROR(__xludf.DUMMYFUNCTION("IFERROR(((IFERROR(SUM(FILTER('Fund Investment Data'!$V:$V, 'Fund Investment Data'!$C:$C = $C2714, 'Fund Investment Data'!$A:$A = $A2714 - 2, 'Fund Investment Data'!$B:$B &gt;= 4)) * Parameters!$B$4,0) + IFERROR(SUM(FILTER('Fund Investment Data'!$V:$V, 'Fund "&amp;"Investment Data'!$C:$C = $C2714, 'Fund Investment Data'!$A:$A = $A2714 - 1, 'Fund Investment Data'!$B:$B &lt;= 3)) * Parameters!$B$4,0))),0)"),0.0)</f>
        <v>0</v>
      </c>
      <c r="AC2714" s="32">
        <f>IFERROR(__xludf.DUMMYFUNCTION("IFERROR(FILTER($AF:$AF,$C:$C = $C2714,$A:$A = $A2714 - 1,$B:$B = 12),0)"),0.0)</f>
        <v>0</v>
      </c>
      <c r="AD2714" s="32">
        <f t="shared" si="23"/>
        <v>0</v>
      </c>
      <c r="AE2714" s="32">
        <f t="shared" si="2"/>
        <v>0</v>
      </c>
      <c r="AF2714" s="32"/>
    </row>
    <row r="2715">
      <c r="A2715" s="86"/>
      <c r="B2715" s="87"/>
      <c r="C2715" s="88"/>
      <c r="D2715" s="104"/>
      <c r="E2715" s="104"/>
      <c r="F2715" s="104"/>
      <c r="G2715" s="104"/>
      <c r="H2715" s="104"/>
      <c r="I2715" s="104"/>
      <c r="J2715" s="104"/>
      <c r="K2715" s="32"/>
      <c r="L2715" s="32"/>
      <c r="M2715" s="32"/>
      <c r="N2715" s="32"/>
      <c r="O2715" s="106"/>
      <c r="P2715" s="91">
        <f>IFERROR(__xludf.DUMMYFUNCTION("IFERROR(sum(FILTER($D:$N,$C:$C = $C2715,$A:$A &lt; $A2715,$B:$B = 12)),0) + sum($D2715:$N2715)"),0.0)</f>
        <v>0</v>
      </c>
      <c r="Q2715" s="92">
        <f t="shared" si="1"/>
        <v>0</v>
      </c>
      <c r="R2715" s="91">
        <f t="array" ref="R2715">IFERROR(INDEX('Fund YTD Target Values'!$1:$1000, MATCH($C2715,'Fund YTD Target Values'!$A:$A,0), MATCH($A2715,'Fund YTD Target Values'!$1:$1,0)),0)</f>
        <v>0</v>
      </c>
      <c r="S2715" s="91">
        <f>IFERROR(__xludf.DUMMYFUNCTION("IFERROR(sum(FILTER('Fund Investment Data'!$V:$V, 'Fund Investment Data'!$C:$C = $C2715, 'Fund Investment Data'!$A:$A &lt; $A2715)),0) + IFERROR(sum(FILTER('Fund Investment Data'!$V:$V, 'Fund Investment Data'!$C:$C = $C2715, 'Fund Investment Data'!$A:$A = $A2"&amp;"715, 'Fund Investment Data'!$B:$B &lt;= $B2715)),0)"),0.0)</f>
        <v>0</v>
      </c>
      <c r="T2715" s="32"/>
      <c r="U2715" s="32"/>
      <c r="V2715" s="32">
        <f>IFERROR(__xludf.DUMMYFUNCTION("$D2715 - IFERROR(FILTER($D:$D,$C:$C = $C2715, $A:$A = $A2715, $B:$B = $B2715 - 1),0)"),0.0)</f>
        <v>0</v>
      </c>
      <c r="W2715" s="93">
        <f>IFERROR(__xludf.DUMMYFUNCTION("$E2715 - IFERROR(FILTER($E:$E,$C:$C = $C2715, $A:$A = $A2715, $B:$B = $B2715 - 1),0)"),0.0)</f>
        <v>0</v>
      </c>
      <c r="X2715" s="91">
        <f>IFERROR(__xludf.DUMMYFUNCTION("iFERROR((FILTER('Fund Investment Data'!$Z:$Z, 'Fund Investment Data'!$C:$C = $C2715, 'Fund Investment Data'!$A:$A = $A2715 - 1, 'Fund Investment Data'!$B:$B = 12) + FILTER('Fund Investment Data'!$AB:$AB, 'Fund Investment Data'!$C:$C = $C2715, 'Fund Invest"&amp;"ment Data'!$A:$A = $A2715 - 1, 'Fund Investment Data'!$B:$B = 12)) * (1 + AVERAGE(FILTER('Inflation Data'!$C:$C,'Inflation Data'!$A:$A = ($A2715 - 2)))) * Parameters!$A$4,0)"),0.0)</f>
        <v>0</v>
      </c>
      <c r="Y2715" s="91">
        <f>IFERROR(__xludf.DUMMYFUNCTION("IFERROR((IFERROR(FILTER('Fund Investment Data'!$P:$P,'Fund Investment Data'!$C:$C = $C2715,'Fund Investment Data'!$A:$A = ($A2715 - 2), 'Fund Investment Data'!$B:$B = 12),0) - SUM(FILTER('Fund Investment Data'!$V:$V, 'Fund Investment Data'!$C:$C = $C2715,"&amp;" 'Fund Investment Data'!$A:$A = ($A2715 - 2), 'Fund Investment Data'!$B:$B &gt; 3)))  * Parameters!$B$4 * (1 - Parameters!$A$4),0)"),0.0)</f>
        <v>0</v>
      </c>
      <c r="Z2715" s="91">
        <f t="shared" si="24"/>
        <v>0</v>
      </c>
      <c r="AA2715" s="91">
        <f>IFERROR(__xludf.DUMMYFUNCTION("((IFERROR((SUM(FILTER('Fund Investment Data'!$V:$V, 'Fund Investment Data'!$C:$C = $C2715, 'Fund Investment Data'!$A:$A = $A2715 - 1, 'Fund Investment Data'!$B:$B &gt;= 4, 'Fund Investment Data'!$B:$B &lt;= ($B2715 + 5))) / 12) * ($B2715 - 3) * Parameters!$B$4,"&amp;" 0) + IF($B2715 &gt;= 9, IFERROR(SUM(FILTER('Fund Investment Data'!$V:$V, 'Fund Investment Data'!$C:$C = $C2715, 'Fund Investment Data'!$A:$A = $A2715, 'Fund Investment Data'!$B:$B &lt;= 3)) * Parameters!$B$4, 0),0)))"),0.0)</f>
        <v>0</v>
      </c>
      <c r="AB2715" s="32">
        <f>IFERROR(__xludf.DUMMYFUNCTION("IFERROR(((IFERROR(SUM(FILTER('Fund Investment Data'!$V:$V, 'Fund Investment Data'!$C:$C = $C2715, 'Fund Investment Data'!$A:$A = $A2715 - 2, 'Fund Investment Data'!$B:$B &gt;= 4)) * Parameters!$B$4,0) + IFERROR(SUM(FILTER('Fund Investment Data'!$V:$V, 'Fund "&amp;"Investment Data'!$C:$C = $C2715, 'Fund Investment Data'!$A:$A = $A2715 - 1, 'Fund Investment Data'!$B:$B &lt;= 3)) * Parameters!$B$4,0))),0)"),0.0)</f>
        <v>0</v>
      </c>
      <c r="AC2715" s="32">
        <f>IFERROR(__xludf.DUMMYFUNCTION("IFERROR(FILTER($AF:$AF,$C:$C = $C2715,$A:$A = $A2715 - 1,$B:$B = 12),0)"),0.0)</f>
        <v>0</v>
      </c>
      <c r="AD2715" s="32">
        <f t="shared" si="23"/>
        <v>0</v>
      </c>
      <c r="AE2715" s="32">
        <f t="shared" si="2"/>
        <v>0</v>
      </c>
      <c r="AF2715" s="32"/>
    </row>
    <row r="2716">
      <c r="A2716" s="86"/>
      <c r="B2716" s="87"/>
      <c r="C2716" s="88"/>
      <c r="D2716" s="104"/>
      <c r="E2716" s="104"/>
      <c r="F2716" s="104"/>
      <c r="G2716" s="104"/>
      <c r="H2716" s="104"/>
      <c r="I2716" s="104"/>
      <c r="J2716" s="104"/>
      <c r="K2716" s="32"/>
      <c r="L2716" s="32"/>
      <c r="M2716" s="32"/>
      <c r="N2716" s="32"/>
      <c r="O2716" s="106"/>
      <c r="P2716" s="91">
        <f>IFERROR(__xludf.DUMMYFUNCTION("IFERROR(sum(FILTER($D:$N,$C:$C = $C2716,$A:$A &lt; $A2716,$B:$B = 12)),0) + sum($D2716:$N2716)"),0.0)</f>
        <v>0</v>
      </c>
      <c r="Q2716" s="92">
        <f t="shared" si="1"/>
        <v>0</v>
      </c>
      <c r="R2716" s="91">
        <f t="array" ref="R2716">IFERROR(INDEX('Fund YTD Target Values'!$1:$1000, MATCH($C2716,'Fund YTD Target Values'!$A:$A,0), MATCH($A2716,'Fund YTD Target Values'!$1:$1,0)),0)</f>
        <v>0</v>
      </c>
      <c r="S2716" s="91">
        <f>IFERROR(__xludf.DUMMYFUNCTION("IFERROR(sum(FILTER('Fund Investment Data'!$V:$V, 'Fund Investment Data'!$C:$C = $C2716, 'Fund Investment Data'!$A:$A &lt; $A2716)),0) + IFERROR(sum(FILTER('Fund Investment Data'!$V:$V, 'Fund Investment Data'!$C:$C = $C2716, 'Fund Investment Data'!$A:$A = $A2"&amp;"716, 'Fund Investment Data'!$B:$B &lt;= $B2716)),0)"),0.0)</f>
        <v>0</v>
      </c>
      <c r="T2716" s="32"/>
      <c r="U2716" s="32"/>
      <c r="V2716" s="32">
        <f>IFERROR(__xludf.DUMMYFUNCTION("$D2716 - IFERROR(FILTER($D:$D,$C:$C = $C2716, $A:$A = $A2716, $B:$B = $B2716 - 1),0)"),0.0)</f>
        <v>0</v>
      </c>
      <c r="W2716" s="93">
        <f>IFERROR(__xludf.DUMMYFUNCTION("$E2716 - IFERROR(FILTER($E:$E,$C:$C = $C2716, $A:$A = $A2716, $B:$B = $B2716 - 1),0)"),0.0)</f>
        <v>0</v>
      </c>
      <c r="X2716" s="91">
        <f>IFERROR(__xludf.DUMMYFUNCTION("iFERROR((FILTER('Fund Investment Data'!$Z:$Z, 'Fund Investment Data'!$C:$C = $C2716, 'Fund Investment Data'!$A:$A = $A2716 - 1, 'Fund Investment Data'!$B:$B = 12) + FILTER('Fund Investment Data'!$AB:$AB, 'Fund Investment Data'!$C:$C = $C2716, 'Fund Invest"&amp;"ment Data'!$A:$A = $A2716 - 1, 'Fund Investment Data'!$B:$B = 12)) * (1 + AVERAGE(FILTER('Inflation Data'!$C:$C,'Inflation Data'!$A:$A = ($A2716 - 2)))) * Parameters!$A$4,0)"),0.0)</f>
        <v>0</v>
      </c>
      <c r="Y2716" s="91">
        <f>IFERROR(__xludf.DUMMYFUNCTION("IFERROR((IFERROR(FILTER('Fund Investment Data'!$P:$P,'Fund Investment Data'!$C:$C = $C2716,'Fund Investment Data'!$A:$A = ($A2716 - 2), 'Fund Investment Data'!$B:$B = 12),0) - SUM(FILTER('Fund Investment Data'!$V:$V, 'Fund Investment Data'!$C:$C = $C2716,"&amp;" 'Fund Investment Data'!$A:$A = ($A2716 - 2), 'Fund Investment Data'!$B:$B &gt; 3)))  * Parameters!$B$4 * (1 - Parameters!$A$4),0)"),0.0)</f>
        <v>0</v>
      </c>
      <c r="Z2716" s="91">
        <f t="shared" si="24"/>
        <v>0</v>
      </c>
      <c r="AA2716" s="91">
        <f>IFERROR(__xludf.DUMMYFUNCTION("((IFERROR((SUM(FILTER('Fund Investment Data'!$V:$V, 'Fund Investment Data'!$C:$C = $C2716, 'Fund Investment Data'!$A:$A = $A2716 - 1, 'Fund Investment Data'!$B:$B &gt;= 4, 'Fund Investment Data'!$B:$B &lt;= ($B2716 + 5))) / 12) * ($B2716 - 3) * Parameters!$B$4,"&amp;" 0) + IF($B2716 &gt;= 9, IFERROR(SUM(FILTER('Fund Investment Data'!$V:$V, 'Fund Investment Data'!$C:$C = $C2716, 'Fund Investment Data'!$A:$A = $A2716, 'Fund Investment Data'!$B:$B &lt;= 3)) * Parameters!$B$4, 0),0)))"),0.0)</f>
        <v>0</v>
      </c>
      <c r="AB2716" s="32">
        <f>IFERROR(__xludf.DUMMYFUNCTION("IFERROR(((IFERROR(SUM(FILTER('Fund Investment Data'!$V:$V, 'Fund Investment Data'!$C:$C = $C2716, 'Fund Investment Data'!$A:$A = $A2716 - 2, 'Fund Investment Data'!$B:$B &gt;= 4)) * Parameters!$B$4,0) + IFERROR(SUM(FILTER('Fund Investment Data'!$V:$V, 'Fund "&amp;"Investment Data'!$C:$C = $C2716, 'Fund Investment Data'!$A:$A = $A2716 - 1, 'Fund Investment Data'!$B:$B &lt;= 3)) * Parameters!$B$4,0))),0)"),0.0)</f>
        <v>0</v>
      </c>
      <c r="AC2716" s="32">
        <f>IFERROR(__xludf.DUMMYFUNCTION("IFERROR(FILTER($AF:$AF,$C:$C = $C2716,$A:$A = $A2716 - 1,$B:$B = 12),0)"),0.0)</f>
        <v>0</v>
      </c>
      <c r="AD2716" s="32">
        <f t="shared" si="23"/>
        <v>0</v>
      </c>
      <c r="AE2716" s="32">
        <f t="shared" si="2"/>
        <v>0</v>
      </c>
      <c r="AF2716" s="32"/>
    </row>
    <row r="2717">
      <c r="A2717" s="86"/>
      <c r="B2717" s="87"/>
      <c r="C2717" s="88"/>
      <c r="D2717" s="104"/>
      <c r="E2717" s="104"/>
      <c r="F2717" s="104"/>
      <c r="G2717" s="104"/>
      <c r="H2717" s="104"/>
      <c r="I2717" s="104"/>
      <c r="J2717" s="104"/>
      <c r="K2717" s="32"/>
      <c r="L2717" s="32"/>
      <c r="M2717" s="32"/>
      <c r="N2717" s="32"/>
      <c r="O2717" s="106"/>
      <c r="P2717" s="91">
        <f>IFERROR(__xludf.DUMMYFUNCTION("IFERROR(sum(FILTER($D:$N,$C:$C = $C2717,$A:$A &lt; $A2717,$B:$B = 12)),0) + sum($D2717:$N2717)"),0.0)</f>
        <v>0</v>
      </c>
      <c r="Q2717" s="92">
        <f t="shared" si="1"/>
        <v>0</v>
      </c>
      <c r="R2717" s="91">
        <f t="array" ref="R2717">IFERROR(INDEX('Fund YTD Target Values'!$1:$1000, MATCH($C2717,'Fund YTD Target Values'!$A:$A,0), MATCH($A2717,'Fund YTD Target Values'!$1:$1,0)),0)</f>
        <v>0</v>
      </c>
      <c r="S2717" s="91">
        <f>IFERROR(__xludf.DUMMYFUNCTION("IFERROR(sum(FILTER('Fund Investment Data'!$V:$V, 'Fund Investment Data'!$C:$C = $C2717, 'Fund Investment Data'!$A:$A &lt; $A2717)),0) + IFERROR(sum(FILTER('Fund Investment Data'!$V:$V, 'Fund Investment Data'!$C:$C = $C2717, 'Fund Investment Data'!$A:$A = $A2"&amp;"717, 'Fund Investment Data'!$B:$B &lt;= $B2717)),0)"),0.0)</f>
        <v>0</v>
      </c>
      <c r="T2717" s="32"/>
      <c r="U2717" s="32"/>
      <c r="V2717" s="32">
        <f>IFERROR(__xludf.DUMMYFUNCTION("$D2717 - IFERROR(FILTER($D:$D,$C:$C = $C2717, $A:$A = $A2717, $B:$B = $B2717 - 1),0)"),0.0)</f>
        <v>0</v>
      </c>
      <c r="W2717" s="93">
        <f>IFERROR(__xludf.DUMMYFUNCTION("$E2717 - IFERROR(FILTER($E:$E,$C:$C = $C2717, $A:$A = $A2717, $B:$B = $B2717 - 1),0)"),0.0)</f>
        <v>0</v>
      </c>
      <c r="X2717" s="91">
        <f>IFERROR(__xludf.DUMMYFUNCTION("iFERROR((FILTER('Fund Investment Data'!$Z:$Z, 'Fund Investment Data'!$C:$C = $C2717, 'Fund Investment Data'!$A:$A = $A2717 - 1, 'Fund Investment Data'!$B:$B = 12) + FILTER('Fund Investment Data'!$AB:$AB, 'Fund Investment Data'!$C:$C = $C2717, 'Fund Invest"&amp;"ment Data'!$A:$A = $A2717 - 1, 'Fund Investment Data'!$B:$B = 12)) * (1 + AVERAGE(FILTER('Inflation Data'!$C:$C,'Inflation Data'!$A:$A = ($A2717 - 2)))) * Parameters!$A$4,0)"),0.0)</f>
        <v>0</v>
      </c>
      <c r="Y2717" s="91">
        <f>IFERROR(__xludf.DUMMYFUNCTION("IFERROR((IFERROR(FILTER('Fund Investment Data'!$P:$P,'Fund Investment Data'!$C:$C = $C2717,'Fund Investment Data'!$A:$A = ($A2717 - 2), 'Fund Investment Data'!$B:$B = 12),0) - SUM(FILTER('Fund Investment Data'!$V:$V, 'Fund Investment Data'!$C:$C = $C2717,"&amp;" 'Fund Investment Data'!$A:$A = ($A2717 - 2), 'Fund Investment Data'!$B:$B &gt; 3)))  * Parameters!$B$4 * (1 - Parameters!$A$4),0)"),0.0)</f>
        <v>0</v>
      </c>
      <c r="Z2717" s="91">
        <f t="shared" si="24"/>
        <v>0</v>
      </c>
      <c r="AA2717" s="91">
        <f>IFERROR(__xludf.DUMMYFUNCTION("((IFERROR((SUM(FILTER('Fund Investment Data'!$V:$V, 'Fund Investment Data'!$C:$C = $C2717, 'Fund Investment Data'!$A:$A = $A2717 - 1, 'Fund Investment Data'!$B:$B &gt;= 4, 'Fund Investment Data'!$B:$B &lt;= ($B2717 + 5))) / 12) * ($B2717 - 3) * Parameters!$B$4,"&amp;" 0) + IF($B2717 &gt;= 9, IFERROR(SUM(FILTER('Fund Investment Data'!$V:$V, 'Fund Investment Data'!$C:$C = $C2717, 'Fund Investment Data'!$A:$A = $A2717, 'Fund Investment Data'!$B:$B &lt;= 3)) * Parameters!$B$4, 0),0)))"),0.0)</f>
        <v>0</v>
      </c>
      <c r="AB2717" s="32">
        <f>IFERROR(__xludf.DUMMYFUNCTION("IFERROR(((IFERROR(SUM(FILTER('Fund Investment Data'!$V:$V, 'Fund Investment Data'!$C:$C = $C2717, 'Fund Investment Data'!$A:$A = $A2717 - 2, 'Fund Investment Data'!$B:$B &gt;= 4)) * Parameters!$B$4,0) + IFERROR(SUM(FILTER('Fund Investment Data'!$V:$V, 'Fund "&amp;"Investment Data'!$C:$C = $C2717, 'Fund Investment Data'!$A:$A = $A2717 - 1, 'Fund Investment Data'!$B:$B &lt;= 3)) * Parameters!$B$4,0))),0)"),0.0)</f>
        <v>0</v>
      </c>
      <c r="AC2717" s="32">
        <f>IFERROR(__xludf.DUMMYFUNCTION("IFERROR(FILTER($AF:$AF,$C:$C = $C2717,$A:$A = $A2717 - 1,$B:$B = 12),0)"),0.0)</f>
        <v>0</v>
      </c>
      <c r="AD2717" s="32">
        <f t="shared" si="23"/>
        <v>0</v>
      </c>
      <c r="AE2717" s="32">
        <f t="shared" si="2"/>
        <v>0</v>
      </c>
      <c r="AF2717" s="32"/>
    </row>
    <row r="2718">
      <c r="A2718" s="86"/>
      <c r="B2718" s="87"/>
      <c r="C2718" s="88"/>
      <c r="D2718" s="104"/>
      <c r="E2718" s="104"/>
      <c r="F2718" s="104"/>
      <c r="G2718" s="104"/>
      <c r="H2718" s="104"/>
      <c r="I2718" s="104"/>
      <c r="J2718" s="104"/>
      <c r="K2718" s="32"/>
      <c r="L2718" s="32"/>
      <c r="M2718" s="32"/>
      <c r="N2718" s="32"/>
      <c r="O2718" s="106"/>
      <c r="P2718" s="91">
        <f>IFERROR(__xludf.DUMMYFUNCTION("IFERROR(sum(FILTER($D:$N,$C:$C = $C2718,$A:$A &lt; $A2718,$B:$B = 12)),0) + sum($D2718:$N2718)"),0.0)</f>
        <v>0</v>
      </c>
      <c r="Q2718" s="92">
        <f t="shared" si="1"/>
        <v>0</v>
      </c>
      <c r="R2718" s="91">
        <f t="array" ref="R2718">IFERROR(INDEX('Fund YTD Target Values'!$1:$1000, MATCH($C2718,'Fund YTD Target Values'!$A:$A,0), MATCH($A2718,'Fund YTD Target Values'!$1:$1,0)),0)</f>
        <v>0</v>
      </c>
      <c r="S2718" s="91">
        <f>IFERROR(__xludf.DUMMYFUNCTION("IFERROR(sum(FILTER('Fund Investment Data'!$V:$V, 'Fund Investment Data'!$C:$C = $C2718, 'Fund Investment Data'!$A:$A &lt; $A2718)),0) + IFERROR(sum(FILTER('Fund Investment Data'!$V:$V, 'Fund Investment Data'!$C:$C = $C2718, 'Fund Investment Data'!$A:$A = $A2"&amp;"718, 'Fund Investment Data'!$B:$B &lt;= $B2718)),0)"),0.0)</f>
        <v>0</v>
      </c>
      <c r="T2718" s="32"/>
      <c r="U2718" s="32"/>
      <c r="V2718" s="32">
        <f>IFERROR(__xludf.DUMMYFUNCTION("$D2718 - IFERROR(FILTER($D:$D,$C:$C = $C2718, $A:$A = $A2718, $B:$B = $B2718 - 1),0)"),0.0)</f>
        <v>0</v>
      </c>
      <c r="W2718" s="93">
        <f>IFERROR(__xludf.DUMMYFUNCTION("$E2718 - IFERROR(FILTER($E:$E,$C:$C = $C2718, $A:$A = $A2718, $B:$B = $B2718 - 1),0)"),0.0)</f>
        <v>0</v>
      </c>
      <c r="X2718" s="91">
        <f>IFERROR(__xludf.DUMMYFUNCTION("iFERROR((FILTER('Fund Investment Data'!$Z:$Z, 'Fund Investment Data'!$C:$C = $C2718, 'Fund Investment Data'!$A:$A = $A2718 - 1, 'Fund Investment Data'!$B:$B = 12) + FILTER('Fund Investment Data'!$AB:$AB, 'Fund Investment Data'!$C:$C = $C2718, 'Fund Invest"&amp;"ment Data'!$A:$A = $A2718 - 1, 'Fund Investment Data'!$B:$B = 12)) * (1 + AVERAGE(FILTER('Inflation Data'!$C:$C,'Inflation Data'!$A:$A = ($A2718 - 2)))) * Parameters!$A$4,0)"),0.0)</f>
        <v>0</v>
      </c>
      <c r="Y2718" s="91">
        <f>IFERROR(__xludf.DUMMYFUNCTION("IFERROR((IFERROR(FILTER('Fund Investment Data'!$P:$P,'Fund Investment Data'!$C:$C = $C2718,'Fund Investment Data'!$A:$A = ($A2718 - 2), 'Fund Investment Data'!$B:$B = 12),0) - SUM(FILTER('Fund Investment Data'!$V:$V, 'Fund Investment Data'!$C:$C = $C2718,"&amp;" 'Fund Investment Data'!$A:$A = ($A2718 - 2), 'Fund Investment Data'!$B:$B &gt; 3)))  * Parameters!$B$4 * (1 - Parameters!$A$4),0)"),0.0)</f>
        <v>0</v>
      </c>
      <c r="Z2718" s="91">
        <f t="shared" si="24"/>
        <v>0</v>
      </c>
      <c r="AA2718" s="91">
        <f>IFERROR(__xludf.DUMMYFUNCTION("((IFERROR((SUM(FILTER('Fund Investment Data'!$V:$V, 'Fund Investment Data'!$C:$C = $C2718, 'Fund Investment Data'!$A:$A = $A2718 - 1, 'Fund Investment Data'!$B:$B &gt;= 4, 'Fund Investment Data'!$B:$B &lt;= ($B2718 + 5))) / 12) * ($B2718 - 3) * Parameters!$B$4,"&amp;" 0) + IF($B2718 &gt;= 9, IFERROR(SUM(FILTER('Fund Investment Data'!$V:$V, 'Fund Investment Data'!$C:$C = $C2718, 'Fund Investment Data'!$A:$A = $A2718, 'Fund Investment Data'!$B:$B &lt;= 3)) * Parameters!$B$4, 0),0)))"),0.0)</f>
        <v>0</v>
      </c>
      <c r="AB2718" s="32">
        <f>IFERROR(__xludf.DUMMYFUNCTION("IFERROR(((IFERROR(SUM(FILTER('Fund Investment Data'!$V:$V, 'Fund Investment Data'!$C:$C = $C2718, 'Fund Investment Data'!$A:$A = $A2718 - 2, 'Fund Investment Data'!$B:$B &gt;= 4)) * Parameters!$B$4,0) + IFERROR(SUM(FILTER('Fund Investment Data'!$V:$V, 'Fund "&amp;"Investment Data'!$C:$C = $C2718, 'Fund Investment Data'!$A:$A = $A2718 - 1, 'Fund Investment Data'!$B:$B &lt;= 3)) * Parameters!$B$4,0))),0)"),0.0)</f>
        <v>0</v>
      </c>
      <c r="AC2718" s="32">
        <f>IFERROR(__xludf.DUMMYFUNCTION("IFERROR(FILTER($AF:$AF,$C:$C = $C2718,$A:$A = $A2718 - 1,$B:$B = 12),0)"),0.0)</f>
        <v>0</v>
      </c>
      <c r="AD2718" s="32">
        <f t="shared" si="23"/>
        <v>0</v>
      </c>
      <c r="AE2718" s="32">
        <f t="shared" si="2"/>
        <v>0</v>
      </c>
      <c r="AF2718" s="32"/>
    </row>
    <row r="2719">
      <c r="A2719" s="86"/>
      <c r="B2719" s="87"/>
      <c r="C2719" s="88"/>
      <c r="D2719" s="104"/>
      <c r="E2719" s="104"/>
      <c r="F2719" s="104"/>
      <c r="G2719" s="104"/>
      <c r="H2719" s="104"/>
      <c r="I2719" s="104"/>
      <c r="J2719" s="104"/>
      <c r="K2719" s="32"/>
      <c r="L2719" s="32"/>
      <c r="M2719" s="32"/>
      <c r="N2719" s="32"/>
      <c r="O2719" s="106"/>
      <c r="P2719" s="91">
        <f>IFERROR(__xludf.DUMMYFUNCTION("IFERROR(sum(FILTER($D:$N,$C:$C = $C2719,$A:$A &lt; $A2719,$B:$B = 12)),0) + sum($D2719:$N2719)"),0.0)</f>
        <v>0</v>
      </c>
      <c r="Q2719" s="92">
        <f t="shared" si="1"/>
        <v>0</v>
      </c>
      <c r="R2719" s="91">
        <f t="array" ref="R2719">IFERROR(INDEX('Fund YTD Target Values'!$1:$1000, MATCH($C2719,'Fund YTD Target Values'!$A:$A,0), MATCH($A2719,'Fund YTD Target Values'!$1:$1,0)),0)</f>
        <v>0</v>
      </c>
      <c r="S2719" s="91">
        <f>IFERROR(__xludf.DUMMYFUNCTION("IFERROR(sum(FILTER('Fund Investment Data'!$V:$V, 'Fund Investment Data'!$C:$C = $C2719, 'Fund Investment Data'!$A:$A &lt; $A2719)),0) + IFERROR(sum(FILTER('Fund Investment Data'!$V:$V, 'Fund Investment Data'!$C:$C = $C2719, 'Fund Investment Data'!$A:$A = $A2"&amp;"719, 'Fund Investment Data'!$B:$B &lt;= $B2719)),0)"),0.0)</f>
        <v>0</v>
      </c>
      <c r="T2719" s="32"/>
      <c r="U2719" s="32"/>
      <c r="V2719" s="32">
        <f>IFERROR(__xludf.DUMMYFUNCTION("$D2719 - IFERROR(FILTER($D:$D,$C:$C = $C2719, $A:$A = $A2719, $B:$B = $B2719 - 1),0)"),0.0)</f>
        <v>0</v>
      </c>
      <c r="W2719" s="93">
        <f>IFERROR(__xludf.DUMMYFUNCTION("$E2719 - IFERROR(FILTER($E:$E,$C:$C = $C2719, $A:$A = $A2719, $B:$B = $B2719 - 1),0)"),0.0)</f>
        <v>0</v>
      </c>
      <c r="X2719" s="91">
        <f>IFERROR(__xludf.DUMMYFUNCTION("iFERROR((FILTER('Fund Investment Data'!$Z:$Z, 'Fund Investment Data'!$C:$C = $C2719, 'Fund Investment Data'!$A:$A = $A2719 - 1, 'Fund Investment Data'!$B:$B = 12) + FILTER('Fund Investment Data'!$AB:$AB, 'Fund Investment Data'!$C:$C = $C2719, 'Fund Invest"&amp;"ment Data'!$A:$A = $A2719 - 1, 'Fund Investment Data'!$B:$B = 12)) * (1 + AVERAGE(FILTER('Inflation Data'!$C:$C,'Inflation Data'!$A:$A = ($A2719 - 2)))) * Parameters!$A$4,0)"),0.0)</f>
        <v>0</v>
      </c>
      <c r="Y2719" s="91">
        <f>IFERROR(__xludf.DUMMYFUNCTION("IFERROR((IFERROR(FILTER('Fund Investment Data'!$P:$P,'Fund Investment Data'!$C:$C = $C2719,'Fund Investment Data'!$A:$A = ($A2719 - 2), 'Fund Investment Data'!$B:$B = 12),0) - SUM(FILTER('Fund Investment Data'!$V:$V, 'Fund Investment Data'!$C:$C = $C2719,"&amp;" 'Fund Investment Data'!$A:$A = ($A2719 - 2), 'Fund Investment Data'!$B:$B &gt; 3)))  * Parameters!$B$4 * (1 - Parameters!$A$4),0)"),0.0)</f>
        <v>0</v>
      </c>
      <c r="Z2719" s="91">
        <f t="shared" si="24"/>
        <v>0</v>
      </c>
      <c r="AA2719" s="91">
        <f>IFERROR(__xludf.DUMMYFUNCTION("((IFERROR((SUM(FILTER('Fund Investment Data'!$V:$V, 'Fund Investment Data'!$C:$C = $C2719, 'Fund Investment Data'!$A:$A = $A2719 - 1, 'Fund Investment Data'!$B:$B &gt;= 4, 'Fund Investment Data'!$B:$B &lt;= ($B2719 + 5))) / 12) * ($B2719 - 3) * Parameters!$B$4,"&amp;" 0) + IF($B2719 &gt;= 9, IFERROR(SUM(FILTER('Fund Investment Data'!$V:$V, 'Fund Investment Data'!$C:$C = $C2719, 'Fund Investment Data'!$A:$A = $A2719, 'Fund Investment Data'!$B:$B &lt;= 3)) * Parameters!$B$4, 0),0)))"),0.0)</f>
        <v>0</v>
      </c>
      <c r="AB2719" s="32">
        <f>IFERROR(__xludf.DUMMYFUNCTION("IFERROR(((IFERROR(SUM(FILTER('Fund Investment Data'!$V:$V, 'Fund Investment Data'!$C:$C = $C2719, 'Fund Investment Data'!$A:$A = $A2719 - 2, 'Fund Investment Data'!$B:$B &gt;= 4)) * Parameters!$B$4,0) + IFERROR(SUM(FILTER('Fund Investment Data'!$V:$V, 'Fund "&amp;"Investment Data'!$C:$C = $C2719, 'Fund Investment Data'!$A:$A = $A2719 - 1, 'Fund Investment Data'!$B:$B &lt;= 3)) * Parameters!$B$4,0))),0)"),0.0)</f>
        <v>0</v>
      </c>
      <c r="AC2719" s="32">
        <f>IFERROR(__xludf.DUMMYFUNCTION("IFERROR(FILTER($AF:$AF,$C:$C = $C2719,$A:$A = $A2719 - 1,$B:$B = 12),0)"),0.0)</f>
        <v>0</v>
      </c>
      <c r="AD2719" s="32">
        <f t="shared" si="23"/>
        <v>0</v>
      </c>
      <c r="AE2719" s="32">
        <f t="shared" si="2"/>
        <v>0</v>
      </c>
      <c r="AF2719" s="32"/>
    </row>
    <row r="2720">
      <c r="A2720" s="86"/>
      <c r="B2720" s="87"/>
      <c r="C2720" s="88"/>
      <c r="D2720" s="104"/>
      <c r="E2720" s="104"/>
      <c r="F2720" s="104"/>
      <c r="G2720" s="104"/>
      <c r="H2720" s="104"/>
      <c r="I2720" s="104"/>
      <c r="J2720" s="104"/>
      <c r="K2720" s="32"/>
      <c r="L2720" s="32"/>
      <c r="M2720" s="32"/>
      <c r="N2720" s="32"/>
      <c r="O2720" s="106"/>
      <c r="P2720" s="91">
        <f>IFERROR(__xludf.DUMMYFUNCTION("IFERROR(sum(FILTER($D:$N,$C:$C = $C2720,$A:$A &lt; $A2720,$B:$B = 12)),0) + sum($D2720:$N2720)"),0.0)</f>
        <v>0</v>
      </c>
      <c r="Q2720" s="92">
        <f t="shared" si="1"/>
        <v>0</v>
      </c>
      <c r="R2720" s="91">
        <f t="array" ref="R2720">IFERROR(INDEX('Fund YTD Target Values'!$1:$1000, MATCH($C2720,'Fund YTD Target Values'!$A:$A,0), MATCH($A2720,'Fund YTD Target Values'!$1:$1,0)),0)</f>
        <v>0</v>
      </c>
      <c r="S2720" s="91">
        <f>IFERROR(__xludf.DUMMYFUNCTION("IFERROR(sum(FILTER('Fund Investment Data'!$V:$V, 'Fund Investment Data'!$C:$C = $C2720, 'Fund Investment Data'!$A:$A &lt; $A2720)),0) + IFERROR(sum(FILTER('Fund Investment Data'!$V:$V, 'Fund Investment Data'!$C:$C = $C2720, 'Fund Investment Data'!$A:$A = $A2"&amp;"720, 'Fund Investment Data'!$B:$B &lt;= $B2720)),0)"),0.0)</f>
        <v>0</v>
      </c>
      <c r="T2720" s="32"/>
      <c r="U2720" s="32"/>
      <c r="V2720" s="32">
        <f>IFERROR(__xludf.DUMMYFUNCTION("$D2720 - IFERROR(FILTER($D:$D,$C:$C = $C2720, $A:$A = $A2720, $B:$B = $B2720 - 1),0)"),0.0)</f>
        <v>0</v>
      </c>
      <c r="W2720" s="93">
        <f>IFERROR(__xludf.DUMMYFUNCTION("$E2720 - IFERROR(FILTER($E:$E,$C:$C = $C2720, $A:$A = $A2720, $B:$B = $B2720 - 1),0)"),0.0)</f>
        <v>0</v>
      </c>
      <c r="X2720" s="91">
        <f>IFERROR(__xludf.DUMMYFUNCTION("iFERROR((FILTER('Fund Investment Data'!$Z:$Z, 'Fund Investment Data'!$C:$C = $C2720, 'Fund Investment Data'!$A:$A = $A2720 - 1, 'Fund Investment Data'!$B:$B = 12) + FILTER('Fund Investment Data'!$AB:$AB, 'Fund Investment Data'!$C:$C = $C2720, 'Fund Invest"&amp;"ment Data'!$A:$A = $A2720 - 1, 'Fund Investment Data'!$B:$B = 12)) * (1 + AVERAGE(FILTER('Inflation Data'!$C:$C,'Inflation Data'!$A:$A = ($A2720 - 2)))) * Parameters!$A$4,0)"),0.0)</f>
        <v>0</v>
      </c>
      <c r="Y2720" s="91">
        <f>IFERROR(__xludf.DUMMYFUNCTION("IFERROR((IFERROR(FILTER('Fund Investment Data'!$P:$P,'Fund Investment Data'!$C:$C = $C2720,'Fund Investment Data'!$A:$A = ($A2720 - 2), 'Fund Investment Data'!$B:$B = 12),0) - SUM(FILTER('Fund Investment Data'!$V:$V, 'Fund Investment Data'!$C:$C = $C2720,"&amp;" 'Fund Investment Data'!$A:$A = ($A2720 - 2), 'Fund Investment Data'!$B:$B &gt; 3)))  * Parameters!$B$4 * (1 - Parameters!$A$4),0)"),0.0)</f>
        <v>0</v>
      </c>
      <c r="Z2720" s="91">
        <f t="shared" si="24"/>
        <v>0</v>
      </c>
      <c r="AA2720" s="91">
        <f>IFERROR(__xludf.DUMMYFUNCTION("((IFERROR((SUM(FILTER('Fund Investment Data'!$V:$V, 'Fund Investment Data'!$C:$C = $C2720, 'Fund Investment Data'!$A:$A = $A2720 - 1, 'Fund Investment Data'!$B:$B &gt;= 4, 'Fund Investment Data'!$B:$B &lt;= ($B2720 + 5))) / 12) * ($B2720 - 3) * Parameters!$B$4,"&amp;" 0) + IF($B2720 &gt;= 9, IFERROR(SUM(FILTER('Fund Investment Data'!$V:$V, 'Fund Investment Data'!$C:$C = $C2720, 'Fund Investment Data'!$A:$A = $A2720, 'Fund Investment Data'!$B:$B &lt;= 3)) * Parameters!$B$4, 0),0)))"),0.0)</f>
        <v>0</v>
      </c>
      <c r="AB2720" s="32">
        <f>IFERROR(__xludf.DUMMYFUNCTION("IFERROR(((IFERROR(SUM(FILTER('Fund Investment Data'!$V:$V, 'Fund Investment Data'!$C:$C = $C2720, 'Fund Investment Data'!$A:$A = $A2720 - 2, 'Fund Investment Data'!$B:$B &gt;= 4)) * Parameters!$B$4,0) + IFERROR(SUM(FILTER('Fund Investment Data'!$V:$V, 'Fund "&amp;"Investment Data'!$C:$C = $C2720, 'Fund Investment Data'!$A:$A = $A2720 - 1, 'Fund Investment Data'!$B:$B &lt;= 3)) * Parameters!$B$4,0))),0)"),0.0)</f>
        <v>0</v>
      </c>
      <c r="AC2720" s="32">
        <f>IFERROR(__xludf.DUMMYFUNCTION("IFERROR(FILTER($AF:$AF,$C:$C = $C2720,$A:$A = $A2720 - 1,$B:$B = 12),0)"),0.0)</f>
        <v>0</v>
      </c>
      <c r="AD2720" s="32">
        <f t="shared" si="23"/>
        <v>0</v>
      </c>
      <c r="AE2720" s="32">
        <f t="shared" si="2"/>
        <v>0</v>
      </c>
      <c r="AF2720" s="32"/>
    </row>
    <row r="2721">
      <c r="A2721" s="86"/>
      <c r="B2721" s="87"/>
      <c r="C2721" s="88"/>
      <c r="D2721" s="104"/>
      <c r="E2721" s="104"/>
      <c r="F2721" s="104"/>
      <c r="G2721" s="104"/>
      <c r="H2721" s="104"/>
      <c r="I2721" s="104"/>
      <c r="J2721" s="104"/>
      <c r="K2721" s="32"/>
      <c r="L2721" s="32"/>
      <c r="M2721" s="32"/>
      <c r="N2721" s="32"/>
      <c r="O2721" s="106"/>
      <c r="P2721" s="91">
        <f>IFERROR(__xludf.DUMMYFUNCTION("IFERROR(sum(FILTER($D:$N,$C:$C = $C2721,$A:$A &lt; $A2721,$B:$B = 12)),0) + sum($D2721:$N2721)"),0.0)</f>
        <v>0</v>
      </c>
      <c r="Q2721" s="92">
        <f t="shared" si="1"/>
        <v>0</v>
      </c>
      <c r="R2721" s="91">
        <f t="array" ref="R2721">IFERROR(INDEX('Fund YTD Target Values'!$1:$1000, MATCH($C2721,'Fund YTD Target Values'!$A:$A,0), MATCH($A2721,'Fund YTD Target Values'!$1:$1,0)),0)</f>
        <v>0</v>
      </c>
      <c r="S2721" s="91">
        <f>IFERROR(__xludf.DUMMYFUNCTION("IFERROR(sum(FILTER('Fund Investment Data'!$V:$V, 'Fund Investment Data'!$C:$C = $C2721, 'Fund Investment Data'!$A:$A &lt; $A2721)),0) + IFERROR(sum(FILTER('Fund Investment Data'!$V:$V, 'Fund Investment Data'!$C:$C = $C2721, 'Fund Investment Data'!$A:$A = $A2"&amp;"721, 'Fund Investment Data'!$B:$B &lt;= $B2721)),0)"),0.0)</f>
        <v>0</v>
      </c>
      <c r="T2721" s="32"/>
      <c r="U2721" s="32"/>
      <c r="V2721" s="32">
        <f>IFERROR(__xludf.DUMMYFUNCTION("$D2721 - IFERROR(FILTER($D:$D,$C:$C = $C2721, $A:$A = $A2721, $B:$B = $B2721 - 1),0)"),0.0)</f>
        <v>0</v>
      </c>
      <c r="W2721" s="93">
        <f>IFERROR(__xludf.DUMMYFUNCTION("$E2721 - IFERROR(FILTER($E:$E,$C:$C = $C2721, $A:$A = $A2721, $B:$B = $B2721 - 1),0)"),0.0)</f>
        <v>0</v>
      </c>
      <c r="X2721" s="91">
        <f>IFERROR(__xludf.DUMMYFUNCTION("iFERROR((FILTER('Fund Investment Data'!$Z:$Z, 'Fund Investment Data'!$C:$C = $C2721, 'Fund Investment Data'!$A:$A = $A2721 - 1, 'Fund Investment Data'!$B:$B = 12) + FILTER('Fund Investment Data'!$AB:$AB, 'Fund Investment Data'!$C:$C = $C2721, 'Fund Invest"&amp;"ment Data'!$A:$A = $A2721 - 1, 'Fund Investment Data'!$B:$B = 12)) * (1 + AVERAGE(FILTER('Inflation Data'!$C:$C,'Inflation Data'!$A:$A = ($A2721 - 2)))) * Parameters!$A$4,0)"),0.0)</f>
        <v>0</v>
      </c>
      <c r="Y2721" s="91">
        <f>IFERROR(__xludf.DUMMYFUNCTION("IFERROR((IFERROR(FILTER('Fund Investment Data'!$P:$P,'Fund Investment Data'!$C:$C = $C2721,'Fund Investment Data'!$A:$A = ($A2721 - 2), 'Fund Investment Data'!$B:$B = 12),0) - SUM(FILTER('Fund Investment Data'!$V:$V, 'Fund Investment Data'!$C:$C = $C2721,"&amp;" 'Fund Investment Data'!$A:$A = ($A2721 - 2), 'Fund Investment Data'!$B:$B &gt; 3)))  * Parameters!$B$4 * (1 - Parameters!$A$4),0)"),0.0)</f>
        <v>0</v>
      </c>
      <c r="Z2721" s="91">
        <f t="shared" si="24"/>
        <v>0</v>
      </c>
      <c r="AA2721" s="91">
        <f>IFERROR(__xludf.DUMMYFUNCTION("((IFERROR((SUM(FILTER('Fund Investment Data'!$V:$V, 'Fund Investment Data'!$C:$C = $C2721, 'Fund Investment Data'!$A:$A = $A2721 - 1, 'Fund Investment Data'!$B:$B &gt;= 4, 'Fund Investment Data'!$B:$B &lt;= ($B2721 + 5))) / 12) * ($B2721 - 3) * Parameters!$B$4,"&amp;" 0) + IF($B2721 &gt;= 9, IFERROR(SUM(FILTER('Fund Investment Data'!$V:$V, 'Fund Investment Data'!$C:$C = $C2721, 'Fund Investment Data'!$A:$A = $A2721, 'Fund Investment Data'!$B:$B &lt;= 3)) * Parameters!$B$4, 0),0)))"),0.0)</f>
        <v>0</v>
      </c>
      <c r="AB2721" s="32">
        <f>IFERROR(__xludf.DUMMYFUNCTION("IFERROR(((IFERROR(SUM(FILTER('Fund Investment Data'!$V:$V, 'Fund Investment Data'!$C:$C = $C2721, 'Fund Investment Data'!$A:$A = $A2721 - 2, 'Fund Investment Data'!$B:$B &gt;= 4)) * Parameters!$B$4,0) + IFERROR(SUM(FILTER('Fund Investment Data'!$V:$V, 'Fund "&amp;"Investment Data'!$C:$C = $C2721, 'Fund Investment Data'!$A:$A = $A2721 - 1, 'Fund Investment Data'!$B:$B &lt;= 3)) * Parameters!$B$4,0))),0)"),0.0)</f>
        <v>0</v>
      </c>
      <c r="AC2721" s="32">
        <f>IFERROR(__xludf.DUMMYFUNCTION("IFERROR(FILTER($AF:$AF,$C:$C = $C2721,$A:$A = $A2721 - 1,$B:$B = 12),0)"),0.0)</f>
        <v>0</v>
      </c>
      <c r="AD2721" s="32">
        <f t="shared" si="23"/>
        <v>0</v>
      </c>
      <c r="AE2721" s="32">
        <f t="shared" si="2"/>
        <v>0</v>
      </c>
      <c r="AF2721" s="32"/>
    </row>
    <row r="2722">
      <c r="A2722" s="86"/>
      <c r="B2722" s="87"/>
      <c r="C2722" s="88"/>
      <c r="D2722" s="104"/>
      <c r="E2722" s="104"/>
      <c r="F2722" s="104"/>
      <c r="G2722" s="104"/>
      <c r="H2722" s="104"/>
      <c r="I2722" s="104"/>
      <c r="J2722" s="104"/>
      <c r="K2722" s="32"/>
      <c r="L2722" s="32"/>
      <c r="M2722" s="32"/>
      <c r="N2722" s="32"/>
      <c r="O2722" s="106"/>
      <c r="P2722" s="91">
        <f>IFERROR(__xludf.DUMMYFUNCTION("IFERROR(sum(FILTER($D:$N,$C:$C = $C2722,$A:$A &lt; $A2722,$B:$B = 12)),0) + sum($D2722:$N2722)"),0.0)</f>
        <v>0</v>
      </c>
      <c r="Q2722" s="92">
        <f t="shared" si="1"/>
        <v>0</v>
      </c>
      <c r="R2722" s="91">
        <f t="array" ref="R2722">IFERROR(INDEX('Fund YTD Target Values'!$1:$1000, MATCH($C2722,'Fund YTD Target Values'!$A:$A,0), MATCH($A2722,'Fund YTD Target Values'!$1:$1,0)),0)</f>
        <v>0</v>
      </c>
      <c r="S2722" s="91">
        <f>IFERROR(__xludf.DUMMYFUNCTION("IFERROR(sum(FILTER('Fund Investment Data'!$V:$V, 'Fund Investment Data'!$C:$C = $C2722, 'Fund Investment Data'!$A:$A &lt; $A2722)),0) + IFERROR(sum(FILTER('Fund Investment Data'!$V:$V, 'Fund Investment Data'!$C:$C = $C2722, 'Fund Investment Data'!$A:$A = $A2"&amp;"722, 'Fund Investment Data'!$B:$B &lt;= $B2722)),0)"),0.0)</f>
        <v>0</v>
      </c>
      <c r="T2722" s="32"/>
      <c r="U2722" s="32"/>
      <c r="V2722" s="32">
        <f>IFERROR(__xludf.DUMMYFUNCTION("$D2722 - IFERROR(FILTER($D:$D,$C:$C = $C2722, $A:$A = $A2722, $B:$B = $B2722 - 1),0)"),0.0)</f>
        <v>0</v>
      </c>
      <c r="W2722" s="93">
        <f>IFERROR(__xludf.DUMMYFUNCTION("$E2722 - IFERROR(FILTER($E:$E,$C:$C = $C2722, $A:$A = $A2722, $B:$B = $B2722 - 1),0)"),0.0)</f>
        <v>0</v>
      </c>
      <c r="X2722" s="91">
        <f>IFERROR(__xludf.DUMMYFUNCTION("iFERROR((FILTER('Fund Investment Data'!$Z:$Z, 'Fund Investment Data'!$C:$C = $C2722, 'Fund Investment Data'!$A:$A = $A2722 - 1, 'Fund Investment Data'!$B:$B = 12) + FILTER('Fund Investment Data'!$AB:$AB, 'Fund Investment Data'!$C:$C = $C2722, 'Fund Invest"&amp;"ment Data'!$A:$A = $A2722 - 1, 'Fund Investment Data'!$B:$B = 12)) * (1 + AVERAGE(FILTER('Inflation Data'!$C:$C,'Inflation Data'!$A:$A = ($A2722 - 2)))) * Parameters!$A$4,0)"),0.0)</f>
        <v>0</v>
      </c>
      <c r="Y2722" s="91">
        <f>IFERROR(__xludf.DUMMYFUNCTION("IFERROR((IFERROR(FILTER('Fund Investment Data'!$P:$P,'Fund Investment Data'!$C:$C = $C2722,'Fund Investment Data'!$A:$A = ($A2722 - 2), 'Fund Investment Data'!$B:$B = 12),0) - SUM(FILTER('Fund Investment Data'!$V:$V, 'Fund Investment Data'!$C:$C = $C2722,"&amp;" 'Fund Investment Data'!$A:$A = ($A2722 - 2), 'Fund Investment Data'!$B:$B &gt; 3)))  * Parameters!$B$4 * (1 - Parameters!$A$4),0)"),0.0)</f>
        <v>0</v>
      </c>
      <c r="Z2722" s="91">
        <f t="shared" si="24"/>
        <v>0</v>
      </c>
      <c r="AA2722" s="91">
        <f>IFERROR(__xludf.DUMMYFUNCTION("((IFERROR((SUM(FILTER('Fund Investment Data'!$V:$V, 'Fund Investment Data'!$C:$C = $C2722, 'Fund Investment Data'!$A:$A = $A2722 - 1, 'Fund Investment Data'!$B:$B &gt;= 4, 'Fund Investment Data'!$B:$B &lt;= ($B2722 + 5))) / 12) * ($B2722 - 3) * Parameters!$B$4,"&amp;" 0) + IF($B2722 &gt;= 9, IFERROR(SUM(FILTER('Fund Investment Data'!$V:$V, 'Fund Investment Data'!$C:$C = $C2722, 'Fund Investment Data'!$A:$A = $A2722, 'Fund Investment Data'!$B:$B &lt;= 3)) * Parameters!$B$4, 0),0)))"),0.0)</f>
        <v>0</v>
      </c>
      <c r="AB2722" s="32">
        <f>IFERROR(__xludf.DUMMYFUNCTION("IFERROR(((IFERROR(SUM(FILTER('Fund Investment Data'!$V:$V, 'Fund Investment Data'!$C:$C = $C2722, 'Fund Investment Data'!$A:$A = $A2722 - 2, 'Fund Investment Data'!$B:$B &gt;= 4)) * Parameters!$B$4,0) + IFERROR(SUM(FILTER('Fund Investment Data'!$V:$V, 'Fund "&amp;"Investment Data'!$C:$C = $C2722, 'Fund Investment Data'!$A:$A = $A2722 - 1, 'Fund Investment Data'!$B:$B &lt;= 3)) * Parameters!$B$4,0))),0)"),0.0)</f>
        <v>0</v>
      </c>
      <c r="AC2722" s="32">
        <f>IFERROR(__xludf.DUMMYFUNCTION("IFERROR(FILTER($AF:$AF,$C:$C = $C2722,$A:$A = $A2722 - 1,$B:$B = 12),0)"),0.0)</f>
        <v>0</v>
      </c>
      <c r="AD2722" s="32">
        <f t="shared" si="23"/>
        <v>0</v>
      </c>
      <c r="AE2722" s="32">
        <f t="shared" si="2"/>
        <v>0</v>
      </c>
      <c r="AF2722" s="32"/>
    </row>
    <row r="2723">
      <c r="A2723" s="86"/>
      <c r="B2723" s="87"/>
      <c r="C2723" s="88"/>
      <c r="D2723" s="104"/>
      <c r="E2723" s="104"/>
      <c r="F2723" s="104"/>
      <c r="G2723" s="104"/>
      <c r="H2723" s="104"/>
      <c r="I2723" s="104"/>
      <c r="J2723" s="104"/>
      <c r="K2723" s="32"/>
      <c r="L2723" s="32"/>
      <c r="M2723" s="32"/>
      <c r="N2723" s="32"/>
      <c r="O2723" s="106"/>
      <c r="P2723" s="91">
        <f>IFERROR(__xludf.DUMMYFUNCTION("IFERROR(sum(FILTER($D:$N,$C:$C = $C2723,$A:$A &lt; $A2723,$B:$B = 12)),0) + sum($D2723:$N2723)"),0.0)</f>
        <v>0</v>
      </c>
      <c r="Q2723" s="92">
        <f t="shared" si="1"/>
        <v>0</v>
      </c>
      <c r="R2723" s="91">
        <f t="array" ref="R2723">IFERROR(INDEX('Fund YTD Target Values'!$1:$1000, MATCH($C2723,'Fund YTD Target Values'!$A:$A,0), MATCH($A2723,'Fund YTD Target Values'!$1:$1,0)),0)</f>
        <v>0</v>
      </c>
      <c r="S2723" s="91">
        <f>IFERROR(__xludf.DUMMYFUNCTION("IFERROR(sum(FILTER('Fund Investment Data'!$V:$V, 'Fund Investment Data'!$C:$C = $C2723, 'Fund Investment Data'!$A:$A &lt; $A2723)),0) + IFERROR(sum(FILTER('Fund Investment Data'!$V:$V, 'Fund Investment Data'!$C:$C = $C2723, 'Fund Investment Data'!$A:$A = $A2"&amp;"723, 'Fund Investment Data'!$B:$B &lt;= $B2723)),0)"),0.0)</f>
        <v>0</v>
      </c>
      <c r="T2723" s="32"/>
      <c r="U2723" s="32"/>
      <c r="V2723" s="32">
        <f>IFERROR(__xludf.DUMMYFUNCTION("$D2723 - IFERROR(FILTER($D:$D,$C:$C = $C2723, $A:$A = $A2723, $B:$B = $B2723 - 1),0)"),0.0)</f>
        <v>0</v>
      </c>
      <c r="W2723" s="93">
        <f>IFERROR(__xludf.DUMMYFUNCTION("$E2723 - IFERROR(FILTER($E:$E,$C:$C = $C2723, $A:$A = $A2723, $B:$B = $B2723 - 1),0)"),0.0)</f>
        <v>0</v>
      </c>
      <c r="X2723" s="91">
        <f>IFERROR(__xludf.DUMMYFUNCTION("iFERROR((FILTER('Fund Investment Data'!$Z:$Z, 'Fund Investment Data'!$C:$C = $C2723, 'Fund Investment Data'!$A:$A = $A2723 - 1, 'Fund Investment Data'!$B:$B = 12) + FILTER('Fund Investment Data'!$AB:$AB, 'Fund Investment Data'!$C:$C = $C2723, 'Fund Invest"&amp;"ment Data'!$A:$A = $A2723 - 1, 'Fund Investment Data'!$B:$B = 12)) * (1 + AVERAGE(FILTER('Inflation Data'!$C:$C,'Inflation Data'!$A:$A = ($A2723 - 2)))) * Parameters!$A$4,0)"),0.0)</f>
        <v>0</v>
      </c>
      <c r="Y2723" s="91">
        <f>IFERROR(__xludf.DUMMYFUNCTION("IFERROR((IFERROR(FILTER('Fund Investment Data'!$P:$P,'Fund Investment Data'!$C:$C = $C2723,'Fund Investment Data'!$A:$A = ($A2723 - 2), 'Fund Investment Data'!$B:$B = 12),0) - SUM(FILTER('Fund Investment Data'!$V:$V, 'Fund Investment Data'!$C:$C = $C2723,"&amp;" 'Fund Investment Data'!$A:$A = ($A2723 - 2), 'Fund Investment Data'!$B:$B &gt; 3)))  * Parameters!$B$4 * (1 - Parameters!$A$4),0)"),0.0)</f>
        <v>0</v>
      </c>
      <c r="Z2723" s="91">
        <f t="shared" si="24"/>
        <v>0</v>
      </c>
      <c r="AA2723" s="91">
        <f>IFERROR(__xludf.DUMMYFUNCTION("((IFERROR((SUM(FILTER('Fund Investment Data'!$V:$V, 'Fund Investment Data'!$C:$C = $C2723, 'Fund Investment Data'!$A:$A = $A2723 - 1, 'Fund Investment Data'!$B:$B &gt;= 4, 'Fund Investment Data'!$B:$B &lt;= ($B2723 + 5))) / 12) * ($B2723 - 3) * Parameters!$B$4,"&amp;" 0) + IF($B2723 &gt;= 9, IFERROR(SUM(FILTER('Fund Investment Data'!$V:$V, 'Fund Investment Data'!$C:$C = $C2723, 'Fund Investment Data'!$A:$A = $A2723, 'Fund Investment Data'!$B:$B &lt;= 3)) * Parameters!$B$4, 0),0)))"),0.0)</f>
        <v>0</v>
      </c>
      <c r="AB2723" s="32">
        <f>IFERROR(__xludf.DUMMYFUNCTION("IFERROR(((IFERROR(SUM(FILTER('Fund Investment Data'!$V:$V, 'Fund Investment Data'!$C:$C = $C2723, 'Fund Investment Data'!$A:$A = $A2723 - 2, 'Fund Investment Data'!$B:$B &gt;= 4)) * Parameters!$B$4,0) + IFERROR(SUM(FILTER('Fund Investment Data'!$V:$V, 'Fund "&amp;"Investment Data'!$C:$C = $C2723, 'Fund Investment Data'!$A:$A = $A2723 - 1, 'Fund Investment Data'!$B:$B &lt;= 3)) * Parameters!$B$4,0))),0)"),0.0)</f>
        <v>0</v>
      </c>
      <c r="AC2723" s="32">
        <f>IFERROR(__xludf.DUMMYFUNCTION("IFERROR(FILTER($AF:$AF,$C:$C = $C2723,$A:$A = $A2723 - 1,$B:$B = 12),0)"),0.0)</f>
        <v>0</v>
      </c>
      <c r="AD2723" s="32">
        <f t="shared" si="23"/>
        <v>0</v>
      </c>
      <c r="AE2723" s="32">
        <f t="shared" si="2"/>
        <v>0</v>
      </c>
      <c r="AF2723" s="32"/>
    </row>
    <row r="2724">
      <c r="A2724" s="86"/>
      <c r="B2724" s="87"/>
      <c r="C2724" s="88"/>
      <c r="D2724" s="104"/>
      <c r="E2724" s="104"/>
      <c r="F2724" s="104"/>
      <c r="G2724" s="104"/>
      <c r="H2724" s="104"/>
      <c r="I2724" s="104"/>
      <c r="J2724" s="104"/>
      <c r="K2724" s="32"/>
      <c r="L2724" s="32"/>
      <c r="M2724" s="32"/>
      <c r="N2724" s="32"/>
      <c r="O2724" s="106"/>
      <c r="P2724" s="91">
        <f>IFERROR(__xludf.DUMMYFUNCTION("IFERROR(sum(FILTER($D:$N,$C:$C = $C2724,$A:$A &lt; $A2724,$B:$B = 12)),0) + sum($D2724:$N2724)"),0.0)</f>
        <v>0</v>
      </c>
      <c r="Q2724" s="92">
        <f t="shared" si="1"/>
        <v>0</v>
      </c>
      <c r="R2724" s="91">
        <f t="array" ref="R2724">IFERROR(INDEX('Fund YTD Target Values'!$1:$1000, MATCH($C2724,'Fund YTD Target Values'!$A:$A,0), MATCH($A2724,'Fund YTD Target Values'!$1:$1,0)),0)</f>
        <v>0</v>
      </c>
      <c r="S2724" s="91">
        <f>IFERROR(__xludf.DUMMYFUNCTION("IFERROR(sum(FILTER('Fund Investment Data'!$V:$V, 'Fund Investment Data'!$C:$C = $C2724, 'Fund Investment Data'!$A:$A &lt; $A2724)),0) + IFERROR(sum(FILTER('Fund Investment Data'!$V:$V, 'Fund Investment Data'!$C:$C = $C2724, 'Fund Investment Data'!$A:$A = $A2"&amp;"724, 'Fund Investment Data'!$B:$B &lt;= $B2724)),0)"),0.0)</f>
        <v>0</v>
      </c>
      <c r="T2724" s="32"/>
      <c r="U2724" s="32"/>
      <c r="V2724" s="32">
        <f>IFERROR(__xludf.DUMMYFUNCTION("$D2724 - IFERROR(FILTER($D:$D,$C:$C = $C2724, $A:$A = $A2724, $B:$B = $B2724 - 1),0)"),0.0)</f>
        <v>0</v>
      </c>
      <c r="W2724" s="93">
        <f>IFERROR(__xludf.DUMMYFUNCTION("$E2724 - IFERROR(FILTER($E:$E,$C:$C = $C2724, $A:$A = $A2724, $B:$B = $B2724 - 1),0)"),0.0)</f>
        <v>0</v>
      </c>
      <c r="X2724" s="91">
        <f>IFERROR(__xludf.DUMMYFUNCTION("iFERROR((FILTER('Fund Investment Data'!$Z:$Z, 'Fund Investment Data'!$C:$C = $C2724, 'Fund Investment Data'!$A:$A = $A2724 - 1, 'Fund Investment Data'!$B:$B = 12) + FILTER('Fund Investment Data'!$AB:$AB, 'Fund Investment Data'!$C:$C = $C2724, 'Fund Invest"&amp;"ment Data'!$A:$A = $A2724 - 1, 'Fund Investment Data'!$B:$B = 12)) * (1 + AVERAGE(FILTER('Inflation Data'!$C:$C,'Inflation Data'!$A:$A = ($A2724 - 2)))) * Parameters!$A$4,0)"),0.0)</f>
        <v>0</v>
      </c>
      <c r="Y2724" s="91">
        <f>IFERROR(__xludf.DUMMYFUNCTION("IFERROR((IFERROR(FILTER('Fund Investment Data'!$P:$P,'Fund Investment Data'!$C:$C = $C2724,'Fund Investment Data'!$A:$A = ($A2724 - 2), 'Fund Investment Data'!$B:$B = 12),0) - SUM(FILTER('Fund Investment Data'!$V:$V, 'Fund Investment Data'!$C:$C = $C2724,"&amp;" 'Fund Investment Data'!$A:$A = ($A2724 - 2), 'Fund Investment Data'!$B:$B &gt; 3)))  * Parameters!$B$4 * (1 - Parameters!$A$4),0)"),0.0)</f>
        <v>0</v>
      </c>
      <c r="Z2724" s="91">
        <f t="shared" si="24"/>
        <v>0</v>
      </c>
      <c r="AA2724" s="91">
        <f>IFERROR(__xludf.DUMMYFUNCTION("((IFERROR((SUM(FILTER('Fund Investment Data'!$V:$V, 'Fund Investment Data'!$C:$C = $C2724, 'Fund Investment Data'!$A:$A = $A2724 - 1, 'Fund Investment Data'!$B:$B &gt;= 4, 'Fund Investment Data'!$B:$B &lt;= ($B2724 + 5))) / 12) * ($B2724 - 3) * Parameters!$B$4,"&amp;" 0) + IF($B2724 &gt;= 9, IFERROR(SUM(FILTER('Fund Investment Data'!$V:$V, 'Fund Investment Data'!$C:$C = $C2724, 'Fund Investment Data'!$A:$A = $A2724, 'Fund Investment Data'!$B:$B &lt;= 3)) * Parameters!$B$4, 0),0)))"),0.0)</f>
        <v>0</v>
      </c>
      <c r="AB2724" s="32">
        <f>IFERROR(__xludf.DUMMYFUNCTION("IFERROR(((IFERROR(SUM(FILTER('Fund Investment Data'!$V:$V, 'Fund Investment Data'!$C:$C = $C2724, 'Fund Investment Data'!$A:$A = $A2724 - 2, 'Fund Investment Data'!$B:$B &gt;= 4)) * Parameters!$B$4,0) + IFERROR(SUM(FILTER('Fund Investment Data'!$V:$V, 'Fund "&amp;"Investment Data'!$C:$C = $C2724, 'Fund Investment Data'!$A:$A = $A2724 - 1, 'Fund Investment Data'!$B:$B &lt;= 3)) * Parameters!$B$4,0))),0)"),0.0)</f>
        <v>0</v>
      </c>
      <c r="AC2724" s="32">
        <f>IFERROR(__xludf.DUMMYFUNCTION("IFERROR(FILTER($AF:$AF,$C:$C = $C2724,$A:$A = $A2724 - 1,$B:$B = 12),0)"),0.0)</f>
        <v>0</v>
      </c>
      <c r="AD2724" s="32">
        <f t="shared" si="23"/>
        <v>0</v>
      </c>
      <c r="AE2724" s="32">
        <f t="shared" si="2"/>
        <v>0</v>
      </c>
      <c r="AF2724" s="32"/>
    </row>
    <row r="2725">
      <c r="A2725" s="86"/>
      <c r="B2725" s="87"/>
      <c r="C2725" s="88"/>
      <c r="D2725" s="104"/>
      <c r="E2725" s="104"/>
      <c r="F2725" s="104"/>
      <c r="G2725" s="104"/>
      <c r="H2725" s="104"/>
      <c r="I2725" s="104"/>
      <c r="J2725" s="104"/>
      <c r="K2725" s="32"/>
      <c r="L2725" s="32"/>
      <c r="M2725" s="32"/>
      <c r="N2725" s="32"/>
      <c r="O2725" s="106"/>
      <c r="P2725" s="91">
        <f>IFERROR(__xludf.DUMMYFUNCTION("IFERROR(sum(FILTER($D:$N,$C:$C = $C2725,$A:$A &lt; $A2725,$B:$B = 12)),0) + sum($D2725:$N2725)"),0.0)</f>
        <v>0</v>
      </c>
      <c r="Q2725" s="92">
        <f t="shared" si="1"/>
        <v>0</v>
      </c>
      <c r="R2725" s="91">
        <f t="array" ref="R2725">IFERROR(INDEX('Fund YTD Target Values'!$1:$1000, MATCH($C2725,'Fund YTD Target Values'!$A:$A,0), MATCH($A2725,'Fund YTD Target Values'!$1:$1,0)),0)</f>
        <v>0</v>
      </c>
      <c r="S2725" s="91">
        <f>IFERROR(__xludf.DUMMYFUNCTION("IFERROR(sum(FILTER('Fund Investment Data'!$V:$V, 'Fund Investment Data'!$C:$C = $C2725, 'Fund Investment Data'!$A:$A &lt; $A2725)),0) + IFERROR(sum(FILTER('Fund Investment Data'!$V:$V, 'Fund Investment Data'!$C:$C = $C2725, 'Fund Investment Data'!$A:$A = $A2"&amp;"725, 'Fund Investment Data'!$B:$B &lt;= $B2725)),0)"),0.0)</f>
        <v>0</v>
      </c>
      <c r="T2725" s="32"/>
      <c r="U2725" s="32"/>
      <c r="V2725" s="32">
        <f>IFERROR(__xludf.DUMMYFUNCTION("$D2725 - IFERROR(FILTER($D:$D,$C:$C = $C2725, $A:$A = $A2725, $B:$B = $B2725 - 1),0)"),0.0)</f>
        <v>0</v>
      </c>
      <c r="W2725" s="93">
        <f>IFERROR(__xludf.DUMMYFUNCTION("$E2725 - IFERROR(FILTER($E:$E,$C:$C = $C2725, $A:$A = $A2725, $B:$B = $B2725 - 1),0)"),0.0)</f>
        <v>0</v>
      </c>
      <c r="X2725" s="91">
        <f>IFERROR(__xludf.DUMMYFUNCTION("iFERROR((FILTER('Fund Investment Data'!$Z:$Z, 'Fund Investment Data'!$C:$C = $C2725, 'Fund Investment Data'!$A:$A = $A2725 - 1, 'Fund Investment Data'!$B:$B = 12) + FILTER('Fund Investment Data'!$AB:$AB, 'Fund Investment Data'!$C:$C = $C2725, 'Fund Invest"&amp;"ment Data'!$A:$A = $A2725 - 1, 'Fund Investment Data'!$B:$B = 12)) * (1 + AVERAGE(FILTER('Inflation Data'!$C:$C,'Inflation Data'!$A:$A = ($A2725 - 2)))) * Parameters!$A$4,0)"),0.0)</f>
        <v>0</v>
      </c>
      <c r="Y2725" s="91">
        <f>IFERROR(__xludf.DUMMYFUNCTION("IFERROR((IFERROR(FILTER('Fund Investment Data'!$P:$P,'Fund Investment Data'!$C:$C = $C2725,'Fund Investment Data'!$A:$A = ($A2725 - 2), 'Fund Investment Data'!$B:$B = 12),0) - SUM(FILTER('Fund Investment Data'!$V:$V, 'Fund Investment Data'!$C:$C = $C2725,"&amp;" 'Fund Investment Data'!$A:$A = ($A2725 - 2), 'Fund Investment Data'!$B:$B &gt; 3)))  * Parameters!$B$4 * (1 - Parameters!$A$4),0)"),0.0)</f>
        <v>0</v>
      </c>
      <c r="Z2725" s="91">
        <f t="shared" si="24"/>
        <v>0</v>
      </c>
      <c r="AA2725" s="91">
        <f>IFERROR(__xludf.DUMMYFUNCTION("((IFERROR((SUM(FILTER('Fund Investment Data'!$V:$V, 'Fund Investment Data'!$C:$C = $C2725, 'Fund Investment Data'!$A:$A = $A2725 - 1, 'Fund Investment Data'!$B:$B &gt;= 4, 'Fund Investment Data'!$B:$B &lt;= ($B2725 + 5))) / 12) * ($B2725 - 3) * Parameters!$B$4,"&amp;" 0) + IF($B2725 &gt;= 9, IFERROR(SUM(FILTER('Fund Investment Data'!$V:$V, 'Fund Investment Data'!$C:$C = $C2725, 'Fund Investment Data'!$A:$A = $A2725, 'Fund Investment Data'!$B:$B &lt;= 3)) * Parameters!$B$4, 0),0)))"),0.0)</f>
        <v>0</v>
      </c>
      <c r="AB2725" s="32">
        <f>IFERROR(__xludf.DUMMYFUNCTION("IFERROR(((IFERROR(SUM(FILTER('Fund Investment Data'!$V:$V, 'Fund Investment Data'!$C:$C = $C2725, 'Fund Investment Data'!$A:$A = $A2725 - 2, 'Fund Investment Data'!$B:$B &gt;= 4)) * Parameters!$B$4,0) + IFERROR(SUM(FILTER('Fund Investment Data'!$V:$V, 'Fund "&amp;"Investment Data'!$C:$C = $C2725, 'Fund Investment Data'!$A:$A = $A2725 - 1, 'Fund Investment Data'!$B:$B &lt;= 3)) * Parameters!$B$4,0))),0)"),0.0)</f>
        <v>0</v>
      </c>
      <c r="AC2725" s="32">
        <f>IFERROR(__xludf.DUMMYFUNCTION("IFERROR(FILTER($AF:$AF,$C:$C = $C2725,$A:$A = $A2725 - 1,$B:$B = 12),0)"),0.0)</f>
        <v>0</v>
      </c>
      <c r="AD2725" s="32">
        <f t="shared" si="23"/>
        <v>0</v>
      </c>
      <c r="AE2725" s="32">
        <f t="shared" si="2"/>
        <v>0</v>
      </c>
      <c r="AF2725" s="32"/>
    </row>
    <row r="2726">
      <c r="A2726" s="86"/>
      <c r="B2726" s="87"/>
      <c r="C2726" s="88"/>
      <c r="D2726" s="104"/>
      <c r="E2726" s="104"/>
      <c r="F2726" s="104"/>
      <c r="G2726" s="104"/>
      <c r="H2726" s="104"/>
      <c r="I2726" s="104"/>
      <c r="J2726" s="104"/>
      <c r="K2726" s="32"/>
      <c r="L2726" s="32"/>
      <c r="M2726" s="32"/>
      <c r="N2726" s="32"/>
      <c r="O2726" s="106"/>
      <c r="P2726" s="91">
        <f>IFERROR(__xludf.DUMMYFUNCTION("IFERROR(sum(FILTER($D:$N,$C:$C = $C2726,$A:$A &lt; $A2726,$B:$B = 12)),0) + sum($D2726:$N2726)"),0.0)</f>
        <v>0</v>
      </c>
      <c r="Q2726" s="92">
        <f t="shared" si="1"/>
        <v>0</v>
      </c>
      <c r="R2726" s="91">
        <f t="array" ref="R2726">IFERROR(INDEX('Fund YTD Target Values'!$1:$1000, MATCH($C2726,'Fund YTD Target Values'!$A:$A,0), MATCH($A2726,'Fund YTD Target Values'!$1:$1,0)),0)</f>
        <v>0</v>
      </c>
      <c r="S2726" s="91">
        <f>IFERROR(__xludf.DUMMYFUNCTION("IFERROR(sum(FILTER('Fund Investment Data'!$V:$V, 'Fund Investment Data'!$C:$C = $C2726, 'Fund Investment Data'!$A:$A &lt; $A2726)),0) + IFERROR(sum(FILTER('Fund Investment Data'!$V:$V, 'Fund Investment Data'!$C:$C = $C2726, 'Fund Investment Data'!$A:$A = $A2"&amp;"726, 'Fund Investment Data'!$B:$B &lt;= $B2726)),0)"),0.0)</f>
        <v>0</v>
      </c>
      <c r="T2726" s="32"/>
      <c r="U2726" s="32"/>
      <c r="V2726" s="32">
        <f>IFERROR(__xludf.DUMMYFUNCTION("$D2726 - IFERROR(FILTER($D:$D,$C:$C = $C2726, $A:$A = $A2726, $B:$B = $B2726 - 1),0)"),0.0)</f>
        <v>0</v>
      </c>
      <c r="W2726" s="93">
        <f>IFERROR(__xludf.DUMMYFUNCTION("$E2726 - IFERROR(FILTER($E:$E,$C:$C = $C2726, $A:$A = $A2726, $B:$B = $B2726 - 1),0)"),0.0)</f>
        <v>0</v>
      </c>
      <c r="X2726" s="91">
        <f>IFERROR(__xludf.DUMMYFUNCTION("iFERROR((FILTER('Fund Investment Data'!$Z:$Z, 'Fund Investment Data'!$C:$C = $C2726, 'Fund Investment Data'!$A:$A = $A2726 - 1, 'Fund Investment Data'!$B:$B = 12) + FILTER('Fund Investment Data'!$AB:$AB, 'Fund Investment Data'!$C:$C = $C2726, 'Fund Invest"&amp;"ment Data'!$A:$A = $A2726 - 1, 'Fund Investment Data'!$B:$B = 12)) * (1 + AVERAGE(FILTER('Inflation Data'!$C:$C,'Inflation Data'!$A:$A = ($A2726 - 2)))) * Parameters!$A$4,0)"),0.0)</f>
        <v>0</v>
      </c>
      <c r="Y2726" s="91">
        <f>IFERROR(__xludf.DUMMYFUNCTION("IFERROR((IFERROR(FILTER('Fund Investment Data'!$P:$P,'Fund Investment Data'!$C:$C = $C2726,'Fund Investment Data'!$A:$A = ($A2726 - 2), 'Fund Investment Data'!$B:$B = 12),0) - SUM(FILTER('Fund Investment Data'!$V:$V, 'Fund Investment Data'!$C:$C = $C2726,"&amp;" 'Fund Investment Data'!$A:$A = ($A2726 - 2), 'Fund Investment Data'!$B:$B &gt; 3)))  * Parameters!$B$4 * (1 - Parameters!$A$4),0)"),0.0)</f>
        <v>0</v>
      </c>
      <c r="Z2726" s="91">
        <f t="shared" si="24"/>
        <v>0</v>
      </c>
      <c r="AA2726" s="91">
        <f>IFERROR(__xludf.DUMMYFUNCTION("((IFERROR((SUM(FILTER('Fund Investment Data'!$V:$V, 'Fund Investment Data'!$C:$C = $C2726, 'Fund Investment Data'!$A:$A = $A2726 - 1, 'Fund Investment Data'!$B:$B &gt;= 4, 'Fund Investment Data'!$B:$B &lt;= ($B2726 + 5))) / 12) * ($B2726 - 3) * Parameters!$B$4,"&amp;" 0) + IF($B2726 &gt;= 9, IFERROR(SUM(FILTER('Fund Investment Data'!$V:$V, 'Fund Investment Data'!$C:$C = $C2726, 'Fund Investment Data'!$A:$A = $A2726, 'Fund Investment Data'!$B:$B &lt;= 3)) * Parameters!$B$4, 0),0)))"),0.0)</f>
        <v>0</v>
      </c>
      <c r="AB2726" s="32">
        <f>IFERROR(__xludf.DUMMYFUNCTION("IFERROR(((IFERROR(SUM(FILTER('Fund Investment Data'!$V:$V, 'Fund Investment Data'!$C:$C = $C2726, 'Fund Investment Data'!$A:$A = $A2726 - 2, 'Fund Investment Data'!$B:$B &gt;= 4)) * Parameters!$B$4,0) + IFERROR(SUM(FILTER('Fund Investment Data'!$V:$V, 'Fund "&amp;"Investment Data'!$C:$C = $C2726, 'Fund Investment Data'!$A:$A = $A2726 - 1, 'Fund Investment Data'!$B:$B &lt;= 3)) * Parameters!$B$4,0))),0)"),0.0)</f>
        <v>0</v>
      </c>
      <c r="AC2726" s="32">
        <f>IFERROR(__xludf.DUMMYFUNCTION("IFERROR(FILTER($AF:$AF,$C:$C = $C2726,$A:$A = $A2726 - 1,$B:$B = 12),0)"),0.0)</f>
        <v>0</v>
      </c>
      <c r="AD2726" s="32">
        <f t="shared" si="23"/>
        <v>0</v>
      </c>
      <c r="AE2726" s="32">
        <f t="shared" si="2"/>
        <v>0</v>
      </c>
      <c r="AF2726" s="32"/>
    </row>
    <row r="2727">
      <c r="A2727" s="86"/>
      <c r="B2727" s="87"/>
      <c r="C2727" s="88"/>
      <c r="D2727" s="104"/>
      <c r="E2727" s="104"/>
      <c r="F2727" s="104"/>
      <c r="G2727" s="104"/>
      <c r="H2727" s="104"/>
      <c r="I2727" s="104"/>
      <c r="J2727" s="104"/>
      <c r="K2727" s="32"/>
      <c r="L2727" s="32"/>
      <c r="M2727" s="32"/>
      <c r="N2727" s="32"/>
      <c r="O2727" s="106"/>
      <c r="P2727" s="91">
        <f>IFERROR(__xludf.DUMMYFUNCTION("IFERROR(sum(FILTER($D:$N,$C:$C = $C2727,$A:$A &lt; $A2727,$B:$B = 12)),0) + sum($D2727:$N2727)"),0.0)</f>
        <v>0</v>
      </c>
      <c r="Q2727" s="92">
        <f t="shared" si="1"/>
        <v>0</v>
      </c>
      <c r="R2727" s="91">
        <f t="array" ref="R2727">IFERROR(INDEX('Fund YTD Target Values'!$1:$1000, MATCH($C2727,'Fund YTD Target Values'!$A:$A,0), MATCH($A2727,'Fund YTD Target Values'!$1:$1,0)),0)</f>
        <v>0</v>
      </c>
      <c r="S2727" s="91">
        <f>IFERROR(__xludf.DUMMYFUNCTION("IFERROR(sum(FILTER('Fund Investment Data'!$V:$V, 'Fund Investment Data'!$C:$C = $C2727, 'Fund Investment Data'!$A:$A &lt; $A2727)),0) + IFERROR(sum(FILTER('Fund Investment Data'!$V:$V, 'Fund Investment Data'!$C:$C = $C2727, 'Fund Investment Data'!$A:$A = $A2"&amp;"727, 'Fund Investment Data'!$B:$B &lt;= $B2727)),0)"),0.0)</f>
        <v>0</v>
      </c>
      <c r="T2727" s="32"/>
      <c r="U2727" s="32"/>
      <c r="V2727" s="32">
        <f>IFERROR(__xludf.DUMMYFUNCTION("$D2727 - IFERROR(FILTER($D:$D,$C:$C = $C2727, $A:$A = $A2727, $B:$B = $B2727 - 1),0)"),0.0)</f>
        <v>0</v>
      </c>
      <c r="W2727" s="93">
        <f>IFERROR(__xludf.DUMMYFUNCTION("$E2727 - IFERROR(FILTER($E:$E,$C:$C = $C2727, $A:$A = $A2727, $B:$B = $B2727 - 1),0)"),0.0)</f>
        <v>0</v>
      </c>
      <c r="X2727" s="91">
        <f>IFERROR(__xludf.DUMMYFUNCTION("iFERROR((FILTER('Fund Investment Data'!$Z:$Z, 'Fund Investment Data'!$C:$C = $C2727, 'Fund Investment Data'!$A:$A = $A2727 - 1, 'Fund Investment Data'!$B:$B = 12) + FILTER('Fund Investment Data'!$AB:$AB, 'Fund Investment Data'!$C:$C = $C2727, 'Fund Invest"&amp;"ment Data'!$A:$A = $A2727 - 1, 'Fund Investment Data'!$B:$B = 12)) * (1 + AVERAGE(FILTER('Inflation Data'!$C:$C,'Inflation Data'!$A:$A = ($A2727 - 2)))) * Parameters!$A$4,0)"),0.0)</f>
        <v>0</v>
      </c>
      <c r="Y2727" s="91">
        <f>IFERROR(__xludf.DUMMYFUNCTION("IFERROR((IFERROR(FILTER('Fund Investment Data'!$P:$P,'Fund Investment Data'!$C:$C = $C2727,'Fund Investment Data'!$A:$A = ($A2727 - 2), 'Fund Investment Data'!$B:$B = 12),0) - SUM(FILTER('Fund Investment Data'!$V:$V, 'Fund Investment Data'!$C:$C = $C2727,"&amp;" 'Fund Investment Data'!$A:$A = ($A2727 - 2), 'Fund Investment Data'!$B:$B &gt; 3)))  * Parameters!$B$4 * (1 - Parameters!$A$4),0)"),0.0)</f>
        <v>0</v>
      </c>
      <c r="Z2727" s="91">
        <f t="shared" si="24"/>
        <v>0</v>
      </c>
      <c r="AA2727" s="91">
        <f>IFERROR(__xludf.DUMMYFUNCTION("((IFERROR((SUM(FILTER('Fund Investment Data'!$V:$V, 'Fund Investment Data'!$C:$C = $C2727, 'Fund Investment Data'!$A:$A = $A2727 - 1, 'Fund Investment Data'!$B:$B &gt;= 4, 'Fund Investment Data'!$B:$B &lt;= ($B2727 + 5))) / 12) * ($B2727 - 3) * Parameters!$B$4,"&amp;" 0) + IF($B2727 &gt;= 9, IFERROR(SUM(FILTER('Fund Investment Data'!$V:$V, 'Fund Investment Data'!$C:$C = $C2727, 'Fund Investment Data'!$A:$A = $A2727, 'Fund Investment Data'!$B:$B &lt;= 3)) * Parameters!$B$4, 0),0)))"),0.0)</f>
        <v>0</v>
      </c>
      <c r="AB2727" s="32">
        <f>IFERROR(__xludf.DUMMYFUNCTION("IFERROR(((IFERROR(SUM(FILTER('Fund Investment Data'!$V:$V, 'Fund Investment Data'!$C:$C = $C2727, 'Fund Investment Data'!$A:$A = $A2727 - 2, 'Fund Investment Data'!$B:$B &gt;= 4)) * Parameters!$B$4,0) + IFERROR(SUM(FILTER('Fund Investment Data'!$V:$V, 'Fund "&amp;"Investment Data'!$C:$C = $C2727, 'Fund Investment Data'!$A:$A = $A2727 - 1, 'Fund Investment Data'!$B:$B &lt;= 3)) * Parameters!$B$4,0))),0)"),0.0)</f>
        <v>0</v>
      </c>
      <c r="AC2727" s="32">
        <f>IFERROR(__xludf.DUMMYFUNCTION("IFERROR(FILTER($AF:$AF,$C:$C = $C2727,$A:$A = $A2727 - 1,$B:$B = 12),0)"),0.0)</f>
        <v>0</v>
      </c>
      <c r="AD2727" s="32">
        <f t="shared" si="23"/>
        <v>0</v>
      </c>
      <c r="AE2727" s="32">
        <f t="shared" si="2"/>
        <v>0</v>
      </c>
      <c r="AF2727" s="32"/>
    </row>
    <row r="2728">
      <c r="A2728" s="86"/>
      <c r="B2728" s="87"/>
      <c r="C2728" s="88"/>
      <c r="D2728" s="104"/>
      <c r="E2728" s="104"/>
      <c r="F2728" s="104"/>
      <c r="G2728" s="104"/>
      <c r="H2728" s="104"/>
      <c r="I2728" s="104"/>
      <c r="J2728" s="104"/>
      <c r="K2728" s="32"/>
      <c r="L2728" s="32"/>
      <c r="M2728" s="32"/>
      <c r="N2728" s="32"/>
      <c r="O2728" s="106"/>
      <c r="P2728" s="91">
        <f>IFERROR(__xludf.DUMMYFUNCTION("IFERROR(sum(FILTER($D:$N,$C:$C = $C2728,$A:$A &lt; $A2728,$B:$B = 12)),0) + sum($D2728:$N2728)"),0.0)</f>
        <v>0</v>
      </c>
      <c r="Q2728" s="92">
        <f t="shared" si="1"/>
        <v>0</v>
      </c>
      <c r="R2728" s="91">
        <f t="array" ref="R2728">IFERROR(INDEX('Fund YTD Target Values'!$1:$1000, MATCH($C2728,'Fund YTD Target Values'!$A:$A,0), MATCH($A2728,'Fund YTD Target Values'!$1:$1,0)),0)</f>
        <v>0</v>
      </c>
      <c r="S2728" s="91">
        <f>IFERROR(__xludf.DUMMYFUNCTION("IFERROR(sum(FILTER('Fund Investment Data'!$V:$V, 'Fund Investment Data'!$C:$C = $C2728, 'Fund Investment Data'!$A:$A &lt; $A2728)),0) + IFERROR(sum(FILTER('Fund Investment Data'!$V:$V, 'Fund Investment Data'!$C:$C = $C2728, 'Fund Investment Data'!$A:$A = $A2"&amp;"728, 'Fund Investment Data'!$B:$B &lt;= $B2728)),0)"),0.0)</f>
        <v>0</v>
      </c>
      <c r="T2728" s="32"/>
      <c r="U2728" s="32"/>
      <c r="V2728" s="32">
        <f>IFERROR(__xludf.DUMMYFUNCTION("$D2728 - IFERROR(FILTER($D:$D,$C:$C = $C2728, $A:$A = $A2728, $B:$B = $B2728 - 1),0)"),0.0)</f>
        <v>0</v>
      </c>
      <c r="W2728" s="93">
        <f>IFERROR(__xludf.DUMMYFUNCTION("$E2728 - IFERROR(FILTER($E:$E,$C:$C = $C2728, $A:$A = $A2728, $B:$B = $B2728 - 1),0)"),0.0)</f>
        <v>0</v>
      </c>
      <c r="X2728" s="91">
        <f>IFERROR(__xludf.DUMMYFUNCTION("iFERROR((FILTER('Fund Investment Data'!$Z:$Z, 'Fund Investment Data'!$C:$C = $C2728, 'Fund Investment Data'!$A:$A = $A2728 - 1, 'Fund Investment Data'!$B:$B = 12) + FILTER('Fund Investment Data'!$AB:$AB, 'Fund Investment Data'!$C:$C = $C2728, 'Fund Invest"&amp;"ment Data'!$A:$A = $A2728 - 1, 'Fund Investment Data'!$B:$B = 12)) * (1 + AVERAGE(FILTER('Inflation Data'!$C:$C,'Inflation Data'!$A:$A = ($A2728 - 2)))) * Parameters!$A$4,0)"),0.0)</f>
        <v>0</v>
      </c>
      <c r="Y2728" s="91">
        <f>IFERROR(__xludf.DUMMYFUNCTION("IFERROR((IFERROR(FILTER('Fund Investment Data'!$P:$P,'Fund Investment Data'!$C:$C = $C2728,'Fund Investment Data'!$A:$A = ($A2728 - 2), 'Fund Investment Data'!$B:$B = 12),0) - SUM(FILTER('Fund Investment Data'!$V:$V, 'Fund Investment Data'!$C:$C = $C2728,"&amp;" 'Fund Investment Data'!$A:$A = ($A2728 - 2), 'Fund Investment Data'!$B:$B &gt; 3)))  * Parameters!$B$4 * (1 - Parameters!$A$4),0)"),0.0)</f>
        <v>0</v>
      </c>
      <c r="Z2728" s="91">
        <f t="shared" si="24"/>
        <v>0</v>
      </c>
      <c r="AA2728" s="91">
        <f>IFERROR(__xludf.DUMMYFUNCTION("((IFERROR((SUM(FILTER('Fund Investment Data'!$V:$V, 'Fund Investment Data'!$C:$C = $C2728, 'Fund Investment Data'!$A:$A = $A2728 - 1, 'Fund Investment Data'!$B:$B &gt;= 4, 'Fund Investment Data'!$B:$B &lt;= ($B2728 + 5))) / 12) * ($B2728 - 3) * Parameters!$B$4,"&amp;" 0) + IF($B2728 &gt;= 9, IFERROR(SUM(FILTER('Fund Investment Data'!$V:$V, 'Fund Investment Data'!$C:$C = $C2728, 'Fund Investment Data'!$A:$A = $A2728, 'Fund Investment Data'!$B:$B &lt;= 3)) * Parameters!$B$4, 0),0)))"),0.0)</f>
        <v>0</v>
      </c>
      <c r="AB2728" s="32">
        <f>IFERROR(__xludf.DUMMYFUNCTION("IFERROR(((IFERROR(SUM(FILTER('Fund Investment Data'!$V:$V, 'Fund Investment Data'!$C:$C = $C2728, 'Fund Investment Data'!$A:$A = $A2728 - 2, 'Fund Investment Data'!$B:$B &gt;= 4)) * Parameters!$B$4,0) + IFERROR(SUM(FILTER('Fund Investment Data'!$V:$V, 'Fund "&amp;"Investment Data'!$C:$C = $C2728, 'Fund Investment Data'!$A:$A = $A2728 - 1, 'Fund Investment Data'!$B:$B &lt;= 3)) * Parameters!$B$4,0))),0)"),0.0)</f>
        <v>0</v>
      </c>
      <c r="AC2728" s="32">
        <f>IFERROR(__xludf.DUMMYFUNCTION("IFERROR(FILTER($AF:$AF,$C:$C = $C2728,$A:$A = $A2728 - 1,$B:$B = 12),0)"),0.0)</f>
        <v>0</v>
      </c>
      <c r="AD2728" s="32">
        <f t="shared" si="23"/>
        <v>0</v>
      </c>
      <c r="AE2728" s="32">
        <f t="shared" si="2"/>
        <v>0</v>
      </c>
      <c r="AF2728" s="32"/>
    </row>
    <row r="2729">
      <c r="A2729" s="86"/>
      <c r="B2729" s="87"/>
      <c r="C2729" s="88"/>
      <c r="D2729" s="104"/>
      <c r="E2729" s="104"/>
      <c r="F2729" s="104"/>
      <c r="G2729" s="104"/>
      <c r="H2729" s="104"/>
      <c r="I2729" s="104"/>
      <c r="J2729" s="104"/>
      <c r="K2729" s="32"/>
      <c r="L2729" s="32"/>
      <c r="M2729" s="32"/>
      <c r="N2729" s="32"/>
      <c r="O2729" s="106"/>
      <c r="P2729" s="91">
        <f>IFERROR(__xludf.DUMMYFUNCTION("IFERROR(sum(FILTER($D:$N,$C:$C = $C2729,$A:$A &lt; $A2729,$B:$B = 12)),0) + sum($D2729:$N2729)"),0.0)</f>
        <v>0</v>
      </c>
      <c r="Q2729" s="92">
        <f t="shared" si="1"/>
        <v>0</v>
      </c>
      <c r="R2729" s="91">
        <f t="array" ref="R2729">IFERROR(INDEX('Fund YTD Target Values'!$1:$1000, MATCH($C2729,'Fund YTD Target Values'!$A:$A,0), MATCH($A2729,'Fund YTD Target Values'!$1:$1,0)),0)</f>
        <v>0</v>
      </c>
      <c r="S2729" s="91">
        <f>IFERROR(__xludf.DUMMYFUNCTION("IFERROR(sum(FILTER('Fund Investment Data'!$V:$V, 'Fund Investment Data'!$C:$C = $C2729, 'Fund Investment Data'!$A:$A &lt; $A2729)),0) + IFERROR(sum(FILTER('Fund Investment Data'!$V:$V, 'Fund Investment Data'!$C:$C = $C2729, 'Fund Investment Data'!$A:$A = $A2"&amp;"729, 'Fund Investment Data'!$B:$B &lt;= $B2729)),0)"),0.0)</f>
        <v>0</v>
      </c>
      <c r="T2729" s="32"/>
      <c r="U2729" s="32"/>
      <c r="V2729" s="32">
        <f>IFERROR(__xludf.DUMMYFUNCTION("$D2729 - IFERROR(FILTER($D:$D,$C:$C = $C2729, $A:$A = $A2729, $B:$B = $B2729 - 1),0)"),0.0)</f>
        <v>0</v>
      </c>
      <c r="W2729" s="93">
        <f>IFERROR(__xludf.DUMMYFUNCTION("$E2729 - IFERROR(FILTER($E:$E,$C:$C = $C2729, $A:$A = $A2729, $B:$B = $B2729 - 1),0)"),0.0)</f>
        <v>0</v>
      </c>
      <c r="X2729" s="91">
        <f>IFERROR(__xludf.DUMMYFUNCTION("iFERROR((FILTER('Fund Investment Data'!$Z:$Z, 'Fund Investment Data'!$C:$C = $C2729, 'Fund Investment Data'!$A:$A = $A2729 - 1, 'Fund Investment Data'!$B:$B = 12) + FILTER('Fund Investment Data'!$AB:$AB, 'Fund Investment Data'!$C:$C = $C2729, 'Fund Invest"&amp;"ment Data'!$A:$A = $A2729 - 1, 'Fund Investment Data'!$B:$B = 12)) * (1 + AVERAGE(FILTER('Inflation Data'!$C:$C,'Inflation Data'!$A:$A = ($A2729 - 2)))) * Parameters!$A$4,0)"),0.0)</f>
        <v>0</v>
      </c>
      <c r="Y2729" s="91">
        <f>IFERROR(__xludf.DUMMYFUNCTION("IFERROR((IFERROR(FILTER('Fund Investment Data'!$P:$P,'Fund Investment Data'!$C:$C = $C2729,'Fund Investment Data'!$A:$A = ($A2729 - 2), 'Fund Investment Data'!$B:$B = 12),0) - SUM(FILTER('Fund Investment Data'!$V:$V, 'Fund Investment Data'!$C:$C = $C2729,"&amp;" 'Fund Investment Data'!$A:$A = ($A2729 - 2), 'Fund Investment Data'!$B:$B &gt; 3)))  * Parameters!$B$4 * (1 - Parameters!$A$4),0)"),0.0)</f>
        <v>0</v>
      </c>
      <c r="Z2729" s="91">
        <f t="shared" si="24"/>
        <v>0</v>
      </c>
      <c r="AA2729" s="91">
        <f>IFERROR(__xludf.DUMMYFUNCTION("((IFERROR((SUM(FILTER('Fund Investment Data'!$V:$V, 'Fund Investment Data'!$C:$C = $C2729, 'Fund Investment Data'!$A:$A = $A2729 - 1, 'Fund Investment Data'!$B:$B &gt;= 4, 'Fund Investment Data'!$B:$B &lt;= ($B2729 + 5))) / 12) * ($B2729 - 3) * Parameters!$B$4,"&amp;" 0) + IF($B2729 &gt;= 9, IFERROR(SUM(FILTER('Fund Investment Data'!$V:$V, 'Fund Investment Data'!$C:$C = $C2729, 'Fund Investment Data'!$A:$A = $A2729, 'Fund Investment Data'!$B:$B &lt;= 3)) * Parameters!$B$4, 0),0)))"),0.0)</f>
        <v>0</v>
      </c>
      <c r="AB2729" s="32">
        <f>IFERROR(__xludf.DUMMYFUNCTION("IFERROR(((IFERROR(SUM(FILTER('Fund Investment Data'!$V:$V, 'Fund Investment Data'!$C:$C = $C2729, 'Fund Investment Data'!$A:$A = $A2729 - 2, 'Fund Investment Data'!$B:$B &gt;= 4)) * Parameters!$B$4,0) + IFERROR(SUM(FILTER('Fund Investment Data'!$V:$V, 'Fund "&amp;"Investment Data'!$C:$C = $C2729, 'Fund Investment Data'!$A:$A = $A2729 - 1, 'Fund Investment Data'!$B:$B &lt;= 3)) * Parameters!$B$4,0))),0)"),0.0)</f>
        <v>0</v>
      </c>
      <c r="AC2729" s="32">
        <f>IFERROR(__xludf.DUMMYFUNCTION("IFERROR(FILTER($AF:$AF,$C:$C = $C2729,$A:$A = $A2729 - 1,$B:$B = 12),0)"),0.0)</f>
        <v>0</v>
      </c>
      <c r="AD2729" s="32">
        <f t="shared" si="23"/>
        <v>0</v>
      </c>
      <c r="AE2729" s="32">
        <f t="shared" si="2"/>
        <v>0</v>
      </c>
      <c r="AF2729" s="32"/>
    </row>
    <row r="2730">
      <c r="A2730" s="86"/>
      <c r="B2730" s="87"/>
      <c r="C2730" s="88"/>
      <c r="D2730" s="104"/>
      <c r="E2730" s="104"/>
      <c r="F2730" s="104"/>
      <c r="G2730" s="104"/>
      <c r="H2730" s="104"/>
      <c r="I2730" s="104"/>
      <c r="J2730" s="104"/>
      <c r="K2730" s="32"/>
      <c r="L2730" s="32"/>
      <c r="M2730" s="32"/>
      <c r="N2730" s="32"/>
      <c r="O2730" s="106"/>
      <c r="P2730" s="91">
        <f>IFERROR(__xludf.DUMMYFUNCTION("IFERROR(sum(FILTER($D:$N,$C:$C = $C2730,$A:$A &lt; $A2730,$B:$B = 12)),0) + sum($D2730:$N2730)"),0.0)</f>
        <v>0</v>
      </c>
      <c r="Q2730" s="92">
        <f t="shared" si="1"/>
        <v>0</v>
      </c>
      <c r="R2730" s="91">
        <f t="array" ref="R2730">IFERROR(INDEX('Fund YTD Target Values'!$1:$1000, MATCH($C2730,'Fund YTD Target Values'!$A:$A,0), MATCH($A2730,'Fund YTD Target Values'!$1:$1,0)),0)</f>
        <v>0</v>
      </c>
      <c r="S2730" s="91">
        <f>IFERROR(__xludf.DUMMYFUNCTION("IFERROR(sum(FILTER('Fund Investment Data'!$V:$V, 'Fund Investment Data'!$C:$C = $C2730, 'Fund Investment Data'!$A:$A &lt; $A2730)),0) + IFERROR(sum(FILTER('Fund Investment Data'!$V:$V, 'Fund Investment Data'!$C:$C = $C2730, 'Fund Investment Data'!$A:$A = $A2"&amp;"730, 'Fund Investment Data'!$B:$B &lt;= $B2730)),0)"),0.0)</f>
        <v>0</v>
      </c>
      <c r="T2730" s="32"/>
      <c r="U2730" s="32"/>
      <c r="V2730" s="32">
        <f>IFERROR(__xludf.DUMMYFUNCTION("$D2730 - IFERROR(FILTER($D:$D,$C:$C = $C2730, $A:$A = $A2730, $B:$B = $B2730 - 1),0)"),0.0)</f>
        <v>0</v>
      </c>
      <c r="W2730" s="93">
        <f>IFERROR(__xludf.DUMMYFUNCTION("$E2730 - IFERROR(FILTER($E:$E,$C:$C = $C2730, $A:$A = $A2730, $B:$B = $B2730 - 1),0)"),0.0)</f>
        <v>0</v>
      </c>
      <c r="X2730" s="91">
        <f>IFERROR(__xludf.DUMMYFUNCTION("iFERROR((FILTER('Fund Investment Data'!$Z:$Z, 'Fund Investment Data'!$C:$C = $C2730, 'Fund Investment Data'!$A:$A = $A2730 - 1, 'Fund Investment Data'!$B:$B = 12) + FILTER('Fund Investment Data'!$AB:$AB, 'Fund Investment Data'!$C:$C = $C2730, 'Fund Invest"&amp;"ment Data'!$A:$A = $A2730 - 1, 'Fund Investment Data'!$B:$B = 12)) * (1 + AVERAGE(FILTER('Inflation Data'!$C:$C,'Inflation Data'!$A:$A = ($A2730 - 2)))) * Parameters!$A$4,0)"),0.0)</f>
        <v>0</v>
      </c>
      <c r="Y2730" s="91">
        <f>IFERROR(__xludf.DUMMYFUNCTION("IFERROR((IFERROR(FILTER('Fund Investment Data'!$P:$P,'Fund Investment Data'!$C:$C = $C2730,'Fund Investment Data'!$A:$A = ($A2730 - 2), 'Fund Investment Data'!$B:$B = 12),0) - SUM(FILTER('Fund Investment Data'!$V:$V, 'Fund Investment Data'!$C:$C = $C2730,"&amp;" 'Fund Investment Data'!$A:$A = ($A2730 - 2), 'Fund Investment Data'!$B:$B &gt; 3)))  * Parameters!$B$4 * (1 - Parameters!$A$4),0)"),0.0)</f>
        <v>0</v>
      </c>
      <c r="Z2730" s="91">
        <f t="shared" si="24"/>
        <v>0</v>
      </c>
      <c r="AA2730" s="91">
        <f>IFERROR(__xludf.DUMMYFUNCTION("((IFERROR((SUM(FILTER('Fund Investment Data'!$V:$V, 'Fund Investment Data'!$C:$C = $C2730, 'Fund Investment Data'!$A:$A = $A2730 - 1, 'Fund Investment Data'!$B:$B &gt;= 4, 'Fund Investment Data'!$B:$B &lt;= ($B2730 + 5))) / 12) * ($B2730 - 3) * Parameters!$B$4,"&amp;" 0) + IF($B2730 &gt;= 9, IFERROR(SUM(FILTER('Fund Investment Data'!$V:$V, 'Fund Investment Data'!$C:$C = $C2730, 'Fund Investment Data'!$A:$A = $A2730, 'Fund Investment Data'!$B:$B &lt;= 3)) * Parameters!$B$4, 0),0)))"),0.0)</f>
        <v>0</v>
      </c>
      <c r="AB2730" s="32">
        <f>IFERROR(__xludf.DUMMYFUNCTION("IFERROR(((IFERROR(SUM(FILTER('Fund Investment Data'!$V:$V, 'Fund Investment Data'!$C:$C = $C2730, 'Fund Investment Data'!$A:$A = $A2730 - 2, 'Fund Investment Data'!$B:$B &gt;= 4)) * Parameters!$B$4,0) + IFERROR(SUM(FILTER('Fund Investment Data'!$V:$V, 'Fund "&amp;"Investment Data'!$C:$C = $C2730, 'Fund Investment Data'!$A:$A = $A2730 - 1, 'Fund Investment Data'!$B:$B &lt;= 3)) * Parameters!$B$4,0))),0)"),0.0)</f>
        <v>0</v>
      </c>
      <c r="AC2730" s="32">
        <f>IFERROR(__xludf.DUMMYFUNCTION("IFERROR(FILTER($AF:$AF,$C:$C = $C2730,$A:$A = $A2730 - 1,$B:$B = 12),0)"),0.0)</f>
        <v>0</v>
      </c>
      <c r="AD2730" s="32">
        <f t="shared" si="23"/>
        <v>0</v>
      </c>
      <c r="AE2730" s="32">
        <f t="shared" si="2"/>
        <v>0</v>
      </c>
      <c r="AF2730" s="32"/>
    </row>
    <row r="2731">
      <c r="A2731" s="86"/>
      <c r="B2731" s="87"/>
      <c r="C2731" s="88"/>
      <c r="D2731" s="104"/>
      <c r="E2731" s="104"/>
      <c r="F2731" s="104"/>
      <c r="G2731" s="104"/>
      <c r="H2731" s="104"/>
      <c r="I2731" s="104"/>
      <c r="J2731" s="104"/>
      <c r="K2731" s="32"/>
      <c r="L2731" s="32"/>
      <c r="M2731" s="32"/>
      <c r="N2731" s="32"/>
      <c r="O2731" s="106"/>
      <c r="P2731" s="91">
        <f>IFERROR(__xludf.DUMMYFUNCTION("IFERROR(sum(FILTER($D:$N,$C:$C = $C2731,$A:$A &lt; $A2731,$B:$B = 12)),0) + sum($D2731:$N2731)"),0.0)</f>
        <v>0</v>
      </c>
      <c r="Q2731" s="92">
        <f t="shared" si="1"/>
        <v>0</v>
      </c>
      <c r="R2731" s="91">
        <f t="array" ref="R2731">IFERROR(INDEX('Fund YTD Target Values'!$1:$1000, MATCH($C2731,'Fund YTD Target Values'!$A:$A,0), MATCH($A2731,'Fund YTD Target Values'!$1:$1,0)),0)</f>
        <v>0</v>
      </c>
      <c r="S2731" s="91">
        <f>IFERROR(__xludf.DUMMYFUNCTION("IFERROR(sum(FILTER('Fund Investment Data'!$V:$V, 'Fund Investment Data'!$C:$C = $C2731, 'Fund Investment Data'!$A:$A &lt; $A2731)),0) + IFERROR(sum(FILTER('Fund Investment Data'!$V:$V, 'Fund Investment Data'!$C:$C = $C2731, 'Fund Investment Data'!$A:$A = $A2"&amp;"731, 'Fund Investment Data'!$B:$B &lt;= $B2731)),0)"),0.0)</f>
        <v>0</v>
      </c>
      <c r="T2731" s="32"/>
      <c r="U2731" s="32"/>
      <c r="V2731" s="32">
        <f>IFERROR(__xludf.DUMMYFUNCTION("$D2731 - IFERROR(FILTER($D:$D,$C:$C = $C2731, $A:$A = $A2731, $B:$B = $B2731 - 1),0)"),0.0)</f>
        <v>0</v>
      </c>
      <c r="W2731" s="93">
        <f>IFERROR(__xludf.DUMMYFUNCTION("$E2731 - IFERROR(FILTER($E:$E,$C:$C = $C2731, $A:$A = $A2731, $B:$B = $B2731 - 1),0)"),0.0)</f>
        <v>0</v>
      </c>
      <c r="X2731" s="91">
        <f>IFERROR(__xludf.DUMMYFUNCTION("iFERROR((FILTER('Fund Investment Data'!$Z:$Z, 'Fund Investment Data'!$C:$C = $C2731, 'Fund Investment Data'!$A:$A = $A2731 - 1, 'Fund Investment Data'!$B:$B = 12) + FILTER('Fund Investment Data'!$AB:$AB, 'Fund Investment Data'!$C:$C = $C2731, 'Fund Invest"&amp;"ment Data'!$A:$A = $A2731 - 1, 'Fund Investment Data'!$B:$B = 12)) * (1 + AVERAGE(FILTER('Inflation Data'!$C:$C,'Inflation Data'!$A:$A = ($A2731 - 2)))) * Parameters!$A$4,0)"),0.0)</f>
        <v>0</v>
      </c>
      <c r="Y2731" s="91">
        <f>IFERROR(__xludf.DUMMYFUNCTION("IFERROR((IFERROR(FILTER('Fund Investment Data'!$P:$P,'Fund Investment Data'!$C:$C = $C2731,'Fund Investment Data'!$A:$A = ($A2731 - 2), 'Fund Investment Data'!$B:$B = 12),0) - SUM(FILTER('Fund Investment Data'!$V:$V, 'Fund Investment Data'!$C:$C = $C2731,"&amp;" 'Fund Investment Data'!$A:$A = ($A2731 - 2), 'Fund Investment Data'!$B:$B &gt; 3)))  * Parameters!$B$4 * (1 - Parameters!$A$4),0)"),0.0)</f>
        <v>0</v>
      </c>
      <c r="Z2731" s="91">
        <f t="shared" si="24"/>
        <v>0</v>
      </c>
      <c r="AA2731" s="91">
        <f>IFERROR(__xludf.DUMMYFUNCTION("((IFERROR((SUM(FILTER('Fund Investment Data'!$V:$V, 'Fund Investment Data'!$C:$C = $C2731, 'Fund Investment Data'!$A:$A = $A2731 - 1, 'Fund Investment Data'!$B:$B &gt;= 4, 'Fund Investment Data'!$B:$B &lt;= ($B2731 + 5))) / 12) * ($B2731 - 3) * Parameters!$B$4,"&amp;" 0) + IF($B2731 &gt;= 9, IFERROR(SUM(FILTER('Fund Investment Data'!$V:$V, 'Fund Investment Data'!$C:$C = $C2731, 'Fund Investment Data'!$A:$A = $A2731, 'Fund Investment Data'!$B:$B &lt;= 3)) * Parameters!$B$4, 0),0)))"),0.0)</f>
        <v>0</v>
      </c>
      <c r="AB2731" s="32">
        <f>IFERROR(__xludf.DUMMYFUNCTION("IFERROR(((IFERROR(SUM(FILTER('Fund Investment Data'!$V:$V, 'Fund Investment Data'!$C:$C = $C2731, 'Fund Investment Data'!$A:$A = $A2731 - 2, 'Fund Investment Data'!$B:$B &gt;= 4)) * Parameters!$B$4,0) + IFERROR(SUM(FILTER('Fund Investment Data'!$V:$V, 'Fund "&amp;"Investment Data'!$C:$C = $C2731, 'Fund Investment Data'!$A:$A = $A2731 - 1, 'Fund Investment Data'!$B:$B &lt;= 3)) * Parameters!$B$4,0))),0)"),0.0)</f>
        <v>0</v>
      </c>
      <c r="AC2731" s="32">
        <f>IFERROR(__xludf.DUMMYFUNCTION("IFERROR(FILTER($AF:$AF,$C:$C = $C2731,$A:$A = $A2731 - 1,$B:$B = 12),0)"),0.0)</f>
        <v>0</v>
      </c>
      <c r="AD2731" s="32">
        <f t="shared" si="23"/>
        <v>0</v>
      </c>
      <c r="AE2731" s="32">
        <f t="shared" si="2"/>
        <v>0</v>
      </c>
      <c r="AF2731" s="32"/>
    </row>
    <row r="2732">
      <c r="A2732" s="86"/>
      <c r="B2732" s="87"/>
      <c r="C2732" s="88"/>
      <c r="D2732" s="104"/>
      <c r="E2732" s="104"/>
      <c r="F2732" s="104"/>
      <c r="G2732" s="104"/>
      <c r="H2732" s="104"/>
      <c r="I2732" s="104"/>
      <c r="J2732" s="104"/>
      <c r="K2732" s="32"/>
      <c r="L2732" s="32"/>
      <c r="M2732" s="32"/>
      <c r="N2732" s="32"/>
      <c r="O2732" s="106"/>
      <c r="P2732" s="91">
        <f>IFERROR(__xludf.DUMMYFUNCTION("IFERROR(sum(FILTER($D:$N,$C:$C = $C2732,$A:$A &lt; $A2732,$B:$B = 12)),0) + sum($D2732:$N2732)"),0.0)</f>
        <v>0</v>
      </c>
      <c r="Q2732" s="92">
        <f t="shared" si="1"/>
        <v>0</v>
      </c>
      <c r="R2732" s="91">
        <f t="array" ref="R2732">IFERROR(INDEX('Fund YTD Target Values'!$1:$1000, MATCH($C2732,'Fund YTD Target Values'!$A:$A,0), MATCH($A2732,'Fund YTD Target Values'!$1:$1,0)),0)</f>
        <v>0</v>
      </c>
      <c r="S2732" s="91">
        <f>IFERROR(__xludf.DUMMYFUNCTION("IFERROR(sum(FILTER('Fund Investment Data'!$V:$V, 'Fund Investment Data'!$C:$C = $C2732, 'Fund Investment Data'!$A:$A &lt; $A2732)),0) + IFERROR(sum(FILTER('Fund Investment Data'!$V:$V, 'Fund Investment Data'!$C:$C = $C2732, 'Fund Investment Data'!$A:$A = $A2"&amp;"732, 'Fund Investment Data'!$B:$B &lt;= $B2732)),0)"),0.0)</f>
        <v>0</v>
      </c>
      <c r="T2732" s="32"/>
      <c r="U2732" s="32"/>
      <c r="V2732" s="32">
        <f>IFERROR(__xludf.DUMMYFUNCTION("$D2732 - IFERROR(FILTER($D:$D,$C:$C = $C2732, $A:$A = $A2732, $B:$B = $B2732 - 1),0)"),0.0)</f>
        <v>0</v>
      </c>
      <c r="W2732" s="93">
        <f>IFERROR(__xludf.DUMMYFUNCTION("$E2732 - IFERROR(FILTER($E:$E,$C:$C = $C2732, $A:$A = $A2732, $B:$B = $B2732 - 1),0)"),0.0)</f>
        <v>0</v>
      </c>
      <c r="X2732" s="91">
        <f>IFERROR(__xludf.DUMMYFUNCTION("iFERROR((FILTER('Fund Investment Data'!$Z:$Z, 'Fund Investment Data'!$C:$C = $C2732, 'Fund Investment Data'!$A:$A = $A2732 - 1, 'Fund Investment Data'!$B:$B = 12) + FILTER('Fund Investment Data'!$AB:$AB, 'Fund Investment Data'!$C:$C = $C2732, 'Fund Invest"&amp;"ment Data'!$A:$A = $A2732 - 1, 'Fund Investment Data'!$B:$B = 12)) * (1 + AVERAGE(FILTER('Inflation Data'!$C:$C,'Inflation Data'!$A:$A = ($A2732 - 2)))) * Parameters!$A$4,0)"),0.0)</f>
        <v>0</v>
      </c>
      <c r="Y2732" s="91">
        <f>IFERROR(__xludf.DUMMYFUNCTION("IFERROR((IFERROR(FILTER('Fund Investment Data'!$P:$P,'Fund Investment Data'!$C:$C = $C2732,'Fund Investment Data'!$A:$A = ($A2732 - 2), 'Fund Investment Data'!$B:$B = 12),0) - SUM(FILTER('Fund Investment Data'!$V:$V, 'Fund Investment Data'!$C:$C = $C2732,"&amp;" 'Fund Investment Data'!$A:$A = ($A2732 - 2), 'Fund Investment Data'!$B:$B &gt; 3)))  * Parameters!$B$4 * (1 - Parameters!$A$4),0)"),0.0)</f>
        <v>0</v>
      </c>
      <c r="Z2732" s="91">
        <f t="shared" si="24"/>
        <v>0</v>
      </c>
      <c r="AA2732" s="91">
        <f>IFERROR(__xludf.DUMMYFUNCTION("((IFERROR((SUM(FILTER('Fund Investment Data'!$V:$V, 'Fund Investment Data'!$C:$C = $C2732, 'Fund Investment Data'!$A:$A = $A2732 - 1, 'Fund Investment Data'!$B:$B &gt;= 4, 'Fund Investment Data'!$B:$B &lt;= ($B2732 + 5))) / 12) * ($B2732 - 3) * Parameters!$B$4,"&amp;" 0) + IF($B2732 &gt;= 9, IFERROR(SUM(FILTER('Fund Investment Data'!$V:$V, 'Fund Investment Data'!$C:$C = $C2732, 'Fund Investment Data'!$A:$A = $A2732, 'Fund Investment Data'!$B:$B &lt;= 3)) * Parameters!$B$4, 0),0)))"),0.0)</f>
        <v>0</v>
      </c>
      <c r="AB2732" s="32">
        <f>IFERROR(__xludf.DUMMYFUNCTION("IFERROR(((IFERROR(SUM(FILTER('Fund Investment Data'!$V:$V, 'Fund Investment Data'!$C:$C = $C2732, 'Fund Investment Data'!$A:$A = $A2732 - 2, 'Fund Investment Data'!$B:$B &gt;= 4)) * Parameters!$B$4,0) + IFERROR(SUM(FILTER('Fund Investment Data'!$V:$V, 'Fund "&amp;"Investment Data'!$C:$C = $C2732, 'Fund Investment Data'!$A:$A = $A2732 - 1, 'Fund Investment Data'!$B:$B &lt;= 3)) * Parameters!$B$4,0))),0)"),0.0)</f>
        <v>0</v>
      </c>
      <c r="AC2732" s="32">
        <f>IFERROR(__xludf.DUMMYFUNCTION("IFERROR(FILTER($AF:$AF,$C:$C = $C2732,$A:$A = $A2732 - 1,$B:$B = 12),0)"),0.0)</f>
        <v>0</v>
      </c>
      <c r="AD2732" s="32">
        <f t="shared" si="23"/>
        <v>0</v>
      </c>
      <c r="AE2732" s="32">
        <f t="shared" si="2"/>
        <v>0</v>
      </c>
      <c r="AF2732" s="32"/>
    </row>
    <row r="2733">
      <c r="A2733" s="86"/>
      <c r="B2733" s="87"/>
      <c r="C2733" s="88"/>
      <c r="D2733" s="104"/>
      <c r="E2733" s="104"/>
      <c r="F2733" s="104"/>
      <c r="G2733" s="104"/>
      <c r="H2733" s="104"/>
      <c r="I2733" s="104"/>
      <c r="J2733" s="104"/>
      <c r="K2733" s="32"/>
      <c r="L2733" s="32"/>
      <c r="M2733" s="32"/>
      <c r="N2733" s="32"/>
      <c r="O2733" s="106"/>
      <c r="P2733" s="91">
        <f>IFERROR(__xludf.DUMMYFUNCTION("IFERROR(sum(FILTER($D:$N,$C:$C = $C2733,$A:$A &lt; $A2733,$B:$B = 12)),0) + sum($D2733:$N2733)"),0.0)</f>
        <v>0</v>
      </c>
      <c r="Q2733" s="92">
        <f t="shared" si="1"/>
        <v>0</v>
      </c>
      <c r="R2733" s="91">
        <f t="array" ref="R2733">IFERROR(INDEX('Fund YTD Target Values'!$1:$1000, MATCH($C2733,'Fund YTD Target Values'!$A:$A,0), MATCH($A2733,'Fund YTD Target Values'!$1:$1,0)),0)</f>
        <v>0</v>
      </c>
      <c r="S2733" s="91">
        <f>IFERROR(__xludf.DUMMYFUNCTION("IFERROR(sum(FILTER('Fund Investment Data'!$V:$V, 'Fund Investment Data'!$C:$C = $C2733, 'Fund Investment Data'!$A:$A &lt; $A2733)),0) + IFERROR(sum(FILTER('Fund Investment Data'!$V:$V, 'Fund Investment Data'!$C:$C = $C2733, 'Fund Investment Data'!$A:$A = $A2"&amp;"733, 'Fund Investment Data'!$B:$B &lt;= $B2733)),0)"),0.0)</f>
        <v>0</v>
      </c>
      <c r="T2733" s="32"/>
      <c r="U2733" s="32"/>
      <c r="V2733" s="32">
        <f>IFERROR(__xludf.DUMMYFUNCTION("$D2733 - IFERROR(FILTER($D:$D,$C:$C = $C2733, $A:$A = $A2733, $B:$B = $B2733 - 1),0)"),0.0)</f>
        <v>0</v>
      </c>
      <c r="W2733" s="93">
        <f>IFERROR(__xludf.DUMMYFUNCTION("$E2733 - IFERROR(FILTER($E:$E,$C:$C = $C2733, $A:$A = $A2733, $B:$B = $B2733 - 1),0)"),0.0)</f>
        <v>0</v>
      </c>
      <c r="X2733" s="91">
        <f>IFERROR(__xludf.DUMMYFUNCTION("iFERROR((FILTER('Fund Investment Data'!$Z:$Z, 'Fund Investment Data'!$C:$C = $C2733, 'Fund Investment Data'!$A:$A = $A2733 - 1, 'Fund Investment Data'!$B:$B = 12) + FILTER('Fund Investment Data'!$AB:$AB, 'Fund Investment Data'!$C:$C = $C2733, 'Fund Invest"&amp;"ment Data'!$A:$A = $A2733 - 1, 'Fund Investment Data'!$B:$B = 12)) * (1 + AVERAGE(FILTER('Inflation Data'!$C:$C,'Inflation Data'!$A:$A = ($A2733 - 2)))) * Parameters!$A$4,0)"),0.0)</f>
        <v>0</v>
      </c>
      <c r="Y2733" s="91">
        <f>IFERROR(__xludf.DUMMYFUNCTION("IFERROR((IFERROR(FILTER('Fund Investment Data'!$P:$P,'Fund Investment Data'!$C:$C = $C2733,'Fund Investment Data'!$A:$A = ($A2733 - 2), 'Fund Investment Data'!$B:$B = 12),0) - SUM(FILTER('Fund Investment Data'!$V:$V, 'Fund Investment Data'!$C:$C = $C2733,"&amp;" 'Fund Investment Data'!$A:$A = ($A2733 - 2), 'Fund Investment Data'!$B:$B &gt; 3)))  * Parameters!$B$4 * (1 - Parameters!$A$4),0)"),0.0)</f>
        <v>0</v>
      </c>
      <c r="Z2733" s="91">
        <f t="shared" si="24"/>
        <v>0</v>
      </c>
      <c r="AA2733" s="91">
        <f>IFERROR(__xludf.DUMMYFUNCTION("((IFERROR((SUM(FILTER('Fund Investment Data'!$V:$V, 'Fund Investment Data'!$C:$C = $C2733, 'Fund Investment Data'!$A:$A = $A2733 - 1, 'Fund Investment Data'!$B:$B &gt;= 4, 'Fund Investment Data'!$B:$B &lt;= ($B2733 + 5))) / 12) * ($B2733 - 3) * Parameters!$B$4,"&amp;" 0) + IF($B2733 &gt;= 9, IFERROR(SUM(FILTER('Fund Investment Data'!$V:$V, 'Fund Investment Data'!$C:$C = $C2733, 'Fund Investment Data'!$A:$A = $A2733, 'Fund Investment Data'!$B:$B &lt;= 3)) * Parameters!$B$4, 0),0)))"),0.0)</f>
        <v>0</v>
      </c>
      <c r="AB2733" s="32">
        <f>IFERROR(__xludf.DUMMYFUNCTION("IFERROR(((IFERROR(SUM(FILTER('Fund Investment Data'!$V:$V, 'Fund Investment Data'!$C:$C = $C2733, 'Fund Investment Data'!$A:$A = $A2733 - 2, 'Fund Investment Data'!$B:$B &gt;= 4)) * Parameters!$B$4,0) + IFERROR(SUM(FILTER('Fund Investment Data'!$V:$V, 'Fund "&amp;"Investment Data'!$C:$C = $C2733, 'Fund Investment Data'!$A:$A = $A2733 - 1, 'Fund Investment Data'!$B:$B &lt;= 3)) * Parameters!$B$4,0))),0)"),0.0)</f>
        <v>0</v>
      </c>
      <c r="AC2733" s="32">
        <f>IFERROR(__xludf.DUMMYFUNCTION("IFERROR(FILTER($AF:$AF,$C:$C = $C2733,$A:$A = $A2733 - 1,$B:$B = 12),0)"),0.0)</f>
        <v>0</v>
      </c>
      <c r="AD2733" s="32">
        <f t="shared" si="23"/>
        <v>0</v>
      </c>
      <c r="AE2733" s="32">
        <f t="shared" si="2"/>
        <v>0</v>
      </c>
      <c r="AF2733" s="32"/>
    </row>
    <row r="2734">
      <c r="A2734" s="86"/>
      <c r="B2734" s="87"/>
      <c r="C2734" s="88"/>
      <c r="D2734" s="104"/>
      <c r="E2734" s="104"/>
      <c r="F2734" s="104"/>
      <c r="G2734" s="104"/>
      <c r="H2734" s="104"/>
      <c r="I2734" s="104"/>
      <c r="J2734" s="104"/>
      <c r="K2734" s="32"/>
      <c r="L2734" s="32"/>
      <c r="M2734" s="32"/>
      <c r="N2734" s="32"/>
      <c r="O2734" s="106"/>
      <c r="P2734" s="91">
        <f>IFERROR(__xludf.DUMMYFUNCTION("IFERROR(sum(FILTER($D:$N,$C:$C = $C2734,$A:$A &lt; $A2734,$B:$B = 12)),0) + sum($D2734:$N2734)"),0.0)</f>
        <v>0</v>
      </c>
      <c r="Q2734" s="92">
        <f t="shared" si="1"/>
        <v>0</v>
      </c>
      <c r="R2734" s="91">
        <f t="array" ref="R2734">IFERROR(INDEX('Fund YTD Target Values'!$1:$1000, MATCH($C2734,'Fund YTD Target Values'!$A:$A,0), MATCH($A2734,'Fund YTD Target Values'!$1:$1,0)),0)</f>
        <v>0</v>
      </c>
      <c r="S2734" s="91">
        <f>IFERROR(__xludf.DUMMYFUNCTION("IFERROR(sum(FILTER('Fund Investment Data'!$V:$V, 'Fund Investment Data'!$C:$C = $C2734, 'Fund Investment Data'!$A:$A &lt; $A2734)),0) + IFERROR(sum(FILTER('Fund Investment Data'!$V:$V, 'Fund Investment Data'!$C:$C = $C2734, 'Fund Investment Data'!$A:$A = $A2"&amp;"734, 'Fund Investment Data'!$B:$B &lt;= $B2734)),0)"),0.0)</f>
        <v>0</v>
      </c>
      <c r="T2734" s="32"/>
      <c r="U2734" s="32"/>
      <c r="V2734" s="32">
        <f>IFERROR(__xludf.DUMMYFUNCTION("$D2734 - IFERROR(FILTER($D:$D,$C:$C = $C2734, $A:$A = $A2734, $B:$B = $B2734 - 1),0)"),0.0)</f>
        <v>0</v>
      </c>
      <c r="W2734" s="93">
        <f>IFERROR(__xludf.DUMMYFUNCTION("$E2734 - IFERROR(FILTER($E:$E,$C:$C = $C2734, $A:$A = $A2734, $B:$B = $B2734 - 1),0)"),0.0)</f>
        <v>0</v>
      </c>
      <c r="X2734" s="91">
        <f>IFERROR(__xludf.DUMMYFUNCTION("iFERROR((FILTER('Fund Investment Data'!$Z:$Z, 'Fund Investment Data'!$C:$C = $C2734, 'Fund Investment Data'!$A:$A = $A2734 - 1, 'Fund Investment Data'!$B:$B = 12) + FILTER('Fund Investment Data'!$AB:$AB, 'Fund Investment Data'!$C:$C = $C2734, 'Fund Invest"&amp;"ment Data'!$A:$A = $A2734 - 1, 'Fund Investment Data'!$B:$B = 12)) * (1 + AVERAGE(FILTER('Inflation Data'!$C:$C,'Inflation Data'!$A:$A = ($A2734 - 2)))) * Parameters!$A$4,0)"),0.0)</f>
        <v>0</v>
      </c>
      <c r="Y2734" s="91">
        <f>IFERROR(__xludf.DUMMYFUNCTION("IFERROR((IFERROR(FILTER('Fund Investment Data'!$P:$P,'Fund Investment Data'!$C:$C = $C2734,'Fund Investment Data'!$A:$A = ($A2734 - 2), 'Fund Investment Data'!$B:$B = 12),0) - SUM(FILTER('Fund Investment Data'!$V:$V, 'Fund Investment Data'!$C:$C = $C2734,"&amp;" 'Fund Investment Data'!$A:$A = ($A2734 - 2), 'Fund Investment Data'!$B:$B &gt; 3)))  * Parameters!$B$4 * (1 - Parameters!$A$4),0)"),0.0)</f>
        <v>0</v>
      </c>
      <c r="Z2734" s="91">
        <f t="shared" si="24"/>
        <v>0</v>
      </c>
      <c r="AA2734" s="91">
        <f>IFERROR(__xludf.DUMMYFUNCTION("((IFERROR((SUM(FILTER('Fund Investment Data'!$V:$V, 'Fund Investment Data'!$C:$C = $C2734, 'Fund Investment Data'!$A:$A = $A2734 - 1, 'Fund Investment Data'!$B:$B &gt;= 4, 'Fund Investment Data'!$B:$B &lt;= ($B2734 + 5))) / 12) * ($B2734 - 3) * Parameters!$B$4,"&amp;" 0) + IF($B2734 &gt;= 9, IFERROR(SUM(FILTER('Fund Investment Data'!$V:$V, 'Fund Investment Data'!$C:$C = $C2734, 'Fund Investment Data'!$A:$A = $A2734, 'Fund Investment Data'!$B:$B &lt;= 3)) * Parameters!$B$4, 0),0)))"),0.0)</f>
        <v>0</v>
      </c>
      <c r="AB2734" s="32">
        <f>IFERROR(__xludf.DUMMYFUNCTION("IFERROR(((IFERROR(SUM(FILTER('Fund Investment Data'!$V:$V, 'Fund Investment Data'!$C:$C = $C2734, 'Fund Investment Data'!$A:$A = $A2734 - 2, 'Fund Investment Data'!$B:$B &gt;= 4)) * Parameters!$B$4,0) + IFERROR(SUM(FILTER('Fund Investment Data'!$V:$V, 'Fund "&amp;"Investment Data'!$C:$C = $C2734, 'Fund Investment Data'!$A:$A = $A2734 - 1, 'Fund Investment Data'!$B:$B &lt;= 3)) * Parameters!$B$4,0))),0)"),0.0)</f>
        <v>0</v>
      </c>
      <c r="AC2734" s="32">
        <f>IFERROR(__xludf.DUMMYFUNCTION("IFERROR(FILTER($AF:$AF,$C:$C = $C2734,$A:$A = $A2734 - 1,$B:$B = 12),0)"),0.0)</f>
        <v>0</v>
      </c>
      <c r="AD2734" s="32">
        <f t="shared" si="23"/>
        <v>0</v>
      </c>
      <c r="AE2734" s="32">
        <f t="shared" si="2"/>
        <v>0</v>
      </c>
      <c r="AF2734" s="32"/>
    </row>
    <row r="2735">
      <c r="A2735" s="86"/>
      <c r="B2735" s="87"/>
      <c r="C2735" s="88"/>
      <c r="D2735" s="104"/>
      <c r="E2735" s="104"/>
      <c r="F2735" s="104"/>
      <c r="G2735" s="104"/>
      <c r="H2735" s="104"/>
      <c r="I2735" s="104"/>
      <c r="J2735" s="104"/>
      <c r="K2735" s="32"/>
      <c r="L2735" s="32"/>
      <c r="M2735" s="32"/>
      <c r="N2735" s="32"/>
      <c r="O2735" s="106"/>
      <c r="P2735" s="91">
        <f>IFERROR(__xludf.DUMMYFUNCTION("IFERROR(sum(FILTER($D:$N,$C:$C = $C2735,$A:$A &lt; $A2735,$B:$B = 12)),0) + sum($D2735:$N2735)"),0.0)</f>
        <v>0</v>
      </c>
      <c r="Q2735" s="92">
        <f t="shared" si="1"/>
        <v>0</v>
      </c>
      <c r="R2735" s="91">
        <f t="array" ref="R2735">IFERROR(INDEX('Fund YTD Target Values'!$1:$1000, MATCH($C2735,'Fund YTD Target Values'!$A:$A,0), MATCH($A2735,'Fund YTD Target Values'!$1:$1,0)),0)</f>
        <v>0</v>
      </c>
      <c r="S2735" s="91">
        <f>IFERROR(__xludf.DUMMYFUNCTION("IFERROR(sum(FILTER('Fund Investment Data'!$V:$V, 'Fund Investment Data'!$C:$C = $C2735, 'Fund Investment Data'!$A:$A &lt; $A2735)),0) + IFERROR(sum(FILTER('Fund Investment Data'!$V:$V, 'Fund Investment Data'!$C:$C = $C2735, 'Fund Investment Data'!$A:$A = $A2"&amp;"735, 'Fund Investment Data'!$B:$B &lt;= $B2735)),0)"),0.0)</f>
        <v>0</v>
      </c>
      <c r="T2735" s="32"/>
      <c r="U2735" s="32"/>
      <c r="V2735" s="32">
        <f>IFERROR(__xludf.DUMMYFUNCTION("$D2735 - IFERROR(FILTER($D:$D,$C:$C = $C2735, $A:$A = $A2735, $B:$B = $B2735 - 1),0)"),0.0)</f>
        <v>0</v>
      </c>
      <c r="W2735" s="93">
        <f>IFERROR(__xludf.DUMMYFUNCTION("$E2735 - IFERROR(FILTER($E:$E,$C:$C = $C2735, $A:$A = $A2735, $B:$B = $B2735 - 1),0)"),0.0)</f>
        <v>0</v>
      </c>
      <c r="X2735" s="91">
        <f>IFERROR(__xludf.DUMMYFUNCTION("iFERROR((FILTER('Fund Investment Data'!$Z:$Z, 'Fund Investment Data'!$C:$C = $C2735, 'Fund Investment Data'!$A:$A = $A2735 - 1, 'Fund Investment Data'!$B:$B = 12) + FILTER('Fund Investment Data'!$AB:$AB, 'Fund Investment Data'!$C:$C = $C2735, 'Fund Invest"&amp;"ment Data'!$A:$A = $A2735 - 1, 'Fund Investment Data'!$B:$B = 12)) * (1 + AVERAGE(FILTER('Inflation Data'!$C:$C,'Inflation Data'!$A:$A = ($A2735 - 2)))) * Parameters!$A$4,0)"),0.0)</f>
        <v>0</v>
      </c>
      <c r="Y2735" s="91">
        <f>IFERROR(__xludf.DUMMYFUNCTION("IFERROR((IFERROR(FILTER('Fund Investment Data'!$P:$P,'Fund Investment Data'!$C:$C = $C2735,'Fund Investment Data'!$A:$A = ($A2735 - 2), 'Fund Investment Data'!$B:$B = 12),0) - SUM(FILTER('Fund Investment Data'!$V:$V, 'Fund Investment Data'!$C:$C = $C2735,"&amp;" 'Fund Investment Data'!$A:$A = ($A2735 - 2), 'Fund Investment Data'!$B:$B &gt; 3)))  * Parameters!$B$4 * (1 - Parameters!$A$4),0)"),0.0)</f>
        <v>0</v>
      </c>
      <c r="Z2735" s="91">
        <f t="shared" si="24"/>
        <v>0</v>
      </c>
      <c r="AA2735" s="91">
        <f>IFERROR(__xludf.DUMMYFUNCTION("((IFERROR((SUM(FILTER('Fund Investment Data'!$V:$V, 'Fund Investment Data'!$C:$C = $C2735, 'Fund Investment Data'!$A:$A = $A2735 - 1, 'Fund Investment Data'!$B:$B &gt;= 4, 'Fund Investment Data'!$B:$B &lt;= ($B2735 + 5))) / 12) * ($B2735 - 3) * Parameters!$B$4,"&amp;" 0) + IF($B2735 &gt;= 9, IFERROR(SUM(FILTER('Fund Investment Data'!$V:$V, 'Fund Investment Data'!$C:$C = $C2735, 'Fund Investment Data'!$A:$A = $A2735, 'Fund Investment Data'!$B:$B &lt;= 3)) * Parameters!$B$4, 0),0)))"),0.0)</f>
        <v>0</v>
      </c>
      <c r="AB2735" s="32">
        <f>IFERROR(__xludf.DUMMYFUNCTION("IFERROR(((IFERROR(SUM(FILTER('Fund Investment Data'!$V:$V, 'Fund Investment Data'!$C:$C = $C2735, 'Fund Investment Data'!$A:$A = $A2735 - 2, 'Fund Investment Data'!$B:$B &gt;= 4)) * Parameters!$B$4,0) + IFERROR(SUM(FILTER('Fund Investment Data'!$V:$V, 'Fund "&amp;"Investment Data'!$C:$C = $C2735, 'Fund Investment Data'!$A:$A = $A2735 - 1, 'Fund Investment Data'!$B:$B &lt;= 3)) * Parameters!$B$4,0))),0)"),0.0)</f>
        <v>0</v>
      </c>
      <c r="AC2735" s="32">
        <f>IFERROR(__xludf.DUMMYFUNCTION("IFERROR(FILTER($AF:$AF,$C:$C = $C2735,$A:$A = $A2735 - 1,$B:$B = 12),0)"),0.0)</f>
        <v>0</v>
      </c>
      <c r="AD2735" s="32">
        <f t="shared" si="23"/>
        <v>0</v>
      </c>
      <c r="AE2735" s="32">
        <f t="shared" si="2"/>
        <v>0</v>
      </c>
      <c r="AF2735" s="32"/>
    </row>
    <row r="2736">
      <c r="A2736" s="86"/>
      <c r="B2736" s="87"/>
      <c r="C2736" s="88"/>
      <c r="D2736" s="104"/>
      <c r="E2736" s="104"/>
      <c r="F2736" s="104"/>
      <c r="G2736" s="104"/>
      <c r="H2736" s="104"/>
      <c r="I2736" s="104"/>
      <c r="J2736" s="104"/>
      <c r="K2736" s="32"/>
      <c r="L2736" s="32"/>
      <c r="M2736" s="32"/>
      <c r="N2736" s="32"/>
      <c r="O2736" s="106"/>
      <c r="P2736" s="91">
        <f>IFERROR(__xludf.DUMMYFUNCTION("IFERROR(sum(FILTER($D:$N,$C:$C = $C2736,$A:$A &lt; $A2736,$B:$B = 12)),0) + sum($D2736:$N2736)"),0.0)</f>
        <v>0</v>
      </c>
      <c r="Q2736" s="92">
        <f t="shared" si="1"/>
        <v>0</v>
      </c>
      <c r="R2736" s="91">
        <f t="array" ref="R2736">IFERROR(INDEX('Fund YTD Target Values'!$1:$1000, MATCH($C2736,'Fund YTD Target Values'!$A:$A,0), MATCH($A2736,'Fund YTD Target Values'!$1:$1,0)),0)</f>
        <v>0</v>
      </c>
      <c r="S2736" s="91">
        <f>IFERROR(__xludf.DUMMYFUNCTION("IFERROR(sum(FILTER('Fund Investment Data'!$V:$V, 'Fund Investment Data'!$C:$C = $C2736, 'Fund Investment Data'!$A:$A &lt; $A2736)),0) + IFERROR(sum(FILTER('Fund Investment Data'!$V:$V, 'Fund Investment Data'!$C:$C = $C2736, 'Fund Investment Data'!$A:$A = $A2"&amp;"736, 'Fund Investment Data'!$B:$B &lt;= $B2736)),0)"),0.0)</f>
        <v>0</v>
      </c>
      <c r="T2736" s="32"/>
      <c r="U2736" s="32"/>
      <c r="V2736" s="32">
        <f>IFERROR(__xludf.DUMMYFUNCTION("$D2736 - IFERROR(FILTER($D:$D,$C:$C = $C2736, $A:$A = $A2736, $B:$B = $B2736 - 1),0)"),0.0)</f>
        <v>0</v>
      </c>
      <c r="W2736" s="93">
        <f>IFERROR(__xludf.DUMMYFUNCTION("$E2736 - IFERROR(FILTER($E:$E,$C:$C = $C2736, $A:$A = $A2736, $B:$B = $B2736 - 1),0)"),0.0)</f>
        <v>0</v>
      </c>
      <c r="X2736" s="91">
        <f>IFERROR(__xludf.DUMMYFUNCTION("iFERROR((FILTER('Fund Investment Data'!$Z:$Z, 'Fund Investment Data'!$C:$C = $C2736, 'Fund Investment Data'!$A:$A = $A2736 - 1, 'Fund Investment Data'!$B:$B = 12) + FILTER('Fund Investment Data'!$AB:$AB, 'Fund Investment Data'!$C:$C = $C2736, 'Fund Invest"&amp;"ment Data'!$A:$A = $A2736 - 1, 'Fund Investment Data'!$B:$B = 12)) * (1 + AVERAGE(FILTER('Inflation Data'!$C:$C,'Inflation Data'!$A:$A = ($A2736 - 2)))) * Parameters!$A$4,0)"),0.0)</f>
        <v>0</v>
      </c>
      <c r="Y2736" s="91">
        <f>IFERROR(__xludf.DUMMYFUNCTION("IFERROR((IFERROR(FILTER('Fund Investment Data'!$P:$P,'Fund Investment Data'!$C:$C = $C2736,'Fund Investment Data'!$A:$A = ($A2736 - 2), 'Fund Investment Data'!$B:$B = 12),0) - SUM(FILTER('Fund Investment Data'!$V:$V, 'Fund Investment Data'!$C:$C = $C2736,"&amp;" 'Fund Investment Data'!$A:$A = ($A2736 - 2), 'Fund Investment Data'!$B:$B &gt; 3)))  * Parameters!$B$4 * (1 - Parameters!$A$4),0)"),0.0)</f>
        <v>0</v>
      </c>
      <c r="Z2736" s="91">
        <f t="shared" si="24"/>
        <v>0</v>
      </c>
      <c r="AA2736" s="91">
        <f>IFERROR(__xludf.DUMMYFUNCTION("((IFERROR((SUM(FILTER('Fund Investment Data'!$V:$V, 'Fund Investment Data'!$C:$C = $C2736, 'Fund Investment Data'!$A:$A = $A2736 - 1, 'Fund Investment Data'!$B:$B &gt;= 4, 'Fund Investment Data'!$B:$B &lt;= ($B2736 + 5))) / 12) * ($B2736 - 3) * Parameters!$B$4,"&amp;" 0) + IF($B2736 &gt;= 9, IFERROR(SUM(FILTER('Fund Investment Data'!$V:$V, 'Fund Investment Data'!$C:$C = $C2736, 'Fund Investment Data'!$A:$A = $A2736, 'Fund Investment Data'!$B:$B &lt;= 3)) * Parameters!$B$4, 0),0)))"),0.0)</f>
        <v>0</v>
      </c>
      <c r="AB2736" s="32">
        <f>IFERROR(__xludf.DUMMYFUNCTION("IFERROR(((IFERROR(SUM(FILTER('Fund Investment Data'!$V:$V, 'Fund Investment Data'!$C:$C = $C2736, 'Fund Investment Data'!$A:$A = $A2736 - 2, 'Fund Investment Data'!$B:$B &gt;= 4)) * Parameters!$B$4,0) + IFERROR(SUM(FILTER('Fund Investment Data'!$V:$V, 'Fund "&amp;"Investment Data'!$C:$C = $C2736, 'Fund Investment Data'!$A:$A = $A2736 - 1, 'Fund Investment Data'!$B:$B &lt;= 3)) * Parameters!$B$4,0))),0)"),0.0)</f>
        <v>0</v>
      </c>
      <c r="AC2736" s="32">
        <f>IFERROR(__xludf.DUMMYFUNCTION("IFERROR(FILTER($AF:$AF,$C:$C = $C2736,$A:$A = $A2736 - 1,$B:$B = 12),0)"),0.0)</f>
        <v>0</v>
      </c>
      <c r="AD2736" s="32">
        <f t="shared" si="23"/>
        <v>0</v>
      </c>
      <c r="AE2736" s="32">
        <f t="shared" si="2"/>
        <v>0</v>
      </c>
      <c r="AF2736" s="32"/>
    </row>
    <row r="2737">
      <c r="A2737" s="86"/>
      <c r="B2737" s="87"/>
      <c r="C2737" s="88"/>
      <c r="D2737" s="104"/>
      <c r="E2737" s="104"/>
      <c r="F2737" s="104"/>
      <c r="G2737" s="104"/>
      <c r="H2737" s="104"/>
      <c r="I2737" s="104"/>
      <c r="J2737" s="104"/>
      <c r="K2737" s="32"/>
      <c r="L2737" s="32"/>
      <c r="M2737" s="32"/>
      <c r="N2737" s="32"/>
      <c r="O2737" s="106"/>
      <c r="P2737" s="91">
        <f>IFERROR(__xludf.DUMMYFUNCTION("IFERROR(sum(FILTER($D:$N,$C:$C = $C2737,$A:$A &lt; $A2737,$B:$B = 12)),0) + sum($D2737:$N2737)"),0.0)</f>
        <v>0</v>
      </c>
      <c r="Q2737" s="92">
        <f t="shared" si="1"/>
        <v>0</v>
      </c>
      <c r="R2737" s="91">
        <f t="array" ref="R2737">IFERROR(INDEX('Fund YTD Target Values'!$1:$1000, MATCH($C2737,'Fund YTD Target Values'!$A:$A,0), MATCH($A2737,'Fund YTD Target Values'!$1:$1,0)),0)</f>
        <v>0</v>
      </c>
      <c r="S2737" s="91">
        <f>IFERROR(__xludf.DUMMYFUNCTION("IFERROR(sum(FILTER('Fund Investment Data'!$V:$V, 'Fund Investment Data'!$C:$C = $C2737, 'Fund Investment Data'!$A:$A &lt; $A2737)),0) + IFERROR(sum(FILTER('Fund Investment Data'!$V:$V, 'Fund Investment Data'!$C:$C = $C2737, 'Fund Investment Data'!$A:$A = $A2"&amp;"737, 'Fund Investment Data'!$B:$B &lt;= $B2737)),0)"),0.0)</f>
        <v>0</v>
      </c>
      <c r="T2737" s="32"/>
      <c r="U2737" s="32"/>
      <c r="V2737" s="32">
        <f>IFERROR(__xludf.DUMMYFUNCTION("$D2737 - IFERROR(FILTER($D:$D,$C:$C = $C2737, $A:$A = $A2737, $B:$B = $B2737 - 1),0)"),0.0)</f>
        <v>0</v>
      </c>
      <c r="W2737" s="93">
        <f>IFERROR(__xludf.DUMMYFUNCTION("$E2737 - IFERROR(FILTER($E:$E,$C:$C = $C2737, $A:$A = $A2737, $B:$B = $B2737 - 1),0)"),0.0)</f>
        <v>0</v>
      </c>
      <c r="X2737" s="91">
        <f>IFERROR(__xludf.DUMMYFUNCTION("iFERROR((FILTER('Fund Investment Data'!$Z:$Z, 'Fund Investment Data'!$C:$C = $C2737, 'Fund Investment Data'!$A:$A = $A2737 - 1, 'Fund Investment Data'!$B:$B = 12) + FILTER('Fund Investment Data'!$AB:$AB, 'Fund Investment Data'!$C:$C = $C2737, 'Fund Invest"&amp;"ment Data'!$A:$A = $A2737 - 1, 'Fund Investment Data'!$B:$B = 12)) * (1 + AVERAGE(FILTER('Inflation Data'!$C:$C,'Inflation Data'!$A:$A = ($A2737 - 2)))) * Parameters!$A$4,0)"),0.0)</f>
        <v>0</v>
      </c>
      <c r="Y2737" s="91">
        <f>IFERROR(__xludf.DUMMYFUNCTION("IFERROR((IFERROR(FILTER('Fund Investment Data'!$P:$P,'Fund Investment Data'!$C:$C = $C2737,'Fund Investment Data'!$A:$A = ($A2737 - 2), 'Fund Investment Data'!$B:$B = 12),0) - SUM(FILTER('Fund Investment Data'!$V:$V, 'Fund Investment Data'!$C:$C = $C2737,"&amp;" 'Fund Investment Data'!$A:$A = ($A2737 - 2), 'Fund Investment Data'!$B:$B &gt; 3)))  * Parameters!$B$4 * (1 - Parameters!$A$4),0)"),0.0)</f>
        <v>0</v>
      </c>
      <c r="Z2737" s="91">
        <f t="shared" si="24"/>
        <v>0</v>
      </c>
      <c r="AA2737" s="91">
        <f>IFERROR(__xludf.DUMMYFUNCTION("((IFERROR((SUM(FILTER('Fund Investment Data'!$V:$V, 'Fund Investment Data'!$C:$C = $C2737, 'Fund Investment Data'!$A:$A = $A2737 - 1, 'Fund Investment Data'!$B:$B &gt;= 4, 'Fund Investment Data'!$B:$B &lt;= ($B2737 + 5))) / 12) * ($B2737 - 3) * Parameters!$B$4,"&amp;" 0) + IF($B2737 &gt;= 9, IFERROR(SUM(FILTER('Fund Investment Data'!$V:$V, 'Fund Investment Data'!$C:$C = $C2737, 'Fund Investment Data'!$A:$A = $A2737, 'Fund Investment Data'!$B:$B &lt;= 3)) * Parameters!$B$4, 0),0)))"),0.0)</f>
        <v>0</v>
      </c>
      <c r="AB2737" s="32">
        <f>IFERROR(__xludf.DUMMYFUNCTION("IFERROR(((IFERROR(SUM(FILTER('Fund Investment Data'!$V:$V, 'Fund Investment Data'!$C:$C = $C2737, 'Fund Investment Data'!$A:$A = $A2737 - 2, 'Fund Investment Data'!$B:$B &gt;= 4)) * Parameters!$B$4,0) + IFERROR(SUM(FILTER('Fund Investment Data'!$V:$V, 'Fund "&amp;"Investment Data'!$C:$C = $C2737, 'Fund Investment Data'!$A:$A = $A2737 - 1, 'Fund Investment Data'!$B:$B &lt;= 3)) * Parameters!$B$4,0))),0)"),0.0)</f>
        <v>0</v>
      </c>
      <c r="AC2737" s="32">
        <f>IFERROR(__xludf.DUMMYFUNCTION("IFERROR(FILTER($AF:$AF,$C:$C = $C2737,$A:$A = $A2737 - 1,$B:$B = 12),0)"),0.0)</f>
        <v>0</v>
      </c>
      <c r="AD2737" s="32">
        <f t="shared" si="23"/>
        <v>0</v>
      </c>
      <c r="AE2737" s="32">
        <f t="shared" si="2"/>
        <v>0</v>
      </c>
      <c r="AF2737" s="32"/>
    </row>
    <row r="2738">
      <c r="A2738" s="86"/>
      <c r="B2738" s="87"/>
      <c r="C2738" s="88"/>
      <c r="D2738" s="104"/>
      <c r="E2738" s="104"/>
      <c r="F2738" s="104"/>
      <c r="G2738" s="104"/>
      <c r="H2738" s="104"/>
      <c r="I2738" s="104"/>
      <c r="J2738" s="104"/>
      <c r="K2738" s="32"/>
      <c r="L2738" s="32"/>
      <c r="M2738" s="32"/>
      <c r="N2738" s="32"/>
      <c r="O2738" s="106"/>
      <c r="P2738" s="91">
        <f>IFERROR(__xludf.DUMMYFUNCTION("IFERROR(sum(FILTER($D:$N,$C:$C = $C2738,$A:$A &lt; $A2738,$B:$B = 12)),0) + sum($D2738:$N2738)"),0.0)</f>
        <v>0</v>
      </c>
      <c r="Q2738" s="92">
        <f t="shared" si="1"/>
        <v>0</v>
      </c>
      <c r="R2738" s="91">
        <f t="array" ref="R2738">IFERROR(INDEX('Fund YTD Target Values'!$1:$1000, MATCH($C2738,'Fund YTD Target Values'!$A:$A,0), MATCH($A2738,'Fund YTD Target Values'!$1:$1,0)),0)</f>
        <v>0</v>
      </c>
      <c r="S2738" s="91">
        <f>IFERROR(__xludf.DUMMYFUNCTION("IFERROR(sum(FILTER('Fund Investment Data'!$V:$V, 'Fund Investment Data'!$C:$C = $C2738, 'Fund Investment Data'!$A:$A &lt; $A2738)),0) + IFERROR(sum(FILTER('Fund Investment Data'!$V:$V, 'Fund Investment Data'!$C:$C = $C2738, 'Fund Investment Data'!$A:$A = $A2"&amp;"738, 'Fund Investment Data'!$B:$B &lt;= $B2738)),0)"),0.0)</f>
        <v>0</v>
      </c>
      <c r="T2738" s="32"/>
      <c r="U2738" s="32"/>
      <c r="V2738" s="32">
        <f>IFERROR(__xludf.DUMMYFUNCTION("$D2738 - IFERROR(FILTER($D:$D,$C:$C = $C2738, $A:$A = $A2738, $B:$B = $B2738 - 1),0)"),0.0)</f>
        <v>0</v>
      </c>
      <c r="W2738" s="93">
        <f>IFERROR(__xludf.DUMMYFUNCTION("$E2738 - IFERROR(FILTER($E:$E,$C:$C = $C2738, $A:$A = $A2738, $B:$B = $B2738 - 1),0)"),0.0)</f>
        <v>0</v>
      </c>
      <c r="X2738" s="91">
        <f>IFERROR(__xludf.DUMMYFUNCTION("iFERROR((FILTER('Fund Investment Data'!$Z:$Z, 'Fund Investment Data'!$C:$C = $C2738, 'Fund Investment Data'!$A:$A = $A2738 - 1, 'Fund Investment Data'!$B:$B = 12) + FILTER('Fund Investment Data'!$AB:$AB, 'Fund Investment Data'!$C:$C = $C2738, 'Fund Invest"&amp;"ment Data'!$A:$A = $A2738 - 1, 'Fund Investment Data'!$B:$B = 12)) * (1 + AVERAGE(FILTER('Inflation Data'!$C:$C,'Inflation Data'!$A:$A = ($A2738 - 2)))) * Parameters!$A$4,0)"),0.0)</f>
        <v>0</v>
      </c>
      <c r="Y2738" s="91">
        <f>IFERROR(__xludf.DUMMYFUNCTION("IFERROR((IFERROR(FILTER('Fund Investment Data'!$P:$P,'Fund Investment Data'!$C:$C = $C2738,'Fund Investment Data'!$A:$A = ($A2738 - 2), 'Fund Investment Data'!$B:$B = 12),0) - SUM(FILTER('Fund Investment Data'!$V:$V, 'Fund Investment Data'!$C:$C = $C2738,"&amp;" 'Fund Investment Data'!$A:$A = ($A2738 - 2), 'Fund Investment Data'!$B:$B &gt; 3)))  * Parameters!$B$4 * (1 - Parameters!$A$4),0)"),0.0)</f>
        <v>0</v>
      </c>
      <c r="Z2738" s="91">
        <f t="shared" si="24"/>
        <v>0</v>
      </c>
      <c r="AA2738" s="91">
        <f>IFERROR(__xludf.DUMMYFUNCTION("((IFERROR((SUM(FILTER('Fund Investment Data'!$V:$V, 'Fund Investment Data'!$C:$C = $C2738, 'Fund Investment Data'!$A:$A = $A2738 - 1, 'Fund Investment Data'!$B:$B &gt;= 4, 'Fund Investment Data'!$B:$B &lt;= ($B2738 + 5))) / 12) * ($B2738 - 3) * Parameters!$B$4,"&amp;" 0) + IF($B2738 &gt;= 9, IFERROR(SUM(FILTER('Fund Investment Data'!$V:$V, 'Fund Investment Data'!$C:$C = $C2738, 'Fund Investment Data'!$A:$A = $A2738, 'Fund Investment Data'!$B:$B &lt;= 3)) * Parameters!$B$4, 0),0)))"),0.0)</f>
        <v>0</v>
      </c>
      <c r="AB2738" s="32">
        <f>IFERROR(__xludf.DUMMYFUNCTION("IFERROR(((IFERROR(SUM(FILTER('Fund Investment Data'!$V:$V, 'Fund Investment Data'!$C:$C = $C2738, 'Fund Investment Data'!$A:$A = $A2738 - 2, 'Fund Investment Data'!$B:$B &gt;= 4)) * Parameters!$B$4,0) + IFERROR(SUM(FILTER('Fund Investment Data'!$V:$V, 'Fund "&amp;"Investment Data'!$C:$C = $C2738, 'Fund Investment Data'!$A:$A = $A2738 - 1, 'Fund Investment Data'!$B:$B &lt;= 3)) * Parameters!$B$4,0))),0)"),0.0)</f>
        <v>0</v>
      </c>
      <c r="AC2738" s="32">
        <f>IFERROR(__xludf.DUMMYFUNCTION("IFERROR(FILTER($AF:$AF,$C:$C = $C2738,$A:$A = $A2738 - 1,$B:$B = 12),0)"),0.0)</f>
        <v>0</v>
      </c>
      <c r="AD2738" s="32">
        <f t="shared" si="23"/>
        <v>0</v>
      </c>
      <c r="AE2738" s="32">
        <f t="shared" si="2"/>
        <v>0</v>
      </c>
      <c r="AF2738" s="32"/>
    </row>
    <row r="2739">
      <c r="A2739" s="86"/>
      <c r="B2739" s="87"/>
      <c r="C2739" s="88"/>
      <c r="D2739" s="104"/>
      <c r="E2739" s="104"/>
      <c r="F2739" s="104"/>
      <c r="G2739" s="104"/>
      <c r="H2739" s="104"/>
      <c r="I2739" s="104"/>
      <c r="J2739" s="104"/>
      <c r="K2739" s="32"/>
      <c r="L2739" s="32"/>
      <c r="M2739" s="32"/>
      <c r="N2739" s="32"/>
      <c r="O2739" s="106"/>
      <c r="P2739" s="91">
        <f>IFERROR(__xludf.DUMMYFUNCTION("IFERROR(sum(FILTER($D:$N,$C:$C = $C2739,$A:$A &lt; $A2739,$B:$B = 12)),0) + sum($D2739:$N2739)"),0.0)</f>
        <v>0</v>
      </c>
      <c r="Q2739" s="92">
        <f t="shared" si="1"/>
        <v>0</v>
      </c>
      <c r="R2739" s="91">
        <f t="array" ref="R2739">IFERROR(INDEX('Fund YTD Target Values'!$1:$1000, MATCH($C2739,'Fund YTD Target Values'!$A:$A,0), MATCH($A2739,'Fund YTD Target Values'!$1:$1,0)),0)</f>
        <v>0</v>
      </c>
      <c r="S2739" s="91">
        <f>IFERROR(__xludf.DUMMYFUNCTION("IFERROR(sum(FILTER('Fund Investment Data'!$V:$V, 'Fund Investment Data'!$C:$C = $C2739, 'Fund Investment Data'!$A:$A &lt; $A2739)),0) + IFERROR(sum(FILTER('Fund Investment Data'!$V:$V, 'Fund Investment Data'!$C:$C = $C2739, 'Fund Investment Data'!$A:$A = $A2"&amp;"739, 'Fund Investment Data'!$B:$B &lt;= $B2739)),0)"),0.0)</f>
        <v>0</v>
      </c>
      <c r="T2739" s="32"/>
      <c r="U2739" s="32"/>
      <c r="V2739" s="32">
        <f>IFERROR(__xludf.DUMMYFUNCTION("$D2739 - IFERROR(FILTER($D:$D,$C:$C = $C2739, $A:$A = $A2739, $B:$B = $B2739 - 1),0)"),0.0)</f>
        <v>0</v>
      </c>
      <c r="W2739" s="93">
        <f>IFERROR(__xludf.DUMMYFUNCTION("$E2739 - IFERROR(FILTER($E:$E,$C:$C = $C2739, $A:$A = $A2739, $B:$B = $B2739 - 1),0)"),0.0)</f>
        <v>0</v>
      </c>
      <c r="X2739" s="91">
        <f>IFERROR(__xludf.DUMMYFUNCTION("iFERROR((FILTER('Fund Investment Data'!$Z:$Z, 'Fund Investment Data'!$C:$C = $C2739, 'Fund Investment Data'!$A:$A = $A2739 - 1, 'Fund Investment Data'!$B:$B = 12) + FILTER('Fund Investment Data'!$AB:$AB, 'Fund Investment Data'!$C:$C = $C2739, 'Fund Invest"&amp;"ment Data'!$A:$A = $A2739 - 1, 'Fund Investment Data'!$B:$B = 12)) * (1 + AVERAGE(FILTER('Inflation Data'!$C:$C,'Inflation Data'!$A:$A = ($A2739 - 2)))) * Parameters!$A$4,0)"),0.0)</f>
        <v>0</v>
      </c>
      <c r="Y2739" s="91">
        <f>IFERROR(__xludf.DUMMYFUNCTION("IFERROR((IFERROR(FILTER('Fund Investment Data'!$P:$P,'Fund Investment Data'!$C:$C = $C2739,'Fund Investment Data'!$A:$A = ($A2739 - 2), 'Fund Investment Data'!$B:$B = 12),0) - SUM(FILTER('Fund Investment Data'!$V:$V, 'Fund Investment Data'!$C:$C = $C2739,"&amp;" 'Fund Investment Data'!$A:$A = ($A2739 - 2), 'Fund Investment Data'!$B:$B &gt; 3)))  * Parameters!$B$4 * (1 - Parameters!$A$4),0)"),0.0)</f>
        <v>0</v>
      </c>
      <c r="Z2739" s="91">
        <f t="shared" si="24"/>
        <v>0</v>
      </c>
      <c r="AA2739" s="91">
        <f>IFERROR(__xludf.DUMMYFUNCTION("((IFERROR((SUM(FILTER('Fund Investment Data'!$V:$V, 'Fund Investment Data'!$C:$C = $C2739, 'Fund Investment Data'!$A:$A = $A2739 - 1, 'Fund Investment Data'!$B:$B &gt;= 4, 'Fund Investment Data'!$B:$B &lt;= ($B2739 + 5))) / 12) * ($B2739 - 3) * Parameters!$B$4,"&amp;" 0) + IF($B2739 &gt;= 9, IFERROR(SUM(FILTER('Fund Investment Data'!$V:$V, 'Fund Investment Data'!$C:$C = $C2739, 'Fund Investment Data'!$A:$A = $A2739, 'Fund Investment Data'!$B:$B &lt;= 3)) * Parameters!$B$4, 0),0)))"),0.0)</f>
        <v>0</v>
      </c>
      <c r="AB2739" s="32">
        <f>IFERROR(__xludf.DUMMYFUNCTION("IFERROR(((IFERROR(SUM(FILTER('Fund Investment Data'!$V:$V, 'Fund Investment Data'!$C:$C = $C2739, 'Fund Investment Data'!$A:$A = $A2739 - 2, 'Fund Investment Data'!$B:$B &gt;= 4)) * Parameters!$B$4,0) + IFERROR(SUM(FILTER('Fund Investment Data'!$V:$V, 'Fund "&amp;"Investment Data'!$C:$C = $C2739, 'Fund Investment Data'!$A:$A = $A2739 - 1, 'Fund Investment Data'!$B:$B &lt;= 3)) * Parameters!$B$4,0))),0)"),0.0)</f>
        <v>0</v>
      </c>
      <c r="AC2739" s="32">
        <f>IFERROR(__xludf.DUMMYFUNCTION("IFERROR(FILTER($AF:$AF,$C:$C = $C2739,$A:$A = $A2739 - 1,$B:$B = 12),0)"),0.0)</f>
        <v>0</v>
      </c>
      <c r="AD2739" s="32">
        <f t="shared" si="23"/>
        <v>0</v>
      </c>
      <c r="AE2739" s="32">
        <f t="shared" si="2"/>
        <v>0</v>
      </c>
      <c r="AF2739" s="32"/>
    </row>
    <row r="2740">
      <c r="A2740" s="86"/>
      <c r="B2740" s="87"/>
      <c r="C2740" s="88"/>
      <c r="D2740" s="104"/>
      <c r="E2740" s="104"/>
      <c r="F2740" s="104"/>
      <c r="G2740" s="104"/>
      <c r="H2740" s="104"/>
      <c r="I2740" s="104"/>
      <c r="J2740" s="104"/>
      <c r="K2740" s="32"/>
      <c r="L2740" s="32"/>
      <c r="M2740" s="32"/>
      <c r="N2740" s="32"/>
      <c r="O2740" s="106"/>
      <c r="P2740" s="91">
        <f>IFERROR(__xludf.DUMMYFUNCTION("IFERROR(sum(FILTER($D:$N,$C:$C = $C2740,$A:$A &lt; $A2740,$B:$B = 12)),0) + sum($D2740:$N2740)"),0.0)</f>
        <v>0</v>
      </c>
      <c r="Q2740" s="92">
        <f t="shared" si="1"/>
        <v>0</v>
      </c>
      <c r="R2740" s="91">
        <f t="array" ref="R2740">IFERROR(INDEX('Fund YTD Target Values'!$1:$1000, MATCH($C2740,'Fund YTD Target Values'!$A:$A,0), MATCH($A2740,'Fund YTD Target Values'!$1:$1,0)),0)</f>
        <v>0</v>
      </c>
      <c r="S2740" s="91">
        <f>IFERROR(__xludf.DUMMYFUNCTION("IFERROR(sum(FILTER('Fund Investment Data'!$V:$V, 'Fund Investment Data'!$C:$C = $C2740, 'Fund Investment Data'!$A:$A &lt; $A2740)),0) + IFERROR(sum(FILTER('Fund Investment Data'!$V:$V, 'Fund Investment Data'!$C:$C = $C2740, 'Fund Investment Data'!$A:$A = $A2"&amp;"740, 'Fund Investment Data'!$B:$B &lt;= $B2740)),0)"),0.0)</f>
        <v>0</v>
      </c>
      <c r="T2740" s="32"/>
      <c r="U2740" s="32"/>
      <c r="V2740" s="32">
        <f>IFERROR(__xludf.DUMMYFUNCTION("$D2740 - IFERROR(FILTER($D:$D,$C:$C = $C2740, $A:$A = $A2740, $B:$B = $B2740 - 1),0)"),0.0)</f>
        <v>0</v>
      </c>
      <c r="W2740" s="93">
        <f>IFERROR(__xludf.DUMMYFUNCTION("$E2740 - IFERROR(FILTER($E:$E,$C:$C = $C2740, $A:$A = $A2740, $B:$B = $B2740 - 1),0)"),0.0)</f>
        <v>0</v>
      </c>
      <c r="X2740" s="91">
        <f>IFERROR(__xludf.DUMMYFUNCTION("iFERROR((FILTER('Fund Investment Data'!$Z:$Z, 'Fund Investment Data'!$C:$C = $C2740, 'Fund Investment Data'!$A:$A = $A2740 - 1, 'Fund Investment Data'!$B:$B = 12) + FILTER('Fund Investment Data'!$AB:$AB, 'Fund Investment Data'!$C:$C = $C2740, 'Fund Invest"&amp;"ment Data'!$A:$A = $A2740 - 1, 'Fund Investment Data'!$B:$B = 12)) * (1 + AVERAGE(FILTER('Inflation Data'!$C:$C,'Inflation Data'!$A:$A = ($A2740 - 2)))) * Parameters!$A$4,0)"),0.0)</f>
        <v>0</v>
      </c>
      <c r="Y2740" s="91">
        <f>IFERROR(__xludf.DUMMYFUNCTION("IFERROR((IFERROR(FILTER('Fund Investment Data'!$P:$P,'Fund Investment Data'!$C:$C = $C2740,'Fund Investment Data'!$A:$A = ($A2740 - 2), 'Fund Investment Data'!$B:$B = 12),0) - SUM(FILTER('Fund Investment Data'!$V:$V, 'Fund Investment Data'!$C:$C = $C2740,"&amp;" 'Fund Investment Data'!$A:$A = ($A2740 - 2), 'Fund Investment Data'!$B:$B &gt; 3)))  * Parameters!$B$4 * (1 - Parameters!$A$4),0)"),0.0)</f>
        <v>0</v>
      </c>
      <c r="Z2740" s="91">
        <f t="shared" si="24"/>
        <v>0</v>
      </c>
      <c r="AA2740" s="91">
        <f>IFERROR(__xludf.DUMMYFUNCTION("((IFERROR((SUM(FILTER('Fund Investment Data'!$V:$V, 'Fund Investment Data'!$C:$C = $C2740, 'Fund Investment Data'!$A:$A = $A2740 - 1, 'Fund Investment Data'!$B:$B &gt;= 4, 'Fund Investment Data'!$B:$B &lt;= ($B2740 + 5))) / 12) * ($B2740 - 3) * Parameters!$B$4,"&amp;" 0) + IF($B2740 &gt;= 9, IFERROR(SUM(FILTER('Fund Investment Data'!$V:$V, 'Fund Investment Data'!$C:$C = $C2740, 'Fund Investment Data'!$A:$A = $A2740, 'Fund Investment Data'!$B:$B &lt;= 3)) * Parameters!$B$4, 0),0)))"),0.0)</f>
        <v>0</v>
      </c>
      <c r="AB2740" s="32">
        <f>IFERROR(__xludf.DUMMYFUNCTION("IFERROR(((IFERROR(SUM(FILTER('Fund Investment Data'!$V:$V, 'Fund Investment Data'!$C:$C = $C2740, 'Fund Investment Data'!$A:$A = $A2740 - 2, 'Fund Investment Data'!$B:$B &gt;= 4)) * Parameters!$B$4,0) + IFERROR(SUM(FILTER('Fund Investment Data'!$V:$V, 'Fund "&amp;"Investment Data'!$C:$C = $C2740, 'Fund Investment Data'!$A:$A = $A2740 - 1, 'Fund Investment Data'!$B:$B &lt;= 3)) * Parameters!$B$4,0))),0)"),0.0)</f>
        <v>0</v>
      </c>
      <c r="AC2740" s="32">
        <f>IFERROR(__xludf.DUMMYFUNCTION("IFERROR(FILTER($AF:$AF,$C:$C = $C2740,$A:$A = $A2740 - 1,$B:$B = 12),0)"),0.0)</f>
        <v>0</v>
      </c>
      <c r="AD2740" s="32">
        <f t="shared" si="23"/>
        <v>0</v>
      </c>
      <c r="AE2740" s="32">
        <f t="shared" si="2"/>
        <v>0</v>
      </c>
      <c r="AF2740" s="32"/>
    </row>
    <row r="2741">
      <c r="A2741" s="86"/>
      <c r="B2741" s="87"/>
      <c r="C2741" s="88"/>
      <c r="D2741" s="104"/>
      <c r="E2741" s="104"/>
      <c r="F2741" s="104"/>
      <c r="G2741" s="104"/>
      <c r="H2741" s="104"/>
      <c r="I2741" s="104"/>
      <c r="J2741" s="104"/>
      <c r="K2741" s="32"/>
      <c r="L2741" s="32"/>
      <c r="M2741" s="32"/>
      <c r="N2741" s="32"/>
      <c r="O2741" s="106"/>
      <c r="P2741" s="91">
        <f>IFERROR(__xludf.DUMMYFUNCTION("IFERROR(sum(FILTER($D:$N,$C:$C = $C2741,$A:$A &lt; $A2741,$B:$B = 12)),0) + sum($D2741:$N2741)"),0.0)</f>
        <v>0</v>
      </c>
      <c r="Q2741" s="92">
        <f t="shared" si="1"/>
        <v>0</v>
      </c>
      <c r="R2741" s="91">
        <f t="array" ref="R2741">IFERROR(INDEX('Fund YTD Target Values'!$1:$1000, MATCH($C2741,'Fund YTD Target Values'!$A:$A,0), MATCH($A2741,'Fund YTD Target Values'!$1:$1,0)),0)</f>
        <v>0</v>
      </c>
      <c r="S2741" s="91">
        <f>IFERROR(__xludf.DUMMYFUNCTION("IFERROR(sum(FILTER('Fund Investment Data'!$V:$V, 'Fund Investment Data'!$C:$C = $C2741, 'Fund Investment Data'!$A:$A &lt; $A2741)),0) + IFERROR(sum(FILTER('Fund Investment Data'!$V:$V, 'Fund Investment Data'!$C:$C = $C2741, 'Fund Investment Data'!$A:$A = $A2"&amp;"741, 'Fund Investment Data'!$B:$B &lt;= $B2741)),0)"),0.0)</f>
        <v>0</v>
      </c>
      <c r="T2741" s="32"/>
      <c r="U2741" s="32"/>
      <c r="V2741" s="32">
        <f>IFERROR(__xludf.DUMMYFUNCTION("$D2741 - IFERROR(FILTER($D:$D,$C:$C = $C2741, $A:$A = $A2741, $B:$B = $B2741 - 1),0)"),0.0)</f>
        <v>0</v>
      </c>
      <c r="W2741" s="93">
        <f>IFERROR(__xludf.DUMMYFUNCTION("$E2741 - IFERROR(FILTER($E:$E,$C:$C = $C2741, $A:$A = $A2741, $B:$B = $B2741 - 1),0)"),0.0)</f>
        <v>0</v>
      </c>
      <c r="X2741" s="91">
        <f>IFERROR(__xludf.DUMMYFUNCTION("iFERROR((FILTER('Fund Investment Data'!$Z:$Z, 'Fund Investment Data'!$C:$C = $C2741, 'Fund Investment Data'!$A:$A = $A2741 - 1, 'Fund Investment Data'!$B:$B = 12) + FILTER('Fund Investment Data'!$AB:$AB, 'Fund Investment Data'!$C:$C = $C2741, 'Fund Invest"&amp;"ment Data'!$A:$A = $A2741 - 1, 'Fund Investment Data'!$B:$B = 12)) * (1 + AVERAGE(FILTER('Inflation Data'!$C:$C,'Inflation Data'!$A:$A = ($A2741 - 2)))) * Parameters!$A$4,0)"),0.0)</f>
        <v>0</v>
      </c>
      <c r="Y2741" s="91">
        <f>IFERROR(__xludf.DUMMYFUNCTION("IFERROR((IFERROR(FILTER('Fund Investment Data'!$P:$P,'Fund Investment Data'!$C:$C = $C2741,'Fund Investment Data'!$A:$A = ($A2741 - 2), 'Fund Investment Data'!$B:$B = 12),0) - SUM(FILTER('Fund Investment Data'!$V:$V, 'Fund Investment Data'!$C:$C = $C2741,"&amp;" 'Fund Investment Data'!$A:$A = ($A2741 - 2), 'Fund Investment Data'!$B:$B &gt; 3)))  * Parameters!$B$4 * (1 - Parameters!$A$4),0)"),0.0)</f>
        <v>0</v>
      </c>
      <c r="Z2741" s="91">
        <f t="shared" si="24"/>
        <v>0</v>
      </c>
      <c r="AA2741" s="91">
        <f>IFERROR(__xludf.DUMMYFUNCTION("((IFERROR((SUM(FILTER('Fund Investment Data'!$V:$V, 'Fund Investment Data'!$C:$C = $C2741, 'Fund Investment Data'!$A:$A = $A2741 - 1, 'Fund Investment Data'!$B:$B &gt;= 4, 'Fund Investment Data'!$B:$B &lt;= ($B2741 + 5))) / 12) * ($B2741 - 3) * Parameters!$B$4,"&amp;" 0) + IF($B2741 &gt;= 9, IFERROR(SUM(FILTER('Fund Investment Data'!$V:$V, 'Fund Investment Data'!$C:$C = $C2741, 'Fund Investment Data'!$A:$A = $A2741, 'Fund Investment Data'!$B:$B &lt;= 3)) * Parameters!$B$4, 0),0)))"),0.0)</f>
        <v>0</v>
      </c>
      <c r="AB2741" s="32">
        <f>IFERROR(__xludf.DUMMYFUNCTION("IFERROR(((IFERROR(SUM(FILTER('Fund Investment Data'!$V:$V, 'Fund Investment Data'!$C:$C = $C2741, 'Fund Investment Data'!$A:$A = $A2741 - 2, 'Fund Investment Data'!$B:$B &gt;= 4)) * Parameters!$B$4,0) + IFERROR(SUM(FILTER('Fund Investment Data'!$V:$V, 'Fund "&amp;"Investment Data'!$C:$C = $C2741, 'Fund Investment Data'!$A:$A = $A2741 - 1, 'Fund Investment Data'!$B:$B &lt;= 3)) * Parameters!$B$4,0))),0)"),0.0)</f>
        <v>0</v>
      </c>
      <c r="AC2741" s="32">
        <f>IFERROR(__xludf.DUMMYFUNCTION("IFERROR(FILTER($AF:$AF,$C:$C = $C2741,$A:$A = $A2741 - 1,$B:$B = 12),0)"),0.0)</f>
        <v>0</v>
      </c>
      <c r="AD2741" s="32">
        <f t="shared" si="23"/>
        <v>0</v>
      </c>
      <c r="AE2741" s="32">
        <f t="shared" si="2"/>
        <v>0</v>
      </c>
      <c r="AF2741" s="32"/>
    </row>
    <row r="2742">
      <c r="A2742" s="86"/>
      <c r="B2742" s="87"/>
      <c r="C2742" s="88"/>
      <c r="D2742" s="104"/>
      <c r="E2742" s="104"/>
      <c r="F2742" s="104"/>
      <c r="G2742" s="104"/>
      <c r="H2742" s="104"/>
      <c r="I2742" s="104"/>
      <c r="J2742" s="104"/>
      <c r="K2742" s="32"/>
      <c r="L2742" s="32"/>
      <c r="M2742" s="32"/>
      <c r="N2742" s="32"/>
      <c r="O2742" s="106"/>
      <c r="P2742" s="91">
        <f>IFERROR(__xludf.DUMMYFUNCTION("IFERROR(sum(FILTER($D:$N,$C:$C = $C2742,$A:$A &lt; $A2742,$B:$B = 12)),0) + sum($D2742:$N2742)"),0.0)</f>
        <v>0</v>
      </c>
      <c r="Q2742" s="92">
        <f t="shared" si="1"/>
        <v>0</v>
      </c>
      <c r="R2742" s="91">
        <f t="array" ref="R2742">IFERROR(INDEX('Fund YTD Target Values'!$1:$1000, MATCH($C2742,'Fund YTD Target Values'!$A:$A,0), MATCH($A2742,'Fund YTD Target Values'!$1:$1,0)),0)</f>
        <v>0</v>
      </c>
      <c r="S2742" s="91">
        <f>IFERROR(__xludf.DUMMYFUNCTION("IFERROR(sum(FILTER('Fund Investment Data'!$V:$V, 'Fund Investment Data'!$C:$C = $C2742, 'Fund Investment Data'!$A:$A &lt; $A2742)),0) + IFERROR(sum(FILTER('Fund Investment Data'!$V:$V, 'Fund Investment Data'!$C:$C = $C2742, 'Fund Investment Data'!$A:$A = $A2"&amp;"742, 'Fund Investment Data'!$B:$B &lt;= $B2742)),0)"),0.0)</f>
        <v>0</v>
      </c>
      <c r="T2742" s="32"/>
      <c r="U2742" s="32"/>
      <c r="V2742" s="32">
        <f>IFERROR(__xludf.DUMMYFUNCTION("$D2742 - IFERROR(FILTER($D:$D,$C:$C = $C2742, $A:$A = $A2742, $B:$B = $B2742 - 1),0)"),0.0)</f>
        <v>0</v>
      </c>
      <c r="W2742" s="93">
        <f>IFERROR(__xludf.DUMMYFUNCTION("$E2742 - IFERROR(FILTER($E:$E,$C:$C = $C2742, $A:$A = $A2742, $B:$B = $B2742 - 1),0)"),0.0)</f>
        <v>0</v>
      </c>
      <c r="X2742" s="91">
        <f>IFERROR(__xludf.DUMMYFUNCTION("iFERROR((FILTER('Fund Investment Data'!$Z:$Z, 'Fund Investment Data'!$C:$C = $C2742, 'Fund Investment Data'!$A:$A = $A2742 - 1, 'Fund Investment Data'!$B:$B = 12) + FILTER('Fund Investment Data'!$AB:$AB, 'Fund Investment Data'!$C:$C = $C2742, 'Fund Invest"&amp;"ment Data'!$A:$A = $A2742 - 1, 'Fund Investment Data'!$B:$B = 12)) * (1 + AVERAGE(FILTER('Inflation Data'!$C:$C,'Inflation Data'!$A:$A = ($A2742 - 2)))) * Parameters!$A$4,0)"),0.0)</f>
        <v>0</v>
      </c>
      <c r="Y2742" s="91">
        <f>IFERROR(__xludf.DUMMYFUNCTION("IFERROR((IFERROR(FILTER('Fund Investment Data'!$P:$P,'Fund Investment Data'!$C:$C = $C2742,'Fund Investment Data'!$A:$A = ($A2742 - 2), 'Fund Investment Data'!$B:$B = 12),0) - SUM(FILTER('Fund Investment Data'!$V:$V, 'Fund Investment Data'!$C:$C = $C2742,"&amp;" 'Fund Investment Data'!$A:$A = ($A2742 - 2), 'Fund Investment Data'!$B:$B &gt; 3)))  * Parameters!$B$4 * (1 - Parameters!$A$4),0)"),0.0)</f>
        <v>0</v>
      </c>
      <c r="Z2742" s="91">
        <f t="shared" si="24"/>
        <v>0</v>
      </c>
      <c r="AA2742" s="91">
        <f>IFERROR(__xludf.DUMMYFUNCTION("((IFERROR((SUM(FILTER('Fund Investment Data'!$V:$V, 'Fund Investment Data'!$C:$C = $C2742, 'Fund Investment Data'!$A:$A = $A2742 - 1, 'Fund Investment Data'!$B:$B &gt;= 4, 'Fund Investment Data'!$B:$B &lt;= ($B2742 + 5))) / 12) * ($B2742 - 3) * Parameters!$B$4,"&amp;" 0) + IF($B2742 &gt;= 9, IFERROR(SUM(FILTER('Fund Investment Data'!$V:$V, 'Fund Investment Data'!$C:$C = $C2742, 'Fund Investment Data'!$A:$A = $A2742, 'Fund Investment Data'!$B:$B &lt;= 3)) * Parameters!$B$4, 0),0)))"),0.0)</f>
        <v>0</v>
      </c>
      <c r="AB2742" s="32">
        <f>IFERROR(__xludf.DUMMYFUNCTION("IFERROR(((IFERROR(SUM(FILTER('Fund Investment Data'!$V:$V, 'Fund Investment Data'!$C:$C = $C2742, 'Fund Investment Data'!$A:$A = $A2742 - 2, 'Fund Investment Data'!$B:$B &gt;= 4)) * Parameters!$B$4,0) + IFERROR(SUM(FILTER('Fund Investment Data'!$V:$V, 'Fund "&amp;"Investment Data'!$C:$C = $C2742, 'Fund Investment Data'!$A:$A = $A2742 - 1, 'Fund Investment Data'!$B:$B &lt;= 3)) * Parameters!$B$4,0))),0)"),0.0)</f>
        <v>0</v>
      </c>
      <c r="AC2742" s="32">
        <f>IFERROR(__xludf.DUMMYFUNCTION("IFERROR(FILTER($AF:$AF,$C:$C = $C2742,$A:$A = $A2742 - 1,$B:$B = 12),0)"),0.0)</f>
        <v>0</v>
      </c>
      <c r="AD2742" s="32">
        <f t="shared" si="23"/>
        <v>0</v>
      </c>
      <c r="AE2742" s="32">
        <f t="shared" si="2"/>
        <v>0</v>
      </c>
      <c r="AF2742" s="32"/>
    </row>
    <row r="2743">
      <c r="A2743" s="86"/>
      <c r="B2743" s="87"/>
      <c r="C2743" s="88"/>
      <c r="D2743" s="104"/>
      <c r="E2743" s="104"/>
      <c r="F2743" s="104"/>
      <c r="G2743" s="104"/>
      <c r="H2743" s="104"/>
      <c r="I2743" s="104"/>
      <c r="J2743" s="104"/>
      <c r="K2743" s="32"/>
      <c r="L2743" s="32"/>
      <c r="M2743" s="32"/>
      <c r="N2743" s="32"/>
      <c r="O2743" s="106"/>
      <c r="P2743" s="91">
        <f>IFERROR(__xludf.DUMMYFUNCTION("IFERROR(sum(FILTER($D:$N,$C:$C = $C2743,$A:$A &lt; $A2743,$B:$B = 12)),0) + sum($D2743:$N2743)"),0.0)</f>
        <v>0</v>
      </c>
      <c r="Q2743" s="92">
        <f t="shared" si="1"/>
        <v>0</v>
      </c>
      <c r="R2743" s="91">
        <f t="array" ref="R2743">IFERROR(INDEX('Fund YTD Target Values'!$1:$1000, MATCH($C2743,'Fund YTD Target Values'!$A:$A,0), MATCH($A2743,'Fund YTD Target Values'!$1:$1,0)),0)</f>
        <v>0</v>
      </c>
      <c r="S2743" s="91">
        <f>IFERROR(__xludf.DUMMYFUNCTION("IFERROR(sum(FILTER('Fund Investment Data'!$V:$V, 'Fund Investment Data'!$C:$C = $C2743, 'Fund Investment Data'!$A:$A &lt; $A2743)),0) + IFERROR(sum(FILTER('Fund Investment Data'!$V:$V, 'Fund Investment Data'!$C:$C = $C2743, 'Fund Investment Data'!$A:$A = $A2"&amp;"743, 'Fund Investment Data'!$B:$B &lt;= $B2743)),0)"),0.0)</f>
        <v>0</v>
      </c>
      <c r="T2743" s="32"/>
      <c r="U2743" s="32"/>
      <c r="V2743" s="32">
        <f>IFERROR(__xludf.DUMMYFUNCTION("$D2743 - IFERROR(FILTER($D:$D,$C:$C = $C2743, $A:$A = $A2743, $B:$B = $B2743 - 1),0)"),0.0)</f>
        <v>0</v>
      </c>
      <c r="W2743" s="93">
        <f>IFERROR(__xludf.DUMMYFUNCTION("$E2743 - IFERROR(FILTER($E:$E,$C:$C = $C2743, $A:$A = $A2743, $B:$B = $B2743 - 1),0)"),0.0)</f>
        <v>0</v>
      </c>
      <c r="X2743" s="91">
        <f>IFERROR(__xludf.DUMMYFUNCTION("iFERROR((FILTER('Fund Investment Data'!$Z:$Z, 'Fund Investment Data'!$C:$C = $C2743, 'Fund Investment Data'!$A:$A = $A2743 - 1, 'Fund Investment Data'!$B:$B = 12) + FILTER('Fund Investment Data'!$AB:$AB, 'Fund Investment Data'!$C:$C = $C2743, 'Fund Invest"&amp;"ment Data'!$A:$A = $A2743 - 1, 'Fund Investment Data'!$B:$B = 12)) * (1 + AVERAGE(FILTER('Inflation Data'!$C:$C,'Inflation Data'!$A:$A = ($A2743 - 2)))) * Parameters!$A$4,0)"),0.0)</f>
        <v>0</v>
      </c>
      <c r="Y2743" s="91">
        <f>IFERROR(__xludf.DUMMYFUNCTION("IFERROR((IFERROR(FILTER('Fund Investment Data'!$P:$P,'Fund Investment Data'!$C:$C = $C2743,'Fund Investment Data'!$A:$A = ($A2743 - 2), 'Fund Investment Data'!$B:$B = 12),0) - SUM(FILTER('Fund Investment Data'!$V:$V, 'Fund Investment Data'!$C:$C = $C2743,"&amp;" 'Fund Investment Data'!$A:$A = ($A2743 - 2), 'Fund Investment Data'!$B:$B &gt; 3)))  * Parameters!$B$4 * (1 - Parameters!$A$4),0)"),0.0)</f>
        <v>0</v>
      </c>
      <c r="Z2743" s="91">
        <f t="shared" si="24"/>
        <v>0</v>
      </c>
      <c r="AA2743" s="91">
        <f>IFERROR(__xludf.DUMMYFUNCTION("((IFERROR((SUM(FILTER('Fund Investment Data'!$V:$V, 'Fund Investment Data'!$C:$C = $C2743, 'Fund Investment Data'!$A:$A = $A2743 - 1, 'Fund Investment Data'!$B:$B &gt;= 4, 'Fund Investment Data'!$B:$B &lt;= ($B2743 + 5))) / 12) * ($B2743 - 3) * Parameters!$B$4,"&amp;" 0) + IF($B2743 &gt;= 9, IFERROR(SUM(FILTER('Fund Investment Data'!$V:$V, 'Fund Investment Data'!$C:$C = $C2743, 'Fund Investment Data'!$A:$A = $A2743, 'Fund Investment Data'!$B:$B &lt;= 3)) * Parameters!$B$4, 0),0)))"),0.0)</f>
        <v>0</v>
      </c>
      <c r="AB2743" s="32">
        <f>IFERROR(__xludf.DUMMYFUNCTION("IFERROR(((IFERROR(SUM(FILTER('Fund Investment Data'!$V:$V, 'Fund Investment Data'!$C:$C = $C2743, 'Fund Investment Data'!$A:$A = $A2743 - 2, 'Fund Investment Data'!$B:$B &gt;= 4)) * Parameters!$B$4,0) + IFERROR(SUM(FILTER('Fund Investment Data'!$V:$V, 'Fund "&amp;"Investment Data'!$C:$C = $C2743, 'Fund Investment Data'!$A:$A = $A2743 - 1, 'Fund Investment Data'!$B:$B &lt;= 3)) * Parameters!$B$4,0))),0)"),0.0)</f>
        <v>0</v>
      </c>
      <c r="AC2743" s="32">
        <f>IFERROR(__xludf.DUMMYFUNCTION("IFERROR(FILTER($AF:$AF,$C:$C = $C2743,$A:$A = $A2743 - 1,$B:$B = 12),0)"),0.0)</f>
        <v>0</v>
      </c>
      <c r="AD2743" s="32">
        <f t="shared" si="23"/>
        <v>0</v>
      </c>
      <c r="AE2743" s="32">
        <f t="shared" si="2"/>
        <v>0</v>
      </c>
      <c r="AF2743" s="32"/>
    </row>
    <row r="2744">
      <c r="A2744" s="86"/>
      <c r="B2744" s="87"/>
      <c r="C2744" s="88"/>
      <c r="D2744" s="104"/>
      <c r="E2744" s="104"/>
      <c r="F2744" s="104"/>
      <c r="G2744" s="104"/>
      <c r="H2744" s="104"/>
      <c r="I2744" s="104"/>
      <c r="J2744" s="104"/>
      <c r="K2744" s="32"/>
      <c r="L2744" s="32"/>
      <c r="M2744" s="32"/>
      <c r="N2744" s="32"/>
      <c r="O2744" s="106"/>
      <c r="P2744" s="91">
        <f>IFERROR(__xludf.DUMMYFUNCTION("IFERROR(sum(FILTER($D:$N,$C:$C = $C2744,$A:$A &lt; $A2744,$B:$B = 12)),0) + sum($D2744:$N2744)"),0.0)</f>
        <v>0</v>
      </c>
      <c r="Q2744" s="92">
        <f t="shared" si="1"/>
        <v>0</v>
      </c>
      <c r="R2744" s="91">
        <f t="array" ref="R2744">IFERROR(INDEX('Fund YTD Target Values'!$1:$1000, MATCH($C2744,'Fund YTD Target Values'!$A:$A,0), MATCH($A2744,'Fund YTD Target Values'!$1:$1,0)),0)</f>
        <v>0</v>
      </c>
      <c r="S2744" s="91">
        <f>IFERROR(__xludf.DUMMYFUNCTION("IFERROR(sum(FILTER('Fund Investment Data'!$V:$V, 'Fund Investment Data'!$C:$C = $C2744, 'Fund Investment Data'!$A:$A &lt; $A2744)),0) + IFERROR(sum(FILTER('Fund Investment Data'!$V:$V, 'Fund Investment Data'!$C:$C = $C2744, 'Fund Investment Data'!$A:$A = $A2"&amp;"744, 'Fund Investment Data'!$B:$B &lt;= $B2744)),0)"),0.0)</f>
        <v>0</v>
      </c>
      <c r="T2744" s="32"/>
      <c r="U2744" s="32"/>
      <c r="V2744" s="32">
        <f>IFERROR(__xludf.DUMMYFUNCTION("$D2744 - IFERROR(FILTER($D:$D,$C:$C = $C2744, $A:$A = $A2744, $B:$B = $B2744 - 1),0)"),0.0)</f>
        <v>0</v>
      </c>
      <c r="W2744" s="93">
        <f>IFERROR(__xludf.DUMMYFUNCTION("$E2744 - IFERROR(FILTER($E:$E,$C:$C = $C2744, $A:$A = $A2744, $B:$B = $B2744 - 1),0)"),0.0)</f>
        <v>0</v>
      </c>
      <c r="X2744" s="91">
        <f>IFERROR(__xludf.DUMMYFUNCTION("iFERROR((FILTER('Fund Investment Data'!$Z:$Z, 'Fund Investment Data'!$C:$C = $C2744, 'Fund Investment Data'!$A:$A = $A2744 - 1, 'Fund Investment Data'!$B:$B = 12) + FILTER('Fund Investment Data'!$AB:$AB, 'Fund Investment Data'!$C:$C = $C2744, 'Fund Invest"&amp;"ment Data'!$A:$A = $A2744 - 1, 'Fund Investment Data'!$B:$B = 12)) * (1 + AVERAGE(FILTER('Inflation Data'!$C:$C,'Inflation Data'!$A:$A = ($A2744 - 2)))) * Parameters!$A$4,0)"),0.0)</f>
        <v>0</v>
      </c>
      <c r="Y2744" s="91">
        <f>IFERROR(__xludf.DUMMYFUNCTION("IFERROR((IFERROR(FILTER('Fund Investment Data'!$P:$P,'Fund Investment Data'!$C:$C = $C2744,'Fund Investment Data'!$A:$A = ($A2744 - 2), 'Fund Investment Data'!$B:$B = 12),0) - SUM(FILTER('Fund Investment Data'!$V:$V, 'Fund Investment Data'!$C:$C = $C2744,"&amp;" 'Fund Investment Data'!$A:$A = ($A2744 - 2), 'Fund Investment Data'!$B:$B &gt; 3)))  * Parameters!$B$4 * (1 - Parameters!$A$4),0)"),0.0)</f>
        <v>0</v>
      </c>
      <c r="Z2744" s="91">
        <f t="shared" si="24"/>
        <v>0</v>
      </c>
      <c r="AA2744" s="91">
        <f>IFERROR(__xludf.DUMMYFUNCTION("((IFERROR((SUM(FILTER('Fund Investment Data'!$V:$V, 'Fund Investment Data'!$C:$C = $C2744, 'Fund Investment Data'!$A:$A = $A2744 - 1, 'Fund Investment Data'!$B:$B &gt;= 4, 'Fund Investment Data'!$B:$B &lt;= ($B2744 + 5))) / 12) * ($B2744 - 3) * Parameters!$B$4,"&amp;" 0) + IF($B2744 &gt;= 9, IFERROR(SUM(FILTER('Fund Investment Data'!$V:$V, 'Fund Investment Data'!$C:$C = $C2744, 'Fund Investment Data'!$A:$A = $A2744, 'Fund Investment Data'!$B:$B &lt;= 3)) * Parameters!$B$4, 0),0)))"),0.0)</f>
        <v>0</v>
      </c>
      <c r="AB2744" s="32">
        <f>IFERROR(__xludf.DUMMYFUNCTION("IFERROR(((IFERROR(SUM(FILTER('Fund Investment Data'!$V:$V, 'Fund Investment Data'!$C:$C = $C2744, 'Fund Investment Data'!$A:$A = $A2744 - 2, 'Fund Investment Data'!$B:$B &gt;= 4)) * Parameters!$B$4,0) + IFERROR(SUM(FILTER('Fund Investment Data'!$V:$V, 'Fund "&amp;"Investment Data'!$C:$C = $C2744, 'Fund Investment Data'!$A:$A = $A2744 - 1, 'Fund Investment Data'!$B:$B &lt;= 3)) * Parameters!$B$4,0))),0)"),0.0)</f>
        <v>0</v>
      </c>
      <c r="AC2744" s="32">
        <f>IFERROR(__xludf.DUMMYFUNCTION("IFERROR(FILTER($AF:$AF,$C:$C = $C2744,$A:$A = $A2744 - 1,$B:$B = 12),0)"),0.0)</f>
        <v>0</v>
      </c>
      <c r="AD2744" s="32">
        <f t="shared" si="23"/>
        <v>0</v>
      </c>
      <c r="AE2744" s="32">
        <f t="shared" si="2"/>
        <v>0</v>
      </c>
      <c r="AF2744" s="32"/>
    </row>
    <row r="2745">
      <c r="A2745" s="86"/>
      <c r="B2745" s="87"/>
      <c r="C2745" s="88"/>
      <c r="D2745" s="104"/>
      <c r="E2745" s="104"/>
      <c r="F2745" s="104"/>
      <c r="G2745" s="104"/>
      <c r="H2745" s="104"/>
      <c r="I2745" s="104"/>
      <c r="J2745" s="104"/>
      <c r="K2745" s="32"/>
      <c r="L2745" s="32"/>
      <c r="M2745" s="32"/>
      <c r="N2745" s="32"/>
      <c r="O2745" s="106"/>
      <c r="P2745" s="91">
        <f>IFERROR(__xludf.DUMMYFUNCTION("IFERROR(sum(FILTER($D:$N,$C:$C = $C2745,$A:$A &lt; $A2745,$B:$B = 12)),0) + sum($D2745:$N2745)"),0.0)</f>
        <v>0</v>
      </c>
      <c r="Q2745" s="92">
        <f t="shared" si="1"/>
        <v>0</v>
      </c>
      <c r="R2745" s="91">
        <f t="array" ref="R2745">IFERROR(INDEX('Fund YTD Target Values'!$1:$1000, MATCH($C2745,'Fund YTD Target Values'!$A:$A,0), MATCH($A2745,'Fund YTD Target Values'!$1:$1,0)),0)</f>
        <v>0</v>
      </c>
      <c r="S2745" s="91">
        <f>IFERROR(__xludf.DUMMYFUNCTION("IFERROR(sum(FILTER('Fund Investment Data'!$V:$V, 'Fund Investment Data'!$C:$C = $C2745, 'Fund Investment Data'!$A:$A &lt; $A2745)),0) + IFERROR(sum(FILTER('Fund Investment Data'!$V:$V, 'Fund Investment Data'!$C:$C = $C2745, 'Fund Investment Data'!$A:$A = $A2"&amp;"745, 'Fund Investment Data'!$B:$B &lt;= $B2745)),0)"),0.0)</f>
        <v>0</v>
      </c>
      <c r="T2745" s="32"/>
      <c r="U2745" s="32"/>
      <c r="V2745" s="32">
        <f>IFERROR(__xludf.DUMMYFUNCTION("$D2745 - IFERROR(FILTER($D:$D,$C:$C = $C2745, $A:$A = $A2745, $B:$B = $B2745 - 1),0)"),0.0)</f>
        <v>0</v>
      </c>
      <c r="W2745" s="93">
        <f>IFERROR(__xludf.DUMMYFUNCTION("$E2745 - IFERROR(FILTER($E:$E,$C:$C = $C2745, $A:$A = $A2745, $B:$B = $B2745 - 1),0)"),0.0)</f>
        <v>0</v>
      </c>
      <c r="X2745" s="91">
        <f>IFERROR(__xludf.DUMMYFUNCTION("iFERROR((FILTER('Fund Investment Data'!$Z:$Z, 'Fund Investment Data'!$C:$C = $C2745, 'Fund Investment Data'!$A:$A = $A2745 - 1, 'Fund Investment Data'!$B:$B = 12) + FILTER('Fund Investment Data'!$AB:$AB, 'Fund Investment Data'!$C:$C = $C2745, 'Fund Invest"&amp;"ment Data'!$A:$A = $A2745 - 1, 'Fund Investment Data'!$B:$B = 12)) * (1 + AVERAGE(FILTER('Inflation Data'!$C:$C,'Inflation Data'!$A:$A = ($A2745 - 2)))) * Parameters!$A$4,0)"),0.0)</f>
        <v>0</v>
      </c>
      <c r="Y2745" s="91">
        <f>IFERROR(__xludf.DUMMYFUNCTION("IFERROR((IFERROR(FILTER('Fund Investment Data'!$P:$P,'Fund Investment Data'!$C:$C = $C2745,'Fund Investment Data'!$A:$A = ($A2745 - 2), 'Fund Investment Data'!$B:$B = 12),0) - SUM(FILTER('Fund Investment Data'!$V:$V, 'Fund Investment Data'!$C:$C = $C2745,"&amp;" 'Fund Investment Data'!$A:$A = ($A2745 - 2), 'Fund Investment Data'!$B:$B &gt; 3)))  * Parameters!$B$4 * (1 - Parameters!$A$4),0)"),0.0)</f>
        <v>0</v>
      </c>
      <c r="Z2745" s="91">
        <f t="shared" si="24"/>
        <v>0</v>
      </c>
      <c r="AA2745" s="91">
        <f>IFERROR(__xludf.DUMMYFUNCTION("((IFERROR((SUM(FILTER('Fund Investment Data'!$V:$V, 'Fund Investment Data'!$C:$C = $C2745, 'Fund Investment Data'!$A:$A = $A2745 - 1, 'Fund Investment Data'!$B:$B &gt;= 4, 'Fund Investment Data'!$B:$B &lt;= ($B2745 + 5))) / 12) * ($B2745 - 3) * Parameters!$B$4,"&amp;" 0) + IF($B2745 &gt;= 9, IFERROR(SUM(FILTER('Fund Investment Data'!$V:$V, 'Fund Investment Data'!$C:$C = $C2745, 'Fund Investment Data'!$A:$A = $A2745, 'Fund Investment Data'!$B:$B &lt;= 3)) * Parameters!$B$4, 0),0)))"),0.0)</f>
        <v>0</v>
      </c>
      <c r="AB2745" s="32">
        <f>IFERROR(__xludf.DUMMYFUNCTION("IFERROR(((IFERROR(SUM(FILTER('Fund Investment Data'!$V:$V, 'Fund Investment Data'!$C:$C = $C2745, 'Fund Investment Data'!$A:$A = $A2745 - 2, 'Fund Investment Data'!$B:$B &gt;= 4)) * Parameters!$B$4,0) + IFERROR(SUM(FILTER('Fund Investment Data'!$V:$V, 'Fund "&amp;"Investment Data'!$C:$C = $C2745, 'Fund Investment Data'!$A:$A = $A2745 - 1, 'Fund Investment Data'!$B:$B &lt;= 3)) * Parameters!$B$4,0))),0)"),0.0)</f>
        <v>0</v>
      </c>
      <c r="AC2745" s="32">
        <f>IFERROR(__xludf.DUMMYFUNCTION("IFERROR(FILTER($AF:$AF,$C:$C = $C2745,$A:$A = $A2745 - 1,$B:$B = 12),0)"),0.0)</f>
        <v>0</v>
      </c>
      <c r="AD2745" s="32">
        <f t="shared" si="23"/>
        <v>0</v>
      </c>
      <c r="AE2745" s="32">
        <f t="shared" si="2"/>
        <v>0</v>
      </c>
      <c r="AF2745" s="32"/>
    </row>
    <row r="2746">
      <c r="A2746" s="86"/>
      <c r="B2746" s="87"/>
      <c r="C2746" s="88"/>
      <c r="D2746" s="104"/>
      <c r="E2746" s="104"/>
      <c r="F2746" s="104"/>
      <c r="G2746" s="104"/>
      <c r="H2746" s="104"/>
      <c r="I2746" s="104"/>
      <c r="J2746" s="104"/>
      <c r="K2746" s="32"/>
      <c r="L2746" s="32"/>
      <c r="M2746" s="32"/>
      <c r="N2746" s="32"/>
      <c r="O2746" s="106"/>
      <c r="P2746" s="91">
        <f>IFERROR(__xludf.DUMMYFUNCTION("IFERROR(sum(FILTER($D:$N,$C:$C = $C2746,$A:$A &lt; $A2746,$B:$B = 12)),0) + sum($D2746:$N2746)"),0.0)</f>
        <v>0</v>
      </c>
      <c r="Q2746" s="92">
        <f t="shared" si="1"/>
        <v>0</v>
      </c>
      <c r="R2746" s="91">
        <f t="array" ref="R2746">IFERROR(INDEX('Fund YTD Target Values'!$1:$1000, MATCH($C2746,'Fund YTD Target Values'!$A:$A,0), MATCH($A2746,'Fund YTD Target Values'!$1:$1,0)),0)</f>
        <v>0</v>
      </c>
      <c r="S2746" s="91">
        <f>IFERROR(__xludf.DUMMYFUNCTION("IFERROR(sum(FILTER('Fund Investment Data'!$V:$V, 'Fund Investment Data'!$C:$C = $C2746, 'Fund Investment Data'!$A:$A &lt; $A2746)),0) + IFERROR(sum(FILTER('Fund Investment Data'!$V:$V, 'Fund Investment Data'!$C:$C = $C2746, 'Fund Investment Data'!$A:$A = $A2"&amp;"746, 'Fund Investment Data'!$B:$B &lt;= $B2746)),0)"),0.0)</f>
        <v>0</v>
      </c>
      <c r="T2746" s="32"/>
      <c r="U2746" s="32"/>
      <c r="V2746" s="32">
        <f>IFERROR(__xludf.DUMMYFUNCTION("$D2746 - IFERROR(FILTER($D:$D,$C:$C = $C2746, $A:$A = $A2746, $B:$B = $B2746 - 1),0)"),0.0)</f>
        <v>0</v>
      </c>
      <c r="W2746" s="93">
        <f>IFERROR(__xludf.DUMMYFUNCTION("$E2746 - IFERROR(FILTER($E:$E,$C:$C = $C2746, $A:$A = $A2746, $B:$B = $B2746 - 1),0)"),0.0)</f>
        <v>0</v>
      </c>
      <c r="X2746" s="91">
        <f>IFERROR(__xludf.DUMMYFUNCTION("iFERROR((FILTER('Fund Investment Data'!$Z:$Z, 'Fund Investment Data'!$C:$C = $C2746, 'Fund Investment Data'!$A:$A = $A2746 - 1, 'Fund Investment Data'!$B:$B = 12) + FILTER('Fund Investment Data'!$AB:$AB, 'Fund Investment Data'!$C:$C = $C2746, 'Fund Invest"&amp;"ment Data'!$A:$A = $A2746 - 1, 'Fund Investment Data'!$B:$B = 12)) * (1 + AVERAGE(FILTER('Inflation Data'!$C:$C,'Inflation Data'!$A:$A = ($A2746 - 2)))) * Parameters!$A$4,0)"),0.0)</f>
        <v>0</v>
      </c>
      <c r="Y2746" s="91">
        <f>IFERROR(__xludf.DUMMYFUNCTION("IFERROR((IFERROR(FILTER('Fund Investment Data'!$P:$P,'Fund Investment Data'!$C:$C = $C2746,'Fund Investment Data'!$A:$A = ($A2746 - 2), 'Fund Investment Data'!$B:$B = 12),0) - SUM(FILTER('Fund Investment Data'!$V:$V, 'Fund Investment Data'!$C:$C = $C2746,"&amp;" 'Fund Investment Data'!$A:$A = ($A2746 - 2), 'Fund Investment Data'!$B:$B &gt; 3)))  * Parameters!$B$4 * (1 - Parameters!$A$4),0)"),0.0)</f>
        <v>0</v>
      </c>
      <c r="Z2746" s="91">
        <f t="shared" si="24"/>
        <v>0</v>
      </c>
      <c r="AA2746" s="91">
        <f>IFERROR(__xludf.DUMMYFUNCTION("((IFERROR((SUM(FILTER('Fund Investment Data'!$V:$V, 'Fund Investment Data'!$C:$C = $C2746, 'Fund Investment Data'!$A:$A = $A2746 - 1, 'Fund Investment Data'!$B:$B &gt;= 4, 'Fund Investment Data'!$B:$B &lt;= ($B2746 + 5))) / 12) * ($B2746 - 3) * Parameters!$B$4,"&amp;" 0) + IF($B2746 &gt;= 9, IFERROR(SUM(FILTER('Fund Investment Data'!$V:$V, 'Fund Investment Data'!$C:$C = $C2746, 'Fund Investment Data'!$A:$A = $A2746, 'Fund Investment Data'!$B:$B &lt;= 3)) * Parameters!$B$4, 0),0)))"),0.0)</f>
        <v>0</v>
      </c>
      <c r="AB2746" s="32">
        <f>IFERROR(__xludf.DUMMYFUNCTION("IFERROR(((IFERROR(SUM(FILTER('Fund Investment Data'!$V:$V, 'Fund Investment Data'!$C:$C = $C2746, 'Fund Investment Data'!$A:$A = $A2746 - 2, 'Fund Investment Data'!$B:$B &gt;= 4)) * Parameters!$B$4,0) + IFERROR(SUM(FILTER('Fund Investment Data'!$V:$V, 'Fund "&amp;"Investment Data'!$C:$C = $C2746, 'Fund Investment Data'!$A:$A = $A2746 - 1, 'Fund Investment Data'!$B:$B &lt;= 3)) * Parameters!$B$4,0))),0)"),0.0)</f>
        <v>0</v>
      </c>
      <c r="AC2746" s="32">
        <f>IFERROR(__xludf.DUMMYFUNCTION("IFERROR(FILTER($AF:$AF,$C:$C = $C2746,$A:$A = $A2746 - 1,$B:$B = 12),0)"),0.0)</f>
        <v>0</v>
      </c>
      <c r="AD2746" s="32">
        <f t="shared" si="23"/>
        <v>0</v>
      </c>
      <c r="AE2746" s="32">
        <f t="shared" si="2"/>
        <v>0</v>
      </c>
      <c r="AF2746" s="32"/>
    </row>
    <row r="2747">
      <c r="A2747" s="86"/>
      <c r="B2747" s="87"/>
      <c r="C2747" s="88"/>
      <c r="D2747" s="104"/>
      <c r="E2747" s="104"/>
      <c r="F2747" s="104"/>
      <c r="G2747" s="104"/>
      <c r="H2747" s="104"/>
      <c r="I2747" s="104"/>
      <c r="J2747" s="104"/>
      <c r="K2747" s="32"/>
      <c r="L2747" s="32"/>
      <c r="M2747" s="32"/>
      <c r="N2747" s="32"/>
      <c r="O2747" s="106"/>
      <c r="P2747" s="91">
        <f>IFERROR(__xludf.DUMMYFUNCTION("IFERROR(sum(FILTER($D:$N,$C:$C = $C2747,$A:$A &lt; $A2747,$B:$B = 12)),0) + sum($D2747:$N2747)"),0.0)</f>
        <v>0</v>
      </c>
      <c r="Q2747" s="92">
        <f t="shared" si="1"/>
        <v>0</v>
      </c>
      <c r="R2747" s="91">
        <f t="array" ref="R2747">IFERROR(INDEX('Fund YTD Target Values'!$1:$1000, MATCH($C2747,'Fund YTD Target Values'!$A:$A,0), MATCH($A2747,'Fund YTD Target Values'!$1:$1,0)),0)</f>
        <v>0</v>
      </c>
      <c r="S2747" s="91">
        <f>IFERROR(__xludf.DUMMYFUNCTION("IFERROR(sum(FILTER('Fund Investment Data'!$V:$V, 'Fund Investment Data'!$C:$C = $C2747, 'Fund Investment Data'!$A:$A &lt; $A2747)),0) + IFERROR(sum(FILTER('Fund Investment Data'!$V:$V, 'Fund Investment Data'!$C:$C = $C2747, 'Fund Investment Data'!$A:$A = $A2"&amp;"747, 'Fund Investment Data'!$B:$B &lt;= $B2747)),0)"),0.0)</f>
        <v>0</v>
      </c>
      <c r="T2747" s="32"/>
      <c r="U2747" s="32"/>
      <c r="V2747" s="32">
        <f>IFERROR(__xludf.DUMMYFUNCTION("$D2747 - IFERROR(FILTER($D:$D,$C:$C = $C2747, $A:$A = $A2747, $B:$B = $B2747 - 1),0)"),0.0)</f>
        <v>0</v>
      </c>
      <c r="W2747" s="93">
        <f>IFERROR(__xludf.DUMMYFUNCTION("$E2747 - IFERROR(FILTER($E:$E,$C:$C = $C2747, $A:$A = $A2747, $B:$B = $B2747 - 1),0)"),0.0)</f>
        <v>0</v>
      </c>
      <c r="X2747" s="91">
        <f>IFERROR(__xludf.DUMMYFUNCTION("iFERROR((FILTER('Fund Investment Data'!$Z:$Z, 'Fund Investment Data'!$C:$C = $C2747, 'Fund Investment Data'!$A:$A = $A2747 - 1, 'Fund Investment Data'!$B:$B = 12) + FILTER('Fund Investment Data'!$AB:$AB, 'Fund Investment Data'!$C:$C = $C2747, 'Fund Invest"&amp;"ment Data'!$A:$A = $A2747 - 1, 'Fund Investment Data'!$B:$B = 12)) * (1 + AVERAGE(FILTER('Inflation Data'!$C:$C,'Inflation Data'!$A:$A = ($A2747 - 2)))) * Parameters!$A$4,0)"),0.0)</f>
        <v>0</v>
      </c>
      <c r="Y2747" s="91">
        <f>IFERROR(__xludf.DUMMYFUNCTION("IFERROR((IFERROR(FILTER('Fund Investment Data'!$P:$P,'Fund Investment Data'!$C:$C = $C2747,'Fund Investment Data'!$A:$A = ($A2747 - 2), 'Fund Investment Data'!$B:$B = 12),0) - SUM(FILTER('Fund Investment Data'!$V:$V, 'Fund Investment Data'!$C:$C = $C2747,"&amp;" 'Fund Investment Data'!$A:$A = ($A2747 - 2), 'Fund Investment Data'!$B:$B &gt; 3)))  * Parameters!$B$4 * (1 - Parameters!$A$4),0)"),0.0)</f>
        <v>0</v>
      </c>
      <c r="Z2747" s="91">
        <f t="shared" si="24"/>
        <v>0</v>
      </c>
      <c r="AA2747" s="91">
        <f>IFERROR(__xludf.DUMMYFUNCTION("((IFERROR((SUM(FILTER('Fund Investment Data'!$V:$V, 'Fund Investment Data'!$C:$C = $C2747, 'Fund Investment Data'!$A:$A = $A2747 - 1, 'Fund Investment Data'!$B:$B &gt;= 4, 'Fund Investment Data'!$B:$B &lt;= ($B2747 + 5))) / 12) * ($B2747 - 3) * Parameters!$B$4,"&amp;" 0) + IF($B2747 &gt;= 9, IFERROR(SUM(FILTER('Fund Investment Data'!$V:$V, 'Fund Investment Data'!$C:$C = $C2747, 'Fund Investment Data'!$A:$A = $A2747, 'Fund Investment Data'!$B:$B &lt;= 3)) * Parameters!$B$4, 0),0)))"),0.0)</f>
        <v>0</v>
      </c>
      <c r="AB2747" s="32">
        <f>IFERROR(__xludf.DUMMYFUNCTION("IFERROR(((IFERROR(SUM(FILTER('Fund Investment Data'!$V:$V, 'Fund Investment Data'!$C:$C = $C2747, 'Fund Investment Data'!$A:$A = $A2747 - 2, 'Fund Investment Data'!$B:$B &gt;= 4)) * Parameters!$B$4,0) + IFERROR(SUM(FILTER('Fund Investment Data'!$V:$V, 'Fund "&amp;"Investment Data'!$C:$C = $C2747, 'Fund Investment Data'!$A:$A = $A2747 - 1, 'Fund Investment Data'!$B:$B &lt;= 3)) * Parameters!$B$4,0))),0)"),0.0)</f>
        <v>0</v>
      </c>
      <c r="AC2747" s="32">
        <f>IFERROR(__xludf.DUMMYFUNCTION("IFERROR(FILTER($AF:$AF,$C:$C = $C2747,$A:$A = $A2747 - 1,$B:$B = 12),0)"),0.0)</f>
        <v>0</v>
      </c>
      <c r="AD2747" s="32">
        <f t="shared" si="23"/>
        <v>0</v>
      </c>
      <c r="AE2747" s="32">
        <f t="shared" si="2"/>
        <v>0</v>
      </c>
      <c r="AF2747" s="32"/>
    </row>
    <row r="2748">
      <c r="A2748" s="86"/>
      <c r="B2748" s="87"/>
      <c r="C2748" s="88"/>
      <c r="D2748" s="104"/>
      <c r="E2748" s="104"/>
      <c r="F2748" s="104"/>
      <c r="G2748" s="104"/>
      <c r="H2748" s="104"/>
      <c r="I2748" s="104"/>
      <c r="J2748" s="104"/>
      <c r="K2748" s="32"/>
      <c r="L2748" s="32"/>
      <c r="M2748" s="32"/>
      <c r="N2748" s="32"/>
      <c r="O2748" s="106"/>
      <c r="P2748" s="91">
        <f>IFERROR(__xludf.DUMMYFUNCTION("IFERROR(sum(FILTER($D:$N,$C:$C = $C2748,$A:$A &lt; $A2748,$B:$B = 12)),0) + sum($D2748:$N2748)"),0.0)</f>
        <v>0</v>
      </c>
      <c r="Q2748" s="92">
        <f t="shared" si="1"/>
        <v>0</v>
      </c>
      <c r="R2748" s="91">
        <f t="array" ref="R2748">IFERROR(INDEX('Fund YTD Target Values'!$1:$1000, MATCH($C2748,'Fund YTD Target Values'!$A:$A,0), MATCH($A2748,'Fund YTD Target Values'!$1:$1,0)),0)</f>
        <v>0</v>
      </c>
      <c r="S2748" s="91">
        <f>IFERROR(__xludf.DUMMYFUNCTION("IFERROR(sum(FILTER('Fund Investment Data'!$V:$V, 'Fund Investment Data'!$C:$C = $C2748, 'Fund Investment Data'!$A:$A &lt; $A2748)),0) + IFERROR(sum(FILTER('Fund Investment Data'!$V:$V, 'Fund Investment Data'!$C:$C = $C2748, 'Fund Investment Data'!$A:$A = $A2"&amp;"748, 'Fund Investment Data'!$B:$B &lt;= $B2748)),0)"),0.0)</f>
        <v>0</v>
      </c>
      <c r="T2748" s="32"/>
      <c r="U2748" s="32"/>
      <c r="V2748" s="32">
        <f>IFERROR(__xludf.DUMMYFUNCTION("$D2748 - IFERROR(FILTER($D:$D,$C:$C = $C2748, $A:$A = $A2748, $B:$B = $B2748 - 1),0)"),0.0)</f>
        <v>0</v>
      </c>
      <c r="W2748" s="93">
        <f>IFERROR(__xludf.DUMMYFUNCTION("$E2748 - IFERROR(FILTER($E:$E,$C:$C = $C2748, $A:$A = $A2748, $B:$B = $B2748 - 1),0)"),0.0)</f>
        <v>0</v>
      </c>
      <c r="X2748" s="91">
        <f>IFERROR(__xludf.DUMMYFUNCTION("iFERROR((FILTER('Fund Investment Data'!$Z:$Z, 'Fund Investment Data'!$C:$C = $C2748, 'Fund Investment Data'!$A:$A = $A2748 - 1, 'Fund Investment Data'!$B:$B = 12) + FILTER('Fund Investment Data'!$AB:$AB, 'Fund Investment Data'!$C:$C = $C2748, 'Fund Invest"&amp;"ment Data'!$A:$A = $A2748 - 1, 'Fund Investment Data'!$B:$B = 12)) * (1 + AVERAGE(FILTER('Inflation Data'!$C:$C,'Inflation Data'!$A:$A = ($A2748 - 2)))) * Parameters!$A$4,0)"),0.0)</f>
        <v>0</v>
      </c>
      <c r="Y2748" s="91">
        <f>IFERROR(__xludf.DUMMYFUNCTION("IFERROR((IFERROR(FILTER('Fund Investment Data'!$P:$P,'Fund Investment Data'!$C:$C = $C2748,'Fund Investment Data'!$A:$A = ($A2748 - 2), 'Fund Investment Data'!$B:$B = 12),0) - SUM(FILTER('Fund Investment Data'!$V:$V, 'Fund Investment Data'!$C:$C = $C2748,"&amp;" 'Fund Investment Data'!$A:$A = ($A2748 - 2), 'Fund Investment Data'!$B:$B &gt; 3)))  * Parameters!$B$4 * (1 - Parameters!$A$4),0)"),0.0)</f>
        <v>0</v>
      </c>
      <c r="Z2748" s="91">
        <f t="shared" si="24"/>
        <v>0</v>
      </c>
      <c r="AA2748" s="91">
        <f>IFERROR(__xludf.DUMMYFUNCTION("((IFERROR((SUM(FILTER('Fund Investment Data'!$V:$V, 'Fund Investment Data'!$C:$C = $C2748, 'Fund Investment Data'!$A:$A = $A2748 - 1, 'Fund Investment Data'!$B:$B &gt;= 4, 'Fund Investment Data'!$B:$B &lt;= ($B2748 + 5))) / 12) * ($B2748 - 3) * Parameters!$B$4,"&amp;" 0) + IF($B2748 &gt;= 9, IFERROR(SUM(FILTER('Fund Investment Data'!$V:$V, 'Fund Investment Data'!$C:$C = $C2748, 'Fund Investment Data'!$A:$A = $A2748, 'Fund Investment Data'!$B:$B &lt;= 3)) * Parameters!$B$4, 0),0)))"),0.0)</f>
        <v>0</v>
      </c>
      <c r="AB2748" s="32">
        <f>IFERROR(__xludf.DUMMYFUNCTION("IFERROR(((IFERROR(SUM(FILTER('Fund Investment Data'!$V:$V, 'Fund Investment Data'!$C:$C = $C2748, 'Fund Investment Data'!$A:$A = $A2748 - 2, 'Fund Investment Data'!$B:$B &gt;= 4)) * Parameters!$B$4,0) + IFERROR(SUM(FILTER('Fund Investment Data'!$V:$V, 'Fund "&amp;"Investment Data'!$C:$C = $C2748, 'Fund Investment Data'!$A:$A = $A2748 - 1, 'Fund Investment Data'!$B:$B &lt;= 3)) * Parameters!$B$4,0))),0)"),0.0)</f>
        <v>0</v>
      </c>
      <c r="AC2748" s="32">
        <f>IFERROR(__xludf.DUMMYFUNCTION("IFERROR(FILTER($AF:$AF,$C:$C = $C2748,$A:$A = $A2748 - 1,$B:$B = 12),0)"),0.0)</f>
        <v>0</v>
      </c>
      <c r="AD2748" s="32">
        <f t="shared" si="23"/>
        <v>0</v>
      </c>
      <c r="AE2748" s="32">
        <f t="shared" si="2"/>
        <v>0</v>
      </c>
      <c r="AF2748" s="32"/>
    </row>
    <row r="2749">
      <c r="A2749" s="86"/>
      <c r="B2749" s="87"/>
      <c r="C2749" s="88"/>
      <c r="D2749" s="104"/>
      <c r="E2749" s="104"/>
      <c r="F2749" s="104"/>
      <c r="G2749" s="104"/>
      <c r="H2749" s="104"/>
      <c r="I2749" s="104"/>
      <c r="J2749" s="104"/>
      <c r="K2749" s="32"/>
      <c r="L2749" s="32"/>
      <c r="M2749" s="32"/>
      <c r="N2749" s="32"/>
      <c r="O2749" s="106"/>
      <c r="P2749" s="91">
        <f>IFERROR(__xludf.DUMMYFUNCTION("IFERROR(sum(FILTER($D:$N,$C:$C = $C2749,$A:$A &lt; $A2749,$B:$B = 12)),0) + sum($D2749:$N2749)"),0.0)</f>
        <v>0</v>
      </c>
      <c r="Q2749" s="92">
        <f t="shared" si="1"/>
        <v>0</v>
      </c>
      <c r="R2749" s="91">
        <f t="array" ref="R2749">IFERROR(INDEX('Fund YTD Target Values'!$1:$1000, MATCH($C2749,'Fund YTD Target Values'!$A:$A,0), MATCH($A2749,'Fund YTD Target Values'!$1:$1,0)),0)</f>
        <v>0</v>
      </c>
      <c r="S2749" s="91">
        <f>IFERROR(__xludf.DUMMYFUNCTION("IFERROR(sum(FILTER('Fund Investment Data'!$V:$V, 'Fund Investment Data'!$C:$C = $C2749, 'Fund Investment Data'!$A:$A &lt; $A2749)),0) + IFERROR(sum(FILTER('Fund Investment Data'!$V:$V, 'Fund Investment Data'!$C:$C = $C2749, 'Fund Investment Data'!$A:$A = $A2"&amp;"749, 'Fund Investment Data'!$B:$B &lt;= $B2749)),0)"),0.0)</f>
        <v>0</v>
      </c>
      <c r="T2749" s="32"/>
      <c r="U2749" s="32"/>
      <c r="V2749" s="32">
        <f>IFERROR(__xludf.DUMMYFUNCTION("$D2749 - IFERROR(FILTER($D:$D,$C:$C = $C2749, $A:$A = $A2749, $B:$B = $B2749 - 1),0)"),0.0)</f>
        <v>0</v>
      </c>
      <c r="W2749" s="93">
        <f>IFERROR(__xludf.DUMMYFUNCTION("$E2749 - IFERROR(FILTER($E:$E,$C:$C = $C2749, $A:$A = $A2749, $B:$B = $B2749 - 1),0)"),0.0)</f>
        <v>0</v>
      </c>
      <c r="X2749" s="91">
        <f>IFERROR(__xludf.DUMMYFUNCTION("iFERROR((FILTER('Fund Investment Data'!$Z:$Z, 'Fund Investment Data'!$C:$C = $C2749, 'Fund Investment Data'!$A:$A = $A2749 - 1, 'Fund Investment Data'!$B:$B = 12) + FILTER('Fund Investment Data'!$AB:$AB, 'Fund Investment Data'!$C:$C = $C2749, 'Fund Invest"&amp;"ment Data'!$A:$A = $A2749 - 1, 'Fund Investment Data'!$B:$B = 12)) * (1 + AVERAGE(FILTER('Inflation Data'!$C:$C,'Inflation Data'!$A:$A = ($A2749 - 2)))) * Parameters!$A$4,0)"),0.0)</f>
        <v>0</v>
      </c>
      <c r="Y2749" s="91">
        <f>IFERROR(__xludf.DUMMYFUNCTION("IFERROR((IFERROR(FILTER('Fund Investment Data'!$P:$P,'Fund Investment Data'!$C:$C = $C2749,'Fund Investment Data'!$A:$A = ($A2749 - 2), 'Fund Investment Data'!$B:$B = 12),0) - SUM(FILTER('Fund Investment Data'!$V:$V, 'Fund Investment Data'!$C:$C = $C2749,"&amp;" 'Fund Investment Data'!$A:$A = ($A2749 - 2), 'Fund Investment Data'!$B:$B &gt; 3)))  * Parameters!$B$4 * (1 - Parameters!$A$4),0)"),0.0)</f>
        <v>0</v>
      </c>
      <c r="Z2749" s="91">
        <f t="shared" si="24"/>
        <v>0</v>
      </c>
      <c r="AA2749" s="91">
        <f>IFERROR(__xludf.DUMMYFUNCTION("((IFERROR((SUM(FILTER('Fund Investment Data'!$V:$V, 'Fund Investment Data'!$C:$C = $C2749, 'Fund Investment Data'!$A:$A = $A2749 - 1, 'Fund Investment Data'!$B:$B &gt;= 4, 'Fund Investment Data'!$B:$B &lt;= ($B2749 + 5))) / 12) * ($B2749 - 3) * Parameters!$B$4,"&amp;" 0) + IF($B2749 &gt;= 9, IFERROR(SUM(FILTER('Fund Investment Data'!$V:$V, 'Fund Investment Data'!$C:$C = $C2749, 'Fund Investment Data'!$A:$A = $A2749, 'Fund Investment Data'!$B:$B &lt;= 3)) * Parameters!$B$4, 0),0)))"),0.0)</f>
        <v>0</v>
      </c>
      <c r="AB2749" s="32">
        <f>IFERROR(__xludf.DUMMYFUNCTION("IFERROR(((IFERROR(SUM(FILTER('Fund Investment Data'!$V:$V, 'Fund Investment Data'!$C:$C = $C2749, 'Fund Investment Data'!$A:$A = $A2749 - 2, 'Fund Investment Data'!$B:$B &gt;= 4)) * Parameters!$B$4,0) + IFERROR(SUM(FILTER('Fund Investment Data'!$V:$V, 'Fund "&amp;"Investment Data'!$C:$C = $C2749, 'Fund Investment Data'!$A:$A = $A2749 - 1, 'Fund Investment Data'!$B:$B &lt;= 3)) * Parameters!$B$4,0))),0)"),0.0)</f>
        <v>0</v>
      </c>
      <c r="AC2749" s="32">
        <f>IFERROR(__xludf.DUMMYFUNCTION("IFERROR(FILTER($AF:$AF,$C:$C = $C2749,$A:$A = $A2749 - 1,$B:$B = 12),0)"),0.0)</f>
        <v>0</v>
      </c>
      <c r="AD2749" s="32">
        <f t="shared" si="23"/>
        <v>0</v>
      </c>
      <c r="AE2749" s="32">
        <f t="shared" si="2"/>
        <v>0</v>
      </c>
      <c r="AF2749" s="32"/>
    </row>
    <row r="2750">
      <c r="A2750" s="86"/>
      <c r="B2750" s="87"/>
      <c r="C2750" s="88"/>
      <c r="D2750" s="104"/>
      <c r="E2750" s="104"/>
      <c r="F2750" s="104"/>
      <c r="G2750" s="104"/>
      <c r="H2750" s="104"/>
      <c r="I2750" s="104"/>
      <c r="J2750" s="104"/>
      <c r="K2750" s="32"/>
      <c r="L2750" s="32"/>
      <c r="M2750" s="32"/>
      <c r="N2750" s="32"/>
      <c r="O2750" s="106"/>
      <c r="P2750" s="91">
        <f>IFERROR(__xludf.DUMMYFUNCTION("IFERROR(sum(FILTER($D:$N,$C:$C = $C2750,$A:$A &lt; $A2750,$B:$B = 12)),0) + sum($D2750:$N2750)"),0.0)</f>
        <v>0</v>
      </c>
      <c r="Q2750" s="92">
        <f t="shared" si="1"/>
        <v>0</v>
      </c>
      <c r="R2750" s="91">
        <f t="array" ref="R2750">IFERROR(INDEX('Fund YTD Target Values'!$1:$1000, MATCH($C2750,'Fund YTD Target Values'!$A:$A,0), MATCH($A2750,'Fund YTD Target Values'!$1:$1,0)),0)</f>
        <v>0</v>
      </c>
      <c r="S2750" s="91">
        <f>IFERROR(__xludf.DUMMYFUNCTION("IFERROR(sum(FILTER('Fund Investment Data'!$V:$V, 'Fund Investment Data'!$C:$C = $C2750, 'Fund Investment Data'!$A:$A &lt; $A2750)),0) + IFERROR(sum(FILTER('Fund Investment Data'!$V:$V, 'Fund Investment Data'!$C:$C = $C2750, 'Fund Investment Data'!$A:$A = $A2"&amp;"750, 'Fund Investment Data'!$B:$B &lt;= $B2750)),0)"),0.0)</f>
        <v>0</v>
      </c>
      <c r="T2750" s="32"/>
      <c r="U2750" s="32"/>
      <c r="V2750" s="32">
        <f>IFERROR(__xludf.DUMMYFUNCTION("$D2750 - IFERROR(FILTER($D:$D,$C:$C = $C2750, $A:$A = $A2750, $B:$B = $B2750 - 1),0)"),0.0)</f>
        <v>0</v>
      </c>
      <c r="W2750" s="93">
        <f>IFERROR(__xludf.DUMMYFUNCTION("$E2750 - IFERROR(FILTER($E:$E,$C:$C = $C2750, $A:$A = $A2750, $B:$B = $B2750 - 1),0)"),0.0)</f>
        <v>0</v>
      </c>
      <c r="X2750" s="91">
        <f>IFERROR(__xludf.DUMMYFUNCTION("iFERROR((FILTER('Fund Investment Data'!$Z:$Z, 'Fund Investment Data'!$C:$C = $C2750, 'Fund Investment Data'!$A:$A = $A2750 - 1, 'Fund Investment Data'!$B:$B = 12) + FILTER('Fund Investment Data'!$AB:$AB, 'Fund Investment Data'!$C:$C = $C2750, 'Fund Invest"&amp;"ment Data'!$A:$A = $A2750 - 1, 'Fund Investment Data'!$B:$B = 12)) * (1 + AVERAGE(FILTER('Inflation Data'!$C:$C,'Inflation Data'!$A:$A = ($A2750 - 2)))) * Parameters!$A$4,0)"),0.0)</f>
        <v>0</v>
      </c>
      <c r="Y2750" s="91">
        <f>IFERROR(__xludf.DUMMYFUNCTION("IFERROR((IFERROR(FILTER('Fund Investment Data'!$P:$P,'Fund Investment Data'!$C:$C = $C2750,'Fund Investment Data'!$A:$A = ($A2750 - 2), 'Fund Investment Data'!$B:$B = 12),0) - SUM(FILTER('Fund Investment Data'!$V:$V, 'Fund Investment Data'!$C:$C = $C2750,"&amp;" 'Fund Investment Data'!$A:$A = ($A2750 - 2), 'Fund Investment Data'!$B:$B &gt; 3)))  * Parameters!$B$4 * (1 - Parameters!$A$4),0)"),0.0)</f>
        <v>0</v>
      </c>
      <c r="Z2750" s="91">
        <f t="shared" si="24"/>
        <v>0</v>
      </c>
      <c r="AA2750" s="91">
        <f>IFERROR(__xludf.DUMMYFUNCTION("((IFERROR((SUM(FILTER('Fund Investment Data'!$V:$V, 'Fund Investment Data'!$C:$C = $C2750, 'Fund Investment Data'!$A:$A = $A2750 - 1, 'Fund Investment Data'!$B:$B &gt;= 4, 'Fund Investment Data'!$B:$B &lt;= ($B2750 + 5))) / 12) * ($B2750 - 3) * Parameters!$B$4,"&amp;" 0) + IF($B2750 &gt;= 9, IFERROR(SUM(FILTER('Fund Investment Data'!$V:$V, 'Fund Investment Data'!$C:$C = $C2750, 'Fund Investment Data'!$A:$A = $A2750, 'Fund Investment Data'!$B:$B &lt;= 3)) * Parameters!$B$4, 0),0)))"),0.0)</f>
        <v>0</v>
      </c>
      <c r="AB2750" s="32">
        <f>IFERROR(__xludf.DUMMYFUNCTION("IFERROR(((IFERROR(SUM(FILTER('Fund Investment Data'!$V:$V, 'Fund Investment Data'!$C:$C = $C2750, 'Fund Investment Data'!$A:$A = $A2750 - 2, 'Fund Investment Data'!$B:$B &gt;= 4)) * Parameters!$B$4,0) + IFERROR(SUM(FILTER('Fund Investment Data'!$V:$V, 'Fund "&amp;"Investment Data'!$C:$C = $C2750, 'Fund Investment Data'!$A:$A = $A2750 - 1, 'Fund Investment Data'!$B:$B &lt;= 3)) * Parameters!$B$4,0))),0)"),0.0)</f>
        <v>0</v>
      </c>
      <c r="AC2750" s="32">
        <f>IFERROR(__xludf.DUMMYFUNCTION("IFERROR(FILTER($AF:$AF,$C:$C = $C2750,$A:$A = $A2750 - 1,$B:$B = 12),0)"),0.0)</f>
        <v>0</v>
      </c>
      <c r="AD2750" s="32">
        <f t="shared" si="23"/>
        <v>0</v>
      </c>
      <c r="AE2750" s="32">
        <f t="shared" si="2"/>
        <v>0</v>
      </c>
      <c r="AF2750" s="32"/>
    </row>
    <row r="2751">
      <c r="A2751" s="86"/>
      <c r="B2751" s="87"/>
      <c r="C2751" s="88"/>
      <c r="D2751" s="104"/>
      <c r="E2751" s="104"/>
      <c r="F2751" s="104"/>
      <c r="G2751" s="104"/>
      <c r="H2751" s="104"/>
      <c r="I2751" s="104"/>
      <c r="J2751" s="104"/>
      <c r="K2751" s="32"/>
      <c r="L2751" s="32"/>
      <c r="M2751" s="32"/>
      <c r="N2751" s="32"/>
      <c r="O2751" s="106"/>
      <c r="P2751" s="91">
        <f>IFERROR(__xludf.DUMMYFUNCTION("IFERROR(sum(FILTER($D:$N,$C:$C = $C2751,$A:$A &lt; $A2751,$B:$B = 12)),0) + sum($D2751:$N2751)"),0.0)</f>
        <v>0</v>
      </c>
      <c r="Q2751" s="92">
        <f t="shared" si="1"/>
        <v>0</v>
      </c>
      <c r="R2751" s="91">
        <f t="array" ref="R2751">IFERROR(INDEX('Fund YTD Target Values'!$1:$1000, MATCH($C2751,'Fund YTD Target Values'!$A:$A,0), MATCH($A2751,'Fund YTD Target Values'!$1:$1,0)),0)</f>
        <v>0</v>
      </c>
      <c r="S2751" s="91">
        <f>IFERROR(__xludf.DUMMYFUNCTION("IFERROR(sum(FILTER('Fund Investment Data'!$V:$V, 'Fund Investment Data'!$C:$C = $C2751, 'Fund Investment Data'!$A:$A &lt; $A2751)),0) + IFERROR(sum(FILTER('Fund Investment Data'!$V:$V, 'Fund Investment Data'!$C:$C = $C2751, 'Fund Investment Data'!$A:$A = $A2"&amp;"751, 'Fund Investment Data'!$B:$B &lt;= $B2751)),0)"),0.0)</f>
        <v>0</v>
      </c>
      <c r="T2751" s="32"/>
      <c r="U2751" s="32"/>
      <c r="V2751" s="32">
        <f>IFERROR(__xludf.DUMMYFUNCTION("$D2751 - IFERROR(FILTER($D:$D,$C:$C = $C2751, $A:$A = $A2751, $B:$B = $B2751 - 1),0)"),0.0)</f>
        <v>0</v>
      </c>
      <c r="W2751" s="93">
        <f>IFERROR(__xludf.DUMMYFUNCTION("$E2751 - IFERROR(FILTER($E:$E,$C:$C = $C2751, $A:$A = $A2751, $B:$B = $B2751 - 1),0)"),0.0)</f>
        <v>0</v>
      </c>
      <c r="X2751" s="91">
        <f>IFERROR(__xludf.DUMMYFUNCTION("iFERROR((FILTER('Fund Investment Data'!$Z:$Z, 'Fund Investment Data'!$C:$C = $C2751, 'Fund Investment Data'!$A:$A = $A2751 - 1, 'Fund Investment Data'!$B:$B = 12) + FILTER('Fund Investment Data'!$AB:$AB, 'Fund Investment Data'!$C:$C = $C2751, 'Fund Invest"&amp;"ment Data'!$A:$A = $A2751 - 1, 'Fund Investment Data'!$B:$B = 12)) * (1 + AVERAGE(FILTER('Inflation Data'!$C:$C,'Inflation Data'!$A:$A = ($A2751 - 2)))) * Parameters!$A$4,0)"),0.0)</f>
        <v>0</v>
      </c>
      <c r="Y2751" s="91">
        <f>IFERROR(__xludf.DUMMYFUNCTION("IFERROR((IFERROR(FILTER('Fund Investment Data'!$P:$P,'Fund Investment Data'!$C:$C = $C2751,'Fund Investment Data'!$A:$A = ($A2751 - 2), 'Fund Investment Data'!$B:$B = 12),0) - SUM(FILTER('Fund Investment Data'!$V:$V, 'Fund Investment Data'!$C:$C = $C2751,"&amp;" 'Fund Investment Data'!$A:$A = ($A2751 - 2), 'Fund Investment Data'!$B:$B &gt; 3)))  * Parameters!$B$4 * (1 - Parameters!$A$4),0)"),0.0)</f>
        <v>0</v>
      </c>
      <c r="Z2751" s="91">
        <f t="shared" si="24"/>
        <v>0</v>
      </c>
      <c r="AA2751" s="91">
        <f>IFERROR(__xludf.DUMMYFUNCTION("((IFERROR((SUM(FILTER('Fund Investment Data'!$V:$V, 'Fund Investment Data'!$C:$C = $C2751, 'Fund Investment Data'!$A:$A = $A2751 - 1, 'Fund Investment Data'!$B:$B &gt;= 4, 'Fund Investment Data'!$B:$B &lt;= ($B2751 + 5))) / 12) * ($B2751 - 3) * Parameters!$B$4,"&amp;" 0) + IF($B2751 &gt;= 9, IFERROR(SUM(FILTER('Fund Investment Data'!$V:$V, 'Fund Investment Data'!$C:$C = $C2751, 'Fund Investment Data'!$A:$A = $A2751, 'Fund Investment Data'!$B:$B &lt;= 3)) * Parameters!$B$4, 0),0)))"),0.0)</f>
        <v>0</v>
      </c>
      <c r="AB2751" s="32">
        <f>IFERROR(__xludf.DUMMYFUNCTION("IFERROR(((IFERROR(SUM(FILTER('Fund Investment Data'!$V:$V, 'Fund Investment Data'!$C:$C = $C2751, 'Fund Investment Data'!$A:$A = $A2751 - 2, 'Fund Investment Data'!$B:$B &gt;= 4)) * Parameters!$B$4,0) + IFERROR(SUM(FILTER('Fund Investment Data'!$V:$V, 'Fund "&amp;"Investment Data'!$C:$C = $C2751, 'Fund Investment Data'!$A:$A = $A2751 - 1, 'Fund Investment Data'!$B:$B &lt;= 3)) * Parameters!$B$4,0))),0)"),0.0)</f>
        <v>0</v>
      </c>
      <c r="AC2751" s="32">
        <f>IFERROR(__xludf.DUMMYFUNCTION("IFERROR(FILTER($AF:$AF,$C:$C = $C2751,$A:$A = $A2751 - 1,$B:$B = 12),0)"),0.0)</f>
        <v>0</v>
      </c>
      <c r="AD2751" s="32">
        <f t="shared" si="23"/>
        <v>0</v>
      </c>
      <c r="AE2751" s="32">
        <f t="shared" si="2"/>
        <v>0</v>
      </c>
      <c r="AF2751" s="32"/>
    </row>
    <row r="2752">
      <c r="A2752" s="86"/>
      <c r="B2752" s="87"/>
      <c r="C2752" s="88"/>
      <c r="D2752" s="104"/>
      <c r="E2752" s="104"/>
      <c r="F2752" s="104"/>
      <c r="G2752" s="104"/>
      <c r="H2752" s="104"/>
      <c r="I2752" s="104"/>
      <c r="J2752" s="104"/>
      <c r="K2752" s="32"/>
      <c r="L2752" s="32"/>
      <c r="M2752" s="32"/>
      <c r="N2752" s="32"/>
      <c r="O2752" s="106"/>
      <c r="P2752" s="91">
        <f>IFERROR(__xludf.DUMMYFUNCTION("IFERROR(sum(FILTER($D:$N,$C:$C = $C2752,$A:$A &lt; $A2752,$B:$B = 12)),0) + sum($D2752:$N2752)"),0.0)</f>
        <v>0</v>
      </c>
      <c r="Q2752" s="92">
        <f t="shared" si="1"/>
        <v>0</v>
      </c>
      <c r="R2752" s="91">
        <f t="array" ref="R2752">IFERROR(INDEX('Fund YTD Target Values'!$1:$1000, MATCH($C2752,'Fund YTD Target Values'!$A:$A,0), MATCH($A2752,'Fund YTD Target Values'!$1:$1,0)),0)</f>
        <v>0</v>
      </c>
      <c r="S2752" s="91">
        <f>IFERROR(__xludf.DUMMYFUNCTION("IFERROR(sum(FILTER('Fund Investment Data'!$V:$V, 'Fund Investment Data'!$C:$C = $C2752, 'Fund Investment Data'!$A:$A &lt; $A2752)),0) + IFERROR(sum(FILTER('Fund Investment Data'!$V:$V, 'Fund Investment Data'!$C:$C = $C2752, 'Fund Investment Data'!$A:$A = $A2"&amp;"752, 'Fund Investment Data'!$B:$B &lt;= $B2752)),0)"),0.0)</f>
        <v>0</v>
      </c>
      <c r="T2752" s="32"/>
      <c r="U2752" s="32"/>
      <c r="V2752" s="32">
        <f>IFERROR(__xludf.DUMMYFUNCTION("$D2752 - IFERROR(FILTER($D:$D,$C:$C = $C2752, $A:$A = $A2752, $B:$B = $B2752 - 1),0)"),0.0)</f>
        <v>0</v>
      </c>
      <c r="W2752" s="93">
        <f>IFERROR(__xludf.DUMMYFUNCTION("$E2752 - IFERROR(FILTER($E:$E,$C:$C = $C2752, $A:$A = $A2752, $B:$B = $B2752 - 1),0)"),0.0)</f>
        <v>0</v>
      </c>
      <c r="X2752" s="91">
        <f>IFERROR(__xludf.DUMMYFUNCTION("iFERROR((FILTER('Fund Investment Data'!$Z:$Z, 'Fund Investment Data'!$C:$C = $C2752, 'Fund Investment Data'!$A:$A = $A2752 - 1, 'Fund Investment Data'!$B:$B = 12) + FILTER('Fund Investment Data'!$AB:$AB, 'Fund Investment Data'!$C:$C = $C2752, 'Fund Invest"&amp;"ment Data'!$A:$A = $A2752 - 1, 'Fund Investment Data'!$B:$B = 12)) * (1 + AVERAGE(FILTER('Inflation Data'!$C:$C,'Inflation Data'!$A:$A = ($A2752 - 2)))) * Parameters!$A$4,0)"),0.0)</f>
        <v>0</v>
      </c>
      <c r="Y2752" s="91">
        <f>IFERROR(__xludf.DUMMYFUNCTION("IFERROR((IFERROR(FILTER('Fund Investment Data'!$P:$P,'Fund Investment Data'!$C:$C = $C2752,'Fund Investment Data'!$A:$A = ($A2752 - 2), 'Fund Investment Data'!$B:$B = 12),0) - SUM(FILTER('Fund Investment Data'!$V:$V, 'Fund Investment Data'!$C:$C = $C2752,"&amp;" 'Fund Investment Data'!$A:$A = ($A2752 - 2), 'Fund Investment Data'!$B:$B &gt; 3)))  * Parameters!$B$4 * (1 - Parameters!$A$4),0)"),0.0)</f>
        <v>0</v>
      </c>
      <c r="Z2752" s="91">
        <f t="shared" si="24"/>
        <v>0</v>
      </c>
      <c r="AA2752" s="91">
        <f>IFERROR(__xludf.DUMMYFUNCTION("((IFERROR((SUM(FILTER('Fund Investment Data'!$V:$V, 'Fund Investment Data'!$C:$C = $C2752, 'Fund Investment Data'!$A:$A = $A2752 - 1, 'Fund Investment Data'!$B:$B &gt;= 4, 'Fund Investment Data'!$B:$B &lt;= ($B2752 + 5))) / 12) * ($B2752 - 3) * Parameters!$B$4,"&amp;" 0) + IF($B2752 &gt;= 9, IFERROR(SUM(FILTER('Fund Investment Data'!$V:$V, 'Fund Investment Data'!$C:$C = $C2752, 'Fund Investment Data'!$A:$A = $A2752, 'Fund Investment Data'!$B:$B &lt;= 3)) * Parameters!$B$4, 0),0)))"),0.0)</f>
        <v>0</v>
      </c>
      <c r="AB2752" s="32">
        <f>IFERROR(__xludf.DUMMYFUNCTION("IFERROR(((IFERROR(SUM(FILTER('Fund Investment Data'!$V:$V, 'Fund Investment Data'!$C:$C = $C2752, 'Fund Investment Data'!$A:$A = $A2752 - 2, 'Fund Investment Data'!$B:$B &gt;= 4)) * Parameters!$B$4,0) + IFERROR(SUM(FILTER('Fund Investment Data'!$V:$V, 'Fund "&amp;"Investment Data'!$C:$C = $C2752, 'Fund Investment Data'!$A:$A = $A2752 - 1, 'Fund Investment Data'!$B:$B &lt;= 3)) * Parameters!$B$4,0))),0)"),0.0)</f>
        <v>0</v>
      </c>
      <c r="AC2752" s="32">
        <f>IFERROR(__xludf.DUMMYFUNCTION("IFERROR(FILTER($AF:$AF,$C:$C = $C2752,$A:$A = $A2752 - 1,$B:$B = 12),0)"),0.0)</f>
        <v>0</v>
      </c>
      <c r="AD2752" s="32">
        <f t="shared" si="23"/>
        <v>0</v>
      </c>
      <c r="AE2752" s="32">
        <f t="shared" si="2"/>
        <v>0</v>
      </c>
      <c r="AF2752" s="32"/>
    </row>
    <row r="2753">
      <c r="A2753" s="86"/>
      <c r="B2753" s="87"/>
      <c r="C2753" s="88"/>
      <c r="D2753" s="104"/>
      <c r="E2753" s="104"/>
      <c r="F2753" s="104"/>
      <c r="G2753" s="104"/>
      <c r="H2753" s="104"/>
      <c r="I2753" s="104"/>
      <c r="J2753" s="104"/>
      <c r="K2753" s="32"/>
      <c r="L2753" s="32"/>
      <c r="M2753" s="32"/>
      <c r="N2753" s="32"/>
      <c r="O2753" s="106"/>
      <c r="P2753" s="91">
        <f>IFERROR(__xludf.DUMMYFUNCTION("IFERROR(sum(FILTER($D:$N,$C:$C = $C2753,$A:$A &lt; $A2753,$B:$B = 12)),0) + sum($D2753:$N2753)"),0.0)</f>
        <v>0</v>
      </c>
      <c r="Q2753" s="92">
        <f t="shared" si="1"/>
        <v>0</v>
      </c>
      <c r="R2753" s="91">
        <f t="array" ref="R2753">IFERROR(INDEX('Fund YTD Target Values'!$1:$1000, MATCH($C2753,'Fund YTD Target Values'!$A:$A,0), MATCH($A2753,'Fund YTD Target Values'!$1:$1,0)),0)</f>
        <v>0</v>
      </c>
      <c r="S2753" s="91">
        <f>IFERROR(__xludf.DUMMYFUNCTION("IFERROR(sum(FILTER('Fund Investment Data'!$V:$V, 'Fund Investment Data'!$C:$C = $C2753, 'Fund Investment Data'!$A:$A &lt; $A2753)),0) + IFERROR(sum(FILTER('Fund Investment Data'!$V:$V, 'Fund Investment Data'!$C:$C = $C2753, 'Fund Investment Data'!$A:$A = $A2"&amp;"753, 'Fund Investment Data'!$B:$B &lt;= $B2753)),0)"),0.0)</f>
        <v>0</v>
      </c>
      <c r="T2753" s="32"/>
      <c r="U2753" s="32"/>
      <c r="V2753" s="32">
        <f>IFERROR(__xludf.DUMMYFUNCTION("$D2753 - IFERROR(FILTER($D:$D,$C:$C = $C2753, $A:$A = $A2753, $B:$B = $B2753 - 1),0)"),0.0)</f>
        <v>0</v>
      </c>
      <c r="W2753" s="93">
        <f>IFERROR(__xludf.DUMMYFUNCTION("$E2753 - IFERROR(FILTER($E:$E,$C:$C = $C2753, $A:$A = $A2753, $B:$B = $B2753 - 1),0)"),0.0)</f>
        <v>0</v>
      </c>
      <c r="X2753" s="91">
        <f>IFERROR(__xludf.DUMMYFUNCTION("iFERROR((FILTER('Fund Investment Data'!$Z:$Z, 'Fund Investment Data'!$C:$C = $C2753, 'Fund Investment Data'!$A:$A = $A2753 - 1, 'Fund Investment Data'!$B:$B = 12) + FILTER('Fund Investment Data'!$AB:$AB, 'Fund Investment Data'!$C:$C = $C2753, 'Fund Invest"&amp;"ment Data'!$A:$A = $A2753 - 1, 'Fund Investment Data'!$B:$B = 12)) * (1 + AVERAGE(FILTER('Inflation Data'!$C:$C,'Inflation Data'!$A:$A = ($A2753 - 2)))) * Parameters!$A$4,0)"),0.0)</f>
        <v>0</v>
      </c>
      <c r="Y2753" s="91">
        <f>IFERROR(__xludf.DUMMYFUNCTION("IFERROR((IFERROR(FILTER('Fund Investment Data'!$P:$P,'Fund Investment Data'!$C:$C = $C2753,'Fund Investment Data'!$A:$A = ($A2753 - 2), 'Fund Investment Data'!$B:$B = 12),0) - SUM(FILTER('Fund Investment Data'!$V:$V, 'Fund Investment Data'!$C:$C = $C2753,"&amp;" 'Fund Investment Data'!$A:$A = ($A2753 - 2), 'Fund Investment Data'!$B:$B &gt; 3)))  * Parameters!$B$4 * (1 - Parameters!$A$4),0)"),0.0)</f>
        <v>0</v>
      </c>
      <c r="Z2753" s="91">
        <f t="shared" si="24"/>
        <v>0</v>
      </c>
      <c r="AA2753" s="91">
        <f>IFERROR(__xludf.DUMMYFUNCTION("((IFERROR((SUM(FILTER('Fund Investment Data'!$V:$V, 'Fund Investment Data'!$C:$C = $C2753, 'Fund Investment Data'!$A:$A = $A2753 - 1, 'Fund Investment Data'!$B:$B &gt;= 4, 'Fund Investment Data'!$B:$B &lt;= ($B2753 + 5))) / 12) * ($B2753 - 3) * Parameters!$B$4,"&amp;" 0) + IF($B2753 &gt;= 9, IFERROR(SUM(FILTER('Fund Investment Data'!$V:$V, 'Fund Investment Data'!$C:$C = $C2753, 'Fund Investment Data'!$A:$A = $A2753, 'Fund Investment Data'!$B:$B &lt;= 3)) * Parameters!$B$4, 0),0)))"),0.0)</f>
        <v>0</v>
      </c>
      <c r="AB2753" s="32">
        <f>IFERROR(__xludf.DUMMYFUNCTION("IFERROR(((IFERROR(SUM(FILTER('Fund Investment Data'!$V:$V, 'Fund Investment Data'!$C:$C = $C2753, 'Fund Investment Data'!$A:$A = $A2753 - 2, 'Fund Investment Data'!$B:$B &gt;= 4)) * Parameters!$B$4,0) + IFERROR(SUM(FILTER('Fund Investment Data'!$V:$V, 'Fund "&amp;"Investment Data'!$C:$C = $C2753, 'Fund Investment Data'!$A:$A = $A2753 - 1, 'Fund Investment Data'!$B:$B &lt;= 3)) * Parameters!$B$4,0))),0)"),0.0)</f>
        <v>0</v>
      </c>
      <c r="AC2753" s="32">
        <f>IFERROR(__xludf.DUMMYFUNCTION("IFERROR(FILTER($AF:$AF,$C:$C = $C2753,$A:$A = $A2753 - 1,$B:$B = 12),0)"),0.0)</f>
        <v>0</v>
      </c>
      <c r="AD2753" s="32">
        <f t="shared" si="23"/>
        <v>0</v>
      </c>
      <c r="AE2753" s="32">
        <f t="shared" si="2"/>
        <v>0</v>
      </c>
      <c r="AF2753" s="32"/>
    </row>
    <row r="2754">
      <c r="A2754" s="86"/>
      <c r="B2754" s="87"/>
      <c r="C2754" s="88"/>
      <c r="D2754" s="104"/>
      <c r="E2754" s="104"/>
      <c r="F2754" s="104"/>
      <c r="G2754" s="104"/>
      <c r="H2754" s="104"/>
      <c r="I2754" s="104"/>
      <c r="J2754" s="104"/>
      <c r="K2754" s="32"/>
      <c r="L2754" s="32"/>
      <c r="M2754" s="32"/>
      <c r="N2754" s="32"/>
      <c r="O2754" s="106"/>
      <c r="P2754" s="91">
        <f>IFERROR(__xludf.DUMMYFUNCTION("IFERROR(sum(FILTER($D:$N,$C:$C = $C2754,$A:$A &lt; $A2754,$B:$B = 12)),0) + sum($D2754:$N2754)"),0.0)</f>
        <v>0</v>
      </c>
      <c r="Q2754" s="92">
        <f t="shared" si="1"/>
        <v>0</v>
      </c>
      <c r="R2754" s="91">
        <f t="array" ref="R2754">IFERROR(INDEX('Fund YTD Target Values'!$1:$1000, MATCH($C2754,'Fund YTD Target Values'!$A:$A,0), MATCH($A2754,'Fund YTD Target Values'!$1:$1,0)),0)</f>
        <v>0</v>
      </c>
      <c r="S2754" s="91">
        <f>IFERROR(__xludf.DUMMYFUNCTION("IFERROR(sum(FILTER('Fund Investment Data'!$V:$V, 'Fund Investment Data'!$C:$C = $C2754, 'Fund Investment Data'!$A:$A &lt; $A2754)),0) + IFERROR(sum(FILTER('Fund Investment Data'!$V:$V, 'Fund Investment Data'!$C:$C = $C2754, 'Fund Investment Data'!$A:$A = $A2"&amp;"754, 'Fund Investment Data'!$B:$B &lt;= $B2754)),0)"),0.0)</f>
        <v>0</v>
      </c>
      <c r="T2754" s="32"/>
      <c r="U2754" s="32"/>
      <c r="V2754" s="32">
        <f>IFERROR(__xludf.DUMMYFUNCTION("$D2754 - IFERROR(FILTER($D:$D,$C:$C = $C2754, $A:$A = $A2754, $B:$B = $B2754 - 1),0)"),0.0)</f>
        <v>0</v>
      </c>
      <c r="W2754" s="93">
        <f>IFERROR(__xludf.DUMMYFUNCTION("$E2754 - IFERROR(FILTER($E:$E,$C:$C = $C2754, $A:$A = $A2754, $B:$B = $B2754 - 1),0)"),0.0)</f>
        <v>0</v>
      </c>
      <c r="X2754" s="91">
        <f>IFERROR(__xludf.DUMMYFUNCTION("iFERROR((FILTER('Fund Investment Data'!$Z:$Z, 'Fund Investment Data'!$C:$C = $C2754, 'Fund Investment Data'!$A:$A = $A2754 - 1, 'Fund Investment Data'!$B:$B = 12) + FILTER('Fund Investment Data'!$AB:$AB, 'Fund Investment Data'!$C:$C = $C2754, 'Fund Invest"&amp;"ment Data'!$A:$A = $A2754 - 1, 'Fund Investment Data'!$B:$B = 12)) * (1 + AVERAGE(FILTER('Inflation Data'!$C:$C,'Inflation Data'!$A:$A = ($A2754 - 2)))) * Parameters!$A$4,0)"),0.0)</f>
        <v>0</v>
      </c>
      <c r="Y2754" s="91">
        <f>IFERROR(__xludf.DUMMYFUNCTION("IFERROR((IFERROR(FILTER('Fund Investment Data'!$P:$P,'Fund Investment Data'!$C:$C = $C2754,'Fund Investment Data'!$A:$A = ($A2754 - 2), 'Fund Investment Data'!$B:$B = 12),0) - SUM(FILTER('Fund Investment Data'!$V:$V, 'Fund Investment Data'!$C:$C = $C2754,"&amp;" 'Fund Investment Data'!$A:$A = ($A2754 - 2), 'Fund Investment Data'!$B:$B &gt; 3)))  * Parameters!$B$4 * (1 - Parameters!$A$4),0)"),0.0)</f>
        <v>0</v>
      </c>
      <c r="Z2754" s="91">
        <f t="shared" si="24"/>
        <v>0</v>
      </c>
      <c r="AA2754" s="91">
        <f>IFERROR(__xludf.DUMMYFUNCTION("((IFERROR((SUM(FILTER('Fund Investment Data'!$V:$V, 'Fund Investment Data'!$C:$C = $C2754, 'Fund Investment Data'!$A:$A = $A2754 - 1, 'Fund Investment Data'!$B:$B &gt;= 4, 'Fund Investment Data'!$B:$B &lt;= ($B2754 + 5))) / 12) * ($B2754 - 3) * Parameters!$B$4,"&amp;" 0) + IF($B2754 &gt;= 9, IFERROR(SUM(FILTER('Fund Investment Data'!$V:$V, 'Fund Investment Data'!$C:$C = $C2754, 'Fund Investment Data'!$A:$A = $A2754, 'Fund Investment Data'!$B:$B &lt;= 3)) * Parameters!$B$4, 0),0)))"),0.0)</f>
        <v>0</v>
      </c>
      <c r="AB2754" s="32">
        <f>IFERROR(__xludf.DUMMYFUNCTION("IFERROR(((IFERROR(SUM(FILTER('Fund Investment Data'!$V:$V, 'Fund Investment Data'!$C:$C = $C2754, 'Fund Investment Data'!$A:$A = $A2754 - 2, 'Fund Investment Data'!$B:$B &gt;= 4)) * Parameters!$B$4,0) + IFERROR(SUM(FILTER('Fund Investment Data'!$V:$V, 'Fund "&amp;"Investment Data'!$C:$C = $C2754, 'Fund Investment Data'!$A:$A = $A2754 - 1, 'Fund Investment Data'!$B:$B &lt;= 3)) * Parameters!$B$4,0))),0)"),0.0)</f>
        <v>0</v>
      </c>
      <c r="AC2754" s="32">
        <f>IFERROR(__xludf.DUMMYFUNCTION("IFERROR(FILTER($AF:$AF,$C:$C = $C2754,$A:$A = $A2754 - 1,$B:$B = 12),0)"),0.0)</f>
        <v>0</v>
      </c>
      <c r="AD2754" s="32">
        <f t="shared" si="23"/>
        <v>0</v>
      </c>
      <c r="AE2754" s="32">
        <f t="shared" si="2"/>
        <v>0</v>
      </c>
      <c r="AF2754" s="32"/>
    </row>
    <row r="2755">
      <c r="A2755" s="86"/>
      <c r="B2755" s="87"/>
      <c r="C2755" s="88"/>
      <c r="D2755" s="104"/>
      <c r="E2755" s="104"/>
      <c r="F2755" s="104"/>
      <c r="G2755" s="104"/>
      <c r="H2755" s="104"/>
      <c r="I2755" s="104"/>
      <c r="J2755" s="104"/>
      <c r="K2755" s="32"/>
      <c r="L2755" s="32"/>
      <c r="M2755" s="32"/>
      <c r="N2755" s="32"/>
      <c r="O2755" s="106"/>
      <c r="P2755" s="91">
        <f>IFERROR(__xludf.DUMMYFUNCTION("IFERROR(sum(FILTER($D:$N,$C:$C = $C2755,$A:$A &lt; $A2755,$B:$B = 12)),0) + sum($D2755:$N2755)"),0.0)</f>
        <v>0</v>
      </c>
      <c r="Q2755" s="92">
        <f t="shared" si="1"/>
        <v>0</v>
      </c>
      <c r="R2755" s="91">
        <f t="array" ref="R2755">IFERROR(INDEX('Fund YTD Target Values'!$1:$1000, MATCH($C2755,'Fund YTD Target Values'!$A:$A,0), MATCH($A2755,'Fund YTD Target Values'!$1:$1,0)),0)</f>
        <v>0</v>
      </c>
      <c r="S2755" s="91">
        <f>IFERROR(__xludf.DUMMYFUNCTION("IFERROR(sum(FILTER('Fund Investment Data'!$V:$V, 'Fund Investment Data'!$C:$C = $C2755, 'Fund Investment Data'!$A:$A &lt; $A2755)),0) + IFERROR(sum(FILTER('Fund Investment Data'!$V:$V, 'Fund Investment Data'!$C:$C = $C2755, 'Fund Investment Data'!$A:$A = $A2"&amp;"755, 'Fund Investment Data'!$B:$B &lt;= $B2755)),0)"),0.0)</f>
        <v>0</v>
      </c>
      <c r="T2755" s="32"/>
      <c r="U2755" s="32"/>
      <c r="V2755" s="32">
        <f>IFERROR(__xludf.DUMMYFUNCTION("$D2755 - IFERROR(FILTER($D:$D,$C:$C = $C2755, $A:$A = $A2755, $B:$B = $B2755 - 1),0)"),0.0)</f>
        <v>0</v>
      </c>
      <c r="W2755" s="93">
        <f>IFERROR(__xludf.DUMMYFUNCTION("$E2755 - IFERROR(FILTER($E:$E,$C:$C = $C2755, $A:$A = $A2755, $B:$B = $B2755 - 1),0)"),0.0)</f>
        <v>0</v>
      </c>
      <c r="X2755" s="91">
        <f>IFERROR(__xludf.DUMMYFUNCTION("iFERROR((FILTER('Fund Investment Data'!$Z:$Z, 'Fund Investment Data'!$C:$C = $C2755, 'Fund Investment Data'!$A:$A = $A2755 - 1, 'Fund Investment Data'!$B:$B = 12) + FILTER('Fund Investment Data'!$AB:$AB, 'Fund Investment Data'!$C:$C = $C2755, 'Fund Invest"&amp;"ment Data'!$A:$A = $A2755 - 1, 'Fund Investment Data'!$B:$B = 12)) * (1 + AVERAGE(FILTER('Inflation Data'!$C:$C,'Inflation Data'!$A:$A = ($A2755 - 2)))) * Parameters!$A$4,0)"),0.0)</f>
        <v>0</v>
      </c>
      <c r="Y2755" s="91">
        <f>IFERROR(__xludf.DUMMYFUNCTION("IFERROR((IFERROR(FILTER('Fund Investment Data'!$P:$P,'Fund Investment Data'!$C:$C = $C2755,'Fund Investment Data'!$A:$A = ($A2755 - 2), 'Fund Investment Data'!$B:$B = 12),0) - SUM(FILTER('Fund Investment Data'!$V:$V, 'Fund Investment Data'!$C:$C = $C2755,"&amp;" 'Fund Investment Data'!$A:$A = ($A2755 - 2), 'Fund Investment Data'!$B:$B &gt; 3)))  * Parameters!$B$4 * (1 - Parameters!$A$4),0)"),0.0)</f>
        <v>0</v>
      </c>
      <c r="Z2755" s="91">
        <f t="shared" si="24"/>
        <v>0</v>
      </c>
      <c r="AA2755" s="91">
        <f>IFERROR(__xludf.DUMMYFUNCTION("((IFERROR((SUM(FILTER('Fund Investment Data'!$V:$V, 'Fund Investment Data'!$C:$C = $C2755, 'Fund Investment Data'!$A:$A = $A2755 - 1, 'Fund Investment Data'!$B:$B &gt;= 4, 'Fund Investment Data'!$B:$B &lt;= ($B2755 + 5))) / 12) * ($B2755 - 3) * Parameters!$B$4,"&amp;" 0) + IF($B2755 &gt;= 9, IFERROR(SUM(FILTER('Fund Investment Data'!$V:$V, 'Fund Investment Data'!$C:$C = $C2755, 'Fund Investment Data'!$A:$A = $A2755, 'Fund Investment Data'!$B:$B &lt;= 3)) * Parameters!$B$4, 0),0)))"),0.0)</f>
        <v>0</v>
      </c>
      <c r="AB2755" s="32">
        <f>IFERROR(__xludf.DUMMYFUNCTION("IFERROR(((IFERROR(SUM(FILTER('Fund Investment Data'!$V:$V, 'Fund Investment Data'!$C:$C = $C2755, 'Fund Investment Data'!$A:$A = $A2755 - 2, 'Fund Investment Data'!$B:$B &gt;= 4)) * Parameters!$B$4,0) + IFERROR(SUM(FILTER('Fund Investment Data'!$V:$V, 'Fund "&amp;"Investment Data'!$C:$C = $C2755, 'Fund Investment Data'!$A:$A = $A2755 - 1, 'Fund Investment Data'!$B:$B &lt;= 3)) * Parameters!$B$4,0))),0)"),0.0)</f>
        <v>0</v>
      </c>
      <c r="AC2755" s="32">
        <f>IFERROR(__xludf.DUMMYFUNCTION("IFERROR(FILTER($AF:$AF,$C:$C = $C2755,$A:$A = $A2755 - 1,$B:$B = 12),0)"),0.0)</f>
        <v>0</v>
      </c>
      <c r="AD2755" s="32">
        <f t="shared" si="23"/>
        <v>0</v>
      </c>
      <c r="AE2755" s="32">
        <f t="shared" si="2"/>
        <v>0</v>
      </c>
      <c r="AF2755" s="32"/>
    </row>
    <row r="2756">
      <c r="A2756" s="86"/>
      <c r="B2756" s="87"/>
      <c r="C2756" s="88"/>
      <c r="D2756" s="104"/>
      <c r="E2756" s="104"/>
      <c r="F2756" s="104"/>
      <c r="G2756" s="104"/>
      <c r="H2756" s="104"/>
      <c r="I2756" s="104"/>
      <c r="J2756" s="104"/>
      <c r="K2756" s="32"/>
      <c r="L2756" s="32"/>
      <c r="M2756" s="32"/>
      <c r="N2756" s="32"/>
      <c r="O2756" s="106"/>
      <c r="P2756" s="91">
        <f>IFERROR(__xludf.DUMMYFUNCTION("IFERROR(sum(FILTER($D:$N,$C:$C = $C2756,$A:$A &lt; $A2756,$B:$B = 12)),0) + sum($D2756:$N2756)"),0.0)</f>
        <v>0</v>
      </c>
      <c r="Q2756" s="92">
        <f t="shared" si="1"/>
        <v>0</v>
      </c>
      <c r="R2756" s="91">
        <f t="array" ref="R2756">IFERROR(INDEX('Fund YTD Target Values'!$1:$1000, MATCH($C2756,'Fund YTD Target Values'!$A:$A,0), MATCH($A2756,'Fund YTD Target Values'!$1:$1,0)),0)</f>
        <v>0</v>
      </c>
      <c r="S2756" s="91">
        <f>IFERROR(__xludf.DUMMYFUNCTION("IFERROR(sum(FILTER('Fund Investment Data'!$V:$V, 'Fund Investment Data'!$C:$C = $C2756, 'Fund Investment Data'!$A:$A &lt; $A2756)),0) + IFERROR(sum(FILTER('Fund Investment Data'!$V:$V, 'Fund Investment Data'!$C:$C = $C2756, 'Fund Investment Data'!$A:$A = $A2"&amp;"756, 'Fund Investment Data'!$B:$B &lt;= $B2756)),0)"),0.0)</f>
        <v>0</v>
      </c>
      <c r="T2756" s="32"/>
      <c r="U2756" s="32"/>
      <c r="V2756" s="32">
        <f>IFERROR(__xludf.DUMMYFUNCTION("$D2756 - IFERROR(FILTER($D:$D,$C:$C = $C2756, $A:$A = $A2756, $B:$B = $B2756 - 1),0)"),0.0)</f>
        <v>0</v>
      </c>
      <c r="W2756" s="93">
        <f>IFERROR(__xludf.DUMMYFUNCTION("$E2756 - IFERROR(FILTER($E:$E,$C:$C = $C2756, $A:$A = $A2756, $B:$B = $B2756 - 1),0)"),0.0)</f>
        <v>0</v>
      </c>
      <c r="X2756" s="91">
        <f>IFERROR(__xludf.DUMMYFUNCTION("iFERROR((FILTER('Fund Investment Data'!$Z:$Z, 'Fund Investment Data'!$C:$C = $C2756, 'Fund Investment Data'!$A:$A = $A2756 - 1, 'Fund Investment Data'!$B:$B = 12) + FILTER('Fund Investment Data'!$AB:$AB, 'Fund Investment Data'!$C:$C = $C2756, 'Fund Invest"&amp;"ment Data'!$A:$A = $A2756 - 1, 'Fund Investment Data'!$B:$B = 12)) * (1 + AVERAGE(FILTER('Inflation Data'!$C:$C,'Inflation Data'!$A:$A = ($A2756 - 2)))) * Parameters!$A$4,0)"),0.0)</f>
        <v>0</v>
      </c>
      <c r="Y2756" s="91">
        <f>IFERROR(__xludf.DUMMYFUNCTION("IFERROR((IFERROR(FILTER('Fund Investment Data'!$P:$P,'Fund Investment Data'!$C:$C = $C2756,'Fund Investment Data'!$A:$A = ($A2756 - 2), 'Fund Investment Data'!$B:$B = 12),0) - SUM(FILTER('Fund Investment Data'!$V:$V, 'Fund Investment Data'!$C:$C = $C2756,"&amp;" 'Fund Investment Data'!$A:$A = ($A2756 - 2), 'Fund Investment Data'!$B:$B &gt; 3)))  * Parameters!$B$4 * (1 - Parameters!$A$4),0)"),0.0)</f>
        <v>0</v>
      </c>
      <c r="Z2756" s="91">
        <f t="shared" si="24"/>
        <v>0</v>
      </c>
      <c r="AA2756" s="91">
        <f>IFERROR(__xludf.DUMMYFUNCTION("((IFERROR((SUM(FILTER('Fund Investment Data'!$V:$V, 'Fund Investment Data'!$C:$C = $C2756, 'Fund Investment Data'!$A:$A = $A2756 - 1, 'Fund Investment Data'!$B:$B &gt;= 4, 'Fund Investment Data'!$B:$B &lt;= ($B2756 + 5))) / 12) * ($B2756 - 3) * Parameters!$B$4,"&amp;" 0) + IF($B2756 &gt;= 9, IFERROR(SUM(FILTER('Fund Investment Data'!$V:$V, 'Fund Investment Data'!$C:$C = $C2756, 'Fund Investment Data'!$A:$A = $A2756, 'Fund Investment Data'!$B:$B &lt;= 3)) * Parameters!$B$4, 0),0)))"),0.0)</f>
        <v>0</v>
      </c>
      <c r="AB2756" s="32">
        <f>IFERROR(__xludf.DUMMYFUNCTION("IFERROR(((IFERROR(SUM(FILTER('Fund Investment Data'!$V:$V, 'Fund Investment Data'!$C:$C = $C2756, 'Fund Investment Data'!$A:$A = $A2756 - 2, 'Fund Investment Data'!$B:$B &gt;= 4)) * Parameters!$B$4,0) + IFERROR(SUM(FILTER('Fund Investment Data'!$V:$V, 'Fund "&amp;"Investment Data'!$C:$C = $C2756, 'Fund Investment Data'!$A:$A = $A2756 - 1, 'Fund Investment Data'!$B:$B &lt;= 3)) * Parameters!$B$4,0))),0)"),0.0)</f>
        <v>0</v>
      </c>
      <c r="AC2756" s="32">
        <f>IFERROR(__xludf.DUMMYFUNCTION("IFERROR(FILTER($AF:$AF,$C:$C = $C2756,$A:$A = $A2756 - 1,$B:$B = 12),0)"),0.0)</f>
        <v>0</v>
      </c>
      <c r="AD2756" s="32">
        <f t="shared" si="23"/>
        <v>0</v>
      </c>
      <c r="AE2756" s="32">
        <f t="shared" si="2"/>
        <v>0</v>
      </c>
      <c r="AF2756" s="32"/>
    </row>
    <row r="2757">
      <c r="A2757" s="86"/>
      <c r="B2757" s="87"/>
      <c r="C2757" s="88"/>
      <c r="D2757" s="104"/>
      <c r="E2757" s="104"/>
      <c r="F2757" s="104"/>
      <c r="G2757" s="104"/>
      <c r="H2757" s="104"/>
      <c r="I2757" s="104"/>
      <c r="J2757" s="104"/>
      <c r="K2757" s="32"/>
      <c r="L2757" s="32"/>
      <c r="M2757" s="32"/>
      <c r="N2757" s="32"/>
      <c r="O2757" s="106"/>
      <c r="P2757" s="91">
        <f>IFERROR(__xludf.DUMMYFUNCTION("IFERROR(sum(FILTER($D:$N,$C:$C = $C2757,$A:$A &lt; $A2757,$B:$B = 12)),0) + sum($D2757:$N2757)"),0.0)</f>
        <v>0</v>
      </c>
      <c r="Q2757" s="92">
        <f t="shared" si="1"/>
        <v>0</v>
      </c>
      <c r="R2757" s="91">
        <f t="array" ref="R2757">IFERROR(INDEX('Fund YTD Target Values'!$1:$1000, MATCH($C2757,'Fund YTD Target Values'!$A:$A,0), MATCH($A2757,'Fund YTD Target Values'!$1:$1,0)),0)</f>
        <v>0</v>
      </c>
      <c r="S2757" s="91">
        <f>IFERROR(__xludf.DUMMYFUNCTION("IFERROR(sum(FILTER('Fund Investment Data'!$V:$V, 'Fund Investment Data'!$C:$C = $C2757, 'Fund Investment Data'!$A:$A &lt; $A2757)),0) + IFERROR(sum(FILTER('Fund Investment Data'!$V:$V, 'Fund Investment Data'!$C:$C = $C2757, 'Fund Investment Data'!$A:$A = $A2"&amp;"757, 'Fund Investment Data'!$B:$B &lt;= $B2757)),0)"),0.0)</f>
        <v>0</v>
      </c>
      <c r="T2757" s="32"/>
      <c r="U2757" s="32"/>
      <c r="V2757" s="32">
        <f>IFERROR(__xludf.DUMMYFUNCTION("$D2757 - IFERROR(FILTER($D:$D,$C:$C = $C2757, $A:$A = $A2757, $B:$B = $B2757 - 1),0)"),0.0)</f>
        <v>0</v>
      </c>
      <c r="W2757" s="93">
        <f>IFERROR(__xludf.DUMMYFUNCTION("$E2757 - IFERROR(FILTER($E:$E,$C:$C = $C2757, $A:$A = $A2757, $B:$B = $B2757 - 1),0)"),0.0)</f>
        <v>0</v>
      </c>
      <c r="X2757" s="91">
        <f>IFERROR(__xludf.DUMMYFUNCTION("iFERROR((FILTER('Fund Investment Data'!$Z:$Z, 'Fund Investment Data'!$C:$C = $C2757, 'Fund Investment Data'!$A:$A = $A2757 - 1, 'Fund Investment Data'!$B:$B = 12) + FILTER('Fund Investment Data'!$AB:$AB, 'Fund Investment Data'!$C:$C = $C2757, 'Fund Invest"&amp;"ment Data'!$A:$A = $A2757 - 1, 'Fund Investment Data'!$B:$B = 12)) * (1 + AVERAGE(FILTER('Inflation Data'!$C:$C,'Inflation Data'!$A:$A = ($A2757 - 2)))) * Parameters!$A$4,0)"),0.0)</f>
        <v>0</v>
      </c>
      <c r="Y2757" s="91">
        <f>IFERROR(__xludf.DUMMYFUNCTION("IFERROR((IFERROR(FILTER('Fund Investment Data'!$P:$P,'Fund Investment Data'!$C:$C = $C2757,'Fund Investment Data'!$A:$A = ($A2757 - 2), 'Fund Investment Data'!$B:$B = 12),0) - SUM(FILTER('Fund Investment Data'!$V:$V, 'Fund Investment Data'!$C:$C = $C2757,"&amp;" 'Fund Investment Data'!$A:$A = ($A2757 - 2), 'Fund Investment Data'!$B:$B &gt; 3)))  * Parameters!$B$4 * (1 - Parameters!$A$4),0)"),0.0)</f>
        <v>0</v>
      </c>
      <c r="Z2757" s="91">
        <f t="shared" si="24"/>
        <v>0</v>
      </c>
      <c r="AA2757" s="91">
        <f>IFERROR(__xludf.DUMMYFUNCTION("((IFERROR((SUM(FILTER('Fund Investment Data'!$V:$V, 'Fund Investment Data'!$C:$C = $C2757, 'Fund Investment Data'!$A:$A = $A2757 - 1, 'Fund Investment Data'!$B:$B &gt;= 4, 'Fund Investment Data'!$B:$B &lt;= ($B2757 + 5))) / 12) * ($B2757 - 3) * Parameters!$B$4,"&amp;" 0) + IF($B2757 &gt;= 9, IFERROR(SUM(FILTER('Fund Investment Data'!$V:$V, 'Fund Investment Data'!$C:$C = $C2757, 'Fund Investment Data'!$A:$A = $A2757, 'Fund Investment Data'!$B:$B &lt;= 3)) * Parameters!$B$4, 0),0)))"),0.0)</f>
        <v>0</v>
      </c>
      <c r="AB2757" s="32">
        <f>IFERROR(__xludf.DUMMYFUNCTION("IFERROR(((IFERROR(SUM(FILTER('Fund Investment Data'!$V:$V, 'Fund Investment Data'!$C:$C = $C2757, 'Fund Investment Data'!$A:$A = $A2757 - 2, 'Fund Investment Data'!$B:$B &gt;= 4)) * Parameters!$B$4,0) + IFERROR(SUM(FILTER('Fund Investment Data'!$V:$V, 'Fund "&amp;"Investment Data'!$C:$C = $C2757, 'Fund Investment Data'!$A:$A = $A2757 - 1, 'Fund Investment Data'!$B:$B &lt;= 3)) * Parameters!$B$4,0))),0)"),0.0)</f>
        <v>0</v>
      </c>
      <c r="AC2757" s="32">
        <f>IFERROR(__xludf.DUMMYFUNCTION("IFERROR(FILTER($AF:$AF,$C:$C = $C2757,$A:$A = $A2757 - 1,$B:$B = 12),0)"),0.0)</f>
        <v>0</v>
      </c>
      <c r="AD2757" s="32">
        <f t="shared" si="23"/>
        <v>0</v>
      </c>
      <c r="AE2757" s="32">
        <f t="shared" si="2"/>
        <v>0</v>
      </c>
      <c r="AF2757" s="32"/>
    </row>
    <row r="2758">
      <c r="A2758" s="86"/>
      <c r="B2758" s="87"/>
      <c r="C2758" s="88"/>
      <c r="D2758" s="104"/>
      <c r="E2758" s="104"/>
      <c r="F2758" s="104"/>
      <c r="G2758" s="104"/>
      <c r="H2758" s="104"/>
      <c r="I2758" s="104"/>
      <c r="J2758" s="104"/>
      <c r="K2758" s="32"/>
      <c r="L2758" s="32"/>
      <c r="M2758" s="32"/>
      <c r="N2758" s="32"/>
      <c r="O2758" s="106"/>
      <c r="P2758" s="91">
        <f>IFERROR(__xludf.DUMMYFUNCTION("IFERROR(sum(FILTER($D:$N,$C:$C = $C2758,$A:$A &lt; $A2758,$B:$B = 12)),0) + sum($D2758:$N2758)"),0.0)</f>
        <v>0</v>
      </c>
      <c r="Q2758" s="92">
        <f t="shared" si="1"/>
        <v>0</v>
      </c>
      <c r="R2758" s="91">
        <f t="array" ref="R2758">IFERROR(INDEX('Fund YTD Target Values'!$1:$1000, MATCH($C2758,'Fund YTD Target Values'!$A:$A,0), MATCH($A2758,'Fund YTD Target Values'!$1:$1,0)),0)</f>
        <v>0</v>
      </c>
      <c r="S2758" s="91">
        <f>IFERROR(__xludf.DUMMYFUNCTION("IFERROR(sum(FILTER('Fund Investment Data'!$V:$V, 'Fund Investment Data'!$C:$C = $C2758, 'Fund Investment Data'!$A:$A &lt; $A2758)),0) + IFERROR(sum(FILTER('Fund Investment Data'!$V:$V, 'Fund Investment Data'!$C:$C = $C2758, 'Fund Investment Data'!$A:$A = $A2"&amp;"758, 'Fund Investment Data'!$B:$B &lt;= $B2758)),0)"),0.0)</f>
        <v>0</v>
      </c>
      <c r="T2758" s="32"/>
      <c r="U2758" s="32"/>
      <c r="V2758" s="32">
        <f>IFERROR(__xludf.DUMMYFUNCTION("$D2758 - IFERROR(FILTER($D:$D,$C:$C = $C2758, $A:$A = $A2758, $B:$B = $B2758 - 1),0)"),0.0)</f>
        <v>0</v>
      </c>
      <c r="W2758" s="93">
        <f>IFERROR(__xludf.DUMMYFUNCTION("$E2758 - IFERROR(FILTER($E:$E,$C:$C = $C2758, $A:$A = $A2758, $B:$B = $B2758 - 1),0)"),0.0)</f>
        <v>0</v>
      </c>
      <c r="X2758" s="91">
        <f>IFERROR(__xludf.DUMMYFUNCTION("iFERROR((FILTER('Fund Investment Data'!$Z:$Z, 'Fund Investment Data'!$C:$C = $C2758, 'Fund Investment Data'!$A:$A = $A2758 - 1, 'Fund Investment Data'!$B:$B = 12) + FILTER('Fund Investment Data'!$AB:$AB, 'Fund Investment Data'!$C:$C = $C2758, 'Fund Invest"&amp;"ment Data'!$A:$A = $A2758 - 1, 'Fund Investment Data'!$B:$B = 12)) * (1 + AVERAGE(FILTER('Inflation Data'!$C:$C,'Inflation Data'!$A:$A = ($A2758 - 2)))) * Parameters!$A$4,0)"),0.0)</f>
        <v>0</v>
      </c>
      <c r="Y2758" s="91">
        <f>IFERROR(__xludf.DUMMYFUNCTION("IFERROR((IFERROR(FILTER('Fund Investment Data'!$P:$P,'Fund Investment Data'!$C:$C = $C2758,'Fund Investment Data'!$A:$A = ($A2758 - 2), 'Fund Investment Data'!$B:$B = 12),0) - SUM(FILTER('Fund Investment Data'!$V:$V, 'Fund Investment Data'!$C:$C = $C2758,"&amp;" 'Fund Investment Data'!$A:$A = ($A2758 - 2), 'Fund Investment Data'!$B:$B &gt; 3)))  * Parameters!$B$4 * (1 - Parameters!$A$4),0)"),0.0)</f>
        <v>0</v>
      </c>
      <c r="Z2758" s="91">
        <f t="shared" si="24"/>
        <v>0</v>
      </c>
      <c r="AA2758" s="91">
        <f>IFERROR(__xludf.DUMMYFUNCTION("((IFERROR((SUM(FILTER('Fund Investment Data'!$V:$V, 'Fund Investment Data'!$C:$C = $C2758, 'Fund Investment Data'!$A:$A = $A2758 - 1, 'Fund Investment Data'!$B:$B &gt;= 4, 'Fund Investment Data'!$B:$B &lt;= ($B2758 + 5))) / 12) * ($B2758 - 3) * Parameters!$B$4,"&amp;" 0) + IF($B2758 &gt;= 9, IFERROR(SUM(FILTER('Fund Investment Data'!$V:$V, 'Fund Investment Data'!$C:$C = $C2758, 'Fund Investment Data'!$A:$A = $A2758, 'Fund Investment Data'!$B:$B &lt;= 3)) * Parameters!$B$4, 0),0)))"),0.0)</f>
        <v>0</v>
      </c>
      <c r="AB2758" s="32">
        <f>IFERROR(__xludf.DUMMYFUNCTION("IFERROR(((IFERROR(SUM(FILTER('Fund Investment Data'!$V:$V, 'Fund Investment Data'!$C:$C = $C2758, 'Fund Investment Data'!$A:$A = $A2758 - 2, 'Fund Investment Data'!$B:$B &gt;= 4)) * Parameters!$B$4,0) + IFERROR(SUM(FILTER('Fund Investment Data'!$V:$V, 'Fund "&amp;"Investment Data'!$C:$C = $C2758, 'Fund Investment Data'!$A:$A = $A2758 - 1, 'Fund Investment Data'!$B:$B &lt;= 3)) * Parameters!$B$4,0))),0)"),0.0)</f>
        <v>0</v>
      </c>
      <c r="AC2758" s="32">
        <f>IFERROR(__xludf.DUMMYFUNCTION("IFERROR(FILTER($AF:$AF,$C:$C = $C2758,$A:$A = $A2758 - 1,$B:$B = 12),0)"),0.0)</f>
        <v>0</v>
      </c>
      <c r="AD2758" s="32">
        <f t="shared" si="23"/>
        <v>0</v>
      </c>
      <c r="AE2758" s="32">
        <f t="shared" si="2"/>
        <v>0</v>
      </c>
      <c r="AF2758" s="32"/>
    </row>
    <row r="2759">
      <c r="A2759" s="86"/>
      <c r="B2759" s="87"/>
      <c r="C2759" s="88"/>
      <c r="D2759" s="104"/>
      <c r="E2759" s="104"/>
      <c r="F2759" s="104"/>
      <c r="G2759" s="104"/>
      <c r="H2759" s="104"/>
      <c r="I2759" s="104"/>
      <c r="J2759" s="104"/>
      <c r="K2759" s="32"/>
      <c r="L2759" s="32"/>
      <c r="M2759" s="32"/>
      <c r="N2759" s="32"/>
      <c r="O2759" s="106"/>
      <c r="P2759" s="91">
        <f>IFERROR(__xludf.DUMMYFUNCTION("IFERROR(sum(FILTER($D:$N,$C:$C = $C2759,$A:$A &lt; $A2759,$B:$B = 12)),0) + sum($D2759:$N2759)"),0.0)</f>
        <v>0</v>
      </c>
      <c r="Q2759" s="92">
        <f t="shared" si="1"/>
        <v>0</v>
      </c>
      <c r="R2759" s="91">
        <f t="array" ref="R2759">IFERROR(INDEX('Fund YTD Target Values'!$1:$1000, MATCH($C2759,'Fund YTD Target Values'!$A:$A,0), MATCH($A2759,'Fund YTD Target Values'!$1:$1,0)),0)</f>
        <v>0</v>
      </c>
      <c r="S2759" s="91">
        <f>IFERROR(__xludf.DUMMYFUNCTION("IFERROR(sum(FILTER('Fund Investment Data'!$V:$V, 'Fund Investment Data'!$C:$C = $C2759, 'Fund Investment Data'!$A:$A &lt; $A2759)),0) + IFERROR(sum(FILTER('Fund Investment Data'!$V:$V, 'Fund Investment Data'!$C:$C = $C2759, 'Fund Investment Data'!$A:$A = $A2"&amp;"759, 'Fund Investment Data'!$B:$B &lt;= $B2759)),0)"),0.0)</f>
        <v>0</v>
      </c>
      <c r="T2759" s="32"/>
      <c r="U2759" s="32"/>
      <c r="V2759" s="32">
        <f>IFERROR(__xludf.DUMMYFUNCTION("$D2759 - IFERROR(FILTER($D:$D,$C:$C = $C2759, $A:$A = $A2759, $B:$B = $B2759 - 1),0)"),0.0)</f>
        <v>0</v>
      </c>
      <c r="W2759" s="93">
        <f>IFERROR(__xludf.DUMMYFUNCTION("$E2759 - IFERROR(FILTER($E:$E,$C:$C = $C2759, $A:$A = $A2759, $B:$B = $B2759 - 1),0)"),0.0)</f>
        <v>0</v>
      </c>
      <c r="X2759" s="91">
        <f>IFERROR(__xludf.DUMMYFUNCTION("iFERROR((FILTER('Fund Investment Data'!$Z:$Z, 'Fund Investment Data'!$C:$C = $C2759, 'Fund Investment Data'!$A:$A = $A2759 - 1, 'Fund Investment Data'!$B:$B = 12) + FILTER('Fund Investment Data'!$AB:$AB, 'Fund Investment Data'!$C:$C = $C2759, 'Fund Invest"&amp;"ment Data'!$A:$A = $A2759 - 1, 'Fund Investment Data'!$B:$B = 12)) * (1 + AVERAGE(FILTER('Inflation Data'!$C:$C,'Inflation Data'!$A:$A = ($A2759 - 2)))) * Parameters!$A$4,0)"),0.0)</f>
        <v>0</v>
      </c>
      <c r="Y2759" s="91">
        <f>IFERROR(__xludf.DUMMYFUNCTION("IFERROR((IFERROR(FILTER('Fund Investment Data'!$P:$P,'Fund Investment Data'!$C:$C = $C2759,'Fund Investment Data'!$A:$A = ($A2759 - 2), 'Fund Investment Data'!$B:$B = 12),0) - SUM(FILTER('Fund Investment Data'!$V:$V, 'Fund Investment Data'!$C:$C = $C2759,"&amp;" 'Fund Investment Data'!$A:$A = ($A2759 - 2), 'Fund Investment Data'!$B:$B &gt; 3)))  * Parameters!$B$4 * (1 - Parameters!$A$4),0)"),0.0)</f>
        <v>0</v>
      </c>
      <c r="Z2759" s="91">
        <f t="shared" si="24"/>
        <v>0</v>
      </c>
      <c r="AA2759" s="91">
        <f>IFERROR(__xludf.DUMMYFUNCTION("((IFERROR((SUM(FILTER('Fund Investment Data'!$V:$V, 'Fund Investment Data'!$C:$C = $C2759, 'Fund Investment Data'!$A:$A = $A2759 - 1, 'Fund Investment Data'!$B:$B &gt;= 4, 'Fund Investment Data'!$B:$B &lt;= ($B2759 + 5))) / 12) * ($B2759 - 3) * Parameters!$B$4,"&amp;" 0) + IF($B2759 &gt;= 9, IFERROR(SUM(FILTER('Fund Investment Data'!$V:$V, 'Fund Investment Data'!$C:$C = $C2759, 'Fund Investment Data'!$A:$A = $A2759, 'Fund Investment Data'!$B:$B &lt;= 3)) * Parameters!$B$4, 0),0)))"),0.0)</f>
        <v>0</v>
      </c>
      <c r="AB2759" s="32">
        <f>IFERROR(__xludf.DUMMYFUNCTION("IFERROR(((IFERROR(SUM(FILTER('Fund Investment Data'!$V:$V, 'Fund Investment Data'!$C:$C = $C2759, 'Fund Investment Data'!$A:$A = $A2759 - 2, 'Fund Investment Data'!$B:$B &gt;= 4)) * Parameters!$B$4,0) + IFERROR(SUM(FILTER('Fund Investment Data'!$V:$V, 'Fund "&amp;"Investment Data'!$C:$C = $C2759, 'Fund Investment Data'!$A:$A = $A2759 - 1, 'Fund Investment Data'!$B:$B &lt;= 3)) * Parameters!$B$4,0))),0)"),0.0)</f>
        <v>0</v>
      </c>
      <c r="AC2759" s="32">
        <f>IFERROR(__xludf.DUMMYFUNCTION("IFERROR(FILTER($AF:$AF,$C:$C = $C2759,$A:$A = $A2759 - 1,$B:$B = 12),0)"),0.0)</f>
        <v>0</v>
      </c>
      <c r="AD2759" s="32">
        <f t="shared" si="23"/>
        <v>0</v>
      </c>
      <c r="AE2759" s="32">
        <f t="shared" si="2"/>
        <v>0</v>
      </c>
      <c r="AF2759" s="32"/>
    </row>
    <row r="2760">
      <c r="A2760" s="86"/>
      <c r="B2760" s="87"/>
      <c r="C2760" s="88"/>
      <c r="D2760" s="104"/>
      <c r="E2760" s="104"/>
      <c r="F2760" s="104"/>
      <c r="G2760" s="104"/>
      <c r="H2760" s="104"/>
      <c r="I2760" s="104"/>
      <c r="J2760" s="104"/>
      <c r="K2760" s="32"/>
      <c r="L2760" s="32"/>
      <c r="M2760" s="32"/>
      <c r="N2760" s="32"/>
      <c r="O2760" s="106"/>
      <c r="P2760" s="91">
        <f>IFERROR(__xludf.DUMMYFUNCTION("IFERROR(sum(FILTER($D:$N,$C:$C = $C2760,$A:$A &lt; $A2760,$B:$B = 12)),0) + sum($D2760:$N2760)"),0.0)</f>
        <v>0</v>
      </c>
      <c r="Q2760" s="92">
        <f t="shared" si="1"/>
        <v>0</v>
      </c>
      <c r="R2760" s="91">
        <f t="array" ref="R2760">IFERROR(INDEX('Fund YTD Target Values'!$1:$1000, MATCH($C2760,'Fund YTD Target Values'!$A:$A,0), MATCH($A2760,'Fund YTD Target Values'!$1:$1,0)),0)</f>
        <v>0</v>
      </c>
      <c r="S2760" s="91">
        <f>IFERROR(__xludf.DUMMYFUNCTION("IFERROR(sum(FILTER('Fund Investment Data'!$V:$V, 'Fund Investment Data'!$C:$C = $C2760, 'Fund Investment Data'!$A:$A &lt; $A2760)),0) + IFERROR(sum(FILTER('Fund Investment Data'!$V:$V, 'Fund Investment Data'!$C:$C = $C2760, 'Fund Investment Data'!$A:$A = $A2"&amp;"760, 'Fund Investment Data'!$B:$B &lt;= $B2760)),0)"),0.0)</f>
        <v>0</v>
      </c>
      <c r="T2760" s="32"/>
      <c r="U2760" s="32"/>
      <c r="V2760" s="32">
        <f>IFERROR(__xludf.DUMMYFUNCTION("$D2760 - IFERROR(FILTER($D:$D,$C:$C = $C2760, $A:$A = $A2760, $B:$B = $B2760 - 1),0)"),0.0)</f>
        <v>0</v>
      </c>
      <c r="W2760" s="93">
        <f>IFERROR(__xludf.DUMMYFUNCTION("$E2760 - IFERROR(FILTER($E:$E,$C:$C = $C2760, $A:$A = $A2760, $B:$B = $B2760 - 1),0)"),0.0)</f>
        <v>0</v>
      </c>
      <c r="X2760" s="91">
        <f>IFERROR(__xludf.DUMMYFUNCTION("iFERROR((FILTER('Fund Investment Data'!$Z:$Z, 'Fund Investment Data'!$C:$C = $C2760, 'Fund Investment Data'!$A:$A = $A2760 - 1, 'Fund Investment Data'!$B:$B = 12) + FILTER('Fund Investment Data'!$AB:$AB, 'Fund Investment Data'!$C:$C = $C2760, 'Fund Invest"&amp;"ment Data'!$A:$A = $A2760 - 1, 'Fund Investment Data'!$B:$B = 12)) * (1 + AVERAGE(FILTER('Inflation Data'!$C:$C,'Inflation Data'!$A:$A = ($A2760 - 2)))) * Parameters!$A$4,0)"),0.0)</f>
        <v>0</v>
      </c>
      <c r="Y2760" s="91">
        <f>IFERROR(__xludf.DUMMYFUNCTION("IFERROR((IFERROR(FILTER('Fund Investment Data'!$P:$P,'Fund Investment Data'!$C:$C = $C2760,'Fund Investment Data'!$A:$A = ($A2760 - 2), 'Fund Investment Data'!$B:$B = 12),0) - SUM(FILTER('Fund Investment Data'!$V:$V, 'Fund Investment Data'!$C:$C = $C2760,"&amp;" 'Fund Investment Data'!$A:$A = ($A2760 - 2), 'Fund Investment Data'!$B:$B &gt; 3)))  * Parameters!$B$4 * (1 - Parameters!$A$4),0)"),0.0)</f>
        <v>0</v>
      </c>
      <c r="Z2760" s="91">
        <f t="shared" si="24"/>
        <v>0</v>
      </c>
      <c r="AA2760" s="91">
        <f>IFERROR(__xludf.DUMMYFUNCTION("((IFERROR((SUM(FILTER('Fund Investment Data'!$V:$V, 'Fund Investment Data'!$C:$C = $C2760, 'Fund Investment Data'!$A:$A = $A2760 - 1, 'Fund Investment Data'!$B:$B &gt;= 4, 'Fund Investment Data'!$B:$B &lt;= ($B2760 + 5))) / 12) * ($B2760 - 3) * Parameters!$B$4,"&amp;" 0) + IF($B2760 &gt;= 9, IFERROR(SUM(FILTER('Fund Investment Data'!$V:$V, 'Fund Investment Data'!$C:$C = $C2760, 'Fund Investment Data'!$A:$A = $A2760, 'Fund Investment Data'!$B:$B &lt;= 3)) * Parameters!$B$4, 0),0)))"),0.0)</f>
        <v>0</v>
      </c>
      <c r="AB2760" s="32">
        <f>IFERROR(__xludf.DUMMYFUNCTION("IFERROR(((IFERROR(SUM(FILTER('Fund Investment Data'!$V:$V, 'Fund Investment Data'!$C:$C = $C2760, 'Fund Investment Data'!$A:$A = $A2760 - 2, 'Fund Investment Data'!$B:$B &gt;= 4)) * Parameters!$B$4,0) + IFERROR(SUM(FILTER('Fund Investment Data'!$V:$V, 'Fund "&amp;"Investment Data'!$C:$C = $C2760, 'Fund Investment Data'!$A:$A = $A2760 - 1, 'Fund Investment Data'!$B:$B &lt;= 3)) * Parameters!$B$4,0))),0)"),0.0)</f>
        <v>0</v>
      </c>
      <c r="AC2760" s="32">
        <f>IFERROR(__xludf.DUMMYFUNCTION("IFERROR(FILTER($AF:$AF,$C:$C = $C2760,$A:$A = $A2760 - 1,$B:$B = 12),0)"),0.0)</f>
        <v>0</v>
      </c>
      <c r="AD2760" s="32">
        <f t="shared" si="23"/>
        <v>0</v>
      </c>
      <c r="AE2760" s="32">
        <f t="shared" si="2"/>
        <v>0</v>
      </c>
      <c r="AF2760" s="32"/>
    </row>
    <row r="2761">
      <c r="A2761" s="86"/>
      <c r="B2761" s="87"/>
      <c r="C2761" s="88"/>
      <c r="D2761" s="104"/>
      <c r="E2761" s="104"/>
      <c r="F2761" s="104"/>
      <c r="G2761" s="104"/>
      <c r="H2761" s="104"/>
      <c r="I2761" s="104"/>
      <c r="J2761" s="104"/>
      <c r="K2761" s="32"/>
      <c r="L2761" s="32"/>
      <c r="M2761" s="32"/>
      <c r="N2761" s="32"/>
      <c r="O2761" s="106"/>
      <c r="P2761" s="91">
        <f>IFERROR(__xludf.DUMMYFUNCTION("IFERROR(sum(FILTER($D:$N,$C:$C = $C2761,$A:$A &lt; $A2761,$B:$B = 12)),0) + sum($D2761:$N2761)"),0.0)</f>
        <v>0</v>
      </c>
      <c r="Q2761" s="92">
        <f t="shared" si="1"/>
        <v>0</v>
      </c>
      <c r="R2761" s="91">
        <f t="array" ref="R2761">IFERROR(INDEX('Fund YTD Target Values'!$1:$1000, MATCH($C2761,'Fund YTD Target Values'!$A:$A,0), MATCH($A2761,'Fund YTD Target Values'!$1:$1,0)),0)</f>
        <v>0</v>
      </c>
      <c r="S2761" s="91">
        <f>IFERROR(__xludf.DUMMYFUNCTION("IFERROR(sum(FILTER('Fund Investment Data'!$V:$V, 'Fund Investment Data'!$C:$C = $C2761, 'Fund Investment Data'!$A:$A &lt; $A2761)),0) + IFERROR(sum(FILTER('Fund Investment Data'!$V:$V, 'Fund Investment Data'!$C:$C = $C2761, 'Fund Investment Data'!$A:$A = $A2"&amp;"761, 'Fund Investment Data'!$B:$B &lt;= $B2761)),0)"),0.0)</f>
        <v>0</v>
      </c>
      <c r="T2761" s="32"/>
      <c r="U2761" s="32"/>
      <c r="V2761" s="32">
        <f>IFERROR(__xludf.DUMMYFUNCTION("$D2761 - IFERROR(FILTER($D:$D,$C:$C = $C2761, $A:$A = $A2761, $B:$B = $B2761 - 1),0)"),0.0)</f>
        <v>0</v>
      </c>
      <c r="W2761" s="93">
        <f>IFERROR(__xludf.DUMMYFUNCTION("$E2761 - IFERROR(FILTER($E:$E,$C:$C = $C2761, $A:$A = $A2761, $B:$B = $B2761 - 1),0)"),0.0)</f>
        <v>0</v>
      </c>
      <c r="X2761" s="91">
        <f>IFERROR(__xludf.DUMMYFUNCTION("iFERROR((FILTER('Fund Investment Data'!$Z:$Z, 'Fund Investment Data'!$C:$C = $C2761, 'Fund Investment Data'!$A:$A = $A2761 - 1, 'Fund Investment Data'!$B:$B = 12) + FILTER('Fund Investment Data'!$AB:$AB, 'Fund Investment Data'!$C:$C = $C2761, 'Fund Invest"&amp;"ment Data'!$A:$A = $A2761 - 1, 'Fund Investment Data'!$B:$B = 12)) * (1 + AVERAGE(FILTER('Inflation Data'!$C:$C,'Inflation Data'!$A:$A = ($A2761 - 2)))) * Parameters!$A$4,0)"),0.0)</f>
        <v>0</v>
      </c>
      <c r="Y2761" s="91">
        <f>IFERROR(__xludf.DUMMYFUNCTION("IFERROR((IFERROR(FILTER('Fund Investment Data'!$P:$P,'Fund Investment Data'!$C:$C = $C2761,'Fund Investment Data'!$A:$A = ($A2761 - 2), 'Fund Investment Data'!$B:$B = 12),0) - SUM(FILTER('Fund Investment Data'!$V:$V, 'Fund Investment Data'!$C:$C = $C2761,"&amp;" 'Fund Investment Data'!$A:$A = ($A2761 - 2), 'Fund Investment Data'!$B:$B &gt; 3)))  * Parameters!$B$4 * (1 - Parameters!$A$4),0)"),0.0)</f>
        <v>0</v>
      </c>
      <c r="Z2761" s="91">
        <f t="shared" si="24"/>
        <v>0</v>
      </c>
      <c r="AA2761" s="91">
        <f>IFERROR(__xludf.DUMMYFUNCTION("((IFERROR((SUM(FILTER('Fund Investment Data'!$V:$V, 'Fund Investment Data'!$C:$C = $C2761, 'Fund Investment Data'!$A:$A = $A2761 - 1, 'Fund Investment Data'!$B:$B &gt;= 4, 'Fund Investment Data'!$B:$B &lt;= ($B2761 + 5))) / 12) * ($B2761 - 3) * Parameters!$B$4,"&amp;" 0) + IF($B2761 &gt;= 9, IFERROR(SUM(FILTER('Fund Investment Data'!$V:$V, 'Fund Investment Data'!$C:$C = $C2761, 'Fund Investment Data'!$A:$A = $A2761, 'Fund Investment Data'!$B:$B &lt;= 3)) * Parameters!$B$4, 0),0)))"),0.0)</f>
        <v>0</v>
      </c>
      <c r="AB2761" s="32">
        <f>IFERROR(__xludf.DUMMYFUNCTION("IFERROR(((IFERROR(SUM(FILTER('Fund Investment Data'!$V:$V, 'Fund Investment Data'!$C:$C = $C2761, 'Fund Investment Data'!$A:$A = $A2761 - 2, 'Fund Investment Data'!$B:$B &gt;= 4)) * Parameters!$B$4,0) + IFERROR(SUM(FILTER('Fund Investment Data'!$V:$V, 'Fund "&amp;"Investment Data'!$C:$C = $C2761, 'Fund Investment Data'!$A:$A = $A2761 - 1, 'Fund Investment Data'!$B:$B &lt;= 3)) * Parameters!$B$4,0))),0)"),0.0)</f>
        <v>0</v>
      </c>
      <c r="AC2761" s="32">
        <f>IFERROR(__xludf.DUMMYFUNCTION("IFERROR(FILTER($AF:$AF,$C:$C = $C2761,$A:$A = $A2761 - 1,$B:$B = 12),0)"),0.0)</f>
        <v>0</v>
      </c>
      <c r="AD2761" s="32">
        <f t="shared" si="23"/>
        <v>0</v>
      </c>
      <c r="AE2761" s="32">
        <f t="shared" si="2"/>
        <v>0</v>
      </c>
      <c r="AF2761" s="32"/>
    </row>
    <row r="2762">
      <c r="A2762" s="86"/>
      <c r="B2762" s="87"/>
      <c r="C2762" s="88"/>
      <c r="D2762" s="104"/>
      <c r="E2762" s="104"/>
      <c r="F2762" s="104"/>
      <c r="G2762" s="104"/>
      <c r="H2762" s="104"/>
      <c r="I2762" s="104"/>
      <c r="J2762" s="104"/>
      <c r="K2762" s="32"/>
      <c r="L2762" s="32"/>
      <c r="M2762" s="32"/>
      <c r="N2762" s="32"/>
      <c r="O2762" s="106"/>
      <c r="P2762" s="91">
        <f>IFERROR(__xludf.DUMMYFUNCTION("IFERROR(sum(FILTER($D:$N,$C:$C = $C2762,$A:$A &lt; $A2762,$B:$B = 12)),0) + sum($D2762:$N2762)"),0.0)</f>
        <v>0</v>
      </c>
      <c r="Q2762" s="92">
        <f t="shared" si="1"/>
        <v>0</v>
      </c>
      <c r="R2762" s="91">
        <f t="array" ref="R2762">IFERROR(INDEX('Fund YTD Target Values'!$1:$1000, MATCH($C2762,'Fund YTD Target Values'!$A:$A,0), MATCH($A2762,'Fund YTD Target Values'!$1:$1,0)),0)</f>
        <v>0</v>
      </c>
      <c r="S2762" s="91">
        <f>IFERROR(__xludf.DUMMYFUNCTION("IFERROR(sum(FILTER('Fund Investment Data'!$V:$V, 'Fund Investment Data'!$C:$C = $C2762, 'Fund Investment Data'!$A:$A &lt; $A2762)),0) + IFERROR(sum(FILTER('Fund Investment Data'!$V:$V, 'Fund Investment Data'!$C:$C = $C2762, 'Fund Investment Data'!$A:$A = $A2"&amp;"762, 'Fund Investment Data'!$B:$B &lt;= $B2762)),0)"),0.0)</f>
        <v>0</v>
      </c>
      <c r="T2762" s="32"/>
      <c r="U2762" s="32"/>
      <c r="V2762" s="32">
        <f>IFERROR(__xludf.DUMMYFUNCTION("$D2762 - IFERROR(FILTER($D:$D,$C:$C = $C2762, $A:$A = $A2762, $B:$B = $B2762 - 1),0)"),0.0)</f>
        <v>0</v>
      </c>
      <c r="W2762" s="93">
        <f>IFERROR(__xludf.DUMMYFUNCTION("$E2762 - IFERROR(FILTER($E:$E,$C:$C = $C2762, $A:$A = $A2762, $B:$B = $B2762 - 1),0)"),0.0)</f>
        <v>0</v>
      </c>
      <c r="X2762" s="91">
        <f>IFERROR(__xludf.DUMMYFUNCTION("iFERROR((FILTER('Fund Investment Data'!$Z:$Z, 'Fund Investment Data'!$C:$C = $C2762, 'Fund Investment Data'!$A:$A = $A2762 - 1, 'Fund Investment Data'!$B:$B = 12) + FILTER('Fund Investment Data'!$AB:$AB, 'Fund Investment Data'!$C:$C = $C2762, 'Fund Invest"&amp;"ment Data'!$A:$A = $A2762 - 1, 'Fund Investment Data'!$B:$B = 12)) * (1 + AVERAGE(FILTER('Inflation Data'!$C:$C,'Inflation Data'!$A:$A = ($A2762 - 2)))) * Parameters!$A$4,0)"),0.0)</f>
        <v>0</v>
      </c>
      <c r="Y2762" s="91">
        <f>IFERROR(__xludf.DUMMYFUNCTION("IFERROR((IFERROR(FILTER('Fund Investment Data'!$P:$P,'Fund Investment Data'!$C:$C = $C2762,'Fund Investment Data'!$A:$A = ($A2762 - 2), 'Fund Investment Data'!$B:$B = 12),0) - SUM(FILTER('Fund Investment Data'!$V:$V, 'Fund Investment Data'!$C:$C = $C2762,"&amp;" 'Fund Investment Data'!$A:$A = ($A2762 - 2), 'Fund Investment Data'!$B:$B &gt; 3)))  * Parameters!$B$4 * (1 - Parameters!$A$4),0)"),0.0)</f>
        <v>0</v>
      </c>
      <c r="Z2762" s="91">
        <f t="shared" si="24"/>
        <v>0</v>
      </c>
      <c r="AA2762" s="91">
        <f>IFERROR(__xludf.DUMMYFUNCTION("((IFERROR((SUM(FILTER('Fund Investment Data'!$V:$V, 'Fund Investment Data'!$C:$C = $C2762, 'Fund Investment Data'!$A:$A = $A2762 - 1, 'Fund Investment Data'!$B:$B &gt;= 4, 'Fund Investment Data'!$B:$B &lt;= ($B2762 + 5))) / 12) * ($B2762 - 3) * Parameters!$B$4,"&amp;" 0) + IF($B2762 &gt;= 9, IFERROR(SUM(FILTER('Fund Investment Data'!$V:$V, 'Fund Investment Data'!$C:$C = $C2762, 'Fund Investment Data'!$A:$A = $A2762, 'Fund Investment Data'!$B:$B &lt;= 3)) * Parameters!$B$4, 0),0)))"),0.0)</f>
        <v>0</v>
      </c>
      <c r="AB2762" s="32">
        <f>IFERROR(__xludf.DUMMYFUNCTION("IFERROR(((IFERROR(SUM(FILTER('Fund Investment Data'!$V:$V, 'Fund Investment Data'!$C:$C = $C2762, 'Fund Investment Data'!$A:$A = $A2762 - 2, 'Fund Investment Data'!$B:$B &gt;= 4)) * Parameters!$B$4,0) + IFERROR(SUM(FILTER('Fund Investment Data'!$V:$V, 'Fund "&amp;"Investment Data'!$C:$C = $C2762, 'Fund Investment Data'!$A:$A = $A2762 - 1, 'Fund Investment Data'!$B:$B &lt;= 3)) * Parameters!$B$4,0))),0)"),0.0)</f>
        <v>0</v>
      </c>
      <c r="AC2762" s="32">
        <f>IFERROR(__xludf.DUMMYFUNCTION("IFERROR(FILTER($AF:$AF,$C:$C = $C2762,$A:$A = $A2762 - 1,$B:$B = 12),0)"),0.0)</f>
        <v>0</v>
      </c>
      <c r="AD2762" s="32">
        <f t="shared" si="23"/>
        <v>0</v>
      </c>
      <c r="AE2762" s="32">
        <f t="shared" si="2"/>
        <v>0</v>
      </c>
      <c r="AF2762" s="32"/>
    </row>
    <row r="2763">
      <c r="A2763" s="86"/>
      <c r="B2763" s="87"/>
      <c r="C2763" s="88"/>
      <c r="D2763" s="104"/>
      <c r="E2763" s="104"/>
      <c r="F2763" s="104"/>
      <c r="G2763" s="104"/>
      <c r="H2763" s="104"/>
      <c r="I2763" s="104"/>
      <c r="J2763" s="104"/>
      <c r="K2763" s="32"/>
      <c r="L2763" s="32"/>
      <c r="M2763" s="32"/>
      <c r="N2763" s="32"/>
      <c r="O2763" s="106"/>
      <c r="P2763" s="91">
        <f>IFERROR(__xludf.DUMMYFUNCTION("IFERROR(sum(FILTER($D:$N,$C:$C = $C2763,$A:$A &lt; $A2763,$B:$B = 12)),0) + sum($D2763:$N2763)"),0.0)</f>
        <v>0</v>
      </c>
      <c r="Q2763" s="92">
        <f t="shared" si="1"/>
        <v>0</v>
      </c>
      <c r="R2763" s="91">
        <f t="array" ref="R2763">IFERROR(INDEX('Fund YTD Target Values'!$1:$1000, MATCH($C2763,'Fund YTD Target Values'!$A:$A,0), MATCH($A2763,'Fund YTD Target Values'!$1:$1,0)),0)</f>
        <v>0</v>
      </c>
      <c r="S2763" s="91">
        <f>IFERROR(__xludf.DUMMYFUNCTION("IFERROR(sum(FILTER('Fund Investment Data'!$V:$V, 'Fund Investment Data'!$C:$C = $C2763, 'Fund Investment Data'!$A:$A &lt; $A2763)),0) + IFERROR(sum(FILTER('Fund Investment Data'!$V:$V, 'Fund Investment Data'!$C:$C = $C2763, 'Fund Investment Data'!$A:$A = $A2"&amp;"763, 'Fund Investment Data'!$B:$B &lt;= $B2763)),0)"),0.0)</f>
        <v>0</v>
      </c>
      <c r="T2763" s="32"/>
      <c r="U2763" s="32"/>
      <c r="V2763" s="32">
        <f>IFERROR(__xludf.DUMMYFUNCTION("$D2763 - IFERROR(FILTER($D:$D,$C:$C = $C2763, $A:$A = $A2763, $B:$B = $B2763 - 1),0)"),0.0)</f>
        <v>0</v>
      </c>
      <c r="W2763" s="93">
        <f>IFERROR(__xludf.DUMMYFUNCTION("$E2763 - IFERROR(FILTER($E:$E,$C:$C = $C2763, $A:$A = $A2763, $B:$B = $B2763 - 1),0)"),0.0)</f>
        <v>0</v>
      </c>
      <c r="X2763" s="91">
        <f>IFERROR(__xludf.DUMMYFUNCTION("iFERROR((FILTER('Fund Investment Data'!$Z:$Z, 'Fund Investment Data'!$C:$C = $C2763, 'Fund Investment Data'!$A:$A = $A2763 - 1, 'Fund Investment Data'!$B:$B = 12) + FILTER('Fund Investment Data'!$AB:$AB, 'Fund Investment Data'!$C:$C = $C2763, 'Fund Invest"&amp;"ment Data'!$A:$A = $A2763 - 1, 'Fund Investment Data'!$B:$B = 12)) * (1 + AVERAGE(FILTER('Inflation Data'!$C:$C,'Inflation Data'!$A:$A = ($A2763 - 2)))) * Parameters!$A$4,0)"),0.0)</f>
        <v>0</v>
      </c>
      <c r="Y2763" s="91">
        <f>IFERROR(__xludf.DUMMYFUNCTION("IFERROR((IFERROR(FILTER('Fund Investment Data'!$P:$P,'Fund Investment Data'!$C:$C = $C2763,'Fund Investment Data'!$A:$A = ($A2763 - 2), 'Fund Investment Data'!$B:$B = 12),0) - SUM(FILTER('Fund Investment Data'!$V:$V, 'Fund Investment Data'!$C:$C = $C2763,"&amp;" 'Fund Investment Data'!$A:$A = ($A2763 - 2), 'Fund Investment Data'!$B:$B &gt; 3)))  * Parameters!$B$4 * (1 - Parameters!$A$4),0)"),0.0)</f>
        <v>0</v>
      </c>
      <c r="Z2763" s="91">
        <f t="shared" si="24"/>
        <v>0</v>
      </c>
      <c r="AA2763" s="91">
        <f>IFERROR(__xludf.DUMMYFUNCTION("((IFERROR((SUM(FILTER('Fund Investment Data'!$V:$V, 'Fund Investment Data'!$C:$C = $C2763, 'Fund Investment Data'!$A:$A = $A2763 - 1, 'Fund Investment Data'!$B:$B &gt;= 4, 'Fund Investment Data'!$B:$B &lt;= ($B2763 + 5))) / 12) * ($B2763 - 3) * Parameters!$B$4,"&amp;" 0) + IF($B2763 &gt;= 9, IFERROR(SUM(FILTER('Fund Investment Data'!$V:$V, 'Fund Investment Data'!$C:$C = $C2763, 'Fund Investment Data'!$A:$A = $A2763, 'Fund Investment Data'!$B:$B &lt;= 3)) * Parameters!$B$4, 0),0)))"),0.0)</f>
        <v>0</v>
      </c>
      <c r="AB2763" s="32">
        <f>IFERROR(__xludf.DUMMYFUNCTION("IFERROR(((IFERROR(SUM(FILTER('Fund Investment Data'!$V:$V, 'Fund Investment Data'!$C:$C = $C2763, 'Fund Investment Data'!$A:$A = $A2763 - 2, 'Fund Investment Data'!$B:$B &gt;= 4)) * Parameters!$B$4,0) + IFERROR(SUM(FILTER('Fund Investment Data'!$V:$V, 'Fund "&amp;"Investment Data'!$C:$C = $C2763, 'Fund Investment Data'!$A:$A = $A2763 - 1, 'Fund Investment Data'!$B:$B &lt;= 3)) * Parameters!$B$4,0))),0)"),0.0)</f>
        <v>0</v>
      </c>
      <c r="AC2763" s="32">
        <f>IFERROR(__xludf.DUMMYFUNCTION("IFERROR(FILTER($AF:$AF,$C:$C = $C2763,$A:$A = $A2763 - 1,$B:$B = 12),0)"),0.0)</f>
        <v>0</v>
      </c>
      <c r="AD2763" s="32">
        <f t="shared" si="23"/>
        <v>0</v>
      </c>
      <c r="AE2763" s="32">
        <f t="shared" si="2"/>
        <v>0</v>
      </c>
      <c r="AF2763" s="32"/>
    </row>
    <row r="2764">
      <c r="A2764" s="86"/>
      <c r="B2764" s="87"/>
      <c r="C2764" s="88"/>
      <c r="D2764" s="104"/>
      <c r="E2764" s="104"/>
      <c r="F2764" s="104"/>
      <c r="G2764" s="104"/>
      <c r="H2764" s="104"/>
      <c r="I2764" s="104"/>
      <c r="J2764" s="104"/>
      <c r="K2764" s="32"/>
      <c r="L2764" s="32"/>
      <c r="M2764" s="32"/>
      <c r="N2764" s="32"/>
      <c r="O2764" s="106"/>
      <c r="P2764" s="91">
        <f>IFERROR(__xludf.DUMMYFUNCTION("IFERROR(sum(FILTER($D:$N,$C:$C = $C2764,$A:$A &lt; $A2764,$B:$B = 12)),0) + sum($D2764:$N2764)"),0.0)</f>
        <v>0</v>
      </c>
      <c r="Q2764" s="92">
        <f t="shared" si="1"/>
        <v>0</v>
      </c>
      <c r="R2764" s="91">
        <f t="array" ref="R2764">IFERROR(INDEX('Fund YTD Target Values'!$1:$1000, MATCH($C2764,'Fund YTD Target Values'!$A:$A,0), MATCH($A2764,'Fund YTD Target Values'!$1:$1,0)),0)</f>
        <v>0</v>
      </c>
      <c r="S2764" s="91">
        <f>IFERROR(__xludf.DUMMYFUNCTION("IFERROR(sum(FILTER('Fund Investment Data'!$V:$V, 'Fund Investment Data'!$C:$C = $C2764, 'Fund Investment Data'!$A:$A &lt; $A2764)),0) + IFERROR(sum(FILTER('Fund Investment Data'!$V:$V, 'Fund Investment Data'!$C:$C = $C2764, 'Fund Investment Data'!$A:$A = $A2"&amp;"764, 'Fund Investment Data'!$B:$B &lt;= $B2764)),0)"),0.0)</f>
        <v>0</v>
      </c>
      <c r="T2764" s="32"/>
      <c r="U2764" s="32"/>
      <c r="V2764" s="32">
        <f>IFERROR(__xludf.DUMMYFUNCTION("$D2764 - IFERROR(FILTER($D:$D,$C:$C = $C2764, $A:$A = $A2764, $B:$B = $B2764 - 1),0)"),0.0)</f>
        <v>0</v>
      </c>
      <c r="W2764" s="93">
        <f>IFERROR(__xludf.DUMMYFUNCTION("$E2764 - IFERROR(FILTER($E:$E,$C:$C = $C2764, $A:$A = $A2764, $B:$B = $B2764 - 1),0)"),0.0)</f>
        <v>0</v>
      </c>
      <c r="X2764" s="91">
        <f>IFERROR(__xludf.DUMMYFUNCTION("iFERROR((FILTER('Fund Investment Data'!$Z:$Z, 'Fund Investment Data'!$C:$C = $C2764, 'Fund Investment Data'!$A:$A = $A2764 - 1, 'Fund Investment Data'!$B:$B = 12) + FILTER('Fund Investment Data'!$AB:$AB, 'Fund Investment Data'!$C:$C = $C2764, 'Fund Invest"&amp;"ment Data'!$A:$A = $A2764 - 1, 'Fund Investment Data'!$B:$B = 12)) * (1 + AVERAGE(FILTER('Inflation Data'!$C:$C,'Inflation Data'!$A:$A = ($A2764 - 2)))) * Parameters!$A$4,0)"),0.0)</f>
        <v>0</v>
      </c>
      <c r="Y2764" s="91">
        <f>IFERROR(__xludf.DUMMYFUNCTION("IFERROR((IFERROR(FILTER('Fund Investment Data'!$P:$P,'Fund Investment Data'!$C:$C = $C2764,'Fund Investment Data'!$A:$A = ($A2764 - 2), 'Fund Investment Data'!$B:$B = 12),0) - SUM(FILTER('Fund Investment Data'!$V:$V, 'Fund Investment Data'!$C:$C = $C2764,"&amp;" 'Fund Investment Data'!$A:$A = ($A2764 - 2), 'Fund Investment Data'!$B:$B &gt; 3)))  * Parameters!$B$4 * (1 - Parameters!$A$4),0)"),0.0)</f>
        <v>0</v>
      </c>
      <c r="Z2764" s="91">
        <f t="shared" si="24"/>
        <v>0</v>
      </c>
      <c r="AA2764" s="91">
        <f>IFERROR(__xludf.DUMMYFUNCTION("((IFERROR((SUM(FILTER('Fund Investment Data'!$V:$V, 'Fund Investment Data'!$C:$C = $C2764, 'Fund Investment Data'!$A:$A = $A2764 - 1, 'Fund Investment Data'!$B:$B &gt;= 4, 'Fund Investment Data'!$B:$B &lt;= ($B2764 + 5))) / 12) * ($B2764 - 3) * Parameters!$B$4,"&amp;" 0) + IF($B2764 &gt;= 9, IFERROR(SUM(FILTER('Fund Investment Data'!$V:$V, 'Fund Investment Data'!$C:$C = $C2764, 'Fund Investment Data'!$A:$A = $A2764, 'Fund Investment Data'!$B:$B &lt;= 3)) * Parameters!$B$4, 0),0)))"),0.0)</f>
        <v>0</v>
      </c>
      <c r="AB2764" s="32">
        <f>IFERROR(__xludf.DUMMYFUNCTION("IFERROR(((IFERROR(SUM(FILTER('Fund Investment Data'!$V:$V, 'Fund Investment Data'!$C:$C = $C2764, 'Fund Investment Data'!$A:$A = $A2764 - 2, 'Fund Investment Data'!$B:$B &gt;= 4)) * Parameters!$B$4,0) + IFERROR(SUM(FILTER('Fund Investment Data'!$V:$V, 'Fund "&amp;"Investment Data'!$C:$C = $C2764, 'Fund Investment Data'!$A:$A = $A2764 - 1, 'Fund Investment Data'!$B:$B &lt;= 3)) * Parameters!$B$4,0))),0)"),0.0)</f>
        <v>0</v>
      </c>
      <c r="AC2764" s="32">
        <f>IFERROR(__xludf.DUMMYFUNCTION("IFERROR(FILTER($AF:$AF,$C:$C = $C2764,$A:$A = $A2764 - 1,$B:$B = 12),0)"),0.0)</f>
        <v>0</v>
      </c>
      <c r="AD2764" s="32">
        <f t="shared" si="23"/>
        <v>0</v>
      </c>
      <c r="AE2764" s="32">
        <f t="shared" si="2"/>
        <v>0</v>
      </c>
      <c r="AF2764" s="32"/>
    </row>
    <row r="2765">
      <c r="A2765" s="86"/>
      <c r="B2765" s="87"/>
      <c r="C2765" s="88"/>
      <c r="D2765" s="104"/>
      <c r="E2765" s="104"/>
      <c r="F2765" s="104"/>
      <c r="G2765" s="104"/>
      <c r="H2765" s="104"/>
      <c r="I2765" s="104"/>
      <c r="J2765" s="104"/>
      <c r="K2765" s="32"/>
      <c r="L2765" s="32"/>
      <c r="M2765" s="32"/>
      <c r="N2765" s="32"/>
      <c r="O2765" s="106"/>
      <c r="P2765" s="91">
        <f>IFERROR(__xludf.DUMMYFUNCTION("IFERROR(sum(FILTER($D:$N,$C:$C = $C2765,$A:$A &lt; $A2765,$B:$B = 12)),0) + sum($D2765:$N2765)"),0.0)</f>
        <v>0</v>
      </c>
      <c r="Q2765" s="92">
        <f t="shared" si="1"/>
        <v>0</v>
      </c>
      <c r="R2765" s="91">
        <f t="array" ref="R2765">IFERROR(INDEX('Fund YTD Target Values'!$1:$1000, MATCH($C2765,'Fund YTD Target Values'!$A:$A,0), MATCH($A2765,'Fund YTD Target Values'!$1:$1,0)),0)</f>
        <v>0</v>
      </c>
      <c r="S2765" s="91">
        <f>IFERROR(__xludf.DUMMYFUNCTION("IFERROR(sum(FILTER('Fund Investment Data'!$V:$V, 'Fund Investment Data'!$C:$C = $C2765, 'Fund Investment Data'!$A:$A &lt; $A2765)),0) + IFERROR(sum(FILTER('Fund Investment Data'!$V:$V, 'Fund Investment Data'!$C:$C = $C2765, 'Fund Investment Data'!$A:$A = $A2"&amp;"765, 'Fund Investment Data'!$B:$B &lt;= $B2765)),0)"),0.0)</f>
        <v>0</v>
      </c>
      <c r="T2765" s="32"/>
      <c r="U2765" s="32"/>
      <c r="V2765" s="32">
        <f>IFERROR(__xludf.DUMMYFUNCTION("$D2765 - IFERROR(FILTER($D:$D,$C:$C = $C2765, $A:$A = $A2765, $B:$B = $B2765 - 1),0)"),0.0)</f>
        <v>0</v>
      </c>
      <c r="W2765" s="93">
        <f>IFERROR(__xludf.DUMMYFUNCTION("$E2765 - IFERROR(FILTER($E:$E,$C:$C = $C2765, $A:$A = $A2765, $B:$B = $B2765 - 1),0)"),0.0)</f>
        <v>0</v>
      </c>
      <c r="X2765" s="91">
        <f>IFERROR(__xludf.DUMMYFUNCTION("iFERROR((FILTER('Fund Investment Data'!$Z:$Z, 'Fund Investment Data'!$C:$C = $C2765, 'Fund Investment Data'!$A:$A = $A2765 - 1, 'Fund Investment Data'!$B:$B = 12) + FILTER('Fund Investment Data'!$AB:$AB, 'Fund Investment Data'!$C:$C = $C2765, 'Fund Invest"&amp;"ment Data'!$A:$A = $A2765 - 1, 'Fund Investment Data'!$B:$B = 12)) * (1 + AVERAGE(FILTER('Inflation Data'!$C:$C,'Inflation Data'!$A:$A = ($A2765 - 2)))) * Parameters!$A$4,0)"),0.0)</f>
        <v>0</v>
      </c>
      <c r="Y2765" s="91">
        <f>IFERROR(__xludf.DUMMYFUNCTION("IFERROR((IFERROR(FILTER('Fund Investment Data'!$P:$P,'Fund Investment Data'!$C:$C = $C2765,'Fund Investment Data'!$A:$A = ($A2765 - 2), 'Fund Investment Data'!$B:$B = 12),0) - SUM(FILTER('Fund Investment Data'!$V:$V, 'Fund Investment Data'!$C:$C = $C2765,"&amp;" 'Fund Investment Data'!$A:$A = ($A2765 - 2), 'Fund Investment Data'!$B:$B &gt; 3)))  * Parameters!$B$4 * (1 - Parameters!$A$4),0)"),0.0)</f>
        <v>0</v>
      </c>
      <c r="Z2765" s="91">
        <f t="shared" si="24"/>
        <v>0</v>
      </c>
      <c r="AA2765" s="91">
        <f>IFERROR(__xludf.DUMMYFUNCTION("((IFERROR((SUM(FILTER('Fund Investment Data'!$V:$V, 'Fund Investment Data'!$C:$C = $C2765, 'Fund Investment Data'!$A:$A = $A2765 - 1, 'Fund Investment Data'!$B:$B &gt;= 4, 'Fund Investment Data'!$B:$B &lt;= ($B2765 + 5))) / 12) * ($B2765 - 3) * Parameters!$B$4,"&amp;" 0) + IF($B2765 &gt;= 9, IFERROR(SUM(FILTER('Fund Investment Data'!$V:$V, 'Fund Investment Data'!$C:$C = $C2765, 'Fund Investment Data'!$A:$A = $A2765, 'Fund Investment Data'!$B:$B &lt;= 3)) * Parameters!$B$4, 0),0)))"),0.0)</f>
        <v>0</v>
      </c>
      <c r="AB2765" s="32">
        <f>IFERROR(__xludf.DUMMYFUNCTION("IFERROR(((IFERROR(SUM(FILTER('Fund Investment Data'!$V:$V, 'Fund Investment Data'!$C:$C = $C2765, 'Fund Investment Data'!$A:$A = $A2765 - 2, 'Fund Investment Data'!$B:$B &gt;= 4)) * Parameters!$B$4,0) + IFERROR(SUM(FILTER('Fund Investment Data'!$V:$V, 'Fund "&amp;"Investment Data'!$C:$C = $C2765, 'Fund Investment Data'!$A:$A = $A2765 - 1, 'Fund Investment Data'!$B:$B &lt;= 3)) * Parameters!$B$4,0))),0)"),0.0)</f>
        <v>0</v>
      </c>
      <c r="AC2765" s="32">
        <f>IFERROR(__xludf.DUMMYFUNCTION("IFERROR(FILTER($AF:$AF,$C:$C = $C2765,$A:$A = $A2765 - 1,$B:$B = 12),0)"),0.0)</f>
        <v>0</v>
      </c>
      <c r="AD2765" s="32">
        <f t="shared" si="23"/>
        <v>0</v>
      </c>
      <c r="AE2765" s="32">
        <f t="shared" si="2"/>
        <v>0</v>
      </c>
      <c r="AF2765" s="32"/>
    </row>
    <row r="2766">
      <c r="A2766" s="86"/>
      <c r="B2766" s="87"/>
      <c r="C2766" s="88"/>
      <c r="D2766" s="104"/>
      <c r="E2766" s="104"/>
      <c r="F2766" s="104"/>
      <c r="G2766" s="104"/>
      <c r="H2766" s="104"/>
      <c r="I2766" s="104"/>
      <c r="J2766" s="104"/>
      <c r="K2766" s="32"/>
      <c r="L2766" s="32"/>
      <c r="M2766" s="32"/>
      <c r="N2766" s="32"/>
      <c r="O2766" s="106"/>
      <c r="P2766" s="91">
        <f>IFERROR(__xludf.DUMMYFUNCTION("IFERROR(sum(FILTER($D:$N,$C:$C = $C2766,$A:$A &lt; $A2766,$B:$B = 12)),0) + sum($D2766:$N2766)"),0.0)</f>
        <v>0</v>
      </c>
      <c r="Q2766" s="92">
        <f t="shared" si="1"/>
        <v>0</v>
      </c>
      <c r="R2766" s="91">
        <f t="array" ref="R2766">IFERROR(INDEX('Fund YTD Target Values'!$1:$1000, MATCH($C2766,'Fund YTD Target Values'!$A:$A,0), MATCH($A2766,'Fund YTD Target Values'!$1:$1,0)),0)</f>
        <v>0</v>
      </c>
      <c r="S2766" s="91">
        <f>IFERROR(__xludf.DUMMYFUNCTION("IFERROR(sum(FILTER('Fund Investment Data'!$V:$V, 'Fund Investment Data'!$C:$C = $C2766, 'Fund Investment Data'!$A:$A &lt; $A2766)),0) + IFERROR(sum(FILTER('Fund Investment Data'!$V:$V, 'Fund Investment Data'!$C:$C = $C2766, 'Fund Investment Data'!$A:$A = $A2"&amp;"766, 'Fund Investment Data'!$B:$B &lt;= $B2766)),0)"),0.0)</f>
        <v>0</v>
      </c>
      <c r="T2766" s="32"/>
      <c r="U2766" s="32"/>
      <c r="V2766" s="32">
        <f>IFERROR(__xludf.DUMMYFUNCTION("$D2766 - IFERROR(FILTER($D:$D,$C:$C = $C2766, $A:$A = $A2766, $B:$B = $B2766 - 1),0)"),0.0)</f>
        <v>0</v>
      </c>
      <c r="W2766" s="93">
        <f>IFERROR(__xludf.DUMMYFUNCTION("$E2766 - IFERROR(FILTER($E:$E,$C:$C = $C2766, $A:$A = $A2766, $B:$B = $B2766 - 1),0)"),0.0)</f>
        <v>0</v>
      </c>
      <c r="X2766" s="91">
        <f>IFERROR(__xludf.DUMMYFUNCTION("iFERROR((FILTER('Fund Investment Data'!$Z:$Z, 'Fund Investment Data'!$C:$C = $C2766, 'Fund Investment Data'!$A:$A = $A2766 - 1, 'Fund Investment Data'!$B:$B = 12) + FILTER('Fund Investment Data'!$AB:$AB, 'Fund Investment Data'!$C:$C = $C2766, 'Fund Invest"&amp;"ment Data'!$A:$A = $A2766 - 1, 'Fund Investment Data'!$B:$B = 12)) * (1 + AVERAGE(FILTER('Inflation Data'!$C:$C,'Inflation Data'!$A:$A = ($A2766 - 2)))) * Parameters!$A$4,0)"),0.0)</f>
        <v>0</v>
      </c>
      <c r="Y2766" s="91">
        <f>IFERROR(__xludf.DUMMYFUNCTION("IFERROR((IFERROR(FILTER('Fund Investment Data'!$P:$P,'Fund Investment Data'!$C:$C = $C2766,'Fund Investment Data'!$A:$A = ($A2766 - 2), 'Fund Investment Data'!$B:$B = 12),0) - SUM(FILTER('Fund Investment Data'!$V:$V, 'Fund Investment Data'!$C:$C = $C2766,"&amp;" 'Fund Investment Data'!$A:$A = ($A2766 - 2), 'Fund Investment Data'!$B:$B &gt; 3)))  * Parameters!$B$4 * (1 - Parameters!$A$4),0)"),0.0)</f>
        <v>0</v>
      </c>
      <c r="Z2766" s="91">
        <f t="shared" si="24"/>
        <v>0</v>
      </c>
      <c r="AA2766" s="91">
        <f>IFERROR(__xludf.DUMMYFUNCTION("((IFERROR((SUM(FILTER('Fund Investment Data'!$V:$V, 'Fund Investment Data'!$C:$C = $C2766, 'Fund Investment Data'!$A:$A = $A2766 - 1, 'Fund Investment Data'!$B:$B &gt;= 4, 'Fund Investment Data'!$B:$B &lt;= ($B2766 + 5))) / 12) * ($B2766 - 3) * Parameters!$B$4,"&amp;" 0) + IF($B2766 &gt;= 9, IFERROR(SUM(FILTER('Fund Investment Data'!$V:$V, 'Fund Investment Data'!$C:$C = $C2766, 'Fund Investment Data'!$A:$A = $A2766, 'Fund Investment Data'!$B:$B &lt;= 3)) * Parameters!$B$4, 0),0)))"),0.0)</f>
        <v>0</v>
      </c>
      <c r="AB2766" s="32">
        <f>IFERROR(__xludf.DUMMYFUNCTION("IFERROR(((IFERROR(SUM(FILTER('Fund Investment Data'!$V:$V, 'Fund Investment Data'!$C:$C = $C2766, 'Fund Investment Data'!$A:$A = $A2766 - 2, 'Fund Investment Data'!$B:$B &gt;= 4)) * Parameters!$B$4,0) + IFERROR(SUM(FILTER('Fund Investment Data'!$V:$V, 'Fund "&amp;"Investment Data'!$C:$C = $C2766, 'Fund Investment Data'!$A:$A = $A2766 - 1, 'Fund Investment Data'!$B:$B &lt;= 3)) * Parameters!$B$4,0))),0)"),0.0)</f>
        <v>0</v>
      </c>
      <c r="AC2766" s="32">
        <f>IFERROR(__xludf.DUMMYFUNCTION("IFERROR(FILTER($AF:$AF,$C:$C = $C2766,$A:$A = $A2766 - 1,$B:$B = 12),0)"),0.0)</f>
        <v>0</v>
      </c>
      <c r="AD2766" s="32">
        <f t="shared" si="23"/>
        <v>0</v>
      </c>
      <c r="AE2766" s="32">
        <f t="shared" si="2"/>
        <v>0</v>
      </c>
      <c r="AF2766" s="32"/>
    </row>
    <row r="2767">
      <c r="A2767" s="86"/>
      <c r="B2767" s="87"/>
      <c r="C2767" s="88"/>
      <c r="D2767" s="104"/>
      <c r="E2767" s="104"/>
      <c r="F2767" s="104"/>
      <c r="G2767" s="104"/>
      <c r="H2767" s="104"/>
      <c r="I2767" s="104"/>
      <c r="J2767" s="104"/>
      <c r="K2767" s="32"/>
      <c r="L2767" s="32"/>
      <c r="M2767" s="32"/>
      <c r="N2767" s="32"/>
      <c r="O2767" s="106"/>
      <c r="P2767" s="91">
        <f>IFERROR(__xludf.DUMMYFUNCTION("IFERROR(sum(FILTER($D:$N,$C:$C = $C2767,$A:$A &lt; $A2767,$B:$B = 12)),0) + sum($D2767:$N2767)"),0.0)</f>
        <v>0</v>
      </c>
      <c r="Q2767" s="92">
        <f t="shared" si="1"/>
        <v>0</v>
      </c>
      <c r="R2767" s="91">
        <f t="array" ref="R2767">IFERROR(INDEX('Fund YTD Target Values'!$1:$1000, MATCH($C2767,'Fund YTD Target Values'!$A:$A,0), MATCH($A2767,'Fund YTD Target Values'!$1:$1,0)),0)</f>
        <v>0</v>
      </c>
      <c r="S2767" s="91">
        <f>IFERROR(__xludf.DUMMYFUNCTION("IFERROR(sum(FILTER('Fund Investment Data'!$V:$V, 'Fund Investment Data'!$C:$C = $C2767, 'Fund Investment Data'!$A:$A &lt; $A2767)),0) + IFERROR(sum(FILTER('Fund Investment Data'!$V:$V, 'Fund Investment Data'!$C:$C = $C2767, 'Fund Investment Data'!$A:$A = $A2"&amp;"767, 'Fund Investment Data'!$B:$B &lt;= $B2767)),0)"),0.0)</f>
        <v>0</v>
      </c>
      <c r="T2767" s="32"/>
      <c r="U2767" s="32"/>
      <c r="V2767" s="32">
        <f>IFERROR(__xludf.DUMMYFUNCTION("$D2767 - IFERROR(FILTER($D:$D,$C:$C = $C2767, $A:$A = $A2767, $B:$B = $B2767 - 1),0)"),0.0)</f>
        <v>0</v>
      </c>
      <c r="W2767" s="93">
        <f>IFERROR(__xludf.DUMMYFUNCTION("$E2767 - IFERROR(FILTER($E:$E,$C:$C = $C2767, $A:$A = $A2767, $B:$B = $B2767 - 1),0)"),0.0)</f>
        <v>0</v>
      </c>
      <c r="X2767" s="91">
        <f>IFERROR(__xludf.DUMMYFUNCTION("iFERROR((FILTER('Fund Investment Data'!$Z:$Z, 'Fund Investment Data'!$C:$C = $C2767, 'Fund Investment Data'!$A:$A = $A2767 - 1, 'Fund Investment Data'!$B:$B = 12) + FILTER('Fund Investment Data'!$AB:$AB, 'Fund Investment Data'!$C:$C = $C2767, 'Fund Invest"&amp;"ment Data'!$A:$A = $A2767 - 1, 'Fund Investment Data'!$B:$B = 12)) * (1 + AVERAGE(FILTER('Inflation Data'!$C:$C,'Inflation Data'!$A:$A = ($A2767 - 2)))) * Parameters!$A$4,0)"),0.0)</f>
        <v>0</v>
      </c>
      <c r="Y2767" s="91">
        <f>IFERROR(__xludf.DUMMYFUNCTION("IFERROR((IFERROR(FILTER('Fund Investment Data'!$P:$P,'Fund Investment Data'!$C:$C = $C2767,'Fund Investment Data'!$A:$A = ($A2767 - 2), 'Fund Investment Data'!$B:$B = 12),0) - SUM(FILTER('Fund Investment Data'!$V:$V, 'Fund Investment Data'!$C:$C = $C2767,"&amp;" 'Fund Investment Data'!$A:$A = ($A2767 - 2), 'Fund Investment Data'!$B:$B &gt; 3)))  * Parameters!$B$4 * (1 - Parameters!$A$4),0)"),0.0)</f>
        <v>0</v>
      </c>
      <c r="Z2767" s="91">
        <f t="shared" si="24"/>
        <v>0</v>
      </c>
      <c r="AA2767" s="91">
        <f>IFERROR(__xludf.DUMMYFUNCTION("((IFERROR((SUM(FILTER('Fund Investment Data'!$V:$V, 'Fund Investment Data'!$C:$C = $C2767, 'Fund Investment Data'!$A:$A = $A2767 - 1, 'Fund Investment Data'!$B:$B &gt;= 4, 'Fund Investment Data'!$B:$B &lt;= ($B2767 + 5))) / 12) * ($B2767 - 3) * Parameters!$B$4,"&amp;" 0) + IF($B2767 &gt;= 9, IFERROR(SUM(FILTER('Fund Investment Data'!$V:$V, 'Fund Investment Data'!$C:$C = $C2767, 'Fund Investment Data'!$A:$A = $A2767, 'Fund Investment Data'!$B:$B &lt;= 3)) * Parameters!$B$4, 0),0)))"),0.0)</f>
        <v>0</v>
      </c>
      <c r="AB2767" s="32">
        <f>IFERROR(__xludf.DUMMYFUNCTION("IFERROR(((IFERROR(SUM(FILTER('Fund Investment Data'!$V:$V, 'Fund Investment Data'!$C:$C = $C2767, 'Fund Investment Data'!$A:$A = $A2767 - 2, 'Fund Investment Data'!$B:$B &gt;= 4)) * Parameters!$B$4,0) + IFERROR(SUM(FILTER('Fund Investment Data'!$V:$V, 'Fund "&amp;"Investment Data'!$C:$C = $C2767, 'Fund Investment Data'!$A:$A = $A2767 - 1, 'Fund Investment Data'!$B:$B &lt;= 3)) * Parameters!$B$4,0))),0)"),0.0)</f>
        <v>0</v>
      </c>
      <c r="AC2767" s="32">
        <f>IFERROR(__xludf.DUMMYFUNCTION("IFERROR(FILTER($AF:$AF,$C:$C = $C2767,$A:$A = $A2767 - 1,$B:$B = 12),0)"),0.0)</f>
        <v>0</v>
      </c>
      <c r="AD2767" s="32">
        <f t="shared" si="23"/>
        <v>0</v>
      </c>
      <c r="AE2767" s="32">
        <f t="shared" si="2"/>
        <v>0</v>
      </c>
      <c r="AF2767" s="32"/>
    </row>
    <row r="2768">
      <c r="A2768" s="86"/>
      <c r="B2768" s="87"/>
      <c r="C2768" s="88"/>
      <c r="D2768" s="104"/>
      <c r="E2768" s="104"/>
      <c r="F2768" s="104"/>
      <c r="G2768" s="104"/>
      <c r="H2768" s="104"/>
      <c r="I2768" s="104"/>
      <c r="J2768" s="104"/>
      <c r="K2768" s="32"/>
      <c r="L2768" s="32"/>
      <c r="M2768" s="32"/>
      <c r="N2768" s="32"/>
      <c r="O2768" s="106"/>
      <c r="P2768" s="91">
        <f>IFERROR(__xludf.DUMMYFUNCTION("IFERROR(sum(FILTER($D:$N,$C:$C = $C2768,$A:$A &lt; $A2768,$B:$B = 12)),0) + sum($D2768:$N2768)"),0.0)</f>
        <v>0</v>
      </c>
      <c r="Q2768" s="92">
        <f t="shared" si="1"/>
        <v>0</v>
      </c>
      <c r="R2768" s="91">
        <f t="array" ref="R2768">IFERROR(INDEX('Fund YTD Target Values'!$1:$1000, MATCH($C2768,'Fund YTD Target Values'!$A:$A,0), MATCH($A2768,'Fund YTD Target Values'!$1:$1,0)),0)</f>
        <v>0</v>
      </c>
      <c r="S2768" s="91">
        <f>IFERROR(__xludf.DUMMYFUNCTION("IFERROR(sum(FILTER('Fund Investment Data'!$V:$V, 'Fund Investment Data'!$C:$C = $C2768, 'Fund Investment Data'!$A:$A &lt; $A2768)),0) + IFERROR(sum(FILTER('Fund Investment Data'!$V:$V, 'Fund Investment Data'!$C:$C = $C2768, 'Fund Investment Data'!$A:$A = $A2"&amp;"768, 'Fund Investment Data'!$B:$B &lt;= $B2768)),0)"),0.0)</f>
        <v>0</v>
      </c>
      <c r="T2768" s="32"/>
      <c r="U2768" s="32"/>
      <c r="V2768" s="32">
        <f>IFERROR(__xludf.DUMMYFUNCTION("$D2768 - IFERROR(FILTER($D:$D,$C:$C = $C2768, $A:$A = $A2768, $B:$B = $B2768 - 1),0)"),0.0)</f>
        <v>0</v>
      </c>
      <c r="W2768" s="93">
        <f>IFERROR(__xludf.DUMMYFUNCTION("$E2768 - IFERROR(FILTER($E:$E,$C:$C = $C2768, $A:$A = $A2768, $B:$B = $B2768 - 1),0)"),0.0)</f>
        <v>0</v>
      </c>
      <c r="X2768" s="91">
        <f>IFERROR(__xludf.DUMMYFUNCTION("iFERROR((FILTER('Fund Investment Data'!$Z:$Z, 'Fund Investment Data'!$C:$C = $C2768, 'Fund Investment Data'!$A:$A = $A2768 - 1, 'Fund Investment Data'!$B:$B = 12) + FILTER('Fund Investment Data'!$AB:$AB, 'Fund Investment Data'!$C:$C = $C2768, 'Fund Invest"&amp;"ment Data'!$A:$A = $A2768 - 1, 'Fund Investment Data'!$B:$B = 12)) * (1 + AVERAGE(FILTER('Inflation Data'!$C:$C,'Inflation Data'!$A:$A = ($A2768 - 2)))) * Parameters!$A$4,0)"),0.0)</f>
        <v>0</v>
      </c>
      <c r="Y2768" s="91">
        <f>IFERROR(__xludf.DUMMYFUNCTION("IFERROR((IFERROR(FILTER('Fund Investment Data'!$P:$P,'Fund Investment Data'!$C:$C = $C2768,'Fund Investment Data'!$A:$A = ($A2768 - 2), 'Fund Investment Data'!$B:$B = 12),0) - SUM(FILTER('Fund Investment Data'!$V:$V, 'Fund Investment Data'!$C:$C = $C2768,"&amp;" 'Fund Investment Data'!$A:$A = ($A2768 - 2), 'Fund Investment Data'!$B:$B &gt; 3)))  * Parameters!$B$4 * (1 - Parameters!$A$4),0)"),0.0)</f>
        <v>0</v>
      </c>
      <c r="Z2768" s="91">
        <f t="shared" si="24"/>
        <v>0</v>
      </c>
      <c r="AA2768" s="91">
        <f>IFERROR(__xludf.DUMMYFUNCTION("((IFERROR((SUM(FILTER('Fund Investment Data'!$V:$V, 'Fund Investment Data'!$C:$C = $C2768, 'Fund Investment Data'!$A:$A = $A2768 - 1, 'Fund Investment Data'!$B:$B &gt;= 4, 'Fund Investment Data'!$B:$B &lt;= ($B2768 + 5))) / 12) * ($B2768 - 3) * Parameters!$B$4,"&amp;" 0) + IF($B2768 &gt;= 9, IFERROR(SUM(FILTER('Fund Investment Data'!$V:$V, 'Fund Investment Data'!$C:$C = $C2768, 'Fund Investment Data'!$A:$A = $A2768, 'Fund Investment Data'!$B:$B &lt;= 3)) * Parameters!$B$4, 0),0)))"),0.0)</f>
        <v>0</v>
      </c>
      <c r="AB2768" s="32">
        <f>IFERROR(__xludf.DUMMYFUNCTION("IFERROR(((IFERROR(SUM(FILTER('Fund Investment Data'!$V:$V, 'Fund Investment Data'!$C:$C = $C2768, 'Fund Investment Data'!$A:$A = $A2768 - 2, 'Fund Investment Data'!$B:$B &gt;= 4)) * Parameters!$B$4,0) + IFERROR(SUM(FILTER('Fund Investment Data'!$V:$V, 'Fund "&amp;"Investment Data'!$C:$C = $C2768, 'Fund Investment Data'!$A:$A = $A2768 - 1, 'Fund Investment Data'!$B:$B &lt;= 3)) * Parameters!$B$4,0))),0)"),0.0)</f>
        <v>0</v>
      </c>
      <c r="AC2768" s="32">
        <f>IFERROR(__xludf.DUMMYFUNCTION("IFERROR(FILTER($AF:$AF,$C:$C = $C2768,$A:$A = $A2768 - 1,$B:$B = 12),0)"),0.0)</f>
        <v>0</v>
      </c>
      <c r="AD2768" s="32">
        <f t="shared" si="23"/>
        <v>0</v>
      </c>
      <c r="AE2768" s="32">
        <f t="shared" si="2"/>
        <v>0</v>
      </c>
      <c r="AF2768" s="32"/>
    </row>
    <row r="2769">
      <c r="A2769" s="86"/>
      <c r="B2769" s="87"/>
      <c r="C2769" s="88"/>
      <c r="D2769" s="104"/>
      <c r="E2769" s="104"/>
      <c r="F2769" s="104"/>
      <c r="G2769" s="104"/>
      <c r="H2769" s="104"/>
      <c r="I2769" s="104"/>
      <c r="J2769" s="104"/>
      <c r="K2769" s="32"/>
      <c r="L2769" s="32"/>
      <c r="M2769" s="32"/>
      <c r="N2769" s="32"/>
      <c r="O2769" s="106"/>
      <c r="P2769" s="91">
        <f>IFERROR(__xludf.DUMMYFUNCTION("IFERROR(sum(FILTER($D:$N,$C:$C = $C2769,$A:$A &lt; $A2769,$B:$B = 12)),0) + sum($D2769:$N2769)"),0.0)</f>
        <v>0</v>
      </c>
      <c r="Q2769" s="92">
        <f t="shared" si="1"/>
        <v>0</v>
      </c>
      <c r="R2769" s="91">
        <f t="array" ref="R2769">IFERROR(INDEX('Fund YTD Target Values'!$1:$1000, MATCH($C2769,'Fund YTD Target Values'!$A:$A,0), MATCH($A2769,'Fund YTD Target Values'!$1:$1,0)),0)</f>
        <v>0</v>
      </c>
      <c r="S2769" s="91">
        <f>IFERROR(__xludf.DUMMYFUNCTION("IFERROR(sum(FILTER('Fund Investment Data'!$V:$V, 'Fund Investment Data'!$C:$C = $C2769, 'Fund Investment Data'!$A:$A &lt; $A2769)),0) + IFERROR(sum(FILTER('Fund Investment Data'!$V:$V, 'Fund Investment Data'!$C:$C = $C2769, 'Fund Investment Data'!$A:$A = $A2"&amp;"769, 'Fund Investment Data'!$B:$B &lt;= $B2769)),0)"),0.0)</f>
        <v>0</v>
      </c>
      <c r="T2769" s="32"/>
      <c r="U2769" s="32"/>
      <c r="V2769" s="32">
        <f>IFERROR(__xludf.DUMMYFUNCTION("$D2769 - IFERROR(FILTER($D:$D,$C:$C = $C2769, $A:$A = $A2769, $B:$B = $B2769 - 1),0)"),0.0)</f>
        <v>0</v>
      </c>
      <c r="W2769" s="93">
        <f>IFERROR(__xludf.DUMMYFUNCTION("$E2769 - IFERROR(FILTER($E:$E,$C:$C = $C2769, $A:$A = $A2769, $B:$B = $B2769 - 1),0)"),0.0)</f>
        <v>0</v>
      </c>
      <c r="X2769" s="91">
        <f>IFERROR(__xludf.DUMMYFUNCTION("iFERROR((FILTER('Fund Investment Data'!$Z:$Z, 'Fund Investment Data'!$C:$C = $C2769, 'Fund Investment Data'!$A:$A = $A2769 - 1, 'Fund Investment Data'!$B:$B = 12) + FILTER('Fund Investment Data'!$AB:$AB, 'Fund Investment Data'!$C:$C = $C2769, 'Fund Invest"&amp;"ment Data'!$A:$A = $A2769 - 1, 'Fund Investment Data'!$B:$B = 12)) * (1 + AVERAGE(FILTER('Inflation Data'!$C:$C,'Inflation Data'!$A:$A = ($A2769 - 2)))) * Parameters!$A$4,0)"),0.0)</f>
        <v>0</v>
      </c>
      <c r="Y2769" s="91">
        <f>IFERROR(__xludf.DUMMYFUNCTION("IFERROR((IFERROR(FILTER('Fund Investment Data'!$P:$P,'Fund Investment Data'!$C:$C = $C2769,'Fund Investment Data'!$A:$A = ($A2769 - 2), 'Fund Investment Data'!$B:$B = 12),0) - SUM(FILTER('Fund Investment Data'!$V:$V, 'Fund Investment Data'!$C:$C = $C2769,"&amp;" 'Fund Investment Data'!$A:$A = ($A2769 - 2), 'Fund Investment Data'!$B:$B &gt; 3)))  * Parameters!$B$4 * (1 - Parameters!$A$4),0)"),0.0)</f>
        <v>0</v>
      </c>
      <c r="Z2769" s="91">
        <f t="shared" si="24"/>
        <v>0</v>
      </c>
      <c r="AA2769" s="91">
        <f>IFERROR(__xludf.DUMMYFUNCTION("((IFERROR((SUM(FILTER('Fund Investment Data'!$V:$V, 'Fund Investment Data'!$C:$C = $C2769, 'Fund Investment Data'!$A:$A = $A2769 - 1, 'Fund Investment Data'!$B:$B &gt;= 4, 'Fund Investment Data'!$B:$B &lt;= ($B2769 + 5))) / 12) * ($B2769 - 3) * Parameters!$B$4,"&amp;" 0) + IF($B2769 &gt;= 9, IFERROR(SUM(FILTER('Fund Investment Data'!$V:$V, 'Fund Investment Data'!$C:$C = $C2769, 'Fund Investment Data'!$A:$A = $A2769, 'Fund Investment Data'!$B:$B &lt;= 3)) * Parameters!$B$4, 0),0)))"),0.0)</f>
        <v>0</v>
      </c>
      <c r="AB2769" s="32">
        <f>IFERROR(__xludf.DUMMYFUNCTION("IFERROR(((IFERROR(SUM(FILTER('Fund Investment Data'!$V:$V, 'Fund Investment Data'!$C:$C = $C2769, 'Fund Investment Data'!$A:$A = $A2769 - 2, 'Fund Investment Data'!$B:$B &gt;= 4)) * Parameters!$B$4,0) + IFERROR(SUM(FILTER('Fund Investment Data'!$V:$V, 'Fund "&amp;"Investment Data'!$C:$C = $C2769, 'Fund Investment Data'!$A:$A = $A2769 - 1, 'Fund Investment Data'!$B:$B &lt;= 3)) * Parameters!$B$4,0))),0)"),0.0)</f>
        <v>0</v>
      </c>
      <c r="AC2769" s="32">
        <f>IFERROR(__xludf.DUMMYFUNCTION("IFERROR(FILTER($AF:$AF,$C:$C = $C2769,$A:$A = $A2769 - 1,$B:$B = 12),0)"),0.0)</f>
        <v>0</v>
      </c>
      <c r="AD2769" s="32">
        <f t="shared" si="23"/>
        <v>0</v>
      </c>
      <c r="AE2769" s="32">
        <f t="shared" si="2"/>
        <v>0</v>
      </c>
      <c r="AF2769" s="32"/>
    </row>
    <row r="2770">
      <c r="A2770" s="86"/>
      <c r="B2770" s="87"/>
      <c r="C2770" s="88"/>
      <c r="D2770" s="104"/>
      <c r="E2770" s="104"/>
      <c r="F2770" s="104"/>
      <c r="G2770" s="104"/>
      <c r="H2770" s="104"/>
      <c r="I2770" s="104"/>
      <c r="J2770" s="104"/>
      <c r="K2770" s="32"/>
      <c r="L2770" s="32"/>
      <c r="M2770" s="32"/>
      <c r="N2770" s="32"/>
      <c r="O2770" s="106"/>
      <c r="P2770" s="91">
        <f>IFERROR(__xludf.DUMMYFUNCTION("IFERROR(sum(FILTER($D:$N,$C:$C = $C2770,$A:$A &lt; $A2770,$B:$B = 12)),0) + sum($D2770:$N2770)"),0.0)</f>
        <v>0</v>
      </c>
      <c r="Q2770" s="92">
        <f t="shared" si="1"/>
        <v>0</v>
      </c>
      <c r="R2770" s="91">
        <f t="array" ref="R2770">IFERROR(INDEX('Fund YTD Target Values'!$1:$1000, MATCH($C2770,'Fund YTD Target Values'!$A:$A,0), MATCH($A2770,'Fund YTD Target Values'!$1:$1,0)),0)</f>
        <v>0</v>
      </c>
      <c r="S2770" s="91">
        <f>IFERROR(__xludf.DUMMYFUNCTION("IFERROR(sum(FILTER('Fund Investment Data'!$V:$V, 'Fund Investment Data'!$C:$C = $C2770, 'Fund Investment Data'!$A:$A &lt; $A2770)),0) + IFERROR(sum(FILTER('Fund Investment Data'!$V:$V, 'Fund Investment Data'!$C:$C = $C2770, 'Fund Investment Data'!$A:$A = $A2"&amp;"770, 'Fund Investment Data'!$B:$B &lt;= $B2770)),0)"),0.0)</f>
        <v>0</v>
      </c>
      <c r="T2770" s="32"/>
      <c r="U2770" s="32"/>
      <c r="V2770" s="32">
        <f>IFERROR(__xludf.DUMMYFUNCTION("$D2770 - IFERROR(FILTER($D:$D,$C:$C = $C2770, $A:$A = $A2770, $B:$B = $B2770 - 1),0)"),0.0)</f>
        <v>0</v>
      </c>
      <c r="W2770" s="93">
        <f>IFERROR(__xludf.DUMMYFUNCTION("$E2770 - IFERROR(FILTER($E:$E,$C:$C = $C2770, $A:$A = $A2770, $B:$B = $B2770 - 1),0)"),0.0)</f>
        <v>0</v>
      </c>
      <c r="X2770" s="91">
        <f>IFERROR(__xludf.DUMMYFUNCTION("iFERROR((FILTER('Fund Investment Data'!$Z:$Z, 'Fund Investment Data'!$C:$C = $C2770, 'Fund Investment Data'!$A:$A = $A2770 - 1, 'Fund Investment Data'!$B:$B = 12) + FILTER('Fund Investment Data'!$AB:$AB, 'Fund Investment Data'!$C:$C = $C2770, 'Fund Invest"&amp;"ment Data'!$A:$A = $A2770 - 1, 'Fund Investment Data'!$B:$B = 12)) * (1 + AVERAGE(FILTER('Inflation Data'!$C:$C,'Inflation Data'!$A:$A = ($A2770 - 2)))) * Parameters!$A$4,0)"),0.0)</f>
        <v>0</v>
      </c>
      <c r="Y2770" s="91">
        <f>IFERROR(__xludf.DUMMYFUNCTION("IFERROR((IFERROR(FILTER('Fund Investment Data'!$P:$P,'Fund Investment Data'!$C:$C = $C2770,'Fund Investment Data'!$A:$A = ($A2770 - 2), 'Fund Investment Data'!$B:$B = 12),0) - SUM(FILTER('Fund Investment Data'!$V:$V, 'Fund Investment Data'!$C:$C = $C2770,"&amp;" 'Fund Investment Data'!$A:$A = ($A2770 - 2), 'Fund Investment Data'!$B:$B &gt; 3)))  * Parameters!$B$4 * (1 - Parameters!$A$4),0)"),0.0)</f>
        <v>0</v>
      </c>
      <c r="Z2770" s="91">
        <f t="shared" si="24"/>
        <v>0</v>
      </c>
      <c r="AA2770" s="91">
        <f>IFERROR(__xludf.DUMMYFUNCTION("((IFERROR((SUM(FILTER('Fund Investment Data'!$V:$V, 'Fund Investment Data'!$C:$C = $C2770, 'Fund Investment Data'!$A:$A = $A2770 - 1, 'Fund Investment Data'!$B:$B &gt;= 4, 'Fund Investment Data'!$B:$B &lt;= ($B2770 + 5))) / 12) * ($B2770 - 3) * Parameters!$B$4,"&amp;" 0) + IF($B2770 &gt;= 9, IFERROR(SUM(FILTER('Fund Investment Data'!$V:$V, 'Fund Investment Data'!$C:$C = $C2770, 'Fund Investment Data'!$A:$A = $A2770, 'Fund Investment Data'!$B:$B &lt;= 3)) * Parameters!$B$4, 0),0)))"),0.0)</f>
        <v>0</v>
      </c>
      <c r="AB2770" s="32">
        <f>IFERROR(__xludf.DUMMYFUNCTION("IFERROR(((IFERROR(SUM(FILTER('Fund Investment Data'!$V:$V, 'Fund Investment Data'!$C:$C = $C2770, 'Fund Investment Data'!$A:$A = $A2770 - 2, 'Fund Investment Data'!$B:$B &gt;= 4)) * Parameters!$B$4,0) + IFERROR(SUM(FILTER('Fund Investment Data'!$V:$V, 'Fund "&amp;"Investment Data'!$C:$C = $C2770, 'Fund Investment Data'!$A:$A = $A2770 - 1, 'Fund Investment Data'!$B:$B &lt;= 3)) * Parameters!$B$4,0))),0)"),0.0)</f>
        <v>0</v>
      </c>
      <c r="AC2770" s="32">
        <f>IFERROR(__xludf.DUMMYFUNCTION("IFERROR(FILTER($AF:$AF,$C:$C = $C2770,$A:$A = $A2770 - 1,$B:$B = 12),0)"),0.0)</f>
        <v>0</v>
      </c>
      <c r="AD2770" s="32">
        <f t="shared" si="23"/>
        <v>0</v>
      </c>
      <c r="AE2770" s="32">
        <f t="shared" si="2"/>
        <v>0</v>
      </c>
      <c r="AF2770" s="32"/>
    </row>
    <row r="2771">
      <c r="A2771" s="86"/>
      <c r="B2771" s="87"/>
      <c r="C2771" s="88"/>
      <c r="D2771" s="104"/>
      <c r="E2771" s="104"/>
      <c r="F2771" s="104"/>
      <c r="G2771" s="104"/>
      <c r="H2771" s="104"/>
      <c r="I2771" s="104"/>
      <c r="J2771" s="104"/>
      <c r="K2771" s="32"/>
      <c r="L2771" s="32"/>
      <c r="M2771" s="32"/>
      <c r="N2771" s="32"/>
      <c r="O2771" s="106"/>
      <c r="P2771" s="91">
        <f>IFERROR(__xludf.DUMMYFUNCTION("IFERROR(sum(FILTER($D:$N,$C:$C = $C2771,$A:$A &lt; $A2771,$B:$B = 12)),0) + sum($D2771:$N2771)"),0.0)</f>
        <v>0</v>
      </c>
      <c r="Q2771" s="92">
        <f t="shared" si="1"/>
        <v>0</v>
      </c>
      <c r="R2771" s="91">
        <f t="array" ref="R2771">IFERROR(INDEX('Fund YTD Target Values'!$1:$1000, MATCH($C2771,'Fund YTD Target Values'!$A:$A,0), MATCH($A2771,'Fund YTD Target Values'!$1:$1,0)),0)</f>
        <v>0</v>
      </c>
      <c r="S2771" s="91">
        <f>IFERROR(__xludf.DUMMYFUNCTION("IFERROR(sum(FILTER('Fund Investment Data'!$V:$V, 'Fund Investment Data'!$C:$C = $C2771, 'Fund Investment Data'!$A:$A &lt; $A2771)),0) + IFERROR(sum(FILTER('Fund Investment Data'!$V:$V, 'Fund Investment Data'!$C:$C = $C2771, 'Fund Investment Data'!$A:$A = $A2"&amp;"771, 'Fund Investment Data'!$B:$B &lt;= $B2771)),0)"),0.0)</f>
        <v>0</v>
      </c>
      <c r="T2771" s="32"/>
      <c r="U2771" s="32"/>
      <c r="V2771" s="32">
        <f>IFERROR(__xludf.DUMMYFUNCTION("$D2771 - IFERROR(FILTER($D:$D,$C:$C = $C2771, $A:$A = $A2771, $B:$B = $B2771 - 1),0)"),0.0)</f>
        <v>0</v>
      </c>
      <c r="W2771" s="93">
        <f>IFERROR(__xludf.DUMMYFUNCTION("$E2771 - IFERROR(FILTER($E:$E,$C:$C = $C2771, $A:$A = $A2771, $B:$B = $B2771 - 1),0)"),0.0)</f>
        <v>0</v>
      </c>
      <c r="X2771" s="91">
        <f>IFERROR(__xludf.DUMMYFUNCTION("iFERROR((FILTER('Fund Investment Data'!$Z:$Z, 'Fund Investment Data'!$C:$C = $C2771, 'Fund Investment Data'!$A:$A = $A2771 - 1, 'Fund Investment Data'!$B:$B = 12) + FILTER('Fund Investment Data'!$AB:$AB, 'Fund Investment Data'!$C:$C = $C2771, 'Fund Invest"&amp;"ment Data'!$A:$A = $A2771 - 1, 'Fund Investment Data'!$B:$B = 12)) * (1 + AVERAGE(FILTER('Inflation Data'!$C:$C,'Inflation Data'!$A:$A = ($A2771 - 2)))) * Parameters!$A$4,0)"),0.0)</f>
        <v>0</v>
      </c>
      <c r="Y2771" s="91">
        <f>IFERROR(__xludf.DUMMYFUNCTION("IFERROR((IFERROR(FILTER('Fund Investment Data'!$P:$P,'Fund Investment Data'!$C:$C = $C2771,'Fund Investment Data'!$A:$A = ($A2771 - 2), 'Fund Investment Data'!$B:$B = 12),0) - SUM(FILTER('Fund Investment Data'!$V:$V, 'Fund Investment Data'!$C:$C = $C2771,"&amp;" 'Fund Investment Data'!$A:$A = ($A2771 - 2), 'Fund Investment Data'!$B:$B &gt; 3)))  * Parameters!$B$4 * (1 - Parameters!$A$4),0)"),0.0)</f>
        <v>0</v>
      </c>
      <c r="Z2771" s="91">
        <f t="shared" si="24"/>
        <v>0</v>
      </c>
      <c r="AA2771" s="91">
        <f>IFERROR(__xludf.DUMMYFUNCTION("((IFERROR((SUM(FILTER('Fund Investment Data'!$V:$V, 'Fund Investment Data'!$C:$C = $C2771, 'Fund Investment Data'!$A:$A = $A2771 - 1, 'Fund Investment Data'!$B:$B &gt;= 4, 'Fund Investment Data'!$B:$B &lt;= ($B2771 + 5))) / 12) * ($B2771 - 3) * Parameters!$B$4,"&amp;" 0) + IF($B2771 &gt;= 9, IFERROR(SUM(FILTER('Fund Investment Data'!$V:$V, 'Fund Investment Data'!$C:$C = $C2771, 'Fund Investment Data'!$A:$A = $A2771, 'Fund Investment Data'!$B:$B &lt;= 3)) * Parameters!$B$4, 0),0)))"),0.0)</f>
        <v>0</v>
      </c>
      <c r="AB2771" s="32">
        <f>IFERROR(__xludf.DUMMYFUNCTION("IFERROR(((IFERROR(SUM(FILTER('Fund Investment Data'!$V:$V, 'Fund Investment Data'!$C:$C = $C2771, 'Fund Investment Data'!$A:$A = $A2771 - 2, 'Fund Investment Data'!$B:$B &gt;= 4)) * Parameters!$B$4,0) + IFERROR(SUM(FILTER('Fund Investment Data'!$V:$V, 'Fund "&amp;"Investment Data'!$C:$C = $C2771, 'Fund Investment Data'!$A:$A = $A2771 - 1, 'Fund Investment Data'!$B:$B &lt;= 3)) * Parameters!$B$4,0))),0)"),0.0)</f>
        <v>0</v>
      </c>
      <c r="AC2771" s="32">
        <f>IFERROR(__xludf.DUMMYFUNCTION("IFERROR(FILTER($AF:$AF,$C:$C = $C2771,$A:$A = $A2771 - 1,$B:$B = 12),0)"),0.0)</f>
        <v>0</v>
      </c>
      <c r="AD2771" s="32">
        <f t="shared" si="23"/>
        <v>0</v>
      </c>
      <c r="AE2771" s="32">
        <f t="shared" si="2"/>
        <v>0</v>
      </c>
      <c r="AF2771" s="32"/>
    </row>
    <row r="2772">
      <c r="A2772" s="86"/>
      <c r="B2772" s="87"/>
      <c r="C2772" s="88"/>
      <c r="D2772" s="104"/>
      <c r="E2772" s="104"/>
      <c r="F2772" s="104"/>
      <c r="G2772" s="104"/>
      <c r="H2772" s="104"/>
      <c r="I2772" s="104"/>
      <c r="J2772" s="104"/>
      <c r="K2772" s="32"/>
      <c r="L2772" s="32"/>
      <c r="M2772" s="32"/>
      <c r="N2772" s="32"/>
      <c r="O2772" s="106"/>
      <c r="P2772" s="91">
        <f>IFERROR(__xludf.DUMMYFUNCTION("IFERROR(sum(FILTER($D:$N,$C:$C = $C2772,$A:$A &lt; $A2772,$B:$B = 12)),0) + sum($D2772:$N2772)"),0.0)</f>
        <v>0</v>
      </c>
      <c r="Q2772" s="92">
        <f t="shared" si="1"/>
        <v>0</v>
      </c>
      <c r="R2772" s="91">
        <f t="array" ref="R2772">IFERROR(INDEX('Fund YTD Target Values'!$1:$1000, MATCH($C2772,'Fund YTD Target Values'!$A:$A,0), MATCH($A2772,'Fund YTD Target Values'!$1:$1,0)),0)</f>
        <v>0</v>
      </c>
      <c r="S2772" s="91">
        <f>IFERROR(__xludf.DUMMYFUNCTION("IFERROR(sum(FILTER('Fund Investment Data'!$V:$V, 'Fund Investment Data'!$C:$C = $C2772, 'Fund Investment Data'!$A:$A &lt; $A2772)),0) + IFERROR(sum(FILTER('Fund Investment Data'!$V:$V, 'Fund Investment Data'!$C:$C = $C2772, 'Fund Investment Data'!$A:$A = $A2"&amp;"772, 'Fund Investment Data'!$B:$B &lt;= $B2772)),0)"),0.0)</f>
        <v>0</v>
      </c>
      <c r="T2772" s="32"/>
      <c r="U2772" s="32"/>
      <c r="V2772" s="32">
        <f>IFERROR(__xludf.DUMMYFUNCTION("$D2772 - IFERROR(FILTER($D:$D,$C:$C = $C2772, $A:$A = $A2772, $B:$B = $B2772 - 1),0)"),0.0)</f>
        <v>0</v>
      </c>
      <c r="W2772" s="93">
        <f>IFERROR(__xludf.DUMMYFUNCTION("$E2772 - IFERROR(FILTER($E:$E,$C:$C = $C2772, $A:$A = $A2772, $B:$B = $B2772 - 1),0)"),0.0)</f>
        <v>0</v>
      </c>
      <c r="X2772" s="91">
        <f>IFERROR(__xludf.DUMMYFUNCTION("iFERROR((FILTER('Fund Investment Data'!$Z:$Z, 'Fund Investment Data'!$C:$C = $C2772, 'Fund Investment Data'!$A:$A = $A2772 - 1, 'Fund Investment Data'!$B:$B = 12) + FILTER('Fund Investment Data'!$AB:$AB, 'Fund Investment Data'!$C:$C = $C2772, 'Fund Invest"&amp;"ment Data'!$A:$A = $A2772 - 1, 'Fund Investment Data'!$B:$B = 12)) * (1 + AVERAGE(FILTER('Inflation Data'!$C:$C,'Inflation Data'!$A:$A = ($A2772 - 2)))) * Parameters!$A$4,0)"),0.0)</f>
        <v>0</v>
      </c>
      <c r="Y2772" s="91">
        <f>IFERROR(__xludf.DUMMYFUNCTION("IFERROR((IFERROR(FILTER('Fund Investment Data'!$P:$P,'Fund Investment Data'!$C:$C = $C2772,'Fund Investment Data'!$A:$A = ($A2772 - 2), 'Fund Investment Data'!$B:$B = 12),0) - SUM(FILTER('Fund Investment Data'!$V:$V, 'Fund Investment Data'!$C:$C = $C2772,"&amp;" 'Fund Investment Data'!$A:$A = ($A2772 - 2), 'Fund Investment Data'!$B:$B &gt; 3)))  * Parameters!$B$4 * (1 - Parameters!$A$4),0)"),0.0)</f>
        <v>0</v>
      </c>
      <c r="Z2772" s="91">
        <f t="shared" si="24"/>
        <v>0</v>
      </c>
      <c r="AA2772" s="91">
        <f>IFERROR(__xludf.DUMMYFUNCTION("((IFERROR((SUM(FILTER('Fund Investment Data'!$V:$V, 'Fund Investment Data'!$C:$C = $C2772, 'Fund Investment Data'!$A:$A = $A2772 - 1, 'Fund Investment Data'!$B:$B &gt;= 4, 'Fund Investment Data'!$B:$B &lt;= ($B2772 + 5))) / 12) * ($B2772 - 3) * Parameters!$B$4,"&amp;" 0) + IF($B2772 &gt;= 9, IFERROR(SUM(FILTER('Fund Investment Data'!$V:$V, 'Fund Investment Data'!$C:$C = $C2772, 'Fund Investment Data'!$A:$A = $A2772, 'Fund Investment Data'!$B:$B &lt;= 3)) * Parameters!$B$4, 0),0)))"),0.0)</f>
        <v>0</v>
      </c>
      <c r="AB2772" s="32">
        <f>IFERROR(__xludf.DUMMYFUNCTION("IFERROR(((IFERROR(SUM(FILTER('Fund Investment Data'!$V:$V, 'Fund Investment Data'!$C:$C = $C2772, 'Fund Investment Data'!$A:$A = $A2772 - 2, 'Fund Investment Data'!$B:$B &gt;= 4)) * Parameters!$B$4,0) + IFERROR(SUM(FILTER('Fund Investment Data'!$V:$V, 'Fund "&amp;"Investment Data'!$C:$C = $C2772, 'Fund Investment Data'!$A:$A = $A2772 - 1, 'Fund Investment Data'!$B:$B &lt;= 3)) * Parameters!$B$4,0))),0)"),0.0)</f>
        <v>0</v>
      </c>
      <c r="AC2772" s="32">
        <f>IFERROR(__xludf.DUMMYFUNCTION("IFERROR(FILTER($AF:$AF,$C:$C = $C2772,$A:$A = $A2772 - 1,$B:$B = 12),0)"),0.0)</f>
        <v>0</v>
      </c>
      <c r="AD2772" s="32">
        <f t="shared" si="23"/>
        <v>0</v>
      </c>
      <c r="AE2772" s="32">
        <f t="shared" si="2"/>
        <v>0</v>
      </c>
      <c r="AF2772" s="32"/>
    </row>
    <row r="2773">
      <c r="A2773" s="86"/>
      <c r="B2773" s="87"/>
      <c r="C2773" s="88"/>
      <c r="D2773" s="104"/>
      <c r="E2773" s="104"/>
      <c r="F2773" s="104"/>
      <c r="G2773" s="104"/>
      <c r="H2773" s="104"/>
      <c r="I2773" s="104"/>
      <c r="J2773" s="104"/>
      <c r="K2773" s="32"/>
      <c r="L2773" s="32"/>
      <c r="M2773" s="32"/>
      <c r="N2773" s="32"/>
      <c r="O2773" s="106"/>
      <c r="P2773" s="91">
        <f>IFERROR(__xludf.DUMMYFUNCTION("IFERROR(sum(FILTER($D:$N,$C:$C = $C2773,$A:$A &lt; $A2773,$B:$B = 12)),0) + sum($D2773:$N2773)"),0.0)</f>
        <v>0</v>
      </c>
      <c r="Q2773" s="92">
        <f t="shared" si="1"/>
        <v>0</v>
      </c>
      <c r="R2773" s="91">
        <f t="array" ref="R2773">IFERROR(INDEX('Fund YTD Target Values'!$1:$1000, MATCH($C2773,'Fund YTD Target Values'!$A:$A,0), MATCH($A2773,'Fund YTD Target Values'!$1:$1,0)),0)</f>
        <v>0</v>
      </c>
      <c r="S2773" s="91">
        <f>IFERROR(__xludf.DUMMYFUNCTION("IFERROR(sum(FILTER('Fund Investment Data'!$V:$V, 'Fund Investment Data'!$C:$C = $C2773, 'Fund Investment Data'!$A:$A &lt; $A2773)),0) + IFERROR(sum(FILTER('Fund Investment Data'!$V:$V, 'Fund Investment Data'!$C:$C = $C2773, 'Fund Investment Data'!$A:$A = $A2"&amp;"773, 'Fund Investment Data'!$B:$B &lt;= $B2773)),0)"),0.0)</f>
        <v>0</v>
      </c>
      <c r="T2773" s="32"/>
      <c r="U2773" s="32"/>
      <c r="V2773" s="32">
        <f>IFERROR(__xludf.DUMMYFUNCTION("$D2773 - IFERROR(FILTER($D:$D,$C:$C = $C2773, $A:$A = $A2773, $B:$B = $B2773 - 1),0)"),0.0)</f>
        <v>0</v>
      </c>
      <c r="W2773" s="93">
        <f>IFERROR(__xludf.DUMMYFUNCTION("$E2773 - IFERROR(FILTER($E:$E,$C:$C = $C2773, $A:$A = $A2773, $B:$B = $B2773 - 1),0)"),0.0)</f>
        <v>0</v>
      </c>
      <c r="X2773" s="91">
        <f>IFERROR(__xludf.DUMMYFUNCTION("iFERROR((FILTER('Fund Investment Data'!$Z:$Z, 'Fund Investment Data'!$C:$C = $C2773, 'Fund Investment Data'!$A:$A = $A2773 - 1, 'Fund Investment Data'!$B:$B = 12) + FILTER('Fund Investment Data'!$AB:$AB, 'Fund Investment Data'!$C:$C = $C2773, 'Fund Invest"&amp;"ment Data'!$A:$A = $A2773 - 1, 'Fund Investment Data'!$B:$B = 12)) * (1 + AVERAGE(FILTER('Inflation Data'!$C:$C,'Inflation Data'!$A:$A = ($A2773 - 2)))) * Parameters!$A$4,0)"),0.0)</f>
        <v>0</v>
      </c>
      <c r="Y2773" s="91">
        <f>IFERROR(__xludf.DUMMYFUNCTION("IFERROR((IFERROR(FILTER('Fund Investment Data'!$P:$P,'Fund Investment Data'!$C:$C = $C2773,'Fund Investment Data'!$A:$A = ($A2773 - 2), 'Fund Investment Data'!$B:$B = 12),0) - SUM(FILTER('Fund Investment Data'!$V:$V, 'Fund Investment Data'!$C:$C = $C2773,"&amp;" 'Fund Investment Data'!$A:$A = ($A2773 - 2), 'Fund Investment Data'!$B:$B &gt; 3)))  * Parameters!$B$4 * (1 - Parameters!$A$4),0)"),0.0)</f>
        <v>0</v>
      </c>
      <c r="Z2773" s="91">
        <f t="shared" si="24"/>
        <v>0</v>
      </c>
      <c r="AA2773" s="91">
        <f>IFERROR(__xludf.DUMMYFUNCTION("((IFERROR((SUM(FILTER('Fund Investment Data'!$V:$V, 'Fund Investment Data'!$C:$C = $C2773, 'Fund Investment Data'!$A:$A = $A2773 - 1, 'Fund Investment Data'!$B:$B &gt;= 4, 'Fund Investment Data'!$B:$B &lt;= ($B2773 + 5))) / 12) * ($B2773 - 3) * Parameters!$B$4,"&amp;" 0) + IF($B2773 &gt;= 9, IFERROR(SUM(FILTER('Fund Investment Data'!$V:$V, 'Fund Investment Data'!$C:$C = $C2773, 'Fund Investment Data'!$A:$A = $A2773, 'Fund Investment Data'!$B:$B &lt;= 3)) * Parameters!$B$4, 0),0)))"),0.0)</f>
        <v>0</v>
      </c>
      <c r="AB2773" s="32">
        <f>IFERROR(__xludf.DUMMYFUNCTION("IFERROR(((IFERROR(SUM(FILTER('Fund Investment Data'!$V:$V, 'Fund Investment Data'!$C:$C = $C2773, 'Fund Investment Data'!$A:$A = $A2773 - 2, 'Fund Investment Data'!$B:$B &gt;= 4)) * Parameters!$B$4,0) + IFERROR(SUM(FILTER('Fund Investment Data'!$V:$V, 'Fund "&amp;"Investment Data'!$C:$C = $C2773, 'Fund Investment Data'!$A:$A = $A2773 - 1, 'Fund Investment Data'!$B:$B &lt;= 3)) * Parameters!$B$4,0))),0)"),0.0)</f>
        <v>0</v>
      </c>
      <c r="AC2773" s="32">
        <f>IFERROR(__xludf.DUMMYFUNCTION("IFERROR(FILTER($AF:$AF,$C:$C = $C2773,$A:$A = $A2773 - 1,$B:$B = 12),0)"),0.0)</f>
        <v>0</v>
      </c>
      <c r="AD2773" s="32">
        <f t="shared" si="23"/>
        <v>0</v>
      </c>
      <c r="AE2773" s="32">
        <f t="shared" si="2"/>
        <v>0</v>
      </c>
      <c r="AF2773" s="32"/>
    </row>
    <row r="2774">
      <c r="A2774" s="86"/>
      <c r="B2774" s="87"/>
      <c r="C2774" s="88"/>
      <c r="D2774" s="104"/>
      <c r="E2774" s="104"/>
      <c r="F2774" s="104"/>
      <c r="G2774" s="104"/>
      <c r="H2774" s="104"/>
      <c r="I2774" s="104"/>
      <c r="J2774" s="104"/>
      <c r="K2774" s="32"/>
      <c r="L2774" s="32"/>
      <c r="M2774" s="32"/>
      <c r="N2774" s="32"/>
      <c r="O2774" s="106"/>
      <c r="P2774" s="91">
        <f>IFERROR(__xludf.DUMMYFUNCTION("IFERROR(sum(FILTER($D:$N,$C:$C = $C2774,$A:$A &lt; $A2774,$B:$B = 12)),0) + sum($D2774:$N2774)"),0.0)</f>
        <v>0</v>
      </c>
      <c r="Q2774" s="92">
        <f t="shared" si="1"/>
        <v>0</v>
      </c>
      <c r="R2774" s="91">
        <f t="array" ref="R2774">IFERROR(INDEX('Fund YTD Target Values'!$1:$1000, MATCH($C2774,'Fund YTD Target Values'!$A:$A,0), MATCH($A2774,'Fund YTD Target Values'!$1:$1,0)),0)</f>
        <v>0</v>
      </c>
      <c r="S2774" s="91">
        <f>IFERROR(__xludf.DUMMYFUNCTION("IFERROR(sum(FILTER('Fund Investment Data'!$V:$V, 'Fund Investment Data'!$C:$C = $C2774, 'Fund Investment Data'!$A:$A &lt; $A2774)),0) + IFERROR(sum(FILTER('Fund Investment Data'!$V:$V, 'Fund Investment Data'!$C:$C = $C2774, 'Fund Investment Data'!$A:$A = $A2"&amp;"774, 'Fund Investment Data'!$B:$B &lt;= $B2774)),0)"),0.0)</f>
        <v>0</v>
      </c>
      <c r="T2774" s="32"/>
      <c r="U2774" s="32"/>
      <c r="V2774" s="32">
        <f>IFERROR(__xludf.DUMMYFUNCTION("$D2774 - IFERROR(FILTER($D:$D,$C:$C = $C2774, $A:$A = $A2774, $B:$B = $B2774 - 1),0)"),0.0)</f>
        <v>0</v>
      </c>
      <c r="W2774" s="93">
        <f>IFERROR(__xludf.DUMMYFUNCTION("$E2774 - IFERROR(FILTER($E:$E,$C:$C = $C2774, $A:$A = $A2774, $B:$B = $B2774 - 1),0)"),0.0)</f>
        <v>0</v>
      </c>
      <c r="X2774" s="91">
        <f>IFERROR(__xludf.DUMMYFUNCTION("iFERROR((FILTER('Fund Investment Data'!$Z:$Z, 'Fund Investment Data'!$C:$C = $C2774, 'Fund Investment Data'!$A:$A = $A2774 - 1, 'Fund Investment Data'!$B:$B = 12) + FILTER('Fund Investment Data'!$AB:$AB, 'Fund Investment Data'!$C:$C = $C2774, 'Fund Invest"&amp;"ment Data'!$A:$A = $A2774 - 1, 'Fund Investment Data'!$B:$B = 12)) * (1 + AVERAGE(FILTER('Inflation Data'!$C:$C,'Inflation Data'!$A:$A = ($A2774 - 2)))) * Parameters!$A$4,0)"),0.0)</f>
        <v>0</v>
      </c>
      <c r="Y2774" s="91">
        <f>IFERROR(__xludf.DUMMYFUNCTION("IFERROR((IFERROR(FILTER('Fund Investment Data'!$P:$P,'Fund Investment Data'!$C:$C = $C2774,'Fund Investment Data'!$A:$A = ($A2774 - 2), 'Fund Investment Data'!$B:$B = 12),0) - SUM(FILTER('Fund Investment Data'!$V:$V, 'Fund Investment Data'!$C:$C = $C2774,"&amp;" 'Fund Investment Data'!$A:$A = ($A2774 - 2), 'Fund Investment Data'!$B:$B &gt; 3)))  * Parameters!$B$4 * (1 - Parameters!$A$4),0)"),0.0)</f>
        <v>0</v>
      </c>
      <c r="Z2774" s="91">
        <f t="shared" si="24"/>
        <v>0</v>
      </c>
      <c r="AA2774" s="91">
        <f>IFERROR(__xludf.DUMMYFUNCTION("((IFERROR((SUM(FILTER('Fund Investment Data'!$V:$V, 'Fund Investment Data'!$C:$C = $C2774, 'Fund Investment Data'!$A:$A = $A2774 - 1, 'Fund Investment Data'!$B:$B &gt;= 4, 'Fund Investment Data'!$B:$B &lt;= ($B2774 + 5))) / 12) * ($B2774 - 3) * Parameters!$B$4,"&amp;" 0) + IF($B2774 &gt;= 9, IFERROR(SUM(FILTER('Fund Investment Data'!$V:$V, 'Fund Investment Data'!$C:$C = $C2774, 'Fund Investment Data'!$A:$A = $A2774, 'Fund Investment Data'!$B:$B &lt;= 3)) * Parameters!$B$4, 0),0)))"),0.0)</f>
        <v>0</v>
      </c>
      <c r="AB2774" s="32">
        <f>IFERROR(__xludf.DUMMYFUNCTION("IFERROR(((IFERROR(SUM(FILTER('Fund Investment Data'!$V:$V, 'Fund Investment Data'!$C:$C = $C2774, 'Fund Investment Data'!$A:$A = $A2774 - 2, 'Fund Investment Data'!$B:$B &gt;= 4)) * Parameters!$B$4,0) + IFERROR(SUM(FILTER('Fund Investment Data'!$V:$V, 'Fund "&amp;"Investment Data'!$C:$C = $C2774, 'Fund Investment Data'!$A:$A = $A2774 - 1, 'Fund Investment Data'!$B:$B &lt;= 3)) * Parameters!$B$4,0))),0)"),0.0)</f>
        <v>0</v>
      </c>
      <c r="AC2774" s="32">
        <f>IFERROR(__xludf.DUMMYFUNCTION("IFERROR(FILTER($AF:$AF,$C:$C = $C2774,$A:$A = $A2774 - 1,$B:$B = 12),0)"),0.0)</f>
        <v>0</v>
      </c>
      <c r="AD2774" s="32">
        <f t="shared" si="23"/>
        <v>0</v>
      </c>
      <c r="AE2774" s="32">
        <f t="shared" si="2"/>
        <v>0</v>
      </c>
      <c r="AF2774" s="32"/>
    </row>
    <row r="2775">
      <c r="A2775" s="86"/>
      <c r="B2775" s="87"/>
      <c r="C2775" s="88"/>
      <c r="D2775" s="104"/>
      <c r="E2775" s="104"/>
      <c r="F2775" s="104"/>
      <c r="G2775" s="104"/>
      <c r="H2775" s="104"/>
      <c r="I2775" s="104"/>
      <c r="J2775" s="104"/>
      <c r="K2775" s="32"/>
      <c r="L2775" s="32"/>
      <c r="M2775" s="32"/>
      <c r="N2775" s="32"/>
      <c r="O2775" s="106"/>
      <c r="P2775" s="91">
        <f>IFERROR(__xludf.DUMMYFUNCTION("IFERROR(sum(FILTER($D:$N,$C:$C = $C2775,$A:$A &lt; $A2775,$B:$B = 12)),0) + sum($D2775:$N2775)"),0.0)</f>
        <v>0</v>
      </c>
      <c r="Q2775" s="92">
        <f t="shared" si="1"/>
        <v>0</v>
      </c>
      <c r="R2775" s="91">
        <f t="array" ref="R2775">IFERROR(INDEX('Fund YTD Target Values'!$1:$1000, MATCH($C2775,'Fund YTD Target Values'!$A:$A,0), MATCH($A2775,'Fund YTD Target Values'!$1:$1,0)),0)</f>
        <v>0</v>
      </c>
      <c r="S2775" s="91">
        <f>IFERROR(__xludf.DUMMYFUNCTION("IFERROR(sum(FILTER('Fund Investment Data'!$V:$V, 'Fund Investment Data'!$C:$C = $C2775, 'Fund Investment Data'!$A:$A &lt; $A2775)),0) + IFERROR(sum(FILTER('Fund Investment Data'!$V:$V, 'Fund Investment Data'!$C:$C = $C2775, 'Fund Investment Data'!$A:$A = $A2"&amp;"775, 'Fund Investment Data'!$B:$B &lt;= $B2775)),0)"),0.0)</f>
        <v>0</v>
      </c>
      <c r="T2775" s="32"/>
      <c r="U2775" s="32"/>
      <c r="V2775" s="32">
        <f>IFERROR(__xludf.DUMMYFUNCTION("$D2775 - IFERROR(FILTER($D:$D,$C:$C = $C2775, $A:$A = $A2775, $B:$B = $B2775 - 1),0)"),0.0)</f>
        <v>0</v>
      </c>
      <c r="W2775" s="93">
        <f>IFERROR(__xludf.DUMMYFUNCTION("$E2775 - IFERROR(FILTER($E:$E,$C:$C = $C2775, $A:$A = $A2775, $B:$B = $B2775 - 1),0)"),0.0)</f>
        <v>0</v>
      </c>
      <c r="X2775" s="91">
        <f>IFERROR(__xludf.DUMMYFUNCTION("iFERROR((FILTER('Fund Investment Data'!$Z:$Z, 'Fund Investment Data'!$C:$C = $C2775, 'Fund Investment Data'!$A:$A = $A2775 - 1, 'Fund Investment Data'!$B:$B = 12) + FILTER('Fund Investment Data'!$AB:$AB, 'Fund Investment Data'!$C:$C = $C2775, 'Fund Invest"&amp;"ment Data'!$A:$A = $A2775 - 1, 'Fund Investment Data'!$B:$B = 12)) * (1 + AVERAGE(FILTER('Inflation Data'!$C:$C,'Inflation Data'!$A:$A = ($A2775 - 2)))) * Parameters!$A$4,0)"),0.0)</f>
        <v>0</v>
      </c>
      <c r="Y2775" s="91">
        <f>IFERROR(__xludf.DUMMYFUNCTION("IFERROR((IFERROR(FILTER('Fund Investment Data'!$P:$P,'Fund Investment Data'!$C:$C = $C2775,'Fund Investment Data'!$A:$A = ($A2775 - 2), 'Fund Investment Data'!$B:$B = 12),0) - SUM(FILTER('Fund Investment Data'!$V:$V, 'Fund Investment Data'!$C:$C = $C2775,"&amp;" 'Fund Investment Data'!$A:$A = ($A2775 - 2), 'Fund Investment Data'!$B:$B &gt; 3)))  * Parameters!$B$4 * (1 - Parameters!$A$4),0)"),0.0)</f>
        <v>0</v>
      </c>
      <c r="Z2775" s="91">
        <f t="shared" si="24"/>
        <v>0</v>
      </c>
      <c r="AA2775" s="91">
        <f>IFERROR(__xludf.DUMMYFUNCTION("((IFERROR((SUM(FILTER('Fund Investment Data'!$V:$V, 'Fund Investment Data'!$C:$C = $C2775, 'Fund Investment Data'!$A:$A = $A2775 - 1, 'Fund Investment Data'!$B:$B &gt;= 4, 'Fund Investment Data'!$B:$B &lt;= ($B2775 + 5))) / 12) * ($B2775 - 3) * Parameters!$B$4,"&amp;" 0) + IF($B2775 &gt;= 9, IFERROR(SUM(FILTER('Fund Investment Data'!$V:$V, 'Fund Investment Data'!$C:$C = $C2775, 'Fund Investment Data'!$A:$A = $A2775, 'Fund Investment Data'!$B:$B &lt;= 3)) * Parameters!$B$4, 0),0)))"),0.0)</f>
        <v>0</v>
      </c>
      <c r="AB2775" s="32">
        <f>IFERROR(__xludf.DUMMYFUNCTION("IFERROR(((IFERROR(SUM(FILTER('Fund Investment Data'!$V:$V, 'Fund Investment Data'!$C:$C = $C2775, 'Fund Investment Data'!$A:$A = $A2775 - 2, 'Fund Investment Data'!$B:$B &gt;= 4)) * Parameters!$B$4,0) + IFERROR(SUM(FILTER('Fund Investment Data'!$V:$V, 'Fund "&amp;"Investment Data'!$C:$C = $C2775, 'Fund Investment Data'!$A:$A = $A2775 - 1, 'Fund Investment Data'!$B:$B &lt;= 3)) * Parameters!$B$4,0))),0)"),0.0)</f>
        <v>0</v>
      </c>
      <c r="AC2775" s="32">
        <f>IFERROR(__xludf.DUMMYFUNCTION("IFERROR(FILTER($AF:$AF,$C:$C = $C2775,$A:$A = $A2775 - 1,$B:$B = 12),0)"),0.0)</f>
        <v>0</v>
      </c>
      <c r="AD2775" s="32">
        <f t="shared" si="23"/>
        <v>0</v>
      </c>
      <c r="AE2775" s="32">
        <f t="shared" si="2"/>
        <v>0</v>
      </c>
      <c r="AF2775" s="32"/>
    </row>
    <row r="2776">
      <c r="A2776" s="86"/>
      <c r="B2776" s="87"/>
      <c r="C2776" s="88"/>
      <c r="D2776" s="104"/>
      <c r="E2776" s="104"/>
      <c r="F2776" s="104"/>
      <c r="G2776" s="104"/>
      <c r="H2776" s="104"/>
      <c r="I2776" s="104"/>
      <c r="J2776" s="104"/>
      <c r="K2776" s="32"/>
      <c r="L2776" s="32"/>
      <c r="M2776" s="32"/>
      <c r="N2776" s="32"/>
      <c r="O2776" s="106"/>
      <c r="P2776" s="91">
        <f>IFERROR(__xludf.DUMMYFUNCTION("IFERROR(sum(FILTER($D:$N,$C:$C = $C2776,$A:$A &lt; $A2776,$B:$B = 12)),0) + sum($D2776:$N2776)"),0.0)</f>
        <v>0</v>
      </c>
      <c r="Q2776" s="92">
        <f t="shared" si="1"/>
        <v>0</v>
      </c>
      <c r="R2776" s="91">
        <f t="array" ref="R2776">IFERROR(INDEX('Fund YTD Target Values'!$1:$1000, MATCH($C2776,'Fund YTD Target Values'!$A:$A,0), MATCH($A2776,'Fund YTD Target Values'!$1:$1,0)),0)</f>
        <v>0</v>
      </c>
      <c r="S2776" s="91">
        <f>IFERROR(__xludf.DUMMYFUNCTION("IFERROR(sum(FILTER('Fund Investment Data'!$V:$V, 'Fund Investment Data'!$C:$C = $C2776, 'Fund Investment Data'!$A:$A &lt; $A2776)),0) + IFERROR(sum(FILTER('Fund Investment Data'!$V:$V, 'Fund Investment Data'!$C:$C = $C2776, 'Fund Investment Data'!$A:$A = $A2"&amp;"776, 'Fund Investment Data'!$B:$B &lt;= $B2776)),0)"),0.0)</f>
        <v>0</v>
      </c>
      <c r="T2776" s="32"/>
      <c r="U2776" s="32"/>
      <c r="V2776" s="32">
        <f>IFERROR(__xludf.DUMMYFUNCTION("$D2776 - IFERROR(FILTER($D:$D,$C:$C = $C2776, $A:$A = $A2776, $B:$B = $B2776 - 1),0)"),0.0)</f>
        <v>0</v>
      </c>
      <c r="W2776" s="93">
        <f>IFERROR(__xludf.DUMMYFUNCTION("$E2776 - IFERROR(FILTER($E:$E,$C:$C = $C2776, $A:$A = $A2776, $B:$B = $B2776 - 1),0)"),0.0)</f>
        <v>0</v>
      </c>
      <c r="X2776" s="91">
        <f>IFERROR(__xludf.DUMMYFUNCTION("iFERROR((FILTER('Fund Investment Data'!$Z:$Z, 'Fund Investment Data'!$C:$C = $C2776, 'Fund Investment Data'!$A:$A = $A2776 - 1, 'Fund Investment Data'!$B:$B = 12) + FILTER('Fund Investment Data'!$AB:$AB, 'Fund Investment Data'!$C:$C = $C2776, 'Fund Invest"&amp;"ment Data'!$A:$A = $A2776 - 1, 'Fund Investment Data'!$B:$B = 12)) * (1 + AVERAGE(FILTER('Inflation Data'!$C:$C,'Inflation Data'!$A:$A = ($A2776 - 2)))) * Parameters!$A$4,0)"),0.0)</f>
        <v>0</v>
      </c>
      <c r="Y2776" s="91">
        <f>IFERROR(__xludf.DUMMYFUNCTION("IFERROR((IFERROR(FILTER('Fund Investment Data'!$P:$P,'Fund Investment Data'!$C:$C = $C2776,'Fund Investment Data'!$A:$A = ($A2776 - 2), 'Fund Investment Data'!$B:$B = 12),0) - SUM(FILTER('Fund Investment Data'!$V:$V, 'Fund Investment Data'!$C:$C = $C2776,"&amp;" 'Fund Investment Data'!$A:$A = ($A2776 - 2), 'Fund Investment Data'!$B:$B &gt; 3)))  * Parameters!$B$4 * (1 - Parameters!$A$4),0)"),0.0)</f>
        <v>0</v>
      </c>
      <c r="Z2776" s="91">
        <f t="shared" si="24"/>
        <v>0</v>
      </c>
      <c r="AA2776" s="91">
        <f>IFERROR(__xludf.DUMMYFUNCTION("((IFERROR((SUM(FILTER('Fund Investment Data'!$V:$V, 'Fund Investment Data'!$C:$C = $C2776, 'Fund Investment Data'!$A:$A = $A2776 - 1, 'Fund Investment Data'!$B:$B &gt;= 4, 'Fund Investment Data'!$B:$B &lt;= ($B2776 + 5))) / 12) * ($B2776 - 3) * Parameters!$B$4,"&amp;" 0) + IF($B2776 &gt;= 9, IFERROR(SUM(FILTER('Fund Investment Data'!$V:$V, 'Fund Investment Data'!$C:$C = $C2776, 'Fund Investment Data'!$A:$A = $A2776, 'Fund Investment Data'!$B:$B &lt;= 3)) * Parameters!$B$4, 0),0)))"),0.0)</f>
        <v>0</v>
      </c>
      <c r="AB2776" s="32">
        <f>IFERROR(__xludf.DUMMYFUNCTION("IFERROR(((IFERROR(SUM(FILTER('Fund Investment Data'!$V:$V, 'Fund Investment Data'!$C:$C = $C2776, 'Fund Investment Data'!$A:$A = $A2776 - 2, 'Fund Investment Data'!$B:$B &gt;= 4)) * Parameters!$B$4,0) + IFERROR(SUM(FILTER('Fund Investment Data'!$V:$V, 'Fund "&amp;"Investment Data'!$C:$C = $C2776, 'Fund Investment Data'!$A:$A = $A2776 - 1, 'Fund Investment Data'!$B:$B &lt;= 3)) * Parameters!$B$4,0))),0)"),0.0)</f>
        <v>0</v>
      </c>
      <c r="AC2776" s="32">
        <f>IFERROR(__xludf.DUMMYFUNCTION("IFERROR(FILTER($AF:$AF,$C:$C = $C2776,$A:$A = $A2776 - 1,$B:$B = 12),0)"),0.0)</f>
        <v>0</v>
      </c>
      <c r="AD2776" s="32">
        <f t="shared" si="23"/>
        <v>0</v>
      </c>
      <c r="AE2776" s="32">
        <f t="shared" si="2"/>
        <v>0</v>
      </c>
      <c r="AF2776" s="32"/>
    </row>
    <row r="2777">
      <c r="A2777" s="86"/>
      <c r="B2777" s="87"/>
      <c r="C2777" s="88"/>
      <c r="D2777" s="104"/>
      <c r="E2777" s="104"/>
      <c r="F2777" s="104"/>
      <c r="G2777" s="104"/>
      <c r="H2777" s="104"/>
      <c r="I2777" s="104"/>
      <c r="J2777" s="104"/>
      <c r="K2777" s="32"/>
      <c r="L2777" s="32"/>
      <c r="M2777" s="32"/>
      <c r="N2777" s="32"/>
      <c r="O2777" s="106"/>
      <c r="P2777" s="91">
        <f>IFERROR(__xludf.DUMMYFUNCTION("IFERROR(sum(FILTER($D:$N,$C:$C = $C2777,$A:$A &lt; $A2777,$B:$B = 12)),0) + sum($D2777:$N2777)"),0.0)</f>
        <v>0</v>
      </c>
      <c r="Q2777" s="92">
        <f t="shared" si="1"/>
        <v>0</v>
      </c>
      <c r="R2777" s="91">
        <f t="array" ref="R2777">IFERROR(INDEX('Fund YTD Target Values'!$1:$1000, MATCH($C2777,'Fund YTD Target Values'!$A:$A,0), MATCH($A2777,'Fund YTD Target Values'!$1:$1,0)),0)</f>
        <v>0</v>
      </c>
      <c r="S2777" s="91">
        <f>IFERROR(__xludf.DUMMYFUNCTION("IFERROR(sum(FILTER('Fund Investment Data'!$V:$V, 'Fund Investment Data'!$C:$C = $C2777, 'Fund Investment Data'!$A:$A &lt; $A2777)),0) + IFERROR(sum(FILTER('Fund Investment Data'!$V:$V, 'Fund Investment Data'!$C:$C = $C2777, 'Fund Investment Data'!$A:$A = $A2"&amp;"777, 'Fund Investment Data'!$B:$B &lt;= $B2777)),0)"),0.0)</f>
        <v>0</v>
      </c>
      <c r="T2777" s="32"/>
      <c r="U2777" s="32"/>
      <c r="V2777" s="32">
        <f>IFERROR(__xludf.DUMMYFUNCTION("$D2777 - IFERROR(FILTER($D:$D,$C:$C = $C2777, $A:$A = $A2777, $B:$B = $B2777 - 1),0)"),0.0)</f>
        <v>0</v>
      </c>
      <c r="W2777" s="93">
        <f>IFERROR(__xludf.DUMMYFUNCTION("$E2777 - IFERROR(FILTER($E:$E,$C:$C = $C2777, $A:$A = $A2777, $B:$B = $B2777 - 1),0)"),0.0)</f>
        <v>0</v>
      </c>
      <c r="X2777" s="91">
        <f>IFERROR(__xludf.DUMMYFUNCTION("iFERROR((FILTER('Fund Investment Data'!$Z:$Z, 'Fund Investment Data'!$C:$C = $C2777, 'Fund Investment Data'!$A:$A = $A2777 - 1, 'Fund Investment Data'!$B:$B = 12) + FILTER('Fund Investment Data'!$AB:$AB, 'Fund Investment Data'!$C:$C = $C2777, 'Fund Invest"&amp;"ment Data'!$A:$A = $A2777 - 1, 'Fund Investment Data'!$B:$B = 12)) * (1 + AVERAGE(FILTER('Inflation Data'!$C:$C,'Inflation Data'!$A:$A = ($A2777 - 2)))) * Parameters!$A$4,0)"),0.0)</f>
        <v>0</v>
      </c>
      <c r="Y2777" s="91">
        <f>IFERROR(__xludf.DUMMYFUNCTION("IFERROR((IFERROR(FILTER('Fund Investment Data'!$P:$P,'Fund Investment Data'!$C:$C = $C2777,'Fund Investment Data'!$A:$A = ($A2777 - 2), 'Fund Investment Data'!$B:$B = 12),0) - SUM(FILTER('Fund Investment Data'!$V:$V, 'Fund Investment Data'!$C:$C = $C2777,"&amp;" 'Fund Investment Data'!$A:$A = ($A2777 - 2), 'Fund Investment Data'!$B:$B &gt; 3)))  * Parameters!$B$4 * (1 - Parameters!$A$4),0)"),0.0)</f>
        <v>0</v>
      </c>
      <c r="Z2777" s="91">
        <f t="shared" si="24"/>
        <v>0</v>
      </c>
      <c r="AA2777" s="91">
        <f>IFERROR(__xludf.DUMMYFUNCTION("((IFERROR((SUM(FILTER('Fund Investment Data'!$V:$V, 'Fund Investment Data'!$C:$C = $C2777, 'Fund Investment Data'!$A:$A = $A2777 - 1, 'Fund Investment Data'!$B:$B &gt;= 4, 'Fund Investment Data'!$B:$B &lt;= ($B2777 + 5))) / 12) * ($B2777 - 3) * Parameters!$B$4,"&amp;" 0) + IF($B2777 &gt;= 9, IFERROR(SUM(FILTER('Fund Investment Data'!$V:$V, 'Fund Investment Data'!$C:$C = $C2777, 'Fund Investment Data'!$A:$A = $A2777, 'Fund Investment Data'!$B:$B &lt;= 3)) * Parameters!$B$4, 0),0)))"),0.0)</f>
        <v>0</v>
      </c>
      <c r="AB2777" s="32">
        <f>IFERROR(__xludf.DUMMYFUNCTION("IFERROR(((IFERROR(SUM(FILTER('Fund Investment Data'!$V:$V, 'Fund Investment Data'!$C:$C = $C2777, 'Fund Investment Data'!$A:$A = $A2777 - 2, 'Fund Investment Data'!$B:$B &gt;= 4)) * Parameters!$B$4,0) + IFERROR(SUM(FILTER('Fund Investment Data'!$V:$V, 'Fund "&amp;"Investment Data'!$C:$C = $C2777, 'Fund Investment Data'!$A:$A = $A2777 - 1, 'Fund Investment Data'!$B:$B &lt;= 3)) * Parameters!$B$4,0))),0)"),0.0)</f>
        <v>0</v>
      </c>
      <c r="AC2777" s="32">
        <f>IFERROR(__xludf.DUMMYFUNCTION("IFERROR(FILTER($AF:$AF,$C:$C = $C2777,$A:$A = $A2777 - 1,$B:$B = 12),0)"),0.0)</f>
        <v>0</v>
      </c>
      <c r="AD2777" s="32">
        <f t="shared" si="23"/>
        <v>0</v>
      </c>
      <c r="AE2777" s="32">
        <f t="shared" si="2"/>
        <v>0</v>
      </c>
      <c r="AF2777" s="32"/>
    </row>
    <row r="2778">
      <c r="A2778" s="86"/>
      <c r="B2778" s="87"/>
      <c r="C2778" s="88"/>
      <c r="D2778" s="104"/>
      <c r="E2778" s="104"/>
      <c r="F2778" s="104"/>
      <c r="G2778" s="104"/>
      <c r="H2778" s="104"/>
      <c r="I2778" s="104"/>
      <c r="J2778" s="104"/>
      <c r="K2778" s="32"/>
      <c r="L2778" s="32"/>
      <c r="M2778" s="32"/>
      <c r="N2778" s="32"/>
      <c r="O2778" s="106"/>
      <c r="P2778" s="91">
        <f>IFERROR(__xludf.DUMMYFUNCTION("IFERROR(sum(FILTER($D:$N,$C:$C = $C2778,$A:$A &lt; $A2778,$B:$B = 12)),0) + sum($D2778:$N2778)"),0.0)</f>
        <v>0</v>
      </c>
      <c r="Q2778" s="92">
        <f t="shared" si="1"/>
        <v>0</v>
      </c>
      <c r="R2778" s="91">
        <f t="array" ref="R2778">IFERROR(INDEX('Fund YTD Target Values'!$1:$1000, MATCH($C2778,'Fund YTD Target Values'!$A:$A,0), MATCH($A2778,'Fund YTD Target Values'!$1:$1,0)),0)</f>
        <v>0</v>
      </c>
      <c r="S2778" s="91">
        <f>IFERROR(__xludf.DUMMYFUNCTION("IFERROR(sum(FILTER('Fund Investment Data'!$V:$V, 'Fund Investment Data'!$C:$C = $C2778, 'Fund Investment Data'!$A:$A &lt; $A2778)),0) + IFERROR(sum(FILTER('Fund Investment Data'!$V:$V, 'Fund Investment Data'!$C:$C = $C2778, 'Fund Investment Data'!$A:$A = $A2"&amp;"778, 'Fund Investment Data'!$B:$B &lt;= $B2778)),0)"),0.0)</f>
        <v>0</v>
      </c>
      <c r="T2778" s="32"/>
      <c r="U2778" s="32"/>
      <c r="V2778" s="32">
        <f>IFERROR(__xludf.DUMMYFUNCTION("$D2778 - IFERROR(FILTER($D:$D,$C:$C = $C2778, $A:$A = $A2778, $B:$B = $B2778 - 1),0)"),0.0)</f>
        <v>0</v>
      </c>
      <c r="W2778" s="93">
        <f>IFERROR(__xludf.DUMMYFUNCTION("$E2778 - IFERROR(FILTER($E:$E,$C:$C = $C2778, $A:$A = $A2778, $B:$B = $B2778 - 1),0)"),0.0)</f>
        <v>0</v>
      </c>
      <c r="X2778" s="91">
        <f>IFERROR(__xludf.DUMMYFUNCTION("iFERROR((FILTER('Fund Investment Data'!$Z:$Z, 'Fund Investment Data'!$C:$C = $C2778, 'Fund Investment Data'!$A:$A = $A2778 - 1, 'Fund Investment Data'!$B:$B = 12) + FILTER('Fund Investment Data'!$AB:$AB, 'Fund Investment Data'!$C:$C = $C2778, 'Fund Invest"&amp;"ment Data'!$A:$A = $A2778 - 1, 'Fund Investment Data'!$B:$B = 12)) * (1 + AVERAGE(FILTER('Inflation Data'!$C:$C,'Inflation Data'!$A:$A = ($A2778 - 2)))) * Parameters!$A$4,0)"),0.0)</f>
        <v>0</v>
      </c>
      <c r="Y2778" s="91">
        <f>IFERROR(__xludf.DUMMYFUNCTION("IFERROR((IFERROR(FILTER('Fund Investment Data'!$P:$P,'Fund Investment Data'!$C:$C = $C2778,'Fund Investment Data'!$A:$A = ($A2778 - 2), 'Fund Investment Data'!$B:$B = 12),0) - SUM(FILTER('Fund Investment Data'!$V:$V, 'Fund Investment Data'!$C:$C = $C2778,"&amp;" 'Fund Investment Data'!$A:$A = ($A2778 - 2), 'Fund Investment Data'!$B:$B &gt; 3)))  * Parameters!$B$4 * (1 - Parameters!$A$4),0)"),0.0)</f>
        <v>0</v>
      </c>
      <c r="Z2778" s="91">
        <f t="shared" si="24"/>
        <v>0</v>
      </c>
      <c r="AA2778" s="91">
        <f>IFERROR(__xludf.DUMMYFUNCTION("((IFERROR((SUM(FILTER('Fund Investment Data'!$V:$V, 'Fund Investment Data'!$C:$C = $C2778, 'Fund Investment Data'!$A:$A = $A2778 - 1, 'Fund Investment Data'!$B:$B &gt;= 4, 'Fund Investment Data'!$B:$B &lt;= ($B2778 + 5))) / 12) * ($B2778 - 3) * Parameters!$B$4,"&amp;" 0) + IF($B2778 &gt;= 9, IFERROR(SUM(FILTER('Fund Investment Data'!$V:$V, 'Fund Investment Data'!$C:$C = $C2778, 'Fund Investment Data'!$A:$A = $A2778, 'Fund Investment Data'!$B:$B &lt;= 3)) * Parameters!$B$4, 0),0)))"),0.0)</f>
        <v>0</v>
      </c>
      <c r="AB2778" s="32">
        <f>IFERROR(__xludf.DUMMYFUNCTION("IFERROR(((IFERROR(SUM(FILTER('Fund Investment Data'!$V:$V, 'Fund Investment Data'!$C:$C = $C2778, 'Fund Investment Data'!$A:$A = $A2778 - 2, 'Fund Investment Data'!$B:$B &gt;= 4)) * Parameters!$B$4,0) + IFERROR(SUM(FILTER('Fund Investment Data'!$V:$V, 'Fund "&amp;"Investment Data'!$C:$C = $C2778, 'Fund Investment Data'!$A:$A = $A2778 - 1, 'Fund Investment Data'!$B:$B &lt;= 3)) * Parameters!$B$4,0))),0)"),0.0)</f>
        <v>0</v>
      </c>
      <c r="AC2778" s="32">
        <f>IFERROR(__xludf.DUMMYFUNCTION("IFERROR(FILTER($AF:$AF,$C:$C = $C2778,$A:$A = $A2778 - 1,$B:$B = 12),0)"),0.0)</f>
        <v>0</v>
      </c>
      <c r="AD2778" s="32">
        <f t="shared" si="23"/>
        <v>0</v>
      </c>
      <c r="AE2778" s="32">
        <f t="shared" si="2"/>
        <v>0</v>
      </c>
      <c r="AF2778" s="32"/>
    </row>
    <row r="2779">
      <c r="A2779" s="86"/>
      <c r="B2779" s="87"/>
      <c r="C2779" s="88"/>
      <c r="D2779" s="104"/>
      <c r="E2779" s="104"/>
      <c r="F2779" s="104"/>
      <c r="G2779" s="104"/>
      <c r="H2779" s="104"/>
      <c r="I2779" s="104"/>
      <c r="J2779" s="104"/>
      <c r="K2779" s="32"/>
      <c r="L2779" s="32"/>
      <c r="M2779" s="32"/>
      <c r="N2779" s="32"/>
      <c r="O2779" s="106"/>
      <c r="P2779" s="91">
        <f>IFERROR(__xludf.DUMMYFUNCTION("IFERROR(sum(FILTER($D:$N,$C:$C = $C2779,$A:$A &lt; $A2779,$B:$B = 12)),0) + sum($D2779:$N2779)"),0.0)</f>
        <v>0</v>
      </c>
      <c r="Q2779" s="92">
        <f t="shared" si="1"/>
        <v>0</v>
      </c>
      <c r="R2779" s="91">
        <f t="array" ref="R2779">IFERROR(INDEX('Fund YTD Target Values'!$1:$1000, MATCH($C2779,'Fund YTD Target Values'!$A:$A,0), MATCH($A2779,'Fund YTD Target Values'!$1:$1,0)),0)</f>
        <v>0</v>
      </c>
      <c r="S2779" s="91">
        <f>IFERROR(__xludf.DUMMYFUNCTION("IFERROR(sum(FILTER('Fund Investment Data'!$V:$V, 'Fund Investment Data'!$C:$C = $C2779, 'Fund Investment Data'!$A:$A &lt; $A2779)),0) + IFERROR(sum(FILTER('Fund Investment Data'!$V:$V, 'Fund Investment Data'!$C:$C = $C2779, 'Fund Investment Data'!$A:$A = $A2"&amp;"779, 'Fund Investment Data'!$B:$B &lt;= $B2779)),0)"),0.0)</f>
        <v>0</v>
      </c>
      <c r="T2779" s="32"/>
      <c r="U2779" s="32"/>
      <c r="V2779" s="32">
        <f>IFERROR(__xludf.DUMMYFUNCTION("$D2779 - IFERROR(FILTER($D:$D,$C:$C = $C2779, $A:$A = $A2779, $B:$B = $B2779 - 1),0)"),0.0)</f>
        <v>0</v>
      </c>
      <c r="W2779" s="93">
        <f>IFERROR(__xludf.DUMMYFUNCTION("$E2779 - IFERROR(FILTER($E:$E,$C:$C = $C2779, $A:$A = $A2779, $B:$B = $B2779 - 1),0)"),0.0)</f>
        <v>0</v>
      </c>
      <c r="X2779" s="91">
        <f>IFERROR(__xludf.DUMMYFUNCTION("iFERROR((FILTER('Fund Investment Data'!$Z:$Z, 'Fund Investment Data'!$C:$C = $C2779, 'Fund Investment Data'!$A:$A = $A2779 - 1, 'Fund Investment Data'!$B:$B = 12) + FILTER('Fund Investment Data'!$AB:$AB, 'Fund Investment Data'!$C:$C = $C2779, 'Fund Invest"&amp;"ment Data'!$A:$A = $A2779 - 1, 'Fund Investment Data'!$B:$B = 12)) * (1 + AVERAGE(FILTER('Inflation Data'!$C:$C,'Inflation Data'!$A:$A = ($A2779 - 2)))) * Parameters!$A$4,0)"),0.0)</f>
        <v>0</v>
      </c>
      <c r="Y2779" s="91">
        <f>IFERROR(__xludf.DUMMYFUNCTION("IFERROR((IFERROR(FILTER('Fund Investment Data'!$P:$P,'Fund Investment Data'!$C:$C = $C2779,'Fund Investment Data'!$A:$A = ($A2779 - 2), 'Fund Investment Data'!$B:$B = 12),0) - SUM(FILTER('Fund Investment Data'!$V:$V, 'Fund Investment Data'!$C:$C = $C2779,"&amp;" 'Fund Investment Data'!$A:$A = ($A2779 - 2), 'Fund Investment Data'!$B:$B &gt; 3)))  * Parameters!$B$4 * (1 - Parameters!$A$4),0)"),0.0)</f>
        <v>0</v>
      </c>
      <c r="Z2779" s="91">
        <f t="shared" si="24"/>
        <v>0</v>
      </c>
      <c r="AA2779" s="91">
        <f>IFERROR(__xludf.DUMMYFUNCTION("((IFERROR((SUM(FILTER('Fund Investment Data'!$V:$V, 'Fund Investment Data'!$C:$C = $C2779, 'Fund Investment Data'!$A:$A = $A2779 - 1, 'Fund Investment Data'!$B:$B &gt;= 4, 'Fund Investment Data'!$B:$B &lt;= ($B2779 + 5))) / 12) * ($B2779 - 3) * Parameters!$B$4,"&amp;" 0) + IF($B2779 &gt;= 9, IFERROR(SUM(FILTER('Fund Investment Data'!$V:$V, 'Fund Investment Data'!$C:$C = $C2779, 'Fund Investment Data'!$A:$A = $A2779, 'Fund Investment Data'!$B:$B &lt;= 3)) * Parameters!$B$4, 0),0)))"),0.0)</f>
        <v>0</v>
      </c>
      <c r="AB2779" s="32">
        <f>IFERROR(__xludf.DUMMYFUNCTION("IFERROR(((IFERROR(SUM(FILTER('Fund Investment Data'!$V:$V, 'Fund Investment Data'!$C:$C = $C2779, 'Fund Investment Data'!$A:$A = $A2779 - 2, 'Fund Investment Data'!$B:$B &gt;= 4)) * Parameters!$B$4,0) + IFERROR(SUM(FILTER('Fund Investment Data'!$V:$V, 'Fund "&amp;"Investment Data'!$C:$C = $C2779, 'Fund Investment Data'!$A:$A = $A2779 - 1, 'Fund Investment Data'!$B:$B &lt;= 3)) * Parameters!$B$4,0))),0)"),0.0)</f>
        <v>0</v>
      </c>
      <c r="AC2779" s="32">
        <f>IFERROR(__xludf.DUMMYFUNCTION("IFERROR(FILTER($AF:$AF,$C:$C = $C2779,$A:$A = $A2779 - 1,$B:$B = 12),0)"),0.0)</f>
        <v>0</v>
      </c>
      <c r="AD2779" s="32">
        <f t="shared" si="23"/>
        <v>0</v>
      </c>
      <c r="AE2779" s="32">
        <f t="shared" si="2"/>
        <v>0</v>
      </c>
      <c r="AF2779" s="32"/>
    </row>
    <row r="2780">
      <c r="A2780" s="86"/>
      <c r="B2780" s="87"/>
      <c r="C2780" s="88"/>
      <c r="D2780" s="104"/>
      <c r="E2780" s="104"/>
      <c r="F2780" s="104"/>
      <c r="G2780" s="104"/>
      <c r="H2780" s="104"/>
      <c r="I2780" s="104"/>
      <c r="J2780" s="104"/>
      <c r="K2780" s="32"/>
      <c r="L2780" s="32"/>
      <c r="M2780" s="32"/>
      <c r="N2780" s="32"/>
      <c r="O2780" s="106"/>
      <c r="P2780" s="91">
        <f>IFERROR(__xludf.DUMMYFUNCTION("IFERROR(sum(FILTER($D:$N,$C:$C = $C2780,$A:$A &lt; $A2780,$B:$B = 12)),0) + sum($D2780:$N2780)"),0.0)</f>
        <v>0</v>
      </c>
      <c r="Q2780" s="92">
        <f t="shared" si="1"/>
        <v>0</v>
      </c>
      <c r="R2780" s="91">
        <f t="array" ref="R2780">IFERROR(INDEX('Fund YTD Target Values'!$1:$1000, MATCH($C2780,'Fund YTD Target Values'!$A:$A,0), MATCH($A2780,'Fund YTD Target Values'!$1:$1,0)),0)</f>
        <v>0</v>
      </c>
      <c r="S2780" s="91">
        <f>IFERROR(__xludf.DUMMYFUNCTION("IFERROR(sum(FILTER('Fund Investment Data'!$V:$V, 'Fund Investment Data'!$C:$C = $C2780, 'Fund Investment Data'!$A:$A &lt; $A2780)),0) + IFERROR(sum(FILTER('Fund Investment Data'!$V:$V, 'Fund Investment Data'!$C:$C = $C2780, 'Fund Investment Data'!$A:$A = $A2"&amp;"780, 'Fund Investment Data'!$B:$B &lt;= $B2780)),0)"),0.0)</f>
        <v>0</v>
      </c>
      <c r="T2780" s="32"/>
      <c r="U2780" s="32"/>
      <c r="V2780" s="32">
        <f>IFERROR(__xludf.DUMMYFUNCTION("$D2780 - IFERROR(FILTER($D:$D,$C:$C = $C2780, $A:$A = $A2780, $B:$B = $B2780 - 1),0)"),0.0)</f>
        <v>0</v>
      </c>
      <c r="W2780" s="93">
        <f>IFERROR(__xludf.DUMMYFUNCTION("$E2780 - IFERROR(FILTER($E:$E,$C:$C = $C2780, $A:$A = $A2780, $B:$B = $B2780 - 1),0)"),0.0)</f>
        <v>0</v>
      </c>
      <c r="X2780" s="91">
        <f>IFERROR(__xludf.DUMMYFUNCTION("iFERROR((FILTER('Fund Investment Data'!$Z:$Z, 'Fund Investment Data'!$C:$C = $C2780, 'Fund Investment Data'!$A:$A = $A2780 - 1, 'Fund Investment Data'!$B:$B = 12) + FILTER('Fund Investment Data'!$AB:$AB, 'Fund Investment Data'!$C:$C = $C2780, 'Fund Invest"&amp;"ment Data'!$A:$A = $A2780 - 1, 'Fund Investment Data'!$B:$B = 12)) * (1 + AVERAGE(FILTER('Inflation Data'!$C:$C,'Inflation Data'!$A:$A = ($A2780 - 2)))) * Parameters!$A$4,0)"),0.0)</f>
        <v>0</v>
      </c>
      <c r="Y2780" s="91">
        <f>IFERROR(__xludf.DUMMYFUNCTION("IFERROR((IFERROR(FILTER('Fund Investment Data'!$P:$P,'Fund Investment Data'!$C:$C = $C2780,'Fund Investment Data'!$A:$A = ($A2780 - 2), 'Fund Investment Data'!$B:$B = 12),0) - SUM(FILTER('Fund Investment Data'!$V:$V, 'Fund Investment Data'!$C:$C = $C2780,"&amp;" 'Fund Investment Data'!$A:$A = ($A2780 - 2), 'Fund Investment Data'!$B:$B &gt; 3)))  * Parameters!$B$4 * (1 - Parameters!$A$4),0)"),0.0)</f>
        <v>0</v>
      </c>
      <c r="Z2780" s="91">
        <f t="shared" si="24"/>
        <v>0</v>
      </c>
      <c r="AA2780" s="91">
        <f>IFERROR(__xludf.DUMMYFUNCTION("((IFERROR((SUM(FILTER('Fund Investment Data'!$V:$V, 'Fund Investment Data'!$C:$C = $C2780, 'Fund Investment Data'!$A:$A = $A2780 - 1, 'Fund Investment Data'!$B:$B &gt;= 4, 'Fund Investment Data'!$B:$B &lt;= ($B2780 + 5))) / 12) * ($B2780 - 3) * Parameters!$B$4,"&amp;" 0) + IF($B2780 &gt;= 9, IFERROR(SUM(FILTER('Fund Investment Data'!$V:$V, 'Fund Investment Data'!$C:$C = $C2780, 'Fund Investment Data'!$A:$A = $A2780, 'Fund Investment Data'!$B:$B &lt;= 3)) * Parameters!$B$4, 0),0)))"),0.0)</f>
        <v>0</v>
      </c>
      <c r="AB2780" s="32">
        <f>IFERROR(__xludf.DUMMYFUNCTION("IFERROR(((IFERROR(SUM(FILTER('Fund Investment Data'!$V:$V, 'Fund Investment Data'!$C:$C = $C2780, 'Fund Investment Data'!$A:$A = $A2780 - 2, 'Fund Investment Data'!$B:$B &gt;= 4)) * Parameters!$B$4,0) + IFERROR(SUM(FILTER('Fund Investment Data'!$V:$V, 'Fund "&amp;"Investment Data'!$C:$C = $C2780, 'Fund Investment Data'!$A:$A = $A2780 - 1, 'Fund Investment Data'!$B:$B &lt;= 3)) * Parameters!$B$4,0))),0)"),0.0)</f>
        <v>0</v>
      </c>
      <c r="AC2780" s="32">
        <f>IFERROR(__xludf.DUMMYFUNCTION("IFERROR(FILTER($AF:$AF,$C:$C = $C2780,$A:$A = $A2780 - 1,$B:$B = 12),0)"),0.0)</f>
        <v>0</v>
      </c>
      <c r="AD2780" s="32">
        <f t="shared" si="23"/>
        <v>0</v>
      </c>
      <c r="AE2780" s="32">
        <f t="shared" si="2"/>
        <v>0</v>
      </c>
      <c r="AF2780" s="32"/>
    </row>
    <row r="2781">
      <c r="A2781" s="86"/>
      <c r="B2781" s="87"/>
      <c r="C2781" s="88"/>
      <c r="D2781" s="104"/>
      <c r="E2781" s="104"/>
      <c r="F2781" s="104"/>
      <c r="G2781" s="104"/>
      <c r="H2781" s="104"/>
      <c r="I2781" s="104"/>
      <c r="J2781" s="104"/>
      <c r="K2781" s="32"/>
      <c r="L2781" s="32"/>
      <c r="M2781" s="32"/>
      <c r="N2781" s="32"/>
      <c r="O2781" s="106"/>
      <c r="P2781" s="91">
        <f>IFERROR(__xludf.DUMMYFUNCTION("IFERROR(sum(FILTER($D:$N,$C:$C = $C2781,$A:$A &lt; $A2781,$B:$B = 12)),0) + sum($D2781:$N2781)"),0.0)</f>
        <v>0</v>
      </c>
      <c r="Q2781" s="92">
        <f t="shared" si="1"/>
        <v>0</v>
      </c>
      <c r="R2781" s="91">
        <f t="array" ref="R2781">IFERROR(INDEX('Fund YTD Target Values'!$1:$1000, MATCH($C2781,'Fund YTD Target Values'!$A:$A,0), MATCH($A2781,'Fund YTD Target Values'!$1:$1,0)),0)</f>
        <v>0</v>
      </c>
      <c r="S2781" s="91">
        <f>IFERROR(__xludf.DUMMYFUNCTION("IFERROR(sum(FILTER('Fund Investment Data'!$V:$V, 'Fund Investment Data'!$C:$C = $C2781, 'Fund Investment Data'!$A:$A &lt; $A2781)),0) + IFERROR(sum(FILTER('Fund Investment Data'!$V:$V, 'Fund Investment Data'!$C:$C = $C2781, 'Fund Investment Data'!$A:$A = $A2"&amp;"781, 'Fund Investment Data'!$B:$B &lt;= $B2781)),0)"),0.0)</f>
        <v>0</v>
      </c>
      <c r="T2781" s="32"/>
      <c r="U2781" s="32"/>
      <c r="V2781" s="32">
        <f>IFERROR(__xludf.DUMMYFUNCTION("$D2781 - IFERROR(FILTER($D:$D,$C:$C = $C2781, $A:$A = $A2781, $B:$B = $B2781 - 1),0)"),0.0)</f>
        <v>0</v>
      </c>
      <c r="W2781" s="93">
        <f>IFERROR(__xludf.DUMMYFUNCTION("$E2781 - IFERROR(FILTER($E:$E,$C:$C = $C2781, $A:$A = $A2781, $B:$B = $B2781 - 1),0)"),0.0)</f>
        <v>0</v>
      </c>
      <c r="X2781" s="91">
        <f>IFERROR(__xludf.DUMMYFUNCTION("iFERROR((FILTER('Fund Investment Data'!$Z:$Z, 'Fund Investment Data'!$C:$C = $C2781, 'Fund Investment Data'!$A:$A = $A2781 - 1, 'Fund Investment Data'!$B:$B = 12) + FILTER('Fund Investment Data'!$AB:$AB, 'Fund Investment Data'!$C:$C = $C2781, 'Fund Invest"&amp;"ment Data'!$A:$A = $A2781 - 1, 'Fund Investment Data'!$B:$B = 12)) * (1 + AVERAGE(FILTER('Inflation Data'!$C:$C,'Inflation Data'!$A:$A = ($A2781 - 2)))) * Parameters!$A$4,0)"),0.0)</f>
        <v>0</v>
      </c>
      <c r="Y2781" s="91">
        <f>IFERROR(__xludf.DUMMYFUNCTION("IFERROR((IFERROR(FILTER('Fund Investment Data'!$P:$P,'Fund Investment Data'!$C:$C = $C2781,'Fund Investment Data'!$A:$A = ($A2781 - 2), 'Fund Investment Data'!$B:$B = 12),0) - SUM(FILTER('Fund Investment Data'!$V:$V, 'Fund Investment Data'!$C:$C = $C2781,"&amp;" 'Fund Investment Data'!$A:$A = ($A2781 - 2), 'Fund Investment Data'!$B:$B &gt; 3)))  * Parameters!$B$4 * (1 - Parameters!$A$4),0)"),0.0)</f>
        <v>0</v>
      </c>
      <c r="Z2781" s="91">
        <f t="shared" si="24"/>
        <v>0</v>
      </c>
      <c r="AA2781" s="91">
        <f>IFERROR(__xludf.DUMMYFUNCTION("((IFERROR((SUM(FILTER('Fund Investment Data'!$V:$V, 'Fund Investment Data'!$C:$C = $C2781, 'Fund Investment Data'!$A:$A = $A2781 - 1, 'Fund Investment Data'!$B:$B &gt;= 4, 'Fund Investment Data'!$B:$B &lt;= ($B2781 + 5))) / 12) * ($B2781 - 3) * Parameters!$B$4,"&amp;" 0) + IF($B2781 &gt;= 9, IFERROR(SUM(FILTER('Fund Investment Data'!$V:$V, 'Fund Investment Data'!$C:$C = $C2781, 'Fund Investment Data'!$A:$A = $A2781, 'Fund Investment Data'!$B:$B &lt;= 3)) * Parameters!$B$4, 0),0)))"),0.0)</f>
        <v>0</v>
      </c>
      <c r="AB2781" s="32">
        <f>IFERROR(__xludf.DUMMYFUNCTION("IFERROR(((IFERROR(SUM(FILTER('Fund Investment Data'!$V:$V, 'Fund Investment Data'!$C:$C = $C2781, 'Fund Investment Data'!$A:$A = $A2781 - 2, 'Fund Investment Data'!$B:$B &gt;= 4)) * Parameters!$B$4,0) + IFERROR(SUM(FILTER('Fund Investment Data'!$V:$V, 'Fund "&amp;"Investment Data'!$C:$C = $C2781, 'Fund Investment Data'!$A:$A = $A2781 - 1, 'Fund Investment Data'!$B:$B &lt;= 3)) * Parameters!$B$4,0))),0)"),0.0)</f>
        <v>0</v>
      </c>
      <c r="AC2781" s="32">
        <f>IFERROR(__xludf.DUMMYFUNCTION("IFERROR(FILTER($AF:$AF,$C:$C = $C2781,$A:$A = $A2781 - 1,$B:$B = 12),0)"),0.0)</f>
        <v>0</v>
      </c>
      <c r="AD2781" s="32">
        <f t="shared" si="23"/>
        <v>0</v>
      </c>
      <c r="AE2781" s="32">
        <f t="shared" si="2"/>
        <v>0</v>
      </c>
      <c r="AF2781" s="32"/>
    </row>
    <row r="2782">
      <c r="A2782" s="86"/>
      <c r="B2782" s="87"/>
      <c r="C2782" s="88"/>
      <c r="D2782" s="104"/>
      <c r="E2782" s="104"/>
      <c r="F2782" s="104"/>
      <c r="G2782" s="104"/>
      <c r="H2782" s="104"/>
      <c r="I2782" s="104"/>
      <c r="J2782" s="104"/>
      <c r="K2782" s="32"/>
      <c r="L2782" s="32"/>
      <c r="M2782" s="32"/>
      <c r="N2782" s="32"/>
      <c r="O2782" s="106"/>
      <c r="P2782" s="91">
        <f>IFERROR(__xludf.DUMMYFUNCTION("IFERROR(sum(FILTER($D:$N,$C:$C = $C2782,$A:$A &lt; $A2782,$B:$B = 12)),0) + sum($D2782:$N2782)"),0.0)</f>
        <v>0</v>
      </c>
      <c r="Q2782" s="92">
        <f t="shared" si="1"/>
        <v>0</v>
      </c>
      <c r="R2782" s="91">
        <f t="array" ref="R2782">IFERROR(INDEX('Fund YTD Target Values'!$1:$1000, MATCH($C2782,'Fund YTD Target Values'!$A:$A,0), MATCH($A2782,'Fund YTD Target Values'!$1:$1,0)),0)</f>
        <v>0</v>
      </c>
      <c r="S2782" s="91">
        <f>IFERROR(__xludf.DUMMYFUNCTION("IFERROR(sum(FILTER('Fund Investment Data'!$V:$V, 'Fund Investment Data'!$C:$C = $C2782, 'Fund Investment Data'!$A:$A &lt; $A2782)),0) + IFERROR(sum(FILTER('Fund Investment Data'!$V:$V, 'Fund Investment Data'!$C:$C = $C2782, 'Fund Investment Data'!$A:$A = $A2"&amp;"782, 'Fund Investment Data'!$B:$B &lt;= $B2782)),0)"),0.0)</f>
        <v>0</v>
      </c>
      <c r="T2782" s="32"/>
      <c r="U2782" s="32"/>
      <c r="V2782" s="32">
        <f>IFERROR(__xludf.DUMMYFUNCTION("$D2782 - IFERROR(FILTER($D:$D,$C:$C = $C2782, $A:$A = $A2782, $B:$B = $B2782 - 1),0)"),0.0)</f>
        <v>0</v>
      </c>
      <c r="W2782" s="93">
        <f>IFERROR(__xludf.DUMMYFUNCTION("$E2782 - IFERROR(FILTER($E:$E,$C:$C = $C2782, $A:$A = $A2782, $B:$B = $B2782 - 1),0)"),0.0)</f>
        <v>0</v>
      </c>
      <c r="X2782" s="91">
        <f>IFERROR(__xludf.DUMMYFUNCTION("iFERROR((FILTER('Fund Investment Data'!$Z:$Z, 'Fund Investment Data'!$C:$C = $C2782, 'Fund Investment Data'!$A:$A = $A2782 - 1, 'Fund Investment Data'!$B:$B = 12) + FILTER('Fund Investment Data'!$AB:$AB, 'Fund Investment Data'!$C:$C = $C2782, 'Fund Invest"&amp;"ment Data'!$A:$A = $A2782 - 1, 'Fund Investment Data'!$B:$B = 12)) * (1 + AVERAGE(FILTER('Inflation Data'!$C:$C,'Inflation Data'!$A:$A = ($A2782 - 2)))) * Parameters!$A$4,0)"),0.0)</f>
        <v>0</v>
      </c>
      <c r="Y2782" s="91">
        <f>IFERROR(__xludf.DUMMYFUNCTION("IFERROR((IFERROR(FILTER('Fund Investment Data'!$P:$P,'Fund Investment Data'!$C:$C = $C2782,'Fund Investment Data'!$A:$A = ($A2782 - 2), 'Fund Investment Data'!$B:$B = 12),0) - SUM(FILTER('Fund Investment Data'!$V:$V, 'Fund Investment Data'!$C:$C = $C2782,"&amp;" 'Fund Investment Data'!$A:$A = ($A2782 - 2), 'Fund Investment Data'!$B:$B &gt; 3)))  * Parameters!$B$4 * (1 - Parameters!$A$4),0)"),0.0)</f>
        <v>0</v>
      </c>
      <c r="Z2782" s="91">
        <f t="shared" si="24"/>
        <v>0</v>
      </c>
      <c r="AA2782" s="91">
        <f>IFERROR(__xludf.DUMMYFUNCTION("((IFERROR((SUM(FILTER('Fund Investment Data'!$V:$V, 'Fund Investment Data'!$C:$C = $C2782, 'Fund Investment Data'!$A:$A = $A2782 - 1, 'Fund Investment Data'!$B:$B &gt;= 4, 'Fund Investment Data'!$B:$B &lt;= ($B2782 + 5))) / 12) * ($B2782 - 3) * Parameters!$B$4,"&amp;" 0) + IF($B2782 &gt;= 9, IFERROR(SUM(FILTER('Fund Investment Data'!$V:$V, 'Fund Investment Data'!$C:$C = $C2782, 'Fund Investment Data'!$A:$A = $A2782, 'Fund Investment Data'!$B:$B &lt;= 3)) * Parameters!$B$4, 0),0)))"),0.0)</f>
        <v>0</v>
      </c>
      <c r="AB2782" s="32">
        <f>IFERROR(__xludf.DUMMYFUNCTION("IFERROR(((IFERROR(SUM(FILTER('Fund Investment Data'!$V:$V, 'Fund Investment Data'!$C:$C = $C2782, 'Fund Investment Data'!$A:$A = $A2782 - 2, 'Fund Investment Data'!$B:$B &gt;= 4)) * Parameters!$B$4,0) + IFERROR(SUM(FILTER('Fund Investment Data'!$V:$V, 'Fund "&amp;"Investment Data'!$C:$C = $C2782, 'Fund Investment Data'!$A:$A = $A2782 - 1, 'Fund Investment Data'!$B:$B &lt;= 3)) * Parameters!$B$4,0))),0)"),0.0)</f>
        <v>0</v>
      </c>
      <c r="AC2782" s="32">
        <f>IFERROR(__xludf.DUMMYFUNCTION("IFERROR(FILTER($AF:$AF,$C:$C = $C2782,$A:$A = $A2782 - 1,$B:$B = 12),0)"),0.0)</f>
        <v>0</v>
      </c>
      <c r="AD2782" s="32">
        <f t="shared" si="23"/>
        <v>0</v>
      </c>
      <c r="AE2782" s="32">
        <f t="shared" si="2"/>
        <v>0</v>
      </c>
      <c r="AF2782" s="32"/>
    </row>
  </sheetData>
  <dataValidations>
    <dataValidation type="decimal" operator="greaterThanOrEqual" allowBlank="1" showDropDown="1" showErrorMessage="1" sqref="A2:A2782">
      <formula1>1990.0</formula1>
    </dataValidation>
    <dataValidation type="list" allowBlank="1" showErrorMessage="1" sqref="B2:B2782">
      <formula1>"1,2,3,4,5,6,7,8,9,10,11,12"</formula1>
    </dataValidation>
    <dataValidation type="list" allowBlank="1" showErrorMessage="1" sqref="C2:C2782">
      <formula1>'Endowed Funds'!$A$2:$A2782</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7.0"/>
    <col customWidth="1" min="2" max="2" width="11.43"/>
    <col customWidth="1" min="3" max="3" width="8.0"/>
    <col customWidth="1" min="4" max="4" width="22.29"/>
    <col customWidth="1" min="5" max="5" width="10.86"/>
    <col customWidth="1" min="6" max="6" width="13.14"/>
    <col customWidth="1" min="7" max="7" width="13.57"/>
  </cols>
  <sheetData>
    <row r="1">
      <c r="A1" s="107" t="s">
        <v>10</v>
      </c>
      <c r="B1" s="107" t="s">
        <v>11</v>
      </c>
      <c r="C1" s="107" t="s">
        <v>218</v>
      </c>
      <c r="D1" s="107" t="s">
        <v>219</v>
      </c>
      <c r="E1" s="107" t="s">
        <v>220</v>
      </c>
      <c r="F1" s="107" t="s">
        <v>221</v>
      </c>
      <c r="G1" s="107" t="s">
        <v>222</v>
      </c>
    </row>
    <row r="2">
      <c r="A2" s="108" t="s">
        <v>53</v>
      </c>
      <c r="B2" s="108">
        <v>573.0</v>
      </c>
      <c r="C2" s="108">
        <v>608.0</v>
      </c>
      <c r="D2" s="109">
        <v>43831.0</v>
      </c>
      <c r="E2" s="108" t="s">
        <v>223</v>
      </c>
      <c r="F2" s="110">
        <v>-5.76</v>
      </c>
      <c r="G2" s="110">
        <v>0.0</v>
      </c>
    </row>
    <row r="3">
      <c r="A3" s="108" t="s">
        <v>58</v>
      </c>
      <c r="B3" s="108">
        <v>573.0</v>
      </c>
      <c r="C3" s="108">
        <v>608.0</v>
      </c>
      <c r="D3" s="109">
        <v>43831.0</v>
      </c>
      <c r="E3" s="108" t="s">
        <v>224</v>
      </c>
      <c r="F3" s="110">
        <v>-8.85</v>
      </c>
      <c r="G3" s="110">
        <v>0.0</v>
      </c>
    </row>
    <row r="4">
      <c r="A4" s="108" t="s">
        <v>51</v>
      </c>
      <c r="B4" s="108">
        <v>573.0</v>
      </c>
      <c r="C4" s="108">
        <v>608.0</v>
      </c>
      <c r="D4" s="109">
        <v>43831.0</v>
      </c>
      <c r="E4" s="108" t="s">
        <v>225</v>
      </c>
      <c r="F4" s="110">
        <v>-8.85</v>
      </c>
      <c r="G4" s="110">
        <v>0.0</v>
      </c>
    </row>
    <row r="5">
      <c r="A5" s="108" t="s">
        <v>35</v>
      </c>
      <c r="B5" s="108">
        <v>552.0</v>
      </c>
      <c r="C5" s="108">
        <v>608.0</v>
      </c>
      <c r="D5" s="109">
        <v>43831.0</v>
      </c>
      <c r="E5" s="108" t="s">
        <v>226</v>
      </c>
      <c r="F5" s="110">
        <v>-20.06</v>
      </c>
      <c r="G5" s="110">
        <v>0.0</v>
      </c>
    </row>
    <row r="6">
      <c r="A6" s="108" t="s">
        <v>35</v>
      </c>
      <c r="B6" s="108">
        <v>552.0</v>
      </c>
      <c r="C6" s="108">
        <v>608.0</v>
      </c>
      <c r="D6" s="109">
        <v>43831.0</v>
      </c>
      <c r="E6" s="108" t="s">
        <v>227</v>
      </c>
      <c r="F6" s="110">
        <v>-478.3</v>
      </c>
      <c r="G6" s="110">
        <v>0.0</v>
      </c>
    </row>
    <row r="7">
      <c r="A7" s="108" t="s">
        <v>35</v>
      </c>
      <c r="B7" s="108">
        <v>552.0</v>
      </c>
      <c r="C7" s="108">
        <v>608.0</v>
      </c>
      <c r="D7" s="109">
        <v>43831.0</v>
      </c>
      <c r="E7" s="108" t="s">
        <v>228</v>
      </c>
      <c r="F7" s="110">
        <v>-8.85</v>
      </c>
      <c r="G7" s="110">
        <v>0.0</v>
      </c>
    </row>
    <row r="8">
      <c r="A8" s="108" t="s">
        <v>35</v>
      </c>
      <c r="B8" s="108">
        <v>552.0</v>
      </c>
      <c r="C8" s="108">
        <v>608.0</v>
      </c>
      <c r="D8" s="109">
        <v>43831.0</v>
      </c>
      <c r="E8" s="111">
        <v>2682037.0</v>
      </c>
      <c r="F8" s="110">
        <v>-6.04</v>
      </c>
      <c r="G8" s="110">
        <v>0.0</v>
      </c>
    </row>
    <row r="9">
      <c r="A9" s="108" t="s">
        <v>51</v>
      </c>
      <c r="B9" s="108">
        <v>573.0</v>
      </c>
      <c r="C9" s="108">
        <v>606.0</v>
      </c>
      <c r="D9" s="109">
        <v>43833.0</v>
      </c>
      <c r="E9" s="111">
        <v>2679695.0</v>
      </c>
      <c r="F9" s="110">
        <v>-80.0</v>
      </c>
      <c r="G9" s="110">
        <v>0.0</v>
      </c>
    </row>
    <row r="10">
      <c r="A10" s="108" t="s">
        <v>58</v>
      </c>
      <c r="B10" s="108">
        <v>573.0</v>
      </c>
      <c r="C10" s="108">
        <v>606.0</v>
      </c>
      <c r="D10" s="109">
        <v>43833.0</v>
      </c>
      <c r="E10" s="111">
        <v>2679726.0</v>
      </c>
      <c r="F10" s="110">
        <v>-79.38</v>
      </c>
      <c r="G10" s="110">
        <v>0.0</v>
      </c>
    </row>
    <row r="11">
      <c r="A11" s="108" t="s">
        <v>35</v>
      </c>
      <c r="B11" s="108">
        <v>552.0</v>
      </c>
      <c r="C11" s="108">
        <v>606.0</v>
      </c>
      <c r="D11" s="109">
        <v>43833.0</v>
      </c>
      <c r="E11" s="111">
        <v>2679634.0</v>
      </c>
      <c r="F11" s="110">
        <v>-130.77</v>
      </c>
      <c r="G11" s="110">
        <v>0.0</v>
      </c>
    </row>
    <row r="12">
      <c r="A12" s="108" t="s">
        <v>53</v>
      </c>
      <c r="B12" s="108">
        <v>573.0</v>
      </c>
      <c r="C12" s="108">
        <v>606.0</v>
      </c>
      <c r="D12" s="109">
        <v>43833.0</v>
      </c>
      <c r="E12" s="111">
        <v>2679665.0</v>
      </c>
      <c r="F12" s="110">
        <v>-114.28</v>
      </c>
      <c r="G12" s="110">
        <v>0.0</v>
      </c>
    </row>
    <row r="13">
      <c r="A13" s="108" t="s">
        <v>57</v>
      </c>
      <c r="B13" s="108">
        <v>573.0</v>
      </c>
      <c r="C13" s="108">
        <v>680.0</v>
      </c>
      <c r="D13" s="109">
        <v>43837.0</v>
      </c>
      <c r="E13" s="108" t="s">
        <v>229</v>
      </c>
      <c r="F13" s="110">
        <v>-196.0</v>
      </c>
      <c r="G13" s="110">
        <v>0.0</v>
      </c>
    </row>
    <row r="14">
      <c r="A14" s="108" t="s">
        <v>57</v>
      </c>
      <c r="B14" s="108">
        <v>573.0</v>
      </c>
      <c r="C14" s="108">
        <v>680.0</v>
      </c>
      <c r="D14" s="109">
        <v>43837.0</v>
      </c>
      <c r="E14" s="108" t="s">
        <v>230</v>
      </c>
      <c r="F14" s="110">
        <v>-472.7</v>
      </c>
      <c r="G14" s="110">
        <v>0.0</v>
      </c>
    </row>
    <row r="15">
      <c r="A15" s="108" t="s">
        <v>54</v>
      </c>
      <c r="B15" s="108">
        <v>573.0</v>
      </c>
      <c r="C15" s="108">
        <v>612.0</v>
      </c>
      <c r="D15" s="109">
        <v>43837.0</v>
      </c>
      <c r="E15" s="108" t="s">
        <v>231</v>
      </c>
      <c r="F15" s="110">
        <v>-2500.0</v>
      </c>
      <c r="G15" s="110">
        <v>0.0</v>
      </c>
    </row>
    <row r="16">
      <c r="A16" s="108" t="s">
        <v>57</v>
      </c>
      <c r="B16" s="108">
        <v>573.0</v>
      </c>
      <c r="C16" s="108">
        <v>680.0</v>
      </c>
      <c r="D16" s="109">
        <v>43838.0</v>
      </c>
      <c r="E16" s="108" t="s">
        <v>232</v>
      </c>
      <c r="F16" s="110">
        <v>-196.0</v>
      </c>
      <c r="G16" s="110">
        <v>0.0</v>
      </c>
    </row>
    <row r="17">
      <c r="A17" s="108" t="s">
        <v>57</v>
      </c>
      <c r="B17" s="108">
        <v>573.0</v>
      </c>
      <c r="C17" s="108">
        <v>680.0</v>
      </c>
      <c r="D17" s="109">
        <v>43838.0</v>
      </c>
      <c r="E17" s="108" t="s">
        <v>233</v>
      </c>
      <c r="F17" s="110">
        <v>-496.48</v>
      </c>
      <c r="G17" s="110">
        <v>0.0</v>
      </c>
    </row>
    <row r="18">
      <c r="A18" s="108" t="s">
        <v>57</v>
      </c>
      <c r="B18" s="108">
        <v>573.0</v>
      </c>
      <c r="C18" s="108">
        <v>680.0</v>
      </c>
      <c r="D18" s="109">
        <v>43839.0</v>
      </c>
      <c r="E18" s="108" t="s">
        <v>234</v>
      </c>
      <c r="F18" s="110">
        <v>-196.0</v>
      </c>
      <c r="G18" s="110">
        <v>0.0</v>
      </c>
    </row>
    <row r="19">
      <c r="A19" s="108" t="s">
        <v>57</v>
      </c>
      <c r="B19" s="108">
        <v>573.0</v>
      </c>
      <c r="C19" s="108">
        <v>680.0</v>
      </c>
      <c r="D19" s="109">
        <v>43839.0</v>
      </c>
      <c r="E19" s="108" t="s">
        <v>235</v>
      </c>
      <c r="F19" s="110">
        <v>-218.0</v>
      </c>
      <c r="G19" s="110">
        <v>0.0</v>
      </c>
    </row>
    <row r="20">
      <c r="A20" s="108" t="s">
        <v>57</v>
      </c>
      <c r="B20" s="108">
        <v>573.0</v>
      </c>
      <c r="C20" s="108">
        <v>697.0</v>
      </c>
      <c r="D20" s="109">
        <v>43839.0</v>
      </c>
      <c r="E20" s="108" t="s">
        <v>236</v>
      </c>
      <c r="F20" s="110">
        <v>-100.0</v>
      </c>
      <c r="G20" s="110">
        <v>0.0</v>
      </c>
    </row>
    <row r="21">
      <c r="A21" s="108" t="s">
        <v>35</v>
      </c>
      <c r="B21" s="108">
        <v>552.0</v>
      </c>
      <c r="C21" s="108">
        <v>601.0</v>
      </c>
      <c r="D21" s="109">
        <v>43840.0</v>
      </c>
      <c r="E21" s="108" t="s">
        <v>237</v>
      </c>
      <c r="F21" s="110">
        <v>-3269.23</v>
      </c>
      <c r="G21" s="110">
        <v>0.0</v>
      </c>
    </row>
    <row r="22">
      <c r="A22" s="108" t="s">
        <v>53</v>
      </c>
      <c r="B22" s="108">
        <v>573.0</v>
      </c>
      <c r="C22" s="108">
        <v>601.0</v>
      </c>
      <c r="D22" s="109">
        <v>43840.0</v>
      </c>
      <c r="E22" s="108" t="s">
        <v>238</v>
      </c>
      <c r="F22" s="110">
        <v>-2499.96</v>
      </c>
      <c r="G22" s="110">
        <v>0.0</v>
      </c>
    </row>
    <row r="23">
      <c r="A23" s="108" t="s">
        <v>52</v>
      </c>
      <c r="B23" s="108">
        <v>573.0</v>
      </c>
      <c r="C23" s="108">
        <v>601.0</v>
      </c>
      <c r="D23" s="109">
        <v>43840.0</v>
      </c>
      <c r="E23" s="108" t="s">
        <v>239</v>
      </c>
      <c r="F23" s="110">
        <v>-2000.0</v>
      </c>
      <c r="G23" s="110">
        <v>0.0</v>
      </c>
    </row>
    <row r="24">
      <c r="A24" s="108" t="s">
        <v>58</v>
      </c>
      <c r="B24" s="108">
        <v>573.0</v>
      </c>
      <c r="C24" s="108">
        <v>601.0</v>
      </c>
      <c r="D24" s="109">
        <v>43840.0</v>
      </c>
      <c r="E24" s="108" t="s">
        <v>240</v>
      </c>
      <c r="F24" s="110">
        <v>-1730.77</v>
      </c>
      <c r="G24" s="110">
        <v>0.0</v>
      </c>
    </row>
    <row r="25">
      <c r="A25" s="108" t="s">
        <v>58</v>
      </c>
      <c r="B25" s="108">
        <v>573.0</v>
      </c>
      <c r="C25" s="108">
        <v>601.0</v>
      </c>
      <c r="D25" s="109">
        <v>43840.0</v>
      </c>
      <c r="E25" s="108" t="s">
        <v>241</v>
      </c>
      <c r="F25" s="110">
        <v>-1943.27</v>
      </c>
      <c r="G25" s="110">
        <v>0.0</v>
      </c>
    </row>
    <row r="26">
      <c r="A26" s="108" t="s">
        <v>42</v>
      </c>
      <c r="B26" s="108">
        <v>552.0</v>
      </c>
      <c r="C26" s="108">
        <v>601.0</v>
      </c>
      <c r="D26" s="109">
        <v>43840.0</v>
      </c>
      <c r="E26" s="108" t="s">
        <v>242</v>
      </c>
      <c r="F26" s="110">
        <v>-153.85</v>
      </c>
      <c r="G26" s="110">
        <v>0.0</v>
      </c>
    </row>
    <row r="27">
      <c r="A27" s="108" t="s">
        <v>42</v>
      </c>
      <c r="B27" s="108">
        <v>552.0</v>
      </c>
      <c r="C27" s="108">
        <v>607.0</v>
      </c>
      <c r="D27" s="109">
        <v>43840.0</v>
      </c>
      <c r="E27" s="111">
        <v>2683043.0</v>
      </c>
      <c r="F27" s="110">
        <v>-11.06</v>
      </c>
      <c r="G27" s="110">
        <v>0.0</v>
      </c>
    </row>
    <row r="28">
      <c r="A28" s="108" t="s">
        <v>35</v>
      </c>
      <c r="B28" s="108">
        <v>552.0</v>
      </c>
      <c r="C28" s="108">
        <v>607.0</v>
      </c>
      <c r="D28" s="109">
        <v>43840.0</v>
      </c>
      <c r="E28" s="108" t="s">
        <v>243</v>
      </c>
      <c r="F28" s="110">
        <v>-243.17</v>
      </c>
      <c r="G28" s="110">
        <v>0.0</v>
      </c>
    </row>
    <row r="29">
      <c r="A29" s="108" t="s">
        <v>53</v>
      </c>
      <c r="B29" s="108">
        <v>573.0</v>
      </c>
      <c r="C29" s="108">
        <v>607.0</v>
      </c>
      <c r="D29" s="109">
        <v>43840.0</v>
      </c>
      <c r="E29" s="108" t="s">
        <v>244</v>
      </c>
      <c r="F29" s="110">
        <v>-188.87</v>
      </c>
      <c r="G29" s="110">
        <v>0.0</v>
      </c>
    </row>
    <row r="30">
      <c r="A30" s="108" t="s">
        <v>53</v>
      </c>
      <c r="B30" s="108">
        <v>573.0</v>
      </c>
      <c r="C30" s="108">
        <v>607.0</v>
      </c>
      <c r="D30" s="109">
        <v>43840.0</v>
      </c>
      <c r="E30" s="108" t="s">
        <v>245</v>
      </c>
      <c r="F30" s="110">
        <v>-26.98</v>
      </c>
      <c r="G30" s="110">
        <v>0.0</v>
      </c>
    </row>
    <row r="31">
      <c r="A31" s="108" t="s">
        <v>58</v>
      </c>
      <c r="B31" s="108">
        <v>573.0</v>
      </c>
      <c r="C31" s="108">
        <v>607.0</v>
      </c>
      <c r="D31" s="109">
        <v>43840.0</v>
      </c>
      <c r="E31" s="108" t="s">
        <v>246</v>
      </c>
      <c r="F31" s="110">
        <v>-281.08</v>
      </c>
      <c r="G31" s="110">
        <v>0.0</v>
      </c>
    </row>
    <row r="32">
      <c r="A32" s="108" t="s">
        <v>52</v>
      </c>
      <c r="B32" s="108">
        <v>573.0</v>
      </c>
      <c r="C32" s="108">
        <v>607.0</v>
      </c>
      <c r="D32" s="109">
        <v>43840.0</v>
      </c>
      <c r="E32" s="108" t="s">
        <v>247</v>
      </c>
      <c r="F32" s="110">
        <v>-152.0</v>
      </c>
      <c r="G32" s="110">
        <v>0.0</v>
      </c>
    </row>
    <row r="33">
      <c r="A33" s="108" t="s">
        <v>42</v>
      </c>
      <c r="B33" s="108">
        <v>552.0</v>
      </c>
      <c r="C33" s="108">
        <v>607.0</v>
      </c>
      <c r="D33" s="109">
        <v>43840.0</v>
      </c>
      <c r="E33" s="108" t="s">
        <v>248</v>
      </c>
      <c r="F33" s="110">
        <v>-7.08</v>
      </c>
      <c r="G33" s="110">
        <v>0.0</v>
      </c>
    </row>
    <row r="34">
      <c r="A34" s="108" t="s">
        <v>35</v>
      </c>
      <c r="B34" s="108">
        <v>552.0</v>
      </c>
      <c r="C34" s="108">
        <v>607.0</v>
      </c>
      <c r="D34" s="109">
        <v>43840.0</v>
      </c>
      <c r="E34" s="108" t="s">
        <v>249</v>
      </c>
      <c r="F34" s="110">
        <v>-150.49</v>
      </c>
      <c r="G34" s="110">
        <v>0.0</v>
      </c>
    </row>
    <row r="35">
      <c r="A35" s="108" t="s">
        <v>53</v>
      </c>
      <c r="B35" s="108">
        <v>573.0</v>
      </c>
      <c r="C35" s="108">
        <v>607.0</v>
      </c>
      <c r="D35" s="109">
        <v>43840.0</v>
      </c>
      <c r="E35" s="108" t="s">
        <v>250</v>
      </c>
      <c r="F35" s="110">
        <v>-115.0</v>
      </c>
      <c r="G35" s="110">
        <v>0.0</v>
      </c>
    </row>
    <row r="36">
      <c r="A36" s="108" t="s">
        <v>53</v>
      </c>
      <c r="B36" s="108">
        <v>573.0</v>
      </c>
      <c r="C36" s="108">
        <v>607.0</v>
      </c>
      <c r="D36" s="109">
        <v>43840.0</v>
      </c>
      <c r="E36" s="108" t="s">
        <v>251</v>
      </c>
      <c r="F36" s="110">
        <v>-16.43</v>
      </c>
      <c r="G36" s="110">
        <v>0.0</v>
      </c>
    </row>
    <row r="37">
      <c r="A37" s="108" t="s">
        <v>58</v>
      </c>
      <c r="B37" s="108">
        <v>573.0</v>
      </c>
      <c r="C37" s="108">
        <v>607.0</v>
      </c>
      <c r="D37" s="112">
        <v>43840.0</v>
      </c>
      <c r="E37" s="108" t="s">
        <v>252</v>
      </c>
      <c r="F37" s="110">
        <v>-169.01</v>
      </c>
      <c r="G37" s="110">
        <v>0.0</v>
      </c>
    </row>
    <row r="38">
      <c r="A38" s="108" t="s">
        <v>52</v>
      </c>
      <c r="B38" s="108">
        <v>573.0</v>
      </c>
      <c r="C38" s="108">
        <v>607.0</v>
      </c>
      <c r="D38" s="112">
        <v>43840.0</v>
      </c>
      <c r="E38" s="108" t="s">
        <v>253</v>
      </c>
      <c r="F38" s="110">
        <v>-92.1</v>
      </c>
      <c r="G38" s="110">
        <v>0.0</v>
      </c>
    </row>
    <row r="39">
      <c r="A39" s="108" t="s">
        <v>57</v>
      </c>
      <c r="B39" s="108">
        <v>573.0</v>
      </c>
      <c r="C39" s="108">
        <v>680.0</v>
      </c>
      <c r="D39" s="112">
        <v>43840.0</v>
      </c>
      <c r="E39" s="108" t="s">
        <v>254</v>
      </c>
      <c r="F39" s="110">
        <v>-196.0</v>
      </c>
      <c r="G39" s="110">
        <v>0.0</v>
      </c>
    </row>
    <row r="40">
      <c r="A40" s="108" t="s">
        <v>57</v>
      </c>
      <c r="B40" s="108">
        <v>573.0</v>
      </c>
      <c r="C40" s="108">
        <v>697.0</v>
      </c>
      <c r="D40" s="112">
        <v>43840.0</v>
      </c>
      <c r="E40" s="108" t="s">
        <v>255</v>
      </c>
      <c r="F40" s="110">
        <v>-5.0</v>
      </c>
      <c r="G40" s="110">
        <v>0.0</v>
      </c>
    </row>
    <row r="41">
      <c r="A41" s="108" t="s">
        <v>57</v>
      </c>
      <c r="B41" s="108">
        <v>573.0</v>
      </c>
      <c r="C41" s="108">
        <v>680.0</v>
      </c>
      <c r="D41" s="112">
        <v>43845.0</v>
      </c>
      <c r="E41" s="108" t="s">
        <v>256</v>
      </c>
      <c r="F41" s="110">
        <v>-408.4</v>
      </c>
      <c r="G41" s="110">
        <v>0.0</v>
      </c>
    </row>
    <row r="42">
      <c r="A42" s="108" t="s">
        <v>57</v>
      </c>
      <c r="B42" s="108">
        <v>573.0</v>
      </c>
      <c r="C42" s="108">
        <v>697.0</v>
      </c>
      <c r="D42" s="112">
        <v>43845.0</v>
      </c>
      <c r="E42" s="108" t="s">
        <v>257</v>
      </c>
      <c r="F42" s="110">
        <v>-165.0</v>
      </c>
      <c r="G42" s="110">
        <v>0.0</v>
      </c>
    </row>
    <row r="43">
      <c r="A43" s="108" t="s">
        <v>57</v>
      </c>
      <c r="B43" s="108">
        <v>573.0</v>
      </c>
      <c r="C43" s="108">
        <v>680.0</v>
      </c>
      <c r="D43" s="112">
        <v>43845.0</v>
      </c>
      <c r="E43" s="108" t="s">
        <v>258</v>
      </c>
      <c r="F43" s="110">
        <v>-800.27</v>
      </c>
      <c r="G43" s="110">
        <v>0.0</v>
      </c>
    </row>
    <row r="44">
      <c r="A44" s="108" t="s">
        <v>57</v>
      </c>
      <c r="B44" s="108">
        <v>573.0</v>
      </c>
      <c r="C44" s="108">
        <v>697.0</v>
      </c>
      <c r="D44" s="112">
        <v>43845.0</v>
      </c>
      <c r="E44" s="108" t="s">
        <v>259</v>
      </c>
      <c r="F44" s="110">
        <v>-110.0</v>
      </c>
      <c r="G44" s="110">
        <v>0.0</v>
      </c>
    </row>
    <row r="45">
      <c r="A45" s="108" t="s">
        <v>35</v>
      </c>
      <c r="B45" s="108">
        <v>552.0</v>
      </c>
      <c r="C45" s="108">
        <v>606.0</v>
      </c>
      <c r="D45" s="112">
        <v>43847.0</v>
      </c>
      <c r="E45" s="108" t="s">
        <v>260</v>
      </c>
      <c r="F45" s="110">
        <v>-130.77</v>
      </c>
      <c r="G45" s="110">
        <v>0.0</v>
      </c>
    </row>
    <row r="46">
      <c r="A46" s="108" t="s">
        <v>53</v>
      </c>
      <c r="B46" s="108">
        <v>573.0</v>
      </c>
      <c r="C46" s="108">
        <v>606.0</v>
      </c>
      <c r="D46" s="112">
        <v>43847.0</v>
      </c>
      <c r="E46" s="108" t="s">
        <v>261</v>
      </c>
      <c r="F46" s="110">
        <v>-114.28</v>
      </c>
      <c r="G46" s="110">
        <v>0.0</v>
      </c>
    </row>
    <row r="47">
      <c r="A47" s="108" t="s">
        <v>51</v>
      </c>
      <c r="B47" s="108">
        <v>573.0</v>
      </c>
      <c r="C47" s="108">
        <v>606.0</v>
      </c>
      <c r="D47" s="112">
        <v>43847.0</v>
      </c>
      <c r="E47" s="108" t="s">
        <v>262</v>
      </c>
      <c r="F47" s="110">
        <v>-80.0</v>
      </c>
      <c r="G47" s="110">
        <v>0.0</v>
      </c>
    </row>
    <row r="48">
      <c r="A48" s="108" t="s">
        <v>58</v>
      </c>
      <c r="B48" s="108">
        <v>573.0</v>
      </c>
      <c r="C48" s="108">
        <v>606.0</v>
      </c>
      <c r="D48" s="112">
        <v>43847.0</v>
      </c>
      <c r="E48" s="108" t="s">
        <v>263</v>
      </c>
      <c r="F48" s="110">
        <v>-79.38</v>
      </c>
      <c r="G48" s="110">
        <v>0.0</v>
      </c>
    </row>
    <row r="49">
      <c r="A49" s="108" t="s">
        <v>57</v>
      </c>
      <c r="B49" s="108">
        <v>573.0</v>
      </c>
      <c r="C49" s="108">
        <v>697.0</v>
      </c>
      <c r="D49" s="112">
        <v>43853.0</v>
      </c>
      <c r="E49" s="108" t="s">
        <v>264</v>
      </c>
      <c r="F49" s="110">
        <v>-165.0</v>
      </c>
      <c r="G49" s="110">
        <v>0.0</v>
      </c>
    </row>
    <row r="50">
      <c r="A50" s="108" t="s">
        <v>57</v>
      </c>
      <c r="B50" s="108">
        <v>573.0</v>
      </c>
      <c r="C50" s="108">
        <v>680.0</v>
      </c>
      <c r="D50" s="112">
        <v>43853.0</v>
      </c>
      <c r="E50" s="108" t="s">
        <v>265</v>
      </c>
      <c r="F50" s="110">
        <v>-309.8</v>
      </c>
      <c r="G50" s="110">
        <v>0.0</v>
      </c>
    </row>
    <row r="51">
      <c r="A51" s="108" t="s">
        <v>25</v>
      </c>
      <c r="B51" s="108">
        <v>551.0</v>
      </c>
      <c r="C51" s="108">
        <v>642.0</v>
      </c>
      <c r="D51" s="112">
        <v>43853.0</v>
      </c>
      <c r="E51" s="108" t="s">
        <v>266</v>
      </c>
      <c r="F51" s="110">
        <v>-4045.0</v>
      </c>
      <c r="G51" s="110">
        <v>0.0</v>
      </c>
    </row>
    <row r="52">
      <c r="A52" s="108" t="s">
        <v>35</v>
      </c>
      <c r="B52" s="108">
        <v>552.0</v>
      </c>
      <c r="C52" s="108">
        <v>601.0</v>
      </c>
      <c r="D52" s="112">
        <v>43854.0</v>
      </c>
      <c r="E52" s="108" t="s">
        <v>267</v>
      </c>
      <c r="F52" s="110">
        <v>-3269.23</v>
      </c>
      <c r="G52" s="110">
        <v>0.0</v>
      </c>
    </row>
    <row r="53">
      <c r="A53" s="108" t="s">
        <v>53</v>
      </c>
      <c r="B53" s="108">
        <v>573.0</v>
      </c>
      <c r="C53" s="108">
        <v>601.0</v>
      </c>
      <c r="D53" s="112">
        <v>43854.0</v>
      </c>
      <c r="E53" s="108" t="s">
        <v>268</v>
      </c>
      <c r="F53" s="110">
        <v>-2285.68</v>
      </c>
      <c r="G53" s="110">
        <v>0.0</v>
      </c>
    </row>
    <row r="54">
      <c r="A54" s="108" t="s">
        <v>52</v>
      </c>
      <c r="B54" s="108">
        <v>573.0</v>
      </c>
      <c r="C54" s="108">
        <v>601.0</v>
      </c>
      <c r="D54" s="112">
        <v>43854.0</v>
      </c>
      <c r="E54" s="108" t="s">
        <v>269</v>
      </c>
      <c r="F54" s="110">
        <v>-2000.0</v>
      </c>
      <c r="G54" s="110">
        <v>0.0</v>
      </c>
    </row>
    <row r="55">
      <c r="A55" s="108" t="s">
        <v>58</v>
      </c>
      <c r="B55" s="108">
        <v>573.0</v>
      </c>
      <c r="C55" s="108">
        <v>601.0</v>
      </c>
      <c r="D55" s="112">
        <v>43854.0</v>
      </c>
      <c r="E55" s="108" t="s">
        <v>270</v>
      </c>
      <c r="F55" s="110">
        <v>-1730.77</v>
      </c>
      <c r="G55" s="110">
        <v>0.0</v>
      </c>
    </row>
    <row r="56">
      <c r="A56" s="108" t="s">
        <v>42</v>
      </c>
      <c r="B56" s="108">
        <v>551.0</v>
      </c>
      <c r="C56" s="108">
        <v>601.0</v>
      </c>
      <c r="D56" s="112">
        <v>43854.0</v>
      </c>
      <c r="E56" s="108" t="s">
        <v>271</v>
      </c>
      <c r="F56" s="110">
        <v>-884.61</v>
      </c>
      <c r="G56" s="110">
        <v>0.0</v>
      </c>
    </row>
    <row r="57">
      <c r="A57" s="108" t="s">
        <v>58</v>
      </c>
      <c r="B57" s="108">
        <v>573.0</v>
      </c>
      <c r="C57" s="108">
        <v>601.0</v>
      </c>
      <c r="D57" s="112">
        <v>43854.0</v>
      </c>
      <c r="E57" s="108" t="s">
        <v>272</v>
      </c>
      <c r="F57" s="110">
        <v>-1943.27</v>
      </c>
      <c r="G57" s="110">
        <v>0.0</v>
      </c>
    </row>
    <row r="58">
      <c r="A58" s="108" t="s">
        <v>42</v>
      </c>
      <c r="B58" s="108">
        <v>551.0</v>
      </c>
      <c r="C58" s="108">
        <v>607.0</v>
      </c>
      <c r="D58" s="112">
        <v>43854.0</v>
      </c>
      <c r="E58" s="111">
        <v>2699084.0</v>
      </c>
      <c r="F58" s="110">
        <v>-63.08</v>
      </c>
      <c r="G58" s="110">
        <v>0.0</v>
      </c>
    </row>
    <row r="59">
      <c r="A59" s="108" t="s">
        <v>35</v>
      </c>
      <c r="B59" s="108">
        <v>552.0</v>
      </c>
      <c r="C59" s="108">
        <v>607.0</v>
      </c>
      <c r="D59" s="112">
        <v>43854.0</v>
      </c>
      <c r="E59" s="108" t="s">
        <v>273</v>
      </c>
      <c r="F59" s="110">
        <v>-243.17</v>
      </c>
      <c r="G59" s="110">
        <v>0.0</v>
      </c>
    </row>
    <row r="60">
      <c r="A60" s="108" t="s">
        <v>53</v>
      </c>
      <c r="B60" s="108">
        <v>573.0</v>
      </c>
      <c r="C60" s="108">
        <v>607.0</v>
      </c>
      <c r="D60" s="112">
        <v>43854.0</v>
      </c>
      <c r="E60" s="108" t="s">
        <v>274</v>
      </c>
      <c r="F60" s="110">
        <v>-215.85</v>
      </c>
      <c r="G60" s="110">
        <v>0.0</v>
      </c>
    </row>
    <row r="61">
      <c r="A61" s="108" t="s">
        <v>58</v>
      </c>
      <c r="B61" s="108">
        <v>573.0</v>
      </c>
      <c r="C61" s="108">
        <v>607.0</v>
      </c>
      <c r="D61" s="112">
        <v>43854.0</v>
      </c>
      <c r="E61" s="108" t="s">
        <v>275</v>
      </c>
      <c r="F61" s="110">
        <v>-281.08</v>
      </c>
      <c r="G61" s="110">
        <v>0.0</v>
      </c>
    </row>
    <row r="62">
      <c r="A62" s="108" t="s">
        <v>52</v>
      </c>
      <c r="B62" s="108">
        <v>573.0</v>
      </c>
      <c r="C62" s="108">
        <v>607.0</v>
      </c>
      <c r="D62" s="112">
        <v>43854.0</v>
      </c>
      <c r="E62" s="108" t="s">
        <v>276</v>
      </c>
      <c r="F62" s="110">
        <v>-152.01</v>
      </c>
      <c r="G62" s="110">
        <v>0.0</v>
      </c>
    </row>
    <row r="63">
      <c r="A63" s="108" t="s">
        <v>42</v>
      </c>
      <c r="B63" s="108">
        <v>551.0</v>
      </c>
      <c r="C63" s="108">
        <v>607.0</v>
      </c>
      <c r="D63" s="112">
        <v>43854.0</v>
      </c>
      <c r="E63" s="108" t="s">
        <v>277</v>
      </c>
      <c r="F63" s="110">
        <v>-40.69</v>
      </c>
      <c r="G63" s="110">
        <v>0.0</v>
      </c>
    </row>
    <row r="64">
      <c r="A64" s="108" t="s">
        <v>35</v>
      </c>
      <c r="B64" s="108">
        <v>552.0</v>
      </c>
      <c r="C64" s="108">
        <v>607.0</v>
      </c>
      <c r="D64" s="112">
        <v>43854.0</v>
      </c>
      <c r="E64" s="108" t="s">
        <v>278</v>
      </c>
      <c r="F64" s="110">
        <v>-150.49</v>
      </c>
      <c r="G64" s="110">
        <v>0.0</v>
      </c>
    </row>
    <row r="65">
      <c r="A65" s="108" t="s">
        <v>53</v>
      </c>
      <c r="B65" s="108">
        <v>573.0</v>
      </c>
      <c r="C65" s="108">
        <v>607.0</v>
      </c>
      <c r="D65" s="112">
        <v>43854.0</v>
      </c>
      <c r="E65" s="108" t="s">
        <v>279</v>
      </c>
      <c r="F65" s="110">
        <v>-131.43</v>
      </c>
      <c r="G65" s="110">
        <v>0.0</v>
      </c>
    </row>
    <row r="66">
      <c r="A66" s="108" t="s">
        <v>58</v>
      </c>
      <c r="B66" s="108">
        <v>573.0</v>
      </c>
      <c r="C66" s="108">
        <v>607.0</v>
      </c>
      <c r="D66" s="112">
        <v>43854.0</v>
      </c>
      <c r="E66" s="108" t="s">
        <v>280</v>
      </c>
      <c r="F66" s="110">
        <v>-169.01</v>
      </c>
      <c r="G66" s="110">
        <v>0.0</v>
      </c>
    </row>
    <row r="67">
      <c r="A67" s="108" t="s">
        <v>52</v>
      </c>
      <c r="B67" s="108">
        <v>573.0</v>
      </c>
      <c r="C67" s="108">
        <v>607.0</v>
      </c>
      <c r="D67" s="112">
        <v>43854.0</v>
      </c>
      <c r="E67" s="108" t="s">
        <v>281</v>
      </c>
      <c r="F67" s="110">
        <v>-92.08</v>
      </c>
      <c r="G67" s="110">
        <v>0.0</v>
      </c>
    </row>
    <row r="68">
      <c r="A68" s="108" t="s">
        <v>53</v>
      </c>
      <c r="B68" s="108">
        <v>573.0</v>
      </c>
      <c r="C68" s="108">
        <v>607.0</v>
      </c>
      <c r="D68" s="112">
        <v>43857.0</v>
      </c>
      <c r="E68" s="111">
        <v>2687822.0</v>
      </c>
      <c r="F68" s="110">
        <v>-235.47</v>
      </c>
      <c r="G68" s="110">
        <v>0.0</v>
      </c>
    </row>
    <row r="69">
      <c r="A69" s="108" t="s">
        <v>54</v>
      </c>
      <c r="B69" s="108">
        <v>573.0</v>
      </c>
      <c r="C69" s="108">
        <v>612.0</v>
      </c>
      <c r="D69" s="112">
        <v>43860.0</v>
      </c>
      <c r="E69" s="108" t="s">
        <v>282</v>
      </c>
      <c r="F69" s="110">
        <v>0.0</v>
      </c>
      <c r="G69" s="110">
        <v>2650.0</v>
      </c>
    </row>
    <row r="70">
      <c r="A70" s="108" t="s">
        <v>35</v>
      </c>
      <c r="B70" s="108">
        <v>552.0</v>
      </c>
      <c r="C70" s="108">
        <v>606.0</v>
      </c>
      <c r="D70" s="112">
        <v>43861.0</v>
      </c>
      <c r="E70" s="108" t="s">
        <v>283</v>
      </c>
      <c r="F70" s="110">
        <v>-130.77</v>
      </c>
      <c r="G70" s="110">
        <v>0.0</v>
      </c>
    </row>
    <row r="71">
      <c r="A71" s="108" t="s">
        <v>53</v>
      </c>
      <c r="B71" s="108">
        <v>573.0</v>
      </c>
      <c r="C71" s="108">
        <v>606.0</v>
      </c>
      <c r="D71" s="112">
        <v>43861.0</v>
      </c>
      <c r="E71" s="108" t="s">
        <v>284</v>
      </c>
      <c r="F71" s="110">
        <v>-114.28</v>
      </c>
      <c r="G71" s="110">
        <v>0.0</v>
      </c>
    </row>
    <row r="72">
      <c r="A72" s="108" t="s">
        <v>51</v>
      </c>
      <c r="B72" s="108">
        <v>573.0</v>
      </c>
      <c r="C72" s="108">
        <v>606.0</v>
      </c>
      <c r="D72" s="112">
        <v>43861.0</v>
      </c>
      <c r="E72" s="108" t="s">
        <v>285</v>
      </c>
      <c r="F72" s="110">
        <v>-80.0</v>
      </c>
      <c r="G72" s="110">
        <v>0.0</v>
      </c>
    </row>
    <row r="73">
      <c r="A73" s="108" t="s">
        <v>58</v>
      </c>
      <c r="B73" s="108">
        <v>573.0</v>
      </c>
      <c r="C73" s="108">
        <v>606.0</v>
      </c>
      <c r="D73" s="112">
        <v>43861.0</v>
      </c>
      <c r="E73" s="108" t="s">
        <v>286</v>
      </c>
      <c r="F73" s="110">
        <v>-79.38</v>
      </c>
      <c r="G73" s="110">
        <v>0.0</v>
      </c>
    </row>
    <row r="74">
      <c r="A74" s="108" t="s">
        <v>58</v>
      </c>
      <c r="B74" s="108">
        <v>573.0</v>
      </c>
      <c r="C74" s="108">
        <v>612.0</v>
      </c>
      <c r="D74" s="112">
        <v>43861.0</v>
      </c>
      <c r="E74" s="111">
        <v>2688095.0</v>
      </c>
      <c r="F74" s="110">
        <v>-2537.5</v>
      </c>
      <c r="G74" s="110">
        <v>0.0</v>
      </c>
    </row>
    <row r="75">
      <c r="A75" s="108" t="s">
        <v>53</v>
      </c>
      <c r="B75" s="108">
        <v>573.0</v>
      </c>
      <c r="C75" s="108">
        <v>601.0</v>
      </c>
      <c r="D75" s="112">
        <v>43861.0</v>
      </c>
      <c r="E75" s="111">
        <v>2687912.0</v>
      </c>
      <c r="F75" s="110">
        <v>-1087.21</v>
      </c>
      <c r="G75" s="110">
        <v>0.0</v>
      </c>
    </row>
    <row r="76">
      <c r="A76" s="108" t="s">
        <v>58</v>
      </c>
      <c r="B76" s="108">
        <v>573.0</v>
      </c>
      <c r="C76" s="108">
        <v>607.0</v>
      </c>
      <c r="D76" s="112">
        <v>43861.0</v>
      </c>
      <c r="E76" s="108" t="s">
        <v>287</v>
      </c>
      <c r="F76" s="110">
        <v>-58.38</v>
      </c>
      <c r="G76" s="110">
        <v>0.0</v>
      </c>
    </row>
    <row r="77">
      <c r="A77" s="108" t="s">
        <v>52</v>
      </c>
      <c r="B77" s="108">
        <v>573.0</v>
      </c>
      <c r="C77" s="108">
        <v>607.0</v>
      </c>
      <c r="D77" s="112">
        <v>43861.0</v>
      </c>
      <c r="E77" s="108" t="s">
        <v>288</v>
      </c>
      <c r="F77" s="110">
        <v>-31.43</v>
      </c>
      <c r="G77" s="110">
        <v>0.0</v>
      </c>
    </row>
    <row r="78">
      <c r="A78" s="108" t="s">
        <v>53</v>
      </c>
      <c r="B78" s="108">
        <v>573.0</v>
      </c>
      <c r="C78" s="108">
        <v>607.0</v>
      </c>
      <c r="D78" s="112">
        <v>43861.0</v>
      </c>
      <c r="E78" s="108" t="s">
        <v>289</v>
      </c>
      <c r="F78" s="110">
        <v>-44.9</v>
      </c>
      <c r="G78" s="110">
        <v>0.0</v>
      </c>
    </row>
    <row r="79">
      <c r="A79" s="108" t="s">
        <v>42</v>
      </c>
      <c r="B79" s="108">
        <v>551.0</v>
      </c>
      <c r="C79" s="108">
        <v>607.0</v>
      </c>
      <c r="D79" s="112">
        <v>43861.0</v>
      </c>
      <c r="E79" s="111">
        <v>2692236.0</v>
      </c>
      <c r="F79" s="110">
        <v>-19.3</v>
      </c>
      <c r="G79" s="110">
        <v>0.0</v>
      </c>
    </row>
    <row r="80">
      <c r="A80" s="108" t="s">
        <v>35</v>
      </c>
      <c r="B80" s="108">
        <v>552.0</v>
      </c>
      <c r="C80" s="108">
        <v>607.0</v>
      </c>
      <c r="D80" s="112">
        <v>43861.0</v>
      </c>
      <c r="E80" s="111">
        <v>2692386.0</v>
      </c>
      <c r="F80" s="110">
        <v>-384.6</v>
      </c>
      <c r="G80" s="110">
        <v>0.0</v>
      </c>
    </row>
    <row r="81">
      <c r="A81" s="108" t="s">
        <v>58</v>
      </c>
      <c r="B81" s="108">
        <v>573.0</v>
      </c>
      <c r="C81" s="108">
        <v>608.0</v>
      </c>
      <c r="D81" s="112">
        <v>43862.0</v>
      </c>
      <c r="E81" s="108" t="s">
        <v>290</v>
      </c>
      <c r="F81" s="110">
        <v>-8.85</v>
      </c>
      <c r="G81" s="110">
        <v>0.0</v>
      </c>
    </row>
    <row r="82">
      <c r="A82" s="108" t="s">
        <v>35</v>
      </c>
      <c r="B82" s="108">
        <v>552.0</v>
      </c>
      <c r="C82" s="108">
        <v>608.0</v>
      </c>
      <c r="D82" s="112">
        <v>43862.0</v>
      </c>
      <c r="E82" s="108" t="s">
        <v>291</v>
      </c>
      <c r="F82" s="110">
        <v>-8.85</v>
      </c>
      <c r="G82" s="110">
        <v>0.0</v>
      </c>
    </row>
    <row r="83">
      <c r="A83" s="108" t="s">
        <v>52</v>
      </c>
      <c r="B83" s="108">
        <v>573.0</v>
      </c>
      <c r="C83" s="108">
        <v>608.0</v>
      </c>
      <c r="D83" s="112">
        <v>43862.0</v>
      </c>
      <c r="E83" s="108" t="s">
        <v>292</v>
      </c>
      <c r="F83" s="110">
        <v>-8.85</v>
      </c>
      <c r="G83" s="110">
        <v>0.0</v>
      </c>
    </row>
    <row r="84">
      <c r="A84" s="108" t="s">
        <v>35</v>
      </c>
      <c r="B84" s="108">
        <v>552.0</v>
      </c>
      <c r="C84" s="108">
        <v>608.0</v>
      </c>
      <c r="D84" s="112">
        <v>43862.0</v>
      </c>
      <c r="E84" s="108" t="s">
        <v>293</v>
      </c>
      <c r="F84" s="110">
        <v>-6.04</v>
      </c>
      <c r="G84" s="110">
        <v>0.0</v>
      </c>
    </row>
    <row r="85">
      <c r="A85" s="108" t="s">
        <v>53</v>
      </c>
      <c r="B85" s="108">
        <v>573.0</v>
      </c>
      <c r="C85" s="108">
        <v>608.0</v>
      </c>
      <c r="D85" s="112">
        <v>43862.0</v>
      </c>
      <c r="E85" s="111">
        <v>2690622.0</v>
      </c>
      <c r="F85" s="110">
        <v>-5.76</v>
      </c>
      <c r="G85" s="110">
        <v>0.0</v>
      </c>
    </row>
    <row r="86">
      <c r="A86" s="108" t="s">
        <v>35</v>
      </c>
      <c r="B86" s="108">
        <v>552.0</v>
      </c>
      <c r="C86" s="108">
        <v>608.0</v>
      </c>
      <c r="D86" s="112">
        <v>43862.0</v>
      </c>
      <c r="E86" s="108" t="s">
        <v>294</v>
      </c>
      <c r="F86" s="110">
        <v>-20.06</v>
      </c>
      <c r="G86" s="110">
        <v>0.0</v>
      </c>
    </row>
    <row r="87">
      <c r="A87" s="108" t="s">
        <v>35</v>
      </c>
      <c r="B87" s="108">
        <v>552.0</v>
      </c>
      <c r="C87" s="108">
        <v>608.0</v>
      </c>
      <c r="D87" s="112">
        <v>43862.0</v>
      </c>
      <c r="E87" s="108" t="s">
        <v>295</v>
      </c>
      <c r="F87" s="110">
        <v>-478.3</v>
      </c>
      <c r="G87" s="110">
        <v>0.0</v>
      </c>
    </row>
    <row r="88">
      <c r="A88" s="108" t="s">
        <v>57</v>
      </c>
      <c r="B88" s="108">
        <v>573.0</v>
      </c>
      <c r="C88" s="108">
        <v>680.0</v>
      </c>
      <c r="D88" s="112">
        <v>43866.0</v>
      </c>
      <c r="E88" s="108" t="s">
        <v>296</v>
      </c>
      <c r="F88" s="110">
        <v>-169.96</v>
      </c>
      <c r="G88" s="110">
        <v>0.0</v>
      </c>
    </row>
    <row r="89">
      <c r="A89" s="108" t="s">
        <v>57</v>
      </c>
      <c r="B89" s="108">
        <v>573.0</v>
      </c>
      <c r="C89" s="108">
        <v>697.0</v>
      </c>
      <c r="D89" s="112">
        <v>43866.0</v>
      </c>
      <c r="E89" s="108" t="s">
        <v>297</v>
      </c>
      <c r="F89" s="110">
        <v>-160.0</v>
      </c>
      <c r="G89" s="110">
        <v>0.0</v>
      </c>
    </row>
    <row r="90">
      <c r="A90" s="108" t="s">
        <v>57</v>
      </c>
      <c r="B90" s="108">
        <v>573.0</v>
      </c>
      <c r="C90" s="108">
        <v>680.0</v>
      </c>
      <c r="D90" s="112">
        <v>43866.0</v>
      </c>
      <c r="E90" s="108" t="s">
        <v>298</v>
      </c>
      <c r="F90" s="110">
        <v>-196.0</v>
      </c>
      <c r="G90" s="110">
        <v>0.0</v>
      </c>
    </row>
    <row r="91">
      <c r="A91" s="108" t="s">
        <v>57</v>
      </c>
      <c r="B91" s="108">
        <v>573.0</v>
      </c>
      <c r="C91" s="108">
        <v>680.0</v>
      </c>
      <c r="D91" s="112">
        <v>43866.0</v>
      </c>
      <c r="E91" s="108" t="s">
        <v>299</v>
      </c>
      <c r="F91" s="110">
        <v>-390.0</v>
      </c>
      <c r="G91" s="110">
        <v>0.0</v>
      </c>
    </row>
    <row r="92">
      <c r="A92" s="108" t="s">
        <v>57</v>
      </c>
      <c r="B92" s="108">
        <v>573.0</v>
      </c>
      <c r="C92" s="108">
        <v>680.0</v>
      </c>
      <c r="D92" s="112">
        <v>43866.0</v>
      </c>
      <c r="E92" s="108" t="s">
        <v>300</v>
      </c>
      <c r="F92" s="110">
        <v>-480.7</v>
      </c>
      <c r="G92" s="110">
        <v>0.0</v>
      </c>
    </row>
    <row r="93">
      <c r="A93" s="108" t="s">
        <v>57</v>
      </c>
      <c r="B93" s="108">
        <v>573.0</v>
      </c>
      <c r="C93" s="108">
        <v>697.0</v>
      </c>
      <c r="D93" s="112">
        <v>43866.0</v>
      </c>
      <c r="E93" s="108" t="s">
        <v>301</v>
      </c>
      <c r="F93" s="110">
        <v>-110.0</v>
      </c>
      <c r="G93" s="110">
        <v>0.0</v>
      </c>
    </row>
    <row r="94">
      <c r="A94" s="108" t="s">
        <v>57</v>
      </c>
      <c r="B94" s="108">
        <v>573.0</v>
      </c>
      <c r="C94" s="108">
        <v>680.0</v>
      </c>
      <c r="D94" s="112">
        <v>43866.0</v>
      </c>
      <c r="E94" s="108" t="s">
        <v>302</v>
      </c>
      <c r="F94" s="110">
        <v>-196.0</v>
      </c>
      <c r="G94" s="110">
        <v>0.0</v>
      </c>
    </row>
    <row r="95">
      <c r="A95" s="108" t="s">
        <v>57</v>
      </c>
      <c r="B95" s="108">
        <v>573.0</v>
      </c>
      <c r="C95" s="108">
        <v>680.0</v>
      </c>
      <c r="D95" s="112">
        <v>43866.0</v>
      </c>
      <c r="E95" s="108" t="s">
        <v>303</v>
      </c>
      <c r="F95" s="110">
        <v>-85.0</v>
      </c>
      <c r="G95" s="110">
        <v>0.0</v>
      </c>
    </row>
    <row r="96">
      <c r="A96" s="108" t="s">
        <v>57</v>
      </c>
      <c r="B96" s="108">
        <v>573.0</v>
      </c>
      <c r="C96" s="108">
        <v>697.0</v>
      </c>
      <c r="D96" s="112">
        <v>43866.0</v>
      </c>
      <c r="E96" s="108" t="s">
        <v>304</v>
      </c>
      <c r="F96" s="110">
        <v>-110.0</v>
      </c>
      <c r="G96" s="110">
        <v>0.0</v>
      </c>
    </row>
    <row r="97">
      <c r="A97" s="108" t="s">
        <v>57</v>
      </c>
      <c r="B97" s="108">
        <v>573.0</v>
      </c>
      <c r="C97" s="108">
        <v>680.0</v>
      </c>
      <c r="D97" s="112">
        <v>43866.0</v>
      </c>
      <c r="E97" s="108" t="s">
        <v>305</v>
      </c>
      <c r="F97" s="110">
        <v>-196.0</v>
      </c>
      <c r="G97" s="110">
        <v>0.0</v>
      </c>
    </row>
    <row r="98">
      <c r="A98" s="108" t="s">
        <v>57</v>
      </c>
      <c r="B98" s="108">
        <v>573.0</v>
      </c>
      <c r="C98" s="108">
        <v>680.0</v>
      </c>
      <c r="D98" s="112">
        <v>43866.0</v>
      </c>
      <c r="E98" s="108" t="s">
        <v>306</v>
      </c>
      <c r="F98" s="110">
        <v>-480.7</v>
      </c>
      <c r="G98" s="110">
        <v>0.0</v>
      </c>
    </row>
    <row r="99">
      <c r="A99" s="108" t="s">
        <v>57</v>
      </c>
      <c r="B99" s="108">
        <v>573.0</v>
      </c>
      <c r="C99" s="108">
        <v>697.0</v>
      </c>
      <c r="D99" s="112">
        <v>43866.0</v>
      </c>
      <c r="E99" s="108" t="s">
        <v>307</v>
      </c>
      <c r="F99" s="110">
        <v>-100.0</v>
      </c>
      <c r="G99" s="110">
        <v>0.0</v>
      </c>
    </row>
    <row r="100">
      <c r="A100" s="108" t="s">
        <v>57</v>
      </c>
      <c r="B100" s="108">
        <v>573.0</v>
      </c>
      <c r="C100" s="108">
        <v>680.0</v>
      </c>
      <c r="D100" s="112">
        <v>43868.0</v>
      </c>
      <c r="E100" s="108" t="s">
        <v>308</v>
      </c>
      <c r="F100" s="110">
        <v>-322.29</v>
      </c>
      <c r="G100" s="110">
        <v>0.0</v>
      </c>
    </row>
    <row r="101">
      <c r="A101" s="108" t="s">
        <v>42</v>
      </c>
      <c r="B101" s="108">
        <v>551.0</v>
      </c>
      <c r="C101" s="108">
        <v>607.0</v>
      </c>
      <c r="D101" s="112">
        <v>43868.0</v>
      </c>
      <c r="E101" s="111">
        <v>2711166.0</v>
      </c>
      <c r="F101" s="110">
        <v>-31.14</v>
      </c>
      <c r="G101" s="110">
        <v>0.0</v>
      </c>
    </row>
    <row r="102">
      <c r="A102" s="108" t="s">
        <v>35</v>
      </c>
      <c r="B102" s="108">
        <v>552.0</v>
      </c>
      <c r="C102" s="108">
        <v>607.0</v>
      </c>
      <c r="D102" s="112">
        <v>43868.0</v>
      </c>
      <c r="E102" s="108" t="s">
        <v>309</v>
      </c>
      <c r="F102" s="110">
        <v>-243.17</v>
      </c>
      <c r="G102" s="110">
        <v>0.0</v>
      </c>
    </row>
    <row r="103">
      <c r="A103" s="108" t="s">
        <v>53</v>
      </c>
      <c r="B103" s="108">
        <v>573.0</v>
      </c>
      <c r="C103" s="108">
        <v>607.0</v>
      </c>
      <c r="D103" s="112">
        <v>43868.0</v>
      </c>
      <c r="E103" s="108" t="s">
        <v>310</v>
      </c>
      <c r="F103" s="110">
        <v>-191.57</v>
      </c>
      <c r="G103" s="110">
        <v>0.0</v>
      </c>
    </row>
    <row r="104">
      <c r="A104" s="108" t="s">
        <v>53</v>
      </c>
      <c r="B104" s="108">
        <v>573.0</v>
      </c>
      <c r="C104" s="108">
        <v>607.0</v>
      </c>
      <c r="D104" s="112">
        <v>43868.0</v>
      </c>
      <c r="E104" s="108" t="s">
        <v>311</v>
      </c>
      <c r="F104" s="110">
        <v>-24.28</v>
      </c>
      <c r="G104" s="110">
        <v>0.0</v>
      </c>
    </row>
    <row r="105">
      <c r="A105" s="108" t="s">
        <v>58</v>
      </c>
      <c r="B105" s="108">
        <v>573.0</v>
      </c>
      <c r="C105" s="108">
        <v>607.0</v>
      </c>
      <c r="D105" s="112">
        <v>43868.0</v>
      </c>
      <c r="E105" s="108" t="s">
        <v>312</v>
      </c>
      <c r="F105" s="110">
        <v>-281.08</v>
      </c>
      <c r="G105" s="110">
        <v>0.0</v>
      </c>
    </row>
    <row r="106">
      <c r="A106" s="108" t="s">
        <v>52</v>
      </c>
      <c r="B106" s="108">
        <v>573.0</v>
      </c>
      <c r="C106" s="108">
        <v>607.0</v>
      </c>
      <c r="D106" s="112">
        <v>43868.0</v>
      </c>
      <c r="E106" s="108" t="s">
        <v>313</v>
      </c>
      <c r="F106" s="110">
        <v>-152.0</v>
      </c>
      <c r="G106" s="110">
        <v>0.0</v>
      </c>
    </row>
    <row r="107">
      <c r="A107" s="108" t="s">
        <v>42</v>
      </c>
      <c r="B107" s="108">
        <v>551.0</v>
      </c>
      <c r="C107" s="108">
        <v>607.0</v>
      </c>
      <c r="D107" s="112">
        <v>43868.0</v>
      </c>
      <c r="E107" s="108" t="s">
        <v>314</v>
      </c>
      <c r="F107" s="110">
        <v>-23.89</v>
      </c>
      <c r="G107" s="110">
        <v>0.0</v>
      </c>
    </row>
    <row r="108">
      <c r="A108" s="108" t="s">
        <v>35</v>
      </c>
      <c r="B108" s="108">
        <v>552.0</v>
      </c>
      <c r="C108" s="108">
        <v>607.0</v>
      </c>
      <c r="D108" s="112">
        <v>43868.0</v>
      </c>
      <c r="E108" s="108" t="s">
        <v>315</v>
      </c>
      <c r="F108" s="110">
        <v>-80.23</v>
      </c>
      <c r="G108" s="110">
        <v>0.0</v>
      </c>
    </row>
    <row r="109">
      <c r="A109" s="108" t="s">
        <v>53</v>
      </c>
      <c r="B109" s="108">
        <v>573.0</v>
      </c>
      <c r="C109" s="108">
        <v>607.0</v>
      </c>
      <c r="D109" s="112">
        <v>43868.0</v>
      </c>
      <c r="E109" s="108" t="s">
        <v>316</v>
      </c>
      <c r="F109" s="110">
        <v>-130.77</v>
      </c>
      <c r="G109" s="110">
        <v>0.0</v>
      </c>
    </row>
    <row r="110">
      <c r="A110" s="108" t="s">
        <v>53</v>
      </c>
      <c r="B110" s="108">
        <v>573.0</v>
      </c>
      <c r="C110" s="108">
        <v>607.0</v>
      </c>
      <c r="D110" s="112">
        <v>43868.0</v>
      </c>
      <c r="E110" s="108" t="s">
        <v>317</v>
      </c>
      <c r="F110" s="110">
        <v>-16.58</v>
      </c>
      <c r="G110" s="110">
        <v>0.0</v>
      </c>
    </row>
    <row r="111">
      <c r="A111" s="108" t="s">
        <v>58</v>
      </c>
      <c r="B111" s="108">
        <v>573.0</v>
      </c>
      <c r="C111" s="108">
        <v>607.0</v>
      </c>
      <c r="D111" s="112">
        <v>43868.0</v>
      </c>
      <c r="E111" s="108" t="s">
        <v>318</v>
      </c>
      <c r="F111" s="110">
        <v>-198.4</v>
      </c>
      <c r="G111" s="110">
        <v>0.0</v>
      </c>
    </row>
    <row r="112">
      <c r="A112" s="108" t="s">
        <v>52</v>
      </c>
      <c r="B112" s="108">
        <v>573.0</v>
      </c>
      <c r="C112" s="108">
        <v>607.0</v>
      </c>
      <c r="D112" s="112">
        <v>43868.0</v>
      </c>
      <c r="E112" s="108" t="s">
        <v>319</v>
      </c>
      <c r="F112" s="110">
        <v>-108.11</v>
      </c>
      <c r="G112" s="110">
        <v>0.0</v>
      </c>
    </row>
    <row r="113">
      <c r="A113" s="108" t="s">
        <v>35</v>
      </c>
      <c r="B113" s="108">
        <v>552.0</v>
      </c>
      <c r="C113" s="108">
        <v>601.0</v>
      </c>
      <c r="D113" s="112">
        <v>43875.0</v>
      </c>
      <c r="E113" s="108" t="s">
        <v>320</v>
      </c>
      <c r="F113" s="110">
        <v>-3269.23</v>
      </c>
      <c r="G113" s="110">
        <v>0.0</v>
      </c>
    </row>
    <row r="114">
      <c r="A114" s="108" t="s">
        <v>53</v>
      </c>
      <c r="B114" s="108">
        <v>573.0</v>
      </c>
      <c r="C114" s="108">
        <v>601.0</v>
      </c>
      <c r="D114" s="112">
        <v>43875.0</v>
      </c>
      <c r="E114" s="108" t="s">
        <v>321</v>
      </c>
      <c r="F114" s="110">
        <v>-2535.68</v>
      </c>
      <c r="G114" s="110">
        <v>0.0</v>
      </c>
    </row>
    <row r="115">
      <c r="A115" s="108" t="s">
        <v>52</v>
      </c>
      <c r="B115" s="108">
        <v>573.0</v>
      </c>
      <c r="C115" s="108">
        <v>601.0</v>
      </c>
      <c r="D115" s="112">
        <v>43875.0</v>
      </c>
      <c r="E115" s="108" t="s">
        <v>322</v>
      </c>
      <c r="F115" s="110">
        <v>-2000.0</v>
      </c>
      <c r="G115" s="110">
        <v>0.0</v>
      </c>
    </row>
    <row r="116">
      <c r="A116" s="108" t="s">
        <v>58</v>
      </c>
      <c r="B116" s="108">
        <v>573.0</v>
      </c>
      <c r="C116" s="108">
        <v>601.0</v>
      </c>
      <c r="D116" s="112">
        <v>43875.0</v>
      </c>
      <c r="E116" s="108" t="s">
        <v>323</v>
      </c>
      <c r="F116" s="110">
        <v>-1730.77</v>
      </c>
      <c r="G116" s="110">
        <v>0.0</v>
      </c>
    </row>
    <row r="117">
      <c r="A117" s="108" t="s">
        <v>42</v>
      </c>
      <c r="B117" s="108">
        <v>551.0</v>
      </c>
      <c r="C117" s="108">
        <v>601.0</v>
      </c>
      <c r="D117" s="112">
        <v>43875.0</v>
      </c>
      <c r="E117" s="108" t="s">
        <v>324</v>
      </c>
      <c r="F117" s="110">
        <v>-442.4</v>
      </c>
      <c r="G117" s="110">
        <v>0.0</v>
      </c>
    </row>
    <row r="118">
      <c r="A118" s="108" t="s">
        <v>58</v>
      </c>
      <c r="B118" s="108">
        <v>573.0</v>
      </c>
      <c r="C118" s="108">
        <v>601.0</v>
      </c>
      <c r="D118" s="112">
        <v>43875.0</v>
      </c>
      <c r="E118" s="108" t="s">
        <v>325</v>
      </c>
      <c r="F118" s="110">
        <v>-1943.27</v>
      </c>
      <c r="G118" s="110">
        <v>0.0</v>
      </c>
    </row>
    <row r="119">
      <c r="A119" s="108" t="s">
        <v>52</v>
      </c>
      <c r="B119" s="108">
        <v>573.0</v>
      </c>
      <c r="C119" s="108">
        <v>606.0</v>
      </c>
      <c r="D119" s="112">
        <v>43875.0</v>
      </c>
      <c r="E119" s="111">
        <v>2705992.0</v>
      </c>
      <c r="F119" s="110">
        <v>-80.0</v>
      </c>
      <c r="G119" s="110">
        <v>0.0</v>
      </c>
    </row>
    <row r="120">
      <c r="A120" s="108" t="s">
        <v>58</v>
      </c>
      <c r="B120" s="108">
        <v>573.0</v>
      </c>
      <c r="C120" s="108">
        <v>606.0</v>
      </c>
      <c r="D120" s="112">
        <v>43875.0</v>
      </c>
      <c r="E120" s="111">
        <v>2706023.0</v>
      </c>
      <c r="F120" s="110">
        <v>-79.38</v>
      </c>
      <c r="G120" s="110">
        <v>0.0</v>
      </c>
    </row>
    <row r="121">
      <c r="A121" s="108" t="s">
        <v>35</v>
      </c>
      <c r="B121" s="108">
        <v>552.0</v>
      </c>
      <c r="C121" s="108">
        <v>606.0</v>
      </c>
      <c r="D121" s="112">
        <v>43875.0</v>
      </c>
      <c r="E121" s="111">
        <v>2705931.0</v>
      </c>
      <c r="F121" s="110">
        <v>-130.77</v>
      </c>
      <c r="G121" s="110">
        <v>0.0</v>
      </c>
    </row>
    <row r="122">
      <c r="A122" s="108" t="s">
        <v>53</v>
      </c>
      <c r="B122" s="108">
        <v>573.0</v>
      </c>
      <c r="C122" s="108">
        <v>606.0</v>
      </c>
      <c r="D122" s="112">
        <v>43875.0</v>
      </c>
      <c r="E122" s="111">
        <v>2705962.0</v>
      </c>
      <c r="F122" s="110">
        <v>-114.28</v>
      </c>
      <c r="G122" s="110">
        <v>0.0</v>
      </c>
    </row>
    <row r="123">
      <c r="A123" s="108" t="s">
        <v>57</v>
      </c>
      <c r="B123" s="108">
        <v>573.0</v>
      </c>
      <c r="C123" s="108">
        <v>680.0</v>
      </c>
      <c r="D123" s="112">
        <v>43880.0</v>
      </c>
      <c r="E123" s="108" t="s">
        <v>326</v>
      </c>
      <c r="F123" s="110">
        <v>-130.0</v>
      </c>
      <c r="G123" s="110">
        <v>0.0</v>
      </c>
    </row>
    <row r="124">
      <c r="A124" s="108" t="s">
        <v>35</v>
      </c>
      <c r="B124" s="108">
        <v>552.0</v>
      </c>
      <c r="C124" s="108">
        <v>607.0</v>
      </c>
      <c r="D124" s="112">
        <v>43882.0</v>
      </c>
      <c r="E124" s="108" t="s">
        <v>327</v>
      </c>
      <c r="F124" s="110">
        <v>-243.17</v>
      </c>
      <c r="G124" s="110">
        <v>0.0</v>
      </c>
    </row>
    <row r="125">
      <c r="A125" s="108" t="s">
        <v>53</v>
      </c>
      <c r="B125" s="108">
        <v>573.0</v>
      </c>
      <c r="C125" s="108">
        <v>607.0</v>
      </c>
      <c r="D125" s="112">
        <v>43882.0</v>
      </c>
      <c r="E125" s="108" t="s">
        <v>328</v>
      </c>
      <c r="F125" s="110">
        <v>-194.27</v>
      </c>
      <c r="G125" s="110">
        <v>0.0</v>
      </c>
    </row>
    <row r="126">
      <c r="A126" s="108" t="s">
        <v>53</v>
      </c>
      <c r="B126" s="108">
        <v>573.0</v>
      </c>
      <c r="C126" s="108">
        <v>607.0</v>
      </c>
      <c r="D126" s="112">
        <v>43882.0</v>
      </c>
      <c r="E126" s="108" t="s">
        <v>329</v>
      </c>
      <c r="F126" s="110">
        <v>-21.59</v>
      </c>
      <c r="G126" s="110">
        <v>0.0</v>
      </c>
    </row>
    <row r="127">
      <c r="A127" s="108" t="s">
        <v>58</v>
      </c>
      <c r="B127" s="108">
        <v>573.0</v>
      </c>
      <c r="C127" s="108">
        <v>607.0</v>
      </c>
      <c r="D127" s="112">
        <v>43882.0</v>
      </c>
      <c r="E127" s="108" t="s">
        <v>330</v>
      </c>
      <c r="F127" s="110">
        <v>-281.07</v>
      </c>
      <c r="G127" s="110">
        <v>0.0</v>
      </c>
    </row>
    <row r="128">
      <c r="A128" s="108" t="s">
        <v>52</v>
      </c>
      <c r="B128" s="108">
        <v>573.0</v>
      </c>
      <c r="C128" s="108">
        <v>607.0</v>
      </c>
      <c r="D128" s="112">
        <v>43882.0</v>
      </c>
      <c r="E128" s="108" t="s">
        <v>331</v>
      </c>
      <c r="F128" s="110">
        <v>-152.0</v>
      </c>
      <c r="G128" s="110">
        <v>0.0</v>
      </c>
    </row>
    <row r="129">
      <c r="A129" s="108" t="s">
        <v>58</v>
      </c>
      <c r="B129" s="108">
        <v>573.0</v>
      </c>
      <c r="C129" s="108">
        <v>607.0</v>
      </c>
      <c r="D129" s="112">
        <v>43882.0</v>
      </c>
      <c r="E129" s="108" t="s">
        <v>332</v>
      </c>
      <c r="F129" s="110">
        <v>-198.4</v>
      </c>
      <c r="G129" s="110">
        <v>0.0</v>
      </c>
    </row>
    <row r="130">
      <c r="A130" s="108" t="s">
        <v>52</v>
      </c>
      <c r="B130" s="108">
        <v>573.0</v>
      </c>
      <c r="C130" s="108">
        <v>607.0</v>
      </c>
      <c r="D130" s="112">
        <v>43882.0</v>
      </c>
      <c r="E130" s="108" t="s">
        <v>333</v>
      </c>
      <c r="F130" s="110">
        <v>-108.11</v>
      </c>
      <c r="G130" s="110">
        <v>0.0</v>
      </c>
    </row>
    <row r="131">
      <c r="A131" s="108" t="s">
        <v>50</v>
      </c>
      <c r="B131" s="108">
        <v>573.0</v>
      </c>
      <c r="C131" s="108">
        <v>680.0</v>
      </c>
      <c r="D131" s="112">
        <v>43887.0</v>
      </c>
      <c r="E131" s="108" t="s">
        <v>334</v>
      </c>
      <c r="F131" s="110">
        <v>-304.8</v>
      </c>
      <c r="G131" s="110">
        <v>0.0</v>
      </c>
    </row>
    <row r="132">
      <c r="A132" s="108" t="s">
        <v>50</v>
      </c>
      <c r="B132" s="108">
        <v>573.0</v>
      </c>
      <c r="C132" s="108">
        <v>680.0</v>
      </c>
      <c r="D132" s="112">
        <v>43887.0</v>
      </c>
      <c r="E132" s="108" t="s">
        <v>335</v>
      </c>
      <c r="F132" s="110">
        <v>-206.7</v>
      </c>
      <c r="G132" s="110">
        <v>0.0</v>
      </c>
    </row>
    <row r="133">
      <c r="A133" s="108" t="s">
        <v>56</v>
      </c>
      <c r="B133" s="108">
        <v>572.0</v>
      </c>
      <c r="C133" s="108">
        <v>612.0</v>
      </c>
      <c r="D133" s="112">
        <v>43888.0</v>
      </c>
      <c r="E133" s="108" t="s">
        <v>336</v>
      </c>
      <c r="F133" s="110">
        <v>-125.0</v>
      </c>
      <c r="G133" s="110">
        <v>0.0</v>
      </c>
    </row>
    <row r="134">
      <c r="A134" s="108" t="s">
        <v>56</v>
      </c>
      <c r="B134" s="108">
        <v>572.0</v>
      </c>
      <c r="C134" s="108">
        <v>612.0</v>
      </c>
      <c r="D134" s="112">
        <v>43888.0</v>
      </c>
      <c r="E134" s="108" t="s">
        <v>337</v>
      </c>
      <c r="F134" s="110">
        <v>-125.0</v>
      </c>
      <c r="G134" s="110">
        <v>0.0</v>
      </c>
    </row>
    <row r="135">
      <c r="A135" s="108" t="s">
        <v>56</v>
      </c>
      <c r="B135" s="108">
        <v>572.0</v>
      </c>
      <c r="C135" s="108">
        <v>642.0</v>
      </c>
      <c r="D135" s="112">
        <v>43888.0</v>
      </c>
      <c r="E135" s="108" t="s">
        <v>338</v>
      </c>
      <c r="F135" s="110">
        <v>-220.0</v>
      </c>
      <c r="G135" s="110">
        <v>0.0</v>
      </c>
    </row>
    <row r="136">
      <c r="A136" s="108" t="s">
        <v>56</v>
      </c>
      <c r="B136" s="108">
        <v>573.0</v>
      </c>
      <c r="C136" s="108">
        <v>654.0</v>
      </c>
      <c r="D136" s="112">
        <v>43888.0</v>
      </c>
      <c r="E136" s="108" t="s">
        <v>339</v>
      </c>
      <c r="F136" s="110">
        <v>-102.31</v>
      </c>
      <c r="G136" s="110">
        <v>0.0</v>
      </c>
    </row>
    <row r="137">
      <c r="A137" s="108" t="s">
        <v>35</v>
      </c>
      <c r="B137" s="108">
        <v>552.0</v>
      </c>
      <c r="C137" s="108">
        <v>601.0</v>
      </c>
      <c r="D137" s="112">
        <v>43889.0</v>
      </c>
      <c r="E137" s="108" t="s">
        <v>340</v>
      </c>
      <c r="F137" s="110">
        <v>-3269.23</v>
      </c>
      <c r="G137" s="110">
        <v>0.0</v>
      </c>
    </row>
    <row r="138">
      <c r="A138" s="108" t="s">
        <v>53</v>
      </c>
      <c r="B138" s="108">
        <v>573.0</v>
      </c>
      <c r="C138" s="108">
        <v>601.0</v>
      </c>
      <c r="D138" s="112">
        <v>43889.0</v>
      </c>
      <c r="E138" s="108" t="s">
        <v>341</v>
      </c>
      <c r="F138" s="110">
        <v>-2571.39</v>
      </c>
      <c r="G138" s="110">
        <v>0.0</v>
      </c>
    </row>
    <row r="139">
      <c r="A139" s="108" t="s">
        <v>52</v>
      </c>
      <c r="B139" s="108">
        <v>573.0</v>
      </c>
      <c r="C139" s="108">
        <v>601.0</v>
      </c>
      <c r="D139" s="112">
        <v>43889.0</v>
      </c>
      <c r="E139" s="108" t="s">
        <v>342</v>
      </c>
      <c r="F139" s="110">
        <v>-2000.0</v>
      </c>
      <c r="G139" s="110">
        <v>0.0</v>
      </c>
    </row>
    <row r="140">
      <c r="A140" s="108" t="s">
        <v>58</v>
      </c>
      <c r="B140" s="108">
        <v>573.0</v>
      </c>
      <c r="C140" s="108">
        <v>601.0</v>
      </c>
      <c r="D140" s="112">
        <v>43889.0</v>
      </c>
      <c r="E140" s="108" t="s">
        <v>343</v>
      </c>
      <c r="F140" s="110">
        <v>-1730.77</v>
      </c>
      <c r="G140" s="110">
        <v>0.0</v>
      </c>
    </row>
    <row r="141">
      <c r="A141" s="108" t="s">
        <v>58</v>
      </c>
      <c r="B141" s="108">
        <v>573.0</v>
      </c>
      <c r="C141" s="108">
        <v>601.0</v>
      </c>
      <c r="D141" s="112">
        <v>43889.0</v>
      </c>
      <c r="E141" s="108" t="s">
        <v>344</v>
      </c>
      <c r="F141" s="110">
        <v>-1943.26</v>
      </c>
      <c r="G141" s="110">
        <v>0.0</v>
      </c>
    </row>
    <row r="142">
      <c r="A142" s="108" t="s">
        <v>35</v>
      </c>
      <c r="B142" s="108">
        <v>552.0</v>
      </c>
      <c r="C142" s="108">
        <v>606.0</v>
      </c>
      <c r="D142" s="112">
        <v>43889.0</v>
      </c>
      <c r="E142" s="108" t="s">
        <v>345</v>
      </c>
      <c r="F142" s="110">
        <v>-130.77</v>
      </c>
      <c r="G142" s="110">
        <v>0.0</v>
      </c>
    </row>
    <row r="143">
      <c r="A143" s="108" t="s">
        <v>53</v>
      </c>
      <c r="B143" s="108">
        <v>573.0</v>
      </c>
      <c r="C143" s="108">
        <v>606.0</v>
      </c>
      <c r="D143" s="112">
        <v>43889.0</v>
      </c>
      <c r="E143" s="108" t="s">
        <v>346</v>
      </c>
      <c r="F143" s="110">
        <v>-114.28</v>
      </c>
      <c r="G143" s="110">
        <v>0.0</v>
      </c>
    </row>
    <row r="144">
      <c r="A144" s="108" t="s">
        <v>52</v>
      </c>
      <c r="B144" s="108">
        <v>573.0</v>
      </c>
      <c r="C144" s="108">
        <v>606.0</v>
      </c>
      <c r="D144" s="112">
        <v>43889.0</v>
      </c>
      <c r="E144" s="108" t="s">
        <v>347</v>
      </c>
      <c r="F144" s="110">
        <v>-80.0</v>
      </c>
      <c r="G144" s="110">
        <v>0.0</v>
      </c>
    </row>
    <row r="145">
      <c r="A145" s="108" t="s">
        <v>58</v>
      </c>
      <c r="B145" s="108">
        <v>573.0</v>
      </c>
      <c r="C145" s="108">
        <v>606.0</v>
      </c>
      <c r="D145" s="112">
        <v>43889.0</v>
      </c>
      <c r="E145" s="108" t="s">
        <v>348</v>
      </c>
      <c r="F145" s="110">
        <v>-79.38</v>
      </c>
      <c r="G145" s="110">
        <v>0.0</v>
      </c>
    </row>
    <row r="146">
      <c r="A146" s="108" t="s">
        <v>58</v>
      </c>
      <c r="B146" s="108">
        <v>573.0</v>
      </c>
      <c r="C146" s="108">
        <v>607.0</v>
      </c>
      <c r="D146" s="112">
        <v>43890.0</v>
      </c>
      <c r="E146" s="108" t="s">
        <v>349</v>
      </c>
      <c r="F146" s="110">
        <v>-38.92</v>
      </c>
      <c r="G146" s="110">
        <v>0.0</v>
      </c>
    </row>
    <row r="147">
      <c r="A147" s="108" t="s">
        <v>52</v>
      </c>
      <c r="B147" s="108">
        <v>573.0</v>
      </c>
      <c r="C147" s="108">
        <v>607.0</v>
      </c>
      <c r="D147" s="112">
        <v>43890.0</v>
      </c>
      <c r="E147" s="108" t="s">
        <v>350</v>
      </c>
      <c r="F147" s="110">
        <v>-20.95</v>
      </c>
      <c r="G147" s="110">
        <v>0.0</v>
      </c>
    </row>
    <row r="148">
      <c r="A148" s="108" t="s">
        <v>53</v>
      </c>
      <c r="B148" s="108">
        <v>573.0</v>
      </c>
      <c r="C148" s="108">
        <v>607.0</v>
      </c>
      <c r="D148" s="112">
        <v>43890.0</v>
      </c>
      <c r="E148" s="108" t="s">
        <v>351</v>
      </c>
      <c r="F148" s="110">
        <v>-29.93</v>
      </c>
      <c r="G148" s="110">
        <v>0.0</v>
      </c>
    </row>
    <row r="149">
      <c r="A149" s="108" t="s">
        <v>42</v>
      </c>
      <c r="B149" s="108">
        <v>551.0</v>
      </c>
      <c r="C149" s="108">
        <v>607.0</v>
      </c>
      <c r="D149" s="112">
        <v>43890.0</v>
      </c>
      <c r="E149" s="111">
        <v>2706480.0</v>
      </c>
      <c r="F149" s="110">
        <v>-2.32</v>
      </c>
      <c r="G149" s="110">
        <v>0.0</v>
      </c>
    </row>
    <row r="150">
      <c r="A150" s="108" t="s">
        <v>35</v>
      </c>
      <c r="B150" s="108">
        <v>552.0</v>
      </c>
      <c r="C150" s="108">
        <v>607.0</v>
      </c>
      <c r="D150" s="112">
        <v>43890.0</v>
      </c>
      <c r="E150" s="111">
        <v>2706630.0</v>
      </c>
      <c r="F150" s="110">
        <v>-256.4</v>
      </c>
      <c r="G150" s="110">
        <v>0.0</v>
      </c>
    </row>
    <row r="151">
      <c r="A151" s="108" t="s">
        <v>53</v>
      </c>
      <c r="B151" s="108">
        <v>573.0</v>
      </c>
      <c r="C151" s="108">
        <v>601.0</v>
      </c>
      <c r="D151" s="112">
        <v>43890.0</v>
      </c>
      <c r="E151" s="111">
        <v>2710498.0</v>
      </c>
      <c r="F151" s="110">
        <v>-1092.17</v>
      </c>
      <c r="G151" s="110">
        <v>0.0</v>
      </c>
    </row>
    <row r="152">
      <c r="A152" s="108" t="s">
        <v>35</v>
      </c>
      <c r="B152" s="108">
        <v>552.0</v>
      </c>
      <c r="C152" s="108">
        <v>608.0</v>
      </c>
      <c r="D152" s="112">
        <v>43891.0</v>
      </c>
      <c r="E152" s="108" t="s">
        <v>352</v>
      </c>
      <c r="F152" s="110">
        <v>-6.04</v>
      </c>
      <c r="G152" s="110">
        <v>0.0</v>
      </c>
    </row>
    <row r="153">
      <c r="A153" s="108" t="s">
        <v>53</v>
      </c>
      <c r="B153" s="108">
        <v>573.0</v>
      </c>
      <c r="C153" s="108">
        <v>608.0</v>
      </c>
      <c r="D153" s="112">
        <v>43891.0</v>
      </c>
      <c r="E153" s="108" t="s">
        <v>353</v>
      </c>
      <c r="F153" s="110">
        <v>-5.76</v>
      </c>
      <c r="G153" s="110">
        <v>0.0</v>
      </c>
    </row>
    <row r="154">
      <c r="A154" s="108" t="s">
        <v>52</v>
      </c>
      <c r="B154" s="108">
        <v>573.0</v>
      </c>
      <c r="C154" s="108">
        <v>608.0</v>
      </c>
      <c r="D154" s="112">
        <v>43891.0</v>
      </c>
      <c r="E154" s="108" t="s">
        <v>354</v>
      </c>
      <c r="F154" s="110">
        <v>-8.85</v>
      </c>
      <c r="G154" s="110">
        <v>0.0</v>
      </c>
    </row>
    <row r="155">
      <c r="A155" s="108" t="s">
        <v>35</v>
      </c>
      <c r="B155" s="108">
        <v>552.0</v>
      </c>
      <c r="C155" s="108">
        <v>608.0</v>
      </c>
      <c r="D155" s="112">
        <v>43891.0</v>
      </c>
      <c r="E155" s="108" t="s">
        <v>355</v>
      </c>
      <c r="F155" s="110">
        <v>-8.85</v>
      </c>
      <c r="G155" s="110">
        <v>0.0</v>
      </c>
    </row>
    <row r="156">
      <c r="A156" s="108" t="s">
        <v>58</v>
      </c>
      <c r="B156" s="108">
        <v>573.0</v>
      </c>
      <c r="C156" s="108">
        <v>608.0</v>
      </c>
      <c r="D156" s="112">
        <v>43891.0</v>
      </c>
      <c r="E156" s="108" t="s">
        <v>356</v>
      </c>
      <c r="F156" s="110">
        <v>-8.85</v>
      </c>
      <c r="G156" s="110">
        <v>0.0</v>
      </c>
    </row>
    <row r="157">
      <c r="A157" s="108" t="s">
        <v>35</v>
      </c>
      <c r="B157" s="108">
        <v>552.0</v>
      </c>
      <c r="C157" s="108">
        <v>608.0</v>
      </c>
      <c r="D157" s="112">
        <v>43891.0</v>
      </c>
      <c r="E157" s="108" t="s">
        <v>357</v>
      </c>
      <c r="F157" s="110">
        <v>-478.3</v>
      </c>
      <c r="G157" s="110">
        <v>0.0</v>
      </c>
    </row>
    <row r="158">
      <c r="A158" s="108" t="s">
        <v>35</v>
      </c>
      <c r="B158" s="108">
        <v>552.0</v>
      </c>
      <c r="C158" s="108">
        <v>608.0</v>
      </c>
      <c r="D158" s="112">
        <v>43891.0</v>
      </c>
      <c r="E158" s="108" t="s">
        <v>358</v>
      </c>
      <c r="F158" s="110">
        <v>-20.06</v>
      </c>
      <c r="G158" s="110">
        <v>0.0</v>
      </c>
    </row>
    <row r="159">
      <c r="A159" s="108" t="s">
        <v>29</v>
      </c>
      <c r="B159" s="108">
        <v>552.0</v>
      </c>
      <c r="C159" s="108">
        <v>639.0</v>
      </c>
      <c r="D159" s="112">
        <v>43894.0</v>
      </c>
      <c r="E159" s="108" t="s">
        <v>359</v>
      </c>
      <c r="F159" s="110">
        <v>-50.0</v>
      </c>
      <c r="G159" s="110">
        <v>0.0</v>
      </c>
    </row>
    <row r="160">
      <c r="A160" s="108" t="s">
        <v>35</v>
      </c>
      <c r="B160" s="108">
        <v>552.0</v>
      </c>
      <c r="C160" s="108">
        <v>607.0</v>
      </c>
      <c r="D160" s="112">
        <v>43896.0</v>
      </c>
      <c r="E160" s="108" t="s">
        <v>360</v>
      </c>
      <c r="F160" s="110">
        <v>-121.64</v>
      </c>
      <c r="G160" s="110">
        <v>0.0</v>
      </c>
    </row>
    <row r="161">
      <c r="A161" s="108" t="s">
        <v>53</v>
      </c>
      <c r="B161" s="108">
        <v>573.0</v>
      </c>
      <c r="C161" s="108">
        <v>607.0</v>
      </c>
      <c r="D161" s="112">
        <v>43896.0</v>
      </c>
      <c r="E161" s="108" t="s">
        <v>361</v>
      </c>
      <c r="F161" s="110">
        <v>-60.1</v>
      </c>
      <c r="G161" s="110">
        <v>0.0</v>
      </c>
    </row>
    <row r="162">
      <c r="A162" s="108" t="s">
        <v>53</v>
      </c>
      <c r="B162" s="108">
        <v>573.0</v>
      </c>
      <c r="C162" s="108">
        <v>607.0</v>
      </c>
      <c r="D162" s="112">
        <v>43896.0</v>
      </c>
      <c r="E162" s="108" t="s">
        <v>362</v>
      </c>
      <c r="F162" s="110">
        <v>-52.0</v>
      </c>
      <c r="G162" s="110">
        <v>0.0</v>
      </c>
    </row>
    <row r="163">
      <c r="A163" s="108" t="s">
        <v>58</v>
      </c>
      <c r="B163" s="108">
        <v>573.0</v>
      </c>
      <c r="C163" s="108">
        <v>607.0</v>
      </c>
      <c r="D163" s="112">
        <v>43896.0</v>
      </c>
      <c r="E163" s="108" t="s">
        <v>363</v>
      </c>
      <c r="F163" s="110">
        <v>-224.14</v>
      </c>
      <c r="G163" s="110">
        <v>0.0</v>
      </c>
    </row>
    <row r="164">
      <c r="A164" s="108" t="s">
        <v>52</v>
      </c>
      <c r="B164" s="108">
        <v>573.0</v>
      </c>
      <c r="C164" s="108">
        <v>607.0</v>
      </c>
      <c r="D164" s="112">
        <v>43896.0</v>
      </c>
      <c r="E164" s="108" t="s">
        <v>364</v>
      </c>
      <c r="F164" s="110">
        <v>-175.82</v>
      </c>
      <c r="G164" s="110">
        <v>0.0</v>
      </c>
    </row>
    <row r="165">
      <c r="A165" s="108" t="s">
        <v>58</v>
      </c>
      <c r="B165" s="108">
        <v>573.0</v>
      </c>
      <c r="C165" s="108">
        <v>607.0</v>
      </c>
      <c r="D165" s="112">
        <v>43896.0</v>
      </c>
      <c r="E165" s="108" t="s">
        <v>365</v>
      </c>
      <c r="F165" s="110">
        <v>-138.38</v>
      </c>
      <c r="G165" s="110">
        <v>0.0</v>
      </c>
    </row>
    <row r="166">
      <c r="A166" s="108" t="s">
        <v>52</v>
      </c>
      <c r="B166" s="108">
        <v>573.0</v>
      </c>
      <c r="C166" s="108">
        <v>607.0</v>
      </c>
      <c r="D166" s="112">
        <v>43896.0</v>
      </c>
      <c r="E166" s="108" t="s">
        <v>366</v>
      </c>
      <c r="F166" s="110">
        <v>-69.62</v>
      </c>
      <c r="G166" s="110">
        <v>0.0</v>
      </c>
    </row>
    <row r="167">
      <c r="A167" s="108" t="s">
        <v>53</v>
      </c>
      <c r="B167" s="108">
        <v>573.0</v>
      </c>
      <c r="C167" s="108">
        <v>601.0</v>
      </c>
      <c r="D167" s="112">
        <v>43896.0</v>
      </c>
      <c r="E167" s="108" t="s">
        <v>367</v>
      </c>
      <c r="F167" s="110">
        <v>-7121.65</v>
      </c>
      <c r="G167" s="110">
        <v>0.0</v>
      </c>
    </row>
    <row r="168">
      <c r="A168" s="108" t="s">
        <v>35</v>
      </c>
      <c r="B168" s="108">
        <v>552.0</v>
      </c>
      <c r="C168" s="108">
        <v>601.0</v>
      </c>
      <c r="D168" s="112">
        <v>43896.0</v>
      </c>
      <c r="E168" s="108" t="s">
        <v>368</v>
      </c>
      <c r="F168" s="110">
        <v>-6153.35</v>
      </c>
      <c r="G168" s="110">
        <v>0.0</v>
      </c>
    </row>
    <row r="169">
      <c r="A169" s="108" t="s">
        <v>52</v>
      </c>
      <c r="B169" s="108">
        <v>573.0</v>
      </c>
      <c r="C169" s="108">
        <v>601.0</v>
      </c>
      <c r="D169" s="112">
        <v>43896.0</v>
      </c>
      <c r="E169" s="108" t="s">
        <v>369</v>
      </c>
      <c r="F169" s="110">
        <v>-2311.6</v>
      </c>
      <c r="G169" s="110">
        <v>0.0</v>
      </c>
    </row>
    <row r="170">
      <c r="A170" s="108" t="s">
        <v>58</v>
      </c>
      <c r="B170" s="108">
        <v>573.0</v>
      </c>
      <c r="C170" s="108">
        <v>601.0</v>
      </c>
      <c r="D170" s="112">
        <v>43896.0</v>
      </c>
      <c r="E170" s="108" t="s">
        <v>370</v>
      </c>
      <c r="F170" s="110">
        <v>-1730.77</v>
      </c>
      <c r="G170" s="110">
        <v>0.0</v>
      </c>
    </row>
    <row r="171">
      <c r="A171" s="108" t="s">
        <v>58</v>
      </c>
      <c r="B171" s="108">
        <v>573.0</v>
      </c>
      <c r="C171" s="108">
        <v>601.0</v>
      </c>
      <c r="D171" s="112">
        <v>43896.0</v>
      </c>
      <c r="E171" s="108" t="s">
        <v>371</v>
      </c>
      <c r="F171" s="110">
        <v>-1199.04</v>
      </c>
      <c r="G171" s="110">
        <v>0.0</v>
      </c>
    </row>
    <row r="172">
      <c r="A172" s="108" t="s">
        <v>58</v>
      </c>
      <c r="B172" s="108">
        <v>573.0</v>
      </c>
      <c r="C172" s="108">
        <v>680.0</v>
      </c>
      <c r="D172" s="112">
        <v>43903.0</v>
      </c>
      <c r="E172" s="108" t="s">
        <v>372</v>
      </c>
      <c r="F172" s="110">
        <v>-466.4</v>
      </c>
      <c r="G172" s="110">
        <v>0.0</v>
      </c>
    </row>
    <row r="173">
      <c r="A173" s="108" t="s">
        <v>52</v>
      </c>
      <c r="B173" s="108">
        <v>573.0</v>
      </c>
      <c r="C173" s="108">
        <v>606.0</v>
      </c>
      <c r="D173" s="112">
        <v>43903.0</v>
      </c>
      <c r="E173" s="111">
        <v>2716949.0</v>
      </c>
      <c r="F173" s="110">
        <v>-92.46</v>
      </c>
      <c r="G173" s="110">
        <v>0.0</v>
      </c>
    </row>
    <row r="174">
      <c r="A174" s="108" t="s">
        <v>58</v>
      </c>
      <c r="B174" s="108">
        <v>573.0</v>
      </c>
      <c r="C174" s="108">
        <v>606.0</v>
      </c>
      <c r="D174" s="112">
        <v>43903.0</v>
      </c>
      <c r="E174" s="111">
        <v>2716980.0</v>
      </c>
      <c r="F174" s="110">
        <v>-79.38</v>
      </c>
      <c r="G174" s="110">
        <v>0.0</v>
      </c>
    </row>
    <row r="175">
      <c r="A175" s="108" t="s">
        <v>35</v>
      </c>
      <c r="B175" s="108">
        <v>552.0</v>
      </c>
      <c r="C175" s="108">
        <v>606.0</v>
      </c>
      <c r="D175" s="112">
        <v>43903.0</v>
      </c>
      <c r="E175" s="111">
        <v>2716888.0</v>
      </c>
      <c r="F175" s="110">
        <v>-246.13</v>
      </c>
      <c r="G175" s="110">
        <v>0.0</v>
      </c>
    </row>
    <row r="176">
      <c r="A176" s="108" t="s">
        <v>53</v>
      </c>
      <c r="B176" s="108">
        <v>573.0</v>
      </c>
      <c r="C176" s="108">
        <v>606.0</v>
      </c>
      <c r="D176" s="112">
        <v>43903.0</v>
      </c>
      <c r="E176" s="111">
        <v>2716919.0</v>
      </c>
      <c r="F176" s="110">
        <v>-312.18</v>
      </c>
      <c r="G176" s="110">
        <v>0.0</v>
      </c>
    </row>
    <row r="177">
      <c r="A177" s="108" t="s">
        <v>35</v>
      </c>
      <c r="B177" s="108">
        <v>552.0</v>
      </c>
      <c r="C177" s="108">
        <v>601.0</v>
      </c>
      <c r="D177" s="112">
        <v>43910.0</v>
      </c>
      <c r="E177" s="108" t="s">
        <v>373</v>
      </c>
      <c r="F177" s="110">
        <v>-1538.46</v>
      </c>
      <c r="G177" s="110">
        <v>0.0</v>
      </c>
    </row>
    <row r="178">
      <c r="A178" s="108" t="s">
        <v>53</v>
      </c>
      <c r="B178" s="108">
        <v>573.0</v>
      </c>
      <c r="C178" s="108">
        <v>601.0</v>
      </c>
      <c r="D178" s="112">
        <v>43910.0</v>
      </c>
      <c r="E178" s="108" t="s">
        <v>374</v>
      </c>
      <c r="F178" s="110">
        <v>-1730.77</v>
      </c>
      <c r="G178" s="110">
        <v>0.0</v>
      </c>
    </row>
    <row r="179">
      <c r="A179" s="108" t="s">
        <v>52</v>
      </c>
      <c r="B179" s="108">
        <v>573.0</v>
      </c>
      <c r="C179" s="108">
        <v>601.0</v>
      </c>
      <c r="D179" s="112">
        <v>43910.0</v>
      </c>
      <c r="E179" s="108" t="s">
        <v>375</v>
      </c>
      <c r="F179" s="110">
        <v>-1443.4</v>
      </c>
      <c r="G179" s="110">
        <v>0.0</v>
      </c>
    </row>
    <row r="180">
      <c r="A180" s="108" t="s">
        <v>58</v>
      </c>
      <c r="B180" s="108">
        <v>573.0</v>
      </c>
      <c r="C180" s="108">
        <v>601.0</v>
      </c>
      <c r="D180" s="112">
        <v>43910.0</v>
      </c>
      <c r="E180" s="108" t="s">
        <v>376</v>
      </c>
      <c r="F180" s="110">
        <v>-1644.23</v>
      </c>
      <c r="G180" s="110">
        <v>0.0</v>
      </c>
    </row>
    <row r="181">
      <c r="A181" s="108" t="s">
        <v>58</v>
      </c>
      <c r="B181" s="108">
        <v>573.0</v>
      </c>
      <c r="C181" s="108">
        <v>601.0</v>
      </c>
      <c r="D181" s="112">
        <v>43910.0</v>
      </c>
      <c r="E181" s="108" t="s">
        <v>377</v>
      </c>
      <c r="F181" s="110">
        <v>-1385.09</v>
      </c>
      <c r="G181" s="110">
        <v>0.0</v>
      </c>
    </row>
    <row r="182">
      <c r="A182" s="108" t="s">
        <v>35</v>
      </c>
      <c r="B182" s="108">
        <v>552.0</v>
      </c>
      <c r="C182" s="108">
        <v>607.0</v>
      </c>
      <c r="D182" s="112">
        <v>43910.0</v>
      </c>
      <c r="E182" s="108" t="s">
        <v>378</v>
      </c>
      <c r="F182" s="110">
        <v>-114.92</v>
      </c>
      <c r="G182" s="110">
        <v>0.0</v>
      </c>
    </row>
    <row r="183">
      <c r="A183" s="108" t="s">
        <v>53</v>
      </c>
      <c r="B183" s="108">
        <v>573.0</v>
      </c>
      <c r="C183" s="108">
        <v>607.0</v>
      </c>
      <c r="D183" s="112">
        <v>43910.0</v>
      </c>
      <c r="E183" s="108" t="s">
        <v>379</v>
      </c>
      <c r="F183" s="110">
        <v>-189.49</v>
      </c>
      <c r="G183" s="110">
        <v>0.0</v>
      </c>
    </row>
    <row r="184">
      <c r="A184" s="108" t="s">
        <v>58</v>
      </c>
      <c r="B184" s="108">
        <v>573.0</v>
      </c>
      <c r="C184" s="108">
        <v>607.0</v>
      </c>
      <c r="D184" s="112">
        <v>43910.0</v>
      </c>
      <c r="E184" s="108" t="s">
        <v>380</v>
      </c>
      <c r="F184" s="110">
        <v>-231.75</v>
      </c>
      <c r="G184" s="110">
        <v>0.0</v>
      </c>
    </row>
    <row r="185">
      <c r="A185" s="108" t="s">
        <v>52</v>
      </c>
      <c r="B185" s="108">
        <v>573.0</v>
      </c>
      <c r="C185" s="108">
        <v>607.0</v>
      </c>
      <c r="D185" s="112">
        <v>43910.0</v>
      </c>
      <c r="E185" s="108" t="s">
        <v>381</v>
      </c>
      <c r="F185" s="110">
        <v>-109.71</v>
      </c>
      <c r="G185" s="110">
        <v>0.0</v>
      </c>
    </row>
    <row r="186">
      <c r="A186" s="108" t="s">
        <v>58</v>
      </c>
      <c r="B186" s="108">
        <v>573.0</v>
      </c>
      <c r="C186" s="108">
        <v>607.0</v>
      </c>
      <c r="D186" s="112">
        <v>43910.0</v>
      </c>
      <c r="E186" s="108" t="s">
        <v>382</v>
      </c>
      <c r="F186" s="110">
        <v>-46.97</v>
      </c>
      <c r="G186" s="110">
        <v>0.0</v>
      </c>
    </row>
    <row r="187">
      <c r="A187" s="108" t="s">
        <v>53</v>
      </c>
      <c r="B187" s="108">
        <v>573.0</v>
      </c>
      <c r="C187" s="108">
        <v>642.0</v>
      </c>
      <c r="D187" s="112">
        <v>43916.0</v>
      </c>
      <c r="E187" s="108" t="s">
        <v>383</v>
      </c>
      <c r="F187" s="110">
        <v>-3171.74</v>
      </c>
      <c r="G187" s="110">
        <v>0.0</v>
      </c>
    </row>
    <row r="188">
      <c r="A188" s="108" t="s">
        <v>35</v>
      </c>
      <c r="B188" s="108">
        <v>552.0</v>
      </c>
      <c r="C188" s="108">
        <v>606.0</v>
      </c>
      <c r="D188" s="112">
        <v>43917.0</v>
      </c>
      <c r="E188" s="108" t="s">
        <v>384</v>
      </c>
      <c r="F188" s="110">
        <v>-153.85</v>
      </c>
      <c r="G188" s="110">
        <v>0.0</v>
      </c>
    </row>
    <row r="189">
      <c r="A189" s="108" t="s">
        <v>53</v>
      </c>
      <c r="B189" s="108">
        <v>573.0</v>
      </c>
      <c r="C189" s="108">
        <v>606.0</v>
      </c>
      <c r="D189" s="112">
        <v>43917.0</v>
      </c>
      <c r="E189" s="108" t="s">
        <v>385</v>
      </c>
      <c r="F189" s="110">
        <v>-153.85</v>
      </c>
      <c r="G189" s="110">
        <v>0.0</v>
      </c>
    </row>
    <row r="190">
      <c r="A190" s="108" t="s">
        <v>52</v>
      </c>
      <c r="B190" s="108">
        <v>573.0</v>
      </c>
      <c r="C190" s="108">
        <v>606.0</v>
      </c>
      <c r="D190" s="112">
        <v>43917.0</v>
      </c>
      <c r="E190" s="108" t="s">
        <v>386</v>
      </c>
      <c r="F190" s="110">
        <v>-82.48</v>
      </c>
      <c r="G190" s="110">
        <v>0.0</v>
      </c>
    </row>
    <row r="191">
      <c r="A191" s="108" t="s">
        <v>58</v>
      </c>
      <c r="B191" s="108">
        <v>573.0</v>
      </c>
      <c r="C191" s="108">
        <v>606.0</v>
      </c>
      <c r="D191" s="112">
        <v>43917.0</v>
      </c>
      <c r="E191" s="108" t="s">
        <v>387</v>
      </c>
      <c r="F191" s="110">
        <v>-79.38</v>
      </c>
      <c r="G191" s="110">
        <v>0.0</v>
      </c>
    </row>
    <row r="192">
      <c r="A192" s="108" t="s">
        <v>53</v>
      </c>
      <c r="B192" s="108">
        <v>573.0</v>
      </c>
      <c r="C192" s="108">
        <v>601.0</v>
      </c>
      <c r="D192" s="112">
        <v>43921.0</v>
      </c>
      <c r="E192" s="111">
        <v>2712748.0</v>
      </c>
      <c r="F192" s="110">
        <v>-1481.03</v>
      </c>
      <c r="G192" s="110">
        <v>0.0</v>
      </c>
    </row>
    <row r="193">
      <c r="A193" s="108" t="s">
        <v>58</v>
      </c>
      <c r="B193" s="108">
        <v>573.0</v>
      </c>
      <c r="C193" s="108">
        <v>607.0</v>
      </c>
      <c r="D193" s="112">
        <v>43921.0</v>
      </c>
      <c r="E193" s="108" t="s">
        <v>388</v>
      </c>
      <c r="F193" s="110">
        <v>-38.92</v>
      </c>
      <c r="G193" s="110">
        <v>0.0</v>
      </c>
    </row>
    <row r="194">
      <c r="A194" s="108" t="s">
        <v>52</v>
      </c>
      <c r="B194" s="108">
        <v>573.0</v>
      </c>
      <c r="C194" s="108">
        <v>607.0</v>
      </c>
      <c r="D194" s="112">
        <v>43921.0</v>
      </c>
      <c r="E194" s="108" t="s">
        <v>389</v>
      </c>
      <c r="F194" s="110">
        <v>-22.91</v>
      </c>
      <c r="G194" s="110">
        <v>0.0</v>
      </c>
    </row>
    <row r="195">
      <c r="A195" s="108" t="s">
        <v>53</v>
      </c>
      <c r="B195" s="108">
        <v>573.0</v>
      </c>
      <c r="C195" s="108">
        <v>607.0</v>
      </c>
      <c r="D195" s="112">
        <v>43921.0</v>
      </c>
      <c r="E195" s="108" t="s">
        <v>390</v>
      </c>
      <c r="F195" s="110">
        <v>-61.03</v>
      </c>
      <c r="G195" s="110">
        <v>0.0</v>
      </c>
    </row>
    <row r="196">
      <c r="A196" s="108" t="s">
        <v>35</v>
      </c>
      <c r="B196" s="108">
        <v>552.0</v>
      </c>
      <c r="C196" s="108">
        <v>607.0</v>
      </c>
      <c r="D196" s="112">
        <v>43921.0</v>
      </c>
      <c r="E196" s="111">
        <v>2721636.0</v>
      </c>
      <c r="F196" s="110">
        <v>-301.63</v>
      </c>
      <c r="G196" s="110">
        <v>0.0</v>
      </c>
    </row>
    <row r="197">
      <c r="A197" s="108" t="s">
        <v>52</v>
      </c>
      <c r="B197" s="108">
        <v>573.0</v>
      </c>
      <c r="C197" s="108">
        <v>697.0</v>
      </c>
      <c r="D197" s="112">
        <v>43921.0</v>
      </c>
      <c r="E197" s="111">
        <v>2723494.0</v>
      </c>
      <c r="F197" s="110">
        <v>-75.0</v>
      </c>
      <c r="G197" s="110">
        <v>0.0</v>
      </c>
    </row>
    <row r="198">
      <c r="A198" s="108" t="s">
        <v>57</v>
      </c>
      <c r="B198" s="108">
        <v>573.0</v>
      </c>
      <c r="C198" s="108">
        <v>680.0</v>
      </c>
      <c r="D198" s="112">
        <v>43922.0</v>
      </c>
      <c r="E198" s="111">
        <v>2717680.0</v>
      </c>
      <c r="F198" s="110">
        <v>0.0</v>
      </c>
      <c r="G198" s="110">
        <v>310.05</v>
      </c>
    </row>
    <row r="199">
      <c r="A199" s="108" t="s">
        <v>35</v>
      </c>
      <c r="B199" s="108">
        <v>552.0</v>
      </c>
      <c r="C199" s="108">
        <v>608.0</v>
      </c>
      <c r="D199" s="112">
        <v>43922.0</v>
      </c>
      <c r="E199" s="108" t="s">
        <v>391</v>
      </c>
      <c r="F199" s="110">
        <v>-6.04</v>
      </c>
      <c r="G199" s="110">
        <v>0.0</v>
      </c>
    </row>
    <row r="200">
      <c r="A200" s="108" t="s">
        <v>35</v>
      </c>
      <c r="B200" s="108">
        <v>552.0</v>
      </c>
      <c r="C200" s="108">
        <v>608.0</v>
      </c>
      <c r="D200" s="112">
        <v>43922.0</v>
      </c>
      <c r="E200" s="108" t="s">
        <v>392</v>
      </c>
      <c r="F200" s="110">
        <v>-8.85</v>
      </c>
      <c r="G200" s="110">
        <v>0.0</v>
      </c>
    </row>
    <row r="201">
      <c r="A201" s="108" t="s">
        <v>53</v>
      </c>
      <c r="B201" s="108">
        <v>573.0</v>
      </c>
      <c r="C201" s="108">
        <v>608.0</v>
      </c>
      <c r="D201" s="112">
        <v>43922.0</v>
      </c>
      <c r="E201" s="108" t="s">
        <v>393</v>
      </c>
      <c r="F201" s="110">
        <v>-5.76</v>
      </c>
      <c r="G201" s="110">
        <v>0.0</v>
      </c>
    </row>
    <row r="202">
      <c r="A202" s="108" t="s">
        <v>35</v>
      </c>
      <c r="B202" s="108">
        <v>552.0</v>
      </c>
      <c r="C202" s="108">
        <v>608.0</v>
      </c>
      <c r="D202" s="112">
        <v>43922.0</v>
      </c>
      <c r="E202" s="108" t="s">
        <v>394</v>
      </c>
      <c r="F202" s="110">
        <v>-20.06</v>
      </c>
      <c r="G202" s="110">
        <v>0.0</v>
      </c>
    </row>
    <row r="203">
      <c r="A203" s="108" t="s">
        <v>58</v>
      </c>
      <c r="B203" s="108">
        <v>573.0</v>
      </c>
      <c r="C203" s="108">
        <v>608.0</v>
      </c>
      <c r="D203" s="112">
        <v>43922.0</v>
      </c>
      <c r="E203" s="108" t="s">
        <v>395</v>
      </c>
      <c r="F203" s="110">
        <v>-8.85</v>
      </c>
      <c r="G203" s="110">
        <v>0.0</v>
      </c>
    </row>
    <row r="204">
      <c r="A204" s="108" t="s">
        <v>52</v>
      </c>
      <c r="B204" s="108">
        <v>573.0</v>
      </c>
      <c r="C204" s="108">
        <v>608.0</v>
      </c>
      <c r="D204" s="112">
        <v>43922.0</v>
      </c>
      <c r="E204" s="108" t="s">
        <v>396</v>
      </c>
      <c r="F204" s="110">
        <v>-8.85</v>
      </c>
      <c r="G204" s="110">
        <v>0.0</v>
      </c>
    </row>
    <row r="205">
      <c r="A205" s="108" t="s">
        <v>35</v>
      </c>
      <c r="B205" s="108">
        <v>552.0</v>
      </c>
      <c r="C205" s="108">
        <v>608.0</v>
      </c>
      <c r="D205" s="112">
        <v>43922.0</v>
      </c>
      <c r="E205" s="108" t="s">
        <v>397</v>
      </c>
      <c r="F205" s="110">
        <v>-478.3</v>
      </c>
      <c r="G205" s="110">
        <v>0.0</v>
      </c>
    </row>
    <row r="206">
      <c r="A206" s="108" t="s">
        <v>54</v>
      </c>
      <c r="B206" s="108">
        <v>573.0</v>
      </c>
      <c r="C206" s="108">
        <v>612.0</v>
      </c>
      <c r="D206" s="112">
        <v>43924.0</v>
      </c>
      <c r="E206" s="108" t="s">
        <v>398</v>
      </c>
      <c r="F206" s="110">
        <v>-2500.0</v>
      </c>
      <c r="G206" s="110">
        <v>0.0</v>
      </c>
    </row>
    <row r="207">
      <c r="A207" s="108" t="s">
        <v>53</v>
      </c>
      <c r="B207" s="108">
        <v>573.0</v>
      </c>
      <c r="C207" s="108">
        <v>601.0</v>
      </c>
      <c r="D207" s="112">
        <v>43924.0</v>
      </c>
      <c r="E207" s="108" t="s">
        <v>399</v>
      </c>
      <c r="F207" s="110">
        <v>-1682.7</v>
      </c>
      <c r="G207" s="110">
        <v>0.0</v>
      </c>
    </row>
    <row r="208">
      <c r="A208" s="108" t="s">
        <v>35</v>
      </c>
      <c r="B208" s="108">
        <v>552.0</v>
      </c>
      <c r="C208" s="108">
        <v>601.0</v>
      </c>
      <c r="D208" s="112">
        <v>43924.0</v>
      </c>
      <c r="E208" s="108" t="s">
        <v>400</v>
      </c>
      <c r="F208" s="110">
        <v>-3461.54</v>
      </c>
      <c r="G208" s="110">
        <v>0.0</v>
      </c>
    </row>
    <row r="209">
      <c r="A209" s="108" t="s">
        <v>52</v>
      </c>
      <c r="B209" s="108">
        <v>573.0</v>
      </c>
      <c r="C209" s="108">
        <v>601.0</v>
      </c>
      <c r="D209" s="112">
        <v>43924.0</v>
      </c>
      <c r="E209" s="108" t="s">
        <v>401</v>
      </c>
      <c r="F209" s="110">
        <v>-1649.6</v>
      </c>
      <c r="G209" s="110">
        <v>0.0</v>
      </c>
    </row>
    <row r="210">
      <c r="A210" s="108" t="s">
        <v>58</v>
      </c>
      <c r="B210" s="108">
        <v>573.0</v>
      </c>
      <c r="C210" s="108">
        <v>601.0</v>
      </c>
      <c r="D210" s="112">
        <v>43924.0</v>
      </c>
      <c r="E210" s="108" t="s">
        <v>402</v>
      </c>
      <c r="F210" s="110">
        <v>-1514.42</v>
      </c>
      <c r="G210" s="110">
        <v>0.0</v>
      </c>
    </row>
    <row r="211">
      <c r="A211" s="108" t="s">
        <v>58</v>
      </c>
      <c r="B211" s="108">
        <v>573.0</v>
      </c>
      <c r="C211" s="108">
        <v>601.0</v>
      </c>
      <c r="D211" s="112">
        <v>43924.0</v>
      </c>
      <c r="E211" s="108" t="s">
        <v>403</v>
      </c>
      <c r="F211" s="110">
        <v>-1984.62</v>
      </c>
      <c r="G211" s="110">
        <v>0.0</v>
      </c>
    </row>
    <row r="212">
      <c r="A212" s="108" t="s">
        <v>42</v>
      </c>
      <c r="B212" s="108">
        <v>552.0</v>
      </c>
      <c r="C212" s="108">
        <v>601.0</v>
      </c>
      <c r="D212" s="112">
        <v>43924.0</v>
      </c>
      <c r="E212" s="108" t="s">
        <v>404</v>
      </c>
      <c r="F212" s="110">
        <v>-78.12</v>
      </c>
      <c r="G212" s="110">
        <v>0.0</v>
      </c>
    </row>
    <row r="213">
      <c r="A213" s="108" t="s">
        <v>42</v>
      </c>
      <c r="B213" s="108">
        <v>552.0</v>
      </c>
      <c r="C213" s="108">
        <v>607.0</v>
      </c>
      <c r="D213" s="112">
        <v>43924.0</v>
      </c>
      <c r="E213" s="108" t="s">
        <v>405</v>
      </c>
      <c r="F213" s="110">
        <v>-5.62</v>
      </c>
      <c r="G213" s="110">
        <v>0.0</v>
      </c>
    </row>
    <row r="214">
      <c r="A214" s="108" t="s">
        <v>35</v>
      </c>
      <c r="B214" s="108">
        <v>552.0</v>
      </c>
      <c r="C214" s="108">
        <v>607.0</v>
      </c>
      <c r="D214" s="112">
        <v>43924.0</v>
      </c>
      <c r="E214" s="108" t="s">
        <v>406</v>
      </c>
      <c r="F214" s="110">
        <v>-258.42</v>
      </c>
      <c r="G214" s="110">
        <v>0.0</v>
      </c>
    </row>
    <row r="215">
      <c r="A215" s="108" t="s">
        <v>53</v>
      </c>
      <c r="B215" s="108">
        <v>573.0</v>
      </c>
      <c r="C215" s="108">
        <v>607.0</v>
      </c>
      <c r="D215" s="112">
        <v>43924.0</v>
      </c>
      <c r="E215" s="108" t="s">
        <v>407</v>
      </c>
      <c r="F215" s="110">
        <v>-127.54</v>
      </c>
      <c r="G215" s="110">
        <v>0.0</v>
      </c>
    </row>
    <row r="216">
      <c r="A216" s="108" t="s">
        <v>53</v>
      </c>
      <c r="B216" s="108">
        <v>573.0</v>
      </c>
      <c r="C216" s="108">
        <v>607.0</v>
      </c>
      <c r="D216" s="112">
        <v>43924.0</v>
      </c>
      <c r="E216" s="108" t="s">
        <v>408</v>
      </c>
      <c r="F216" s="110">
        <v>-105.68</v>
      </c>
      <c r="G216" s="110">
        <v>0.0</v>
      </c>
    </row>
    <row r="217">
      <c r="A217" s="108" t="s">
        <v>58</v>
      </c>
      <c r="B217" s="108">
        <v>573.0</v>
      </c>
      <c r="C217" s="108">
        <v>607.0</v>
      </c>
      <c r="D217" s="112">
        <v>43924.0</v>
      </c>
      <c r="E217" s="108" t="s">
        <v>409</v>
      </c>
      <c r="F217" s="110">
        <v>-267.69</v>
      </c>
      <c r="G217" s="110">
        <v>0.0</v>
      </c>
    </row>
    <row r="218">
      <c r="A218" s="108" t="s">
        <v>52</v>
      </c>
      <c r="B218" s="108">
        <v>573.0</v>
      </c>
      <c r="C218" s="108">
        <v>607.0</v>
      </c>
      <c r="D218" s="112">
        <v>43924.0</v>
      </c>
      <c r="E218" s="108" t="s">
        <v>410</v>
      </c>
      <c r="F218" s="110">
        <v>-125.26</v>
      </c>
      <c r="G218" s="110">
        <v>0.0</v>
      </c>
    </row>
    <row r="219">
      <c r="A219" s="108" t="s">
        <v>42</v>
      </c>
      <c r="B219" s="108">
        <v>552.0</v>
      </c>
      <c r="C219" s="108">
        <v>607.0</v>
      </c>
      <c r="D219" s="112">
        <v>43924.0</v>
      </c>
      <c r="E219" s="108" t="s">
        <v>411</v>
      </c>
      <c r="F219" s="110">
        <v>-1.43</v>
      </c>
      <c r="G219" s="110">
        <v>0.0</v>
      </c>
    </row>
    <row r="220">
      <c r="A220" s="108" t="s">
        <v>53</v>
      </c>
      <c r="B220" s="108">
        <v>573.0</v>
      </c>
      <c r="C220" s="108">
        <v>606.0</v>
      </c>
      <c r="D220" s="112">
        <v>43931.0</v>
      </c>
      <c r="E220" s="111">
        <v>2724619.0</v>
      </c>
      <c r="F220" s="110">
        <v>-153.85</v>
      </c>
      <c r="G220" s="110">
        <v>0.0</v>
      </c>
    </row>
    <row r="221">
      <c r="A221" s="108" t="s">
        <v>52</v>
      </c>
      <c r="B221" s="108">
        <v>573.0</v>
      </c>
      <c r="C221" s="108">
        <v>606.0</v>
      </c>
      <c r="D221" s="112">
        <v>43931.0</v>
      </c>
      <c r="E221" s="111">
        <v>2724650.0</v>
      </c>
      <c r="F221" s="110">
        <v>-82.48</v>
      </c>
      <c r="G221" s="110">
        <v>0.0</v>
      </c>
    </row>
    <row r="222">
      <c r="A222" s="108" t="s">
        <v>58</v>
      </c>
      <c r="B222" s="108">
        <v>573.0</v>
      </c>
      <c r="C222" s="108">
        <v>606.0</v>
      </c>
      <c r="D222" s="112">
        <v>43931.0</v>
      </c>
      <c r="E222" s="111">
        <v>2724680.0</v>
      </c>
      <c r="F222" s="110">
        <v>-79.38</v>
      </c>
      <c r="G222" s="110">
        <v>0.0</v>
      </c>
    </row>
    <row r="223">
      <c r="A223" s="108" t="s">
        <v>35</v>
      </c>
      <c r="B223" s="108">
        <v>552.0</v>
      </c>
      <c r="C223" s="108">
        <v>606.0</v>
      </c>
      <c r="D223" s="112">
        <v>43931.0</v>
      </c>
      <c r="E223" s="111">
        <v>2724589.0</v>
      </c>
      <c r="F223" s="110">
        <v>-153.85</v>
      </c>
      <c r="G223" s="110">
        <v>0.0</v>
      </c>
    </row>
    <row r="224">
      <c r="A224" s="108" t="s">
        <v>35</v>
      </c>
      <c r="B224" s="108">
        <v>552.0</v>
      </c>
      <c r="C224" s="108">
        <v>601.0</v>
      </c>
      <c r="D224" s="112">
        <v>43936.0</v>
      </c>
      <c r="E224" s="111">
        <v>2729884.0</v>
      </c>
      <c r="F224" s="110">
        <v>0.0</v>
      </c>
      <c r="G224" s="110">
        <v>1082.0</v>
      </c>
    </row>
    <row r="225">
      <c r="A225" s="108" t="s">
        <v>35</v>
      </c>
      <c r="B225" s="108">
        <v>552.0</v>
      </c>
      <c r="C225" s="108">
        <v>608.0</v>
      </c>
      <c r="D225" s="112">
        <v>43936.0</v>
      </c>
      <c r="E225" s="111">
        <v>2729915.0</v>
      </c>
      <c r="F225" s="110">
        <v>0.0</v>
      </c>
      <c r="G225" s="110">
        <v>448.85</v>
      </c>
    </row>
    <row r="226">
      <c r="A226" s="108" t="s">
        <v>35</v>
      </c>
      <c r="B226" s="108">
        <v>552.0</v>
      </c>
      <c r="C226" s="108">
        <v>601.0</v>
      </c>
      <c r="D226" s="112">
        <v>43938.0</v>
      </c>
      <c r="E226" s="108" t="s">
        <v>412</v>
      </c>
      <c r="F226" s="110">
        <v>-3653.84</v>
      </c>
      <c r="G226" s="110">
        <v>0.0</v>
      </c>
    </row>
    <row r="227">
      <c r="A227" s="108" t="s">
        <v>53</v>
      </c>
      <c r="B227" s="108">
        <v>573.0</v>
      </c>
      <c r="C227" s="108">
        <v>601.0</v>
      </c>
      <c r="D227" s="112">
        <v>43938.0</v>
      </c>
      <c r="E227" s="108" t="s">
        <v>413</v>
      </c>
      <c r="F227" s="110">
        <v>-3076.92</v>
      </c>
      <c r="G227" s="110">
        <v>0.0</v>
      </c>
    </row>
    <row r="228">
      <c r="A228" s="108" t="s">
        <v>52</v>
      </c>
      <c r="B228" s="108">
        <v>573.0</v>
      </c>
      <c r="C228" s="108">
        <v>601.0</v>
      </c>
      <c r="D228" s="112">
        <v>43938.0</v>
      </c>
      <c r="E228" s="108" t="s">
        <v>414</v>
      </c>
      <c r="F228" s="110">
        <v>-1649.6</v>
      </c>
      <c r="G228" s="110">
        <v>0.0</v>
      </c>
    </row>
    <row r="229">
      <c r="A229" s="108" t="s">
        <v>58</v>
      </c>
      <c r="B229" s="108">
        <v>573.0</v>
      </c>
      <c r="C229" s="108">
        <v>601.0</v>
      </c>
      <c r="D229" s="112">
        <v>43938.0</v>
      </c>
      <c r="E229" s="108" t="s">
        <v>415</v>
      </c>
      <c r="F229" s="110">
        <v>-1730.77</v>
      </c>
      <c r="G229" s="110">
        <v>0.0</v>
      </c>
    </row>
    <row r="230">
      <c r="A230" s="108" t="s">
        <v>42</v>
      </c>
      <c r="B230" s="108">
        <v>551.0</v>
      </c>
      <c r="C230" s="108">
        <v>601.0</v>
      </c>
      <c r="D230" s="112">
        <v>43938.0</v>
      </c>
      <c r="E230" s="108" t="s">
        <v>416</v>
      </c>
      <c r="F230" s="110">
        <v>-114.0</v>
      </c>
      <c r="G230" s="110">
        <v>0.0</v>
      </c>
    </row>
    <row r="231">
      <c r="A231" s="108" t="s">
        <v>58</v>
      </c>
      <c r="B231" s="108">
        <v>573.0</v>
      </c>
      <c r="C231" s="108">
        <v>601.0</v>
      </c>
      <c r="D231" s="112">
        <v>43938.0</v>
      </c>
      <c r="E231" s="108" t="s">
        <v>417</v>
      </c>
      <c r="F231" s="110">
        <v>-1943.26</v>
      </c>
      <c r="G231" s="110">
        <v>0.0</v>
      </c>
    </row>
    <row r="232">
      <c r="A232" s="108" t="s">
        <v>42</v>
      </c>
      <c r="B232" s="108">
        <v>552.0</v>
      </c>
      <c r="C232" s="108">
        <v>601.0</v>
      </c>
      <c r="D232" s="112">
        <v>43938.0</v>
      </c>
      <c r="E232" s="108" t="s">
        <v>418</v>
      </c>
      <c r="F232" s="110">
        <v>-79.31</v>
      </c>
      <c r="G232" s="110">
        <v>0.0</v>
      </c>
    </row>
    <row r="233">
      <c r="A233" s="108" t="s">
        <v>42</v>
      </c>
      <c r="B233" s="108">
        <v>551.0</v>
      </c>
      <c r="C233" s="108">
        <v>607.0</v>
      </c>
      <c r="D233" s="112">
        <v>43938.0</v>
      </c>
      <c r="E233" s="108" t="s">
        <v>419</v>
      </c>
      <c r="F233" s="110">
        <v>-8.15</v>
      </c>
      <c r="G233" s="110">
        <v>0.0</v>
      </c>
    </row>
    <row r="234">
      <c r="A234" s="108" t="s">
        <v>42</v>
      </c>
      <c r="B234" s="108">
        <v>552.0</v>
      </c>
      <c r="C234" s="108">
        <v>607.0</v>
      </c>
      <c r="D234" s="112">
        <v>43938.0</v>
      </c>
      <c r="E234" s="108" t="s">
        <v>420</v>
      </c>
      <c r="F234" s="110">
        <v>-5.71</v>
      </c>
      <c r="G234" s="110">
        <v>0.0</v>
      </c>
    </row>
    <row r="235">
      <c r="A235" s="108" t="s">
        <v>35</v>
      </c>
      <c r="B235" s="108">
        <v>552.0</v>
      </c>
      <c r="C235" s="108">
        <v>607.0</v>
      </c>
      <c r="D235" s="112">
        <v>43938.0</v>
      </c>
      <c r="E235" s="108" t="s">
        <v>421</v>
      </c>
      <c r="F235" s="110">
        <v>-272.77</v>
      </c>
      <c r="G235" s="110">
        <v>0.0</v>
      </c>
    </row>
    <row r="236">
      <c r="A236" s="108" t="s">
        <v>53</v>
      </c>
      <c r="B236" s="108">
        <v>573.0</v>
      </c>
      <c r="C236" s="108">
        <v>607.0</v>
      </c>
      <c r="D236" s="112">
        <v>43938.0</v>
      </c>
      <c r="E236" s="108" t="s">
        <v>422</v>
      </c>
      <c r="F236" s="110">
        <v>-233.22</v>
      </c>
      <c r="G236" s="110">
        <v>0.0</v>
      </c>
    </row>
    <row r="237">
      <c r="A237" s="108" t="s">
        <v>58</v>
      </c>
      <c r="B237" s="108">
        <v>573.0</v>
      </c>
      <c r="C237" s="108">
        <v>607.0</v>
      </c>
      <c r="D237" s="112">
        <v>43938.0</v>
      </c>
      <c r="E237" s="108" t="s">
        <v>423</v>
      </c>
      <c r="F237" s="110">
        <v>-281.08</v>
      </c>
      <c r="G237" s="110">
        <v>0.0</v>
      </c>
    </row>
    <row r="238">
      <c r="A238" s="108" t="s">
        <v>52</v>
      </c>
      <c r="B238" s="108">
        <v>573.0</v>
      </c>
      <c r="C238" s="108">
        <v>607.0</v>
      </c>
      <c r="D238" s="112">
        <v>43938.0</v>
      </c>
      <c r="E238" s="108" t="s">
        <v>424</v>
      </c>
      <c r="F238" s="110">
        <v>-125.29</v>
      </c>
      <c r="G238" s="110">
        <v>0.0</v>
      </c>
    </row>
    <row r="239">
      <c r="A239" s="108" t="s">
        <v>53</v>
      </c>
      <c r="B239" s="108">
        <v>573.0</v>
      </c>
      <c r="C239" s="108">
        <v>601.0</v>
      </c>
      <c r="D239" s="112">
        <v>43938.0</v>
      </c>
      <c r="E239" s="111">
        <v>2730952.0</v>
      </c>
      <c r="F239" s="110">
        <v>-1102.73</v>
      </c>
      <c r="G239" s="110">
        <v>0.0</v>
      </c>
    </row>
    <row r="240">
      <c r="A240" s="108" t="s">
        <v>35</v>
      </c>
      <c r="B240" s="108">
        <v>552.0</v>
      </c>
      <c r="C240" s="108">
        <v>606.0</v>
      </c>
      <c r="D240" s="112">
        <v>43945.0</v>
      </c>
      <c r="E240" s="108" t="s">
        <v>425</v>
      </c>
      <c r="F240" s="110">
        <v>-153.85</v>
      </c>
      <c r="G240" s="110">
        <v>0.0</v>
      </c>
    </row>
    <row r="241">
      <c r="A241" s="108" t="s">
        <v>53</v>
      </c>
      <c r="B241" s="108">
        <v>573.0</v>
      </c>
      <c r="C241" s="108">
        <v>606.0</v>
      </c>
      <c r="D241" s="112">
        <v>43945.0</v>
      </c>
      <c r="E241" s="108" t="s">
        <v>426</v>
      </c>
      <c r="F241" s="110">
        <v>-153.85</v>
      </c>
      <c r="G241" s="110">
        <v>0.0</v>
      </c>
    </row>
    <row r="242">
      <c r="A242" s="108" t="s">
        <v>52</v>
      </c>
      <c r="B242" s="108">
        <v>573.0</v>
      </c>
      <c r="C242" s="108">
        <v>606.0</v>
      </c>
      <c r="D242" s="112">
        <v>43945.0</v>
      </c>
      <c r="E242" s="108" t="s">
        <v>427</v>
      </c>
      <c r="F242" s="110">
        <v>-82.48</v>
      </c>
      <c r="G242" s="110">
        <v>0.0</v>
      </c>
    </row>
    <row r="243">
      <c r="A243" s="108" t="s">
        <v>58</v>
      </c>
      <c r="B243" s="108">
        <v>573.0</v>
      </c>
      <c r="C243" s="108">
        <v>606.0</v>
      </c>
      <c r="D243" s="112">
        <v>43945.0</v>
      </c>
      <c r="E243" s="108" t="s">
        <v>428</v>
      </c>
      <c r="F243" s="110">
        <v>-79.38</v>
      </c>
      <c r="G243" s="110">
        <v>0.0</v>
      </c>
    </row>
    <row r="244">
      <c r="A244" s="108" t="s">
        <v>57</v>
      </c>
      <c r="B244" s="108">
        <v>572.0</v>
      </c>
      <c r="C244" s="108">
        <v>643.0</v>
      </c>
      <c r="D244" s="112">
        <v>43948.0</v>
      </c>
      <c r="E244" s="108" t="s">
        <v>429</v>
      </c>
      <c r="F244" s="110">
        <v>-539.87</v>
      </c>
      <c r="G244" s="110">
        <v>0.0</v>
      </c>
    </row>
    <row r="245">
      <c r="A245" s="108" t="s">
        <v>57</v>
      </c>
      <c r="B245" s="108">
        <v>572.0</v>
      </c>
      <c r="C245" s="108">
        <v>643.0</v>
      </c>
      <c r="D245" s="112">
        <v>43948.0</v>
      </c>
      <c r="E245" s="108" t="s">
        <v>430</v>
      </c>
      <c r="F245" s="110">
        <v>-15.12</v>
      </c>
      <c r="G245" s="110">
        <v>0.0</v>
      </c>
    </row>
    <row r="246">
      <c r="A246" s="108" t="s">
        <v>57</v>
      </c>
      <c r="B246" s="108">
        <v>572.0</v>
      </c>
      <c r="C246" s="108">
        <v>642.0</v>
      </c>
      <c r="D246" s="112">
        <v>43948.0</v>
      </c>
      <c r="E246" s="108" t="s">
        <v>431</v>
      </c>
      <c r="F246" s="110">
        <v>-56.92</v>
      </c>
      <c r="G246" s="110">
        <v>0.0</v>
      </c>
    </row>
    <row r="247">
      <c r="A247" s="108" t="s">
        <v>35</v>
      </c>
      <c r="B247" s="108">
        <v>552.0</v>
      </c>
      <c r="C247" s="108">
        <v>607.0</v>
      </c>
      <c r="D247" s="112">
        <v>43951.0</v>
      </c>
      <c r="E247" s="111">
        <v>2727907.0</v>
      </c>
      <c r="F247" s="110">
        <v>-279.02</v>
      </c>
      <c r="G247" s="110">
        <v>0.0</v>
      </c>
    </row>
    <row r="248">
      <c r="A248" s="108" t="s">
        <v>58</v>
      </c>
      <c r="B248" s="108">
        <v>573.0</v>
      </c>
      <c r="C248" s="108">
        <v>607.0</v>
      </c>
      <c r="D248" s="112">
        <v>43951.0</v>
      </c>
      <c r="E248" s="108" t="s">
        <v>432</v>
      </c>
      <c r="F248" s="110">
        <v>-38.92</v>
      </c>
      <c r="G248" s="110">
        <v>0.0</v>
      </c>
    </row>
    <row r="249">
      <c r="A249" s="108" t="s">
        <v>52</v>
      </c>
      <c r="B249" s="108">
        <v>573.0</v>
      </c>
      <c r="C249" s="108">
        <v>607.0</v>
      </c>
      <c r="D249" s="112">
        <v>43951.0</v>
      </c>
      <c r="E249" s="108" t="s">
        <v>433</v>
      </c>
      <c r="F249" s="110">
        <v>-21.6</v>
      </c>
      <c r="G249" s="110">
        <v>0.0</v>
      </c>
    </row>
    <row r="250">
      <c r="A250" s="108" t="s">
        <v>53</v>
      </c>
      <c r="B250" s="108">
        <v>573.0</v>
      </c>
      <c r="C250" s="108">
        <v>607.0</v>
      </c>
      <c r="D250" s="112">
        <v>43951.0</v>
      </c>
      <c r="E250" s="108" t="s">
        <v>434</v>
      </c>
      <c r="F250" s="110">
        <v>-40.29</v>
      </c>
      <c r="G250" s="110">
        <v>0.0</v>
      </c>
    </row>
    <row r="251">
      <c r="A251" s="108" t="s">
        <v>42</v>
      </c>
      <c r="B251" s="108">
        <v>551.0</v>
      </c>
      <c r="C251" s="108">
        <v>607.0</v>
      </c>
      <c r="D251" s="112">
        <v>43951.0</v>
      </c>
      <c r="E251" s="111">
        <v>2727693.0</v>
      </c>
      <c r="F251" s="110">
        <v>-0.6</v>
      </c>
      <c r="G251" s="110">
        <v>0.0</v>
      </c>
    </row>
    <row r="252">
      <c r="A252" s="108" t="s">
        <v>42</v>
      </c>
      <c r="B252" s="108">
        <v>552.0</v>
      </c>
      <c r="C252" s="108">
        <v>607.0</v>
      </c>
      <c r="D252" s="112">
        <v>43951.0</v>
      </c>
      <c r="E252" s="111">
        <v>2727785.0</v>
      </c>
      <c r="F252" s="110">
        <v>-6.17</v>
      </c>
      <c r="G252" s="110">
        <v>0.0</v>
      </c>
    </row>
    <row r="253">
      <c r="A253" s="108" t="s">
        <v>52</v>
      </c>
      <c r="B253" s="108">
        <v>573.0</v>
      </c>
      <c r="C253" s="108">
        <v>601.0</v>
      </c>
      <c r="D253" s="112">
        <v>43952.0</v>
      </c>
      <c r="E253" s="108" t="s">
        <v>435</v>
      </c>
      <c r="F253" s="110">
        <v>-2062.0</v>
      </c>
      <c r="G253" s="110">
        <v>0.0</v>
      </c>
    </row>
    <row r="254">
      <c r="A254" s="108" t="s">
        <v>53</v>
      </c>
      <c r="B254" s="108">
        <v>573.0</v>
      </c>
      <c r="C254" s="108">
        <v>601.0</v>
      </c>
      <c r="D254" s="112">
        <v>43952.0</v>
      </c>
      <c r="E254" s="108" t="s">
        <v>436</v>
      </c>
      <c r="F254" s="110">
        <v>-3269.24</v>
      </c>
      <c r="G254" s="110">
        <v>0.0</v>
      </c>
    </row>
    <row r="255">
      <c r="A255" s="108" t="s">
        <v>58</v>
      </c>
      <c r="B255" s="108">
        <v>573.0</v>
      </c>
      <c r="C255" s="108">
        <v>601.0</v>
      </c>
      <c r="D255" s="112">
        <v>43952.0</v>
      </c>
      <c r="E255" s="108" t="s">
        <v>437</v>
      </c>
      <c r="F255" s="110">
        <v>-1730.77</v>
      </c>
      <c r="G255" s="110">
        <v>0.0</v>
      </c>
    </row>
    <row r="256">
      <c r="A256" s="108" t="s">
        <v>42</v>
      </c>
      <c r="B256" s="108">
        <v>551.0</v>
      </c>
      <c r="C256" s="108">
        <v>601.0</v>
      </c>
      <c r="D256" s="112">
        <v>43952.0</v>
      </c>
      <c r="E256" s="108" t="s">
        <v>438</v>
      </c>
      <c r="F256" s="110">
        <v>-45.6</v>
      </c>
      <c r="G256" s="110">
        <v>0.0</v>
      </c>
    </row>
    <row r="257">
      <c r="A257" s="108" t="s">
        <v>58</v>
      </c>
      <c r="B257" s="108">
        <v>573.0</v>
      </c>
      <c r="C257" s="108">
        <v>601.0</v>
      </c>
      <c r="D257" s="112">
        <v>43952.0</v>
      </c>
      <c r="E257" s="108" t="s">
        <v>439</v>
      </c>
      <c r="F257" s="110">
        <v>-1984.62</v>
      </c>
      <c r="G257" s="110">
        <v>0.0</v>
      </c>
    </row>
    <row r="258">
      <c r="A258" s="108" t="s">
        <v>42</v>
      </c>
      <c r="B258" s="108">
        <v>552.0</v>
      </c>
      <c r="C258" s="108">
        <v>601.0</v>
      </c>
      <c r="D258" s="112">
        <v>43952.0</v>
      </c>
      <c r="E258" s="108" t="s">
        <v>440</v>
      </c>
      <c r="F258" s="110">
        <v>-118.95</v>
      </c>
      <c r="G258" s="110">
        <v>0.0</v>
      </c>
    </row>
    <row r="259">
      <c r="A259" s="108" t="s">
        <v>35</v>
      </c>
      <c r="B259" s="108">
        <v>552.0</v>
      </c>
      <c r="C259" s="108">
        <v>601.0</v>
      </c>
      <c r="D259" s="112">
        <v>43952.0</v>
      </c>
      <c r="E259" s="108" t="s">
        <v>441</v>
      </c>
      <c r="F259" s="110">
        <v>-3846.16</v>
      </c>
      <c r="G259" s="110">
        <v>0.0</v>
      </c>
    </row>
    <row r="260">
      <c r="A260" s="108" t="s">
        <v>42</v>
      </c>
      <c r="B260" s="108">
        <v>551.0</v>
      </c>
      <c r="C260" s="108">
        <v>607.0</v>
      </c>
      <c r="D260" s="112">
        <v>43952.0</v>
      </c>
      <c r="E260" s="108" t="s">
        <v>442</v>
      </c>
      <c r="F260" s="110">
        <v>-3.3</v>
      </c>
      <c r="G260" s="110">
        <v>0.0</v>
      </c>
    </row>
    <row r="261">
      <c r="A261" s="108" t="s">
        <v>42</v>
      </c>
      <c r="B261" s="108">
        <v>552.0</v>
      </c>
      <c r="C261" s="108">
        <v>607.0</v>
      </c>
      <c r="D261" s="112">
        <v>43952.0</v>
      </c>
      <c r="E261" s="108" t="s">
        <v>443</v>
      </c>
      <c r="F261" s="110">
        <v>-8.57</v>
      </c>
      <c r="G261" s="110">
        <v>0.0</v>
      </c>
    </row>
    <row r="262">
      <c r="A262" s="108" t="s">
        <v>35</v>
      </c>
      <c r="B262" s="108">
        <v>552.0</v>
      </c>
      <c r="C262" s="108">
        <v>607.0</v>
      </c>
      <c r="D262" s="112">
        <v>43952.0</v>
      </c>
      <c r="E262" s="108" t="s">
        <v>444</v>
      </c>
      <c r="F262" s="110">
        <v>-287.13</v>
      </c>
      <c r="G262" s="110">
        <v>0.0</v>
      </c>
    </row>
    <row r="263">
      <c r="A263" s="108" t="s">
        <v>53</v>
      </c>
      <c r="B263" s="108">
        <v>573.0</v>
      </c>
      <c r="C263" s="108">
        <v>607.0</v>
      </c>
      <c r="D263" s="112">
        <v>43952.0</v>
      </c>
      <c r="E263" s="108" t="s">
        <v>445</v>
      </c>
      <c r="F263" s="110">
        <v>-250.1</v>
      </c>
      <c r="G263" s="110">
        <v>0.0</v>
      </c>
    </row>
    <row r="264">
      <c r="A264" s="108" t="s">
        <v>58</v>
      </c>
      <c r="B264" s="108">
        <v>573.0</v>
      </c>
      <c r="C264" s="108">
        <v>607.0</v>
      </c>
      <c r="D264" s="112">
        <v>43952.0</v>
      </c>
      <c r="E264" s="108" t="s">
        <v>446</v>
      </c>
      <c r="F264" s="110">
        <v>-284.24</v>
      </c>
      <c r="G264" s="110">
        <v>0.0</v>
      </c>
    </row>
    <row r="265">
      <c r="A265" s="108" t="s">
        <v>52</v>
      </c>
      <c r="B265" s="108">
        <v>573.0</v>
      </c>
      <c r="C265" s="108">
        <v>607.0</v>
      </c>
      <c r="D265" s="112">
        <v>43952.0</v>
      </c>
      <c r="E265" s="108" t="s">
        <v>447</v>
      </c>
      <c r="F265" s="110">
        <v>-157.75</v>
      </c>
      <c r="G265" s="110">
        <v>0.0</v>
      </c>
    </row>
    <row r="266">
      <c r="A266" s="108" t="s">
        <v>35</v>
      </c>
      <c r="B266" s="108">
        <v>552.0</v>
      </c>
      <c r="C266" s="108">
        <v>608.0</v>
      </c>
      <c r="D266" s="112">
        <v>43952.0</v>
      </c>
      <c r="E266" s="108" t="s">
        <v>448</v>
      </c>
      <c r="F266" s="110">
        <v>-20.06</v>
      </c>
      <c r="G266" s="110">
        <v>0.0</v>
      </c>
    </row>
    <row r="267">
      <c r="A267" s="108" t="s">
        <v>35</v>
      </c>
      <c r="B267" s="108">
        <v>552.0</v>
      </c>
      <c r="C267" s="108">
        <v>608.0</v>
      </c>
      <c r="D267" s="112">
        <v>43952.0</v>
      </c>
      <c r="E267" s="108" t="s">
        <v>449</v>
      </c>
      <c r="F267" s="110">
        <v>-8.85</v>
      </c>
      <c r="G267" s="110">
        <v>0.0</v>
      </c>
    </row>
    <row r="268">
      <c r="A268" s="108" t="s">
        <v>53</v>
      </c>
      <c r="B268" s="108">
        <v>573.0</v>
      </c>
      <c r="C268" s="108">
        <v>608.0</v>
      </c>
      <c r="D268" s="112">
        <v>43952.0</v>
      </c>
      <c r="E268" s="108" t="s">
        <v>450</v>
      </c>
      <c r="F268" s="110">
        <v>-5.76</v>
      </c>
      <c r="G268" s="110">
        <v>0.0</v>
      </c>
    </row>
    <row r="269">
      <c r="A269" s="108" t="s">
        <v>58</v>
      </c>
      <c r="B269" s="108">
        <v>573.0</v>
      </c>
      <c r="C269" s="108">
        <v>608.0</v>
      </c>
      <c r="D269" s="112">
        <v>43952.0</v>
      </c>
      <c r="E269" s="108" t="s">
        <v>451</v>
      </c>
      <c r="F269" s="110">
        <v>-8.85</v>
      </c>
      <c r="G269" s="110">
        <v>0.0</v>
      </c>
    </row>
    <row r="270">
      <c r="A270" s="108" t="s">
        <v>52</v>
      </c>
      <c r="B270" s="108">
        <v>573.0</v>
      </c>
      <c r="C270" s="108">
        <v>608.0</v>
      </c>
      <c r="D270" s="112">
        <v>43952.0</v>
      </c>
      <c r="E270" s="108" t="s">
        <v>452</v>
      </c>
      <c r="F270" s="110">
        <v>-8.85</v>
      </c>
      <c r="G270" s="110">
        <v>0.0</v>
      </c>
    </row>
    <row r="271">
      <c r="A271" s="108" t="s">
        <v>35</v>
      </c>
      <c r="B271" s="108">
        <v>552.0</v>
      </c>
      <c r="C271" s="108">
        <v>608.0</v>
      </c>
      <c r="D271" s="112">
        <v>43952.0</v>
      </c>
      <c r="E271" s="108" t="s">
        <v>453</v>
      </c>
      <c r="F271" s="110">
        <v>-6.04</v>
      </c>
      <c r="G271" s="110">
        <v>0.0</v>
      </c>
    </row>
    <row r="272">
      <c r="A272" s="108" t="s">
        <v>35</v>
      </c>
      <c r="B272" s="108">
        <v>552.0</v>
      </c>
      <c r="C272" s="108">
        <v>608.0</v>
      </c>
      <c r="D272" s="112">
        <v>43952.0</v>
      </c>
      <c r="E272" s="108" t="s">
        <v>454</v>
      </c>
      <c r="F272" s="110">
        <v>-478.3</v>
      </c>
      <c r="G272" s="110">
        <v>0.0</v>
      </c>
    </row>
    <row r="273">
      <c r="A273" s="108" t="s">
        <v>57</v>
      </c>
      <c r="B273" s="108">
        <v>573.0</v>
      </c>
      <c r="C273" s="108">
        <v>697.0</v>
      </c>
      <c r="D273" s="112">
        <v>43958.0</v>
      </c>
      <c r="E273" s="111">
        <v>2727999.0</v>
      </c>
      <c r="F273" s="110">
        <v>0.0</v>
      </c>
      <c r="G273" s="110">
        <v>179.0</v>
      </c>
    </row>
    <row r="274">
      <c r="A274" s="108" t="s">
        <v>52</v>
      </c>
      <c r="B274" s="108">
        <v>573.0</v>
      </c>
      <c r="C274" s="108">
        <v>601.0</v>
      </c>
      <c r="D274" s="112">
        <v>43966.0</v>
      </c>
      <c r="E274" s="108" t="s">
        <v>455</v>
      </c>
      <c r="F274" s="110">
        <v>-1031.0</v>
      </c>
      <c r="G274" s="110">
        <v>0.0</v>
      </c>
    </row>
    <row r="275">
      <c r="A275" s="108" t="s">
        <v>53</v>
      </c>
      <c r="B275" s="108">
        <v>573.0</v>
      </c>
      <c r="C275" s="108">
        <v>601.0</v>
      </c>
      <c r="D275" s="112">
        <v>43966.0</v>
      </c>
      <c r="E275" s="108" t="s">
        <v>456</v>
      </c>
      <c r="F275" s="110">
        <v>-3846.15</v>
      </c>
      <c r="G275" s="110">
        <v>0.0</v>
      </c>
    </row>
    <row r="276">
      <c r="A276" s="108" t="s">
        <v>58</v>
      </c>
      <c r="B276" s="108">
        <v>573.0</v>
      </c>
      <c r="C276" s="108">
        <v>601.0</v>
      </c>
      <c r="D276" s="112">
        <v>43966.0</v>
      </c>
      <c r="E276" s="108" t="s">
        <v>457</v>
      </c>
      <c r="F276" s="110">
        <v>-1730.77</v>
      </c>
      <c r="G276" s="110">
        <v>0.0</v>
      </c>
    </row>
    <row r="277">
      <c r="A277" s="108" t="s">
        <v>58</v>
      </c>
      <c r="B277" s="108">
        <v>573.0</v>
      </c>
      <c r="C277" s="108">
        <v>601.0</v>
      </c>
      <c r="D277" s="112">
        <v>43966.0</v>
      </c>
      <c r="E277" s="108" t="s">
        <v>458</v>
      </c>
      <c r="F277" s="110">
        <v>-1984.61</v>
      </c>
      <c r="G277" s="110">
        <v>0.0</v>
      </c>
    </row>
    <row r="278">
      <c r="A278" s="108" t="s">
        <v>35</v>
      </c>
      <c r="B278" s="108">
        <v>552.0</v>
      </c>
      <c r="C278" s="108">
        <v>601.0</v>
      </c>
      <c r="D278" s="112">
        <v>43966.0</v>
      </c>
      <c r="E278" s="108" t="s">
        <v>459</v>
      </c>
      <c r="F278" s="110">
        <v>-3846.15</v>
      </c>
      <c r="G278" s="110">
        <v>0.0</v>
      </c>
    </row>
    <row r="279">
      <c r="A279" s="108" t="s">
        <v>57</v>
      </c>
      <c r="B279" s="108">
        <v>573.0</v>
      </c>
      <c r="C279" s="108">
        <v>697.0</v>
      </c>
      <c r="D279" s="112">
        <v>43971.0</v>
      </c>
      <c r="E279" s="108" t="s">
        <v>460</v>
      </c>
      <c r="F279" s="110">
        <v>0.0</v>
      </c>
      <c r="G279" s="110">
        <v>119.0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43.71"/>
    <col customWidth="1" min="2" max="2" width="23.86"/>
    <col customWidth="1" min="3" max="5" width="16.57"/>
    <col customWidth="1" hidden="1" min="6" max="6" width="16.57"/>
    <col customWidth="1" min="7" max="10" width="16.57"/>
    <col customWidth="1" hidden="1" min="11" max="15" width="16.57"/>
    <col customWidth="1" min="16" max="16" width="16.57"/>
    <col customWidth="1" hidden="1" min="17" max="17" width="16.57"/>
    <col customWidth="1" min="18" max="19" width="16.57"/>
  </cols>
  <sheetData>
    <row r="1">
      <c r="A1" s="113"/>
      <c r="B1" s="114"/>
      <c r="C1" s="10" t="s">
        <v>461</v>
      </c>
      <c r="D1" s="5"/>
      <c r="E1" s="5"/>
      <c r="F1" s="11"/>
      <c r="G1" s="115" t="s">
        <v>462</v>
      </c>
      <c r="H1" s="116" t="s">
        <v>463</v>
      </c>
      <c r="I1" s="5"/>
      <c r="J1" s="11"/>
      <c r="L1" s="117"/>
      <c r="M1" s="117"/>
      <c r="N1" s="117"/>
      <c r="O1" s="117"/>
      <c r="P1" s="118" t="s">
        <v>464</v>
      </c>
      <c r="Q1" s="115" t="s">
        <v>465</v>
      </c>
      <c r="R1" s="115" t="s">
        <v>466</v>
      </c>
      <c r="S1" s="116" t="s">
        <v>467</v>
      </c>
      <c r="T1" s="119"/>
    </row>
    <row r="2" ht="30.75" customHeight="1">
      <c r="A2" s="16" t="s">
        <v>10</v>
      </c>
      <c r="B2" s="17" t="s">
        <v>11</v>
      </c>
      <c r="C2" s="18" t="s">
        <v>74</v>
      </c>
      <c r="D2" s="18" t="s">
        <v>203</v>
      </c>
      <c r="E2" s="19" t="s">
        <v>468</v>
      </c>
      <c r="F2" s="19" t="s">
        <v>469</v>
      </c>
      <c r="G2" s="120"/>
      <c r="H2" s="121" t="s">
        <v>470</v>
      </c>
      <c r="I2" s="121" t="s">
        <v>471</v>
      </c>
      <c r="J2" s="122" t="s">
        <v>472</v>
      </c>
      <c r="K2" s="123" t="s">
        <v>64</v>
      </c>
      <c r="L2" s="123" t="s">
        <v>65</v>
      </c>
      <c r="M2" s="123" t="s">
        <v>66</v>
      </c>
      <c r="N2" s="123" t="s">
        <v>67</v>
      </c>
      <c r="O2" s="124" t="s">
        <v>473</v>
      </c>
      <c r="P2" s="120"/>
      <c r="Q2" s="125">
        <f>Parameters!$C$4</f>
        <v>2021</v>
      </c>
      <c r="R2" s="125">
        <f>Parameters!$C$4</f>
        <v>2021</v>
      </c>
      <c r="S2" s="126">
        <f>Parameters!$C$4</f>
        <v>2021</v>
      </c>
      <c r="T2" s="119"/>
    </row>
    <row r="3">
      <c r="A3" s="26" t="s">
        <v>25</v>
      </c>
      <c r="B3" s="27" t="str">
        <f>IFERROR(__xludf.DUMMYFUNCTION("FILTER('Endowed Funds'!$B:$B,'Endowed Funds'!$A:$A = $A3)")," American Indian Initiatives ")</f>
        <v>American Indian Initiatives</v>
      </c>
      <c r="C3" s="28">
        <f>IFERROR(__xludf.DUMMYFUNCTION("IFERROR(sum(FILTER('Fund Investment Data'!$D:$D, 'Fund Investment Data'!$C:$C = $A3, 'Fund Investment Data'!$A:$A &lt;= (Parameters!$C$4 - 2), 'Fund Investment Data'!$B:$B = 12)),0)"),81000.0)</f>
        <v>81000</v>
      </c>
      <c r="D3" s="91">
        <f t="array" ref="D3">INDEX('Fund YTD Target Values'!$1:$1000, MATCH($A3,'Fund YTD Target Values'!$A:$A,0), MATCH(Parameters!$C$4 - 2,'Fund YTD Target Values'!$1:$1,0))</f>
        <v>111153.3247</v>
      </c>
      <c r="E3" s="29">
        <f>IFERROR(__xludf.DUMMYFUNCTION("IFERROR(FILTER('Fund Investment Data'!$P:$P,'Fund Investment Data'!$C:$C = $A3,'Fund Investment Data'!$A:$A = (Parameters!$C$4 - 2), 'Fund Investment Data'!$B:$B = 12) - FILTER('Fund Investment Data'!$AF:$AF,'Fund Investment Data'!$C:$C = $A3,'Fund Invest"&amp;"ment Data'!$A:$A = (Parameters!$C$4 - 2), 'Fund Investment Data'!$B:$B = 12),0)"),83147.07)</f>
        <v>83147.07</v>
      </c>
      <c r="F3" s="27">
        <f t="shared" ref="F3:F36" si="1">E3-D3</f>
        <v>-28006.25473</v>
      </c>
      <c r="G3" s="29">
        <f>IFERROR(__xludf.DUMMYFUNCTION("IF(Parameters!$C$4 = 2019, FILTER('Fund Investment Data'!$Z:$Z, 'Fund Investment Data'!$C:$C = $A3, 'Fund Investment Data'!$A:$A = Parameters!$C$4 - 1, 'Fund Investment Data'!$B:$B = 12) + FILTER('Fund Investment Data'!$AB:$AB, 'Fund Investment Data'!$C:$"&amp;"C = $A3, 'Fund Investment Data'!$A:$A = Parameters!$C$4 - 1, 'Fund Investment Data'!$B:$B = 12),((FILTER('Fund Investment Data'!$Z:$Z, 'Fund Investment Data'!$C:$C = $A3, 'Fund Investment Data'!$A:$A = Parameters!$C$4 - 2, 'Fund Investment Data'!$B:$B = 1"&amp;"2) + FILTER('Fund Investment Data'!$AB:$AB, 'Fund Investment Data'!$C:$C = $A3, 'Fund Investment Data'!$A:$A = Parameters!$C$4 - 2, 'Fund Investment Data'!$B:$B = 12)) * (1 + AVERAGE(FILTER('Inflation Data'!$C:$C,'Inflation Data'!$A:$A = (Parameters!$C$4 "&amp;"- 3)))) * Parameters!$A$4) + ((FILTER('Fund Investment Data'!$P:$P, 'Fund Investment Data'!$C:$C = $A3, 'Fund Investment Data'!$A:$A = (Parameters!$C$4 - 3), 'Fund Investment Data'!$B:$B = 12) - SUM(FILTER('Fund Investment Data'!$V:$V, 'Fund Investment Da"&amp;"ta'!$C:$C = $A3, 'Fund Investment Data'!$A:$A = (Parameters!$C$4 - 3), 'Fund Investment Data'!$B:$B &gt; 3)))  * Parameters!$B$4 * (1 - Parameters!$A$4)) + ((SUM(FILTER('Fund Investment Data'!$V:$V, 'Fund Investment Data'!$C:$C = $A3, 'Fund Investment Data'!"&amp;"$A:$A = Parameters!$C$4 - 3, 'Fund Investment Data'!$B:$B &gt;= 4)) + SUM(FILTER('Fund Investment Data'!$V:$V, 'Fund Investment Data'!$C:$C = $A3, 'Fund Investment Data'!$A:$A = Parameters!$C$4 - 2, 'Fund Investment Data'!$B:$B &lt;= 3))) * Parameters!$B$4))"),4320.330699714215)</f>
        <v>4320.3307</v>
      </c>
      <c r="H3" s="127">
        <f>IFERROR(__xludf.DUMMYFUNCTION("IFERROR(($G3 * (1 + AVERAGE(FILTER('Inflation Data'!$C:$C,'Inflation Data'!$A:$A = (Parameters!$C$4 - 2)))) * Parameters!$A$4),0)"),3079.025642458376)</f>
        <v>3079.025642</v>
      </c>
      <c r="I3" s="127">
        <f>IFERROR(__xludf.DUMMYFUNCTION("IF(Parameters!$C$4 = 2019,IFERROR((IFERROR(FILTER('Fund Investment Data'!$P:$P,'Fund Investment Data'!$C:$C = $A3,'Fund Investment Data'!$A:$A = (Parameters!$C$4 - 2), 'Fund Investment Data'!$B:$B = 12),0) - SUM(FILTER('Fund Investment Data'!$V:$V, 'Fund "&amp;"Investment Data'!$C:$C = $A3, 'Fund Investment Data'!$A:$A = (Parameters!$C$4 - 2), 'Fund Investment Data'!$B:$B &gt; 3)))  * Parameters!$B$4 * (1 - Parameters!$A$4),0), ($E3  - SUM(FILTER('Fund Investment Data'!$V:$V, 'Fund Investment Data'!$C:$C = $A3, 'Fu"&amp;"nd Investment Data'!$A:$A = (Parameters!$C$4 - 2), 'Fund Investment Data'!$B:$B &gt; 3)))  * Parameters!$B$4 * (1 - Parameters!$A$4))"),1122.4854450000003)</f>
        <v>1122.485445</v>
      </c>
      <c r="J3" s="128">
        <f t="shared" ref="J3:J36" si="2">H3+I3</f>
        <v>4201.511087</v>
      </c>
      <c r="K3" s="129">
        <f>IFERROR(__xludf.DUMMYFUNCTION("((IFERROR(SUM(FILTER('Fund Investment Data'!$V:$V, 'Fund Investment Data'!$C:$C = $A3, 'Fund Investment Data'!$A:$A = Parameters!$C$4 - 1, 'Fund Investment Data'!$B:$B &gt;= 4, 'Fund Investment Data'!$B:$B &lt;= 6)) * Parameters!$B$4, 0)) / 4)"),0.0)</f>
        <v>0</v>
      </c>
      <c r="L3" s="129">
        <f>IFERROR(__xludf.DUMMYFUNCTION("((IFERROR(SUM(FILTER('Fund Investment Data'!$V:$V, 'Fund Investment Data'!$C:$C = $A3, 'Fund Investment Data'!$A:$A = Parameters!$C$4 - 1, 'Fund Investment Data'!$B:$B &gt;= 4, 'Fund Investment Data'!$B:$B &lt;= 9)) * Parameters!$B$4, 0)) / 4)"),0.0)</f>
        <v>0</v>
      </c>
      <c r="M3" s="129">
        <f>IFERROR(__xludf.DUMMYFUNCTION("((IFERROR(SUM(FILTER('Fund Investment Data'!$V:$V, 'Fund Investment Data'!$C:$C = $A3, 'Fund Investment Data'!$A:$A = Parameters!$C$4 - 1, 'Fund Investment Data'!$B:$B &gt;= 4, 'Fund Investment Data'!$B:$B &lt;= 12)) * Parameters!$B$4, 0)) / 4)"),0.0)</f>
        <v>0</v>
      </c>
      <c r="N3" s="129">
        <f>IFERROR(__xludf.DUMMYFUNCTION("((IFERROR(SUM(FILTER('Fund Investment Data'!$V:$V, 'Fund Investment Data'!$C:$C = $A3, 'Fund Investment Data'!$A:$A = Parameters!$C$4 - 1, 'Fund Investment Data'!$B:$B &gt;= 4, 'Fund Investment Data'!$B:$B &lt;= 12)) * Parameters!$B$4, 0) + IFERROR(SUM(FILTER('"&amp;"Fund Investment Data'!$V:$V, 'Fund Investment Data'!$C:$C = $A3, 'Fund Investment Data'!$A:$A = Parameters!$C$4, 'Fund Investment Data'!$B:$B &lt;= 3)) * Parameters!$B$4, 0)) / 4)"),0.0)</f>
        <v>0</v>
      </c>
      <c r="O3" s="130">
        <f>IFERROR(__xludf.DUMMYFUNCTION("((IFERROR(SUM(FILTER('Fund Investment Data'!$V:$V, 'Fund Investment Data'!$C:$C = $A3, 'Fund Investment Data'!$A:$A = Parameters!$C$4 - 2, 'Fund Investment Data'!$B:$B &gt;= 4)) * Parameters!$B$4,0) + IFERROR(SUM(FILTER('Fund Investment Data'!$V:$V, 'Fund In"&amp;"vestment Data'!$C:$C = $A3, 'Fund Investment Data'!$A:$A = Parameters!$C$4 - 1, 'Fund Investment Data'!$B:$B &lt;= 3)) * Parameters!$B$4,0)))"),0.0)</f>
        <v>0</v>
      </c>
      <c r="P3" s="131">
        <f t="shared" ref="P3:P36" si="3">sum(K3:O3)</f>
        <v>0</v>
      </c>
      <c r="Q3" s="130">
        <f t="shared" ref="Q3:Q36" si="4">sum(J3,P3)</f>
        <v>4201.511087</v>
      </c>
      <c r="R3" s="131">
        <f>IFERROR(__xludf.DUMMYFUNCTION("IFERROR(FILTER('Fund Investment Data'!$AF:$AF,'Fund Investment Data'!$C:$C = $A3,'Fund Investment Data'!$A:$A = (Parameters!$C$4 - 1), 'Fund Investment Data'!$B:$B = 12),0)"),0.0)</f>
        <v>0</v>
      </c>
      <c r="S3" s="132">
        <f t="shared" ref="S3:S36" si="5">sum(Q3:R3)</f>
        <v>4201.511087</v>
      </c>
      <c r="T3" s="133"/>
    </row>
    <row r="4">
      <c r="A4" s="36" t="s">
        <v>26</v>
      </c>
      <c r="B4" s="27" t="str">
        <f>IFERROR(__xludf.DUMMYFUNCTION("FILTER('Endowed Funds'!$B:$B,'Endowed Funds'!$A:$A = $A4)")," Archaeology ")</f>
        <v>Archaeology</v>
      </c>
      <c r="C4" s="28">
        <f>IFERROR(__xludf.DUMMYFUNCTION("IFERROR(sum(FILTER('Fund Investment Data'!$D:$D, 'Fund Investment Data'!$C:$C = $A4, 'Fund Investment Data'!$A:$A &lt;= (Parameters!$C$4 - 2), 'Fund Investment Data'!$B:$B = 12)),0)"),317377.01)</f>
        <v>317377.01</v>
      </c>
      <c r="D4" s="91">
        <f t="array" ref="D4">INDEX('Fund YTD Target Values'!$1:$1000, MATCH($A4,'Fund YTD Target Values'!$A:$A,0), MATCH(Parameters!$C$4 - 2,'Fund YTD Target Values'!$1:$1,0))</f>
        <v>392089.6861</v>
      </c>
      <c r="E4" s="29">
        <f>IFERROR(__xludf.DUMMYFUNCTION("IFERROR(FILTER('Fund Investment Data'!$P:$P,'Fund Investment Data'!$C:$C = $A4,'Fund Investment Data'!$A:$A = (Parameters!$C$4 - 2), 'Fund Investment Data'!$B:$B = 12) - FILTER('Fund Investment Data'!$AF:$AF,'Fund Investment Data'!$C:$C = $A4,'Fund Invest"&amp;"ment Data'!$A:$A = (Parameters!$C$4 - 2), 'Fund Investment Data'!$B:$B = 12),0)"),353169.08999999997)</f>
        <v>353169.09</v>
      </c>
      <c r="F4" s="27">
        <f t="shared" si="1"/>
        <v>-38920.59605</v>
      </c>
      <c r="G4" s="29">
        <f>IFERROR(__xludf.DUMMYFUNCTION("IF(Parameters!$C$4 = 2019, FILTER('Fund Investment Data'!$Z:$Z, 'Fund Investment Data'!$C:$C = $A4, 'Fund Investment Data'!$A:$A = Parameters!$C$4 - 1, 'Fund Investment Data'!$B:$B = 12) + FILTER('Fund Investment Data'!$AB:$AB, 'Fund Investment Data'!$C:$"&amp;"C = $A4, 'Fund Investment Data'!$A:$A = Parameters!$C$4 - 1, 'Fund Investment Data'!$B:$B = 12),((FILTER('Fund Investment Data'!$Z:$Z, 'Fund Investment Data'!$C:$C = $A4, 'Fund Investment Data'!$A:$A = Parameters!$C$4 - 2, 'Fund Investment Data'!$B:$B = 1"&amp;"2) + FILTER('Fund Investment Data'!$AB:$AB, 'Fund Investment Data'!$C:$C = $A4, 'Fund Investment Data'!$A:$A = Parameters!$C$4 - 2, 'Fund Investment Data'!$B:$B = 12)) * (1 + AVERAGE(FILTER('Inflation Data'!$C:$C,'Inflation Data'!$A:$A = (Parameters!$C$4 "&amp;"- 3)))) * Parameters!$A$4) + ((FILTER('Fund Investment Data'!$P:$P, 'Fund Investment Data'!$C:$C = $A4, 'Fund Investment Data'!$A:$A = (Parameters!$C$4 - 3), 'Fund Investment Data'!$B:$B = 12) - SUM(FILTER('Fund Investment Data'!$V:$V, 'Fund Investment Da"&amp;"ta'!$C:$C = $A4, 'Fund Investment Data'!$A:$A = (Parameters!$C$4 - 3), 'Fund Investment Data'!$B:$B &gt; 3)))  * Parameters!$B$4 * (1 - Parameters!$A$4)) + ((SUM(FILTER('Fund Investment Data'!$V:$V, 'Fund Investment Data'!$C:$C = $A4, 'Fund Investment Data'!"&amp;"$A:$A = Parameters!$C$4 - 3, 'Fund Investment Data'!$B:$B &gt;= 4)) + SUM(FILTER('Fund Investment Data'!$V:$V, 'Fund Investment Data'!$C:$C = $A4, 'Fund Investment Data'!$A:$A = Parameters!$C$4 - 2, 'Fund Investment Data'!$B:$B &lt;= 3))) * Parameters!$B$4))"),16429.70058170934)</f>
        <v>16429.70058</v>
      </c>
      <c r="H4" s="127">
        <f>IFERROR(__xludf.DUMMYFUNCTION("IFERROR(($G4 * (1 + AVERAGE(FILTER('Inflation Data'!$C:$C,'Inflation Data'!$A:$A = (Parameters!$C$4 - 2)))) * Parameters!$A$4),0)"),11709.166011838552)</f>
        <v>11709.16601</v>
      </c>
      <c r="I4" s="127">
        <f>IFERROR(__xludf.DUMMYFUNCTION("IF(Parameters!$C$4 = 2019,IFERROR((IFERROR(FILTER('Fund Investment Data'!$P:$P,'Fund Investment Data'!$C:$C = $A4,'Fund Investment Data'!$A:$A = (Parameters!$C$4 - 2), 'Fund Investment Data'!$B:$B = 12),0) - SUM(FILTER('Fund Investment Data'!$V:$V, 'Fund "&amp;"Investment Data'!$C:$C = $A4, 'Fund Investment Data'!$A:$A = (Parameters!$C$4 - 2), 'Fund Investment Data'!$B:$B &gt; 3)))  * Parameters!$B$4 * (1 - Parameters!$A$4),0), ($E4  - SUM(FILTER('Fund Investment Data'!$V:$V, 'Fund Investment Data'!$C:$C = $A4, 'Fu"&amp;"nd Investment Data'!$A:$A = (Parameters!$C$4 - 2), 'Fund Investment Data'!$B:$B &gt; 3)))  * Parameters!$B$4 * (1 - Parameters!$A$4))"),4767.78258)</f>
        <v>4767.78258</v>
      </c>
      <c r="J4" s="128">
        <f t="shared" si="2"/>
        <v>16476.94859</v>
      </c>
      <c r="K4" s="129">
        <f>IFERROR(__xludf.DUMMYFUNCTION("((IFERROR(SUM(FILTER('Fund Investment Data'!$V:$V, 'Fund Investment Data'!$C:$C = $A4, 'Fund Investment Data'!$A:$A = Parameters!$C$4 - 1, 'Fund Investment Data'!$B:$B &gt;= 4, 'Fund Investment Data'!$B:$B &lt;= 6)) * Parameters!$B$4, 0)) / 4)"),0.0)</f>
        <v>0</v>
      </c>
      <c r="L4" s="129">
        <f>IFERROR(__xludf.DUMMYFUNCTION("((IFERROR(SUM(FILTER('Fund Investment Data'!$V:$V, 'Fund Investment Data'!$C:$C = $A4, 'Fund Investment Data'!$A:$A = Parameters!$C$4 - 1, 'Fund Investment Data'!$B:$B &gt;= 4, 'Fund Investment Data'!$B:$B &lt;= 9)) * Parameters!$B$4, 0)) / 4)"),0.0)</f>
        <v>0</v>
      </c>
      <c r="M4" s="129">
        <f>IFERROR(__xludf.DUMMYFUNCTION("((IFERROR(SUM(FILTER('Fund Investment Data'!$V:$V, 'Fund Investment Data'!$C:$C = $A4, 'Fund Investment Data'!$A:$A = Parameters!$C$4 - 1, 'Fund Investment Data'!$B:$B &gt;= 4, 'Fund Investment Data'!$B:$B &lt;= 12)) * Parameters!$B$4, 0)) / 4)"),0.0)</f>
        <v>0</v>
      </c>
      <c r="N4" s="129">
        <f>IFERROR(__xludf.DUMMYFUNCTION("((IFERROR(SUM(FILTER('Fund Investment Data'!$V:$V, 'Fund Investment Data'!$C:$C = $A4, 'Fund Investment Data'!$A:$A = Parameters!$C$4 - 1, 'Fund Investment Data'!$B:$B &gt;= 4, 'Fund Investment Data'!$B:$B &lt;= 12)) * Parameters!$B$4, 0) + IFERROR(SUM(FILTER('"&amp;"Fund Investment Data'!$V:$V, 'Fund Investment Data'!$C:$C = $A4, 'Fund Investment Data'!$A:$A = Parameters!$C$4, 'Fund Investment Data'!$B:$B &lt;= 3)) * Parameters!$B$4, 0)) / 4)"),0.0)</f>
        <v>0</v>
      </c>
      <c r="O4" s="130">
        <f>IFERROR(__xludf.DUMMYFUNCTION("((IFERROR(SUM(FILTER('Fund Investment Data'!$V:$V, 'Fund Investment Data'!$C:$C = $A4, 'Fund Investment Data'!$A:$A = Parameters!$C$4 - 2, 'Fund Investment Data'!$B:$B &gt;= 4)) * Parameters!$B$4,0) + IFERROR(SUM(FILTER('Fund Investment Data'!$V:$V, 'Fund In"&amp;"vestment Data'!$C:$C = $A4, 'Fund Investment Data'!$A:$A = Parameters!$C$4 - 1, 'Fund Investment Data'!$B:$B &lt;= 3)) * Parameters!$B$4,0)))"),4.5000000000982253E-4)</f>
        <v>0.00045</v>
      </c>
      <c r="P4" s="131">
        <f t="shared" si="3"/>
        <v>0.00045</v>
      </c>
      <c r="Q4" s="130">
        <f t="shared" si="4"/>
        <v>16476.94904</v>
      </c>
      <c r="R4" s="131">
        <f>IFERROR(__xludf.DUMMYFUNCTION("IFERROR(FILTER('Fund Investment Data'!$AF:$AF,'Fund Investment Data'!$C:$C = $A4,'Fund Investment Data'!$A:$A = (Parameters!$C$4 - 1), 'Fund Investment Data'!$B:$B = 12),0)"),0.0)</f>
        <v>0</v>
      </c>
      <c r="S4" s="132">
        <f t="shared" si="5"/>
        <v>16476.94904</v>
      </c>
      <c r="T4" s="133"/>
    </row>
    <row r="5">
      <c r="A5" s="36" t="s">
        <v>27</v>
      </c>
      <c r="B5" s="27" t="str">
        <f>IFERROR(__xludf.DUMMYFUNCTION("FILTER('Endowed Funds'!$B:$B,'Endowed Funds'!$A:$A = $A5)")," Archaeology ")</f>
        <v>Archaeology</v>
      </c>
      <c r="C5" s="28">
        <f>IFERROR(__xludf.DUMMYFUNCTION("IFERROR(sum(FILTER('Fund Investment Data'!$D:$D, 'Fund Investment Data'!$C:$C = $A5, 'Fund Investment Data'!$A:$A &lt;= (Parameters!$C$4 - 2), 'Fund Investment Data'!$B:$B = 12)),0)"),276213.69999999995)</f>
        <v>276213.7</v>
      </c>
      <c r="D5" s="91">
        <f t="array" ref="D5">INDEX('Fund YTD Target Values'!$1:$1000, MATCH($A5,'Fund YTD Target Values'!$A:$A,0), MATCH(Parameters!$C$4 - 2,'Fund YTD Target Values'!$1:$1,0))</f>
        <v>400423.4941</v>
      </c>
      <c r="E5" s="29">
        <f>IFERROR(__xludf.DUMMYFUNCTION("IFERROR(FILTER('Fund Investment Data'!$P:$P,'Fund Investment Data'!$C:$C = $A5,'Fund Investment Data'!$A:$A = (Parameters!$C$4 - 2), 'Fund Investment Data'!$B:$B = 12) - FILTER('Fund Investment Data'!$AF:$AF,'Fund Investment Data'!$C:$C = $A5,'Fund Invest"&amp;"ment Data'!$A:$A = (Parameters!$C$4 - 2), 'Fund Investment Data'!$B:$B = 12),0)"),303653.20000000007)</f>
        <v>303653.2</v>
      </c>
      <c r="F5" s="27">
        <f t="shared" si="1"/>
        <v>-96770.29411</v>
      </c>
      <c r="G5" s="29">
        <f>IFERROR(__xludf.DUMMYFUNCTION("IF(Parameters!$C$4 = 2019, FILTER('Fund Investment Data'!$Z:$Z, 'Fund Investment Data'!$C:$C = $A5, 'Fund Investment Data'!$A:$A = Parameters!$C$4 - 1, 'Fund Investment Data'!$B:$B = 12) + FILTER('Fund Investment Data'!$AB:$AB, 'Fund Investment Data'!$C:$"&amp;"C = $A5, 'Fund Investment Data'!$A:$A = Parameters!$C$4 - 1, 'Fund Investment Data'!$B:$B = 12),((FILTER('Fund Investment Data'!$Z:$Z, 'Fund Investment Data'!$C:$C = $A5, 'Fund Investment Data'!$A:$A = Parameters!$C$4 - 2, 'Fund Investment Data'!$B:$B = 1"&amp;"2) + FILTER('Fund Investment Data'!$AB:$AB, 'Fund Investment Data'!$C:$C = $A5, 'Fund Investment Data'!$A:$A = Parameters!$C$4 - 2, 'Fund Investment Data'!$B:$B = 12)) * (1 + AVERAGE(FILTER('Inflation Data'!$C:$C,'Inflation Data'!$A:$A = (Parameters!$C$4 "&amp;"- 3)))) * Parameters!$A$4) + ((FILTER('Fund Investment Data'!$P:$P, 'Fund Investment Data'!$C:$C = $A5, 'Fund Investment Data'!$A:$A = (Parameters!$C$4 - 3), 'Fund Investment Data'!$B:$B = 12) - SUM(FILTER('Fund Investment Data'!$V:$V, 'Fund Investment Da"&amp;"ta'!$C:$C = $A5, 'Fund Investment Data'!$A:$A = (Parameters!$C$4 - 3), 'Fund Investment Data'!$B:$B &gt; 3)))  * Parameters!$B$4 * (1 - Parameters!$A$4)) + ((SUM(FILTER('Fund Investment Data'!$V:$V, 'Fund Investment Data'!$C:$C = $A5, 'Fund Investment Data'!"&amp;"$A:$A = Parameters!$C$4 - 3, 'Fund Investment Data'!$B:$B &gt;= 4)) + SUM(FILTER('Fund Investment Data'!$V:$V, 'Fund Investment Data'!$C:$C = $A5, 'Fund Investment Data'!$A:$A = Parameters!$C$4 - 2, 'Fund Investment Data'!$B:$B &lt;= 3))) * Parameters!$B$4))"),13760.120687444476)</f>
        <v>13760.12069</v>
      </c>
      <c r="H5" s="127">
        <f>IFERROR(__xludf.DUMMYFUNCTION("IFERROR(($G5 * (1 + AVERAGE(FILTER('Inflation Data'!$C:$C,'Inflation Data'!$A:$A = (Parameters!$C$4 - 2)))) * Parameters!$A$4),0)"),9806.602175793187)</f>
        <v>9806.602176</v>
      </c>
      <c r="I5" s="127">
        <f>IFERROR(__xludf.DUMMYFUNCTION("IF(Parameters!$C$4 = 2019,IFERROR((IFERROR(FILTER('Fund Investment Data'!$P:$P,'Fund Investment Data'!$C:$C = $A5,'Fund Investment Data'!$A:$A = (Parameters!$C$4 - 2), 'Fund Investment Data'!$B:$B = 12),0) - SUM(FILTER('Fund Investment Data'!$V:$V, 'Fund "&amp;"Investment Data'!$C:$C = $A5, 'Fund Investment Data'!$A:$A = (Parameters!$C$4 - 2), 'Fund Investment Data'!$B:$B &gt; 3)))  * Parameters!$B$4 * (1 - Parameters!$A$4),0), ($E5  - SUM(FILTER('Fund Investment Data'!$V:$V, 'Fund Investment Data'!$C:$C = $A5, 'Fu"&amp;"nd Investment Data'!$A:$A = (Parameters!$C$4 - 2), 'Fund Investment Data'!$B:$B &gt; 3)))  * Parameters!$B$4 * (1 - Parameters!$A$4))"),4099.3182000000015)</f>
        <v>4099.3182</v>
      </c>
      <c r="J5" s="128">
        <f t="shared" si="2"/>
        <v>13905.92038</v>
      </c>
      <c r="K5" s="129">
        <f>IFERROR(__xludf.DUMMYFUNCTION("((IFERROR(SUM(FILTER('Fund Investment Data'!$V:$V, 'Fund Investment Data'!$C:$C = $A5, 'Fund Investment Data'!$A:$A = Parameters!$C$4 - 1, 'Fund Investment Data'!$B:$B &gt;= 4, 'Fund Investment Data'!$B:$B &lt;= 6)) * Parameters!$B$4, 0)) / 4)"),0.0)</f>
        <v>0</v>
      </c>
      <c r="L5" s="129">
        <f>IFERROR(__xludf.DUMMYFUNCTION("((IFERROR(SUM(FILTER('Fund Investment Data'!$V:$V, 'Fund Investment Data'!$C:$C = $A5, 'Fund Investment Data'!$A:$A = Parameters!$C$4 - 1, 'Fund Investment Data'!$B:$B &gt;= 4, 'Fund Investment Data'!$B:$B &lt;= 9)) * Parameters!$B$4, 0)) / 4)"),0.0)</f>
        <v>0</v>
      </c>
      <c r="M5" s="129">
        <f>IFERROR(__xludf.DUMMYFUNCTION("((IFERROR(SUM(FILTER('Fund Investment Data'!$V:$V, 'Fund Investment Data'!$C:$C = $A5, 'Fund Investment Data'!$A:$A = Parameters!$C$4 - 1, 'Fund Investment Data'!$B:$B &gt;= 4, 'Fund Investment Data'!$B:$B &lt;= 12)) * Parameters!$B$4, 0)) / 4)"),0.0)</f>
        <v>0</v>
      </c>
      <c r="N5" s="129">
        <f>IFERROR(__xludf.DUMMYFUNCTION("((IFERROR(SUM(FILTER('Fund Investment Data'!$V:$V, 'Fund Investment Data'!$C:$C = $A5, 'Fund Investment Data'!$A:$A = Parameters!$C$4 - 1, 'Fund Investment Data'!$B:$B &gt;= 4, 'Fund Investment Data'!$B:$B &lt;= 12)) * Parameters!$B$4, 0) + IFERROR(SUM(FILTER('"&amp;"Fund Investment Data'!$V:$V, 'Fund Investment Data'!$C:$C = $A5, 'Fund Investment Data'!$A:$A = Parameters!$C$4, 'Fund Investment Data'!$B:$B &lt;= 3)) * Parameters!$B$4, 0)) / 4)"),0.0)</f>
        <v>0</v>
      </c>
      <c r="O5" s="130">
        <f>IFERROR(__xludf.DUMMYFUNCTION("((IFERROR(SUM(FILTER('Fund Investment Data'!$V:$V, 'Fund Investment Data'!$C:$C = $A5, 'Fund Investment Data'!$A:$A = Parameters!$C$4 - 2, 'Fund Investment Data'!$B:$B &gt;= 4)) * Parameters!$B$4,0) + IFERROR(SUM(FILTER('Fund Investment Data'!$V:$V, 'Fund In"&amp;"vestment Data'!$C:$C = $A5, 'Fund Investment Data'!$A:$A = Parameters!$C$4 - 1, 'Fund Investment Data'!$B:$B &lt;= 3)) * Parameters!$B$4,0)))"),0.0)</f>
        <v>0</v>
      </c>
      <c r="P5" s="131">
        <f t="shared" si="3"/>
        <v>0</v>
      </c>
      <c r="Q5" s="130">
        <f t="shared" si="4"/>
        <v>13905.92038</v>
      </c>
      <c r="R5" s="131">
        <f>IFERROR(__xludf.DUMMYFUNCTION("IFERROR(FILTER('Fund Investment Data'!$AF:$AF,'Fund Investment Data'!$C:$C = $A5,'Fund Investment Data'!$A:$A = (Parameters!$C$4 - 1), 'Fund Investment Data'!$B:$B = 12),0)"),0.0)</f>
        <v>0</v>
      </c>
      <c r="S5" s="132">
        <f t="shared" si="5"/>
        <v>13905.92038</v>
      </c>
      <c r="T5" s="133"/>
    </row>
    <row r="6">
      <c r="A6" s="36" t="s">
        <v>28</v>
      </c>
      <c r="B6" s="27" t="str">
        <f>IFERROR(__xludf.DUMMYFUNCTION("FILTER('Endowed Funds'!$B:$B,'Endowed Funds'!$A:$A = $A6)")," Archaeology ")</f>
        <v>Archaeology</v>
      </c>
      <c r="C6" s="28">
        <f>IFERROR(__xludf.DUMMYFUNCTION("IFERROR(sum(FILTER('Fund Investment Data'!$D:$D, 'Fund Investment Data'!$C:$C = $A6, 'Fund Investment Data'!$A:$A &lt;= (Parameters!$C$4 - 2), 'Fund Investment Data'!$B:$B = 12)),0)"),2960091.25)</f>
        <v>2960091.25</v>
      </c>
      <c r="D6" s="91">
        <f t="array" ref="D6">INDEX('Fund YTD Target Values'!$1:$1000, MATCH($A6,'Fund YTD Target Values'!$A:$A,0), MATCH(Parameters!$C$4 - 2,'Fund YTD Target Values'!$1:$1,0))</f>
        <v>3910070.897</v>
      </c>
      <c r="E6" s="29">
        <f>IFERROR(__xludf.DUMMYFUNCTION("IFERROR(FILTER('Fund Investment Data'!$P:$P,'Fund Investment Data'!$C:$C = $A6,'Fund Investment Data'!$A:$A = (Parameters!$C$4 - 2), 'Fund Investment Data'!$B:$B = 12) - FILTER('Fund Investment Data'!$AF:$AF,'Fund Investment Data'!$C:$C = $A6,'Fund Invest"&amp;"ment Data'!$A:$A = (Parameters!$C$4 - 2), 'Fund Investment Data'!$B:$B = 12),0)"),3253819.01)</f>
        <v>3253819.01</v>
      </c>
      <c r="F6" s="27">
        <f t="shared" si="1"/>
        <v>-656251.8868</v>
      </c>
      <c r="G6" s="29">
        <f>IFERROR(__xludf.DUMMYFUNCTION("IF(Parameters!$C$4 = 2019, FILTER('Fund Investment Data'!$Z:$Z, 'Fund Investment Data'!$C:$C = $A6, 'Fund Investment Data'!$A:$A = Parameters!$C$4 - 1, 'Fund Investment Data'!$B:$B = 12) + FILTER('Fund Investment Data'!$AB:$AB, 'Fund Investment Data'!$C:$"&amp;"C = $A6, 'Fund Investment Data'!$A:$A = Parameters!$C$4 - 1, 'Fund Investment Data'!$B:$B = 12),((FILTER('Fund Investment Data'!$Z:$Z, 'Fund Investment Data'!$C:$C = $A6, 'Fund Investment Data'!$A:$A = Parameters!$C$4 - 2, 'Fund Investment Data'!$B:$B = 1"&amp;"2) + FILTER('Fund Investment Data'!$AB:$AB, 'Fund Investment Data'!$C:$C = $A6, 'Fund Investment Data'!$A:$A = Parameters!$C$4 - 2, 'Fund Investment Data'!$B:$B = 12)) * (1 + AVERAGE(FILTER('Inflation Data'!$C:$C,'Inflation Data'!$A:$A = (Parameters!$C$4 "&amp;"- 3)))) * Parameters!$A$4) + ((FILTER('Fund Investment Data'!$P:$P, 'Fund Investment Data'!$C:$C = $A6, 'Fund Investment Data'!$A:$A = (Parameters!$C$4 - 3), 'Fund Investment Data'!$B:$B = 12) - SUM(FILTER('Fund Investment Data'!$V:$V, 'Fund Investment Da"&amp;"ta'!$C:$C = $A6, 'Fund Investment Data'!$A:$A = (Parameters!$C$4 - 3), 'Fund Investment Data'!$B:$B &gt; 3)))  * Parameters!$B$4 * (1 - Parameters!$A$4)) + ((SUM(FILTER('Fund Investment Data'!$V:$V, 'Fund Investment Data'!$C:$C = $A6, 'Fund Investment Data'!"&amp;"$A:$A = Parameters!$C$4 - 3, 'Fund Investment Data'!$B:$B &gt;= 4)) + SUM(FILTER('Fund Investment Data'!$V:$V, 'Fund Investment Data'!$C:$C = $A6, 'Fund Investment Data'!$A:$A = Parameters!$C$4 - 2, 'Fund Investment Data'!$B:$B &lt;= 3))) * Parameters!$B$4))"),147560.52293132656)</f>
        <v>147560.5229</v>
      </c>
      <c r="H6" s="127">
        <f>IFERROR(__xludf.DUMMYFUNCTION("IFERROR(($G6 * (1 + AVERAGE(FILTER('Inflation Data'!$C:$C,'Inflation Data'!$A:$A = (Parameters!$C$4 - 2)))) * Parameters!$A$4),0)"),105163.85561646378)</f>
        <v>105163.8556</v>
      </c>
      <c r="I6" s="127">
        <f>IFERROR(__xludf.DUMMYFUNCTION("IF(Parameters!$C$4 = 2019,IFERROR((IFERROR(FILTER('Fund Investment Data'!$P:$P,'Fund Investment Data'!$C:$C = $A6,'Fund Investment Data'!$A:$A = (Parameters!$C$4 - 2), 'Fund Investment Data'!$B:$B = 12),0) - SUM(FILTER('Fund Investment Data'!$V:$V, 'Fund "&amp;"Investment Data'!$C:$C = $A6, 'Fund Investment Data'!$A:$A = (Parameters!$C$4 - 2), 'Fund Investment Data'!$B:$B &gt; 3)))  * Parameters!$B$4 * (1 - Parameters!$A$4),0), ($E6  - SUM(FILTER('Fund Investment Data'!$V:$V, 'Fund Investment Data'!$C:$C = $A6, 'Fu"&amp;"nd Investment Data'!$A:$A = (Parameters!$C$4 - 2), 'Fund Investment Data'!$B:$B &gt; 3)))  * Parameters!$B$4 * (1 - Parameters!$A$4))"),43926.556635)</f>
        <v>43926.55664</v>
      </c>
      <c r="J6" s="128">
        <f t="shared" si="2"/>
        <v>149090.4123</v>
      </c>
      <c r="K6" s="129">
        <f>IFERROR(__xludf.DUMMYFUNCTION("((IFERROR(SUM(FILTER('Fund Investment Data'!$V:$V, 'Fund Investment Data'!$C:$C = $A6, 'Fund Investment Data'!$A:$A = Parameters!$C$4 - 1, 'Fund Investment Data'!$B:$B &gt;= 4, 'Fund Investment Data'!$B:$B &lt;= 6)) * Parameters!$B$4, 0)) / 4)"),0.0)</f>
        <v>0</v>
      </c>
      <c r="L6" s="129">
        <f>IFERROR(__xludf.DUMMYFUNCTION("((IFERROR(SUM(FILTER('Fund Investment Data'!$V:$V, 'Fund Investment Data'!$C:$C = $A6, 'Fund Investment Data'!$A:$A = Parameters!$C$4 - 1, 'Fund Investment Data'!$B:$B &gt;= 4, 'Fund Investment Data'!$B:$B &lt;= 9)) * Parameters!$B$4, 0)) / 4)"),0.0)</f>
        <v>0</v>
      </c>
      <c r="M6" s="129">
        <f>IFERROR(__xludf.DUMMYFUNCTION("((IFERROR(SUM(FILTER('Fund Investment Data'!$V:$V, 'Fund Investment Data'!$C:$C = $A6, 'Fund Investment Data'!$A:$A = Parameters!$C$4 - 1, 'Fund Investment Data'!$B:$B &gt;= 4, 'Fund Investment Data'!$B:$B &lt;= 12)) * Parameters!$B$4, 0)) / 4)"),0.0)</f>
        <v>0</v>
      </c>
      <c r="N6" s="129">
        <f>IFERROR(__xludf.DUMMYFUNCTION("((IFERROR(SUM(FILTER('Fund Investment Data'!$V:$V, 'Fund Investment Data'!$C:$C = $A6, 'Fund Investment Data'!$A:$A = Parameters!$C$4 - 1, 'Fund Investment Data'!$B:$B &gt;= 4, 'Fund Investment Data'!$B:$B &lt;= 12)) * Parameters!$B$4, 0) + IFERROR(SUM(FILTER('"&amp;"Fund Investment Data'!$V:$V, 'Fund Investment Data'!$C:$C = $A6, 'Fund Investment Data'!$A:$A = Parameters!$C$4, 'Fund Investment Data'!$B:$B &lt;= 3)) * Parameters!$B$4, 0)) / 4)"),0.0)</f>
        <v>0</v>
      </c>
      <c r="O6" s="130">
        <f>IFERROR(__xludf.DUMMYFUNCTION("((IFERROR(SUM(FILTER('Fund Investment Data'!$V:$V, 'Fund Investment Data'!$C:$C = $A6, 'Fund Investment Data'!$A:$A = Parameters!$C$4 - 2, 'Fund Investment Data'!$B:$B &gt;= 4)) * Parameters!$B$4,0) + IFERROR(SUM(FILTER('Fund Investment Data'!$V:$V, 'Fund In"&amp;"vestment Data'!$C:$C = $A6, 'Fund Investment Data'!$A:$A = Parameters!$C$4 - 1, 'Fund Investment Data'!$B:$B &lt;= 3)) * Parameters!$B$4,0)))"),0.0)</f>
        <v>0</v>
      </c>
      <c r="P6" s="131">
        <f t="shared" si="3"/>
        <v>0</v>
      </c>
      <c r="Q6" s="130">
        <f t="shared" si="4"/>
        <v>149090.4123</v>
      </c>
      <c r="R6" s="131">
        <f>IFERROR(__xludf.DUMMYFUNCTION("IFERROR(FILTER('Fund Investment Data'!$AF:$AF,'Fund Investment Data'!$C:$C = $A6,'Fund Investment Data'!$A:$A = (Parameters!$C$4 - 1), 'Fund Investment Data'!$B:$B = 12),0)"),0.0)</f>
        <v>0</v>
      </c>
      <c r="S6" s="132">
        <f t="shared" si="5"/>
        <v>149090.4123</v>
      </c>
      <c r="T6" s="133"/>
    </row>
    <row r="7">
      <c r="A7" s="36" t="s">
        <v>29</v>
      </c>
      <c r="B7" s="27" t="str">
        <f>IFERROR(__xludf.DUMMYFUNCTION("FILTER('Endowed Funds'!$B:$B,'Endowed Funds'!$A:$A = $A7)")," Archaeology ")</f>
        <v>Archaeology</v>
      </c>
      <c r="C7" s="28">
        <f>IFERROR(__xludf.DUMMYFUNCTION("IFERROR(sum(FILTER('Fund Investment Data'!$D:$D, 'Fund Investment Data'!$C:$C = $A7, 'Fund Investment Data'!$A:$A &lt;= (Parameters!$C$4 - 2), 'Fund Investment Data'!$B:$B = 12)),0)"),50000.0)</f>
        <v>50000</v>
      </c>
      <c r="D7" s="91">
        <f t="array" ref="D7">INDEX('Fund YTD Target Values'!$1:$1000, MATCH($A7,'Fund YTD Target Values'!$A:$A,0), MATCH(Parameters!$C$4 - 2,'Fund YTD Target Values'!$1:$1,0))</f>
        <v>78452.06886</v>
      </c>
      <c r="E7" s="29">
        <f>IFERROR(__xludf.DUMMYFUNCTION("IFERROR(FILTER('Fund Investment Data'!$P:$P,'Fund Investment Data'!$C:$C = $A7,'Fund Investment Data'!$A:$A = (Parameters!$C$4 - 2), 'Fund Investment Data'!$B:$B = 12) - FILTER('Fund Investment Data'!$AF:$AF,'Fund Investment Data'!$C:$C = $A7,'Fund Invest"&amp;"ment Data'!$A:$A = (Parameters!$C$4 - 2), 'Fund Investment Data'!$B:$B = 12),0)"),60299.89999999992)</f>
        <v>60299.9</v>
      </c>
      <c r="F7" s="27">
        <f t="shared" si="1"/>
        <v>-18152.16886</v>
      </c>
      <c r="G7" s="29">
        <f>IFERROR(__xludf.DUMMYFUNCTION("IF(Parameters!$C$4 = 2019, FILTER('Fund Investment Data'!$Z:$Z, 'Fund Investment Data'!$C:$C = $A7, 'Fund Investment Data'!$A:$A = Parameters!$C$4 - 1, 'Fund Investment Data'!$B:$B = 12) + FILTER('Fund Investment Data'!$AB:$AB, 'Fund Investment Data'!$C:$"&amp;"C = $A7, 'Fund Investment Data'!$A:$A = Parameters!$C$4 - 1, 'Fund Investment Data'!$B:$B = 12),((FILTER('Fund Investment Data'!$Z:$Z, 'Fund Investment Data'!$C:$C = $A7, 'Fund Investment Data'!$A:$A = Parameters!$C$4 - 2, 'Fund Investment Data'!$B:$B = 1"&amp;"2) + FILTER('Fund Investment Data'!$AB:$AB, 'Fund Investment Data'!$C:$C = $A7, 'Fund Investment Data'!$A:$A = Parameters!$C$4 - 2, 'Fund Investment Data'!$B:$B = 12)) * (1 + AVERAGE(FILTER('Inflation Data'!$C:$C,'Inflation Data'!$A:$A = (Parameters!$C$4 "&amp;"- 3)))) * Parameters!$A$4) + ((FILTER('Fund Investment Data'!$P:$P, 'Fund Investment Data'!$C:$C = $A7, 'Fund Investment Data'!$A:$A = (Parameters!$C$4 - 3), 'Fund Investment Data'!$B:$B = 12) - SUM(FILTER('Fund Investment Data'!$V:$V, 'Fund Investment Da"&amp;"ta'!$C:$C = $A7, 'Fund Investment Data'!$A:$A = (Parameters!$C$4 - 3), 'Fund Investment Data'!$B:$B &gt; 3)))  * Parameters!$B$4 * (1 - Parameters!$A$4)) + ((SUM(FILTER('Fund Investment Data'!$V:$V, 'Fund Investment Data'!$C:$C = $A7, 'Fund Investment Data'!"&amp;"$A:$A = Parameters!$C$4 - 3, 'Fund Investment Data'!$B:$B &gt;= 4)) + SUM(FILTER('Fund Investment Data'!$V:$V, 'Fund Investment Data'!$C:$C = $A7, 'Fund Investment Data'!$A:$A = Parameters!$C$4 - 2, 'Fund Investment Data'!$B:$B &lt;= 3))) * Parameters!$B$4))"),2630.157796557053)</f>
        <v>2630.157797</v>
      </c>
      <c r="H7" s="127">
        <f>IFERROR(__xludf.DUMMYFUNCTION("IFERROR(($G7 * (1 + AVERAGE(FILTER('Inflation Data'!$C:$C,'Inflation Data'!$A:$A = (Parameters!$C$4 - 2)))) * Parameters!$A$4),0)"),1874.468382674197)</f>
        <v>1874.468383</v>
      </c>
      <c r="I7" s="127">
        <f>IFERROR(__xludf.DUMMYFUNCTION("IF(Parameters!$C$4 = 2019,IFERROR((IFERROR(FILTER('Fund Investment Data'!$P:$P,'Fund Investment Data'!$C:$C = $A7,'Fund Investment Data'!$A:$A = (Parameters!$C$4 - 2), 'Fund Investment Data'!$B:$B = 12),0) - SUM(FILTER('Fund Investment Data'!$V:$V, 'Fund "&amp;"Investment Data'!$C:$C = $A7, 'Fund Investment Data'!$A:$A = (Parameters!$C$4 - 2), 'Fund Investment Data'!$B:$B &gt; 3)))  * Parameters!$B$4 * (1 - Parameters!$A$4),0), ($E7  - SUM(FILTER('Fund Investment Data'!$V:$V, 'Fund Investment Data'!$C:$C = $A7, 'Fu"&amp;"nd Investment Data'!$A:$A = (Parameters!$C$4 - 2), 'Fund Investment Data'!$B:$B &gt; 3)))  * Parameters!$B$4 * (1 - Parameters!$A$4))"),814.048649999999)</f>
        <v>814.04865</v>
      </c>
      <c r="J7" s="128">
        <f t="shared" si="2"/>
        <v>2688.517033</v>
      </c>
      <c r="K7" s="129">
        <f>IFERROR(__xludf.DUMMYFUNCTION("((IFERROR(SUM(FILTER('Fund Investment Data'!$V:$V, 'Fund Investment Data'!$C:$C = $A7, 'Fund Investment Data'!$A:$A = Parameters!$C$4 - 1, 'Fund Investment Data'!$B:$B &gt;= 4, 'Fund Investment Data'!$B:$B &lt;= 6)) * Parameters!$B$4, 0)) / 4)"),0.0)</f>
        <v>0</v>
      </c>
      <c r="L7" s="129">
        <f>IFERROR(__xludf.DUMMYFUNCTION("((IFERROR(SUM(FILTER('Fund Investment Data'!$V:$V, 'Fund Investment Data'!$C:$C = $A7, 'Fund Investment Data'!$A:$A = Parameters!$C$4 - 1, 'Fund Investment Data'!$B:$B &gt;= 4, 'Fund Investment Data'!$B:$B &lt;= 9)) * Parameters!$B$4, 0)) / 4)"),0.0)</f>
        <v>0</v>
      </c>
      <c r="M7" s="129">
        <f>IFERROR(__xludf.DUMMYFUNCTION("((IFERROR(SUM(FILTER('Fund Investment Data'!$V:$V, 'Fund Investment Data'!$C:$C = $A7, 'Fund Investment Data'!$A:$A = Parameters!$C$4 - 1, 'Fund Investment Data'!$B:$B &gt;= 4, 'Fund Investment Data'!$B:$B &lt;= 12)) * Parameters!$B$4, 0)) / 4)"),0.0)</f>
        <v>0</v>
      </c>
      <c r="N7" s="129">
        <f>IFERROR(__xludf.DUMMYFUNCTION("((IFERROR(SUM(FILTER('Fund Investment Data'!$V:$V, 'Fund Investment Data'!$C:$C = $A7, 'Fund Investment Data'!$A:$A = Parameters!$C$4 - 1, 'Fund Investment Data'!$B:$B &gt;= 4, 'Fund Investment Data'!$B:$B &lt;= 12)) * Parameters!$B$4, 0) + IFERROR(SUM(FILTER('"&amp;"Fund Investment Data'!$V:$V, 'Fund Investment Data'!$C:$C = $A7, 'Fund Investment Data'!$A:$A = Parameters!$C$4, 'Fund Investment Data'!$B:$B &lt;= 3)) * Parameters!$B$4, 0)) / 4)"),0.0)</f>
        <v>0</v>
      </c>
      <c r="O7" s="130">
        <f>IFERROR(__xludf.DUMMYFUNCTION("((IFERROR(SUM(FILTER('Fund Investment Data'!$V:$V, 'Fund Investment Data'!$C:$C = $A7, 'Fund Investment Data'!$A:$A = Parameters!$C$4 - 2, 'Fund Investment Data'!$B:$B &gt;= 4)) * Parameters!$B$4,0) + IFERROR(SUM(FILTER('Fund Investment Data'!$V:$V, 'Fund In"&amp;"vestment Data'!$C:$C = $A7, 'Fund Investment Data'!$A:$A = Parameters!$C$4 - 1, 'Fund Investment Data'!$B:$B &lt;= 3)) * Parameters!$B$4,0)))"),0.0)</f>
        <v>0</v>
      </c>
      <c r="P7" s="131">
        <f t="shared" si="3"/>
        <v>0</v>
      </c>
      <c r="Q7" s="130">
        <f t="shared" si="4"/>
        <v>2688.517033</v>
      </c>
      <c r="R7" s="131">
        <f>IFERROR(__xludf.DUMMYFUNCTION("IFERROR(FILTER('Fund Investment Data'!$AF:$AF,'Fund Investment Data'!$C:$C = $A7,'Fund Investment Data'!$A:$A = (Parameters!$C$4 - 1), 'Fund Investment Data'!$B:$B = 12),0)"),0.0)</f>
        <v>0</v>
      </c>
      <c r="S7" s="132">
        <f t="shared" si="5"/>
        <v>2688.517033</v>
      </c>
      <c r="T7" s="133"/>
    </row>
    <row r="8">
      <c r="A8" s="36" t="s">
        <v>30</v>
      </c>
      <c r="B8" s="27" t="str">
        <f>IFERROR(__xludf.DUMMYFUNCTION("FILTER('Endowed Funds'!$B:$B,'Endowed Funds'!$A:$A = $A8)")," Archaeology ")</f>
        <v>Archaeology</v>
      </c>
      <c r="C8" s="28">
        <f>IFERROR(__xludf.DUMMYFUNCTION("IFERROR(sum(FILTER('Fund Investment Data'!$D:$D, 'Fund Investment Data'!$C:$C = $A8, 'Fund Investment Data'!$A:$A &lt;= (Parameters!$C$4 - 2), 'Fund Investment Data'!$B:$B = 12)),0)"),11540.75)</f>
        <v>11540.75</v>
      </c>
      <c r="D8" s="91">
        <f t="array" ref="D8">INDEX('Fund YTD Target Values'!$1:$1000, MATCH($A8,'Fund YTD Target Values'!$A:$A,0), MATCH(Parameters!$C$4 - 2,'Fund YTD Target Values'!$1:$1,0))</f>
        <v>18819.48136</v>
      </c>
      <c r="E8" s="29">
        <f>IFERROR(__xludf.DUMMYFUNCTION("IFERROR(FILTER('Fund Investment Data'!$P:$P,'Fund Investment Data'!$C:$C = $A8,'Fund Investment Data'!$A:$A = (Parameters!$C$4 - 2), 'Fund Investment Data'!$B:$B = 12) - FILTER('Fund Investment Data'!$AF:$AF,'Fund Investment Data'!$C:$C = $A8,'Fund Invest"&amp;"ment Data'!$A:$A = (Parameters!$C$4 - 2), 'Fund Investment Data'!$B:$B = 12),0)"),18003.379999999986)</f>
        <v>18003.38</v>
      </c>
      <c r="F8" s="27">
        <f t="shared" si="1"/>
        <v>-816.1013611</v>
      </c>
      <c r="G8" s="29">
        <f>IFERROR(__xludf.DUMMYFUNCTION("IF(Parameters!$C$4 = 2019, FILTER('Fund Investment Data'!$Z:$Z, 'Fund Investment Data'!$C:$C = $A8, 'Fund Investment Data'!$A:$A = Parameters!$C$4 - 1, 'Fund Investment Data'!$B:$B = 12) + FILTER('Fund Investment Data'!$AB:$AB, 'Fund Investment Data'!$C:$"&amp;"C = $A8, 'Fund Investment Data'!$A:$A = Parameters!$C$4 - 1, 'Fund Investment Data'!$B:$B = 12),((FILTER('Fund Investment Data'!$Z:$Z, 'Fund Investment Data'!$C:$C = $A8, 'Fund Investment Data'!$A:$A = Parameters!$C$4 - 2, 'Fund Investment Data'!$B:$B = 1"&amp;"2) + FILTER('Fund Investment Data'!$AB:$AB, 'Fund Investment Data'!$C:$C = $A8, 'Fund Investment Data'!$A:$A = Parameters!$C$4 - 2, 'Fund Investment Data'!$B:$B = 12)) * (1 + AVERAGE(FILTER('Inflation Data'!$C:$C,'Inflation Data'!$A:$A = (Parameters!$C$4 "&amp;"- 3)))) * Parameters!$A$4) + ((FILTER('Fund Investment Data'!$P:$P, 'Fund Investment Data'!$C:$C = $A8, 'Fund Investment Data'!$A:$A = (Parameters!$C$4 - 3), 'Fund Investment Data'!$B:$B = 12) - SUM(FILTER('Fund Investment Data'!$V:$V, 'Fund Investment Da"&amp;"ta'!$C:$C = $A8, 'Fund Investment Data'!$A:$A = (Parameters!$C$4 - 3), 'Fund Investment Data'!$B:$B &gt; 3)))  * Parameters!$B$4 * (1 - Parameters!$A$4)) + ((SUM(FILTER('Fund Investment Data'!$V:$V, 'Fund Investment Data'!$C:$C = $A8, 'Fund Investment Data'!"&amp;"$A:$A = Parameters!$C$4 - 3, 'Fund Investment Data'!$B:$B &gt;= 4)) + SUM(FILTER('Fund Investment Data'!$V:$V, 'Fund Investment Data'!$C:$C = $A8, 'Fund Investment Data'!$A:$A = Parameters!$C$4 - 2, 'Fund Investment Data'!$B:$B &lt;= 3))) * Parameters!$B$4))"),785.3267194561832)</f>
        <v>785.3267195</v>
      </c>
      <c r="H8" s="127">
        <f>IFERROR(__xludf.DUMMYFUNCTION("IFERROR(($G8 * (1 + AVERAGE(FILTER('Inflation Data'!$C:$C,'Inflation Data'!$A:$A = (Parameters!$C$4 - 2)))) * Parameters!$A$4),0)"),559.6888930454454)</f>
        <v>559.688893</v>
      </c>
      <c r="I8" s="127">
        <f>IFERROR(__xludf.DUMMYFUNCTION("IF(Parameters!$C$4 = 2019,IFERROR((IFERROR(FILTER('Fund Investment Data'!$P:$P,'Fund Investment Data'!$C:$C = $A8,'Fund Investment Data'!$A:$A = (Parameters!$C$4 - 2), 'Fund Investment Data'!$B:$B = 12),0) - SUM(FILTER('Fund Investment Data'!$V:$V, 'Fund "&amp;"Investment Data'!$C:$C = $A8, 'Fund Investment Data'!$A:$A = (Parameters!$C$4 - 2), 'Fund Investment Data'!$B:$B &gt; 3)))  * Parameters!$B$4 * (1 - Parameters!$A$4),0), ($E8  - SUM(FILTER('Fund Investment Data'!$V:$V, 'Fund Investment Data'!$C:$C = $A8, 'Fu"&amp;"nd Investment Data'!$A:$A = (Parameters!$C$4 - 2), 'Fund Investment Data'!$B:$B &gt; 3)))  * Parameters!$B$4 * (1 - Parameters!$A$4))"),243.04562999999985)</f>
        <v>243.04563</v>
      </c>
      <c r="J8" s="128">
        <f t="shared" si="2"/>
        <v>802.734523</v>
      </c>
      <c r="K8" s="129">
        <f>IFERROR(__xludf.DUMMYFUNCTION("((IFERROR(SUM(FILTER('Fund Investment Data'!$V:$V, 'Fund Investment Data'!$C:$C = $A8, 'Fund Investment Data'!$A:$A = Parameters!$C$4 - 1, 'Fund Investment Data'!$B:$B &gt;= 4, 'Fund Investment Data'!$B:$B &lt;= 6)) * Parameters!$B$4, 0)) / 4)"),0.0)</f>
        <v>0</v>
      </c>
      <c r="L8" s="129">
        <f>IFERROR(__xludf.DUMMYFUNCTION("((IFERROR(SUM(FILTER('Fund Investment Data'!$V:$V, 'Fund Investment Data'!$C:$C = $A8, 'Fund Investment Data'!$A:$A = Parameters!$C$4 - 1, 'Fund Investment Data'!$B:$B &gt;= 4, 'Fund Investment Data'!$B:$B &lt;= 9)) * Parameters!$B$4, 0)) / 4)"),0.0)</f>
        <v>0</v>
      </c>
      <c r="M8" s="129">
        <f>IFERROR(__xludf.DUMMYFUNCTION("((IFERROR(SUM(FILTER('Fund Investment Data'!$V:$V, 'Fund Investment Data'!$C:$C = $A8, 'Fund Investment Data'!$A:$A = Parameters!$C$4 - 1, 'Fund Investment Data'!$B:$B &gt;= 4, 'Fund Investment Data'!$B:$B &lt;= 12)) * Parameters!$B$4, 0)) / 4)"),0.0)</f>
        <v>0</v>
      </c>
      <c r="N8" s="129">
        <f>IFERROR(__xludf.DUMMYFUNCTION("((IFERROR(SUM(FILTER('Fund Investment Data'!$V:$V, 'Fund Investment Data'!$C:$C = $A8, 'Fund Investment Data'!$A:$A = Parameters!$C$4 - 1, 'Fund Investment Data'!$B:$B &gt;= 4, 'Fund Investment Data'!$B:$B &lt;= 12)) * Parameters!$B$4, 0) + IFERROR(SUM(FILTER('"&amp;"Fund Investment Data'!$V:$V, 'Fund Investment Data'!$C:$C = $A8, 'Fund Investment Data'!$A:$A = Parameters!$C$4, 'Fund Investment Data'!$B:$B &lt;= 3)) * Parameters!$B$4, 0)) / 4)"),0.0)</f>
        <v>0</v>
      </c>
      <c r="O8" s="130">
        <f>IFERROR(__xludf.DUMMYFUNCTION("((IFERROR(SUM(FILTER('Fund Investment Data'!$V:$V, 'Fund Investment Data'!$C:$C = $A8, 'Fund Investment Data'!$A:$A = Parameters!$C$4 - 2, 'Fund Investment Data'!$B:$B &gt;= 4)) * Parameters!$B$4,0) + IFERROR(SUM(FILTER('Fund Investment Data'!$V:$V, 'Fund In"&amp;"vestment Data'!$C:$C = $A8, 'Fund Investment Data'!$A:$A = Parameters!$C$4 - 1, 'Fund Investment Data'!$B:$B &lt;= 3)) * Parameters!$B$4,0)))"),0.0)</f>
        <v>0</v>
      </c>
      <c r="P8" s="131">
        <f t="shared" si="3"/>
        <v>0</v>
      </c>
      <c r="Q8" s="130">
        <f t="shared" si="4"/>
        <v>802.734523</v>
      </c>
      <c r="R8" s="131">
        <f>IFERROR(__xludf.DUMMYFUNCTION("IFERROR(FILTER('Fund Investment Data'!$AF:$AF,'Fund Investment Data'!$C:$C = $A8,'Fund Investment Data'!$A:$A = (Parameters!$C$4 - 1), 'Fund Investment Data'!$B:$B = 12),0)"),0.0)</f>
        <v>0</v>
      </c>
      <c r="S8" s="132">
        <f t="shared" si="5"/>
        <v>802.734523</v>
      </c>
      <c r="T8" s="133"/>
    </row>
    <row r="9">
      <c r="A9" s="36" t="s">
        <v>31</v>
      </c>
      <c r="B9" s="27" t="str">
        <f>IFERROR(__xludf.DUMMYFUNCTION("FILTER('Endowed Funds'!$B:$B,'Endowed Funds'!$A:$A = $A9)")," Archaeology ")</f>
        <v>Archaeology</v>
      </c>
      <c r="C9" s="28">
        <f>IFERROR(__xludf.DUMMYFUNCTION("IFERROR(sum(FILTER('Fund Investment Data'!$D:$D, 'Fund Investment Data'!$C:$C = $A9, 'Fund Investment Data'!$A:$A &lt;= (Parameters!$C$4 - 2), 'Fund Investment Data'!$B:$B = 12)),0)"),158200.0)</f>
        <v>158200</v>
      </c>
      <c r="D9" s="91">
        <f t="array" ref="D9">INDEX('Fund YTD Target Values'!$1:$1000, MATCH($A9,'Fund YTD Target Values'!$A:$A,0), MATCH(Parameters!$C$4 - 2,'Fund YTD Target Values'!$1:$1,0))</f>
        <v>214470.0821</v>
      </c>
      <c r="E9" s="29">
        <f>IFERROR(__xludf.DUMMYFUNCTION("IFERROR(FILTER('Fund Investment Data'!$P:$P,'Fund Investment Data'!$C:$C = $A9,'Fund Investment Data'!$A:$A = (Parameters!$C$4 - 2), 'Fund Investment Data'!$B:$B = 12) - FILTER('Fund Investment Data'!$AF:$AF,'Fund Investment Data'!$C:$C = $A9,'Fund Invest"&amp;"ment Data'!$A:$A = (Parameters!$C$4 - 2), 'Fund Investment Data'!$B:$B = 12),0)"),185593.59)</f>
        <v>185593.59</v>
      </c>
      <c r="F9" s="27">
        <f t="shared" si="1"/>
        <v>-28876.49205</v>
      </c>
      <c r="G9" s="29">
        <f>IFERROR(__xludf.DUMMYFUNCTION("IF(Parameters!$C$4 = 2019, FILTER('Fund Investment Data'!$Z:$Z, 'Fund Investment Data'!$C:$C = $A9, 'Fund Investment Data'!$A:$A = Parameters!$C$4 - 1, 'Fund Investment Data'!$B:$B = 12) + FILTER('Fund Investment Data'!$AB:$AB, 'Fund Investment Data'!$C:$"&amp;"C = $A9, 'Fund Investment Data'!$A:$A = Parameters!$C$4 - 1, 'Fund Investment Data'!$B:$B = 12),((FILTER('Fund Investment Data'!$Z:$Z, 'Fund Investment Data'!$C:$C = $A9, 'Fund Investment Data'!$A:$A = Parameters!$C$4 - 2, 'Fund Investment Data'!$B:$B = 1"&amp;"2) + FILTER('Fund Investment Data'!$AB:$AB, 'Fund Investment Data'!$C:$C = $A9, 'Fund Investment Data'!$A:$A = Parameters!$C$4 - 2, 'Fund Investment Data'!$B:$B = 12)) * (1 + AVERAGE(FILTER('Inflation Data'!$C:$C,'Inflation Data'!$A:$A = (Parameters!$C$4 "&amp;"- 3)))) * Parameters!$A$4) + ((FILTER('Fund Investment Data'!$P:$P, 'Fund Investment Data'!$C:$C = $A9, 'Fund Investment Data'!$A:$A = (Parameters!$C$4 - 3), 'Fund Investment Data'!$B:$B = 12) - SUM(FILTER('Fund Investment Data'!$V:$V, 'Fund Investment Da"&amp;"ta'!$C:$C = $A9, 'Fund Investment Data'!$A:$A = (Parameters!$C$4 - 3), 'Fund Investment Data'!$B:$B &gt; 3)))  * Parameters!$B$4 * (1 - Parameters!$A$4)) + ((SUM(FILTER('Fund Investment Data'!$V:$V, 'Fund Investment Data'!$C:$C = $A9, 'Fund Investment Data'!"&amp;"$A:$A = Parameters!$C$4 - 3, 'Fund Investment Data'!$B:$B &gt;= 4)) + SUM(FILTER('Fund Investment Data'!$V:$V, 'Fund Investment Data'!$C:$C = $A9, 'Fund Investment Data'!$A:$A = Parameters!$C$4 - 2, 'Fund Investment Data'!$B:$B &lt;= 3))) * Parameters!$B$4))"),8503.202667288651)</f>
        <v>8503.202667</v>
      </c>
      <c r="H9" s="127">
        <f>IFERROR(__xludf.DUMMYFUNCTION("IFERROR(($G9 * (1 + AVERAGE(FILTER('Inflation Data'!$C:$C,'Inflation Data'!$A:$A = (Parameters!$C$4 - 2)))) * Parameters!$A$4),0)"),6060.086802460306)</f>
        <v>6060.086802</v>
      </c>
      <c r="I9" s="127">
        <f>IFERROR(__xludf.DUMMYFUNCTION("IF(Parameters!$C$4 = 2019,IFERROR((IFERROR(FILTER('Fund Investment Data'!$P:$P,'Fund Investment Data'!$C:$C = $A9,'Fund Investment Data'!$A:$A = (Parameters!$C$4 - 2), 'Fund Investment Data'!$B:$B = 12),0) - SUM(FILTER('Fund Investment Data'!$V:$V, 'Fund "&amp;"Investment Data'!$C:$C = $A9, 'Fund Investment Data'!$A:$A = (Parameters!$C$4 - 2), 'Fund Investment Data'!$B:$B &gt; 3)))  * Parameters!$B$4 * (1 - Parameters!$A$4),0), ($E9  - SUM(FILTER('Fund Investment Data'!$V:$V, 'Fund Investment Data'!$C:$C = $A9, 'Fu"&amp;"nd Investment Data'!$A:$A = (Parameters!$C$4 - 2), 'Fund Investment Data'!$B:$B &gt; 3)))  * Parameters!$B$4 * (1 - Parameters!$A$4))"),2504.1634650000005)</f>
        <v>2504.163465</v>
      </c>
      <c r="J9" s="128">
        <f t="shared" si="2"/>
        <v>8564.250267</v>
      </c>
      <c r="K9" s="129">
        <f>IFERROR(__xludf.DUMMYFUNCTION("((IFERROR(SUM(FILTER('Fund Investment Data'!$V:$V, 'Fund Investment Data'!$C:$C = $A9, 'Fund Investment Data'!$A:$A = Parameters!$C$4 - 1, 'Fund Investment Data'!$B:$B &gt;= 4, 'Fund Investment Data'!$B:$B &lt;= 6)) * Parameters!$B$4, 0)) / 4)"),0.0)</f>
        <v>0</v>
      </c>
      <c r="L9" s="129">
        <f>IFERROR(__xludf.DUMMYFUNCTION("((IFERROR(SUM(FILTER('Fund Investment Data'!$V:$V, 'Fund Investment Data'!$C:$C = $A9, 'Fund Investment Data'!$A:$A = Parameters!$C$4 - 1, 'Fund Investment Data'!$B:$B &gt;= 4, 'Fund Investment Data'!$B:$B &lt;= 9)) * Parameters!$B$4, 0)) / 4)"),0.0)</f>
        <v>0</v>
      </c>
      <c r="M9" s="129">
        <f>IFERROR(__xludf.DUMMYFUNCTION("((IFERROR(SUM(FILTER('Fund Investment Data'!$V:$V, 'Fund Investment Data'!$C:$C = $A9, 'Fund Investment Data'!$A:$A = Parameters!$C$4 - 1, 'Fund Investment Data'!$B:$B &gt;= 4, 'Fund Investment Data'!$B:$B &lt;= 12)) * Parameters!$B$4, 0)) / 4)"),0.0)</f>
        <v>0</v>
      </c>
      <c r="N9" s="129">
        <f>IFERROR(__xludf.DUMMYFUNCTION("((IFERROR(SUM(FILTER('Fund Investment Data'!$V:$V, 'Fund Investment Data'!$C:$C = $A9, 'Fund Investment Data'!$A:$A = Parameters!$C$4 - 1, 'Fund Investment Data'!$B:$B &gt;= 4, 'Fund Investment Data'!$B:$B &lt;= 12)) * Parameters!$B$4, 0) + IFERROR(SUM(FILTER('"&amp;"Fund Investment Data'!$V:$V, 'Fund Investment Data'!$C:$C = $A9, 'Fund Investment Data'!$A:$A = Parameters!$C$4, 'Fund Investment Data'!$B:$B &lt;= 3)) * Parameters!$B$4, 0)) / 4)"),0.0)</f>
        <v>0</v>
      </c>
      <c r="O9" s="130">
        <f>IFERROR(__xludf.DUMMYFUNCTION("((IFERROR(SUM(FILTER('Fund Investment Data'!$V:$V, 'Fund Investment Data'!$C:$C = $A9, 'Fund Investment Data'!$A:$A = Parameters!$C$4 - 2, 'Fund Investment Data'!$B:$B &gt;= 4)) * Parameters!$B$4,0) + IFERROR(SUM(FILTER('Fund Investment Data'!$V:$V, 'Fund In"&amp;"vestment Data'!$C:$C = $A9, 'Fund Investment Data'!$A:$A = Parameters!$C$4 - 1, 'Fund Investment Data'!$B:$B &lt;= 3)) * Parameters!$B$4,0)))"),4.5)</f>
        <v>4.5</v>
      </c>
      <c r="P9" s="131">
        <f t="shared" si="3"/>
        <v>4.5</v>
      </c>
      <c r="Q9" s="130">
        <f t="shared" si="4"/>
        <v>8568.750267</v>
      </c>
      <c r="R9" s="131">
        <f>IFERROR(__xludf.DUMMYFUNCTION("IFERROR(FILTER('Fund Investment Data'!$AF:$AF,'Fund Investment Data'!$C:$C = $A9,'Fund Investment Data'!$A:$A = (Parameters!$C$4 - 1), 'Fund Investment Data'!$B:$B = 12),0)"),0.0)</f>
        <v>0</v>
      </c>
      <c r="S9" s="132">
        <f t="shared" si="5"/>
        <v>8568.750267</v>
      </c>
      <c r="T9" s="133"/>
    </row>
    <row r="10">
      <c r="A10" s="26" t="s">
        <v>32</v>
      </c>
      <c r="B10" s="27" t="str">
        <f>IFERROR(__xludf.DUMMYFUNCTION("FILTER('Endowed Funds'!$B:$B,'Endowed Funds'!$A:$A = $A10)")," Archaeology ")</f>
        <v>Archaeology</v>
      </c>
      <c r="C10" s="28">
        <f>IFERROR(__xludf.DUMMYFUNCTION("IFERROR(sum(FILTER('Fund Investment Data'!$D:$D, 'Fund Investment Data'!$C:$C = $A10, 'Fund Investment Data'!$A:$A &lt;= (Parameters!$C$4 - 2), 'Fund Investment Data'!$B:$B = 12)),0)"),49449.04)</f>
        <v>49449.04</v>
      </c>
      <c r="D10" s="91">
        <f t="array" ref="D10">INDEX('Fund YTD Target Values'!$1:$1000, MATCH($A10,'Fund YTD Target Values'!$A:$A,0), MATCH(Parameters!$C$4 - 2,'Fund YTD Target Values'!$1:$1,0))</f>
        <v>80613.71135</v>
      </c>
      <c r="E10" s="29">
        <f>IFERROR(__xludf.DUMMYFUNCTION("IFERROR(FILTER('Fund Investment Data'!$P:$P,'Fund Investment Data'!$C:$C = $A10,'Fund Investment Data'!$A:$A = (Parameters!$C$4 - 2), 'Fund Investment Data'!$B:$B = 12) - FILTER('Fund Investment Data'!$AF:$AF,'Fund Investment Data'!$C:$C = $A10,'Fund Inve"&amp;"stment Data'!$A:$A = (Parameters!$C$4 - 2), 'Fund Investment Data'!$B:$B = 12),0)"),53253.300000000025)</f>
        <v>53253.3</v>
      </c>
      <c r="F10" s="27">
        <f t="shared" si="1"/>
        <v>-27360.41135</v>
      </c>
      <c r="G10" s="29">
        <f>IFERROR(__xludf.DUMMYFUNCTION("IF(Parameters!$C$4 = 2019, FILTER('Fund Investment Data'!$Z:$Z, 'Fund Investment Data'!$C:$C = $A10, 'Fund Investment Data'!$A:$A = Parameters!$C$4 - 1, 'Fund Investment Data'!$B:$B = 12) + FILTER('Fund Investment Data'!$AB:$AB, 'Fund Investment Data'!$C:"&amp;"$C = $A10, 'Fund Investment Data'!$A:$A = Parameters!$C$4 - 1, 'Fund Investment Data'!$B:$B = 12),((FILTER('Fund Investment Data'!$Z:$Z, 'Fund Investment Data'!$C:$C = $A10, 'Fund Investment Data'!$A:$A = Parameters!$C$4 - 2, 'Fund Investment Data'!$B:$B "&amp;"= 12) + FILTER('Fund Investment Data'!$AB:$AB, 'Fund Investment Data'!$C:$C = $A10, 'Fund Investment Data'!$A:$A = Parameters!$C$4 - 2, 'Fund Investment Data'!$B:$B = 12)) * (1 + AVERAGE(FILTER('Inflation Data'!$C:$C,'Inflation Data'!$A:$A = (Parameters!$"&amp;"C$4 - 3)))) * Parameters!$A$4) + ((FILTER('Fund Investment Data'!$P:$P, 'Fund Investment Data'!$C:$C = $A10, 'Fund Investment Data'!$A:$A = (Parameters!$C$4 - 3), 'Fund Investment Data'!$B:$B = 12) - SUM(FILTER('Fund Investment Data'!$V:$V, 'Fund Investme"&amp;"nt Data'!$C:$C = $A10, 'Fund Investment Data'!$A:$A = (Parameters!$C$4 - 3), 'Fund Investment Data'!$B:$B &gt; 3)))  * Parameters!$B$4 * (1 - Parameters!$A$4)) + ((SUM(FILTER('Fund Investment Data'!$V:$V, 'Fund Investment Data'!$C:$C = $A10, 'Fund Investment"&amp;" Data'!$A:$A = Parameters!$C$4 - 3, 'Fund Investment Data'!$B:$B &gt;= 4)) + SUM(FILTER('Fund Investment Data'!$V:$V, 'Fund Investment Data'!$C:$C = $A10, 'Fund Investment Data'!$A:$A = Parameters!$C$4 - 2, 'Fund Investment Data'!$B:$B &lt;= 3))) * Parameters!$"&amp;"B$4))"),2390.4870251922157)</f>
        <v>2390.487025</v>
      </c>
      <c r="H10" s="127">
        <f>IFERROR(__xludf.DUMMYFUNCTION("IFERROR(($G10 * (1 + AVERAGE(FILTER('Inflation Data'!$C:$C,'Inflation Data'!$A:$A = (Parameters!$C$4 - 2)))) * Parameters!$A$4),0)"),1703.6591316997456)</f>
        <v>1703.659132</v>
      </c>
      <c r="I10" s="127">
        <f>IFERROR(__xludf.DUMMYFUNCTION("IF(Parameters!$C$4 = 2019,IFERROR((IFERROR(FILTER('Fund Investment Data'!$P:$P,'Fund Investment Data'!$C:$C = $A10,'Fund Investment Data'!$A:$A = (Parameters!$C$4 - 2), 'Fund Investment Data'!$B:$B = 12),0) - SUM(FILTER('Fund Investment Data'!$V:$V, 'Fund"&amp;" Investment Data'!$C:$C = $A10, 'Fund Investment Data'!$A:$A = (Parameters!$C$4 - 2), 'Fund Investment Data'!$B:$B &gt; 3)))  * Parameters!$B$4 * (1 - Parameters!$A$4),0), ($E10  - SUM(FILTER('Fund Investment Data'!$V:$V, 'Fund Investment Data'!$C:$C = $A10,"&amp;" 'Fund Investment Data'!$A:$A = (Parameters!$C$4 - 2), 'Fund Investment Data'!$B:$B &gt; 3)))  * Parameters!$B$4 * (1 - Parameters!$A$4))"),718.9195500000004)</f>
        <v>718.91955</v>
      </c>
      <c r="J10" s="128">
        <f t="shared" si="2"/>
        <v>2422.578682</v>
      </c>
      <c r="K10" s="129">
        <f>IFERROR(__xludf.DUMMYFUNCTION("((IFERROR(SUM(FILTER('Fund Investment Data'!$V:$V, 'Fund Investment Data'!$C:$C = $A10, 'Fund Investment Data'!$A:$A = Parameters!$C$4 - 1, 'Fund Investment Data'!$B:$B &gt;= 4, 'Fund Investment Data'!$B:$B &lt;= 6)) * Parameters!$B$4, 0)) / 4)"),0.0)</f>
        <v>0</v>
      </c>
      <c r="L10" s="129">
        <f>IFERROR(__xludf.DUMMYFUNCTION("((IFERROR(SUM(FILTER('Fund Investment Data'!$V:$V, 'Fund Investment Data'!$C:$C = $A10, 'Fund Investment Data'!$A:$A = Parameters!$C$4 - 1, 'Fund Investment Data'!$B:$B &gt;= 4, 'Fund Investment Data'!$B:$B &lt;= 9)) * Parameters!$B$4, 0)) / 4)"),0.0)</f>
        <v>0</v>
      </c>
      <c r="M10" s="129">
        <f>IFERROR(__xludf.DUMMYFUNCTION("((IFERROR(SUM(FILTER('Fund Investment Data'!$V:$V, 'Fund Investment Data'!$C:$C = $A10, 'Fund Investment Data'!$A:$A = Parameters!$C$4 - 1, 'Fund Investment Data'!$B:$B &gt;= 4, 'Fund Investment Data'!$B:$B &lt;= 12)) * Parameters!$B$4, 0)) / 4)"),0.0)</f>
        <v>0</v>
      </c>
      <c r="N10" s="129">
        <f>IFERROR(__xludf.DUMMYFUNCTION("((IFERROR(SUM(FILTER('Fund Investment Data'!$V:$V, 'Fund Investment Data'!$C:$C = $A10, 'Fund Investment Data'!$A:$A = Parameters!$C$4 - 1, 'Fund Investment Data'!$B:$B &gt;= 4, 'Fund Investment Data'!$B:$B &lt;= 12)) * Parameters!$B$4, 0) + IFERROR(SUM(FILTER("&amp;"'Fund Investment Data'!$V:$V, 'Fund Investment Data'!$C:$C = $A10, 'Fund Investment Data'!$A:$A = Parameters!$C$4, 'Fund Investment Data'!$B:$B &lt;= 3)) * Parameters!$B$4, 0)) / 4)"),0.0)</f>
        <v>0</v>
      </c>
      <c r="O10" s="130">
        <f>IFERROR(__xludf.DUMMYFUNCTION("((IFERROR(SUM(FILTER('Fund Investment Data'!$V:$V, 'Fund Investment Data'!$C:$C = $A10, 'Fund Investment Data'!$A:$A = Parameters!$C$4 - 2, 'Fund Investment Data'!$B:$B &gt;= 4)) * Parameters!$B$4,0) + IFERROR(SUM(FILTER('Fund Investment Data'!$V:$V, 'Fund I"&amp;"nvestment Data'!$C:$C = $A10, 'Fund Investment Data'!$A:$A = Parameters!$C$4 - 1, 'Fund Investment Data'!$B:$B &lt;= 3)) * Parameters!$B$4,0)))"),0.0)</f>
        <v>0</v>
      </c>
      <c r="P10" s="131">
        <f t="shared" si="3"/>
        <v>0</v>
      </c>
      <c r="Q10" s="130">
        <f t="shared" si="4"/>
        <v>2422.578682</v>
      </c>
      <c r="R10" s="131">
        <f>IFERROR(__xludf.DUMMYFUNCTION("IFERROR(FILTER('Fund Investment Data'!$AF:$AF,'Fund Investment Data'!$C:$C = $A10,'Fund Investment Data'!$A:$A = (Parameters!$C$4 - 1), 'Fund Investment Data'!$B:$B = 12),0)"),0.0)</f>
        <v>0</v>
      </c>
      <c r="S10" s="132">
        <f t="shared" si="5"/>
        <v>2422.578682</v>
      </c>
      <c r="T10" s="133"/>
    </row>
    <row r="11">
      <c r="A11" s="36" t="s">
        <v>33</v>
      </c>
      <c r="B11" s="27" t="str">
        <f>IFERROR(__xludf.DUMMYFUNCTION("FILTER('Endowed Funds'!$B:$B,'Endowed Funds'!$A:$A = $A11)")," Archaeology ")</f>
        <v>Archaeology</v>
      </c>
      <c r="C11" s="28">
        <f>IFERROR(__xludf.DUMMYFUNCTION("IFERROR(sum(FILTER('Fund Investment Data'!$D:$D, 'Fund Investment Data'!$C:$C = $A11, 'Fund Investment Data'!$A:$A &lt;= (Parameters!$C$4 - 2), 'Fund Investment Data'!$B:$B = 12)),0)"),325871.6399999999)</f>
        <v>325871.64</v>
      </c>
      <c r="D11" s="91">
        <f t="array" ref="D11">INDEX('Fund YTD Target Values'!$1:$1000, MATCH($A11,'Fund YTD Target Values'!$A:$A,0), MATCH(Parameters!$C$4 - 2,'Fund YTD Target Values'!$1:$1,0))</f>
        <v>522221.9976</v>
      </c>
      <c r="E11" s="29">
        <f>IFERROR(__xludf.DUMMYFUNCTION("IFERROR(FILTER('Fund Investment Data'!$P:$P,'Fund Investment Data'!$C:$C = $A11,'Fund Investment Data'!$A:$A = (Parameters!$C$4 - 2), 'Fund Investment Data'!$B:$B = 12) - FILTER('Fund Investment Data'!$AF:$AF,'Fund Investment Data'!$C:$C = $A11,'Fund Inve"&amp;"stment Data'!$A:$A = (Parameters!$C$4 - 2), 'Fund Investment Data'!$B:$B = 12),0)"),351365.58999999985)</f>
        <v>351365.59</v>
      </c>
      <c r="F11" s="27">
        <f t="shared" si="1"/>
        <v>-170856.4076</v>
      </c>
      <c r="G11" s="29">
        <f>IFERROR(__xludf.DUMMYFUNCTION("IF(Parameters!$C$4 = 2019, FILTER('Fund Investment Data'!$Z:$Z, 'Fund Investment Data'!$C:$C = $A11, 'Fund Investment Data'!$A:$A = Parameters!$C$4 - 1, 'Fund Investment Data'!$B:$B = 12) + FILTER('Fund Investment Data'!$AB:$AB, 'Fund Investment Data'!$C:"&amp;"$C = $A11, 'Fund Investment Data'!$A:$A = Parameters!$C$4 - 1, 'Fund Investment Data'!$B:$B = 12),((FILTER('Fund Investment Data'!$Z:$Z, 'Fund Investment Data'!$C:$C = $A11, 'Fund Investment Data'!$A:$A = Parameters!$C$4 - 2, 'Fund Investment Data'!$B:$B "&amp;"= 12) + FILTER('Fund Investment Data'!$AB:$AB, 'Fund Investment Data'!$C:$C = $A11, 'Fund Investment Data'!$A:$A = Parameters!$C$4 - 2, 'Fund Investment Data'!$B:$B = 12)) * (1 + AVERAGE(FILTER('Inflation Data'!$C:$C,'Inflation Data'!$A:$A = (Parameters!$"&amp;"C$4 - 3)))) * Parameters!$A$4) + ((FILTER('Fund Investment Data'!$P:$P, 'Fund Investment Data'!$C:$C = $A11, 'Fund Investment Data'!$A:$A = (Parameters!$C$4 - 3), 'Fund Investment Data'!$B:$B = 12) - SUM(FILTER('Fund Investment Data'!$V:$V, 'Fund Investme"&amp;"nt Data'!$C:$C = $A11, 'Fund Investment Data'!$A:$A = (Parameters!$C$4 - 3), 'Fund Investment Data'!$B:$B &gt; 3)))  * Parameters!$B$4 * (1 - Parameters!$A$4)) + ((SUM(FILTER('Fund Investment Data'!$V:$V, 'Fund Investment Data'!$C:$C = $A11, 'Fund Investment"&amp;" Data'!$A:$A = Parameters!$C$4 - 3, 'Fund Investment Data'!$B:$B &gt;= 4)) + SUM(FILTER('Fund Investment Data'!$V:$V, 'Fund Investment Data'!$C:$C = $A11, 'Fund Investment Data'!$A:$A = Parameters!$C$4 - 2, 'Fund Investment Data'!$B:$B &lt;= 3))) * Parameters!$"&amp;"B$4))"),15919.38487863704)</f>
        <v>15919.38488</v>
      </c>
      <c r="H11" s="127">
        <f>IFERROR(__xludf.DUMMYFUNCTION("IFERROR(($G11 * (1 + AVERAGE(FILTER('Inflation Data'!$C:$C,'Inflation Data'!$A:$A = (Parameters!$C$4 - 2)))) * Parameters!$A$4),0)"),11345.472756687337)</f>
        <v>11345.47276</v>
      </c>
      <c r="I11" s="127">
        <f>IFERROR(__xludf.DUMMYFUNCTION("IF(Parameters!$C$4 = 2019,IFERROR((IFERROR(FILTER('Fund Investment Data'!$P:$P,'Fund Investment Data'!$C:$C = $A11,'Fund Investment Data'!$A:$A = (Parameters!$C$4 - 2), 'Fund Investment Data'!$B:$B = 12),0) - SUM(FILTER('Fund Investment Data'!$V:$V, 'Fund"&amp;" Investment Data'!$C:$C = $A11, 'Fund Investment Data'!$A:$A = (Parameters!$C$4 - 2), 'Fund Investment Data'!$B:$B &gt; 3)))  * Parameters!$B$4 * (1 - Parameters!$A$4),0), ($E11  - SUM(FILTER('Fund Investment Data'!$V:$V, 'Fund Investment Data'!$C:$C = $A11,"&amp;" 'Fund Investment Data'!$A:$A = (Parameters!$C$4 - 2), 'Fund Investment Data'!$B:$B &gt; 3)))  * Parameters!$B$4 * (1 - Parameters!$A$4))"),4743.435464999999)</f>
        <v>4743.435465</v>
      </c>
      <c r="J11" s="128">
        <f t="shared" si="2"/>
        <v>16088.90822</v>
      </c>
      <c r="K11" s="129">
        <f>IFERROR(__xludf.DUMMYFUNCTION("((IFERROR(SUM(FILTER('Fund Investment Data'!$V:$V, 'Fund Investment Data'!$C:$C = $A11, 'Fund Investment Data'!$A:$A = Parameters!$C$4 - 1, 'Fund Investment Data'!$B:$B &gt;= 4, 'Fund Investment Data'!$B:$B &lt;= 6)) * Parameters!$B$4, 0)) / 4)"),0.0)</f>
        <v>0</v>
      </c>
      <c r="L11" s="129">
        <f>IFERROR(__xludf.DUMMYFUNCTION("((IFERROR(SUM(FILTER('Fund Investment Data'!$V:$V, 'Fund Investment Data'!$C:$C = $A11, 'Fund Investment Data'!$A:$A = Parameters!$C$4 - 1, 'Fund Investment Data'!$B:$B &gt;= 4, 'Fund Investment Data'!$B:$B &lt;= 9)) * Parameters!$B$4, 0)) / 4)"),0.0)</f>
        <v>0</v>
      </c>
      <c r="M11" s="129">
        <f>IFERROR(__xludf.DUMMYFUNCTION("((IFERROR(SUM(FILTER('Fund Investment Data'!$V:$V, 'Fund Investment Data'!$C:$C = $A11, 'Fund Investment Data'!$A:$A = Parameters!$C$4 - 1, 'Fund Investment Data'!$B:$B &gt;= 4, 'Fund Investment Data'!$B:$B &lt;= 12)) * Parameters!$B$4, 0)) / 4)"),0.0)</f>
        <v>0</v>
      </c>
      <c r="N11" s="129">
        <f>IFERROR(__xludf.DUMMYFUNCTION("((IFERROR(SUM(FILTER('Fund Investment Data'!$V:$V, 'Fund Investment Data'!$C:$C = $A11, 'Fund Investment Data'!$A:$A = Parameters!$C$4 - 1, 'Fund Investment Data'!$B:$B &gt;= 4, 'Fund Investment Data'!$B:$B &lt;= 12)) * Parameters!$B$4, 0) + IFERROR(SUM(FILTER("&amp;"'Fund Investment Data'!$V:$V, 'Fund Investment Data'!$C:$C = $A11, 'Fund Investment Data'!$A:$A = Parameters!$C$4, 'Fund Investment Data'!$B:$B &lt;= 3)) * Parameters!$B$4, 0)) / 4)"),0.0)</f>
        <v>0</v>
      </c>
      <c r="O11" s="130">
        <f>IFERROR(__xludf.DUMMYFUNCTION("((IFERROR(SUM(FILTER('Fund Investment Data'!$V:$V, 'Fund Investment Data'!$C:$C = $A11, 'Fund Investment Data'!$A:$A = Parameters!$C$4 - 2, 'Fund Investment Data'!$B:$B &gt;= 4)) * Parameters!$B$4,0) + IFERROR(SUM(FILTER('Fund Investment Data'!$V:$V, 'Fund I"&amp;"nvestment Data'!$C:$C = $A11, 'Fund Investment Data'!$A:$A = Parameters!$C$4 - 1, 'Fund Investment Data'!$B:$B &lt;= 3)) * Parameters!$B$4,0)))"),0.0)</f>
        <v>0</v>
      </c>
      <c r="P11" s="131">
        <f t="shared" si="3"/>
        <v>0</v>
      </c>
      <c r="Q11" s="130">
        <f t="shared" si="4"/>
        <v>16088.90822</v>
      </c>
      <c r="R11" s="131">
        <f>IFERROR(__xludf.DUMMYFUNCTION("IFERROR(FILTER('Fund Investment Data'!$AF:$AF,'Fund Investment Data'!$C:$C = $A11,'Fund Investment Data'!$A:$A = (Parameters!$C$4 - 1), 'Fund Investment Data'!$B:$B = 12),0)"),0.0)</f>
        <v>0</v>
      </c>
      <c r="S11" s="132">
        <f t="shared" si="5"/>
        <v>16088.90822</v>
      </c>
      <c r="T11" s="133"/>
    </row>
    <row r="12">
      <c r="A12" s="36" t="s">
        <v>34</v>
      </c>
      <c r="B12" s="27" t="str">
        <f>IFERROR(__xludf.DUMMYFUNCTION("FILTER('Endowed Funds'!$B:$B,'Endowed Funds'!$A:$A = $A12)")," Archaeology ")</f>
        <v>Archaeology</v>
      </c>
      <c r="C12" s="28">
        <f>IFERROR(__xludf.DUMMYFUNCTION("IFERROR(sum(FILTER('Fund Investment Data'!$D:$D, 'Fund Investment Data'!$C:$C = $A12, 'Fund Investment Data'!$A:$A &lt;= (Parameters!$C$4 - 2), 'Fund Investment Data'!$B:$B = 12)),0)"),125000.0)</f>
        <v>125000</v>
      </c>
      <c r="D12" s="91">
        <f t="array" ref="D12">INDEX('Fund YTD Target Values'!$1:$1000, MATCH($A12,'Fund YTD Target Values'!$A:$A,0), MATCH(Parameters!$C$4 - 2,'Fund YTD Target Values'!$1:$1,0))</f>
        <v>137779.5763</v>
      </c>
      <c r="E12" s="29">
        <f>IFERROR(__xludf.DUMMYFUNCTION("IFERROR(FILTER('Fund Investment Data'!$P:$P,'Fund Investment Data'!$C:$C = $A12,'Fund Investment Data'!$A:$A = (Parameters!$C$4 - 2), 'Fund Investment Data'!$B:$B = 12) - FILTER('Fund Investment Data'!$AF:$AF,'Fund Investment Data'!$C:$C = $A12,'Fund Inve"&amp;"stment Data'!$A:$A = (Parameters!$C$4 - 2), 'Fund Investment Data'!$B:$B = 12),0)"),147727.64999999997)</f>
        <v>147727.65</v>
      </c>
      <c r="F12" s="27">
        <f t="shared" si="1"/>
        <v>9948.073679</v>
      </c>
      <c r="G12" s="29">
        <f>IFERROR(__xludf.DUMMYFUNCTION("IF(Parameters!$C$4 = 2019, FILTER('Fund Investment Data'!$Z:$Z, 'Fund Investment Data'!$C:$C = $A12, 'Fund Investment Data'!$A:$A = Parameters!$C$4 - 1, 'Fund Investment Data'!$B:$B = 12) + FILTER('Fund Investment Data'!$AB:$AB, 'Fund Investment Data'!$C:"&amp;"$C = $A12, 'Fund Investment Data'!$A:$A = Parameters!$C$4 - 1, 'Fund Investment Data'!$B:$B = 12),((FILTER('Fund Investment Data'!$Z:$Z, 'Fund Investment Data'!$C:$C = $A12, 'Fund Investment Data'!$A:$A = Parameters!$C$4 - 2, 'Fund Investment Data'!$B:$B "&amp;"= 12) + FILTER('Fund Investment Data'!$AB:$AB, 'Fund Investment Data'!$C:$C = $A12, 'Fund Investment Data'!$A:$A = Parameters!$C$4 - 2, 'Fund Investment Data'!$B:$B = 12)) * (1 + AVERAGE(FILTER('Inflation Data'!$C:$C,'Inflation Data'!$A:$A = (Parameters!$"&amp;"C$4 - 3)))) * Parameters!$A$4) + ((FILTER('Fund Investment Data'!$P:$P, 'Fund Investment Data'!$C:$C = $A12, 'Fund Investment Data'!$A:$A = (Parameters!$C$4 - 3), 'Fund Investment Data'!$B:$B = 12) - SUM(FILTER('Fund Investment Data'!$V:$V, 'Fund Investme"&amp;"nt Data'!$C:$C = $A12, 'Fund Investment Data'!$A:$A = (Parameters!$C$4 - 3), 'Fund Investment Data'!$B:$B &gt; 3)))  * Parameters!$B$4 * (1 - Parameters!$A$4)) + ((SUM(FILTER('Fund Investment Data'!$V:$V, 'Fund Investment Data'!$C:$C = $A12, 'Fund Investment"&amp;" Data'!$A:$A = Parameters!$C$4 - 3, 'Fund Investment Data'!$B:$B &gt;= 4)) + SUM(FILTER('Fund Investment Data'!$V:$V, 'Fund Investment Data'!$C:$C = $A12, 'Fund Investment Data'!$A:$A = Parameters!$C$4 - 2, 'Fund Investment Data'!$B:$B &lt;= 3))) * Parameters!$"&amp;"B$4))"),6494.4426054152345)</f>
        <v>6494.442605</v>
      </c>
      <c r="H12" s="127">
        <f>IFERROR(__xludf.DUMMYFUNCTION("IFERROR(($G12 * (1 + AVERAGE(FILTER('Inflation Data'!$C:$C,'Inflation Data'!$A:$A = (Parameters!$C$4 - 2)))) * Parameters!$A$4),0)"),4628.477935004013)</f>
        <v>4628.477935</v>
      </c>
      <c r="I12" s="127">
        <f>IFERROR(__xludf.DUMMYFUNCTION("IF(Parameters!$C$4 = 2019,IFERROR((IFERROR(FILTER('Fund Investment Data'!$P:$P,'Fund Investment Data'!$C:$C = $A12,'Fund Investment Data'!$A:$A = (Parameters!$C$4 - 2), 'Fund Investment Data'!$B:$B = 12),0) - SUM(FILTER('Fund Investment Data'!$V:$V, 'Fund"&amp;" Investment Data'!$C:$C = $A12, 'Fund Investment Data'!$A:$A = (Parameters!$C$4 - 2), 'Fund Investment Data'!$B:$B &gt; 3)))  * Parameters!$B$4 * (1 - Parameters!$A$4),0), ($E12  - SUM(FILTER('Fund Investment Data'!$V:$V, 'Fund Investment Data'!$C:$C = $A12,"&amp;" 'Fund Investment Data'!$A:$A = (Parameters!$C$4 - 2), 'Fund Investment Data'!$B:$B &gt; 3)))  * Parameters!$B$4 * (1 - Parameters!$A$4))"),1994.3232749999997)</f>
        <v>1994.323275</v>
      </c>
      <c r="J12" s="128">
        <f t="shared" si="2"/>
        <v>6622.80121</v>
      </c>
      <c r="K12" s="129">
        <f>IFERROR(__xludf.DUMMYFUNCTION("((IFERROR(SUM(FILTER('Fund Investment Data'!$V:$V, 'Fund Investment Data'!$C:$C = $A12, 'Fund Investment Data'!$A:$A = Parameters!$C$4 - 1, 'Fund Investment Data'!$B:$B &gt;= 4, 'Fund Investment Data'!$B:$B &lt;= 6)) * Parameters!$B$4, 0)) / 4)"),0.0)</f>
        <v>0</v>
      </c>
      <c r="L12" s="129">
        <f>IFERROR(__xludf.DUMMYFUNCTION("((IFERROR(SUM(FILTER('Fund Investment Data'!$V:$V, 'Fund Investment Data'!$C:$C = $A12, 'Fund Investment Data'!$A:$A = Parameters!$C$4 - 1, 'Fund Investment Data'!$B:$B &gt;= 4, 'Fund Investment Data'!$B:$B &lt;= 9)) * Parameters!$B$4, 0)) / 4)"),0.0)</f>
        <v>0</v>
      </c>
      <c r="M12" s="129">
        <f>IFERROR(__xludf.DUMMYFUNCTION("((IFERROR(SUM(FILTER('Fund Investment Data'!$V:$V, 'Fund Investment Data'!$C:$C = $A12, 'Fund Investment Data'!$A:$A = Parameters!$C$4 - 1, 'Fund Investment Data'!$B:$B &gt;= 4, 'Fund Investment Data'!$B:$B &lt;= 12)) * Parameters!$B$4, 0)) / 4)"),0.0)</f>
        <v>0</v>
      </c>
      <c r="N12" s="129">
        <f>IFERROR(__xludf.DUMMYFUNCTION("((IFERROR(SUM(FILTER('Fund Investment Data'!$V:$V, 'Fund Investment Data'!$C:$C = $A12, 'Fund Investment Data'!$A:$A = Parameters!$C$4 - 1, 'Fund Investment Data'!$B:$B &gt;= 4, 'Fund Investment Data'!$B:$B &lt;= 12)) * Parameters!$B$4, 0) + IFERROR(SUM(FILTER("&amp;"'Fund Investment Data'!$V:$V, 'Fund Investment Data'!$C:$C = $A12, 'Fund Investment Data'!$A:$A = Parameters!$C$4, 'Fund Investment Data'!$B:$B &lt;= 3)) * Parameters!$B$4, 0)) / 4)"),0.0)</f>
        <v>0</v>
      </c>
      <c r="O12" s="130">
        <f>IFERROR(__xludf.DUMMYFUNCTION("((IFERROR(SUM(FILTER('Fund Investment Data'!$V:$V, 'Fund Investment Data'!$C:$C = $A12, 'Fund Investment Data'!$A:$A = Parameters!$C$4 - 2, 'Fund Investment Data'!$B:$B &gt;= 4)) * Parameters!$B$4,0) + IFERROR(SUM(FILTER('Fund Investment Data'!$V:$V, 'Fund I"&amp;"nvestment Data'!$C:$C = $A12, 'Fund Investment Data'!$A:$A = Parameters!$C$4 - 1, 'Fund Investment Data'!$B:$B &lt;= 3)) * Parameters!$B$4,0)))"),0.0)</f>
        <v>0</v>
      </c>
      <c r="P12" s="131">
        <f t="shared" si="3"/>
        <v>0</v>
      </c>
      <c r="Q12" s="130">
        <f t="shared" si="4"/>
        <v>6622.80121</v>
      </c>
      <c r="R12" s="131">
        <f>IFERROR(__xludf.DUMMYFUNCTION("IFERROR(FILTER('Fund Investment Data'!$AF:$AF,'Fund Investment Data'!$C:$C = $A12,'Fund Investment Data'!$A:$A = (Parameters!$C$4 - 1), 'Fund Investment Data'!$B:$B = 12),0)"),0.0)</f>
        <v>0</v>
      </c>
      <c r="S12" s="132">
        <f t="shared" si="5"/>
        <v>6622.80121</v>
      </c>
      <c r="T12" s="133"/>
    </row>
    <row r="13">
      <c r="A13" s="36" t="s">
        <v>35</v>
      </c>
      <c r="B13" s="27" t="str">
        <f>IFERROR(__xludf.DUMMYFUNCTION("FILTER('Endowed Funds'!$B:$B,'Endowed Funds'!$A:$A = $A13)")," Archaeology ")</f>
        <v>Archaeology</v>
      </c>
      <c r="C13" s="28">
        <f>IFERROR(__xludf.DUMMYFUNCTION("IFERROR(sum(FILTER('Fund Investment Data'!$D:$D, 'Fund Investment Data'!$C:$C = $A13, 'Fund Investment Data'!$A:$A &lt;= (Parameters!$C$4 - 2), 'Fund Investment Data'!$B:$B = 12)),0)"),1086625.0)</f>
        <v>1086625</v>
      </c>
      <c r="D13" s="91">
        <f t="array" ref="D13">INDEX('Fund YTD Target Values'!$1:$1000, MATCH($A13,'Fund YTD Target Values'!$A:$A,0), MATCH(Parameters!$C$4 - 2,'Fund YTD Target Values'!$1:$1,0))</f>
        <v>1607860.761</v>
      </c>
      <c r="E13" s="29">
        <f>IFERROR(__xludf.DUMMYFUNCTION("IFERROR(FILTER('Fund Investment Data'!$P:$P,'Fund Investment Data'!$C:$C = $A13,'Fund Investment Data'!$A:$A = (Parameters!$C$4 - 2), 'Fund Investment Data'!$B:$B = 12) - FILTER('Fund Investment Data'!$AF:$AF,'Fund Investment Data'!$C:$C = $A13,'Fund Inve"&amp;"stment Data'!$A:$A = (Parameters!$C$4 - 2), 'Fund Investment Data'!$B:$B = 12),0)"),1452126.2700000005)</f>
        <v>1452126.27</v>
      </c>
      <c r="F13" s="27">
        <f t="shared" si="1"/>
        <v>-155734.4911</v>
      </c>
      <c r="G13" s="29">
        <f>IFERROR(__xludf.DUMMYFUNCTION("IF(Parameters!$C$4 = 2019, FILTER('Fund Investment Data'!$Z:$Z, 'Fund Investment Data'!$C:$C = $A13, 'Fund Investment Data'!$A:$A = Parameters!$C$4 - 1, 'Fund Investment Data'!$B:$B = 12) + FILTER('Fund Investment Data'!$AB:$AB, 'Fund Investment Data'!$C:"&amp;"$C = $A13, 'Fund Investment Data'!$A:$A = Parameters!$C$4 - 1, 'Fund Investment Data'!$B:$B = 12),((FILTER('Fund Investment Data'!$Z:$Z, 'Fund Investment Data'!$C:$C = $A13, 'Fund Investment Data'!$A:$A = Parameters!$C$4 - 2, 'Fund Investment Data'!$B:$B "&amp;"= 12) + FILTER('Fund Investment Data'!$AB:$AB, 'Fund Investment Data'!$C:$C = $A13, 'Fund Investment Data'!$A:$A = Parameters!$C$4 - 2, 'Fund Investment Data'!$B:$B = 12)) * (1 + AVERAGE(FILTER('Inflation Data'!$C:$C,'Inflation Data'!$A:$A = (Parameters!$"&amp;"C$4 - 3)))) * Parameters!$A$4) + ((FILTER('Fund Investment Data'!$P:$P, 'Fund Investment Data'!$C:$C = $A13, 'Fund Investment Data'!$A:$A = (Parameters!$C$4 - 3), 'Fund Investment Data'!$B:$B = 12) - SUM(FILTER('Fund Investment Data'!$V:$V, 'Fund Investme"&amp;"nt Data'!$C:$C = $A13, 'Fund Investment Data'!$A:$A = (Parameters!$C$4 - 3), 'Fund Investment Data'!$B:$B &gt; 3)))  * Parameters!$B$4 * (1 - Parameters!$A$4)) + ((SUM(FILTER('Fund Investment Data'!$V:$V, 'Fund Investment Data'!$C:$C = $A13, 'Fund Investment"&amp;" Data'!$A:$A = Parameters!$C$4 - 3, 'Fund Investment Data'!$B:$B &gt;= 4)) + SUM(FILTER('Fund Investment Data'!$V:$V, 'Fund Investment Data'!$C:$C = $A13, 'Fund Investment Data'!$A:$A = Parameters!$C$4 - 2, 'Fund Investment Data'!$B:$B &lt;= 3))) * Parameters!$"&amp;"B$4))"),65486.33773894091)</f>
        <v>65486.33774</v>
      </c>
      <c r="H13" s="127">
        <f>IFERROR(__xludf.DUMMYFUNCTION("IFERROR(($G13 * (1 + AVERAGE(FILTER('Inflation Data'!$C:$C,'Inflation Data'!$A:$A = (Parameters!$C$4 - 2)))) * Parameters!$A$4),0)"),46670.990519829094)</f>
        <v>46670.99052</v>
      </c>
      <c r="I13" s="127">
        <f>IFERROR(__xludf.DUMMYFUNCTION("IF(Parameters!$C$4 = 2019,IFERROR((IFERROR(FILTER('Fund Investment Data'!$P:$P,'Fund Investment Data'!$C:$C = $A13,'Fund Investment Data'!$A:$A = (Parameters!$C$4 - 2), 'Fund Investment Data'!$B:$B = 12),0) - SUM(FILTER('Fund Investment Data'!$V:$V, 'Fund"&amp;" Investment Data'!$C:$C = $A13, 'Fund Investment Data'!$A:$A = (Parameters!$C$4 - 2), 'Fund Investment Data'!$B:$B &gt; 3)))  * Parameters!$B$4 * (1 - Parameters!$A$4),0), ($E13  - SUM(FILTER('Fund Investment Data'!$V:$V, 'Fund Investment Data'!$C:$C = $A13,"&amp;" 'Fund Investment Data'!$A:$A = (Parameters!$C$4 - 2), 'Fund Investment Data'!$B:$B &gt; 3)))  * Parameters!$B$4 * (1 - Parameters!$A$4))"),19603.70464500001)</f>
        <v>19603.70465</v>
      </c>
      <c r="J13" s="128">
        <f t="shared" si="2"/>
        <v>66274.69516</v>
      </c>
      <c r="K13" s="129">
        <f>IFERROR(__xludf.DUMMYFUNCTION("((IFERROR(SUM(FILTER('Fund Investment Data'!$V:$V, 'Fund Investment Data'!$C:$C = $A13, 'Fund Investment Data'!$A:$A = Parameters!$C$4 - 1, 'Fund Investment Data'!$B:$B &gt;= 4, 'Fund Investment Data'!$B:$B &lt;= 6)) * Parameters!$B$4, 0)) / 4)"),0.0)</f>
        <v>0</v>
      </c>
      <c r="L13" s="129">
        <f>IFERROR(__xludf.DUMMYFUNCTION("((IFERROR(SUM(FILTER('Fund Investment Data'!$V:$V, 'Fund Investment Data'!$C:$C = $A13, 'Fund Investment Data'!$A:$A = Parameters!$C$4 - 1, 'Fund Investment Data'!$B:$B &gt;= 4, 'Fund Investment Data'!$B:$B &lt;= 9)) * Parameters!$B$4, 0)) / 4)"),0.0)</f>
        <v>0</v>
      </c>
      <c r="M13" s="129">
        <f>IFERROR(__xludf.DUMMYFUNCTION("((IFERROR(SUM(FILTER('Fund Investment Data'!$V:$V, 'Fund Investment Data'!$C:$C = $A13, 'Fund Investment Data'!$A:$A = Parameters!$C$4 - 1, 'Fund Investment Data'!$B:$B &gt;= 4, 'Fund Investment Data'!$B:$B &lt;= 12)) * Parameters!$B$4, 0)) / 4)"),0.0)</f>
        <v>0</v>
      </c>
      <c r="N13" s="129">
        <f>IFERROR(__xludf.DUMMYFUNCTION("((IFERROR(SUM(FILTER('Fund Investment Data'!$V:$V, 'Fund Investment Data'!$C:$C = $A13, 'Fund Investment Data'!$A:$A = Parameters!$C$4 - 1, 'Fund Investment Data'!$B:$B &gt;= 4, 'Fund Investment Data'!$B:$B &lt;= 12)) * Parameters!$B$4, 0) + IFERROR(SUM(FILTER("&amp;"'Fund Investment Data'!$V:$V, 'Fund Investment Data'!$C:$C = $A13, 'Fund Investment Data'!$A:$A = Parameters!$C$4, 'Fund Investment Data'!$B:$B &lt;= 3)) * Parameters!$B$4, 0)) / 4)"),0.0)</f>
        <v>0</v>
      </c>
      <c r="O13" s="130">
        <f>IFERROR(__xludf.DUMMYFUNCTION("((IFERROR(SUM(FILTER('Fund Investment Data'!$V:$V, 'Fund Investment Data'!$C:$C = $A13, 'Fund Investment Data'!$A:$A = Parameters!$C$4 - 2, 'Fund Investment Data'!$B:$B &gt;= 4)) * Parameters!$B$4,0) + IFERROR(SUM(FILTER('Fund Investment Data'!$V:$V, 'Fund I"&amp;"nvestment Data'!$C:$C = $A13, 'Fund Investment Data'!$A:$A = Parameters!$C$4 - 1, 'Fund Investment Data'!$B:$B &lt;= 3)) * Parameters!$B$4,0)))"),0.0)</f>
        <v>0</v>
      </c>
      <c r="P13" s="131">
        <f t="shared" si="3"/>
        <v>0</v>
      </c>
      <c r="Q13" s="130">
        <f t="shared" si="4"/>
        <v>66274.69516</v>
      </c>
      <c r="R13" s="131">
        <f>IFERROR(__xludf.DUMMYFUNCTION("IFERROR(FILTER('Fund Investment Data'!$AF:$AF,'Fund Investment Data'!$C:$C = $A13,'Fund Investment Data'!$A:$A = (Parameters!$C$4 - 1), 'Fund Investment Data'!$B:$B = 12),0)"),0.0)</f>
        <v>0</v>
      </c>
      <c r="S13" s="132">
        <f t="shared" si="5"/>
        <v>66274.69516</v>
      </c>
      <c r="T13" s="133"/>
    </row>
    <row r="14">
      <c r="A14" s="36" t="s">
        <v>37</v>
      </c>
      <c r="B14" s="27" t="str">
        <f>IFERROR(__xludf.DUMMYFUNCTION("FILTER('Endowed Funds'!$B:$B,'Endowed Funds'!$A:$A = $A14)")," Education ")</f>
        <v>Education</v>
      </c>
      <c r="C14" s="28">
        <f>IFERROR(__xludf.DUMMYFUNCTION("IFERROR(sum(FILTER('Fund Investment Data'!$D:$D, 'Fund Investment Data'!$C:$C = $A14, 'Fund Investment Data'!$A:$A &lt;= (Parameters!$C$4 - 2), 'Fund Investment Data'!$B:$B = 12)),0)"),758137.86)</f>
        <v>758137.86</v>
      </c>
      <c r="D14" s="91">
        <f t="array" ref="D14">INDEX('Fund YTD Target Values'!$1:$1000, MATCH($A14,'Fund YTD Target Values'!$A:$A,0), MATCH(Parameters!$C$4 - 2,'Fund YTD Target Values'!$1:$1,0))</f>
        <v>860942.6464</v>
      </c>
      <c r="E14" s="29">
        <f>IFERROR(__xludf.DUMMYFUNCTION("IFERROR(FILTER('Fund Investment Data'!$P:$P,'Fund Investment Data'!$C:$C = $A14,'Fund Investment Data'!$A:$A = (Parameters!$C$4 - 2), 'Fund Investment Data'!$B:$B = 12) - FILTER('Fund Investment Data'!$AF:$AF,'Fund Investment Data'!$C:$C = $A14,'Fund Inve"&amp;"stment Data'!$A:$A = (Parameters!$C$4 - 2), 'Fund Investment Data'!$B:$B = 12),0)"),810432.1499999999)</f>
        <v>810432.15</v>
      </c>
      <c r="F14" s="27">
        <f t="shared" si="1"/>
        <v>-50510.49635</v>
      </c>
      <c r="G14" s="29">
        <f>IFERROR(__xludf.DUMMYFUNCTION("IF(Parameters!$C$4 = 2019, FILTER('Fund Investment Data'!$Z:$Z, 'Fund Investment Data'!$C:$C = $A14, 'Fund Investment Data'!$A:$A = Parameters!$C$4 - 1, 'Fund Investment Data'!$B:$B = 12) + FILTER('Fund Investment Data'!$AB:$AB, 'Fund Investment Data'!$C:"&amp;"$C = $A14, 'Fund Investment Data'!$A:$A = Parameters!$C$4 - 1, 'Fund Investment Data'!$B:$B = 12),((FILTER('Fund Investment Data'!$Z:$Z, 'Fund Investment Data'!$C:$C = $A14, 'Fund Investment Data'!$A:$A = Parameters!$C$4 - 2, 'Fund Investment Data'!$B:$B "&amp;"= 12) + FILTER('Fund Investment Data'!$AB:$AB, 'Fund Investment Data'!$C:$C = $A14, 'Fund Investment Data'!$A:$A = Parameters!$C$4 - 2, 'Fund Investment Data'!$B:$B = 12)) * (1 + AVERAGE(FILTER('Inflation Data'!$C:$C,'Inflation Data'!$A:$A = (Parameters!$"&amp;"C$4 - 3)))) * Parameters!$A$4) + ((FILTER('Fund Investment Data'!$P:$P, 'Fund Investment Data'!$C:$C = $A14, 'Fund Investment Data'!$A:$A = (Parameters!$C$4 - 3), 'Fund Investment Data'!$B:$B = 12) - SUM(FILTER('Fund Investment Data'!$V:$V, 'Fund Investme"&amp;"nt Data'!$C:$C = $A14, 'Fund Investment Data'!$A:$A = (Parameters!$C$4 - 3), 'Fund Investment Data'!$B:$B &gt; 3)))  * Parameters!$B$4 * (1 - Parameters!$A$4)) + ((SUM(FILTER('Fund Investment Data'!$V:$V, 'Fund Investment Data'!$C:$C = $A14, 'Fund Investment"&amp;" Data'!$A:$A = Parameters!$C$4 - 3, 'Fund Investment Data'!$B:$B &gt;= 4)) + SUM(FILTER('Fund Investment Data'!$V:$V, 'Fund Investment Data'!$C:$C = $A14, 'Fund Investment Data'!$A:$A = Parameters!$C$4 - 2, 'Fund Investment Data'!$B:$B &lt;= 3))) * Parameters!$"&amp;"B$4))"),36725.50349978539)</f>
        <v>36725.5035</v>
      </c>
      <c r="H14" s="127">
        <f>IFERROR(__xludf.DUMMYFUNCTION("IFERROR(($G14 * (1 + AVERAGE(FILTER('Inflation Data'!$C:$C,'Inflation Data'!$A:$A = (Parameters!$C$4 - 2)))) * Parameters!$A$4),0)"),26173.636896711185)</f>
        <v>26173.6369</v>
      </c>
      <c r="I14" s="127">
        <f>IFERROR(__xludf.DUMMYFUNCTION("IF(Parameters!$C$4 = 2019,IFERROR((IFERROR(FILTER('Fund Investment Data'!$P:$P,'Fund Investment Data'!$C:$C = $A14,'Fund Investment Data'!$A:$A = (Parameters!$C$4 - 2), 'Fund Investment Data'!$B:$B = 12),0) - SUM(FILTER('Fund Investment Data'!$V:$V, 'Fund"&amp;" Investment Data'!$C:$C = $A14, 'Fund Investment Data'!$A:$A = (Parameters!$C$4 - 2), 'Fund Investment Data'!$B:$B &gt; 3)))  * Parameters!$B$4 * (1 - Parameters!$A$4),0), ($E14  - SUM(FILTER('Fund Investment Data'!$V:$V, 'Fund Investment Data'!$C:$C = $A14,"&amp;" 'Fund Investment Data'!$A:$A = (Parameters!$C$4 - 2), 'Fund Investment Data'!$B:$B &gt; 3)))  * Parameters!$B$4 * (1 - Parameters!$A$4))"),10940.834025)</f>
        <v>10940.83403</v>
      </c>
      <c r="J14" s="128">
        <f t="shared" si="2"/>
        <v>37114.47092</v>
      </c>
      <c r="K14" s="129">
        <f>IFERROR(__xludf.DUMMYFUNCTION("((IFERROR(SUM(FILTER('Fund Investment Data'!$V:$V, 'Fund Investment Data'!$C:$C = $A14, 'Fund Investment Data'!$A:$A = Parameters!$C$4 - 1, 'Fund Investment Data'!$B:$B &gt;= 4, 'Fund Investment Data'!$B:$B &lt;= 6)) * Parameters!$B$4, 0)) / 4)"),0.0)</f>
        <v>0</v>
      </c>
      <c r="L14" s="129">
        <f>IFERROR(__xludf.DUMMYFUNCTION("((IFERROR(SUM(FILTER('Fund Investment Data'!$V:$V, 'Fund Investment Data'!$C:$C = $A14, 'Fund Investment Data'!$A:$A = Parameters!$C$4 - 1, 'Fund Investment Data'!$B:$B &gt;= 4, 'Fund Investment Data'!$B:$B &lt;= 9)) * Parameters!$B$4, 0)) / 4)"),0.0)</f>
        <v>0</v>
      </c>
      <c r="M14" s="129">
        <f>IFERROR(__xludf.DUMMYFUNCTION("((IFERROR(SUM(FILTER('Fund Investment Data'!$V:$V, 'Fund Investment Data'!$C:$C = $A14, 'Fund Investment Data'!$A:$A = Parameters!$C$4 - 1, 'Fund Investment Data'!$B:$B &gt;= 4, 'Fund Investment Data'!$B:$B &lt;= 12)) * Parameters!$B$4, 0)) / 4)"),0.0)</f>
        <v>0</v>
      </c>
      <c r="N14" s="129">
        <f>IFERROR(__xludf.DUMMYFUNCTION("((IFERROR(SUM(FILTER('Fund Investment Data'!$V:$V, 'Fund Investment Data'!$C:$C = $A14, 'Fund Investment Data'!$A:$A = Parameters!$C$4 - 1, 'Fund Investment Data'!$B:$B &gt;= 4, 'Fund Investment Data'!$B:$B &lt;= 12)) * Parameters!$B$4, 0) + IFERROR(SUM(FILTER("&amp;"'Fund Investment Data'!$V:$V, 'Fund Investment Data'!$C:$C = $A14, 'Fund Investment Data'!$A:$A = Parameters!$C$4, 'Fund Investment Data'!$B:$B &lt;= 3)) * Parameters!$B$4, 0)) / 4)"),0.0)</f>
        <v>0</v>
      </c>
      <c r="O14" s="130">
        <f>IFERROR(__xludf.DUMMYFUNCTION("((IFERROR(SUM(FILTER('Fund Investment Data'!$V:$V, 'Fund Investment Data'!$C:$C = $A14, 'Fund Investment Data'!$A:$A = Parameters!$C$4 - 2, 'Fund Investment Data'!$B:$B &gt;= 4)) * Parameters!$B$4,0) + IFERROR(SUM(FILTER('Fund Investment Data'!$V:$V, 'Fund I"&amp;"nvestment Data'!$C:$C = $A14, 'Fund Investment Data'!$A:$A = Parameters!$C$4 - 1, 'Fund Investment Data'!$B:$B &lt;= 3)) * Parameters!$B$4,0)))"),0.0)</f>
        <v>0</v>
      </c>
      <c r="P14" s="131">
        <f t="shared" si="3"/>
        <v>0</v>
      </c>
      <c r="Q14" s="130">
        <f t="shared" si="4"/>
        <v>37114.47092</v>
      </c>
      <c r="R14" s="131">
        <f>IFERROR(__xludf.DUMMYFUNCTION("IFERROR(FILTER('Fund Investment Data'!$AF:$AF,'Fund Investment Data'!$C:$C = $A14,'Fund Investment Data'!$A:$A = (Parameters!$C$4 - 1), 'Fund Investment Data'!$B:$B = 12),0)"),0.0)</f>
        <v>0</v>
      </c>
      <c r="S14" s="132">
        <f t="shared" si="5"/>
        <v>37114.47092</v>
      </c>
      <c r="T14" s="133"/>
    </row>
    <row r="15">
      <c r="A15" s="36" t="s">
        <v>38</v>
      </c>
      <c r="B15" s="27" t="str">
        <f>IFERROR(__xludf.DUMMYFUNCTION("FILTER('Endowed Funds'!$B:$B,'Endowed Funds'!$A:$A = $A15)")," Education ")</f>
        <v>Education</v>
      </c>
      <c r="C15" s="28">
        <f>IFERROR(__xludf.DUMMYFUNCTION("IFERROR(sum(FILTER('Fund Investment Data'!$D:$D, 'Fund Investment Data'!$C:$C = $A15, 'Fund Investment Data'!$A:$A &lt;= (Parameters!$C$4 - 2), 'Fund Investment Data'!$B:$B = 12)),0)"),556601.64)</f>
        <v>556601.64</v>
      </c>
      <c r="D15" s="91">
        <f t="array" ref="D15">INDEX('Fund YTD Target Values'!$1:$1000, MATCH($A15,'Fund YTD Target Values'!$A:$A,0), MATCH(Parameters!$C$4 - 2,'Fund YTD Target Values'!$1:$1,0))</f>
        <v>715243.4084</v>
      </c>
      <c r="E15" s="29">
        <f>IFERROR(__xludf.DUMMYFUNCTION("IFERROR(FILTER('Fund Investment Data'!$P:$P,'Fund Investment Data'!$C:$C = $A15,'Fund Investment Data'!$A:$A = (Parameters!$C$4 - 2), 'Fund Investment Data'!$B:$B = 12) - FILTER('Fund Investment Data'!$AF:$AF,'Fund Investment Data'!$C:$C = $A15,'Fund Inve"&amp;"stment Data'!$A:$A = (Parameters!$C$4 - 2), 'Fund Investment Data'!$B:$B = 12),0)"),825507.3)</f>
        <v>825507.3</v>
      </c>
      <c r="F15" s="27">
        <f t="shared" si="1"/>
        <v>110263.8916</v>
      </c>
      <c r="G15" s="29">
        <f>IFERROR(__xludf.DUMMYFUNCTION("IF(Parameters!$C$4 = 2019, FILTER('Fund Investment Data'!$Z:$Z, 'Fund Investment Data'!$C:$C = $A15, 'Fund Investment Data'!$A:$A = Parameters!$C$4 - 1, 'Fund Investment Data'!$B:$B = 12) + FILTER('Fund Investment Data'!$AB:$AB, 'Fund Investment Data'!$C:"&amp;"$C = $A15, 'Fund Investment Data'!$A:$A = Parameters!$C$4 - 1, 'Fund Investment Data'!$B:$B = 12),((FILTER('Fund Investment Data'!$Z:$Z, 'Fund Investment Data'!$C:$C = $A15, 'Fund Investment Data'!$A:$A = Parameters!$C$4 - 2, 'Fund Investment Data'!$B:$B "&amp;"= 12) + FILTER('Fund Investment Data'!$AB:$AB, 'Fund Investment Data'!$C:$C = $A15, 'Fund Investment Data'!$A:$A = Parameters!$C$4 - 2, 'Fund Investment Data'!$B:$B = 12)) * (1 + AVERAGE(FILTER('Inflation Data'!$C:$C,'Inflation Data'!$A:$A = (Parameters!$"&amp;"C$4 - 3)))) * Parameters!$A$4) + ((FILTER('Fund Investment Data'!$P:$P, 'Fund Investment Data'!$C:$C = $A15, 'Fund Investment Data'!$A:$A = (Parameters!$C$4 - 3), 'Fund Investment Data'!$B:$B = 12) - SUM(FILTER('Fund Investment Data'!$V:$V, 'Fund Investme"&amp;"nt Data'!$C:$C = $A15, 'Fund Investment Data'!$A:$A = (Parameters!$C$4 - 3), 'Fund Investment Data'!$B:$B &gt; 3)))  * Parameters!$B$4 * (1 - Parameters!$A$4)) + ((SUM(FILTER('Fund Investment Data'!$V:$V, 'Fund Investment Data'!$C:$C = $A15, 'Fund Investment"&amp;" Data'!$A:$A = Parameters!$C$4 - 3, 'Fund Investment Data'!$B:$B &gt;= 4)) + SUM(FILTER('Fund Investment Data'!$V:$V, 'Fund Investment Data'!$C:$C = $A15, 'Fund Investment Data'!$A:$A = Parameters!$C$4 - 2, 'Fund Investment Data'!$B:$B &lt;= 3))) * Parameters!$"&amp;"B$4))"),33458.91992813064)</f>
        <v>33458.91993</v>
      </c>
      <c r="H15" s="127">
        <f>IFERROR(__xludf.DUMMYFUNCTION("IFERROR(($G15 * (1 + AVERAGE(FILTER('Inflation Data'!$C:$C,'Inflation Data'!$A:$A = (Parameters!$C$4 - 2)))) * Parameters!$A$4),0)"),23845.598771985333)</f>
        <v>23845.59877</v>
      </c>
      <c r="I15" s="127">
        <f>IFERROR(__xludf.DUMMYFUNCTION("IF(Parameters!$C$4 = 2019,IFERROR((IFERROR(FILTER('Fund Investment Data'!$P:$P,'Fund Investment Data'!$C:$C = $A15,'Fund Investment Data'!$A:$A = (Parameters!$C$4 - 2), 'Fund Investment Data'!$B:$B = 12),0) - SUM(FILTER('Fund Investment Data'!$V:$V, 'Fund"&amp;" Investment Data'!$C:$C = $A15, 'Fund Investment Data'!$A:$A = (Parameters!$C$4 - 2), 'Fund Investment Data'!$B:$B &gt; 3)))  * Parameters!$B$4 * (1 - Parameters!$A$4),0), ($E15  - SUM(FILTER('Fund Investment Data'!$V:$V, 'Fund Investment Data'!$C:$C = $A15,"&amp;" 'Fund Investment Data'!$A:$A = (Parameters!$C$4 - 2), 'Fund Investment Data'!$B:$B &gt; 3)))  * Parameters!$B$4 * (1 - Parameters!$A$4))"),11144.348550000002)</f>
        <v>11144.34855</v>
      </c>
      <c r="J15" s="128">
        <f t="shared" si="2"/>
        <v>34989.94732</v>
      </c>
      <c r="K15" s="129">
        <f>IFERROR(__xludf.DUMMYFUNCTION("((IFERROR(SUM(FILTER('Fund Investment Data'!$V:$V, 'Fund Investment Data'!$C:$C = $A15, 'Fund Investment Data'!$A:$A = Parameters!$C$4 - 1, 'Fund Investment Data'!$B:$B &gt;= 4, 'Fund Investment Data'!$B:$B &lt;= 6)) * Parameters!$B$4, 0)) / 4)"),0.0)</f>
        <v>0</v>
      </c>
      <c r="L15" s="129">
        <f>IFERROR(__xludf.DUMMYFUNCTION("((IFERROR(SUM(FILTER('Fund Investment Data'!$V:$V, 'Fund Investment Data'!$C:$C = $A15, 'Fund Investment Data'!$A:$A = Parameters!$C$4 - 1, 'Fund Investment Data'!$B:$B &gt;= 4, 'Fund Investment Data'!$B:$B &lt;= 9)) * Parameters!$B$4, 0)) / 4)"),0.0)</f>
        <v>0</v>
      </c>
      <c r="M15" s="129">
        <f>IFERROR(__xludf.DUMMYFUNCTION("((IFERROR(SUM(FILTER('Fund Investment Data'!$V:$V, 'Fund Investment Data'!$C:$C = $A15, 'Fund Investment Data'!$A:$A = Parameters!$C$4 - 1, 'Fund Investment Data'!$B:$B &gt;= 4, 'Fund Investment Data'!$B:$B &lt;= 12)) * Parameters!$B$4, 0)) / 4)"),0.0)</f>
        <v>0</v>
      </c>
      <c r="N15" s="129">
        <f>IFERROR(__xludf.DUMMYFUNCTION("((IFERROR(SUM(FILTER('Fund Investment Data'!$V:$V, 'Fund Investment Data'!$C:$C = $A15, 'Fund Investment Data'!$A:$A = Parameters!$C$4 - 1, 'Fund Investment Data'!$B:$B &gt;= 4, 'Fund Investment Data'!$B:$B &lt;= 12)) * Parameters!$B$4, 0) + IFERROR(SUM(FILTER("&amp;"'Fund Investment Data'!$V:$V, 'Fund Investment Data'!$C:$C = $A15, 'Fund Investment Data'!$A:$A = Parameters!$C$4, 'Fund Investment Data'!$B:$B &lt;= 3)) * Parameters!$B$4, 0)) / 4)"),0.0)</f>
        <v>0</v>
      </c>
      <c r="O15" s="130">
        <f>IFERROR(__xludf.DUMMYFUNCTION("((IFERROR(SUM(FILTER('Fund Investment Data'!$V:$V, 'Fund Investment Data'!$C:$C = $A15, 'Fund Investment Data'!$A:$A = Parameters!$C$4 - 2, 'Fund Investment Data'!$B:$B &gt;= 4)) * Parameters!$B$4,0) + IFERROR(SUM(FILTER('Fund Investment Data'!$V:$V, 'Fund I"&amp;"nvestment Data'!$C:$C = $A15, 'Fund Investment Data'!$A:$A = Parameters!$C$4 - 1, 'Fund Investment Data'!$B:$B &lt;= 3)) * Parameters!$B$4,0)))"),0.0)</f>
        <v>0</v>
      </c>
      <c r="P15" s="131">
        <f t="shared" si="3"/>
        <v>0</v>
      </c>
      <c r="Q15" s="130">
        <f t="shared" si="4"/>
        <v>34989.94732</v>
      </c>
      <c r="R15" s="131">
        <f>IFERROR(__xludf.DUMMYFUNCTION("IFERROR(FILTER('Fund Investment Data'!$AF:$AF,'Fund Investment Data'!$C:$C = $A15,'Fund Investment Data'!$A:$A = (Parameters!$C$4 - 1), 'Fund Investment Data'!$B:$B = 12),0)"),0.0)</f>
        <v>0</v>
      </c>
      <c r="S15" s="132">
        <f t="shared" si="5"/>
        <v>34989.94732</v>
      </c>
      <c r="T15" s="133"/>
    </row>
    <row r="16">
      <c r="A16" s="26" t="s">
        <v>36</v>
      </c>
      <c r="B16" s="27" t="str">
        <f>IFERROR(__xludf.DUMMYFUNCTION("FILTER('Endowed Funds'!$B:$B,'Endowed Funds'!$A:$A = $A16)")," Education ")</f>
        <v>Education</v>
      </c>
      <c r="C16" s="28">
        <f>IFERROR(__xludf.DUMMYFUNCTION("IFERROR(sum(FILTER('Fund Investment Data'!$D:$D, 'Fund Investment Data'!$C:$C = $A16, 'Fund Investment Data'!$A:$A &lt;= (Parameters!$C$4 - 2), 'Fund Investment Data'!$B:$B = 12)),0)"),429067.24)</f>
        <v>429067.24</v>
      </c>
      <c r="D16" s="91">
        <f t="array" ref="D16">INDEX('Fund YTD Target Values'!$1:$1000, MATCH($A16,'Fund YTD Target Values'!$A:$A,0), MATCH(Parameters!$C$4 - 2,'Fund YTD Target Values'!$1:$1,0))</f>
        <v>647000.627</v>
      </c>
      <c r="E16" s="29">
        <f>IFERROR(__xludf.DUMMYFUNCTION("IFERROR(FILTER('Fund Investment Data'!$P:$P,'Fund Investment Data'!$C:$C = $A16,'Fund Investment Data'!$A:$A = (Parameters!$C$4 - 2), 'Fund Investment Data'!$B:$B = 12) - FILTER('Fund Investment Data'!$AF:$AF,'Fund Investment Data'!$C:$C = $A16,'Fund Inve"&amp;"stment Data'!$A:$A = (Parameters!$C$4 - 2), 'Fund Investment Data'!$B:$B = 12),0)"),441420.14999999997)</f>
        <v>441420.15</v>
      </c>
      <c r="F16" s="27">
        <f t="shared" si="1"/>
        <v>-205580.477</v>
      </c>
      <c r="G16" s="29">
        <f>IFERROR(__xludf.DUMMYFUNCTION("IF(Parameters!$C$4 = 2019, FILTER('Fund Investment Data'!$Z:$Z, 'Fund Investment Data'!$C:$C = $A16, 'Fund Investment Data'!$A:$A = Parameters!$C$4 - 1, 'Fund Investment Data'!$B:$B = 12) + FILTER('Fund Investment Data'!$AB:$AB, 'Fund Investment Data'!$C:"&amp;"$C = $A16, 'Fund Investment Data'!$A:$A = Parameters!$C$4 - 1, 'Fund Investment Data'!$B:$B = 12),((FILTER('Fund Investment Data'!$Z:$Z, 'Fund Investment Data'!$C:$C = $A16, 'Fund Investment Data'!$A:$A = Parameters!$C$4 - 2, 'Fund Investment Data'!$B:$B "&amp;"= 12) + FILTER('Fund Investment Data'!$AB:$AB, 'Fund Investment Data'!$C:$C = $A16, 'Fund Investment Data'!$A:$A = Parameters!$C$4 - 2, 'Fund Investment Data'!$B:$B = 12)) * (1 + AVERAGE(FILTER('Inflation Data'!$C:$C,'Inflation Data'!$A:$A = (Parameters!$"&amp;"C$4 - 3)))) * Parameters!$A$4) + ((FILTER('Fund Investment Data'!$P:$P, 'Fund Investment Data'!$C:$C = $A16, 'Fund Investment Data'!$A:$A = (Parameters!$C$4 - 3), 'Fund Investment Data'!$B:$B = 12) - SUM(FILTER('Fund Investment Data'!$V:$V, 'Fund Investme"&amp;"nt Data'!$C:$C = $A16, 'Fund Investment Data'!$A:$A = (Parameters!$C$4 - 3), 'Fund Investment Data'!$B:$B &gt; 3)))  * Parameters!$B$4 * (1 - Parameters!$A$4)) + ((SUM(FILTER('Fund Investment Data'!$V:$V, 'Fund Investment Data'!$C:$C = $A16, 'Fund Investment"&amp;" Data'!$A:$A = Parameters!$C$4 - 3, 'Fund Investment Data'!$B:$B &gt;= 4)) + SUM(FILTER('Fund Investment Data'!$V:$V, 'Fund Investment Data'!$C:$C = $A16, 'Fund Investment Data'!$A:$A = Parameters!$C$4 - 2, 'Fund Investment Data'!$B:$B &lt;= 3))) * Parameters!$"&amp;"B$4))"),20080.70080927512)</f>
        <v>20080.70081</v>
      </c>
      <c r="H16" s="127">
        <f>IFERROR(__xludf.DUMMYFUNCTION("IFERROR(($G16 * (1 + AVERAGE(FILTER('Inflation Data'!$C:$C,'Inflation Data'!$A:$A = (Parameters!$C$4 - 2)))) * Parameters!$A$4),0)"),14311.171298619032)</f>
        <v>14311.1713</v>
      </c>
      <c r="I16" s="127">
        <f>IFERROR(__xludf.DUMMYFUNCTION("IF(Parameters!$C$4 = 2019,IFERROR((IFERROR(FILTER('Fund Investment Data'!$P:$P,'Fund Investment Data'!$C:$C = $A16,'Fund Investment Data'!$A:$A = (Parameters!$C$4 - 2), 'Fund Investment Data'!$B:$B = 12),0) - SUM(FILTER('Fund Investment Data'!$V:$V, 'Fund"&amp;" Investment Data'!$C:$C = $A16, 'Fund Investment Data'!$A:$A = (Parameters!$C$4 - 2), 'Fund Investment Data'!$B:$B &gt; 3)))  * Parameters!$B$4 * (1 - Parameters!$A$4),0), ($E16  - SUM(FILTER('Fund Investment Data'!$V:$V, 'Fund Investment Data'!$C:$C = $A16,"&amp;" 'Fund Investment Data'!$A:$A = (Parameters!$C$4 - 2), 'Fund Investment Data'!$B:$B &gt; 3)))  * Parameters!$B$4 * (1 - Parameters!$A$4))"),5959.172025000001)</f>
        <v>5959.172025</v>
      </c>
      <c r="J16" s="128">
        <f t="shared" si="2"/>
        <v>20270.34332</v>
      </c>
      <c r="K16" s="129">
        <f>IFERROR(__xludf.DUMMYFUNCTION("((IFERROR(SUM(FILTER('Fund Investment Data'!$V:$V, 'Fund Investment Data'!$C:$C = $A16, 'Fund Investment Data'!$A:$A = Parameters!$C$4 - 1, 'Fund Investment Data'!$B:$B &gt;= 4, 'Fund Investment Data'!$B:$B &lt;= 6)) * Parameters!$B$4, 0)) / 4)"),0.0)</f>
        <v>0</v>
      </c>
      <c r="L16" s="129">
        <f>IFERROR(__xludf.DUMMYFUNCTION("((IFERROR(SUM(FILTER('Fund Investment Data'!$V:$V, 'Fund Investment Data'!$C:$C = $A16, 'Fund Investment Data'!$A:$A = Parameters!$C$4 - 1, 'Fund Investment Data'!$B:$B &gt;= 4, 'Fund Investment Data'!$B:$B &lt;= 9)) * Parameters!$B$4, 0)) / 4)"),0.0)</f>
        <v>0</v>
      </c>
      <c r="M16" s="129">
        <f>IFERROR(__xludf.DUMMYFUNCTION("((IFERROR(SUM(FILTER('Fund Investment Data'!$V:$V, 'Fund Investment Data'!$C:$C = $A16, 'Fund Investment Data'!$A:$A = Parameters!$C$4 - 1, 'Fund Investment Data'!$B:$B &gt;= 4, 'Fund Investment Data'!$B:$B &lt;= 12)) * Parameters!$B$4, 0)) / 4)"),0.0)</f>
        <v>0</v>
      </c>
      <c r="N16" s="129">
        <f>IFERROR(__xludf.DUMMYFUNCTION("((IFERROR(SUM(FILTER('Fund Investment Data'!$V:$V, 'Fund Investment Data'!$C:$C = $A16, 'Fund Investment Data'!$A:$A = Parameters!$C$4 - 1, 'Fund Investment Data'!$B:$B &gt;= 4, 'Fund Investment Data'!$B:$B &lt;= 12)) * Parameters!$B$4, 0) + IFERROR(SUM(FILTER("&amp;"'Fund Investment Data'!$V:$V, 'Fund Investment Data'!$C:$C = $A16, 'Fund Investment Data'!$A:$A = Parameters!$C$4, 'Fund Investment Data'!$B:$B &lt;= 3)) * Parameters!$B$4, 0)) / 4)"),0.0)</f>
        <v>0</v>
      </c>
      <c r="O16" s="130">
        <f>IFERROR(__xludf.DUMMYFUNCTION("((IFERROR(SUM(FILTER('Fund Investment Data'!$V:$V, 'Fund Investment Data'!$C:$C = $A16, 'Fund Investment Data'!$A:$A = Parameters!$C$4 - 2, 'Fund Investment Data'!$B:$B &gt;= 4)) * Parameters!$B$4,0) + IFERROR(SUM(FILTER('Fund Investment Data'!$V:$V, 'Fund I"&amp;"nvestment Data'!$C:$C = $A16, 'Fund Investment Data'!$A:$A = Parameters!$C$4 - 1, 'Fund Investment Data'!$B:$B &lt;= 3)) * Parameters!$B$4,0)))"),0.0)</f>
        <v>0</v>
      </c>
      <c r="P16" s="131">
        <f t="shared" si="3"/>
        <v>0</v>
      </c>
      <c r="Q16" s="130">
        <f t="shared" si="4"/>
        <v>20270.34332</v>
      </c>
      <c r="R16" s="131">
        <f>IFERROR(__xludf.DUMMYFUNCTION("IFERROR(FILTER('Fund Investment Data'!$AF:$AF,'Fund Investment Data'!$C:$C = $A16,'Fund Investment Data'!$A:$A = (Parameters!$C$4 - 1), 'Fund Investment Data'!$B:$B = 12),0)"),0.0)</f>
        <v>0</v>
      </c>
      <c r="S16" s="132">
        <f t="shared" si="5"/>
        <v>20270.34332</v>
      </c>
      <c r="T16" s="133"/>
    </row>
    <row r="17">
      <c r="A17" s="36" t="s">
        <v>39</v>
      </c>
      <c r="B17" s="27" t="str">
        <f>IFERROR(__xludf.DUMMYFUNCTION("FILTER('Endowed Funds'!$B:$B,'Endowed Funds'!$A:$A = $A17)")," Education ")</f>
        <v>Education</v>
      </c>
      <c r="C17" s="28">
        <f>IFERROR(__xludf.DUMMYFUNCTION("IFERROR(sum(FILTER('Fund Investment Data'!$D:$D, 'Fund Investment Data'!$C:$C = $A17, 'Fund Investment Data'!$A:$A &lt;= (Parameters!$C$4 - 2), 'Fund Investment Data'!$B:$B = 12)),0)"),185000.0)</f>
        <v>185000</v>
      </c>
      <c r="D17" s="91">
        <f t="array" ref="D17">INDEX('Fund YTD Target Values'!$1:$1000, MATCH($A17,'Fund YTD Target Values'!$A:$A,0), MATCH(Parameters!$C$4 - 2,'Fund YTD Target Values'!$1:$1,0))</f>
        <v>203233.3066</v>
      </c>
      <c r="E17" s="29">
        <f>IFERROR(__xludf.DUMMYFUNCTION("IFERROR(FILTER('Fund Investment Data'!$P:$P,'Fund Investment Data'!$C:$C = $A17,'Fund Investment Data'!$A:$A = (Parameters!$C$4 - 2), 'Fund Investment Data'!$B:$B = 12) - FILTER('Fund Investment Data'!$AF:$AF,'Fund Investment Data'!$C:$C = $A17,'Fund Inve"&amp;"stment Data'!$A:$A = (Parameters!$C$4 - 2), 'Fund Investment Data'!$B:$B = 12),0)"),207536.46000000002)</f>
        <v>207536.46</v>
      </c>
      <c r="F17" s="27">
        <f t="shared" si="1"/>
        <v>4303.153405</v>
      </c>
      <c r="G17" s="29">
        <f>IFERROR(__xludf.DUMMYFUNCTION("IF(Parameters!$C$4 = 2019, FILTER('Fund Investment Data'!$Z:$Z, 'Fund Investment Data'!$C:$C = $A17, 'Fund Investment Data'!$A:$A = Parameters!$C$4 - 1, 'Fund Investment Data'!$B:$B = 12) + FILTER('Fund Investment Data'!$AB:$AB, 'Fund Investment Data'!$C:"&amp;"$C = $A17, 'Fund Investment Data'!$A:$A = Parameters!$C$4 - 1, 'Fund Investment Data'!$B:$B = 12),((FILTER('Fund Investment Data'!$Z:$Z, 'Fund Investment Data'!$C:$C = $A17, 'Fund Investment Data'!$A:$A = Parameters!$C$4 - 2, 'Fund Investment Data'!$B:$B "&amp;"= 12) + FILTER('Fund Investment Data'!$AB:$AB, 'Fund Investment Data'!$C:$C = $A17, 'Fund Investment Data'!$A:$A = Parameters!$C$4 - 2, 'Fund Investment Data'!$B:$B = 12)) * (1 + AVERAGE(FILTER('Inflation Data'!$C:$C,'Inflation Data'!$A:$A = (Parameters!$"&amp;"C$4 - 3)))) * Parameters!$A$4) + ((FILTER('Fund Investment Data'!$P:$P, 'Fund Investment Data'!$C:$C = $A17, 'Fund Investment Data'!$A:$A = (Parameters!$C$4 - 3), 'Fund Investment Data'!$B:$B = 12) - SUM(FILTER('Fund Investment Data'!$V:$V, 'Fund Investme"&amp;"nt Data'!$C:$C = $A17, 'Fund Investment Data'!$A:$A = (Parameters!$C$4 - 3), 'Fund Investment Data'!$B:$B &gt; 3)))  * Parameters!$B$4 * (1 - Parameters!$A$4)) + ((SUM(FILTER('Fund Investment Data'!$V:$V, 'Fund Investment Data'!$C:$C = $A17, 'Fund Investment"&amp;" Data'!$A:$A = Parameters!$C$4 - 3, 'Fund Investment Data'!$B:$B &gt;= 4)) + SUM(FILTER('Fund Investment Data'!$V:$V, 'Fund Investment Data'!$C:$C = $A17, 'Fund Investment Data'!$A:$A = Parameters!$C$4 - 2, 'Fund Investment Data'!$B:$B &lt;= 3))) * Parameters!$"&amp;"B$4))"),8683.054091542224)</f>
        <v>8683.054092</v>
      </c>
      <c r="H17" s="127">
        <f>IFERROR(__xludf.DUMMYFUNCTION("IFERROR(($G17 * (1 + AVERAGE(FILTER('Inflation Data'!$C:$C,'Inflation Data'!$A:$A = (Parameters!$C$4 - 2)))) * Parameters!$A$4),0)"),6188.263830007305)</f>
        <v>6188.26383</v>
      </c>
      <c r="I17" s="127">
        <f>IFERROR(__xludf.DUMMYFUNCTION("IF(Parameters!$C$4 = 2019,IFERROR((IFERROR(FILTER('Fund Investment Data'!$P:$P,'Fund Investment Data'!$C:$C = $A17,'Fund Investment Data'!$A:$A = (Parameters!$C$4 - 2), 'Fund Investment Data'!$B:$B = 12),0) - SUM(FILTER('Fund Investment Data'!$V:$V, 'Fund"&amp;" Investment Data'!$C:$C = $A17, 'Fund Investment Data'!$A:$A = (Parameters!$C$4 - 2), 'Fund Investment Data'!$B:$B &gt; 3)))  * Parameters!$B$4 * (1 - Parameters!$A$4),0), ($E17  - SUM(FILTER('Fund Investment Data'!$V:$V, 'Fund Investment Data'!$C:$C = $A17,"&amp;" 'Fund Investment Data'!$A:$A = (Parameters!$C$4 - 2), 'Fund Investment Data'!$B:$B &gt; 3)))  * Parameters!$B$4 * (1 - Parameters!$A$4))"),2599.2422100000003)</f>
        <v>2599.24221</v>
      </c>
      <c r="J17" s="128">
        <f t="shared" si="2"/>
        <v>8787.50604</v>
      </c>
      <c r="K17" s="129">
        <f>IFERROR(__xludf.DUMMYFUNCTION("((IFERROR(SUM(FILTER('Fund Investment Data'!$V:$V, 'Fund Investment Data'!$C:$C = $A17, 'Fund Investment Data'!$A:$A = Parameters!$C$4 - 1, 'Fund Investment Data'!$B:$B &gt;= 4, 'Fund Investment Data'!$B:$B &lt;= 6)) * Parameters!$B$4, 0)) / 4)"),0.0)</f>
        <v>0</v>
      </c>
      <c r="L17" s="129">
        <f>IFERROR(__xludf.DUMMYFUNCTION("((IFERROR(SUM(FILTER('Fund Investment Data'!$V:$V, 'Fund Investment Data'!$C:$C = $A17, 'Fund Investment Data'!$A:$A = Parameters!$C$4 - 1, 'Fund Investment Data'!$B:$B &gt;= 4, 'Fund Investment Data'!$B:$B &lt;= 9)) * Parameters!$B$4, 0)) / 4)"),0.0)</f>
        <v>0</v>
      </c>
      <c r="M17" s="129">
        <f>IFERROR(__xludf.DUMMYFUNCTION("((IFERROR(SUM(FILTER('Fund Investment Data'!$V:$V, 'Fund Investment Data'!$C:$C = $A17, 'Fund Investment Data'!$A:$A = Parameters!$C$4 - 1, 'Fund Investment Data'!$B:$B &gt;= 4, 'Fund Investment Data'!$B:$B &lt;= 12)) * Parameters!$B$4, 0)) / 4)"),0.0)</f>
        <v>0</v>
      </c>
      <c r="N17" s="129">
        <f>IFERROR(__xludf.DUMMYFUNCTION("((IFERROR(SUM(FILTER('Fund Investment Data'!$V:$V, 'Fund Investment Data'!$C:$C = $A17, 'Fund Investment Data'!$A:$A = Parameters!$C$4 - 1, 'Fund Investment Data'!$B:$B &gt;= 4, 'Fund Investment Data'!$B:$B &lt;= 12)) * Parameters!$B$4, 0) + IFERROR(SUM(FILTER("&amp;"'Fund Investment Data'!$V:$V, 'Fund Investment Data'!$C:$C = $A17, 'Fund Investment Data'!$A:$A = Parameters!$C$4, 'Fund Investment Data'!$B:$B &lt;= 3)) * Parameters!$B$4, 0)) / 4)"),0.0)</f>
        <v>0</v>
      </c>
      <c r="O17" s="130">
        <f>IFERROR(__xludf.DUMMYFUNCTION("((IFERROR(SUM(FILTER('Fund Investment Data'!$V:$V, 'Fund Investment Data'!$C:$C = $A17, 'Fund Investment Data'!$A:$A = Parameters!$C$4 - 2, 'Fund Investment Data'!$B:$B &gt;= 4)) * Parameters!$B$4,0) + IFERROR(SUM(FILTER('Fund Investment Data'!$V:$V, 'Fund I"&amp;"nvestment Data'!$C:$C = $A17, 'Fund Investment Data'!$A:$A = Parameters!$C$4 - 1, 'Fund Investment Data'!$B:$B &lt;= 3)) * Parameters!$B$4,0)))"),675.0)</f>
        <v>675</v>
      </c>
      <c r="P17" s="131">
        <f t="shared" si="3"/>
        <v>675</v>
      </c>
      <c r="Q17" s="130">
        <f t="shared" si="4"/>
        <v>9462.50604</v>
      </c>
      <c r="R17" s="131">
        <f>IFERROR(__xludf.DUMMYFUNCTION("IFERROR(FILTER('Fund Investment Data'!$AF:$AF,'Fund Investment Data'!$C:$C = $A17,'Fund Investment Data'!$A:$A = (Parameters!$C$4 - 1), 'Fund Investment Data'!$B:$B = 12),0)"),0.0)</f>
        <v>0</v>
      </c>
      <c r="S17" s="132">
        <f t="shared" si="5"/>
        <v>9462.50604</v>
      </c>
      <c r="T17" s="133"/>
    </row>
    <row r="18">
      <c r="A18" s="26" t="s">
        <v>40</v>
      </c>
      <c r="B18" s="27" t="str">
        <f>IFERROR(__xludf.DUMMYFUNCTION("FILTER('Endowed Funds'!$B:$B,'Endowed Funds'!$A:$A = $A18)")," Education ")</f>
        <v>Education</v>
      </c>
      <c r="C18" s="28">
        <f>IFERROR(__xludf.DUMMYFUNCTION("IFERROR(sum(FILTER('Fund Investment Data'!$D:$D, 'Fund Investment Data'!$C:$C = $A18, 'Fund Investment Data'!$A:$A &lt;= (Parameters!$C$4 - 2), 'Fund Investment Data'!$B:$B = 12)),0)"),129703.74)</f>
        <v>129703.74</v>
      </c>
      <c r="D18" s="91">
        <f t="array" ref="D18">INDEX('Fund YTD Target Values'!$1:$1000, MATCH($A18,'Fund YTD Target Values'!$A:$A,0), MATCH(Parameters!$C$4 - 2,'Fund YTD Target Values'!$1:$1,0))</f>
        <v>164286.6043</v>
      </c>
      <c r="E18" s="29">
        <f>IFERROR(__xludf.DUMMYFUNCTION("IFERROR(FILTER('Fund Investment Data'!$P:$P,'Fund Investment Data'!$C:$C = $A18,'Fund Investment Data'!$A:$A = (Parameters!$C$4 - 2), 'Fund Investment Data'!$B:$B = 12) - FILTER('Fund Investment Data'!$AF:$AF,'Fund Investment Data'!$C:$C = $A18,'Fund Inve"&amp;"stment Data'!$A:$A = (Parameters!$C$4 - 2), 'Fund Investment Data'!$B:$B = 12),0)"),153046.14999999994)</f>
        <v>153046.15</v>
      </c>
      <c r="F18" s="27">
        <f t="shared" si="1"/>
        <v>-11240.45432</v>
      </c>
      <c r="G18" s="29">
        <f>IFERROR(__xludf.DUMMYFUNCTION("IF(Parameters!$C$4 = 2019, FILTER('Fund Investment Data'!$Z:$Z, 'Fund Investment Data'!$C:$C = $A18, 'Fund Investment Data'!$A:$A = Parameters!$C$4 - 1, 'Fund Investment Data'!$B:$B = 12) + FILTER('Fund Investment Data'!$AB:$AB, 'Fund Investment Data'!$C:"&amp;"$C = $A18, 'Fund Investment Data'!$A:$A = Parameters!$C$4 - 1, 'Fund Investment Data'!$B:$B = 12),((FILTER('Fund Investment Data'!$Z:$Z, 'Fund Investment Data'!$C:$C = $A18, 'Fund Investment Data'!$A:$A = Parameters!$C$4 - 2, 'Fund Investment Data'!$B:$B "&amp;"= 12) + FILTER('Fund Investment Data'!$AB:$AB, 'Fund Investment Data'!$C:$C = $A18, 'Fund Investment Data'!$A:$A = Parameters!$C$4 - 2, 'Fund Investment Data'!$B:$B = 12)) * (1 + AVERAGE(FILTER('Inflation Data'!$C:$C,'Inflation Data'!$A:$A = (Parameters!$"&amp;"C$4 - 3)))) * Parameters!$A$4) + ((FILTER('Fund Investment Data'!$P:$P, 'Fund Investment Data'!$C:$C = $A18, 'Fund Investment Data'!$A:$A = (Parameters!$C$4 - 3), 'Fund Investment Data'!$B:$B = 12) - SUM(FILTER('Fund Investment Data'!$V:$V, 'Fund Investme"&amp;"nt Data'!$C:$C = $A18, 'Fund Investment Data'!$A:$A = (Parameters!$C$4 - 3), 'Fund Investment Data'!$B:$B &gt; 3)))  * Parameters!$B$4 * (1 - Parameters!$A$4)) + ((SUM(FILTER('Fund Investment Data'!$V:$V, 'Fund Investment Data'!$C:$C = $A18, 'Fund Investment"&amp;" Data'!$A:$A = Parameters!$C$4 - 3, 'Fund Investment Data'!$B:$B &gt;= 4)) + SUM(FILTER('Fund Investment Data'!$V:$V, 'Fund Investment Data'!$C:$C = $A18, 'Fund Investment Data'!$A:$A = Parameters!$C$4 - 2, 'Fund Investment Data'!$B:$B &lt;= 3))) * Parameters!$"&amp;"B$4))"),6912.271979014637)</f>
        <v>6912.271979</v>
      </c>
      <c r="H18" s="127">
        <f>IFERROR(__xludf.DUMMYFUNCTION("IFERROR(($G18 * (1 + AVERAGE(FILTER('Inflation Data'!$C:$C,'Inflation Data'!$A:$A = (Parameters!$C$4 - 2)))) * Parameters!$A$4),0)"),4926.257768286215)</f>
        <v>4926.257768</v>
      </c>
      <c r="I18" s="127">
        <f>IFERROR(__xludf.DUMMYFUNCTION("IF(Parameters!$C$4 = 2019,IFERROR((IFERROR(FILTER('Fund Investment Data'!$P:$P,'Fund Investment Data'!$C:$C = $A18,'Fund Investment Data'!$A:$A = (Parameters!$C$4 - 2), 'Fund Investment Data'!$B:$B = 12),0) - SUM(FILTER('Fund Investment Data'!$V:$V, 'Fund"&amp;" Investment Data'!$C:$C = $A18, 'Fund Investment Data'!$A:$A = (Parameters!$C$4 - 2), 'Fund Investment Data'!$B:$B &gt; 3)))  * Parameters!$B$4 * (1 - Parameters!$A$4),0), ($E18  - SUM(FILTER('Fund Investment Data'!$V:$V, 'Fund Investment Data'!$C:$C = $A18,"&amp;" 'Fund Investment Data'!$A:$A = (Parameters!$C$4 - 2), 'Fund Investment Data'!$B:$B &gt; 3)))  * Parameters!$B$4 * (1 - Parameters!$A$4))"),2066.1230249999994)</f>
        <v>2066.123025</v>
      </c>
      <c r="J18" s="128">
        <f t="shared" si="2"/>
        <v>6992.380793</v>
      </c>
      <c r="K18" s="129">
        <f>IFERROR(__xludf.DUMMYFUNCTION("((IFERROR(SUM(FILTER('Fund Investment Data'!$V:$V, 'Fund Investment Data'!$C:$C = $A18, 'Fund Investment Data'!$A:$A = Parameters!$C$4 - 1, 'Fund Investment Data'!$B:$B &gt;= 4, 'Fund Investment Data'!$B:$B &lt;= 6)) * Parameters!$B$4, 0)) / 4)"),0.0)</f>
        <v>0</v>
      </c>
      <c r="L18" s="129">
        <f>IFERROR(__xludf.DUMMYFUNCTION("((IFERROR(SUM(FILTER('Fund Investment Data'!$V:$V, 'Fund Investment Data'!$C:$C = $A18, 'Fund Investment Data'!$A:$A = Parameters!$C$4 - 1, 'Fund Investment Data'!$B:$B &gt;= 4, 'Fund Investment Data'!$B:$B &lt;= 9)) * Parameters!$B$4, 0)) / 4)"),0.0)</f>
        <v>0</v>
      </c>
      <c r="M18" s="129">
        <f>IFERROR(__xludf.DUMMYFUNCTION("((IFERROR(SUM(FILTER('Fund Investment Data'!$V:$V, 'Fund Investment Data'!$C:$C = $A18, 'Fund Investment Data'!$A:$A = Parameters!$C$4 - 1, 'Fund Investment Data'!$B:$B &gt;= 4, 'Fund Investment Data'!$B:$B &lt;= 12)) * Parameters!$B$4, 0)) / 4)"),0.0)</f>
        <v>0</v>
      </c>
      <c r="N18" s="129">
        <f>IFERROR(__xludf.DUMMYFUNCTION("((IFERROR(SUM(FILTER('Fund Investment Data'!$V:$V, 'Fund Investment Data'!$C:$C = $A18, 'Fund Investment Data'!$A:$A = Parameters!$C$4 - 1, 'Fund Investment Data'!$B:$B &gt;= 4, 'Fund Investment Data'!$B:$B &lt;= 12)) * Parameters!$B$4, 0) + IFERROR(SUM(FILTER("&amp;"'Fund Investment Data'!$V:$V, 'Fund Investment Data'!$C:$C = $A18, 'Fund Investment Data'!$A:$A = Parameters!$C$4, 'Fund Investment Data'!$B:$B &lt;= 3)) * Parameters!$B$4, 0)) / 4)"),0.0)</f>
        <v>0</v>
      </c>
      <c r="O18" s="130">
        <f>IFERROR(__xludf.DUMMYFUNCTION("((IFERROR(SUM(FILTER('Fund Investment Data'!$V:$V, 'Fund Investment Data'!$C:$C = $A18, 'Fund Investment Data'!$A:$A = Parameters!$C$4 - 2, 'Fund Investment Data'!$B:$B &gt;= 4)) * Parameters!$B$4,0) + IFERROR(SUM(FILTER('Fund Investment Data'!$V:$V, 'Fund I"&amp;"nvestment Data'!$C:$C = $A18, 'Fund Investment Data'!$A:$A = Parameters!$C$4 - 1, 'Fund Investment Data'!$B:$B &lt;= 3)) * Parameters!$B$4,0)))"),0.0)</f>
        <v>0</v>
      </c>
      <c r="P18" s="131">
        <f t="shared" si="3"/>
        <v>0</v>
      </c>
      <c r="Q18" s="130">
        <f t="shared" si="4"/>
        <v>6992.380793</v>
      </c>
      <c r="R18" s="131">
        <f>IFERROR(__xludf.DUMMYFUNCTION("IFERROR(FILTER('Fund Investment Data'!$AF:$AF,'Fund Investment Data'!$C:$C = $A18,'Fund Investment Data'!$A:$A = (Parameters!$C$4 - 1), 'Fund Investment Data'!$B:$B = 12),0)"),0.0)</f>
        <v>0</v>
      </c>
      <c r="S18" s="132">
        <f t="shared" si="5"/>
        <v>6992.380793</v>
      </c>
      <c r="T18" s="133"/>
    </row>
    <row r="19">
      <c r="A19" s="26" t="s">
        <v>41</v>
      </c>
      <c r="B19" s="27" t="str">
        <f>IFERROR(__xludf.DUMMYFUNCTION("FILTER('Endowed Funds'!$B:$B,'Endowed Funds'!$A:$A = $A19)")," Education ")</f>
        <v>Education</v>
      </c>
      <c r="C19" s="28">
        <f>IFERROR(__xludf.DUMMYFUNCTION("IFERROR(sum(FILTER('Fund Investment Data'!$D:$D, 'Fund Investment Data'!$C:$C = $A19, 'Fund Investment Data'!$A:$A &lt;= (Parameters!$C$4 - 2), 'Fund Investment Data'!$B:$B = 12)),0)"),433755.86)</f>
        <v>433755.86</v>
      </c>
      <c r="D19" s="91">
        <f t="array" ref="D19">INDEX('Fund YTD Target Values'!$1:$1000, MATCH($A19,'Fund YTD Target Values'!$A:$A,0), MATCH(Parameters!$C$4 - 2,'Fund YTD Target Values'!$1:$1,0))</f>
        <v>598621.3568</v>
      </c>
      <c r="E19" s="29">
        <f>IFERROR(__xludf.DUMMYFUNCTION("IFERROR(FILTER('Fund Investment Data'!$P:$P,'Fund Investment Data'!$C:$C = $A19,'Fund Investment Data'!$A:$A = (Parameters!$C$4 - 2), 'Fund Investment Data'!$B:$B = 12) - FILTER('Fund Investment Data'!$AF:$AF,'Fund Investment Data'!$C:$C = $A19,'Fund Inve"&amp;"stment Data'!$A:$A = (Parameters!$C$4 - 2), 'Fund Investment Data'!$B:$B = 12),0)"),657323.7100000001)</f>
        <v>657323.71</v>
      </c>
      <c r="F19" s="27">
        <f t="shared" si="1"/>
        <v>58702.35321</v>
      </c>
      <c r="G19" s="29">
        <f>IFERROR(__xludf.DUMMYFUNCTION("IF(Parameters!$C$4 = 2019, FILTER('Fund Investment Data'!$Z:$Z, 'Fund Investment Data'!$C:$C = $A19, 'Fund Investment Data'!$A:$A = Parameters!$C$4 - 1, 'Fund Investment Data'!$B:$B = 12) + FILTER('Fund Investment Data'!$AB:$AB, 'Fund Investment Data'!$C:"&amp;"$C = $A19, 'Fund Investment Data'!$A:$A = Parameters!$C$4 - 1, 'Fund Investment Data'!$B:$B = 12),((FILTER('Fund Investment Data'!$Z:$Z, 'Fund Investment Data'!$C:$C = $A19, 'Fund Investment Data'!$A:$A = Parameters!$C$4 - 2, 'Fund Investment Data'!$B:$B "&amp;"= 12) + FILTER('Fund Investment Data'!$AB:$AB, 'Fund Investment Data'!$C:$C = $A19, 'Fund Investment Data'!$A:$A = Parameters!$C$4 - 2, 'Fund Investment Data'!$B:$B = 12)) * (1 + AVERAGE(FILTER('Inflation Data'!$C:$C,'Inflation Data'!$A:$A = (Parameters!$"&amp;"C$4 - 3)))) * Parameters!$A$4) + ((FILTER('Fund Investment Data'!$P:$P, 'Fund Investment Data'!$C:$C = $A19, 'Fund Investment Data'!$A:$A = (Parameters!$C$4 - 3), 'Fund Investment Data'!$B:$B = 12) - SUM(FILTER('Fund Investment Data'!$V:$V, 'Fund Investme"&amp;"nt Data'!$C:$C = $A19, 'Fund Investment Data'!$A:$A = (Parameters!$C$4 - 3), 'Fund Investment Data'!$B:$B &gt; 3)))  * Parameters!$B$4 * (1 - Parameters!$A$4)) + ((SUM(FILTER('Fund Investment Data'!$V:$V, 'Fund Investment Data'!$C:$C = $A19, 'Fund Investment"&amp;" Data'!$A:$A = Parameters!$C$4 - 3, 'Fund Investment Data'!$B:$B &gt;= 4)) + SUM(FILTER('Fund Investment Data'!$V:$V, 'Fund Investment Data'!$C:$C = $A19, 'Fund Investment Data'!$A:$A = Parameters!$C$4 - 2, 'Fund Investment Data'!$B:$B &lt;= 3))) * Parameters!$"&amp;"B$4))"),27436.70626719621)</f>
        <v>27436.70627</v>
      </c>
      <c r="H19" s="127">
        <f>IFERROR(__xludf.DUMMYFUNCTION("IFERROR(($G19 * (1 + AVERAGE(FILTER('Inflation Data'!$C:$C,'Inflation Data'!$A:$A = (Parameters!$C$4 - 2)))) * Parameters!$A$4),0)"),19553.670312062848)</f>
        <v>19553.67031</v>
      </c>
      <c r="I19" s="127">
        <f>IFERROR(__xludf.DUMMYFUNCTION("IF(Parameters!$C$4 = 2019,IFERROR((IFERROR(FILTER('Fund Investment Data'!$P:$P,'Fund Investment Data'!$C:$C = $A19,'Fund Investment Data'!$A:$A = (Parameters!$C$4 - 2), 'Fund Investment Data'!$B:$B = 12),0) - SUM(FILTER('Fund Investment Data'!$V:$V, 'Fund"&amp;" Investment Data'!$C:$C = $A19, 'Fund Investment Data'!$A:$A = (Parameters!$C$4 - 2), 'Fund Investment Data'!$B:$B &gt; 3)))  * Parameters!$B$4 * (1 - Parameters!$A$4),0), ($E19  - SUM(FILTER('Fund Investment Data'!$V:$V, 'Fund Investment Data'!$C:$C = $A19,"&amp;" 'Fund Investment Data'!$A:$A = (Parameters!$C$4 - 2), 'Fund Investment Data'!$B:$B &gt; 3)))  * Parameters!$B$4 * (1 - Parameters!$A$4))"),8873.870085000002)</f>
        <v>8873.870085</v>
      </c>
      <c r="J19" s="128">
        <f t="shared" si="2"/>
        <v>28427.5404</v>
      </c>
      <c r="K19" s="129">
        <f>IFERROR(__xludf.DUMMYFUNCTION("((IFERROR(SUM(FILTER('Fund Investment Data'!$V:$V, 'Fund Investment Data'!$C:$C = $A19, 'Fund Investment Data'!$A:$A = Parameters!$C$4 - 1, 'Fund Investment Data'!$B:$B &gt;= 4, 'Fund Investment Data'!$B:$B &lt;= 6)) * Parameters!$B$4, 0)) / 4)"),0.0)</f>
        <v>0</v>
      </c>
      <c r="L19" s="129">
        <f>IFERROR(__xludf.DUMMYFUNCTION("((IFERROR(SUM(FILTER('Fund Investment Data'!$V:$V, 'Fund Investment Data'!$C:$C = $A19, 'Fund Investment Data'!$A:$A = Parameters!$C$4 - 1, 'Fund Investment Data'!$B:$B &gt;= 4, 'Fund Investment Data'!$B:$B &lt;= 9)) * Parameters!$B$4, 0)) / 4)"),0.0)</f>
        <v>0</v>
      </c>
      <c r="M19" s="129">
        <f>IFERROR(__xludf.DUMMYFUNCTION("((IFERROR(SUM(FILTER('Fund Investment Data'!$V:$V, 'Fund Investment Data'!$C:$C = $A19, 'Fund Investment Data'!$A:$A = Parameters!$C$4 - 1, 'Fund Investment Data'!$B:$B &gt;= 4, 'Fund Investment Data'!$B:$B &lt;= 12)) * Parameters!$B$4, 0)) / 4)"),0.0)</f>
        <v>0</v>
      </c>
      <c r="N19" s="129">
        <f>IFERROR(__xludf.DUMMYFUNCTION("((IFERROR(SUM(FILTER('Fund Investment Data'!$V:$V, 'Fund Investment Data'!$C:$C = $A19, 'Fund Investment Data'!$A:$A = Parameters!$C$4 - 1, 'Fund Investment Data'!$B:$B &gt;= 4, 'Fund Investment Data'!$B:$B &lt;= 12)) * Parameters!$B$4, 0) + IFERROR(SUM(FILTER("&amp;"'Fund Investment Data'!$V:$V, 'Fund Investment Data'!$C:$C = $A19, 'Fund Investment Data'!$A:$A = Parameters!$C$4, 'Fund Investment Data'!$B:$B &lt;= 3)) * Parameters!$B$4, 0)) / 4)"),0.0)</f>
        <v>0</v>
      </c>
      <c r="O19" s="130">
        <f>IFERROR(__xludf.DUMMYFUNCTION("((IFERROR(SUM(FILTER('Fund Investment Data'!$V:$V, 'Fund Investment Data'!$C:$C = $A19, 'Fund Investment Data'!$A:$A = Parameters!$C$4 - 2, 'Fund Investment Data'!$B:$B &gt;= 4)) * Parameters!$B$4,0) + IFERROR(SUM(FILTER('Fund Investment Data'!$V:$V, 'Fund I"&amp;"nvestment Data'!$C:$C = $A19, 'Fund Investment Data'!$A:$A = Parameters!$C$4 - 1, 'Fund Investment Data'!$B:$B &lt;= 3)) * Parameters!$B$4,0)))"),0.0)</f>
        <v>0</v>
      </c>
      <c r="P19" s="131">
        <f t="shared" si="3"/>
        <v>0</v>
      </c>
      <c r="Q19" s="130">
        <f t="shared" si="4"/>
        <v>28427.5404</v>
      </c>
      <c r="R19" s="131">
        <f>IFERROR(__xludf.DUMMYFUNCTION("IFERROR(FILTER('Fund Investment Data'!$AF:$AF,'Fund Investment Data'!$C:$C = $A19,'Fund Investment Data'!$A:$A = (Parameters!$C$4 - 1), 'Fund Investment Data'!$B:$B = 12),0)"),0.0)</f>
        <v>0</v>
      </c>
      <c r="S19" s="132">
        <f t="shared" si="5"/>
        <v>28427.5404</v>
      </c>
      <c r="T19" s="133"/>
    </row>
    <row r="20">
      <c r="A20" s="36" t="s">
        <v>42</v>
      </c>
      <c r="B20" s="27" t="str">
        <f>IFERROR(__xludf.DUMMYFUNCTION("FILTER('Endowed Funds'!$B:$B,'Endowed Funds'!$A:$A = $A20)")," Education ")</f>
        <v>Education</v>
      </c>
      <c r="C20" s="28">
        <f>IFERROR(__xludf.DUMMYFUNCTION("IFERROR(sum(FILTER('Fund Investment Data'!$D:$D, 'Fund Investment Data'!$C:$C = $A20, 'Fund Investment Data'!$A:$A &lt;= (Parameters!$C$4 - 2), 'Fund Investment Data'!$B:$B = 12)),0)"),194469.0)</f>
        <v>194469</v>
      </c>
      <c r="D20" s="91">
        <f t="array" ref="D20">INDEX('Fund YTD Target Values'!$1:$1000, MATCH($A20,'Fund YTD Target Values'!$A:$A,0), MATCH(Parameters!$C$4 - 2,'Fund YTD Target Values'!$1:$1,0))</f>
        <v>244537.4928</v>
      </c>
      <c r="E20" s="29">
        <f>IFERROR(__xludf.DUMMYFUNCTION("IFERROR(FILTER('Fund Investment Data'!$P:$P,'Fund Investment Data'!$C:$C = $A20,'Fund Investment Data'!$A:$A = (Parameters!$C$4 - 2), 'Fund Investment Data'!$B:$B = 12) - FILTER('Fund Investment Data'!$AF:$AF,'Fund Investment Data'!$C:$C = $A20,'Fund Inve"&amp;"stment Data'!$A:$A = (Parameters!$C$4 - 2), 'Fund Investment Data'!$B:$B = 12),0)"),306283.2100000001)</f>
        <v>306283.21</v>
      </c>
      <c r="F20" s="27">
        <f t="shared" si="1"/>
        <v>61745.71724</v>
      </c>
      <c r="G20" s="29">
        <f>IFERROR(__xludf.DUMMYFUNCTION("IF(Parameters!$C$4 = 2019, FILTER('Fund Investment Data'!$Z:$Z, 'Fund Investment Data'!$C:$C = $A20, 'Fund Investment Data'!$A:$A = Parameters!$C$4 - 1, 'Fund Investment Data'!$B:$B = 12) + FILTER('Fund Investment Data'!$AB:$AB, 'Fund Investment Data'!$C:"&amp;"$C = $A20, 'Fund Investment Data'!$A:$A = Parameters!$C$4 - 1, 'Fund Investment Data'!$B:$B = 12),((FILTER('Fund Investment Data'!$Z:$Z, 'Fund Investment Data'!$C:$C = $A20, 'Fund Investment Data'!$A:$A = Parameters!$C$4 - 2, 'Fund Investment Data'!$B:$B "&amp;"= 12) + FILTER('Fund Investment Data'!$AB:$AB, 'Fund Investment Data'!$C:$C = $A20, 'Fund Investment Data'!$A:$A = Parameters!$C$4 - 2, 'Fund Investment Data'!$B:$B = 12)) * (1 + AVERAGE(FILTER('Inflation Data'!$C:$C,'Inflation Data'!$A:$A = (Parameters!$"&amp;"C$4 - 3)))) * Parameters!$A$4) + ((FILTER('Fund Investment Data'!$P:$P, 'Fund Investment Data'!$C:$C = $A20, 'Fund Investment Data'!$A:$A = (Parameters!$C$4 - 3), 'Fund Investment Data'!$B:$B = 12) - SUM(FILTER('Fund Investment Data'!$V:$V, 'Fund Investme"&amp;"nt Data'!$C:$C = $A20, 'Fund Investment Data'!$A:$A = (Parameters!$C$4 - 3), 'Fund Investment Data'!$B:$B &gt; 3)))  * Parameters!$B$4 * (1 - Parameters!$A$4)) + ((SUM(FILTER('Fund Investment Data'!$V:$V, 'Fund Investment Data'!$C:$C = $A20, 'Fund Investment"&amp;" Data'!$A:$A = Parameters!$C$4 - 3, 'Fund Investment Data'!$B:$B &gt;= 4)) + SUM(FILTER('Fund Investment Data'!$V:$V, 'Fund Investment Data'!$C:$C = $A20, 'Fund Investment Data'!$A:$A = Parameters!$C$4 - 2, 'Fund Investment Data'!$B:$B &lt;= 3))) * Parameters!$"&amp;"B$4))"),11964.717004244381)</f>
        <v>11964.717</v>
      </c>
      <c r="H20" s="127">
        <f>IFERROR(__xludf.DUMMYFUNCTION("IFERROR(($G20 * (1 + AVERAGE(FILTER('Inflation Data'!$C:$C,'Inflation Data'!$A:$A = (Parameters!$C$4 - 2)))) * Parameters!$A$4),0)"),8527.048742649056)</f>
        <v>8527.048743</v>
      </c>
      <c r="I20" s="127">
        <f>IFERROR(__xludf.DUMMYFUNCTION("IF(Parameters!$C$4 = 2019,IFERROR((IFERROR(FILTER('Fund Investment Data'!$P:$P,'Fund Investment Data'!$C:$C = $A20,'Fund Investment Data'!$A:$A = (Parameters!$C$4 - 2), 'Fund Investment Data'!$B:$B = 12),0) - SUM(FILTER('Fund Investment Data'!$V:$V, 'Fund"&amp;" Investment Data'!$C:$C = $A20, 'Fund Investment Data'!$A:$A = (Parameters!$C$4 - 2), 'Fund Investment Data'!$B:$B &gt; 3)))  * Parameters!$B$4 * (1 - Parameters!$A$4),0), ($E20  - SUM(FILTER('Fund Investment Data'!$V:$V, 'Fund Investment Data'!$C:$C = $A20,"&amp;" 'Fund Investment Data'!$A:$A = (Parameters!$C$4 - 2), 'Fund Investment Data'!$B:$B &gt; 3)))  * Parameters!$B$4 * (1 - Parameters!$A$4))"),4134.823335000002)</f>
        <v>4134.823335</v>
      </c>
      <c r="J20" s="128">
        <f t="shared" si="2"/>
        <v>12661.87208</v>
      </c>
      <c r="K20" s="129">
        <f>IFERROR(__xludf.DUMMYFUNCTION("((IFERROR(SUM(FILTER('Fund Investment Data'!$V:$V, 'Fund Investment Data'!$C:$C = $A20, 'Fund Investment Data'!$A:$A = Parameters!$C$4 - 1, 'Fund Investment Data'!$B:$B &gt;= 4, 'Fund Investment Data'!$B:$B &lt;= 6)) * Parameters!$B$4, 0)) / 4)"),0.0)</f>
        <v>0</v>
      </c>
      <c r="L20" s="129">
        <f>IFERROR(__xludf.DUMMYFUNCTION("((IFERROR(SUM(FILTER('Fund Investment Data'!$V:$V, 'Fund Investment Data'!$C:$C = $A20, 'Fund Investment Data'!$A:$A = Parameters!$C$4 - 1, 'Fund Investment Data'!$B:$B &gt;= 4, 'Fund Investment Data'!$B:$B &lt;= 9)) * Parameters!$B$4, 0)) / 4)"),0.0)</f>
        <v>0</v>
      </c>
      <c r="M20" s="129">
        <f>IFERROR(__xludf.DUMMYFUNCTION("((IFERROR(SUM(FILTER('Fund Investment Data'!$V:$V, 'Fund Investment Data'!$C:$C = $A20, 'Fund Investment Data'!$A:$A = Parameters!$C$4 - 1, 'Fund Investment Data'!$B:$B &gt;= 4, 'Fund Investment Data'!$B:$B &lt;= 12)) * Parameters!$B$4, 0)) / 4)"),0.0)</f>
        <v>0</v>
      </c>
      <c r="N20" s="129">
        <f>IFERROR(__xludf.DUMMYFUNCTION("((IFERROR(SUM(FILTER('Fund Investment Data'!$V:$V, 'Fund Investment Data'!$C:$C = $A20, 'Fund Investment Data'!$A:$A = Parameters!$C$4 - 1, 'Fund Investment Data'!$B:$B &gt;= 4, 'Fund Investment Data'!$B:$B &lt;= 12)) * Parameters!$B$4, 0) + IFERROR(SUM(FILTER("&amp;"'Fund Investment Data'!$V:$V, 'Fund Investment Data'!$C:$C = $A20, 'Fund Investment Data'!$A:$A = Parameters!$C$4, 'Fund Investment Data'!$B:$B &lt;= 3)) * Parameters!$B$4, 0)) / 4)"),0.0)</f>
        <v>0</v>
      </c>
      <c r="O20" s="130">
        <f>IFERROR(__xludf.DUMMYFUNCTION("((IFERROR(SUM(FILTER('Fund Investment Data'!$V:$V, 'Fund Investment Data'!$C:$C = $A20, 'Fund Investment Data'!$A:$A = Parameters!$C$4 - 2, 'Fund Investment Data'!$B:$B &gt;= 4)) * Parameters!$B$4,0) + IFERROR(SUM(FILTER('Fund Investment Data'!$V:$V, 'Fund I"&amp;"nvestment Data'!$C:$C = $A20, 'Fund Investment Data'!$A:$A = Parameters!$C$4 - 1, 'Fund Investment Data'!$B:$B &lt;= 3)) * Parameters!$B$4,0)))"),0.0)</f>
        <v>0</v>
      </c>
      <c r="P20" s="131">
        <f t="shared" si="3"/>
        <v>0</v>
      </c>
      <c r="Q20" s="130">
        <f t="shared" si="4"/>
        <v>12661.87208</v>
      </c>
      <c r="R20" s="131">
        <f>IFERROR(__xludf.DUMMYFUNCTION("IFERROR(FILTER('Fund Investment Data'!$AF:$AF,'Fund Investment Data'!$C:$C = $A20,'Fund Investment Data'!$A:$A = (Parameters!$C$4 - 1), 'Fund Investment Data'!$B:$B = 12),0)"),0.0)</f>
        <v>0</v>
      </c>
      <c r="S20" s="132">
        <f t="shared" si="5"/>
        <v>12661.87208</v>
      </c>
      <c r="T20" s="133"/>
    </row>
    <row r="21">
      <c r="A21" s="36" t="s">
        <v>43</v>
      </c>
      <c r="B21" s="27" t="str">
        <f>IFERROR(__xludf.DUMMYFUNCTION("FILTER('Endowed Funds'!$B:$B,'Endowed Funds'!$A:$A = $A21)")," Education ")</f>
        <v>Education</v>
      </c>
      <c r="C21" s="28">
        <f>IFERROR(__xludf.DUMMYFUNCTION("IFERROR(sum(FILTER('Fund Investment Data'!$D:$D, 'Fund Investment Data'!$C:$C = $A21, 'Fund Investment Data'!$A:$A &lt;= (Parameters!$C$4 - 2), 'Fund Investment Data'!$B:$B = 12)),0)"),100000.0)</f>
        <v>100000</v>
      </c>
      <c r="D21" s="91">
        <f t="array" ref="D21">INDEX('Fund YTD Target Values'!$1:$1000, MATCH($A21,'Fund YTD Target Values'!$A:$A,0), MATCH(Parameters!$C$4 - 2,'Fund YTD Target Values'!$1:$1,0))</f>
        <v>133065.1141</v>
      </c>
      <c r="E21" s="29">
        <f>IFERROR(__xludf.DUMMYFUNCTION("IFERROR(FILTER('Fund Investment Data'!$P:$P,'Fund Investment Data'!$C:$C = $A21,'Fund Investment Data'!$A:$A = (Parameters!$C$4 - 2), 'Fund Investment Data'!$B:$B = 12) - FILTER('Fund Investment Data'!$AF:$AF,'Fund Investment Data'!$C:$C = $A21,'Fund Inve"&amp;"stment Data'!$A:$A = (Parameters!$C$4 - 2), 'Fund Investment Data'!$B:$B = 12),0)"),123702.02000000002)</f>
        <v>123702.02</v>
      </c>
      <c r="F21" s="27">
        <f t="shared" si="1"/>
        <v>-9363.094055</v>
      </c>
      <c r="G21" s="29">
        <f>IFERROR(__xludf.DUMMYFUNCTION("IF(Parameters!$C$4 = 2019, FILTER('Fund Investment Data'!$Z:$Z, 'Fund Investment Data'!$C:$C = $A21, 'Fund Investment Data'!$A:$A = Parameters!$C$4 - 1, 'Fund Investment Data'!$B:$B = 12) + FILTER('Fund Investment Data'!$AB:$AB, 'Fund Investment Data'!$C:"&amp;"$C = $A21, 'Fund Investment Data'!$A:$A = Parameters!$C$4 - 1, 'Fund Investment Data'!$B:$B = 12),((FILTER('Fund Investment Data'!$Z:$Z, 'Fund Investment Data'!$C:$C = $A21, 'Fund Investment Data'!$A:$A = Parameters!$C$4 - 2, 'Fund Investment Data'!$B:$B "&amp;"= 12) + FILTER('Fund Investment Data'!$AB:$AB, 'Fund Investment Data'!$C:$C = $A21, 'Fund Investment Data'!$A:$A = Parameters!$C$4 - 2, 'Fund Investment Data'!$B:$B = 12)) * (1 + AVERAGE(FILTER('Inflation Data'!$C:$C,'Inflation Data'!$A:$A = (Parameters!$"&amp;"C$4 - 3)))) * Parameters!$A$4) + ((FILTER('Fund Investment Data'!$P:$P, 'Fund Investment Data'!$C:$C = $A21, 'Fund Investment Data'!$A:$A = (Parameters!$C$4 - 3), 'Fund Investment Data'!$B:$B = 12) - SUM(FILTER('Fund Investment Data'!$V:$V, 'Fund Investme"&amp;"nt Data'!$C:$C = $A21, 'Fund Investment Data'!$A:$A = (Parameters!$C$4 - 3), 'Fund Investment Data'!$B:$B &gt; 3)))  * Parameters!$B$4 * (1 - Parameters!$A$4)) + ((SUM(FILTER('Fund Investment Data'!$V:$V, 'Fund Investment Data'!$C:$C = $A21, 'Fund Investment"&amp;" Data'!$A:$A = Parameters!$C$4 - 3, 'Fund Investment Data'!$B:$B &gt;= 4)) + SUM(FILTER('Fund Investment Data'!$V:$V, 'Fund Investment Data'!$C:$C = $A21, 'Fund Investment Data'!$A:$A = Parameters!$C$4 - 2, 'Fund Investment Data'!$B:$B &lt;= 3))) * Parameters!$"&amp;"B$4))"),5599.670961425052)</f>
        <v>5599.670961</v>
      </c>
      <c r="H21" s="127">
        <f>IFERROR(__xludf.DUMMYFUNCTION("IFERROR(($G21 * (1 + AVERAGE(FILTER('Inflation Data'!$C:$C,'Inflation Data'!$A:$A = (Parameters!$C$4 - 2)))) * Parameters!$A$4),0)"),3990.7895200471085)</f>
        <v>3990.78952</v>
      </c>
      <c r="I21" s="127">
        <f>IFERROR(__xludf.DUMMYFUNCTION("IF(Parameters!$C$4 = 2019,IFERROR((IFERROR(FILTER('Fund Investment Data'!$P:$P,'Fund Investment Data'!$C:$C = $A21,'Fund Investment Data'!$A:$A = (Parameters!$C$4 - 2), 'Fund Investment Data'!$B:$B = 12),0) - SUM(FILTER('Fund Investment Data'!$V:$V, 'Fund"&amp;" Investment Data'!$C:$C = $A21, 'Fund Investment Data'!$A:$A = (Parameters!$C$4 - 2), 'Fund Investment Data'!$B:$B &gt; 3)))  * Parameters!$B$4 * (1 - Parameters!$A$4),0), ($E21  - SUM(FILTER('Fund Investment Data'!$V:$V, 'Fund Investment Data'!$C:$C = $A21,"&amp;" 'Fund Investment Data'!$A:$A = (Parameters!$C$4 - 2), 'Fund Investment Data'!$B:$B &gt; 3)))  * Parameters!$B$4 * (1 - Parameters!$A$4))"),1669.9772700000005)</f>
        <v>1669.97727</v>
      </c>
      <c r="J21" s="128">
        <f t="shared" si="2"/>
        <v>5660.76679</v>
      </c>
      <c r="K21" s="129">
        <f>IFERROR(__xludf.DUMMYFUNCTION("((IFERROR(SUM(FILTER('Fund Investment Data'!$V:$V, 'Fund Investment Data'!$C:$C = $A21, 'Fund Investment Data'!$A:$A = Parameters!$C$4 - 1, 'Fund Investment Data'!$B:$B &gt;= 4, 'Fund Investment Data'!$B:$B &lt;= 6)) * Parameters!$B$4, 0)) / 4)"),0.0)</f>
        <v>0</v>
      </c>
      <c r="L21" s="129">
        <f>IFERROR(__xludf.DUMMYFUNCTION("((IFERROR(SUM(FILTER('Fund Investment Data'!$V:$V, 'Fund Investment Data'!$C:$C = $A21, 'Fund Investment Data'!$A:$A = Parameters!$C$4 - 1, 'Fund Investment Data'!$B:$B &gt;= 4, 'Fund Investment Data'!$B:$B &lt;= 9)) * Parameters!$B$4, 0)) / 4)"),0.0)</f>
        <v>0</v>
      </c>
      <c r="M21" s="129">
        <f>IFERROR(__xludf.DUMMYFUNCTION("((IFERROR(SUM(FILTER('Fund Investment Data'!$V:$V, 'Fund Investment Data'!$C:$C = $A21, 'Fund Investment Data'!$A:$A = Parameters!$C$4 - 1, 'Fund Investment Data'!$B:$B &gt;= 4, 'Fund Investment Data'!$B:$B &lt;= 12)) * Parameters!$B$4, 0)) / 4)"),0.0)</f>
        <v>0</v>
      </c>
      <c r="N21" s="129">
        <f>IFERROR(__xludf.DUMMYFUNCTION("((IFERROR(SUM(FILTER('Fund Investment Data'!$V:$V, 'Fund Investment Data'!$C:$C = $A21, 'Fund Investment Data'!$A:$A = Parameters!$C$4 - 1, 'Fund Investment Data'!$B:$B &gt;= 4, 'Fund Investment Data'!$B:$B &lt;= 12)) * Parameters!$B$4, 0) + IFERROR(SUM(FILTER("&amp;"'Fund Investment Data'!$V:$V, 'Fund Investment Data'!$C:$C = $A21, 'Fund Investment Data'!$A:$A = Parameters!$C$4, 'Fund Investment Data'!$B:$B &lt;= 3)) * Parameters!$B$4, 0)) / 4)"),0.0)</f>
        <v>0</v>
      </c>
      <c r="O21" s="130">
        <f>IFERROR(__xludf.DUMMYFUNCTION("((IFERROR(SUM(FILTER('Fund Investment Data'!$V:$V, 'Fund Investment Data'!$C:$C = $A21, 'Fund Investment Data'!$A:$A = Parameters!$C$4 - 2, 'Fund Investment Data'!$B:$B &gt;= 4)) * Parameters!$B$4,0) + IFERROR(SUM(FILTER('Fund Investment Data'!$V:$V, 'Fund I"&amp;"nvestment Data'!$C:$C = $A21, 'Fund Investment Data'!$A:$A = Parameters!$C$4 - 1, 'Fund Investment Data'!$B:$B &lt;= 3)) * Parameters!$B$4,0)))"),0.0)</f>
        <v>0</v>
      </c>
      <c r="P21" s="131">
        <f t="shared" si="3"/>
        <v>0</v>
      </c>
      <c r="Q21" s="130">
        <f t="shared" si="4"/>
        <v>5660.76679</v>
      </c>
      <c r="R21" s="131">
        <f>IFERROR(__xludf.DUMMYFUNCTION("IFERROR(FILTER('Fund Investment Data'!$AF:$AF,'Fund Investment Data'!$C:$C = $A21,'Fund Investment Data'!$A:$A = (Parameters!$C$4 - 1), 'Fund Investment Data'!$B:$B = 12),0)"),0.0)</f>
        <v>0</v>
      </c>
      <c r="S21" s="132">
        <f t="shared" si="5"/>
        <v>5660.76679</v>
      </c>
      <c r="T21" s="133"/>
    </row>
    <row r="22">
      <c r="A22" s="36" t="s">
        <v>44</v>
      </c>
      <c r="B22" s="27" t="str">
        <f>IFERROR(__xludf.DUMMYFUNCTION("FILTER('Endowed Funds'!$B:$B,'Endowed Funds'!$A:$A = $A22)")," Education ")</f>
        <v>Education</v>
      </c>
      <c r="C22" s="28">
        <f>IFERROR(__xludf.DUMMYFUNCTION("IFERROR(sum(FILTER('Fund Investment Data'!$D:$D, 'Fund Investment Data'!$C:$C = $A22, 'Fund Investment Data'!$A:$A &lt;= (Parameters!$C$4 - 2), 'Fund Investment Data'!$B:$B = 12)),0)"),250000.0)</f>
        <v>250000</v>
      </c>
      <c r="D22" s="91">
        <f t="array" ref="D22">INDEX('Fund YTD Target Values'!$1:$1000, MATCH($A22,'Fund YTD Target Values'!$A:$A,0), MATCH(Parameters!$C$4 - 2,'Fund YTD Target Values'!$1:$1,0))</f>
        <v>327413.1867</v>
      </c>
      <c r="E22" s="29">
        <f>IFERROR(__xludf.DUMMYFUNCTION("IFERROR(FILTER('Fund Investment Data'!$P:$P,'Fund Investment Data'!$C:$C = $A22,'Fund Investment Data'!$A:$A = (Parameters!$C$4 - 2), 'Fund Investment Data'!$B:$B = 12) - FILTER('Fund Investment Data'!$AF:$AF,'Fund Investment Data'!$C:$C = $A22,'Fund Inve"&amp;"stment Data'!$A:$A = (Parameters!$C$4 - 2), 'Fund Investment Data'!$B:$B = 12),0)"),281119.88000000006)</f>
        <v>281119.88</v>
      </c>
      <c r="F22" s="27">
        <f t="shared" si="1"/>
        <v>-46293.3067</v>
      </c>
      <c r="G22" s="29">
        <f>IFERROR(__xludf.DUMMYFUNCTION("IF(Parameters!$C$4 = 2019, FILTER('Fund Investment Data'!$Z:$Z, 'Fund Investment Data'!$C:$C = $A22, 'Fund Investment Data'!$A:$A = Parameters!$C$4 - 1, 'Fund Investment Data'!$B:$B = 12) + FILTER('Fund Investment Data'!$AB:$AB, 'Fund Investment Data'!$C:"&amp;"$C = $A22, 'Fund Investment Data'!$A:$A = Parameters!$C$4 - 1, 'Fund Investment Data'!$B:$B = 12),((FILTER('Fund Investment Data'!$Z:$Z, 'Fund Investment Data'!$C:$C = $A22, 'Fund Investment Data'!$A:$A = Parameters!$C$4 - 2, 'Fund Investment Data'!$B:$B "&amp;"= 12) + FILTER('Fund Investment Data'!$AB:$AB, 'Fund Investment Data'!$C:$C = $A22, 'Fund Investment Data'!$A:$A = Parameters!$C$4 - 2, 'Fund Investment Data'!$B:$B = 12)) * (1 + AVERAGE(FILTER('Inflation Data'!$C:$C,'Inflation Data'!$A:$A = (Parameters!$"&amp;"C$4 - 3)))) * Parameters!$A$4) + ((FILTER('Fund Investment Data'!$P:$P, 'Fund Investment Data'!$C:$C = $A22, 'Fund Investment Data'!$A:$A = (Parameters!$C$4 - 3), 'Fund Investment Data'!$B:$B = 12) - SUM(FILTER('Fund Investment Data'!$V:$V, 'Fund Investme"&amp;"nt Data'!$C:$C = $A22, 'Fund Investment Data'!$A:$A = (Parameters!$C$4 - 3), 'Fund Investment Data'!$B:$B &gt; 3)))  * Parameters!$B$4 * (1 - Parameters!$A$4)) + ((SUM(FILTER('Fund Investment Data'!$V:$V, 'Fund Investment Data'!$C:$C = $A22, 'Fund Investment"&amp;" Data'!$A:$A = Parameters!$C$4 - 3, 'Fund Investment Data'!$B:$B &gt;= 4)) + SUM(FILTER('Fund Investment Data'!$V:$V, 'Fund Investment Data'!$C:$C = $A22, 'Fund Investment Data'!$A:$A = Parameters!$C$4 - 2, 'Fund Investment Data'!$B:$B &lt;= 3))) * Parameters!$"&amp;"B$4))"),12772.321640113343)</f>
        <v>12772.32164</v>
      </c>
      <c r="H22" s="127">
        <f>IFERROR(__xludf.DUMMYFUNCTION("IFERROR(($G22 * (1 + AVERAGE(FILTER('Inflation Data'!$C:$C,'Inflation Data'!$A:$A = (Parameters!$C$4 - 2)))) * Parameters!$A$4),0)"),9102.61472489511)</f>
        <v>9102.614725</v>
      </c>
      <c r="I22" s="127">
        <f>IFERROR(__xludf.DUMMYFUNCTION("IF(Parameters!$C$4 = 2019,IFERROR((IFERROR(FILTER('Fund Investment Data'!$P:$P,'Fund Investment Data'!$C:$C = $A22,'Fund Investment Data'!$A:$A = (Parameters!$C$4 - 2), 'Fund Investment Data'!$B:$B = 12),0) - SUM(FILTER('Fund Investment Data'!$V:$V, 'Fund"&amp;" Investment Data'!$C:$C = $A22, 'Fund Investment Data'!$A:$A = (Parameters!$C$4 - 2), 'Fund Investment Data'!$B:$B &gt; 3)))  * Parameters!$B$4 * (1 - Parameters!$A$4),0), ($E22  - SUM(FILTER('Fund Investment Data'!$V:$V, 'Fund Investment Data'!$C:$C = $A22,"&amp;" 'Fund Investment Data'!$A:$A = (Parameters!$C$4 - 2), 'Fund Investment Data'!$B:$B &gt; 3)))  * Parameters!$B$4 * (1 - Parameters!$A$4))"),3795.1183800000017)</f>
        <v>3795.11838</v>
      </c>
      <c r="J22" s="128">
        <f t="shared" si="2"/>
        <v>12897.7331</v>
      </c>
      <c r="K22" s="129">
        <f>IFERROR(__xludf.DUMMYFUNCTION("((IFERROR(SUM(FILTER('Fund Investment Data'!$V:$V, 'Fund Investment Data'!$C:$C = $A22, 'Fund Investment Data'!$A:$A = Parameters!$C$4 - 1, 'Fund Investment Data'!$B:$B &gt;= 4, 'Fund Investment Data'!$B:$B &lt;= 6)) * Parameters!$B$4, 0)) / 4)"),0.0)</f>
        <v>0</v>
      </c>
      <c r="L22" s="129">
        <f>IFERROR(__xludf.DUMMYFUNCTION("((IFERROR(SUM(FILTER('Fund Investment Data'!$V:$V, 'Fund Investment Data'!$C:$C = $A22, 'Fund Investment Data'!$A:$A = Parameters!$C$4 - 1, 'Fund Investment Data'!$B:$B &gt;= 4, 'Fund Investment Data'!$B:$B &lt;= 9)) * Parameters!$B$4, 0)) / 4)"),0.0)</f>
        <v>0</v>
      </c>
      <c r="M22" s="129">
        <f>IFERROR(__xludf.DUMMYFUNCTION("((IFERROR(SUM(FILTER('Fund Investment Data'!$V:$V, 'Fund Investment Data'!$C:$C = $A22, 'Fund Investment Data'!$A:$A = Parameters!$C$4 - 1, 'Fund Investment Data'!$B:$B &gt;= 4, 'Fund Investment Data'!$B:$B &lt;= 12)) * Parameters!$B$4, 0)) / 4)"),0.0)</f>
        <v>0</v>
      </c>
      <c r="N22" s="129">
        <f>IFERROR(__xludf.DUMMYFUNCTION("((IFERROR(SUM(FILTER('Fund Investment Data'!$V:$V, 'Fund Investment Data'!$C:$C = $A22, 'Fund Investment Data'!$A:$A = Parameters!$C$4 - 1, 'Fund Investment Data'!$B:$B &gt;= 4, 'Fund Investment Data'!$B:$B &lt;= 12)) * Parameters!$B$4, 0) + IFERROR(SUM(FILTER("&amp;"'Fund Investment Data'!$V:$V, 'Fund Investment Data'!$C:$C = $A22, 'Fund Investment Data'!$A:$A = Parameters!$C$4, 'Fund Investment Data'!$B:$B &lt;= 3)) * Parameters!$B$4, 0)) / 4)"),0.0)</f>
        <v>0</v>
      </c>
      <c r="O22" s="130">
        <f>IFERROR(__xludf.DUMMYFUNCTION("((IFERROR(SUM(FILTER('Fund Investment Data'!$V:$V, 'Fund Investment Data'!$C:$C = $A22, 'Fund Investment Data'!$A:$A = Parameters!$C$4 - 2, 'Fund Investment Data'!$B:$B &gt;= 4)) * Parameters!$B$4,0) + IFERROR(SUM(FILTER('Fund Investment Data'!$V:$V, 'Fund I"&amp;"nvestment Data'!$C:$C = $A22, 'Fund Investment Data'!$A:$A = Parameters!$C$4 - 1, 'Fund Investment Data'!$B:$B &lt;= 3)) * Parameters!$B$4,0)))"),0.0)</f>
        <v>0</v>
      </c>
      <c r="P22" s="131">
        <f t="shared" si="3"/>
        <v>0</v>
      </c>
      <c r="Q22" s="130">
        <f t="shared" si="4"/>
        <v>12897.7331</v>
      </c>
      <c r="R22" s="131">
        <f>IFERROR(__xludf.DUMMYFUNCTION("IFERROR(FILTER('Fund Investment Data'!$AF:$AF,'Fund Investment Data'!$C:$C = $A22,'Fund Investment Data'!$A:$A = (Parameters!$C$4 - 1), 'Fund Investment Data'!$B:$B = 12),0)"),0.0)</f>
        <v>0</v>
      </c>
      <c r="S22" s="132">
        <f t="shared" si="5"/>
        <v>12897.7331</v>
      </c>
      <c r="T22" s="133"/>
    </row>
    <row r="23">
      <c r="A23" s="36" t="s">
        <v>45</v>
      </c>
      <c r="B23" s="27" t="str">
        <f>IFERROR(__xludf.DUMMYFUNCTION("FILTER('Endowed Funds'!$B:$B,'Endowed Funds'!$A:$A = $A23)")," Education ")</f>
        <v>Education</v>
      </c>
      <c r="C23" s="28">
        <f>IFERROR(__xludf.DUMMYFUNCTION("IFERROR(sum(FILTER('Fund Investment Data'!$D:$D, 'Fund Investment Data'!$C:$C = $A23, 'Fund Investment Data'!$A:$A &lt;= (Parameters!$C$4 - 2), 'Fund Investment Data'!$B:$B = 12)),0)"),100000.0)</f>
        <v>100000</v>
      </c>
      <c r="D23" s="91">
        <f t="array" ref="D23">INDEX('Fund YTD Target Values'!$1:$1000, MATCH($A23,'Fund YTD Target Values'!$A:$A,0), MATCH(Parameters!$C$4 - 2,'Fund YTD Target Values'!$1:$1,0))</f>
        <v>123438.8442</v>
      </c>
      <c r="E23" s="29">
        <f>IFERROR(__xludf.DUMMYFUNCTION("IFERROR(FILTER('Fund Investment Data'!$P:$P,'Fund Investment Data'!$C:$C = $A23,'Fund Investment Data'!$A:$A = (Parameters!$C$4 - 2), 'Fund Investment Data'!$B:$B = 12) - FILTER('Fund Investment Data'!$AF:$AF,'Fund Investment Data'!$C:$C = $A23,'Fund Inve"&amp;"stment Data'!$A:$A = (Parameters!$C$4 - 2), 'Fund Investment Data'!$B:$B = 12),0)"),149514.36999999997)</f>
        <v>149514.37</v>
      </c>
      <c r="F23" s="27">
        <f t="shared" si="1"/>
        <v>26075.52583</v>
      </c>
      <c r="G23" s="29">
        <f>IFERROR(__xludf.DUMMYFUNCTION("IF(Parameters!$C$4 = 2019, FILTER('Fund Investment Data'!$Z:$Z, 'Fund Investment Data'!$C:$C = $A23, 'Fund Investment Data'!$A:$A = Parameters!$C$4 - 1, 'Fund Investment Data'!$B:$B = 12) + FILTER('Fund Investment Data'!$AB:$AB, 'Fund Investment Data'!$C:"&amp;"$C = $A23, 'Fund Investment Data'!$A:$A = Parameters!$C$4 - 1, 'Fund Investment Data'!$B:$B = 12),((FILTER('Fund Investment Data'!$Z:$Z, 'Fund Investment Data'!$C:$C = $A23, 'Fund Investment Data'!$A:$A = Parameters!$C$4 - 2, 'Fund Investment Data'!$B:$B "&amp;"= 12) + FILTER('Fund Investment Data'!$AB:$AB, 'Fund Investment Data'!$C:$C = $A23, 'Fund Investment Data'!$A:$A = Parameters!$C$4 - 2, 'Fund Investment Data'!$B:$B = 12)) * (1 + AVERAGE(FILTER('Inflation Data'!$C:$C,'Inflation Data'!$A:$A = (Parameters!$"&amp;"C$4 - 3)))) * Parameters!$A$4) + ((FILTER('Fund Investment Data'!$P:$P, 'Fund Investment Data'!$C:$C = $A23, 'Fund Investment Data'!$A:$A = (Parameters!$C$4 - 3), 'Fund Investment Data'!$B:$B = 12) - SUM(FILTER('Fund Investment Data'!$V:$V, 'Fund Investme"&amp;"nt Data'!$C:$C = $A23, 'Fund Investment Data'!$A:$A = (Parameters!$C$4 - 3), 'Fund Investment Data'!$B:$B &gt; 3)))  * Parameters!$B$4 * (1 - Parameters!$A$4)) + ((SUM(FILTER('Fund Investment Data'!$V:$V, 'Fund Investment Data'!$C:$C = $A23, 'Fund Investment"&amp;" Data'!$A:$A = Parameters!$C$4 - 3, 'Fund Investment Data'!$B:$B &gt;= 4)) + SUM(FILTER('Fund Investment Data'!$V:$V, 'Fund Investment Data'!$C:$C = $A23, 'Fund Investment Data'!$A:$A = Parameters!$C$4 - 2, 'Fund Investment Data'!$B:$B &lt;= 3))) * Parameters!$"&amp;"B$4))"),5953.570924324798)</f>
        <v>5953.570924</v>
      </c>
      <c r="H23" s="127">
        <f>IFERROR(__xludf.DUMMYFUNCTION("IFERROR(($G23 * (1 + AVERAGE(FILTER('Inflation Data'!$C:$C,'Inflation Data'!$A:$A = (Parameters!$C$4 - 2)))) * Parameters!$A$4),0)"),4243.007958025819)</f>
        <v>4243.007958</v>
      </c>
      <c r="I23" s="127">
        <f>IFERROR(__xludf.DUMMYFUNCTION("IF(Parameters!$C$4 = 2019,IFERROR((IFERROR(FILTER('Fund Investment Data'!$P:$P,'Fund Investment Data'!$C:$C = $A23,'Fund Investment Data'!$A:$A = (Parameters!$C$4 - 2), 'Fund Investment Data'!$B:$B = 12),0) - SUM(FILTER('Fund Investment Data'!$V:$V, 'Fund"&amp;" Investment Data'!$C:$C = $A23, 'Fund Investment Data'!$A:$A = (Parameters!$C$4 - 2), 'Fund Investment Data'!$B:$B &gt; 3)))  * Parameters!$B$4 * (1 - Parameters!$A$4),0), ($E23  - SUM(FILTER('Fund Investment Data'!$V:$V, 'Fund Investment Data'!$C:$C = $A23,"&amp;" 'Fund Investment Data'!$A:$A = (Parameters!$C$4 - 2), 'Fund Investment Data'!$B:$B &gt; 3)))  * Parameters!$B$4 * (1 - Parameters!$A$4))"),2018.4439949999996)</f>
        <v>2018.443995</v>
      </c>
      <c r="J23" s="128">
        <f t="shared" si="2"/>
        <v>6261.451953</v>
      </c>
      <c r="K23" s="129">
        <f>IFERROR(__xludf.DUMMYFUNCTION("((IFERROR(SUM(FILTER('Fund Investment Data'!$V:$V, 'Fund Investment Data'!$C:$C = $A23, 'Fund Investment Data'!$A:$A = Parameters!$C$4 - 1, 'Fund Investment Data'!$B:$B &gt;= 4, 'Fund Investment Data'!$B:$B &lt;= 6)) * Parameters!$B$4, 0)) / 4)"),0.0)</f>
        <v>0</v>
      </c>
      <c r="L23" s="129">
        <f>IFERROR(__xludf.DUMMYFUNCTION("((IFERROR(SUM(FILTER('Fund Investment Data'!$V:$V, 'Fund Investment Data'!$C:$C = $A23, 'Fund Investment Data'!$A:$A = Parameters!$C$4 - 1, 'Fund Investment Data'!$B:$B &gt;= 4, 'Fund Investment Data'!$B:$B &lt;= 9)) * Parameters!$B$4, 0)) / 4)"),0.0)</f>
        <v>0</v>
      </c>
      <c r="M23" s="129">
        <f>IFERROR(__xludf.DUMMYFUNCTION("((IFERROR(SUM(FILTER('Fund Investment Data'!$V:$V, 'Fund Investment Data'!$C:$C = $A23, 'Fund Investment Data'!$A:$A = Parameters!$C$4 - 1, 'Fund Investment Data'!$B:$B &gt;= 4, 'Fund Investment Data'!$B:$B &lt;= 12)) * Parameters!$B$4, 0)) / 4)"),0.0)</f>
        <v>0</v>
      </c>
      <c r="N23" s="129">
        <f>IFERROR(__xludf.DUMMYFUNCTION("((IFERROR(SUM(FILTER('Fund Investment Data'!$V:$V, 'Fund Investment Data'!$C:$C = $A23, 'Fund Investment Data'!$A:$A = Parameters!$C$4 - 1, 'Fund Investment Data'!$B:$B &gt;= 4, 'Fund Investment Data'!$B:$B &lt;= 12)) * Parameters!$B$4, 0) + IFERROR(SUM(FILTER("&amp;"'Fund Investment Data'!$V:$V, 'Fund Investment Data'!$C:$C = $A23, 'Fund Investment Data'!$A:$A = Parameters!$C$4, 'Fund Investment Data'!$B:$B &lt;= 3)) * Parameters!$B$4, 0)) / 4)"),0.0)</f>
        <v>0</v>
      </c>
      <c r="O23" s="130">
        <f>IFERROR(__xludf.DUMMYFUNCTION("((IFERROR(SUM(FILTER('Fund Investment Data'!$V:$V, 'Fund Investment Data'!$C:$C = $A23, 'Fund Investment Data'!$A:$A = Parameters!$C$4 - 2, 'Fund Investment Data'!$B:$B &gt;= 4)) * Parameters!$B$4,0) + IFERROR(SUM(FILTER('Fund Investment Data'!$V:$V, 'Fund I"&amp;"nvestment Data'!$C:$C = $A23, 'Fund Investment Data'!$A:$A = Parameters!$C$4 - 1, 'Fund Investment Data'!$B:$B &lt;= 3)) * Parameters!$B$4,0)))"),0.0)</f>
        <v>0</v>
      </c>
      <c r="P23" s="131">
        <f t="shared" si="3"/>
        <v>0</v>
      </c>
      <c r="Q23" s="130">
        <f t="shared" si="4"/>
        <v>6261.451953</v>
      </c>
      <c r="R23" s="131">
        <f>IFERROR(__xludf.DUMMYFUNCTION("IFERROR(FILTER('Fund Investment Data'!$AF:$AF,'Fund Investment Data'!$C:$C = $A23,'Fund Investment Data'!$A:$A = (Parameters!$C$4 - 1), 'Fund Investment Data'!$B:$B = 12),0)"),0.0)</f>
        <v>0</v>
      </c>
      <c r="S23" s="132">
        <f t="shared" si="5"/>
        <v>6261.451953</v>
      </c>
      <c r="T23" s="133"/>
    </row>
    <row r="24">
      <c r="A24" s="26" t="s">
        <v>46</v>
      </c>
      <c r="B24" s="27" t="str">
        <f>IFERROR(__xludf.DUMMYFUNCTION("FILTER('Endowed Funds'!$B:$B,'Endowed Funds'!$A:$A = $A24)")," General Operations ")</f>
        <v>General Operations</v>
      </c>
      <c r="C24" s="28">
        <f>IFERROR(__xludf.DUMMYFUNCTION("IFERROR(sum(FILTER('Fund Investment Data'!$D:$D, 'Fund Investment Data'!$C:$C = $A24, 'Fund Investment Data'!$A:$A &lt;= (Parameters!$C$4 - 2), 'Fund Investment Data'!$B:$B = 12)),0)"),366400.0)</f>
        <v>366400</v>
      </c>
      <c r="D24" s="91">
        <f t="array" ref="D24">INDEX('Fund YTD Target Values'!$1:$1000, MATCH($A24,'Fund YTD Target Values'!$A:$A,0), MATCH(Parameters!$C$4 - 2,'Fund YTD Target Values'!$1:$1,0))</f>
        <v>464818.8536</v>
      </c>
      <c r="E24" s="29">
        <f>IFERROR(__xludf.DUMMYFUNCTION("IFERROR(FILTER('Fund Investment Data'!$P:$P,'Fund Investment Data'!$C:$C = $A24,'Fund Investment Data'!$A:$A = (Parameters!$C$4 - 2), 'Fund Investment Data'!$B:$B = 12) - FILTER('Fund Investment Data'!$AF:$AF,'Fund Investment Data'!$C:$C = $A24,'Fund Inve"&amp;"stment Data'!$A:$A = (Parameters!$C$4 - 2), 'Fund Investment Data'!$B:$B = 12),0)"),374710.08)</f>
        <v>374710.08</v>
      </c>
      <c r="F24" s="27">
        <f t="shared" si="1"/>
        <v>-90108.77357</v>
      </c>
      <c r="G24" s="29">
        <f>IFERROR(__xludf.DUMMYFUNCTION("IF(Parameters!$C$4 = 2019, FILTER('Fund Investment Data'!$Z:$Z, 'Fund Investment Data'!$C:$C = $A24, 'Fund Investment Data'!$A:$A = Parameters!$C$4 - 1, 'Fund Investment Data'!$B:$B = 12) + FILTER('Fund Investment Data'!$AB:$AB, 'Fund Investment Data'!$C:"&amp;"$C = $A24, 'Fund Investment Data'!$A:$A = Parameters!$C$4 - 1, 'Fund Investment Data'!$B:$B = 12),((FILTER('Fund Investment Data'!$Z:$Z, 'Fund Investment Data'!$C:$C = $A24, 'Fund Investment Data'!$A:$A = Parameters!$C$4 - 2, 'Fund Investment Data'!$B:$B "&amp;"= 12) + FILTER('Fund Investment Data'!$AB:$AB, 'Fund Investment Data'!$C:$C = $A24, 'Fund Investment Data'!$A:$A = Parameters!$C$4 - 2, 'Fund Investment Data'!$B:$B = 12)) * (1 + AVERAGE(FILTER('Inflation Data'!$C:$C,'Inflation Data'!$A:$A = (Parameters!$"&amp;"C$4 - 3)))) * Parameters!$A$4) + ((FILTER('Fund Investment Data'!$P:$P, 'Fund Investment Data'!$C:$C = $A24, 'Fund Investment Data'!$A:$A = (Parameters!$C$4 - 3), 'Fund Investment Data'!$B:$B = 12) - SUM(FILTER('Fund Investment Data'!$V:$V, 'Fund Investme"&amp;"nt Data'!$C:$C = $A24, 'Fund Investment Data'!$A:$A = (Parameters!$C$4 - 3), 'Fund Investment Data'!$B:$B &gt; 3)))  * Parameters!$B$4 * (1 - Parameters!$A$4)) + ((SUM(FILTER('Fund Investment Data'!$V:$V, 'Fund Investment Data'!$C:$C = $A24, 'Fund Investment"&amp;" Data'!$A:$A = Parameters!$C$4 - 3, 'Fund Investment Data'!$B:$B &gt;= 4)) + SUM(FILTER('Fund Investment Data'!$V:$V, 'Fund Investment Data'!$C:$C = $A24, 'Fund Investment Data'!$A:$A = Parameters!$C$4 - 2, 'Fund Investment Data'!$B:$B &lt;= 3))) * Parameters!$"&amp;"B$4))"),17407.43248704988)</f>
        <v>17407.43249</v>
      </c>
      <c r="H24" s="127">
        <f>IFERROR(__xludf.DUMMYFUNCTION("IFERROR(($G24 * (1 + AVERAGE(FILTER('Inflation Data'!$C:$C,'Inflation Data'!$A:$A = (Parameters!$C$4 - 2)))) * Parameters!$A$4),0)"),12405.978783183196)</f>
        <v>12405.97878</v>
      </c>
      <c r="I24" s="127">
        <f>IFERROR(__xludf.DUMMYFUNCTION("IF(Parameters!$C$4 = 2019,IFERROR((IFERROR(FILTER('Fund Investment Data'!$P:$P,'Fund Investment Data'!$C:$C = $A24,'Fund Investment Data'!$A:$A = (Parameters!$C$4 - 2), 'Fund Investment Data'!$B:$B = 12),0) - SUM(FILTER('Fund Investment Data'!$V:$V, 'Fund"&amp;" Investment Data'!$C:$C = $A24, 'Fund Investment Data'!$A:$A = (Parameters!$C$4 - 2), 'Fund Investment Data'!$B:$B &gt; 3)))  * Parameters!$B$4 * (1 - Parameters!$A$4),0), ($E24  - SUM(FILTER('Fund Investment Data'!$V:$V, 'Fund Investment Data'!$C:$C = $A24,"&amp;" 'Fund Investment Data'!$A:$A = (Parameters!$C$4 - 2), 'Fund Investment Data'!$B:$B &gt; 3)))  * Parameters!$B$4 * (1 - Parameters!$A$4))"),5058.586080000001)</f>
        <v>5058.58608</v>
      </c>
      <c r="J24" s="128">
        <f t="shared" si="2"/>
        <v>17464.56486</v>
      </c>
      <c r="K24" s="129">
        <f>IFERROR(__xludf.DUMMYFUNCTION("((IFERROR(SUM(FILTER('Fund Investment Data'!$V:$V, 'Fund Investment Data'!$C:$C = $A24, 'Fund Investment Data'!$A:$A = Parameters!$C$4 - 1, 'Fund Investment Data'!$B:$B &gt;= 4, 'Fund Investment Data'!$B:$B &lt;= 6)) * Parameters!$B$4, 0)) / 4)"),0.0)</f>
        <v>0</v>
      </c>
      <c r="L24" s="129">
        <f>IFERROR(__xludf.DUMMYFUNCTION("((IFERROR(SUM(FILTER('Fund Investment Data'!$V:$V, 'Fund Investment Data'!$C:$C = $A24, 'Fund Investment Data'!$A:$A = Parameters!$C$4 - 1, 'Fund Investment Data'!$B:$B &gt;= 4, 'Fund Investment Data'!$B:$B &lt;= 9)) * Parameters!$B$4, 0)) / 4)"),0.0)</f>
        <v>0</v>
      </c>
      <c r="M24" s="129">
        <f>IFERROR(__xludf.DUMMYFUNCTION("((IFERROR(SUM(FILTER('Fund Investment Data'!$V:$V, 'Fund Investment Data'!$C:$C = $A24, 'Fund Investment Data'!$A:$A = Parameters!$C$4 - 1, 'Fund Investment Data'!$B:$B &gt;= 4, 'Fund Investment Data'!$B:$B &lt;= 12)) * Parameters!$B$4, 0)) / 4)"),0.0)</f>
        <v>0</v>
      </c>
      <c r="N24" s="129">
        <f>IFERROR(__xludf.DUMMYFUNCTION("((IFERROR(SUM(FILTER('Fund Investment Data'!$V:$V, 'Fund Investment Data'!$C:$C = $A24, 'Fund Investment Data'!$A:$A = Parameters!$C$4 - 1, 'Fund Investment Data'!$B:$B &gt;= 4, 'Fund Investment Data'!$B:$B &lt;= 12)) * Parameters!$B$4, 0) + IFERROR(SUM(FILTER("&amp;"'Fund Investment Data'!$V:$V, 'Fund Investment Data'!$C:$C = $A24, 'Fund Investment Data'!$A:$A = Parameters!$C$4, 'Fund Investment Data'!$B:$B &lt;= 3)) * Parameters!$B$4, 0)) / 4)"),0.0)</f>
        <v>0</v>
      </c>
      <c r="O24" s="130">
        <f>IFERROR(__xludf.DUMMYFUNCTION("((IFERROR(SUM(FILTER('Fund Investment Data'!$V:$V, 'Fund Investment Data'!$C:$C = $A24, 'Fund Investment Data'!$A:$A = Parameters!$C$4 - 2, 'Fund Investment Data'!$B:$B &gt;= 4)) * Parameters!$B$4,0) + IFERROR(SUM(FILTER('Fund Investment Data'!$V:$V, 'Fund I"&amp;"nvestment Data'!$C:$C = $A24, 'Fund Investment Data'!$A:$A = Parameters!$C$4 - 1, 'Fund Investment Data'!$B:$B &lt;= 3)) * Parameters!$B$4,0)))"),0.0)</f>
        <v>0</v>
      </c>
      <c r="P24" s="131">
        <f t="shared" si="3"/>
        <v>0</v>
      </c>
      <c r="Q24" s="130">
        <f t="shared" si="4"/>
        <v>17464.56486</v>
      </c>
      <c r="R24" s="131">
        <f>IFERROR(__xludf.DUMMYFUNCTION("IFERROR(FILTER('Fund Investment Data'!$AF:$AF,'Fund Investment Data'!$C:$C = $A24,'Fund Investment Data'!$A:$A = (Parameters!$C$4 - 1), 'Fund Investment Data'!$B:$B = 12),0)"),0.0)</f>
        <v>0</v>
      </c>
      <c r="S24" s="132">
        <f t="shared" si="5"/>
        <v>17464.56486</v>
      </c>
      <c r="T24" s="133"/>
    </row>
    <row r="25">
      <c r="A25" s="36" t="s">
        <v>47</v>
      </c>
      <c r="B25" s="27" t="str">
        <f>IFERROR(__xludf.DUMMYFUNCTION("FILTER('Endowed Funds'!$B:$B,'Endowed Funds'!$A:$A = $A25)")," General Operations ")</f>
        <v>General Operations</v>
      </c>
      <c r="C25" s="28">
        <f>IFERROR(__xludf.DUMMYFUNCTION("IFERROR(sum(FILTER('Fund Investment Data'!$D:$D, 'Fund Investment Data'!$C:$C = $A25, 'Fund Investment Data'!$A:$A &lt;= (Parameters!$C$4 - 2), 'Fund Investment Data'!$B:$B = 12)),0)"),1456367.46)</f>
        <v>1456367.46</v>
      </c>
      <c r="D25" s="91">
        <f t="array" ref="D25">INDEX('Fund YTD Target Values'!$1:$1000, MATCH($A25,'Fund YTD Target Values'!$A:$A,0), MATCH(Parameters!$C$4 - 2,'Fund YTD Target Values'!$1:$1,0))</f>
        <v>2034942.933</v>
      </c>
      <c r="E25" s="29">
        <f>IFERROR(__xludf.DUMMYFUNCTION("IFERROR(FILTER('Fund Investment Data'!$P:$P,'Fund Investment Data'!$C:$C = $A25,'Fund Investment Data'!$A:$A = (Parameters!$C$4 - 2), 'Fund Investment Data'!$B:$B = 12) - FILTER('Fund Investment Data'!$AF:$AF,'Fund Investment Data'!$C:$C = $A25,'Fund Inve"&amp;"stment Data'!$A:$A = (Parameters!$C$4 - 2), 'Fund Investment Data'!$B:$B = 12),0)"),1492799.5199999998)</f>
        <v>1492799.52</v>
      </c>
      <c r="F25" s="27">
        <f t="shared" si="1"/>
        <v>-542143.4127</v>
      </c>
      <c r="G25" s="29">
        <f>IFERROR(__xludf.DUMMYFUNCTION("IF(Parameters!$C$4 = 2019, FILTER('Fund Investment Data'!$Z:$Z, 'Fund Investment Data'!$C:$C = $A25, 'Fund Investment Data'!$A:$A = Parameters!$C$4 - 1, 'Fund Investment Data'!$B:$B = 12) + FILTER('Fund Investment Data'!$AB:$AB, 'Fund Investment Data'!$C:"&amp;"$C = $A25, 'Fund Investment Data'!$A:$A = Parameters!$C$4 - 1, 'Fund Investment Data'!$B:$B = 12),((FILTER('Fund Investment Data'!$Z:$Z, 'Fund Investment Data'!$C:$C = $A25, 'Fund Investment Data'!$A:$A = Parameters!$C$4 - 2, 'Fund Investment Data'!$B:$B "&amp;"= 12) + FILTER('Fund Investment Data'!$AB:$AB, 'Fund Investment Data'!$C:$C = $A25, 'Fund Investment Data'!$A:$A = Parameters!$C$4 - 2, 'Fund Investment Data'!$B:$B = 12)) * (1 + AVERAGE(FILTER('Inflation Data'!$C:$C,'Inflation Data'!$A:$A = (Parameters!$"&amp;"C$4 - 3)))) * Parameters!$A$4) + ((FILTER('Fund Investment Data'!$P:$P, 'Fund Investment Data'!$C:$C = $A25, 'Fund Investment Data'!$A:$A = (Parameters!$C$4 - 3), 'Fund Investment Data'!$B:$B = 12) - SUM(FILTER('Fund Investment Data'!$V:$V, 'Fund Investme"&amp;"nt Data'!$C:$C = $A25, 'Fund Investment Data'!$A:$A = (Parameters!$C$4 - 3), 'Fund Investment Data'!$B:$B &gt; 3)))  * Parameters!$B$4 * (1 - Parameters!$A$4)) + ((SUM(FILTER('Fund Investment Data'!$V:$V, 'Fund Investment Data'!$C:$C = $A25, 'Fund Investment"&amp;" Data'!$A:$A = Parameters!$C$4 - 3, 'Fund Investment Data'!$B:$B &gt;= 4)) + SUM(FILTER('Fund Investment Data'!$V:$V, 'Fund Investment Data'!$C:$C = $A25, 'Fund Investment Data'!$A:$A = Parameters!$C$4 - 2, 'Fund Investment Data'!$B:$B &lt;= 3))) * Parameters!$"&amp;"B$4))"),67560.81845165882)</f>
        <v>67560.81845</v>
      </c>
      <c r="H25" s="127">
        <f>IFERROR(__xludf.DUMMYFUNCTION("IFERROR(($G25 * (1 + AVERAGE(FILTER('Inflation Data'!$C:$C,'Inflation Data'!$A:$A = (Parameters!$C$4 - 2)))) * Parameters!$A$4),0)"),48149.43736873959)</f>
        <v>48149.43737</v>
      </c>
      <c r="I25" s="127">
        <f>IFERROR(__xludf.DUMMYFUNCTION("IF(Parameters!$C$4 = 2019,IFERROR((IFERROR(FILTER('Fund Investment Data'!$P:$P,'Fund Investment Data'!$C:$C = $A25,'Fund Investment Data'!$A:$A = (Parameters!$C$4 - 2), 'Fund Investment Data'!$B:$B = 12),0) - SUM(FILTER('Fund Investment Data'!$V:$V, 'Fund"&amp;" Investment Data'!$C:$C = $A25, 'Fund Investment Data'!$A:$A = (Parameters!$C$4 - 2), 'Fund Investment Data'!$B:$B &gt; 3)))  * Parameters!$B$4 * (1 - Parameters!$A$4),0), ($E25  - SUM(FILTER('Fund Investment Data'!$V:$V, 'Fund Investment Data'!$C:$C = $A25,"&amp;" 'Fund Investment Data'!$A:$A = (Parameters!$C$4 - 2), 'Fund Investment Data'!$B:$B &gt; 3)))  * Parameters!$B$4 * (1 - Parameters!$A$4))"),20152.79352)</f>
        <v>20152.79352</v>
      </c>
      <c r="J25" s="128">
        <f t="shared" si="2"/>
        <v>68302.23089</v>
      </c>
      <c r="K25" s="129">
        <f>IFERROR(__xludf.DUMMYFUNCTION("((IFERROR(SUM(FILTER('Fund Investment Data'!$V:$V, 'Fund Investment Data'!$C:$C = $A25, 'Fund Investment Data'!$A:$A = Parameters!$C$4 - 1, 'Fund Investment Data'!$B:$B &gt;= 4, 'Fund Investment Data'!$B:$B &lt;= 6)) * Parameters!$B$4, 0)) / 4)"),0.0)</f>
        <v>0</v>
      </c>
      <c r="L25" s="129">
        <f>IFERROR(__xludf.DUMMYFUNCTION("((IFERROR(SUM(FILTER('Fund Investment Data'!$V:$V, 'Fund Investment Data'!$C:$C = $A25, 'Fund Investment Data'!$A:$A = Parameters!$C$4 - 1, 'Fund Investment Data'!$B:$B &gt;= 4, 'Fund Investment Data'!$B:$B &lt;= 9)) * Parameters!$B$4, 0)) / 4)"),0.0)</f>
        <v>0</v>
      </c>
      <c r="M25" s="129">
        <f>IFERROR(__xludf.DUMMYFUNCTION("((IFERROR(SUM(FILTER('Fund Investment Data'!$V:$V, 'Fund Investment Data'!$C:$C = $A25, 'Fund Investment Data'!$A:$A = Parameters!$C$4 - 1, 'Fund Investment Data'!$B:$B &gt;= 4, 'Fund Investment Data'!$B:$B &lt;= 12)) * Parameters!$B$4, 0)) / 4)"),0.0)</f>
        <v>0</v>
      </c>
      <c r="N25" s="129">
        <f>IFERROR(__xludf.DUMMYFUNCTION("((IFERROR(SUM(FILTER('Fund Investment Data'!$V:$V, 'Fund Investment Data'!$C:$C = $A25, 'Fund Investment Data'!$A:$A = Parameters!$C$4 - 1, 'Fund Investment Data'!$B:$B &gt;= 4, 'Fund Investment Data'!$B:$B &lt;= 12)) * Parameters!$B$4, 0) + IFERROR(SUM(FILTER("&amp;"'Fund Investment Data'!$V:$V, 'Fund Investment Data'!$C:$C = $A25, 'Fund Investment Data'!$A:$A = Parameters!$C$4, 'Fund Investment Data'!$B:$B &lt;= 3)) * Parameters!$B$4, 0)) / 4)"),0.0)</f>
        <v>0</v>
      </c>
      <c r="O25" s="130">
        <f>IFERROR(__xludf.DUMMYFUNCTION("((IFERROR(SUM(FILTER('Fund Investment Data'!$V:$V, 'Fund Investment Data'!$C:$C = $A25, 'Fund Investment Data'!$A:$A = Parameters!$C$4 - 2, 'Fund Investment Data'!$B:$B &gt;= 4)) * Parameters!$B$4,0) + IFERROR(SUM(FILTER('Fund Investment Data'!$V:$V, 'Fund I"&amp;"nvestment Data'!$C:$C = $A25, 'Fund Investment Data'!$A:$A = Parameters!$C$4 - 1, 'Fund Investment Data'!$B:$B &lt;= 3)) * Parameters!$B$4,0)))"),0.0)</f>
        <v>0</v>
      </c>
      <c r="P25" s="131">
        <f t="shared" si="3"/>
        <v>0</v>
      </c>
      <c r="Q25" s="130">
        <f t="shared" si="4"/>
        <v>68302.23089</v>
      </c>
      <c r="R25" s="131">
        <f>IFERROR(__xludf.DUMMYFUNCTION("IFERROR(FILTER('Fund Investment Data'!$AF:$AF,'Fund Investment Data'!$C:$C = $A25,'Fund Investment Data'!$A:$A = (Parameters!$C$4 - 1), 'Fund Investment Data'!$B:$B = 12),0)"),0.0)</f>
        <v>0</v>
      </c>
      <c r="S25" s="132">
        <f t="shared" si="5"/>
        <v>68302.23089</v>
      </c>
      <c r="T25" s="133"/>
    </row>
    <row r="26">
      <c r="A26" s="36" t="s">
        <v>48</v>
      </c>
      <c r="B26" s="27" t="str">
        <f>IFERROR(__xludf.DUMMYFUNCTION("FILTER('Endowed Funds'!$B:$B,'Endowed Funds'!$A:$A = $A26)")," General Operations ")</f>
        <v>General Operations</v>
      </c>
      <c r="C26" s="28">
        <f>IFERROR(__xludf.DUMMYFUNCTION("IFERROR(sum(FILTER('Fund Investment Data'!$D:$D, 'Fund Investment Data'!$C:$C = $A26, 'Fund Investment Data'!$A:$A &lt;= (Parameters!$C$4 - 2), 'Fund Investment Data'!$B:$B = 12)),0)"),1183929.39)</f>
        <v>1183929.39</v>
      </c>
      <c r="D26" s="91">
        <f t="array" ref="D26">INDEX('Fund YTD Target Values'!$1:$1000, MATCH($A26,'Fund YTD Target Values'!$A:$A,0), MATCH(Parameters!$C$4 - 2,'Fund YTD Target Values'!$1:$1,0))</f>
        <v>1930631.639</v>
      </c>
      <c r="E26" s="29">
        <f>IFERROR(__xludf.DUMMYFUNCTION("IFERROR(FILTER('Fund Investment Data'!$P:$P,'Fund Investment Data'!$C:$C = $A26,'Fund Investment Data'!$A:$A = (Parameters!$C$4 - 2), 'Fund Investment Data'!$B:$B = 12) - FILTER('Fund Investment Data'!$AF:$AF,'Fund Investment Data'!$C:$C = $A26,'Fund Inve"&amp;"stment Data'!$A:$A = (Parameters!$C$4 - 2), 'Fund Investment Data'!$B:$B = 12),0)"),1225948.5799999996)</f>
        <v>1225948.58</v>
      </c>
      <c r="F26" s="27">
        <f t="shared" si="1"/>
        <v>-704683.059</v>
      </c>
      <c r="G26" s="29">
        <f>IFERROR(__xludf.DUMMYFUNCTION("IF(Parameters!$C$4 = 2019, FILTER('Fund Investment Data'!$Z:$Z, 'Fund Investment Data'!$C:$C = $A26, 'Fund Investment Data'!$A:$A = Parameters!$C$4 - 1, 'Fund Investment Data'!$B:$B = 12) + FILTER('Fund Investment Data'!$AB:$AB, 'Fund Investment Data'!$C:"&amp;"$C = $A26, 'Fund Investment Data'!$A:$A = Parameters!$C$4 - 1, 'Fund Investment Data'!$B:$B = 12),((FILTER('Fund Investment Data'!$Z:$Z, 'Fund Investment Data'!$C:$C = $A26, 'Fund Investment Data'!$A:$A = Parameters!$C$4 - 2, 'Fund Investment Data'!$B:$B "&amp;"= 12) + FILTER('Fund Investment Data'!$AB:$AB, 'Fund Investment Data'!$C:$C = $A26, 'Fund Investment Data'!$A:$A = Parameters!$C$4 - 2, 'Fund Investment Data'!$B:$B = 12)) * (1 + AVERAGE(FILTER('Inflation Data'!$C:$C,'Inflation Data'!$A:$A = (Parameters!$"&amp;"C$4 - 3)))) * Parameters!$A$4) + ((FILTER('Fund Investment Data'!$P:$P, 'Fund Investment Data'!$C:$C = $A26, 'Fund Investment Data'!$A:$A = (Parameters!$C$4 - 3), 'Fund Investment Data'!$B:$B = 12) - SUM(FILTER('Fund Investment Data'!$V:$V, 'Fund Investme"&amp;"nt Data'!$C:$C = $A26, 'Fund Investment Data'!$A:$A = (Parameters!$C$4 - 3), 'Fund Investment Data'!$B:$B &gt; 3)))  * Parameters!$B$4 * (1 - Parameters!$A$4)) + ((SUM(FILTER('Fund Investment Data'!$V:$V, 'Fund Investment Data'!$C:$C = $A26, 'Fund Investment"&amp;" Data'!$A:$A = Parameters!$C$4 - 3, 'Fund Investment Data'!$B:$B &gt;= 4)) + SUM(FILTER('Fund Investment Data'!$V:$V, 'Fund Investment Data'!$C:$C = $A26, 'Fund Investment Data'!$A:$A = Parameters!$C$4 - 2, 'Fund Investment Data'!$B:$B &lt;= 3))) * Parameters!$"&amp;"B$4))"),55652.57900095643)</f>
        <v>55652.579</v>
      </c>
      <c r="H26" s="127">
        <f>IFERROR(__xludf.DUMMYFUNCTION("IFERROR(($G26 * (1 + AVERAGE(FILTER('Inflation Data'!$C:$C,'Inflation Data'!$A:$A = (Parameters!$C$4 - 2)))) * Parameters!$A$4),0)"),39662.63921051701)</f>
        <v>39662.63921</v>
      </c>
      <c r="I26" s="127">
        <f>IFERROR(__xludf.DUMMYFUNCTION("IF(Parameters!$C$4 = 2019,IFERROR((IFERROR(FILTER('Fund Investment Data'!$P:$P,'Fund Investment Data'!$C:$C = $A26,'Fund Investment Data'!$A:$A = (Parameters!$C$4 - 2), 'Fund Investment Data'!$B:$B = 12),0) - SUM(FILTER('Fund Investment Data'!$V:$V, 'Fund"&amp;" Investment Data'!$C:$C = $A26, 'Fund Investment Data'!$A:$A = (Parameters!$C$4 - 2), 'Fund Investment Data'!$B:$B &gt; 3)))  * Parameters!$B$4 * (1 - Parameters!$A$4),0), ($E26  - SUM(FILTER('Fund Investment Data'!$V:$V, 'Fund Investment Data'!$C:$C = $A26,"&amp;" 'Fund Investment Data'!$A:$A = (Parameters!$C$4 - 2), 'Fund Investment Data'!$B:$B &gt; 3)))  * Parameters!$B$4 * (1 - Parameters!$A$4))"),16550.305829999994)</f>
        <v>16550.30583</v>
      </c>
      <c r="J26" s="128">
        <f t="shared" si="2"/>
        <v>56212.94504</v>
      </c>
      <c r="K26" s="129">
        <f>IFERROR(__xludf.DUMMYFUNCTION("((IFERROR(SUM(FILTER('Fund Investment Data'!$V:$V, 'Fund Investment Data'!$C:$C = $A26, 'Fund Investment Data'!$A:$A = Parameters!$C$4 - 1, 'Fund Investment Data'!$B:$B &gt;= 4, 'Fund Investment Data'!$B:$B &lt;= 6)) * Parameters!$B$4, 0)) / 4)"),0.0)</f>
        <v>0</v>
      </c>
      <c r="L26" s="129">
        <f>IFERROR(__xludf.DUMMYFUNCTION("((IFERROR(SUM(FILTER('Fund Investment Data'!$V:$V, 'Fund Investment Data'!$C:$C = $A26, 'Fund Investment Data'!$A:$A = Parameters!$C$4 - 1, 'Fund Investment Data'!$B:$B &gt;= 4, 'Fund Investment Data'!$B:$B &lt;= 9)) * Parameters!$B$4, 0)) / 4)"),0.0)</f>
        <v>0</v>
      </c>
      <c r="M26" s="129">
        <f>IFERROR(__xludf.DUMMYFUNCTION("((IFERROR(SUM(FILTER('Fund Investment Data'!$V:$V, 'Fund Investment Data'!$C:$C = $A26, 'Fund Investment Data'!$A:$A = Parameters!$C$4 - 1, 'Fund Investment Data'!$B:$B &gt;= 4, 'Fund Investment Data'!$B:$B &lt;= 12)) * Parameters!$B$4, 0)) / 4)"),0.0)</f>
        <v>0</v>
      </c>
      <c r="N26" s="129">
        <f>IFERROR(__xludf.DUMMYFUNCTION("((IFERROR(SUM(FILTER('Fund Investment Data'!$V:$V, 'Fund Investment Data'!$C:$C = $A26, 'Fund Investment Data'!$A:$A = Parameters!$C$4 - 1, 'Fund Investment Data'!$B:$B &gt;= 4, 'Fund Investment Data'!$B:$B &lt;= 12)) * Parameters!$B$4, 0) + IFERROR(SUM(FILTER("&amp;"'Fund Investment Data'!$V:$V, 'Fund Investment Data'!$C:$C = $A26, 'Fund Investment Data'!$A:$A = Parameters!$C$4, 'Fund Investment Data'!$B:$B &lt;= 3)) * Parameters!$B$4, 0)) / 4)"),0.0)</f>
        <v>0</v>
      </c>
      <c r="O26" s="130">
        <f>IFERROR(__xludf.DUMMYFUNCTION("((IFERROR(SUM(FILTER('Fund Investment Data'!$V:$V, 'Fund Investment Data'!$C:$C = $A26, 'Fund Investment Data'!$A:$A = Parameters!$C$4 - 2, 'Fund Investment Data'!$B:$B &gt;= 4)) * Parameters!$B$4,0) + IFERROR(SUM(FILTER('Fund Investment Data'!$V:$V, 'Fund I"&amp;"nvestment Data'!$C:$C = $A26, 'Fund Investment Data'!$A:$A = Parameters!$C$4 - 1, 'Fund Investment Data'!$B:$B &lt;= 3)) * Parameters!$B$4,0)))"),0.0)</f>
        <v>0</v>
      </c>
      <c r="P26" s="131">
        <f t="shared" si="3"/>
        <v>0</v>
      </c>
      <c r="Q26" s="130">
        <f t="shared" si="4"/>
        <v>56212.94504</v>
      </c>
      <c r="R26" s="131">
        <f>IFERROR(__xludf.DUMMYFUNCTION("IFERROR(FILTER('Fund Investment Data'!$AF:$AF,'Fund Investment Data'!$C:$C = $A26,'Fund Investment Data'!$A:$A = (Parameters!$C$4 - 1), 'Fund Investment Data'!$B:$B = 12),0)"),0.0)</f>
        <v>0</v>
      </c>
      <c r="S26" s="132">
        <f t="shared" si="5"/>
        <v>56212.94504</v>
      </c>
      <c r="T26" s="133"/>
    </row>
    <row r="27">
      <c r="A27" s="36" t="s">
        <v>49</v>
      </c>
      <c r="B27" s="27" t="str">
        <f>IFERROR(__xludf.DUMMYFUNCTION("FILTER('Endowed Funds'!$B:$B,'Endowed Funds'!$A:$A = $A27)")," General Operations ")</f>
        <v>General Operations</v>
      </c>
      <c r="C27" s="28">
        <f>IFERROR(__xludf.DUMMYFUNCTION("IFERROR(sum(FILTER('Fund Investment Data'!$D:$D, 'Fund Investment Data'!$C:$C = $A27, 'Fund Investment Data'!$A:$A &lt;= (Parameters!$C$4 - 2), 'Fund Investment Data'!$B:$B = 12)),0)"),500000.0)</f>
        <v>500000</v>
      </c>
      <c r="D27" s="91">
        <f t="array" ref="D27">INDEX('Fund YTD Target Values'!$1:$1000, MATCH($A27,'Fund YTD Target Values'!$A:$A,0), MATCH(Parameters!$C$4 - 2,'Fund YTD Target Values'!$1:$1,0))</f>
        <v>714091.1961</v>
      </c>
      <c r="E27" s="29">
        <f>IFERROR(__xludf.DUMMYFUNCTION("IFERROR(FILTER('Fund Investment Data'!$P:$P,'Fund Investment Data'!$C:$C = $A27,'Fund Investment Data'!$A:$A = (Parameters!$C$4 - 2), 'Fund Investment Data'!$B:$B = 12) - FILTER('Fund Investment Data'!$AF:$AF,'Fund Investment Data'!$C:$C = $A27,'Fund Inve"&amp;"stment Data'!$A:$A = (Parameters!$C$4 - 2), 'Fund Investment Data'!$B:$B = 12),0)"),531502.6799999998)</f>
        <v>531502.68</v>
      </c>
      <c r="F27" s="27">
        <f t="shared" si="1"/>
        <v>-182588.5161</v>
      </c>
      <c r="G27" s="29">
        <f>IFERROR(__xludf.DUMMYFUNCTION("IF(Parameters!$C$4 = 2019, FILTER('Fund Investment Data'!$Z:$Z, 'Fund Investment Data'!$C:$C = $A27, 'Fund Investment Data'!$A:$A = Parameters!$C$4 - 1, 'Fund Investment Data'!$B:$B = 12) + FILTER('Fund Investment Data'!$AB:$AB, 'Fund Investment Data'!$C:"&amp;"$C = $A27, 'Fund Investment Data'!$A:$A = Parameters!$C$4 - 1, 'Fund Investment Data'!$B:$B = 12),((FILTER('Fund Investment Data'!$Z:$Z, 'Fund Investment Data'!$C:$C = $A27, 'Fund Investment Data'!$A:$A = Parameters!$C$4 - 2, 'Fund Investment Data'!$B:$B "&amp;"= 12) + FILTER('Fund Investment Data'!$AB:$AB, 'Fund Investment Data'!$C:$C = $A27, 'Fund Investment Data'!$A:$A = Parameters!$C$4 - 2, 'Fund Investment Data'!$B:$B = 12)) * (1 + AVERAGE(FILTER('Inflation Data'!$C:$C,'Inflation Data'!$A:$A = (Parameters!$"&amp;"C$4 - 3)))) * Parameters!$A$4) + ((FILTER('Fund Investment Data'!$P:$P, 'Fund Investment Data'!$C:$C = $A27, 'Fund Investment Data'!$A:$A = (Parameters!$C$4 - 3), 'Fund Investment Data'!$B:$B = 12) - SUM(FILTER('Fund Investment Data'!$V:$V, 'Fund Investme"&amp;"nt Data'!$C:$C = $A27, 'Fund Investment Data'!$A:$A = (Parameters!$C$4 - 3), 'Fund Investment Data'!$B:$B &gt; 3)))  * Parameters!$B$4 * (1 - Parameters!$A$4)) + ((SUM(FILTER('Fund Investment Data'!$V:$V, 'Fund Investment Data'!$C:$C = $A27, 'Fund Investment"&amp;" Data'!$A:$A = Parameters!$C$4 - 3, 'Fund Investment Data'!$B:$B &gt;= 4)) + SUM(FILTER('Fund Investment Data'!$V:$V, 'Fund Investment Data'!$C:$C = $A27, 'Fund Investment Data'!$A:$A = Parameters!$C$4 - 2, 'Fund Investment Data'!$B:$B &lt;= 3))) * Parameters!$"&amp;"B$4))"),24340.287812992578)</f>
        <v>24340.28781</v>
      </c>
      <c r="H27" s="127">
        <f>IFERROR(__xludf.DUMMYFUNCTION("IFERROR(($G27 * (1 + AVERAGE(FILTER('Inflation Data'!$C:$C,'Inflation Data'!$A:$A = (Parameters!$C$4 - 2)))) * Parameters!$A$4),0)"),17346.90595004191)</f>
        <v>17346.90595</v>
      </c>
      <c r="I27" s="127">
        <f>IFERROR(__xludf.DUMMYFUNCTION("IF(Parameters!$C$4 = 2019,IFERROR((IFERROR(FILTER('Fund Investment Data'!$P:$P,'Fund Investment Data'!$C:$C = $A27,'Fund Investment Data'!$A:$A = (Parameters!$C$4 - 2), 'Fund Investment Data'!$B:$B = 12),0) - SUM(FILTER('Fund Investment Data'!$V:$V, 'Fund"&amp;" Investment Data'!$C:$C = $A27, 'Fund Investment Data'!$A:$A = (Parameters!$C$4 - 2), 'Fund Investment Data'!$B:$B &gt; 3)))  * Parameters!$B$4 * (1 - Parameters!$A$4),0), ($E27  - SUM(FILTER('Fund Investment Data'!$V:$V, 'Fund Investment Data'!$C:$C = $A27,"&amp;" 'Fund Investment Data'!$A:$A = (Parameters!$C$4 - 2), 'Fund Investment Data'!$B:$B &gt; 3)))  * Parameters!$B$4 * (1 - Parameters!$A$4))"),7175.286179999998)</f>
        <v>7175.28618</v>
      </c>
      <c r="J27" s="128">
        <f t="shared" si="2"/>
        <v>24522.19213</v>
      </c>
      <c r="K27" s="129">
        <f>IFERROR(__xludf.DUMMYFUNCTION("((IFERROR(SUM(FILTER('Fund Investment Data'!$V:$V, 'Fund Investment Data'!$C:$C = $A27, 'Fund Investment Data'!$A:$A = Parameters!$C$4 - 1, 'Fund Investment Data'!$B:$B &gt;= 4, 'Fund Investment Data'!$B:$B &lt;= 6)) * Parameters!$B$4, 0)) / 4)"),0.0)</f>
        <v>0</v>
      </c>
      <c r="L27" s="129">
        <f>IFERROR(__xludf.DUMMYFUNCTION("((IFERROR(SUM(FILTER('Fund Investment Data'!$V:$V, 'Fund Investment Data'!$C:$C = $A27, 'Fund Investment Data'!$A:$A = Parameters!$C$4 - 1, 'Fund Investment Data'!$B:$B &gt;= 4, 'Fund Investment Data'!$B:$B &lt;= 9)) * Parameters!$B$4, 0)) / 4)"),0.0)</f>
        <v>0</v>
      </c>
      <c r="M27" s="129">
        <f>IFERROR(__xludf.DUMMYFUNCTION("((IFERROR(SUM(FILTER('Fund Investment Data'!$V:$V, 'Fund Investment Data'!$C:$C = $A27, 'Fund Investment Data'!$A:$A = Parameters!$C$4 - 1, 'Fund Investment Data'!$B:$B &gt;= 4, 'Fund Investment Data'!$B:$B &lt;= 12)) * Parameters!$B$4, 0)) / 4)"),0.0)</f>
        <v>0</v>
      </c>
      <c r="N27" s="129">
        <f>IFERROR(__xludf.DUMMYFUNCTION("((IFERROR(SUM(FILTER('Fund Investment Data'!$V:$V, 'Fund Investment Data'!$C:$C = $A27, 'Fund Investment Data'!$A:$A = Parameters!$C$4 - 1, 'Fund Investment Data'!$B:$B &gt;= 4, 'Fund Investment Data'!$B:$B &lt;= 12)) * Parameters!$B$4, 0) + IFERROR(SUM(FILTER("&amp;"'Fund Investment Data'!$V:$V, 'Fund Investment Data'!$C:$C = $A27, 'Fund Investment Data'!$A:$A = Parameters!$C$4, 'Fund Investment Data'!$B:$B &lt;= 3)) * Parameters!$B$4, 0)) / 4)"),0.0)</f>
        <v>0</v>
      </c>
      <c r="O27" s="130">
        <f>IFERROR(__xludf.DUMMYFUNCTION("((IFERROR(SUM(FILTER('Fund Investment Data'!$V:$V, 'Fund Investment Data'!$C:$C = $A27, 'Fund Investment Data'!$A:$A = Parameters!$C$4 - 2, 'Fund Investment Data'!$B:$B &gt;= 4)) * Parameters!$B$4,0) + IFERROR(SUM(FILTER('Fund Investment Data'!$V:$V, 'Fund I"&amp;"nvestment Data'!$C:$C = $A27, 'Fund Investment Data'!$A:$A = Parameters!$C$4 - 1, 'Fund Investment Data'!$B:$B &lt;= 3)) * Parameters!$B$4,0)))"),0.0)</f>
        <v>0</v>
      </c>
      <c r="P27" s="131">
        <f t="shared" si="3"/>
        <v>0</v>
      </c>
      <c r="Q27" s="130">
        <f t="shared" si="4"/>
        <v>24522.19213</v>
      </c>
      <c r="R27" s="131">
        <f>IFERROR(__xludf.DUMMYFUNCTION("IFERROR(FILTER('Fund Investment Data'!$AF:$AF,'Fund Investment Data'!$C:$C = $A27,'Fund Investment Data'!$A:$A = (Parameters!$C$4 - 1), 'Fund Investment Data'!$B:$B = 12),0)"),0.0)</f>
        <v>0</v>
      </c>
      <c r="S27" s="132">
        <f t="shared" si="5"/>
        <v>24522.19213</v>
      </c>
      <c r="T27" s="133"/>
    </row>
    <row r="28">
      <c r="A28" s="26" t="s">
        <v>54</v>
      </c>
      <c r="B28" s="27" t="str">
        <f>IFERROR(__xludf.DUMMYFUNCTION("FILTER('Endowed Funds'!$B:$B,'Endowed Funds'!$A:$A = $A28)")," Research Institute ")</f>
        <v>Research Institute</v>
      </c>
      <c r="C28" s="28">
        <f>IFERROR(__xludf.DUMMYFUNCTION("IFERROR(sum(FILTER('Fund Investment Data'!$D:$D, 'Fund Investment Data'!$C:$C = $A28, 'Fund Investment Data'!$A:$A &lt;= (Parameters!$C$4 - 2), 'Fund Investment Data'!$B:$B = 12)),0)"),112975.14999999998)</f>
        <v>112975.15</v>
      </c>
      <c r="D28" s="91">
        <f t="array" ref="D28">INDEX('Fund YTD Target Values'!$1:$1000, MATCH($A28,'Fund YTD Target Values'!$A:$A,0), MATCH(Parameters!$C$4 - 2,'Fund YTD Target Values'!$1:$1,0))</f>
        <v>158496.8702</v>
      </c>
      <c r="E28" s="29">
        <f>IFERROR(__xludf.DUMMYFUNCTION("IFERROR(FILTER('Fund Investment Data'!$P:$P,'Fund Investment Data'!$C:$C = $A28,'Fund Investment Data'!$A:$A = (Parameters!$C$4 - 2), 'Fund Investment Data'!$B:$B = 12) - FILTER('Fund Investment Data'!$AF:$AF,'Fund Investment Data'!$C:$C = $A28,'Fund Inve"&amp;"stment Data'!$A:$A = (Parameters!$C$4 - 2), 'Fund Investment Data'!$B:$B = 12),0)"),174666.14999999997)</f>
        <v>174666.15</v>
      </c>
      <c r="F28" s="27">
        <f t="shared" si="1"/>
        <v>16169.2798</v>
      </c>
      <c r="G28" s="29">
        <f>IFERROR(__xludf.DUMMYFUNCTION("IF(Parameters!$C$4 = 2019, FILTER('Fund Investment Data'!$Z:$Z, 'Fund Investment Data'!$C:$C = $A28, 'Fund Investment Data'!$A:$A = Parameters!$C$4 - 1, 'Fund Investment Data'!$B:$B = 12) + FILTER('Fund Investment Data'!$AB:$AB, 'Fund Investment Data'!$C:"&amp;"$C = $A28, 'Fund Investment Data'!$A:$A = Parameters!$C$4 - 1, 'Fund Investment Data'!$B:$B = 12),((FILTER('Fund Investment Data'!$Z:$Z, 'Fund Investment Data'!$C:$C = $A28, 'Fund Investment Data'!$A:$A = Parameters!$C$4 - 2, 'Fund Investment Data'!$B:$B "&amp;"= 12) + FILTER('Fund Investment Data'!$AB:$AB, 'Fund Investment Data'!$C:$C = $A28, 'Fund Investment Data'!$A:$A = Parameters!$C$4 - 2, 'Fund Investment Data'!$B:$B = 12)) * (1 + AVERAGE(FILTER('Inflation Data'!$C:$C,'Inflation Data'!$A:$A = (Parameters!$"&amp;"C$4 - 3)))) * Parameters!$A$4) + ((FILTER('Fund Investment Data'!$P:$P, 'Fund Investment Data'!$C:$C = $A28, 'Fund Investment Data'!$A:$A = (Parameters!$C$4 - 3), 'Fund Investment Data'!$B:$B = 12) - SUM(FILTER('Fund Investment Data'!$V:$V, 'Fund Investme"&amp;"nt Data'!$C:$C = $A28, 'Fund Investment Data'!$A:$A = (Parameters!$C$4 - 3), 'Fund Investment Data'!$B:$B &gt; 3)))  * Parameters!$B$4 * (1 - Parameters!$A$4)) + ((SUM(FILTER('Fund Investment Data'!$V:$V, 'Fund Investment Data'!$C:$C = $A28, 'Fund Investment"&amp;" Data'!$A:$A = Parameters!$C$4 - 3, 'Fund Investment Data'!$B:$B &gt;= 4)) + SUM(FILTER('Fund Investment Data'!$V:$V, 'Fund Investment Data'!$C:$C = $A28, 'Fund Investment Data'!$A:$A = Parameters!$C$4 - 2, 'Fund Investment Data'!$B:$B &lt;= 3))) * Parameters!$"&amp;"B$4))"),7583.091969592103)</f>
        <v>7583.09197</v>
      </c>
      <c r="H28" s="127">
        <f>IFERROR(__xludf.DUMMYFUNCTION("IFERROR(($G28 * (1 + AVERAGE(FILTER('Inflation Data'!$C:$C,'Inflation Data'!$A:$A = (Parameters!$C$4 - 2)))) * Parameters!$A$4),0)"),5404.339678219252)</f>
        <v>5404.339678</v>
      </c>
      <c r="I28" s="127">
        <f>IFERROR(__xludf.DUMMYFUNCTION("IF(Parameters!$C$4 = 2019,IFERROR((IFERROR(FILTER('Fund Investment Data'!$P:$P,'Fund Investment Data'!$C:$C = $A28,'Fund Investment Data'!$A:$A = (Parameters!$C$4 - 2), 'Fund Investment Data'!$B:$B = 12),0) - SUM(FILTER('Fund Investment Data'!$V:$V, 'Fund"&amp;" Investment Data'!$C:$C = $A28, 'Fund Investment Data'!$A:$A = (Parameters!$C$4 - 2), 'Fund Investment Data'!$B:$B &gt; 3)))  * Parameters!$B$4 * (1 - Parameters!$A$4),0), ($E28  - SUM(FILTER('Fund Investment Data'!$V:$V, 'Fund Investment Data'!$C:$C = $A28,"&amp;" 'Fund Investment Data'!$A:$A = (Parameters!$C$4 - 2), 'Fund Investment Data'!$B:$B &gt; 3)))  * Parameters!$B$4 * (1 - Parameters!$A$4))"),2352.4844849999995)</f>
        <v>2352.484485</v>
      </c>
      <c r="J28" s="128">
        <f t="shared" si="2"/>
        <v>7756.824163</v>
      </c>
      <c r="K28" s="129">
        <f>IFERROR(__xludf.DUMMYFUNCTION("((IFERROR(SUM(FILTER('Fund Investment Data'!$V:$V, 'Fund Investment Data'!$C:$C = $A28, 'Fund Investment Data'!$A:$A = Parameters!$C$4 - 1, 'Fund Investment Data'!$B:$B &gt;= 4, 'Fund Investment Data'!$B:$B &lt;= 6)) * Parameters!$B$4, 0)) / 4)"),0.55125)</f>
        <v>0.55125</v>
      </c>
      <c r="L28" s="129">
        <f>IFERROR(__xludf.DUMMYFUNCTION("((IFERROR(SUM(FILTER('Fund Investment Data'!$V:$V, 'Fund Investment Data'!$C:$C = $A28, 'Fund Investment Data'!$A:$A = Parameters!$C$4 - 1, 'Fund Investment Data'!$B:$B &gt;= 4, 'Fund Investment Data'!$B:$B &lt;= 9)) * Parameters!$B$4, 0)) / 4)"),0.55125)</f>
        <v>0.55125</v>
      </c>
      <c r="M28" s="129">
        <f>IFERROR(__xludf.DUMMYFUNCTION("((IFERROR(SUM(FILTER('Fund Investment Data'!$V:$V, 'Fund Investment Data'!$C:$C = $A28, 'Fund Investment Data'!$A:$A = Parameters!$C$4 - 1, 'Fund Investment Data'!$B:$B &gt;= 4, 'Fund Investment Data'!$B:$B &lt;= 12)) * Parameters!$B$4, 0)) / 4)"),0.55125)</f>
        <v>0.55125</v>
      </c>
      <c r="N28" s="129">
        <f>IFERROR(__xludf.DUMMYFUNCTION("((IFERROR(SUM(FILTER('Fund Investment Data'!$V:$V, 'Fund Investment Data'!$C:$C = $A28, 'Fund Investment Data'!$A:$A = Parameters!$C$4 - 1, 'Fund Investment Data'!$B:$B &gt;= 4, 'Fund Investment Data'!$B:$B &lt;= 12)) * Parameters!$B$4, 0) + IFERROR(SUM(FILTER("&amp;"'Fund Investment Data'!$V:$V, 'Fund Investment Data'!$C:$C = $A28, 'Fund Investment Data'!$A:$A = Parameters!$C$4, 'Fund Investment Data'!$B:$B &lt;= 3)) * Parameters!$B$4, 0)) / 4)"),0.55125)</f>
        <v>0.55125</v>
      </c>
      <c r="O28" s="130">
        <f>IFERROR(__xludf.DUMMYFUNCTION("((IFERROR(SUM(FILTER('Fund Investment Data'!$V:$V, 'Fund Investment Data'!$C:$C = $A28, 'Fund Investment Data'!$A:$A = Parameters!$C$4 - 2, 'Fund Investment Data'!$B:$B &gt;= 4)) * Parameters!$B$4,0) + IFERROR(SUM(FILTER('Fund Investment Data'!$V:$V, 'Fund I"&amp;"nvestment Data'!$C:$C = $A28, 'Fund Investment Data'!$A:$A = Parameters!$C$4 - 1, 'Fund Investment Data'!$B:$B &lt;= 3)) * Parameters!$B$4,0)))"),29.6118)</f>
        <v>29.6118</v>
      </c>
      <c r="P28" s="131">
        <f t="shared" si="3"/>
        <v>31.8168</v>
      </c>
      <c r="Q28" s="130">
        <f t="shared" si="4"/>
        <v>7788.640963</v>
      </c>
      <c r="R28" s="131">
        <f>IFERROR(__xludf.DUMMYFUNCTION("IFERROR(FILTER('Fund Investment Data'!$AF:$AF,'Fund Investment Data'!$C:$C = $A28,'Fund Investment Data'!$A:$A = (Parameters!$C$4 - 1), 'Fund Investment Data'!$B:$B = 12),0)"),0.0)</f>
        <v>0</v>
      </c>
      <c r="S28" s="132">
        <f t="shared" si="5"/>
        <v>7788.640963</v>
      </c>
      <c r="T28" s="133"/>
    </row>
    <row r="29">
      <c r="A29" s="36" t="s">
        <v>50</v>
      </c>
      <c r="B29" s="27" t="str">
        <f>IFERROR(__xludf.DUMMYFUNCTION("FILTER('Endowed Funds'!$B:$B,'Endowed Funds'!$A:$A = $A29)")," Research Institute ")</f>
        <v>Research Institute</v>
      </c>
      <c r="C29" s="28">
        <f>IFERROR(__xludf.DUMMYFUNCTION("IFERROR(sum(FILTER('Fund Investment Data'!$D:$D, 'Fund Investment Data'!$C:$C = $A29, 'Fund Investment Data'!$A:$A &lt;= (Parameters!$C$4 - 2), 'Fund Investment Data'!$B:$B = 12)),0)"),185189.56)</f>
        <v>185189.56</v>
      </c>
      <c r="D29" s="91">
        <f t="array" ref="D29">INDEX('Fund YTD Target Values'!$1:$1000, MATCH($A29,'Fund YTD Target Values'!$A:$A,0), MATCH(Parameters!$C$4 - 2,'Fund YTD Target Values'!$1:$1,0))</f>
        <v>221607.3864</v>
      </c>
      <c r="E29" s="29">
        <f>IFERROR(__xludf.DUMMYFUNCTION("IFERROR(FILTER('Fund Investment Data'!$P:$P,'Fund Investment Data'!$C:$C = $A29,'Fund Investment Data'!$A:$A = (Parameters!$C$4 - 2), 'Fund Investment Data'!$B:$B = 12) - FILTER('Fund Investment Data'!$AF:$AF,'Fund Investment Data'!$C:$C = $A29,'Fund Inve"&amp;"stment Data'!$A:$A = (Parameters!$C$4 - 2), 'Fund Investment Data'!$B:$B = 12),0)"),211991.18000000002)</f>
        <v>211991.18</v>
      </c>
      <c r="F29" s="27">
        <f t="shared" si="1"/>
        <v>-9616.206394</v>
      </c>
      <c r="G29" s="29">
        <f>IFERROR(__xludf.DUMMYFUNCTION("IF(Parameters!$C$4 = 2019, FILTER('Fund Investment Data'!$Z:$Z, 'Fund Investment Data'!$C:$C = $A29, 'Fund Investment Data'!$A:$A = Parameters!$C$4 - 1, 'Fund Investment Data'!$B:$B = 12) + FILTER('Fund Investment Data'!$AB:$AB, 'Fund Investment Data'!$C:"&amp;"$C = $A29, 'Fund Investment Data'!$A:$A = Parameters!$C$4 - 1, 'Fund Investment Data'!$B:$B = 12),((FILTER('Fund Investment Data'!$Z:$Z, 'Fund Investment Data'!$C:$C = $A29, 'Fund Investment Data'!$A:$A = Parameters!$C$4 - 2, 'Fund Investment Data'!$B:$B "&amp;"= 12) + FILTER('Fund Investment Data'!$AB:$AB, 'Fund Investment Data'!$C:$C = $A29, 'Fund Investment Data'!$A:$A = Parameters!$C$4 - 2, 'Fund Investment Data'!$B:$B = 12)) * (1 + AVERAGE(FILTER('Inflation Data'!$C:$C,'Inflation Data'!$A:$A = (Parameters!$"&amp;"C$4 - 3)))) * Parameters!$A$4) + ((FILTER('Fund Investment Data'!$P:$P, 'Fund Investment Data'!$C:$C = $A29, 'Fund Investment Data'!$A:$A = (Parameters!$C$4 - 3), 'Fund Investment Data'!$B:$B = 12) - SUM(FILTER('Fund Investment Data'!$V:$V, 'Fund Investme"&amp;"nt Data'!$C:$C = $A29, 'Fund Investment Data'!$A:$A = (Parameters!$C$4 - 3), 'Fund Investment Data'!$B:$B &gt; 3)))  * Parameters!$B$4 * (1 - Parameters!$A$4)) + ((SUM(FILTER('Fund Investment Data'!$V:$V, 'Fund Investment Data'!$C:$C = $A29, 'Fund Investment"&amp;" Data'!$A:$A = Parameters!$C$4 - 3, 'Fund Investment Data'!$B:$B &gt;= 4)) + SUM(FILTER('Fund Investment Data'!$V:$V, 'Fund Investment Data'!$C:$C = $A29, 'Fund Investment Data'!$A:$A = Parameters!$C$4 - 2, 'Fund Investment Data'!$B:$B &lt;= 3))) * Parameters!$"&amp;"B$4))"),10008.04175245473)</f>
        <v>10008.04175</v>
      </c>
      <c r="H29" s="127">
        <f>IFERROR(__xludf.DUMMYFUNCTION("IFERROR(($G29 * (1 + AVERAGE(FILTER('Inflation Data'!$C:$C,'Inflation Data'!$A:$A = (Parameters!$C$4 - 2)))) * Parameters!$A$4),0)"),7132.559826644881)</f>
        <v>7132.559827</v>
      </c>
      <c r="I29" s="127">
        <f>IFERROR(__xludf.DUMMYFUNCTION("IF(Parameters!$C$4 = 2019,IFERROR((IFERROR(FILTER('Fund Investment Data'!$P:$P,'Fund Investment Data'!$C:$C = $A29,'Fund Investment Data'!$A:$A = (Parameters!$C$4 - 2), 'Fund Investment Data'!$B:$B = 12),0) - SUM(FILTER('Fund Investment Data'!$V:$V, 'Fund"&amp;" Investment Data'!$C:$C = $A29, 'Fund Investment Data'!$A:$A = (Parameters!$C$4 - 2), 'Fund Investment Data'!$B:$B &gt; 3)))  * Parameters!$B$4 * (1 - Parameters!$A$4),0), ($E29  - SUM(FILTER('Fund Investment Data'!$V:$V, 'Fund Investment Data'!$C:$C = $A29,"&amp;" 'Fund Investment Data'!$A:$A = (Parameters!$C$4 - 2), 'Fund Investment Data'!$B:$B &gt; 3)))  * Parameters!$B$4 * (1 - Parameters!$A$4))"),2861.8809300000007)</f>
        <v>2861.88093</v>
      </c>
      <c r="J29" s="128">
        <f t="shared" si="2"/>
        <v>9994.440757</v>
      </c>
      <c r="K29" s="129">
        <f>IFERROR(__xludf.DUMMYFUNCTION("((IFERROR(SUM(FILTER('Fund Investment Data'!$V:$V, 'Fund Investment Data'!$C:$C = $A29, 'Fund Investment Data'!$A:$A = Parameters!$C$4 - 1, 'Fund Investment Data'!$B:$B &gt;= 4, 'Fund Investment Data'!$B:$B &lt;= 6)) * Parameters!$B$4, 0)) / 4)"),0.0)</f>
        <v>0</v>
      </c>
      <c r="L29" s="129">
        <f>IFERROR(__xludf.DUMMYFUNCTION("((IFERROR(SUM(FILTER('Fund Investment Data'!$V:$V, 'Fund Investment Data'!$C:$C = $A29, 'Fund Investment Data'!$A:$A = Parameters!$C$4 - 1, 'Fund Investment Data'!$B:$B &gt;= 4, 'Fund Investment Data'!$B:$B &lt;= 9)) * Parameters!$B$4, 0)) / 4)"),0.0)</f>
        <v>0</v>
      </c>
      <c r="M29" s="129">
        <f>IFERROR(__xludf.DUMMYFUNCTION("((IFERROR(SUM(FILTER('Fund Investment Data'!$V:$V, 'Fund Investment Data'!$C:$C = $A29, 'Fund Investment Data'!$A:$A = Parameters!$C$4 - 1, 'Fund Investment Data'!$B:$B &gt;= 4, 'Fund Investment Data'!$B:$B &lt;= 12)) * Parameters!$B$4, 0)) / 4)"),0.0)</f>
        <v>0</v>
      </c>
      <c r="N29" s="129">
        <f>IFERROR(__xludf.DUMMYFUNCTION("((IFERROR(SUM(FILTER('Fund Investment Data'!$V:$V, 'Fund Investment Data'!$C:$C = $A29, 'Fund Investment Data'!$A:$A = Parameters!$C$4 - 1, 'Fund Investment Data'!$B:$B &gt;= 4, 'Fund Investment Data'!$B:$B &lt;= 12)) * Parameters!$B$4, 0) + IFERROR(SUM(FILTER("&amp;"'Fund Investment Data'!$V:$V, 'Fund Investment Data'!$C:$C = $A29, 'Fund Investment Data'!$A:$A = Parameters!$C$4, 'Fund Investment Data'!$B:$B &lt;= 3)) * Parameters!$B$4, 0)) / 4)"),0.0)</f>
        <v>0</v>
      </c>
      <c r="O29" s="130">
        <f>IFERROR(__xludf.DUMMYFUNCTION("((IFERROR(SUM(FILTER('Fund Investment Data'!$V:$V, 'Fund Investment Data'!$C:$C = $A29, 'Fund Investment Data'!$A:$A = Parameters!$C$4 - 2, 'Fund Investment Data'!$B:$B &gt;= 4)) * Parameters!$B$4,0) + IFERROR(SUM(FILTER('Fund Investment Data'!$V:$V, 'Fund I"&amp;"nvestment Data'!$C:$C = $A29, 'Fund Investment Data'!$A:$A = Parameters!$C$4 - 1, 'Fund Investment Data'!$B:$B &lt;= 3)) * Parameters!$B$4,0)))"),0.0)</f>
        <v>0</v>
      </c>
      <c r="P29" s="131">
        <f t="shared" si="3"/>
        <v>0</v>
      </c>
      <c r="Q29" s="130">
        <f t="shared" si="4"/>
        <v>9994.440757</v>
      </c>
      <c r="R29" s="131">
        <f>IFERROR(__xludf.DUMMYFUNCTION("IFERROR(FILTER('Fund Investment Data'!$AF:$AF,'Fund Investment Data'!$C:$C = $A29,'Fund Investment Data'!$A:$A = (Parameters!$C$4 - 1), 'Fund Investment Data'!$B:$B = 12),0)"),0.0)</f>
        <v>0</v>
      </c>
      <c r="S29" s="132">
        <f t="shared" si="5"/>
        <v>9994.440757</v>
      </c>
      <c r="T29" s="133"/>
    </row>
    <row r="30">
      <c r="A30" s="26" t="s">
        <v>51</v>
      </c>
      <c r="B30" s="27" t="str">
        <f>IFERROR(__xludf.DUMMYFUNCTION("FILTER('Endowed Funds'!$B:$B,'Endowed Funds'!$A:$A = $A30)")," Research Institute ")</f>
        <v>Research Institute</v>
      </c>
      <c r="C30" s="28">
        <f>IFERROR(__xludf.DUMMYFUNCTION("IFERROR(sum(FILTER('Fund Investment Data'!$D:$D, 'Fund Investment Data'!$C:$C = $A30, 'Fund Investment Data'!$A:$A &lt;= (Parameters!$C$4 - 2), 'Fund Investment Data'!$B:$B = 12)),0)"),420073.55)</f>
        <v>420073.55</v>
      </c>
      <c r="D30" s="91">
        <f t="array" ref="D30">INDEX('Fund YTD Target Values'!$1:$1000, MATCH($A30,'Fund YTD Target Values'!$A:$A,0), MATCH(Parameters!$C$4 - 2,'Fund YTD Target Values'!$1:$1,0))</f>
        <v>460355.013</v>
      </c>
      <c r="E30" s="29">
        <f>IFERROR(__xludf.DUMMYFUNCTION("IFERROR(FILTER('Fund Investment Data'!$P:$P,'Fund Investment Data'!$C:$C = $A30,'Fund Investment Data'!$A:$A = (Parameters!$C$4 - 2), 'Fund Investment Data'!$B:$B = 12) - FILTER('Fund Investment Data'!$AF:$AF,'Fund Investment Data'!$C:$C = $A30,'Fund Inve"&amp;"stment Data'!$A:$A = (Parameters!$C$4 - 2), 'Fund Investment Data'!$B:$B = 12),0)"),481859.5200000001)</f>
        <v>481859.52</v>
      </c>
      <c r="F30" s="27">
        <f t="shared" si="1"/>
        <v>21504.50699</v>
      </c>
      <c r="G30" s="29">
        <f>IFERROR(__xludf.DUMMYFUNCTION("IF(Parameters!$C$4 = 2019, FILTER('Fund Investment Data'!$Z:$Z, 'Fund Investment Data'!$C:$C = $A30, 'Fund Investment Data'!$A:$A = Parameters!$C$4 - 1, 'Fund Investment Data'!$B:$B = 12) + FILTER('Fund Investment Data'!$AB:$AB, 'Fund Investment Data'!$C:"&amp;"$C = $A30, 'Fund Investment Data'!$A:$A = Parameters!$C$4 - 1, 'Fund Investment Data'!$B:$B = 12),((FILTER('Fund Investment Data'!$Z:$Z, 'Fund Investment Data'!$C:$C = $A30, 'Fund Investment Data'!$A:$A = Parameters!$C$4 - 2, 'Fund Investment Data'!$B:$B "&amp;"= 12) + FILTER('Fund Investment Data'!$AB:$AB, 'Fund Investment Data'!$C:$C = $A30, 'Fund Investment Data'!$A:$A = Parameters!$C$4 - 2, 'Fund Investment Data'!$B:$B = 12)) * (1 + AVERAGE(FILTER('Inflation Data'!$C:$C,'Inflation Data'!$A:$A = (Parameters!$"&amp;"C$4 - 3)))) * Parameters!$A$4) + ((FILTER('Fund Investment Data'!$P:$P, 'Fund Investment Data'!$C:$C = $A30, 'Fund Investment Data'!$A:$A = (Parameters!$C$4 - 3), 'Fund Investment Data'!$B:$B = 12) - SUM(FILTER('Fund Investment Data'!$V:$V, 'Fund Investme"&amp;"nt Data'!$C:$C = $A30, 'Fund Investment Data'!$A:$A = (Parameters!$C$4 - 3), 'Fund Investment Data'!$B:$B &gt; 3)))  * Parameters!$B$4 * (1 - Parameters!$A$4)) + ((SUM(FILTER('Fund Investment Data'!$V:$V, 'Fund Investment Data'!$C:$C = $A30, 'Fund Investment"&amp;" Data'!$A:$A = Parameters!$C$4 - 3, 'Fund Investment Data'!$B:$B &gt;= 4)) + SUM(FILTER('Fund Investment Data'!$V:$V, 'Fund Investment Data'!$C:$C = $A30, 'Fund Investment Data'!$A:$A = Parameters!$C$4 - 2, 'Fund Investment Data'!$B:$B &lt;= 3))) * Parameters!$"&amp;"B$4))"),20907.917873325023)</f>
        <v>20907.91787</v>
      </c>
      <c r="H30" s="127">
        <f>IFERROR(__xludf.DUMMYFUNCTION("IFERROR(($G30 * (1 + AVERAGE(FILTER('Inflation Data'!$C:$C,'Inflation Data'!$A:$A = (Parameters!$C$4 - 2)))) * Parameters!$A$4),0)"),14900.714722287334)</f>
        <v>14900.71472</v>
      </c>
      <c r="I30" s="127">
        <f>IFERROR(__xludf.DUMMYFUNCTION("IF(Parameters!$C$4 = 2019,IFERROR((IFERROR(FILTER('Fund Investment Data'!$P:$P,'Fund Investment Data'!$C:$C = $A30,'Fund Investment Data'!$A:$A = (Parameters!$C$4 - 2), 'Fund Investment Data'!$B:$B = 12),0) - SUM(FILTER('Fund Investment Data'!$V:$V, 'Fund"&amp;" Investment Data'!$C:$C = $A30, 'Fund Investment Data'!$A:$A = (Parameters!$C$4 - 2), 'Fund Investment Data'!$B:$B &gt; 3)))  * Parameters!$B$4 * (1 - Parameters!$A$4),0), ($E30  - SUM(FILTER('Fund Investment Data'!$V:$V, 'Fund Investment Data'!$C:$C = $A30,"&amp;" 'Fund Investment Data'!$A:$A = (Parameters!$C$4 - 2), 'Fund Investment Data'!$B:$B &gt; 3)))  * Parameters!$B$4 * (1 - Parameters!$A$4))"),6491.603520000002)</f>
        <v>6491.60352</v>
      </c>
      <c r="J30" s="128">
        <f t="shared" si="2"/>
        <v>21392.31824</v>
      </c>
      <c r="K30" s="129">
        <f>IFERROR(__xludf.DUMMYFUNCTION("((IFERROR(SUM(FILTER('Fund Investment Data'!$V:$V, 'Fund Investment Data'!$C:$C = $A30, 'Fund Investment Data'!$A:$A = Parameters!$C$4 - 1, 'Fund Investment Data'!$B:$B &gt;= 4, 'Fund Investment Data'!$B:$B &lt;= 6)) * Parameters!$B$4, 0)) / 4)"),0.0)</f>
        <v>0</v>
      </c>
      <c r="L30" s="129">
        <f>IFERROR(__xludf.DUMMYFUNCTION("((IFERROR(SUM(FILTER('Fund Investment Data'!$V:$V, 'Fund Investment Data'!$C:$C = $A30, 'Fund Investment Data'!$A:$A = Parameters!$C$4 - 1, 'Fund Investment Data'!$B:$B &gt;= 4, 'Fund Investment Data'!$B:$B &lt;= 9)) * Parameters!$B$4, 0)) / 4)"),0.0)</f>
        <v>0</v>
      </c>
      <c r="M30" s="129">
        <f>IFERROR(__xludf.DUMMYFUNCTION("((IFERROR(SUM(FILTER('Fund Investment Data'!$V:$V, 'Fund Investment Data'!$C:$C = $A30, 'Fund Investment Data'!$A:$A = Parameters!$C$4 - 1, 'Fund Investment Data'!$B:$B &gt;= 4, 'Fund Investment Data'!$B:$B &lt;= 12)) * Parameters!$B$4, 0)) / 4)"),0.0)</f>
        <v>0</v>
      </c>
      <c r="N30" s="129">
        <f>IFERROR(__xludf.DUMMYFUNCTION("((IFERROR(SUM(FILTER('Fund Investment Data'!$V:$V, 'Fund Investment Data'!$C:$C = $A30, 'Fund Investment Data'!$A:$A = Parameters!$C$4 - 1, 'Fund Investment Data'!$B:$B &gt;= 4, 'Fund Investment Data'!$B:$B &lt;= 12)) * Parameters!$B$4, 0) + IFERROR(SUM(FILTER("&amp;"'Fund Investment Data'!$V:$V, 'Fund Investment Data'!$C:$C = $A30, 'Fund Investment Data'!$A:$A = Parameters!$C$4, 'Fund Investment Data'!$B:$B &lt;= 3)) * Parameters!$B$4, 0)) / 4)"),0.0)</f>
        <v>0</v>
      </c>
      <c r="O30" s="130">
        <f>IFERROR(__xludf.DUMMYFUNCTION("((IFERROR(SUM(FILTER('Fund Investment Data'!$V:$V, 'Fund Investment Data'!$C:$C = $A30, 'Fund Investment Data'!$A:$A = Parameters!$C$4 - 2, 'Fund Investment Data'!$B:$B &gt;= 4)) * Parameters!$B$4,0) + IFERROR(SUM(FILTER('Fund Investment Data'!$V:$V, 'Fund I"&amp;"nvestment Data'!$C:$C = $A30, 'Fund Investment Data'!$A:$A = Parameters!$C$4 - 1, 'Fund Investment Data'!$B:$B &lt;= 3)) * Parameters!$B$4,0)))"),270.0)</f>
        <v>270</v>
      </c>
      <c r="P30" s="131">
        <f t="shared" si="3"/>
        <v>270</v>
      </c>
      <c r="Q30" s="130">
        <f t="shared" si="4"/>
        <v>21662.31824</v>
      </c>
      <c r="R30" s="131">
        <f>IFERROR(__xludf.DUMMYFUNCTION("IFERROR(FILTER('Fund Investment Data'!$AF:$AF,'Fund Investment Data'!$C:$C = $A30,'Fund Investment Data'!$A:$A = (Parameters!$C$4 - 1), 'Fund Investment Data'!$B:$B = 12),0)"),0.0)</f>
        <v>0</v>
      </c>
      <c r="S30" s="132">
        <f t="shared" si="5"/>
        <v>21662.31824</v>
      </c>
      <c r="T30" s="133"/>
    </row>
    <row r="31">
      <c r="A31" s="36" t="s">
        <v>52</v>
      </c>
      <c r="B31" s="27" t="str">
        <f>IFERROR(__xludf.DUMMYFUNCTION("FILTER('Endowed Funds'!$B:$B,'Endowed Funds'!$A:$A = $A31)")," Research Institute ")</f>
        <v>Research Institute</v>
      </c>
      <c r="C31" s="28">
        <f>IFERROR(__xludf.DUMMYFUNCTION("IFERROR(sum(FILTER('Fund Investment Data'!$D:$D, 'Fund Investment Data'!$C:$C = $A31, 'Fund Investment Data'!$A:$A &lt;= (Parameters!$C$4 - 2), 'Fund Investment Data'!$B:$B = 12)),0)"),1081136.0)</f>
        <v>1081136</v>
      </c>
      <c r="D31" s="91">
        <f t="array" ref="D31">INDEX('Fund YTD Target Values'!$1:$1000, MATCH($A31,'Fund YTD Target Values'!$A:$A,0), MATCH(Parameters!$C$4 - 2,'Fund YTD Target Values'!$1:$1,0))</f>
        <v>1170797.015</v>
      </c>
      <c r="E31" s="29">
        <f>IFERROR(__xludf.DUMMYFUNCTION("IFERROR(FILTER('Fund Investment Data'!$P:$P,'Fund Investment Data'!$C:$C = $A31,'Fund Investment Data'!$A:$A = (Parameters!$C$4 - 2), 'Fund Investment Data'!$B:$B = 12) - FILTER('Fund Investment Data'!$AF:$AF,'Fund Investment Data'!$C:$C = $A31,'Fund Inve"&amp;"stment Data'!$A:$A = (Parameters!$C$4 - 2), 'Fund Investment Data'!$B:$B = 12),0)"),1228794.65)</f>
        <v>1228794.65</v>
      </c>
      <c r="F31" s="27">
        <f t="shared" si="1"/>
        <v>57997.63544</v>
      </c>
      <c r="G31" s="29">
        <f>IFERROR(__xludf.DUMMYFUNCTION("IF(Parameters!$C$4 = 2019, FILTER('Fund Investment Data'!$Z:$Z, 'Fund Investment Data'!$C:$C = $A31, 'Fund Investment Data'!$A:$A = Parameters!$C$4 - 1, 'Fund Investment Data'!$B:$B = 12) + FILTER('Fund Investment Data'!$AB:$AB, 'Fund Investment Data'!$C:"&amp;"$C = $A31, 'Fund Investment Data'!$A:$A = Parameters!$C$4 - 1, 'Fund Investment Data'!$B:$B = 12),((FILTER('Fund Investment Data'!$Z:$Z, 'Fund Investment Data'!$C:$C = $A31, 'Fund Investment Data'!$A:$A = Parameters!$C$4 - 2, 'Fund Investment Data'!$B:$B "&amp;"= 12) + FILTER('Fund Investment Data'!$AB:$AB, 'Fund Investment Data'!$C:$C = $A31, 'Fund Investment Data'!$A:$A = Parameters!$C$4 - 2, 'Fund Investment Data'!$B:$B = 12)) * (1 + AVERAGE(FILTER('Inflation Data'!$C:$C,'Inflation Data'!$A:$A = (Parameters!$"&amp;"C$4 - 3)))) * Parameters!$A$4) + ((FILTER('Fund Investment Data'!$P:$P, 'Fund Investment Data'!$C:$C = $A31, 'Fund Investment Data'!$A:$A = (Parameters!$C$4 - 3), 'Fund Investment Data'!$B:$B = 12) - SUM(FILTER('Fund Investment Data'!$V:$V, 'Fund Investme"&amp;"nt Data'!$C:$C = $A31, 'Fund Investment Data'!$A:$A = (Parameters!$C$4 - 3), 'Fund Investment Data'!$B:$B &gt; 3)))  * Parameters!$B$4 * (1 - Parameters!$A$4)) + ((SUM(FILTER('Fund Investment Data'!$V:$V, 'Fund Investment Data'!$C:$C = $A31, 'Fund Investment"&amp;" Data'!$A:$A = Parameters!$C$4 - 3, 'Fund Investment Data'!$B:$B &gt;= 4)) + SUM(FILTER('Fund Investment Data'!$V:$V, 'Fund Investment Data'!$C:$C = $A31, 'Fund Investment Data'!$A:$A = Parameters!$C$4 - 2, 'Fund Investment Data'!$B:$B &lt;= 3))) * Parameters!$"&amp;"B$4))"),52681.32806915215)</f>
        <v>52681.32807</v>
      </c>
      <c r="H31" s="127">
        <f>IFERROR(__xludf.DUMMYFUNCTION("IFERROR(($G31 * (1 + AVERAGE(FILTER('Inflation Data'!$C:$C,'Inflation Data'!$A:$A = (Parameters!$C$4 - 2)))) * Parameters!$A$4),0)"),37545.079596432624)</f>
        <v>37545.0796</v>
      </c>
      <c r="I31" s="127">
        <f>IFERROR(__xludf.DUMMYFUNCTION("IF(Parameters!$C$4 = 2019,IFERROR((IFERROR(FILTER('Fund Investment Data'!$P:$P,'Fund Investment Data'!$C:$C = $A31,'Fund Investment Data'!$A:$A = (Parameters!$C$4 - 2), 'Fund Investment Data'!$B:$B = 12),0) - SUM(FILTER('Fund Investment Data'!$V:$V, 'Fund"&amp;" Investment Data'!$C:$C = $A31, 'Fund Investment Data'!$A:$A = (Parameters!$C$4 - 2), 'Fund Investment Data'!$B:$B &gt; 3)))  * Parameters!$B$4 * (1 - Parameters!$A$4),0), ($E31  - SUM(FILTER('Fund Investment Data'!$V:$V, 'Fund Investment Data'!$C:$C = $A31,"&amp;" 'Fund Investment Data'!$A:$A = (Parameters!$C$4 - 2), 'Fund Investment Data'!$B:$B &gt; 3)))  * Parameters!$B$4 * (1 - Parameters!$A$4))"),16588.727775)</f>
        <v>16588.72778</v>
      </c>
      <c r="J31" s="128">
        <f t="shared" si="2"/>
        <v>54133.80737</v>
      </c>
      <c r="K31" s="129">
        <f>IFERROR(__xludf.DUMMYFUNCTION("((IFERROR(SUM(FILTER('Fund Investment Data'!$V:$V, 'Fund Investment Data'!$C:$C = $A31, 'Fund Investment Data'!$A:$A = Parameters!$C$4 - 1, 'Fund Investment Data'!$B:$B &gt;= 4, 'Fund Investment Data'!$B:$B &lt;= 6)) * Parameters!$B$4, 0)) / 4)"),0.0)</f>
        <v>0</v>
      </c>
      <c r="L31" s="129">
        <f>IFERROR(__xludf.DUMMYFUNCTION("((IFERROR(SUM(FILTER('Fund Investment Data'!$V:$V, 'Fund Investment Data'!$C:$C = $A31, 'Fund Investment Data'!$A:$A = Parameters!$C$4 - 1, 'Fund Investment Data'!$B:$B &gt;= 4, 'Fund Investment Data'!$B:$B &lt;= 9)) * Parameters!$B$4, 0)) / 4)"),0.0)</f>
        <v>0</v>
      </c>
      <c r="M31" s="129">
        <f>IFERROR(__xludf.DUMMYFUNCTION("((IFERROR(SUM(FILTER('Fund Investment Data'!$V:$V, 'Fund Investment Data'!$C:$C = $A31, 'Fund Investment Data'!$A:$A = Parameters!$C$4 - 1, 'Fund Investment Data'!$B:$B &gt;= 4, 'Fund Investment Data'!$B:$B &lt;= 12)) * Parameters!$B$4, 0)) / 4)"),0.0)</f>
        <v>0</v>
      </c>
      <c r="N31" s="129">
        <f>IFERROR(__xludf.DUMMYFUNCTION("((IFERROR(SUM(FILTER('Fund Investment Data'!$V:$V, 'Fund Investment Data'!$C:$C = $A31, 'Fund Investment Data'!$A:$A = Parameters!$C$4 - 1, 'Fund Investment Data'!$B:$B &gt;= 4, 'Fund Investment Data'!$B:$B &lt;= 12)) * Parameters!$B$4, 0) + IFERROR(SUM(FILTER("&amp;"'Fund Investment Data'!$V:$V, 'Fund Investment Data'!$C:$C = $A31, 'Fund Investment Data'!$A:$A = Parameters!$C$4, 'Fund Investment Data'!$B:$B &lt;= 3)) * Parameters!$B$4, 0)) / 4)"),0.0)</f>
        <v>0</v>
      </c>
      <c r="O31" s="130">
        <f>IFERROR(__xludf.DUMMYFUNCTION("((IFERROR(SUM(FILTER('Fund Investment Data'!$V:$V, 'Fund Investment Data'!$C:$C = $A31, 'Fund Investment Data'!$A:$A = Parameters!$C$4 - 2, 'Fund Investment Data'!$B:$B &gt;= 4)) * Parameters!$B$4,0) + IFERROR(SUM(FILTER('Fund Investment Data'!$V:$V, 'Fund I"&amp;"nvestment Data'!$C:$C = $A31, 'Fund Investment Data'!$A:$A = Parameters!$C$4 - 1, 'Fund Investment Data'!$B:$B &lt;= 3)) * Parameters!$B$4,0)))"),0.0)</f>
        <v>0</v>
      </c>
      <c r="P31" s="131">
        <f t="shared" si="3"/>
        <v>0</v>
      </c>
      <c r="Q31" s="130">
        <f t="shared" si="4"/>
        <v>54133.80737</v>
      </c>
      <c r="R31" s="131">
        <f>IFERROR(__xludf.DUMMYFUNCTION("IFERROR(FILTER('Fund Investment Data'!$AF:$AF,'Fund Investment Data'!$C:$C = $A31,'Fund Investment Data'!$A:$A = (Parameters!$C$4 - 1), 'Fund Investment Data'!$B:$B = 12),0)"),0.0)</f>
        <v>0</v>
      </c>
      <c r="S31" s="132">
        <f t="shared" si="5"/>
        <v>54133.80737</v>
      </c>
      <c r="T31" s="133"/>
    </row>
    <row r="32">
      <c r="A32" s="36" t="s">
        <v>53</v>
      </c>
      <c r="B32" s="27" t="str">
        <f>IFERROR(__xludf.DUMMYFUNCTION("FILTER('Endowed Funds'!$B:$B,'Endowed Funds'!$A:$A = $A32)")," Research Institute ")</f>
        <v>Research Institute</v>
      </c>
      <c r="C32" s="28">
        <f>IFERROR(__xludf.DUMMYFUNCTION("IFERROR(sum(FILTER('Fund Investment Data'!$D:$D, 'Fund Investment Data'!$C:$C = $A32, 'Fund Investment Data'!$A:$A &lt;= (Parameters!$C$4 - 2), 'Fund Investment Data'!$B:$B = 12)),0)"),2005500.0)</f>
        <v>2005500</v>
      </c>
      <c r="D32" s="91">
        <f t="array" ref="D32">INDEX('Fund YTD Target Values'!$1:$1000, MATCH($A32,'Fund YTD Target Values'!$A:$A,0), MATCH(Parameters!$C$4 - 2,'Fund YTD Target Values'!$1:$1,0))</f>
        <v>2265063.703</v>
      </c>
      <c r="E32" s="29">
        <f>IFERROR(__xludf.DUMMYFUNCTION("IFERROR(FILTER('Fund Investment Data'!$P:$P,'Fund Investment Data'!$C:$C = $A32,'Fund Investment Data'!$A:$A = (Parameters!$C$4 - 2), 'Fund Investment Data'!$B:$B = 12) - FILTER('Fund Investment Data'!$AF:$AF,'Fund Investment Data'!$C:$C = $A32,'Fund Inve"&amp;"stment Data'!$A:$A = (Parameters!$C$4 - 2), 'Fund Investment Data'!$B:$B = 12),0)"),2249166.0)</f>
        <v>2249166</v>
      </c>
      <c r="F32" s="27">
        <f t="shared" si="1"/>
        <v>-15897.7032</v>
      </c>
      <c r="G32" s="29">
        <f>IFERROR(__xludf.DUMMYFUNCTION("IF(Parameters!$C$4 = 2019, FILTER('Fund Investment Data'!$Z:$Z, 'Fund Investment Data'!$C:$C = $A32, 'Fund Investment Data'!$A:$A = Parameters!$C$4 - 1, 'Fund Investment Data'!$B:$B = 12) + FILTER('Fund Investment Data'!$AB:$AB, 'Fund Investment Data'!$C:"&amp;"$C = $A32, 'Fund Investment Data'!$A:$A = Parameters!$C$4 - 1, 'Fund Investment Data'!$B:$B = 12),((FILTER('Fund Investment Data'!$Z:$Z, 'Fund Investment Data'!$C:$C = $A32, 'Fund Investment Data'!$A:$A = Parameters!$C$4 - 2, 'Fund Investment Data'!$B:$B "&amp;"= 12) + FILTER('Fund Investment Data'!$AB:$AB, 'Fund Investment Data'!$C:$C = $A32, 'Fund Investment Data'!$A:$A = Parameters!$C$4 - 2, 'Fund Investment Data'!$B:$B = 12)) * (1 + AVERAGE(FILTER('Inflation Data'!$C:$C,'Inflation Data'!$A:$A = (Parameters!$"&amp;"C$4 - 3)))) * Parameters!$A$4) + ((FILTER('Fund Investment Data'!$P:$P, 'Fund Investment Data'!$C:$C = $A32, 'Fund Investment Data'!$A:$A = (Parameters!$C$4 - 3), 'Fund Investment Data'!$B:$B = 12) - SUM(FILTER('Fund Investment Data'!$V:$V, 'Fund Investme"&amp;"nt Data'!$C:$C = $A32, 'Fund Investment Data'!$A:$A = (Parameters!$C$4 - 3), 'Fund Investment Data'!$B:$B &gt; 3)))  * Parameters!$B$4 * (1 - Parameters!$A$4)) + ((SUM(FILTER('Fund Investment Data'!$V:$V, 'Fund Investment Data'!$C:$C = $A32, 'Fund Investment"&amp;" Data'!$A:$A = Parameters!$C$4 - 3, 'Fund Investment Data'!$B:$B &gt;= 4)) + SUM(FILTER('Fund Investment Data'!$V:$V, 'Fund Investment Data'!$C:$C = $A32, 'Fund Investment Data'!$A:$A = Parameters!$C$4 - 2, 'Fund Investment Data'!$B:$B &lt;= 3))) * Parameters!$"&amp;"B$4))"),99756.68818332639)</f>
        <v>99756.68818</v>
      </c>
      <c r="H32" s="127">
        <f>IFERROR(__xludf.DUMMYFUNCTION("IFERROR(($G32 * (1 + AVERAGE(FILTER('Inflation Data'!$C:$C,'Inflation Data'!$A:$A = (Parameters!$C$4 - 2)))) * Parameters!$A$4),0)"),71094.88191343877)</f>
        <v>71094.88191</v>
      </c>
      <c r="I32" s="127">
        <f>IFERROR(__xludf.DUMMYFUNCTION("IF(Parameters!$C$4 = 2019,IFERROR((IFERROR(FILTER('Fund Investment Data'!$P:$P,'Fund Investment Data'!$C:$C = $A32,'Fund Investment Data'!$A:$A = (Parameters!$C$4 - 2), 'Fund Investment Data'!$B:$B = 12),0) - SUM(FILTER('Fund Investment Data'!$V:$V, 'Fund"&amp;" Investment Data'!$C:$C = $A32, 'Fund Investment Data'!$A:$A = (Parameters!$C$4 - 2), 'Fund Investment Data'!$B:$B &gt; 3)))  * Parameters!$B$4 * (1 - Parameters!$A$4),0), ($E32  - SUM(FILTER('Fund Investment Data'!$V:$V, 'Fund Investment Data'!$C:$C = $A32,"&amp;" 'Fund Investment Data'!$A:$A = (Parameters!$C$4 - 2), 'Fund Investment Data'!$B:$B &gt; 3)))  * Parameters!$B$4 * (1 - Parameters!$A$4))"),30363.741000000005)</f>
        <v>30363.741</v>
      </c>
      <c r="J32" s="128">
        <f t="shared" si="2"/>
        <v>101458.6229</v>
      </c>
      <c r="K32" s="129">
        <f>IFERROR(__xludf.DUMMYFUNCTION("((IFERROR(SUM(FILTER('Fund Investment Data'!$V:$V, 'Fund Investment Data'!$C:$C = $A32, 'Fund Investment Data'!$A:$A = Parameters!$C$4 - 1, 'Fund Investment Data'!$B:$B &gt;= 4, 'Fund Investment Data'!$B:$B &lt;= 6)) * Parameters!$B$4, 0)) / 4)"),0.0)</f>
        <v>0</v>
      </c>
      <c r="L32" s="129">
        <f>IFERROR(__xludf.DUMMYFUNCTION("((IFERROR(SUM(FILTER('Fund Investment Data'!$V:$V, 'Fund Investment Data'!$C:$C = $A32, 'Fund Investment Data'!$A:$A = Parameters!$C$4 - 1, 'Fund Investment Data'!$B:$B &gt;= 4, 'Fund Investment Data'!$B:$B &lt;= 9)) * Parameters!$B$4, 0)) / 4)"),0.0)</f>
        <v>0</v>
      </c>
      <c r="M32" s="129">
        <f>IFERROR(__xludf.DUMMYFUNCTION("((IFERROR(SUM(FILTER('Fund Investment Data'!$V:$V, 'Fund Investment Data'!$C:$C = $A32, 'Fund Investment Data'!$A:$A = Parameters!$C$4 - 1, 'Fund Investment Data'!$B:$B &gt;= 4, 'Fund Investment Data'!$B:$B &lt;= 12)) * Parameters!$B$4, 0)) / 4)"),0.0)</f>
        <v>0</v>
      </c>
      <c r="N32" s="129">
        <f>IFERROR(__xludf.DUMMYFUNCTION("((IFERROR(SUM(FILTER('Fund Investment Data'!$V:$V, 'Fund Investment Data'!$C:$C = $A32, 'Fund Investment Data'!$A:$A = Parameters!$C$4 - 1, 'Fund Investment Data'!$B:$B &gt;= 4, 'Fund Investment Data'!$B:$B &lt;= 12)) * Parameters!$B$4, 0) + IFERROR(SUM(FILTER("&amp;"'Fund Investment Data'!$V:$V, 'Fund Investment Data'!$C:$C = $A32, 'Fund Investment Data'!$A:$A = Parameters!$C$4, 'Fund Investment Data'!$B:$B &lt;= 3)) * Parameters!$B$4, 0)) / 4)"),0.0)</f>
        <v>0</v>
      </c>
      <c r="O32" s="130">
        <f>IFERROR(__xludf.DUMMYFUNCTION("((IFERROR(SUM(FILTER('Fund Investment Data'!$V:$V, 'Fund Investment Data'!$C:$C = $A32, 'Fund Investment Data'!$A:$A = Parameters!$C$4 - 2, 'Fund Investment Data'!$B:$B &gt;= 4)) * Parameters!$B$4,0) + IFERROR(SUM(FILTER('Fund Investment Data'!$V:$V, 'Fund I"&amp;"nvestment Data'!$C:$C = $A32, 'Fund Investment Data'!$A:$A = Parameters!$C$4 - 1, 'Fund Investment Data'!$B:$B &lt;= 3)) * Parameters!$B$4,0)))"),0.0)</f>
        <v>0</v>
      </c>
      <c r="P32" s="131">
        <f t="shared" si="3"/>
        <v>0</v>
      </c>
      <c r="Q32" s="130">
        <f t="shared" si="4"/>
        <v>101458.6229</v>
      </c>
      <c r="R32" s="131">
        <f>IFERROR(__xludf.DUMMYFUNCTION("IFERROR(FILTER('Fund Investment Data'!$AF:$AF,'Fund Investment Data'!$C:$C = $A32,'Fund Investment Data'!$A:$A = (Parameters!$C$4 - 1), 'Fund Investment Data'!$B:$B = 12),0)"),0.0)</f>
        <v>0</v>
      </c>
      <c r="S32" s="132">
        <f t="shared" si="5"/>
        <v>101458.6229</v>
      </c>
      <c r="T32" s="133"/>
    </row>
    <row r="33">
      <c r="A33" s="36" t="s">
        <v>55</v>
      </c>
      <c r="B33" s="27" t="str">
        <f>IFERROR(__xludf.DUMMYFUNCTION("FILTER('Endowed Funds'!$B:$B,'Endowed Funds'!$A:$A = $A33)")," Research Institute ")</f>
        <v>Research Institute</v>
      </c>
      <c r="C33" s="28">
        <f>IFERROR(__xludf.DUMMYFUNCTION("IFERROR(sum(FILTER('Fund Investment Data'!$D:$D, 'Fund Investment Data'!$C:$C = $A33, 'Fund Investment Data'!$A:$A &lt;= (Parameters!$C$4 - 2), 'Fund Investment Data'!$B:$B = 12)),0)"),350000.0)</f>
        <v>350000</v>
      </c>
      <c r="D33" s="91">
        <f t="array" ref="D33">INDEX('Fund YTD Target Values'!$1:$1000, MATCH($A33,'Fund YTD Target Values'!$A:$A,0), MATCH(Parameters!$C$4 - 2,'Fund YTD Target Values'!$1:$1,0))</f>
        <v>364349.1694</v>
      </c>
      <c r="E33" s="29">
        <f>IFERROR(__xludf.DUMMYFUNCTION("IFERROR(FILTER('Fund Investment Data'!$P:$P,'Fund Investment Data'!$C:$C = $A33,'Fund Investment Data'!$A:$A = (Parameters!$C$4 - 2), 'Fund Investment Data'!$B:$B = 12) - FILTER('Fund Investment Data'!$AF:$AF,'Fund Investment Data'!$C:$C = $A33,'Fund Inve"&amp;"stment Data'!$A:$A = (Parameters!$C$4 - 2), 'Fund Investment Data'!$B:$B = 12),0)"),370522.35)</f>
        <v>370522.35</v>
      </c>
      <c r="F33" s="27">
        <f t="shared" si="1"/>
        <v>6173.180571</v>
      </c>
      <c r="G33" s="29">
        <f>IFERROR(__xludf.DUMMYFUNCTION("IF(Parameters!$C$4 = 2019, FILTER('Fund Investment Data'!$Z:$Z, 'Fund Investment Data'!$C:$C = $A33, 'Fund Investment Data'!$A:$A = Parameters!$C$4 - 1, 'Fund Investment Data'!$B:$B = 12) + FILTER('Fund Investment Data'!$AB:$AB, 'Fund Investment Data'!$C:"&amp;"$C = $A33, 'Fund Investment Data'!$A:$A = Parameters!$C$4 - 1, 'Fund Investment Data'!$B:$B = 12),((FILTER('Fund Investment Data'!$Z:$Z, 'Fund Investment Data'!$C:$C = $A33, 'Fund Investment Data'!$A:$A = Parameters!$C$4 - 2, 'Fund Investment Data'!$B:$B "&amp;"= 12) + FILTER('Fund Investment Data'!$AB:$AB, 'Fund Investment Data'!$C:$C = $A33, 'Fund Investment Data'!$A:$A = Parameters!$C$4 - 2, 'Fund Investment Data'!$B:$B = 12)) * (1 + AVERAGE(FILTER('Inflation Data'!$C:$C,'Inflation Data'!$A:$A = (Parameters!$"&amp;"C$4 - 3)))) * Parameters!$A$4) + ((FILTER('Fund Investment Data'!$P:$P, 'Fund Investment Data'!$C:$C = $A33, 'Fund Investment Data'!$A:$A = (Parameters!$C$4 - 3), 'Fund Investment Data'!$B:$B = 12) - SUM(FILTER('Fund Investment Data'!$V:$V, 'Fund Investme"&amp;"nt Data'!$C:$C = $A33, 'Fund Investment Data'!$A:$A = (Parameters!$C$4 - 3), 'Fund Investment Data'!$B:$B &gt; 3)))  * Parameters!$B$4 * (1 - Parameters!$A$4)) + ((SUM(FILTER('Fund Investment Data'!$V:$V, 'Fund Investment Data'!$C:$C = $A33, 'Fund Investment"&amp;" Data'!$A:$A = Parameters!$C$4 - 3, 'Fund Investment Data'!$B:$B &gt;= 4)) + SUM(FILTER('Fund Investment Data'!$V:$V, 'Fund Investment Data'!$C:$C = $A33, 'Fund Investment Data'!$A:$A = Parameters!$C$4 - 2, 'Fund Investment Data'!$B:$B &lt;= 3))) * Parameters!$"&amp;"B$4))"),14684.79157790319)</f>
        <v>14684.79158</v>
      </c>
      <c r="H33" s="127">
        <f>IFERROR(__xludf.DUMMYFUNCTION("IFERROR(($G33 * (1 + AVERAGE(FILTER('Inflation Data'!$C:$C,'Inflation Data'!$A:$A = (Parameters!$C$4 - 2)))) * Parameters!$A$4),0)"),10465.599271257552)</f>
        <v>10465.59927</v>
      </c>
      <c r="I33" s="127">
        <f>IFERROR(__xludf.DUMMYFUNCTION("IF(Parameters!$C$4 = 2019,IFERROR((IFERROR(FILTER('Fund Investment Data'!$P:$P,'Fund Investment Data'!$C:$C = $A33,'Fund Investment Data'!$A:$A = (Parameters!$C$4 - 2), 'Fund Investment Data'!$B:$B = 12),0) - SUM(FILTER('Fund Investment Data'!$V:$V, 'Fund"&amp;" Investment Data'!$C:$C = $A33, 'Fund Investment Data'!$A:$A = (Parameters!$C$4 - 2), 'Fund Investment Data'!$B:$B &gt; 3)))  * Parameters!$B$4 * (1 - Parameters!$A$4),0), ($E33  - SUM(FILTER('Fund Investment Data'!$V:$V, 'Fund Investment Data'!$C:$C = $A33,"&amp;" 'Fund Investment Data'!$A:$A = (Parameters!$C$4 - 2), 'Fund Investment Data'!$B:$B &gt; 3)))  * Parameters!$B$4 * (1 - Parameters!$A$4))"),4057.0517250000003)</f>
        <v>4057.051725</v>
      </c>
      <c r="J33" s="128">
        <f t="shared" si="2"/>
        <v>14522.651</v>
      </c>
      <c r="K33" s="129">
        <f>IFERROR(__xludf.DUMMYFUNCTION("((IFERROR(SUM(FILTER('Fund Investment Data'!$V:$V, 'Fund Investment Data'!$C:$C = $A33, 'Fund Investment Data'!$A:$A = Parameters!$C$4 - 1, 'Fund Investment Data'!$B:$B &gt;= 4, 'Fund Investment Data'!$B:$B &lt;= 6)) * Parameters!$B$4, 0)) / 4)"),0.0)</f>
        <v>0</v>
      </c>
      <c r="L33" s="129">
        <f>IFERROR(__xludf.DUMMYFUNCTION("((IFERROR(SUM(FILTER('Fund Investment Data'!$V:$V, 'Fund Investment Data'!$C:$C = $A33, 'Fund Investment Data'!$A:$A = Parameters!$C$4 - 1, 'Fund Investment Data'!$B:$B &gt;= 4, 'Fund Investment Data'!$B:$B &lt;= 9)) * Parameters!$B$4, 0)) / 4)"),0.0)</f>
        <v>0</v>
      </c>
      <c r="M33" s="129">
        <f>IFERROR(__xludf.DUMMYFUNCTION("((IFERROR(SUM(FILTER('Fund Investment Data'!$V:$V, 'Fund Investment Data'!$C:$C = $A33, 'Fund Investment Data'!$A:$A = Parameters!$C$4 - 1, 'Fund Investment Data'!$B:$B &gt;= 4, 'Fund Investment Data'!$B:$B &lt;= 12)) * Parameters!$B$4, 0)) / 4)"),0.0)</f>
        <v>0</v>
      </c>
      <c r="N33" s="129">
        <f>IFERROR(__xludf.DUMMYFUNCTION("((IFERROR(SUM(FILTER('Fund Investment Data'!$V:$V, 'Fund Investment Data'!$C:$C = $A33, 'Fund Investment Data'!$A:$A = Parameters!$C$4 - 1, 'Fund Investment Data'!$B:$B &gt;= 4, 'Fund Investment Data'!$B:$B &lt;= 12)) * Parameters!$B$4, 0) + IFERROR(SUM(FILTER("&amp;"'Fund Investment Data'!$V:$V, 'Fund Investment Data'!$C:$C = $A33, 'Fund Investment Data'!$A:$A = Parameters!$C$4, 'Fund Investment Data'!$B:$B &lt;= 3)) * Parameters!$B$4, 0)) / 4)"),0.0)</f>
        <v>0</v>
      </c>
      <c r="O33" s="130">
        <f>IFERROR(__xludf.DUMMYFUNCTION("((IFERROR(SUM(FILTER('Fund Investment Data'!$V:$V, 'Fund Investment Data'!$C:$C = $A33, 'Fund Investment Data'!$A:$A = Parameters!$C$4 - 2, 'Fund Investment Data'!$B:$B &gt;= 4)) * Parameters!$B$4,0) + IFERROR(SUM(FILTER('Fund Investment Data'!$V:$V, 'Fund I"&amp;"nvestment Data'!$C:$C = $A33, 'Fund Investment Data'!$A:$A = Parameters!$C$4 - 1, 'Fund Investment Data'!$B:$B &lt;= 3)) * Parameters!$B$4,0)))"),3150.0)</f>
        <v>3150</v>
      </c>
      <c r="P33" s="131">
        <f t="shared" si="3"/>
        <v>3150</v>
      </c>
      <c r="Q33" s="130">
        <f t="shared" si="4"/>
        <v>17672.651</v>
      </c>
      <c r="R33" s="131">
        <f>IFERROR(__xludf.DUMMYFUNCTION("IFERROR(FILTER('Fund Investment Data'!$AF:$AF,'Fund Investment Data'!$C:$C = $A33,'Fund Investment Data'!$A:$A = (Parameters!$C$4 - 1), 'Fund Investment Data'!$B:$B = 12),0)"),0.0)</f>
        <v>0</v>
      </c>
      <c r="S33" s="132">
        <f t="shared" si="5"/>
        <v>17672.651</v>
      </c>
      <c r="T33" s="133"/>
    </row>
    <row r="34">
      <c r="A34" s="36" t="s">
        <v>56</v>
      </c>
      <c r="B34" s="27" t="str">
        <f>IFERROR(__xludf.DUMMYFUNCTION("FILTER('Endowed Funds'!$B:$B,'Endowed Funds'!$A:$A = $A34)")," Research Institute ")</f>
        <v>Research Institute</v>
      </c>
      <c r="C34" s="28">
        <f>IFERROR(__xludf.DUMMYFUNCTION("IFERROR(sum(FILTER('Fund Investment Data'!$D:$D, 'Fund Investment Data'!$C:$C = $A34, 'Fund Investment Data'!$A:$A &lt;= (Parameters!$C$4 - 2), 'Fund Investment Data'!$B:$B = 12)),0)"),1000000.0)</f>
        <v>1000000</v>
      </c>
      <c r="D34" s="91">
        <f t="array" ref="D34">INDEX('Fund YTD Target Values'!$1:$1000, MATCH($A34,'Fund YTD Target Values'!$A:$A,0), MATCH(Parameters!$C$4 - 2,'Fund YTD Target Values'!$1:$1,0))</f>
        <v>1079944.217</v>
      </c>
      <c r="E34" s="29">
        <f>IFERROR(__xludf.DUMMYFUNCTION("IFERROR(FILTER('Fund Investment Data'!$P:$P,'Fund Investment Data'!$C:$C = $A34,'Fund Investment Data'!$A:$A = (Parameters!$C$4 - 2), 'Fund Investment Data'!$B:$B = 12) - FILTER('Fund Investment Data'!$AF:$AF,'Fund Investment Data'!$C:$C = $A34,'Fund Inve"&amp;"stment Data'!$A:$A = (Parameters!$C$4 - 2), 'Fund Investment Data'!$B:$B = 12),0)"),1124267.8299999998)</f>
        <v>1124267.83</v>
      </c>
      <c r="F34" s="27">
        <f t="shared" si="1"/>
        <v>44323.61315</v>
      </c>
      <c r="G34" s="29">
        <f>IFERROR(__xludf.DUMMYFUNCTION("IF(Parameters!$C$4 = 2019, FILTER('Fund Investment Data'!$Z:$Z, 'Fund Investment Data'!$C:$C = $A34, 'Fund Investment Data'!$A:$A = Parameters!$C$4 - 1, 'Fund Investment Data'!$B:$B = 12) + FILTER('Fund Investment Data'!$AB:$AB, 'Fund Investment Data'!$C:"&amp;"$C = $A34, 'Fund Investment Data'!$A:$A = Parameters!$C$4 - 1, 'Fund Investment Data'!$B:$B = 12),((FILTER('Fund Investment Data'!$Z:$Z, 'Fund Investment Data'!$C:$C = $A34, 'Fund Investment Data'!$A:$A = Parameters!$C$4 - 2, 'Fund Investment Data'!$B:$B "&amp;"= 12) + FILTER('Fund Investment Data'!$AB:$AB, 'Fund Investment Data'!$C:$C = $A34, 'Fund Investment Data'!$A:$A = Parameters!$C$4 - 2, 'Fund Investment Data'!$B:$B = 12)) * (1 + AVERAGE(FILTER('Inflation Data'!$C:$C,'Inflation Data'!$A:$A = (Parameters!$"&amp;"C$4 - 3)))) * Parameters!$A$4) + ((FILTER('Fund Investment Data'!$P:$P, 'Fund Investment Data'!$C:$C = $A34, 'Fund Investment Data'!$A:$A = (Parameters!$C$4 - 3), 'Fund Investment Data'!$B:$B = 12) - SUM(FILTER('Fund Investment Data'!$V:$V, 'Fund Investme"&amp;"nt Data'!$C:$C = $A34, 'Fund Investment Data'!$A:$A = (Parameters!$C$4 - 3), 'Fund Investment Data'!$B:$B &gt; 3)))  * Parameters!$B$4 * (1 - Parameters!$A$4)) + ((SUM(FILTER('Fund Investment Data'!$V:$V, 'Fund Investment Data'!$C:$C = $A34, 'Fund Investment"&amp;" Data'!$A:$A = Parameters!$C$4 - 3, 'Fund Investment Data'!$B:$B &gt;= 4)) + SUM(FILTER('Fund Investment Data'!$V:$V, 'Fund Investment Data'!$C:$C = $A34, 'Fund Investment Data'!$A:$A = Parameters!$C$4 - 2, 'Fund Investment Data'!$B:$B &lt;= 3))) * Parameters!$"&amp;"B$4))"),48347.804314234156)</f>
        <v>48347.80431</v>
      </c>
      <c r="H34" s="127">
        <f>IFERROR(__xludf.DUMMYFUNCTION("IFERROR(($G34 * (1 + AVERAGE(FILTER('Inflation Data'!$C:$C,'Inflation Data'!$A:$A = (Parameters!$C$4 - 2)))) * Parameters!$A$4),0)"),34456.65148964959)</f>
        <v>34456.65149</v>
      </c>
      <c r="I34" s="127">
        <f>IFERROR(__xludf.DUMMYFUNCTION("IF(Parameters!$C$4 = 2019,IFERROR((IFERROR(FILTER('Fund Investment Data'!$P:$P,'Fund Investment Data'!$C:$C = $A34,'Fund Investment Data'!$A:$A = (Parameters!$C$4 - 2), 'Fund Investment Data'!$B:$B = 12),0) - SUM(FILTER('Fund Investment Data'!$V:$V, 'Fund"&amp;" Investment Data'!$C:$C = $A34, 'Fund Investment Data'!$A:$A = (Parameters!$C$4 - 2), 'Fund Investment Data'!$B:$B &gt; 3)))  * Parameters!$B$4 * (1 - Parameters!$A$4),0), ($E34  - SUM(FILTER('Fund Investment Data'!$V:$V, 'Fund Investment Data'!$C:$C = $A34,"&amp;" 'Fund Investment Data'!$A:$A = (Parameters!$C$4 - 2), 'Fund Investment Data'!$B:$B &gt; 3)))  * Parameters!$B$4 * (1 - Parameters!$A$4))"),15177.615705)</f>
        <v>15177.61571</v>
      </c>
      <c r="J34" s="128">
        <f t="shared" si="2"/>
        <v>49634.26719</v>
      </c>
      <c r="K34" s="129">
        <f>IFERROR(__xludf.DUMMYFUNCTION("((IFERROR(SUM(FILTER('Fund Investment Data'!$V:$V, 'Fund Investment Data'!$C:$C = $A34, 'Fund Investment Data'!$A:$A = Parameters!$C$4 - 1, 'Fund Investment Data'!$B:$B &gt;= 4, 'Fund Investment Data'!$B:$B &lt;= 6)) * Parameters!$B$4, 0)) / 4)"),0.0)</f>
        <v>0</v>
      </c>
      <c r="L34" s="129">
        <f>IFERROR(__xludf.DUMMYFUNCTION("((IFERROR(SUM(FILTER('Fund Investment Data'!$V:$V, 'Fund Investment Data'!$C:$C = $A34, 'Fund Investment Data'!$A:$A = Parameters!$C$4 - 1, 'Fund Investment Data'!$B:$B &gt;= 4, 'Fund Investment Data'!$B:$B &lt;= 9)) * Parameters!$B$4, 0)) / 4)"),0.0)</f>
        <v>0</v>
      </c>
      <c r="M34" s="129">
        <f>IFERROR(__xludf.DUMMYFUNCTION("((IFERROR(SUM(FILTER('Fund Investment Data'!$V:$V, 'Fund Investment Data'!$C:$C = $A34, 'Fund Investment Data'!$A:$A = Parameters!$C$4 - 1, 'Fund Investment Data'!$B:$B &gt;= 4, 'Fund Investment Data'!$B:$B &lt;= 12)) * Parameters!$B$4, 0)) / 4)"),0.0)</f>
        <v>0</v>
      </c>
      <c r="N34" s="129">
        <f>IFERROR(__xludf.DUMMYFUNCTION("((IFERROR(SUM(FILTER('Fund Investment Data'!$V:$V, 'Fund Investment Data'!$C:$C = $A34, 'Fund Investment Data'!$A:$A = Parameters!$C$4 - 1, 'Fund Investment Data'!$B:$B &gt;= 4, 'Fund Investment Data'!$B:$B &lt;= 12)) * Parameters!$B$4, 0) + IFERROR(SUM(FILTER("&amp;"'Fund Investment Data'!$V:$V, 'Fund Investment Data'!$C:$C = $A34, 'Fund Investment Data'!$A:$A = Parameters!$C$4, 'Fund Investment Data'!$B:$B &lt;= 3)) * Parameters!$B$4, 0)) / 4)"),0.0)</f>
        <v>0</v>
      </c>
      <c r="O34" s="130">
        <f>IFERROR(__xludf.DUMMYFUNCTION("((IFERROR(SUM(FILTER('Fund Investment Data'!$V:$V, 'Fund Investment Data'!$C:$C = $A34, 'Fund Investment Data'!$A:$A = Parameters!$C$4 - 2, 'Fund Investment Data'!$B:$B &gt;= 4)) * Parameters!$B$4,0) + IFERROR(SUM(FILTER('Fund Investment Data'!$V:$V, 'Fund I"&amp;"nvestment Data'!$C:$C = $A34, 'Fund Investment Data'!$A:$A = Parameters!$C$4 - 1, 'Fund Investment Data'!$B:$B &lt;= 3)) * Parameters!$B$4,0)))"),0.0)</f>
        <v>0</v>
      </c>
      <c r="P34" s="131">
        <f t="shared" si="3"/>
        <v>0</v>
      </c>
      <c r="Q34" s="130">
        <f t="shared" si="4"/>
        <v>49634.26719</v>
      </c>
      <c r="R34" s="131">
        <f>IFERROR(__xludf.DUMMYFUNCTION("IFERROR(FILTER('Fund Investment Data'!$AF:$AF,'Fund Investment Data'!$C:$C = $A34,'Fund Investment Data'!$A:$A = (Parameters!$C$4 - 1), 'Fund Investment Data'!$B:$B = 12),0)"),0.0)</f>
        <v>0</v>
      </c>
      <c r="S34" s="132">
        <f t="shared" si="5"/>
        <v>49634.26719</v>
      </c>
      <c r="T34" s="133"/>
    </row>
    <row r="35">
      <c r="A35" s="26" t="s">
        <v>57</v>
      </c>
      <c r="B35" s="27" t="str">
        <f>IFERROR(__xludf.DUMMYFUNCTION("FILTER('Endowed Funds'!$B:$B,'Endowed Funds'!$A:$A = $A35)")," Research Institute ")</f>
        <v>Research Institute</v>
      </c>
      <c r="C35" s="28">
        <f>IFERROR(__xludf.DUMMYFUNCTION("IFERROR(sum(FILTER('Fund Investment Data'!$D:$D, 'Fund Investment Data'!$C:$C = $A35, 'Fund Investment Data'!$A:$A &lt;= (Parameters!$C$4 - 2), 'Fund Investment Data'!$B:$B = 12)),0)"),2000000.0)</f>
        <v>2000000</v>
      </c>
      <c r="D35" s="91">
        <f t="array" ref="D35">INDEX('Fund YTD Target Values'!$1:$1000, MATCH($A35,'Fund YTD Target Values'!$A:$A,0), MATCH(Parameters!$C$4 - 2,'Fund YTD Target Values'!$1:$1,0))</f>
        <v>2085975.586</v>
      </c>
      <c r="E35" s="29">
        <f>IFERROR(__xludf.DUMMYFUNCTION("IFERROR(FILTER('Fund Investment Data'!$P:$P,'Fund Investment Data'!$C:$C = $A35,'Fund Investment Data'!$A:$A = (Parameters!$C$4 - 2), 'Fund Investment Data'!$B:$B = 12) - FILTER('Fund Investment Data'!$AF:$AF,'Fund Investment Data'!$C:$C = $A35,'Fund Inve"&amp;"stment Data'!$A:$A = (Parameters!$C$4 - 2), 'Fund Investment Data'!$B:$B = 12),0)"),2064551.98)</f>
        <v>2064551.98</v>
      </c>
      <c r="F35" s="27">
        <f t="shared" si="1"/>
        <v>-21423.60588</v>
      </c>
      <c r="G35" s="29">
        <f>IFERROR(__xludf.DUMMYFUNCTION("IF(Parameters!$C$4 = 2019, FILTER('Fund Investment Data'!$Z:$Z, 'Fund Investment Data'!$C:$C = $A35, 'Fund Investment Data'!$A:$A = Parameters!$C$4 - 1, 'Fund Investment Data'!$B:$B = 12) + FILTER('Fund Investment Data'!$AB:$AB, 'Fund Investment Data'!$C:"&amp;"$C = $A35, 'Fund Investment Data'!$A:$A = Parameters!$C$4 - 1, 'Fund Investment Data'!$B:$B = 12),((FILTER('Fund Investment Data'!$Z:$Z, 'Fund Investment Data'!$C:$C = $A35, 'Fund Investment Data'!$A:$A = Parameters!$C$4 - 2, 'Fund Investment Data'!$B:$B "&amp;"= 12) + FILTER('Fund Investment Data'!$AB:$AB, 'Fund Investment Data'!$C:$C = $A35, 'Fund Investment Data'!$A:$A = Parameters!$C$4 - 2, 'Fund Investment Data'!$B:$B = 12)) * (1 + AVERAGE(FILTER('Inflation Data'!$C:$C,'Inflation Data'!$A:$A = (Parameters!$"&amp;"C$4 - 3)))) * Parameters!$A$4) + ((FILTER('Fund Investment Data'!$P:$P, 'Fund Investment Data'!$C:$C = $A35, 'Fund Investment Data'!$A:$A = (Parameters!$C$4 - 3), 'Fund Investment Data'!$B:$B = 12) - SUM(FILTER('Fund Investment Data'!$V:$V, 'Fund Investme"&amp;"nt Data'!$C:$C = $A35, 'Fund Investment Data'!$A:$A = (Parameters!$C$4 - 3), 'Fund Investment Data'!$B:$B &gt; 3)))  * Parameters!$B$4 * (1 - Parameters!$A$4)) + ((SUM(FILTER('Fund Investment Data'!$V:$V, 'Fund Investment Data'!$C:$C = $A35, 'Fund Investment"&amp;" Data'!$A:$A = Parameters!$C$4 - 3, 'Fund Investment Data'!$B:$B &gt;= 4)) + SUM(FILTER('Fund Investment Data'!$V:$V, 'Fund Investment Data'!$C:$C = $A35, 'Fund Investment Data'!$A:$A = Parameters!$C$4 - 2, 'Fund Investment Data'!$B:$B &lt;= 3))) * Parameters!$"&amp;"B$4))"),90266.39702997103)</f>
        <v>90266.39703</v>
      </c>
      <c r="H35" s="127">
        <f>IFERROR(__xludf.DUMMYFUNCTION("IFERROR(($G35 * (1 + AVERAGE(FILTER('Inflation Data'!$C:$C,'Inflation Data'!$A:$A = (Parameters!$C$4 - 2)))) * Parameters!$A$4),0)"),64331.31406491505)</f>
        <v>64331.31406</v>
      </c>
      <c r="I35" s="127">
        <f>IFERROR(__xludf.DUMMYFUNCTION("IF(Parameters!$C$4 = 2019,IFERROR((IFERROR(FILTER('Fund Investment Data'!$P:$P,'Fund Investment Data'!$C:$C = $A35,'Fund Investment Data'!$A:$A = (Parameters!$C$4 - 2), 'Fund Investment Data'!$B:$B = 12),0) - SUM(FILTER('Fund Investment Data'!$V:$V, 'Fund"&amp;" Investment Data'!$C:$C = $A35, 'Fund Investment Data'!$A:$A = (Parameters!$C$4 - 2), 'Fund Investment Data'!$B:$B &gt; 3)))  * Parameters!$B$4 * (1 - Parameters!$A$4),0), ($E35  - SUM(FILTER('Fund Investment Data'!$V:$V, 'Fund Investment Data'!$C:$C = $A35,"&amp;" 'Fund Investment Data'!$A:$A = (Parameters!$C$4 - 2), 'Fund Investment Data'!$B:$B &gt; 3)))  * Parameters!$B$4 * (1 - Parameters!$A$4))"),27871.451730000004)</f>
        <v>27871.45173</v>
      </c>
      <c r="J35" s="128">
        <f t="shared" si="2"/>
        <v>92202.76579</v>
      </c>
      <c r="K35" s="129">
        <f>IFERROR(__xludf.DUMMYFUNCTION("((IFERROR(SUM(FILTER('Fund Investment Data'!$V:$V, 'Fund Investment Data'!$C:$C = $A35, 'Fund Investment Data'!$A:$A = Parameters!$C$4 - 1, 'Fund Investment Data'!$B:$B &gt;= 4, 'Fund Investment Data'!$B:$B &lt;= 6)) * Parameters!$B$4, 0)) / 4)"),0.0)</f>
        <v>0</v>
      </c>
      <c r="L35" s="129">
        <f>IFERROR(__xludf.DUMMYFUNCTION("((IFERROR(SUM(FILTER('Fund Investment Data'!$V:$V, 'Fund Investment Data'!$C:$C = $A35, 'Fund Investment Data'!$A:$A = Parameters!$C$4 - 1, 'Fund Investment Data'!$B:$B &gt;= 4, 'Fund Investment Data'!$B:$B &lt;= 9)) * Parameters!$B$4, 0)) / 4)"),0.0)</f>
        <v>0</v>
      </c>
      <c r="M35" s="129">
        <f>IFERROR(__xludf.DUMMYFUNCTION("((IFERROR(SUM(FILTER('Fund Investment Data'!$V:$V, 'Fund Investment Data'!$C:$C = $A35, 'Fund Investment Data'!$A:$A = Parameters!$C$4 - 1, 'Fund Investment Data'!$B:$B &gt;= 4, 'Fund Investment Data'!$B:$B &lt;= 12)) * Parameters!$B$4, 0)) / 4)"),0.0)</f>
        <v>0</v>
      </c>
      <c r="N35" s="129">
        <f>IFERROR(__xludf.DUMMYFUNCTION("((IFERROR(SUM(FILTER('Fund Investment Data'!$V:$V, 'Fund Investment Data'!$C:$C = $A35, 'Fund Investment Data'!$A:$A = Parameters!$C$4 - 1, 'Fund Investment Data'!$B:$B &gt;= 4, 'Fund Investment Data'!$B:$B &lt;= 12)) * Parameters!$B$4, 0) + IFERROR(SUM(FILTER("&amp;"'Fund Investment Data'!$V:$V, 'Fund Investment Data'!$C:$C = $A35, 'Fund Investment Data'!$A:$A = Parameters!$C$4, 'Fund Investment Data'!$B:$B &lt;= 3)) * Parameters!$B$4, 0)) / 4)"),0.0)</f>
        <v>0</v>
      </c>
      <c r="O35" s="130">
        <f>IFERROR(__xludf.DUMMYFUNCTION("((IFERROR(SUM(FILTER('Fund Investment Data'!$V:$V, 'Fund Investment Data'!$C:$C = $A35, 'Fund Investment Data'!$A:$A = Parameters!$C$4 - 2, 'Fund Investment Data'!$B:$B &gt;= 4)) * Parameters!$B$4,0) + IFERROR(SUM(FILTER('Fund Investment Data'!$V:$V, 'Fund I"&amp;"nvestment Data'!$C:$C = $A35, 'Fund Investment Data'!$A:$A = Parameters!$C$4 - 1, 'Fund Investment Data'!$B:$B &lt;= 3)) * Parameters!$B$4,0)))"),0.0)</f>
        <v>0</v>
      </c>
      <c r="P35" s="131">
        <f t="shared" si="3"/>
        <v>0</v>
      </c>
      <c r="Q35" s="130">
        <f t="shared" si="4"/>
        <v>92202.76579</v>
      </c>
      <c r="R35" s="131">
        <f>IFERROR(__xludf.DUMMYFUNCTION("IFERROR(FILTER('Fund Investment Data'!$AF:$AF,'Fund Investment Data'!$C:$C = $A35,'Fund Investment Data'!$A:$A = (Parameters!$C$4 - 1), 'Fund Investment Data'!$B:$B = 12),0)"),0.0)</f>
        <v>0</v>
      </c>
      <c r="S35" s="132">
        <f t="shared" si="5"/>
        <v>92202.76579</v>
      </c>
      <c r="T35" s="133"/>
    </row>
    <row r="36">
      <c r="A36" s="26" t="s">
        <v>58</v>
      </c>
      <c r="B36" s="27" t="str">
        <f>IFERROR(__xludf.DUMMYFUNCTION("FILTER('Endowed Funds'!$B:$B,'Endowed Funds'!$A:$A = $A36)")," Research Institute ")</f>
        <v>Research Institute</v>
      </c>
      <c r="C36" s="28">
        <f>IFERROR(__xludf.DUMMYFUNCTION("IFERROR(sum(FILTER('Fund Investment Data'!$D:$D, 'Fund Investment Data'!$C:$C = $A36, 'Fund Investment Data'!$A:$A &lt;= (Parameters!$C$4 - 2), 'Fund Investment Data'!$B:$B = 12)),0)"),2000000.0)</f>
        <v>2000000</v>
      </c>
      <c r="D36" s="91">
        <f t="array" ref="D36">INDEX('Fund YTD Target Values'!$1:$1000, MATCH($A36,'Fund YTD Target Values'!$A:$A,0), MATCH(Parameters!$C$4 - 2,'Fund YTD Target Values'!$1:$1,0))</f>
        <v>2085975.586</v>
      </c>
      <c r="E36" s="29">
        <f>IFERROR(__xludf.DUMMYFUNCTION("IFERROR(FILTER('Fund Investment Data'!$P:$P,'Fund Investment Data'!$C:$C = $A36,'Fund Investment Data'!$A:$A = (Parameters!$C$4 - 2), 'Fund Investment Data'!$B:$B = 12) - FILTER('Fund Investment Data'!$AF:$AF,'Fund Investment Data'!$C:$C = $A36,'Fund Inve"&amp;"stment Data'!$A:$A = (Parameters!$C$4 - 2), 'Fund Investment Data'!$B:$B = 12),0)"),2064250.22)</f>
        <v>2064250.22</v>
      </c>
      <c r="F36" s="27">
        <f t="shared" si="1"/>
        <v>-21725.36588</v>
      </c>
      <c r="G36" s="29">
        <f>IFERROR(__xludf.DUMMYFUNCTION("IF(Parameters!$C$4 = 2019, FILTER('Fund Investment Data'!$Z:$Z, 'Fund Investment Data'!$C:$C = $A36, 'Fund Investment Data'!$A:$A = Parameters!$C$4 - 1, 'Fund Investment Data'!$B:$B = 12) + FILTER('Fund Investment Data'!$AB:$AB, 'Fund Investment Data'!$C:"&amp;"$C = $A36, 'Fund Investment Data'!$A:$A = Parameters!$C$4 - 1, 'Fund Investment Data'!$B:$B = 12),((FILTER('Fund Investment Data'!$Z:$Z, 'Fund Investment Data'!$C:$C = $A36, 'Fund Investment Data'!$A:$A = Parameters!$C$4 - 2, 'Fund Investment Data'!$B:$B "&amp;"= 12) + FILTER('Fund Investment Data'!$AB:$AB, 'Fund Investment Data'!$C:$C = $A36, 'Fund Investment Data'!$A:$A = Parameters!$C$4 - 2, 'Fund Investment Data'!$B:$B = 12)) * (1 + AVERAGE(FILTER('Inflation Data'!$C:$C,'Inflation Data'!$A:$A = (Parameters!$"&amp;"C$4 - 3)))) * Parameters!$A$4) + ((FILTER('Fund Investment Data'!$P:$P, 'Fund Investment Data'!$C:$C = $A36, 'Fund Investment Data'!$A:$A = (Parameters!$C$4 - 3), 'Fund Investment Data'!$B:$B = 12) - SUM(FILTER('Fund Investment Data'!$V:$V, 'Fund Investme"&amp;"nt Data'!$C:$C = $A36, 'Fund Investment Data'!$A:$A = (Parameters!$C$4 - 3), 'Fund Investment Data'!$B:$B &gt; 3)))  * Parameters!$B$4 * (1 - Parameters!$A$4)) + ((SUM(FILTER('Fund Investment Data'!$V:$V, 'Fund Investment Data'!$C:$C = $A36, 'Fund Investment"&amp;" Data'!$A:$A = Parameters!$C$4 - 3, 'Fund Investment Data'!$B:$B &gt;= 4)) + SUM(FILTER('Fund Investment Data'!$V:$V, 'Fund Investment Data'!$C:$C = $A36, 'Fund Investment Data'!$A:$A = Parameters!$C$4 - 2, 'Fund Investment Data'!$B:$B &lt;= 3))) * Parameters!$"&amp;"B$4))"),89996.39675997103)</f>
        <v>89996.39676</v>
      </c>
      <c r="H36" s="127">
        <f>IFERROR(__xludf.DUMMYFUNCTION("IFERROR(($G36 * (1 + AVERAGE(FILTER('Inflation Data'!$C:$C,'Inflation Data'!$A:$A = (Parameters!$C$4 - 2)))) * Parameters!$A$4),0)"),64138.88950008818)</f>
        <v>64138.8895</v>
      </c>
      <c r="I36" s="127">
        <f>IFERROR(__xludf.DUMMYFUNCTION("IF(Parameters!$C$4 = 2019,IFERROR((IFERROR(FILTER('Fund Investment Data'!$P:$P,'Fund Investment Data'!$C:$C = $A36,'Fund Investment Data'!$A:$A = (Parameters!$C$4 - 2), 'Fund Investment Data'!$B:$B = 12),0) - SUM(FILTER('Fund Investment Data'!$V:$V, 'Fund"&amp;" Investment Data'!$C:$C = $A36, 'Fund Investment Data'!$A:$A = (Parameters!$C$4 - 2), 'Fund Investment Data'!$B:$B &gt; 3)))  * Parameters!$B$4 * (1 - Parameters!$A$4),0), ($E36  - SUM(FILTER('Fund Investment Data'!$V:$V, 'Fund Investment Data'!$C:$C = $A36,"&amp;" 'Fund Investment Data'!$A:$A = (Parameters!$C$4 - 2), 'Fund Investment Data'!$B:$B &gt; 3)))  * Parameters!$B$4 * (1 - Parameters!$A$4))"),27867.37797)</f>
        <v>27867.37797</v>
      </c>
      <c r="J36" s="128">
        <f t="shared" si="2"/>
        <v>92006.26747</v>
      </c>
      <c r="K36" s="129">
        <f>IFERROR(__xludf.DUMMYFUNCTION("((IFERROR(SUM(FILTER('Fund Investment Data'!$V:$V, 'Fund Investment Data'!$C:$C = $A36, 'Fund Investment Data'!$A:$A = Parameters!$C$4 - 1, 'Fund Investment Data'!$B:$B &gt;= 4, 'Fund Investment Data'!$B:$B &lt;= 6)) * Parameters!$B$4, 0)) / 4)"),0.0)</f>
        <v>0</v>
      </c>
      <c r="L36" s="129">
        <f>IFERROR(__xludf.DUMMYFUNCTION("((IFERROR(SUM(FILTER('Fund Investment Data'!$V:$V, 'Fund Investment Data'!$C:$C = $A36, 'Fund Investment Data'!$A:$A = Parameters!$C$4 - 1, 'Fund Investment Data'!$B:$B &gt;= 4, 'Fund Investment Data'!$B:$B &lt;= 9)) * Parameters!$B$4, 0)) / 4)"),0.0)</f>
        <v>0</v>
      </c>
      <c r="M36" s="129">
        <f>IFERROR(__xludf.DUMMYFUNCTION("((IFERROR(SUM(FILTER('Fund Investment Data'!$V:$V, 'Fund Investment Data'!$C:$C = $A36, 'Fund Investment Data'!$A:$A = Parameters!$C$4 - 1, 'Fund Investment Data'!$B:$B &gt;= 4, 'Fund Investment Data'!$B:$B &lt;= 12)) * Parameters!$B$4, 0)) / 4)"),0.0)</f>
        <v>0</v>
      </c>
      <c r="N36" s="129">
        <f>IFERROR(__xludf.DUMMYFUNCTION("((IFERROR(SUM(FILTER('Fund Investment Data'!$V:$V, 'Fund Investment Data'!$C:$C = $A36, 'Fund Investment Data'!$A:$A = Parameters!$C$4 - 1, 'Fund Investment Data'!$B:$B &gt;= 4, 'Fund Investment Data'!$B:$B &lt;= 12)) * Parameters!$B$4, 0) + IFERROR(SUM(FILTER("&amp;"'Fund Investment Data'!$V:$V, 'Fund Investment Data'!$C:$C = $A36, 'Fund Investment Data'!$A:$A = Parameters!$C$4, 'Fund Investment Data'!$B:$B &lt;= 3)) * Parameters!$B$4, 0)) / 4)"),0.0)</f>
        <v>0</v>
      </c>
      <c r="O36" s="130">
        <f>IFERROR(__xludf.DUMMYFUNCTION("((IFERROR(SUM(FILTER('Fund Investment Data'!$V:$V, 'Fund Investment Data'!$C:$C = $A36, 'Fund Investment Data'!$A:$A = Parameters!$C$4 - 2, 'Fund Investment Data'!$B:$B &gt;= 4)) * Parameters!$B$4,0) + IFERROR(SUM(FILTER('Fund Investment Data'!$V:$V, 'Fund I"&amp;"nvestment Data'!$C:$C = $A36, 'Fund Investment Data'!$A:$A = Parameters!$C$4 - 1, 'Fund Investment Data'!$B:$B &lt;= 3)) * Parameters!$B$4,0)))"),0.0)</f>
        <v>0</v>
      </c>
      <c r="P36" s="131">
        <f t="shared" si="3"/>
        <v>0</v>
      </c>
      <c r="Q36" s="130">
        <f t="shared" si="4"/>
        <v>92006.26747</v>
      </c>
      <c r="R36" s="131">
        <f>IFERROR(__xludf.DUMMYFUNCTION("IFERROR(FILTER('Fund Investment Data'!$AF:$AF,'Fund Investment Data'!$C:$C = $A36,'Fund Investment Data'!$A:$A = (Parameters!$C$4 - 1), 'Fund Investment Data'!$B:$B = 12),0)"),0.0)</f>
        <v>0</v>
      </c>
      <c r="S36" s="132">
        <f t="shared" si="5"/>
        <v>92006.26747</v>
      </c>
      <c r="T36" s="133"/>
    </row>
    <row r="37">
      <c r="A37" s="134" t="s">
        <v>474</v>
      </c>
      <c r="B37" s="135"/>
      <c r="C37" s="136">
        <f t="shared" ref="C37:S37" si="6">sum(C3:C36)</f>
        <v>21239674.84</v>
      </c>
      <c r="D37" s="136">
        <f t="shared" si="6"/>
        <v>26528786.83</v>
      </c>
      <c r="E37" s="137">
        <f t="shared" si="6"/>
        <v>23813074.19</v>
      </c>
      <c r="F37" s="136">
        <f t="shared" si="6"/>
        <v>-2715712.644</v>
      </c>
      <c r="G37" s="137">
        <f t="shared" si="6"/>
        <v>1053061.027</v>
      </c>
      <c r="H37" s="136">
        <f t="shared" si="6"/>
        <v>750498.5451</v>
      </c>
      <c r="I37" s="136">
        <f t="shared" si="6"/>
        <v>320308.6429</v>
      </c>
      <c r="J37" s="137">
        <f t="shared" si="6"/>
        <v>1070807.188</v>
      </c>
      <c r="K37" s="136">
        <f t="shared" si="6"/>
        <v>0.55125</v>
      </c>
      <c r="L37" s="136">
        <f t="shared" si="6"/>
        <v>0.55125</v>
      </c>
      <c r="M37" s="136">
        <f t="shared" si="6"/>
        <v>0.55125</v>
      </c>
      <c r="N37" s="136">
        <f t="shared" si="6"/>
        <v>0.55125</v>
      </c>
      <c r="O37" s="136">
        <f t="shared" si="6"/>
        <v>4129.11225</v>
      </c>
      <c r="P37" s="137">
        <f t="shared" si="6"/>
        <v>4131.31725</v>
      </c>
      <c r="Q37" s="136">
        <f t="shared" si="6"/>
        <v>1074938.505</v>
      </c>
      <c r="R37" s="137">
        <f t="shared" si="6"/>
        <v>0</v>
      </c>
      <c r="S37" s="136">
        <f t="shared" si="6"/>
        <v>1074938.505</v>
      </c>
      <c r="T37" s="138"/>
    </row>
    <row r="38">
      <c r="A38" s="36"/>
      <c r="B38" s="139"/>
      <c r="C38" s="133"/>
      <c r="D38" s="91"/>
      <c r="E38" s="140"/>
      <c r="F38" s="140"/>
      <c r="G38" s="140"/>
      <c r="H38" s="133"/>
      <c r="I38" s="133"/>
      <c r="J38" s="140"/>
      <c r="K38" s="129"/>
      <c r="L38" s="129"/>
      <c r="M38" s="129"/>
      <c r="N38" s="129"/>
      <c r="O38" s="140"/>
      <c r="P38" s="140"/>
      <c r="Q38" s="133"/>
      <c r="R38" s="140"/>
      <c r="S38" s="133"/>
      <c r="T38" s="133"/>
    </row>
    <row r="39">
      <c r="A39" s="141"/>
      <c r="B39" s="142"/>
      <c r="C39" s="133"/>
      <c r="D39" s="91"/>
      <c r="E39" s="140"/>
      <c r="F39" s="140"/>
      <c r="G39" s="140"/>
      <c r="H39" s="133"/>
      <c r="I39" s="133"/>
      <c r="J39" s="140"/>
      <c r="K39" s="129"/>
      <c r="L39" s="129"/>
      <c r="M39" s="129"/>
      <c r="N39" s="129"/>
      <c r="O39" s="140"/>
      <c r="P39" s="140"/>
      <c r="Q39" s="133"/>
      <c r="R39" s="140"/>
      <c r="S39" s="133"/>
      <c r="T39" s="133"/>
    </row>
    <row r="40">
      <c r="A40" s="141"/>
      <c r="B40" s="142"/>
      <c r="C40" s="133"/>
      <c r="D40" s="91"/>
      <c r="E40" s="140"/>
      <c r="F40" s="140"/>
      <c r="G40" s="140"/>
      <c r="H40" s="133"/>
      <c r="I40" s="133"/>
      <c r="J40" s="140"/>
      <c r="K40" s="129"/>
      <c r="L40" s="129"/>
      <c r="M40" s="129"/>
      <c r="N40" s="129"/>
      <c r="O40" s="140"/>
      <c r="P40" s="140"/>
      <c r="Q40" s="133"/>
      <c r="R40" s="140"/>
      <c r="S40" s="133"/>
      <c r="T40" s="133"/>
    </row>
    <row r="41">
      <c r="A41" s="141"/>
      <c r="B41" s="142"/>
      <c r="C41" s="133"/>
      <c r="D41" s="91"/>
      <c r="E41" s="140"/>
      <c r="F41" s="140"/>
      <c r="G41" s="140"/>
      <c r="H41" s="133"/>
      <c r="I41" s="133"/>
      <c r="J41" s="140"/>
      <c r="K41" s="129"/>
      <c r="L41" s="129"/>
      <c r="M41" s="129"/>
      <c r="N41" s="129"/>
      <c r="O41" s="140"/>
      <c r="P41" s="140"/>
      <c r="Q41" s="133"/>
      <c r="R41" s="140"/>
      <c r="S41" s="133"/>
      <c r="T41" s="133"/>
    </row>
    <row r="42">
      <c r="A42" s="141"/>
      <c r="B42" s="142"/>
      <c r="C42" s="133"/>
      <c r="D42" s="91"/>
      <c r="E42" s="140"/>
      <c r="F42" s="140"/>
      <c r="G42" s="140"/>
      <c r="H42" s="133"/>
      <c r="I42" s="133"/>
      <c r="J42" s="140"/>
      <c r="K42" s="129"/>
      <c r="L42" s="129"/>
      <c r="M42" s="129"/>
      <c r="N42" s="129"/>
      <c r="O42" s="140"/>
      <c r="P42" s="140"/>
      <c r="Q42" s="133"/>
      <c r="R42" s="140"/>
      <c r="S42" s="133"/>
      <c r="T42" s="133"/>
    </row>
    <row r="43">
      <c r="A43" s="141"/>
      <c r="B43" s="142"/>
      <c r="C43" s="133"/>
      <c r="D43" s="91"/>
      <c r="E43" s="140"/>
      <c r="F43" s="140"/>
      <c r="G43" s="140"/>
      <c r="H43" s="133"/>
      <c r="I43" s="133"/>
      <c r="J43" s="140"/>
      <c r="K43" s="129"/>
      <c r="L43" s="129"/>
      <c r="M43" s="129"/>
      <c r="N43" s="129"/>
      <c r="O43" s="140"/>
      <c r="P43" s="140"/>
      <c r="Q43" s="133"/>
      <c r="R43" s="140"/>
      <c r="S43" s="133"/>
      <c r="T43" s="133"/>
    </row>
    <row r="44">
      <c r="A44" s="141"/>
      <c r="B44" s="142"/>
      <c r="C44" s="133"/>
      <c r="D44" s="91"/>
      <c r="E44" s="140"/>
      <c r="F44" s="140"/>
      <c r="G44" s="140"/>
      <c r="H44" s="133"/>
      <c r="I44" s="133"/>
      <c r="J44" s="140"/>
      <c r="K44" s="129"/>
      <c r="L44" s="129"/>
      <c r="M44" s="129"/>
      <c r="N44" s="129"/>
      <c r="O44" s="140"/>
      <c r="P44" s="140"/>
      <c r="Q44" s="133"/>
      <c r="R44" s="140"/>
      <c r="S44" s="133"/>
      <c r="T44" s="133"/>
    </row>
    <row r="45">
      <c r="A45" s="141"/>
      <c r="B45" s="142"/>
      <c r="C45" s="133"/>
      <c r="D45" s="91"/>
      <c r="E45" s="140"/>
      <c r="F45" s="140"/>
      <c r="G45" s="140"/>
      <c r="H45" s="133"/>
      <c r="I45" s="133"/>
      <c r="J45" s="140"/>
      <c r="K45" s="129"/>
      <c r="L45" s="129"/>
      <c r="M45" s="129"/>
      <c r="N45" s="129"/>
      <c r="O45" s="140"/>
      <c r="P45" s="140"/>
      <c r="Q45" s="133"/>
      <c r="R45" s="140"/>
      <c r="S45" s="133"/>
      <c r="T45" s="133"/>
    </row>
    <row r="46">
      <c r="A46" s="141"/>
      <c r="B46" s="142"/>
      <c r="C46" s="133"/>
      <c r="D46" s="91"/>
      <c r="E46" s="140"/>
      <c r="F46" s="140"/>
      <c r="G46" s="140"/>
      <c r="H46" s="133"/>
      <c r="I46" s="133"/>
      <c r="J46" s="140"/>
      <c r="K46" s="129"/>
      <c r="L46" s="129"/>
      <c r="M46" s="129"/>
      <c r="N46" s="129"/>
      <c r="O46" s="140"/>
      <c r="P46" s="140"/>
      <c r="Q46" s="133"/>
      <c r="R46" s="140"/>
      <c r="S46" s="133"/>
      <c r="T46" s="133"/>
    </row>
    <row r="47">
      <c r="A47" s="141"/>
      <c r="B47" s="142"/>
      <c r="C47" s="133"/>
      <c r="D47" s="91"/>
      <c r="E47" s="140"/>
      <c r="F47" s="140"/>
      <c r="G47" s="140"/>
      <c r="H47" s="133"/>
      <c r="I47" s="133"/>
      <c r="J47" s="140"/>
      <c r="K47" s="129"/>
      <c r="L47" s="129"/>
      <c r="M47" s="129"/>
      <c r="N47" s="129"/>
      <c r="O47" s="140"/>
      <c r="P47" s="140"/>
      <c r="Q47" s="133"/>
      <c r="R47" s="140"/>
      <c r="S47" s="133"/>
      <c r="T47" s="133"/>
    </row>
    <row r="48">
      <c r="A48" s="141"/>
      <c r="B48" s="142"/>
      <c r="C48" s="133"/>
      <c r="D48" s="91"/>
      <c r="E48" s="140"/>
      <c r="F48" s="140"/>
      <c r="G48" s="140"/>
      <c r="H48" s="133"/>
      <c r="I48" s="133"/>
      <c r="J48" s="140"/>
      <c r="K48" s="129"/>
      <c r="L48" s="129"/>
      <c r="M48" s="129"/>
      <c r="N48" s="129"/>
      <c r="O48" s="140"/>
      <c r="P48" s="140"/>
      <c r="Q48" s="133"/>
      <c r="R48" s="140"/>
      <c r="S48" s="133"/>
      <c r="T48" s="133"/>
    </row>
    <row r="49">
      <c r="A49" s="141"/>
      <c r="B49" s="142"/>
      <c r="C49" s="133"/>
      <c r="D49" s="91"/>
      <c r="E49" s="140"/>
      <c r="F49" s="140"/>
      <c r="G49" s="140"/>
      <c r="H49" s="133"/>
      <c r="I49" s="133"/>
      <c r="J49" s="140"/>
      <c r="K49" s="129"/>
      <c r="L49" s="129"/>
      <c r="M49" s="129"/>
      <c r="N49" s="129"/>
      <c r="O49" s="140"/>
      <c r="P49" s="140"/>
      <c r="Q49" s="133"/>
      <c r="R49" s="140"/>
      <c r="S49" s="133"/>
      <c r="T49" s="133"/>
    </row>
    <row r="50">
      <c r="A50" s="141"/>
      <c r="B50" s="142"/>
      <c r="C50" s="133"/>
      <c r="D50" s="91"/>
      <c r="E50" s="140"/>
      <c r="F50" s="140"/>
      <c r="G50" s="140"/>
      <c r="H50" s="133"/>
      <c r="I50" s="133"/>
      <c r="J50" s="140"/>
      <c r="K50" s="129"/>
      <c r="L50" s="129"/>
      <c r="M50" s="129"/>
      <c r="N50" s="129"/>
      <c r="O50" s="140"/>
      <c r="P50" s="140"/>
      <c r="Q50" s="133"/>
      <c r="R50" s="140"/>
      <c r="S50" s="133"/>
      <c r="T50" s="133"/>
    </row>
    <row r="51">
      <c r="A51" s="141"/>
      <c r="B51" s="142"/>
      <c r="C51" s="133"/>
      <c r="D51" s="91"/>
      <c r="E51" s="140"/>
      <c r="F51" s="140"/>
      <c r="G51" s="140"/>
      <c r="H51" s="133"/>
      <c r="I51" s="133"/>
      <c r="J51" s="140"/>
      <c r="K51" s="129"/>
      <c r="L51" s="129"/>
      <c r="M51" s="129"/>
      <c r="N51" s="129"/>
      <c r="O51" s="140"/>
      <c r="P51" s="140"/>
      <c r="Q51" s="133"/>
      <c r="R51" s="140"/>
      <c r="S51" s="133"/>
      <c r="T51" s="133"/>
    </row>
    <row r="52">
      <c r="A52" s="141"/>
      <c r="B52" s="142"/>
      <c r="C52" s="133"/>
      <c r="D52" s="91"/>
      <c r="E52" s="140"/>
      <c r="F52" s="140"/>
      <c r="G52" s="140"/>
      <c r="H52" s="133"/>
      <c r="I52" s="133"/>
      <c r="J52" s="140"/>
      <c r="K52" s="129"/>
      <c r="L52" s="129"/>
      <c r="M52" s="129"/>
      <c r="N52" s="129"/>
      <c r="O52" s="140"/>
      <c r="P52" s="140"/>
      <c r="Q52" s="133"/>
      <c r="R52" s="140"/>
      <c r="S52" s="133"/>
      <c r="T52" s="133"/>
    </row>
    <row r="53">
      <c r="A53" s="141"/>
      <c r="B53" s="142"/>
      <c r="C53" s="133"/>
      <c r="D53" s="91"/>
      <c r="E53" s="140"/>
      <c r="F53" s="140"/>
      <c r="G53" s="140"/>
      <c r="H53" s="133"/>
      <c r="I53" s="133"/>
      <c r="J53" s="140"/>
      <c r="K53" s="129"/>
      <c r="L53" s="129"/>
      <c r="M53" s="129"/>
      <c r="N53" s="129"/>
      <c r="O53" s="140"/>
      <c r="P53" s="140"/>
      <c r="Q53" s="133"/>
      <c r="R53" s="140"/>
      <c r="S53" s="133"/>
      <c r="T53" s="133"/>
    </row>
    <row r="54">
      <c r="A54" s="141"/>
      <c r="B54" s="142"/>
      <c r="C54" s="133"/>
      <c r="D54" s="91"/>
      <c r="E54" s="140"/>
      <c r="F54" s="140"/>
      <c r="G54" s="140"/>
      <c r="H54" s="133"/>
      <c r="I54" s="133"/>
      <c r="J54" s="140"/>
      <c r="K54" s="129"/>
      <c r="L54" s="129"/>
      <c r="M54" s="129"/>
      <c r="N54" s="129"/>
      <c r="O54" s="140"/>
      <c r="P54" s="140"/>
      <c r="Q54" s="133"/>
      <c r="R54" s="140"/>
      <c r="S54" s="133"/>
      <c r="T54" s="133"/>
    </row>
    <row r="55">
      <c r="A55" s="141"/>
      <c r="B55" s="142"/>
      <c r="C55" s="133"/>
      <c r="D55" s="91"/>
      <c r="E55" s="140"/>
      <c r="F55" s="140"/>
      <c r="G55" s="140"/>
      <c r="H55" s="133"/>
      <c r="I55" s="133"/>
      <c r="J55" s="140"/>
      <c r="K55" s="129"/>
      <c r="L55" s="129"/>
      <c r="M55" s="129"/>
      <c r="N55" s="129"/>
      <c r="O55" s="140"/>
      <c r="P55" s="140"/>
      <c r="Q55" s="133"/>
      <c r="R55" s="140"/>
      <c r="S55" s="133"/>
      <c r="T55" s="133"/>
    </row>
    <row r="56">
      <c r="A56" s="141"/>
      <c r="B56" s="142"/>
      <c r="C56" s="133"/>
      <c r="D56" s="91"/>
      <c r="E56" s="140"/>
      <c r="F56" s="140"/>
      <c r="G56" s="140"/>
      <c r="H56" s="133"/>
      <c r="I56" s="133"/>
      <c r="J56" s="140"/>
      <c r="K56" s="129"/>
      <c r="L56" s="129"/>
      <c r="M56" s="129"/>
      <c r="N56" s="129"/>
      <c r="O56" s="140"/>
      <c r="P56" s="140"/>
      <c r="Q56" s="133"/>
      <c r="R56" s="140"/>
      <c r="S56" s="133"/>
      <c r="T56" s="133"/>
    </row>
    <row r="57">
      <c r="A57" s="141"/>
      <c r="B57" s="142"/>
      <c r="C57" s="133"/>
      <c r="D57" s="91"/>
      <c r="E57" s="140"/>
      <c r="F57" s="140"/>
      <c r="G57" s="140"/>
      <c r="H57" s="133"/>
      <c r="I57" s="133"/>
      <c r="J57" s="140"/>
      <c r="K57" s="129"/>
      <c r="L57" s="129"/>
      <c r="M57" s="129"/>
      <c r="N57" s="129"/>
      <c r="O57" s="140"/>
      <c r="P57" s="140"/>
      <c r="Q57" s="133"/>
      <c r="R57" s="140"/>
      <c r="S57" s="133"/>
      <c r="T57" s="133"/>
    </row>
    <row r="58">
      <c r="A58" s="141"/>
      <c r="B58" s="142"/>
      <c r="C58" s="133"/>
      <c r="D58" s="91"/>
      <c r="E58" s="140"/>
      <c r="F58" s="140"/>
      <c r="G58" s="140"/>
      <c r="H58" s="133"/>
      <c r="I58" s="133"/>
      <c r="J58" s="140"/>
      <c r="K58" s="129"/>
      <c r="L58" s="129"/>
      <c r="M58" s="129"/>
      <c r="N58" s="129"/>
      <c r="O58" s="140"/>
      <c r="P58" s="140"/>
      <c r="Q58" s="133"/>
      <c r="R58" s="140"/>
      <c r="S58" s="133"/>
      <c r="T58" s="133"/>
    </row>
    <row r="59">
      <c r="A59" s="141"/>
      <c r="B59" s="142"/>
      <c r="C59" s="133"/>
      <c r="D59" s="91"/>
      <c r="E59" s="140"/>
      <c r="F59" s="140"/>
      <c r="G59" s="140"/>
      <c r="H59" s="133"/>
      <c r="I59" s="133"/>
      <c r="J59" s="140"/>
      <c r="K59" s="129"/>
      <c r="L59" s="129"/>
      <c r="M59" s="129"/>
      <c r="N59" s="129"/>
      <c r="O59" s="140"/>
      <c r="P59" s="140"/>
      <c r="Q59" s="133"/>
      <c r="R59" s="140"/>
      <c r="S59" s="133"/>
      <c r="T59" s="133"/>
    </row>
    <row r="60">
      <c r="A60" s="141"/>
      <c r="B60" s="142"/>
      <c r="C60" s="133"/>
      <c r="D60" s="91"/>
      <c r="E60" s="140"/>
      <c r="F60" s="140"/>
      <c r="G60" s="140"/>
      <c r="H60" s="133"/>
      <c r="I60" s="133"/>
      <c r="J60" s="140"/>
      <c r="K60" s="129"/>
      <c r="L60" s="129"/>
      <c r="M60" s="129"/>
      <c r="N60" s="129"/>
      <c r="O60" s="140"/>
      <c r="P60" s="140"/>
      <c r="Q60" s="133"/>
      <c r="R60" s="140"/>
      <c r="S60" s="133"/>
      <c r="T60" s="133"/>
    </row>
    <row r="61">
      <c r="A61" s="141"/>
      <c r="B61" s="142"/>
      <c r="C61" s="133"/>
      <c r="D61" s="91"/>
      <c r="E61" s="140"/>
      <c r="F61" s="140"/>
      <c r="G61" s="140"/>
      <c r="H61" s="133"/>
      <c r="I61" s="133"/>
      <c r="J61" s="140"/>
      <c r="K61" s="129"/>
      <c r="L61" s="129"/>
      <c r="M61" s="129"/>
      <c r="N61" s="129"/>
      <c r="O61" s="140"/>
      <c r="P61" s="140"/>
      <c r="Q61" s="133"/>
      <c r="R61" s="140"/>
      <c r="S61" s="133"/>
      <c r="T61" s="133"/>
    </row>
    <row r="62">
      <c r="A62" s="141"/>
      <c r="B62" s="142"/>
      <c r="C62" s="133"/>
      <c r="D62" s="91"/>
      <c r="E62" s="140"/>
      <c r="F62" s="140"/>
      <c r="G62" s="140"/>
      <c r="H62" s="133"/>
      <c r="I62" s="133"/>
      <c r="J62" s="140"/>
      <c r="K62" s="129"/>
      <c r="L62" s="129"/>
      <c r="M62" s="129"/>
      <c r="N62" s="129"/>
      <c r="O62" s="140"/>
      <c r="P62" s="140"/>
      <c r="Q62" s="133"/>
      <c r="R62" s="140"/>
      <c r="S62" s="133"/>
      <c r="T62" s="133"/>
    </row>
    <row r="63">
      <c r="A63" s="141"/>
      <c r="B63" s="142"/>
      <c r="C63" s="133"/>
      <c r="D63" s="91"/>
      <c r="E63" s="140"/>
      <c r="F63" s="140"/>
      <c r="G63" s="140"/>
      <c r="H63" s="133"/>
      <c r="I63" s="133"/>
      <c r="J63" s="140"/>
      <c r="K63" s="129"/>
      <c r="L63" s="129"/>
      <c r="M63" s="129"/>
      <c r="N63" s="129"/>
      <c r="O63" s="140"/>
      <c r="P63" s="140"/>
      <c r="Q63" s="133"/>
      <c r="R63" s="140"/>
      <c r="S63" s="133"/>
      <c r="T63" s="133"/>
    </row>
    <row r="64">
      <c r="A64" s="141"/>
      <c r="B64" s="142"/>
      <c r="C64" s="133"/>
      <c r="D64" s="91"/>
      <c r="E64" s="140"/>
      <c r="F64" s="140"/>
      <c r="G64" s="140"/>
      <c r="H64" s="133"/>
      <c r="I64" s="133"/>
      <c r="J64" s="140"/>
      <c r="K64" s="129"/>
      <c r="L64" s="129"/>
      <c r="M64" s="129"/>
      <c r="N64" s="129"/>
      <c r="O64" s="140"/>
      <c r="P64" s="140"/>
      <c r="Q64" s="133"/>
      <c r="R64" s="140"/>
      <c r="S64" s="133"/>
      <c r="T64" s="133"/>
    </row>
    <row r="65">
      <c r="A65" s="141"/>
      <c r="B65" s="142"/>
      <c r="C65" s="133"/>
      <c r="D65" s="91"/>
      <c r="E65" s="140"/>
      <c r="F65" s="140"/>
      <c r="G65" s="140"/>
      <c r="H65" s="133"/>
      <c r="I65" s="133"/>
      <c r="J65" s="140"/>
      <c r="K65" s="129"/>
      <c r="L65" s="129"/>
      <c r="M65" s="129"/>
      <c r="N65" s="129"/>
      <c r="O65" s="140"/>
      <c r="P65" s="140"/>
      <c r="Q65" s="133"/>
      <c r="R65" s="140"/>
      <c r="S65" s="133"/>
      <c r="T65" s="133"/>
    </row>
    <row r="66">
      <c r="A66" s="141"/>
      <c r="B66" s="142"/>
      <c r="C66" s="133"/>
      <c r="D66" s="91"/>
      <c r="E66" s="140"/>
      <c r="F66" s="140"/>
      <c r="G66" s="140"/>
      <c r="H66" s="133"/>
      <c r="I66" s="133"/>
      <c r="J66" s="140"/>
      <c r="K66" s="129"/>
      <c r="L66" s="129"/>
      <c r="M66" s="129"/>
      <c r="N66" s="129"/>
      <c r="O66" s="140"/>
      <c r="P66" s="140"/>
      <c r="Q66" s="133"/>
      <c r="R66" s="140"/>
      <c r="S66" s="133"/>
      <c r="T66" s="133"/>
    </row>
    <row r="67">
      <c r="A67" s="141"/>
      <c r="B67" s="142"/>
      <c r="C67" s="133"/>
      <c r="D67" s="91"/>
      <c r="E67" s="140"/>
      <c r="F67" s="140"/>
      <c r="G67" s="140"/>
      <c r="H67" s="133"/>
      <c r="I67" s="133"/>
      <c r="J67" s="140"/>
      <c r="K67" s="129"/>
      <c r="L67" s="129"/>
      <c r="M67" s="129"/>
      <c r="N67" s="129"/>
      <c r="O67" s="140"/>
      <c r="P67" s="140"/>
      <c r="Q67" s="133"/>
      <c r="R67" s="140"/>
      <c r="S67" s="133"/>
      <c r="T67" s="133"/>
    </row>
    <row r="68">
      <c r="A68" s="141"/>
      <c r="B68" s="142"/>
      <c r="C68" s="133"/>
      <c r="D68" s="91"/>
      <c r="E68" s="140"/>
      <c r="F68" s="140"/>
      <c r="G68" s="140"/>
      <c r="H68" s="133"/>
      <c r="I68" s="133"/>
      <c r="J68" s="140"/>
      <c r="K68" s="129"/>
      <c r="L68" s="129"/>
      <c r="M68" s="129"/>
      <c r="N68" s="129"/>
      <c r="O68" s="140"/>
      <c r="P68" s="140"/>
      <c r="Q68" s="133"/>
      <c r="R68" s="140"/>
      <c r="S68" s="133"/>
      <c r="T68" s="133"/>
    </row>
    <row r="69">
      <c r="A69" s="141"/>
      <c r="B69" s="142"/>
      <c r="C69" s="133"/>
      <c r="D69" s="91"/>
      <c r="E69" s="140"/>
      <c r="F69" s="140"/>
      <c r="G69" s="140"/>
      <c r="H69" s="133"/>
      <c r="I69" s="133"/>
      <c r="J69" s="140"/>
      <c r="K69" s="129"/>
      <c r="L69" s="129"/>
      <c r="M69" s="129"/>
      <c r="N69" s="129"/>
      <c r="O69" s="140"/>
      <c r="P69" s="140"/>
      <c r="Q69" s="133"/>
      <c r="R69" s="140"/>
      <c r="S69" s="133"/>
      <c r="T69" s="133"/>
    </row>
    <row r="70">
      <c r="A70" s="141"/>
      <c r="B70" s="142"/>
      <c r="C70" s="133"/>
      <c r="D70" s="91"/>
      <c r="E70" s="140"/>
      <c r="F70" s="140"/>
      <c r="G70" s="140"/>
      <c r="H70" s="133"/>
      <c r="I70" s="133"/>
      <c r="J70" s="140"/>
      <c r="K70" s="129"/>
      <c r="L70" s="129"/>
      <c r="M70" s="129"/>
      <c r="N70" s="129"/>
      <c r="O70" s="140"/>
      <c r="P70" s="140"/>
      <c r="Q70" s="133"/>
      <c r="R70" s="140"/>
      <c r="S70" s="133"/>
      <c r="T70" s="133"/>
    </row>
    <row r="71">
      <c r="A71" s="141"/>
      <c r="B71" s="142"/>
      <c r="C71" s="133"/>
      <c r="D71" s="91"/>
      <c r="E71" s="140"/>
      <c r="F71" s="140"/>
      <c r="G71" s="140"/>
      <c r="H71" s="133"/>
      <c r="I71" s="133"/>
      <c r="J71" s="140"/>
      <c r="K71" s="129"/>
      <c r="L71" s="129"/>
      <c r="M71" s="129"/>
      <c r="N71" s="129"/>
      <c r="O71" s="140"/>
      <c r="P71" s="140"/>
      <c r="Q71" s="133"/>
      <c r="R71" s="140"/>
      <c r="S71" s="133"/>
      <c r="T71" s="133"/>
    </row>
    <row r="72">
      <c r="A72" s="141"/>
      <c r="B72" s="142"/>
      <c r="C72" s="133"/>
      <c r="D72" s="91"/>
      <c r="E72" s="140"/>
      <c r="F72" s="140"/>
      <c r="G72" s="140"/>
      <c r="H72" s="133"/>
      <c r="I72" s="133"/>
      <c r="J72" s="140"/>
      <c r="K72" s="129"/>
      <c r="L72" s="129"/>
      <c r="M72" s="129"/>
      <c r="N72" s="129"/>
      <c r="O72" s="140"/>
      <c r="P72" s="140"/>
      <c r="Q72" s="133"/>
      <c r="R72" s="140"/>
      <c r="S72" s="133"/>
      <c r="T72" s="133"/>
    </row>
    <row r="73">
      <c r="A73" s="141"/>
      <c r="B73" s="142"/>
      <c r="C73" s="133"/>
      <c r="D73" s="91"/>
      <c r="E73" s="140"/>
      <c r="F73" s="140"/>
      <c r="G73" s="140"/>
      <c r="H73" s="133"/>
      <c r="I73" s="133"/>
      <c r="J73" s="140"/>
      <c r="K73" s="129"/>
      <c r="L73" s="129"/>
      <c r="M73" s="129"/>
      <c r="N73" s="129"/>
      <c r="O73" s="140"/>
      <c r="P73" s="140"/>
      <c r="Q73" s="133"/>
      <c r="R73" s="140"/>
      <c r="S73" s="133"/>
      <c r="T73" s="133"/>
    </row>
    <row r="74">
      <c r="A74" s="141"/>
      <c r="B74" s="142"/>
      <c r="C74" s="133"/>
      <c r="D74" s="91"/>
      <c r="E74" s="140"/>
      <c r="F74" s="140"/>
      <c r="G74" s="140"/>
      <c r="H74" s="133"/>
      <c r="I74" s="133"/>
      <c r="J74" s="140"/>
      <c r="K74" s="129"/>
      <c r="L74" s="129"/>
      <c r="M74" s="129"/>
      <c r="N74" s="129"/>
      <c r="O74" s="140"/>
      <c r="P74" s="140"/>
      <c r="Q74" s="133"/>
      <c r="R74" s="140"/>
      <c r="S74" s="133"/>
      <c r="T74" s="133"/>
    </row>
    <row r="75">
      <c r="A75" s="141"/>
      <c r="B75" s="142"/>
      <c r="C75" s="133"/>
      <c r="D75" s="91"/>
      <c r="E75" s="140"/>
      <c r="F75" s="140"/>
      <c r="G75" s="140"/>
      <c r="H75" s="133"/>
      <c r="I75" s="133"/>
      <c r="J75" s="140"/>
      <c r="K75" s="129"/>
      <c r="L75" s="129"/>
      <c r="M75" s="129"/>
      <c r="N75" s="129"/>
      <c r="O75" s="140"/>
      <c r="P75" s="140"/>
      <c r="Q75" s="133"/>
      <c r="R75" s="140"/>
      <c r="S75" s="133"/>
      <c r="T75" s="133"/>
    </row>
    <row r="76">
      <c r="A76" s="141"/>
      <c r="B76" s="142"/>
      <c r="C76" s="133"/>
      <c r="D76" s="91"/>
      <c r="E76" s="140"/>
      <c r="F76" s="140"/>
      <c r="G76" s="140"/>
      <c r="H76" s="133"/>
      <c r="I76" s="133"/>
      <c r="J76" s="140"/>
      <c r="K76" s="129"/>
      <c r="L76" s="129"/>
      <c r="M76" s="129"/>
      <c r="N76" s="129"/>
      <c r="O76" s="140"/>
      <c r="P76" s="140"/>
      <c r="Q76" s="133"/>
      <c r="R76" s="140"/>
      <c r="S76" s="133"/>
      <c r="T76" s="133"/>
    </row>
    <row r="77">
      <c r="A77" s="141"/>
      <c r="B77" s="142"/>
      <c r="C77" s="133"/>
      <c r="D77" s="91"/>
      <c r="E77" s="140"/>
      <c r="F77" s="140"/>
      <c r="G77" s="140"/>
      <c r="H77" s="133"/>
      <c r="I77" s="133"/>
      <c r="J77" s="140"/>
      <c r="K77" s="129"/>
      <c r="L77" s="129"/>
      <c r="M77" s="129"/>
      <c r="N77" s="129"/>
      <c r="O77" s="140"/>
      <c r="P77" s="140"/>
      <c r="Q77" s="133"/>
      <c r="R77" s="140"/>
      <c r="S77" s="133"/>
      <c r="T77" s="133"/>
    </row>
    <row r="78">
      <c r="A78" s="141"/>
      <c r="B78" s="142"/>
      <c r="C78" s="133"/>
      <c r="D78" s="91"/>
      <c r="E78" s="140"/>
      <c r="F78" s="140"/>
      <c r="G78" s="140"/>
      <c r="H78" s="133"/>
      <c r="I78" s="133"/>
      <c r="J78" s="140"/>
      <c r="K78" s="129"/>
      <c r="L78" s="129"/>
      <c r="M78" s="129"/>
      <c r="N78" s="129"/>
      <c r="O78" s="140"/>
      <c r="P78" s="140"/>
      <c r="Q78" s="133"/>
      <c r="R78" s="140"/>
      <c r="S78" s="133"/>
      <c r="T78" s="133"/>
    </row>
    <row r="79">
      <c r="A79" s="141"/>
      <c r="B79" s="142"/>
      <c r="C79" s="133"/>
      <c r="D79" s="91"/>
      <c r="E79" s="140"/>
      <c r="F79" s="140"/>
      <c r="G79" s="140"/>
      <c r="H79" s="133"/>
      <c r="I79" s="133"/>
      <c r="J79" s="140"/>
      <c r="K79" s="129"/>
      <c r="L79" s="129"/>
      <c r="M79" s="129"/>
      <c r="N79" s="129"/>
      <c r="O79" s="140"/>
      <c r="P79" s="140"/>
      <c r="Q79" s="133"/>
      <c r="R79" s="140"/>
      <c r="S79" s="133"/>
      <c r="T79" s="133"/>
    </row>
    <row r="80">
      <c r="A80" s="141"/>
      <c r="B80" s="142"/>
      <c r="C80" s="133"/>
      <c r="D80" s="91"/>
      <c r="E80" s="140"/>
      <c r="F80" s="140"/>
      <c r="G80" s="140"/>
      <c r="H80" s="133"/>
      <c r="I80" s="133"/>
      <c r="J80" s="140"/>
      <c r="K80" s="129"/>
      <c r="L80" s="129"/>
      <c r="M80" s="129"/>
      <c r="N80" s="129"/>
      <c r="O80" s="140"/>
      <c r="P80" s="140"/>
      <c r="Q80" s="133"/>
      <c r="R80" s="140"/>
      <c r="S80" s="133"/>
      <c r="T80" s="133"/>
    </row>
    <row r="81">
      <c r="A81" s="141"/>
      <c r="B81" s="142"/>
      <c r="C81" s="133"/>
      <c r="D81" s="91"/>
      <c r="E81" s="140"/>
      <c r="F81" s="140"/>
      <c r="G81" s="140"/>
      <c r="H81" s="133"/>
      <c r="I81" s="133"/>
      <c r="J81" s="140"/>
      <c r="K81" s="129"/>
      <c r="L81" s="129"/>
      <c r="M81" s="129"/>
      <c r="N81" s="129"/>
      <c r="O81" s="140"/>
      <c r="P81" s="140"/>
      <c r="Q81" s="133"/>
      <c r="R81" s="140"/>
      <c r="S81" s="133"/>
      <c r="T81" s="133"/>
    </row>
    <row r="82">
      <c r="A82" s="141"/>
      <c r="B82" s="142"/>
      <c r="C82" s="133"/>
      <c r="D82" s="91"/>
      <c r="E82" s="140"/>
      <c r="F82" s="140"/>
      <c r="G82" s="140"/>
      <c r="H82" s="133"/>
      <c r="I82" s="133"/>
      <c r="J82" s="140"/>
      <c r="K82" s="129"/>
      <c r="L82" s="129"/>
      <c r="M82" s="129"/>
      <c r="N82" s="129"/>
      <c r="O82" s="140"/>
      <c r="P82" s="140"/>
      <c r="Q82" s="133"/>
      <c r="R82" s="140"/>
      <c r="S82" s="133"/>
      <c r="T82" s="133"/>
    </row>
    <row r="83">
      <c r="A83" s="141"/>
      <c r="B83" s="142"/>
      <c r="C83" s="133"/>
      <c r="D83" s="91"/>
      <c r="E83" s="140"/>
      <c r="F83" s="140"/>
      <c r="G83" s="140"/>
      <c r="H83" s="133"/>
      <c r="I83" s="133"/>
      <c r="J83" s="140"/>
      <c r="K83" s="129"/>
      <c r="L83" s="129"/>
      <c r="M83" s="129"/>
      <c r="N83" s="129"/>
      <c r="O83" s="140"/>
      <c r="P83" s="140"/>
      <c r="Q83" s="133"/>
      <c r="R83" s="140"/>
      <c r="S83" s="133"/>
      <c r="T83" s="133"/>
    </row>
    <row r="84">
      <c r="A84" s="141"/>
      <c r="B84" s="142"/>
      <c r="C84" s="133"/>
      <c r="D84" s="91"/>
      <c r="E84" s="140"/>
      <c r="F84" s="140"/>
      <c r="G84" s="140"/>
      <c r="H84" s="133"/>
      <c r="I84" s="133"/>
      <c r="J84" s="140"/>
      <c r="K84" s="129"/>
      <c r="L84" s="129"/>
      <c r="M84" s="129"/>
      <c r="N84" s="129"/>
      <c r="O84" s="140"/>
      <c r="P84" s="140"/>
      <c r="Q84" s="133"/>
      <c r="R84" s="140"/>
      <c r="S84" s="133"/>
      <c r="T84" s="133"/>
    </row>
    <row r="85">
      <c r="A85" s="141"/>
      <c r="B85" s="142"/>
      <c r="C85" s="133"/>
      <c r="D85" s="91"/>
      <c r="E85" s="140"/>
      <c r="F85" s="140"/>
      <c r="G85" s="140"/>
      <c r="H85" s="133"/>
      <c r="I85" s="133"/>
      <c r="J85" s="140"/>
      <c r="K85" s="129"/>
      <c r="L85" s="129"/>
      <c r="M85" s="129"/>
      <c r="N85" s="129"/>
      <c r="O85" s="140"/>
      <c r="P85" s="140"/>
      <c r="Q85" s="133"/>
      <c r="R85" s="140"/>
      <c r="S85" s="133"/>
      <c r="T85" s="133"/>
    </row>
    <row r="86">
      <c r="A86" s="141"/>
      <c r="B86" s="142"/>
      <c r="C86" s="133"/>
      <c r="D86" s="91"/>
      <c r="E86" s="140"/>
      <c r="F86" s="140"/>
      <c r="G86" s="140"/>
      <c r="H86" s="133"/>
      <c r="I86" s="133"/>
      <c r="J86" s="140"/>
      <c r="K86" s="129"/>
      <c r="L86" s="129"/>
      <c r="M86" s="129"/>
      <c r="N86" s="129"/>
      <c r="O86" s="140"/>
      <c r="P86" s="140"/>
      <c r="Q86" s="133"/>
      <c r="R86" s="140"/>
      <c r="S86" s="133"/>
      <c r="T86" s="133"/>
    </row>
    <row r="87">
      <c r="A87" s="141"/>
      <c r="B87" s="142"/>
      <c r="C87" s="133"/>
      <c r="D87" s="91"/>
      <c r="E87" s="140"/>
      <c r="F87" s="140"/>
      <c r="G87" s="140"/>
      <c r="H87" s="133"/>
      <c r="I87" s="133"/>
      <c r="J87" s="140"/>
      <c r="K87" s="129"/>
      <c r="L87" s="129"/>
      <c r="M87" s="129"/>
      <c r="N87" s="129"/>
      <c r="O87" s="140"/>
      <c r="P87" s="140"/>
      <c r="Q87" s="133"/>
      <c r="R87" s="140"/>
      <c r="S87" s="133"/>
      <c r="T87" s="133"/>
    </row>
    <row r="88">
      <c r="A88" s="141"/>
      <c r="B88" s="142"/>
      <c r="C88" s="133"/>
      <c r="D88" s="91"/>
      <c r="E88" s="140"/>
      <c r="F88" s="140"/>
      <c r="G88" s="140"/>
      <c r="H88" s="133"/>
      <c r="I88" s="133"/>
      <c r="J88" s="140"/>
      <c r="K88" s="129"/>
      <c r="L88" s="129"/>
      <c r="M88" s="129"/>
      <c r="N88" s="129"/>
      <c r="O88" s="140"/>
      <c r="P88" s="140"/>
      <c r="Q88" s="133"/>
      <c r="R88" s="140"/>
      <c r="S88" s="133"/>
      <c r="T88" s="133"/>
    </row>
    <row r="89">
      <c r="A89" s="141"/>
      <c r="B89" s="142"/>
      <c r="C89" s="133"/>
      <c r="D89" s="91"/>
      <c r="E89" s="140"/>
      <c r="F89" s="140"/>
      <c r="G89" s="140"/>
      <c r="H89" s="133"/>
      <c r="I89" s="133"/>
      <c r="J89" s="140"/>
      <c r="K89" s="129"/>
      <c r="L89" s="129"/>
      <c r="M89" s="129"/>
      <c r="N89" s="129"/>
      <c r="O89" s="140"/>
      <c r="P89" s="140"/>
      <c r="Q89" s="133"/>
      <c r="R89" s="140"/>
      <c r="S89" s="133"/>
      <c r="T89" s="133"/>
    </row>
    <row r="90">
      <c r="A90" s="141"/>
      <c r="B90" s="142"/>
      <c r="C90" s="133"/>
      <c r="D90" s="91"/>
      <c r="E90" s="140"/>
      <c r="F90" s="140"/>
      <c r="G90" s="140"/>
      <c r="H90" s="133"/>
      <c r="I90" s="133"/>
      <c r="J90" s="140"/>
      <c r="K90" s="129"/>
      <c r="L90" s="129"/>
      <c r="M90" s="129"/>
      <c r="N90" s="129"/>
      <c r="O90" s="140"/>
      <c r="P90" s="140"/>
      <c r="Q90" s="133"/>
      <c r="R90" s="140"/>
      <c r="S90" s="133"/>
      <c r="T90" s="133"/>
    </row>
    <row r="91">
      <c r="A91" s="141"/>
      <c r="B91" s="142"/>
      <c r="C91" s="133"/>
      <c r="D91" s="91"/>
      <c r="E91" s="140"/>
      <c r="F91" s="140"/>
      <c r="G91" s="140"/>
      <c r="H91" s="133"/>
      <c r="I91" s="133"/>
      <c r="J91" s="140"/>
      <c r="K91" s="129"/>
      <c r="L91" s="129"/>
      <c r="M91" s="129"/>
      <c r="N91" s="129"/>
      <c r="O91" s="140"/>
      <c r="P91" s="140"/>
      <c r="Q91" s="133"/>
      <c r="R91" s="140"/>
      <c r="S91" s="133"/>
      <c r="T91" s="133"/>
    </row>
    <row r="92">
      <c r="A92" s="141"/>
      <c r="B92" s="142"/>
      <c r="C92" s="133"/>
      <c r="D92" s="91"/>
      <c r="E92" s="140"/>
      <c r="F92" s="140"/>
      <c r="G92" s="140"/>
      <c r="H92" s="133"/>
      <c r="I92" s="133"/>
      <c r="J92" s="140"/>
      <c r="K92" s="129"/>
      <c r="L92" s="129"/>
      <c r="M92" s="129"/>
      <c r="N92" s="129"/>
      <c r="O92" s="140"/>
      <c r="P92" s="140"/>
      <c r="Q92" s="133"/>
      <c r="R92" s="140"/>
      <c r="S92" s="133"/>
      <c r="T92" s="133"/>
    </row>
    <row r="93">
      <c r="A93" s="141"/>
      <c r="B93" s="142"/>
      <c r="C93" s="133"/>
      <c r="D93" s="91"/>
      <c r="E93" s="140"/>
      <c r="F93" s="140"/>
      <c r="G93" s="140"/>
      <c r="H93" s="133"/>
      <c r="I93" s="133"/>
      <c r="J93" s="140"/>
      <c r="K93" s="129"/>
      <c r="L93" s="129"/>
      <c r="M93" s="129"/>
      <c r="N93" s="129"/>
      <c r="O93" s="140"/>
      <c r="P93" s="140"/>
      <c r="Q93" s="133"/>
      <c r="R93" s="140"/>
      <c r="S93" s="133"/>
      <c r="T93" s="133"/>
    </row>
    <row r="94">
      <c r="A94" s="141"/>
      <c r="B94" s="142"/>
      <c r="C94" s="133"/>
      <c r="D94" s="91"/>
      <c r="E94" s="140"/>
      <c r="F94" s="140"/>
      <c r="G94" s="140"/>
      <c r="H94" s="133"/>
      <c r="I94" s="133"/>
      <c r="J94" s="140"/>
      <c r="K94" s="129"/>
      <c r="L94" s="129"/>
      <c r="M94" s="129"/>
      <c r="N94" s="129"/>
      <c r="O94" s="140"/>
      <c r="P94" s="140"/>
      <c r="Q94" s="133"/>
      <c r="R94" s="140"/>
      <c r="S94" s="133"/>
      <c r="T94" s="133"/>
    </row>
    <row r="95">
      <c r="A95" s="141"/>
      <c r="B95" s="142"/>
      <c r="C95" s="133"/>
      <c r="D95" s="91"/>
      <c r="E95" s="140"/>
      <c r="F95" s="140"/>
      <c r="G95" s="140"/>
      <c r="H95" s="133"/>
      <c r="I95" s="133"/>
      <c r="J95" s="140"/>
      <c r="K95" s="129"/>
      <c r="L95" s="129"/>
      <c r="M95" s="129"/>
      <c r="N95" s="129"/>
      <c r="O95" s="140"/>
      <c r="P95" s="140"/>
      <c r="Q95" s="133"/>
      <c r="R95" s="140"/>
      <c r="S95" s="133"/>
      <c r="T95" s="133"/>
    </row>
    <row r="96">
      <c r="A96" s="141"/>
      <c r="B96" s="142"/>
      <c r="C96" s="133"/>
      <c r="D96" s="91"/>
      <c r="E96" s="140"/>
      <c r="F96" s="140"/>
      <c r="G96" s="140"/>
      <c r="H96" s="133"/>
      <c r="I96" s="133"/>
      <c r="J96" s="140"/>
      <c r="K96" s="129"/>
      <c r="L96" s="129"/>
      <c r="M96" s="129"/>
      <c r="N96" s="129"/>
      <c r="O96" s="140"/>
      <c r="P96" s="140"/>
      <c r="Q96" s="133"/>
      <c r="R96" s="140"/>
      <c r="S96" s="133"/>
      <c r="T96" s="133"/>
    </row>
    <row r="97">
      <c r="A97" s="141"/>
      <c r="B97" s="142"/>
      <c r="C97" s="133"/>
      <c r="D97" s="91"/>
      <c r="E97" s="140"/>
      <c r="F97" s="140"/>
      <c r="G97" s="140"/>
      <c r="H97" s="133"/>
      <c r="I97" s="133"/>
      <c r="J97" s="140"/>
      <c r="K97" s="129"/>
      <c r="L97" s="129"/>
      <c r="M97" s="129"/>
      <c r="N97" s="129"/>
      <c r="O97" s="140"/>
      <c r="P97" s="140"/>
      <c r="Q97" s="133"/>
      <c r="R97" s="140"/>
      <c r="S97" s="133"/>
      <c r="T97" s="133"/>
    </row>
    <row r="98">
      <c r="A98" s="141"/>
      <c r="B98" s="142"/>
      <c r="C98" s="133"/>
      <c r="D98" s="91"/>
      <c r="E98" s="140"/>
      <c r="F98" s="140"/>
      <c r="G98" s="140"/>
      <c r="H98" s="133"/>
      <c r="I98" s="133"/>
      <c r="J98" s="140"/>
      <c r="K98" s="129"/>
      <c r="L98" s="129"/>
      <c r="M98" s="129"/>
      <c r="N98" s="129"/>
      <c r="O98" s="140"/>
      <c r="P98" s="140"/>
      <c r="Q98" s="133"/>
      <c r="R98" s="140"/>
      <c r="S98" s="133"/>
      <c r="T98" s="133"/>
    </row>
    <row r="99">
      <c r="A99" s="141"/>
      <c r="B99" s="142"/>
      <c r="C99" s="133"/>
      <c r="D99" s="91"/>
      <c r="E99" s="140"/>
      <c r="F99" s="140"/>
      <c r="G99" s="140"/>
      <c r="H99" s="133"/>
      <c r="I99" s="133"/>
      <c r="J99" s="140"/>
      <c r="K99" s="129"/>
      <c r="L99" s="129"/>
      <c r="M99" s="129"/>
      <c r="N99" s="129"/>
      <c r="O99" s="140"/>
      <c r="P99" s="140"/>
      <c r="Q99" s="133"/>
      <c r="R99" s="140"/>
      <c r="S99" s="133"/>
      <c r="T99" s="133"/>
    </row>
    <row r="100">
      <c r="A100" s="141"/>
      <c r="B100" s="142"/>
      <c r="C100" s="133"/>
      <c r="D100" s="91"/>
      <c r="E100" s="140"/>
      <c r="F100" s="140"/>
      <c r="G100" s="140"/>
      <c r="H100" s="133"/>
      <c r="I100" s="133"/>
      <c r="J100" s="140"/>
      <c r="K100" s="129"/>
      <c r="L100" s="129"/>
      <c r="M100" s="129"/>
      <c r="N100" s="129"/>
      <c r="O100" s="140"/>
      <c r="P100" s="140"/>
      <c r="Q100" s="133"/>
      <c r="R100" s="140"/>
      <c r="S100" s="133"/>
      <c r="T100" s="133"/>
    </row>
    <row r="101">
      <c r="A101" s="141"/>
      <c r="B101" s="142"/>
      <c r="C101" s="133"/>
      <c r="D101" s="91"/>
      <c r="E101" s="140"/>
      <c r="F101" s="140"/>
      <c r="G101" s="140"/>
      <c r="H101" s="133"/>
      <c r="I101" s="133"/>
      <c r="J101" s="140"/>
      <c r="K101" s="129"/>
      <c r="L101" s="129"/>
      <c r="M101" s="129"/>
      <c r="N101" s="129"/>
      <c r="O101" s="140"/>
      <c r="P101" s="140"/>
      <c r="Q101" s="133"/>
      <c r="R101" s="140"/>
      <c r="S101" s="133"/>
      <c r="T101" s="133"/>
    </row>
    <row r="102">
      <c r="A102" s="141"/>
      <c r="B102" s="142"/>
      <c r="C102" s="133"/>
      <c r="D102" s="91"/>
      <c r="E102" s="140"/>
      <c r="F102" s="140"/>
      <c r="G102" s="140"/>
      <c r="H102" s="133"/>
      <c r="I102" s="133"/>
      <c r="J102" s="140"/>
      <c r="K102" s="129"/>
      <c r="L102" s="129"/>
      <c r="M102" s="129"/>
      <c r="N102" s="129"/>
      <c r="O102" s="140"/>
      <c r="P102" s="140"/>
      <c r="Q102" s="133"/>
      <c r="R102" s="140"/>
      <c r="S102" s="133"/>
      <c r="T102" s="133"/>
    </row>
    <row r="103">
      <c r="A103" s="141"/>
      <c r="B103" s="142"/>
      <c r="C103" s="133"/>
      <c r="D103" s="91"/>
      <c r="E103" s="140"/>
      <c r="F103" s="140"/>
      <c r="G103" s="140"/>
      <c r="H103" s="133"/>
      <c r="I103" s="133"/>
      <c r="J103" s="140"/>
      <c r="K103" s="129"/>
      <c r="L103" s="129"/>
      <c r="M103" s="129"/>
      <c r="N103" s="129"/>
      <c r="O103" s="140"/>
      <c r="P103" s="140"/>
      <c r="Q103" s="133"/>
      <c r="R103" s="140"/>
      <c r="S103" s="133"/>
      <c r="T103" s="133"/>
    </row>
    <row r="104">
      <c r="A104" s="141"/>
      <c r="B104" s="142"/>
      <c r="C104" s="133"/>
      <c r="D104" s="91"/>
      <c r="E104" s="140"/>
      <c r="F104" s="140"/>
      <c r="G104" s="140"/>
      <c r="H104" s="133"/>
      <c r="I104" s="133"/>
      <c r="J104" s="140"/>
      <c r="K104" s="129"/>
      <c r="L104" s="129"/>
      <c r="M104" s="129"/>
      <c r="N104" s="129"/>
      <c r="O104" s="140"/>
      <c r="P104" s="140"/>
      <c r="Q104" s="133"/>
      <c r="R104" s="140"/>
      <c r="S104" s="133"/>
      <c r="T104" s="133"/>
    </row>
    <row r="105">
      <c r="A105" s="141"/>
      <c r="B105" s="142"/>
      <c r="C105" s="133"/>
      <c r="D105" s="91"/>
      <c r="E105" s="140"/>
      <c r="F105" s="140"/>
      <c r="G105" s="140"/>
      <c r="H105" s="133"/>
      <c r="I105" s="133"/>
      <c r="J105" s="140"/>
      <c r="K105" s="129"/>
      <c r="L105" s="129"/>
      <c r="M105" s="129"/>
      <c r="N105" s="129"/>
      <c r="O105" s="140"/>
      <c r="P105" s="140"/>
      <c r="Q105" s="133"/>
      <c r="R105" s="140"/>
      <c r="S105" s="133"/>
      <c r="T105" s="133"/>
    </row>
    <row r="106">
      <c r="A106" s="141"/>
      <c r="B106" s="142"/>
      <c r="C106" s="133"/>
      <c r="D106" s="91"/>
      <c r="E106" s="140"/>
      <c r="F106" s="140"/>
      <c r="G106" s="140"/>
      <c r="H106" s="133"/>
      <c r="I106" s="133"/>
      <c r="J106" s="140"/>
      <c r="K106" s="129"/>
      <c r="L106" s="129"/>
      <c r="M106" s="129"/>
      <c r="N106" s="129"/>
      <c r="O106" s="140"/>
      <c r="P106" s="140"/>
      <c r="Q106" s="133"/>
      <c r="R106" s="140"/>
      <c r="S106" s="133"/>
      <c r="T106" s="133"/>
    </row>
    <row r="107">
      <c r="A107" s="141"/>
      <c r="B107" s="142"/>
      <c r="C107" s="133"/>
      <c r="D107" s="91"/>
      <c r="E107" s="140"/>
      <c r="F107" s="140"/>
      <c r="G107" s="140"/>
      <c r="H107" s="133"/>
      <c r="I107" s="133"/>
      <c r="J107" s="140"/>
      <c r="K107" s="129"/>
      <c r="L107" s="129"/>
      <c r="M107" s="129"/>
      <c r="N107" s="129"/>
      <c r="O107" s="140"/>
      <c r="P107" s="140"/>
      <c r="Q107" s="133"/>
      <c r="R107" s="140"/>
      <c r="S107" s="133"/>
      <c r="T107" s="133"/>
    </row>
    <row r="108">
      <c r="A108" s="141"/>
      <c r="B108" s="142"/>
      <c r="C108" s="133"/>
      <c r="D108" s="91"/>
      <c r="E108" s="140"/>
      <c r="F108" s="140"/>
      <c r="G108" s="140"/>
      <c r="H108" s="133"/>
      <c r="I108" s="133"/>
      <c r="J108" s="140"/>
      <c r="K108" s="129"/>
      <c r="L108" s="129"/>
      <c r="M108" s="129"/>
      <c r="N108" s="129"/>
      <c r="O108" s="140"/>
      <c r="P108" s="140"/>
      <c r="Q108" s="133"/>
      <c r="R108" s="140"/>
      <c r="S108" s="133"/>
      <c r="T108" s="133"/>
    </row>
    <row r="109">
      <c r="A109" s="141"/>
      <c r="B109" s="142"/>
      <c r="C109" s="133"/>
      <c r="D109" s="133"/>
      <c r="E109" s="140"/>
      <c r="F109" s="140"/>
      <c r="G109" s="140"/>
      <c r="H109" s="133"/>
      <c r="I109" s="133"/>
      <c r="J109" s="140"/>
      <c r="K109" s="129"/>
      <c r="L109" s="129"/>
      <c r="M109" s="129"/>
      <c r="N109" s="129"/>
      <c r="O109" s="140"/>
      <c r="P109" s="140"/>
      <c r="Q109" s="133"/>
      <c r="R109" s="140"/>
      <c r="S109" s="133"/>
      <c r="T109" s="133"/>
    </row>
    <row r="110">
      <c r="A110" s="141"/>
      <c r="B110" s="142"/>
      <c r="C110" s="133"/>
      <c r="D110" s="133"/>
      <c r="E110" s="140"/>
      <c r="F110" s="140"/>
      <c r="G110" s="140"/>
      <c r="H110" s="133"/>
      <c r="I110" s="133"/>
      <c r="J110" s="140"/>
      <c r="K110" s="129"/>
      <c r="L110" s="129"/>
      <c r="M110" s="129"/>
      <c r="N110" s="129"/>
      <c r="O110" s="140"/>
      <c r="P110" s="140"/>
      <c r="Q110" s="133"/>
      <c r="R110" s="140"/>
      <c r="S110" s="133"/>
      <c r="T110" s="133"/>
    </row>
    <row r="111">
      <c r="A111" s="141"/>
      <c r="B111" s="142"/>
      <c r="C111" s="133"/>
      <c r="D111" s="133"/>
      <c r="E111" s="140"/>
      <c r="F111" s="140"/>
      <c r="G111" s="140"/>
      <c r="H111" s="133"/>
      <c r="I111" s="133"/>
      <c r="J111" s="140"/>
      <c r="K111" s="129"/>
      <c r="L111" s="129"/>
      <c r="M111" s="129"/>
      <c r="N111" s="129"/>
      <c r="O111" s="140"/>
      <c r="P111" s="140"/>
      <c r="Q111" s="133"/>
      <c r="R111" s="140"/>
      <c r="S111" s="133"/>
      <c r="T111" s="133"/>
    </row>
    <row r="112">
      <c r="A112" s="141"/>
      <c r="B112" s="142"/>
      <c r="C112" s="133"/>
      <c r="D112" s="133"/>
      <c r="E112" s="140"/>
      <c r="F112" s="140"/>
      <c r="G112" s="140"/>
      <c r="H112" s="133"/>
      <c r="I112" s="133"/>
      <c r="J112" s="140"/>
      <c r="K112" s="129"/>
      <c r="L112" s="129"/>
      <c r="M112" s="129"/>
      <c r="N112" s="129"/>
      <c r="O112" s="140"/>
      <c r="P112" s="140"/>
      <c r="Q112" s="133"/>
      <c r="R112" s="140"/>
      <c r="S112" s="133"/>
      <c r="T112" s="133"/>
    </row>
    <row r="113">
      <c r="A113" s="141"/>
      <c r="B113" s="142"/>
      <c r="C113" s="133"/>
      <c r="D113" s="133"/>
      <c r="E113" s="140"/>
      <c r="F113" s="140"/>
      <c r="G113" s="140"/>
      <c r="H113" s="133"/>
      <c r="I113" s="133"/>
      <c r="J113" s="140"/>
      <c r="K113" s="129"/>
      <c r="L113" s="129"/>
      <c r="M113" s="129"/>
      <c r="N113" s="129"/>
      <c r="O113" s="140"/>
      <c r="P113" s="140"/>
      <c r="Q113" s="133"/>
      <c r="R113" s="140"/>
      <c r="S113" s="133"/>
      <c r="T113" s="133"/>
    </row>
    <row r="114">
      <c r="A114" s="141"/>
      <c r="B114" s="142"/>
      <c r="C114" s="133"/>
      <c r="D114" s="133"/>
      <c r="E114" s="140"/>
      <c r="F114" s="140"/>
      <c r="G114" s="140"/>
      <c r="H114" s="133"/>
      <c r="I114" s="133"/>
      <c r="J114" s="140"/>
      <c r="K114" s="129"/>
      <c r="L114" s="129"/>
      <c r="M114" s="129"/>
      <c r="N114" s="129"/>
      <c r="O114" s="140"/>
      <c r="P114" s="140"/>
      <c r="Q114" s="133"/>
      <c r="R114" s="140"/>
      <c r="S114" s="133"/>
      <c r="T114" s="133"/>
    </row>
    <row r="115">
      <c r="A115" s="141"/>
      <c r="B115" s="142"/>
      <c r="C115" s="133"/>
      <c r="D115" s="133"/>
      <c r="E115" s="140"/>
      <c r="F115" s="140"/>
      <c r="G115" s="140"/>
      <c r="H115" s="133"/>
      <c r="I115" s="133"/>
      <c r="J115" s="140"/>
      <c r="K115" s="129"/>
      <c r="L115" s="129"/>
      <c r="M115" s="129"/>
      <c r="N115" s="129"/>
      <c r="O115" s="140"/>
      <c r="P115" s="140"/>
      <c r="Q115" s="133"/>
      <c r="R115" s="140"/>
      <c r="S115" s="133"/>
      <c r="T115" s="133"/>
    </row>
    <row r="116">
      <c r="A116" s="141"/>
      <c r="B116" s="142"/>
      <c r="C116" s="133"/>
      <c r="D116" s="133"/>
      <c r="E116" s="140"/>
      <c r="F116" s="140"/>
      <c r="G116" s="140"/>
      <c r="H116" s="133"/>
      <c r="I116" s="133"/>
      <c r="J116" s="140"/>
      <c r="K116" s="129"/>
      <c r="L116" s="129"/>
      <c r="M116" s="129"/>
      <c r="N116" s="129"/>
      <c r="O116" s="140"/>
      <c r="P116" s="140"/>
      <c r="Q116" s="133"/>
      <c r="R116" s="140"/>
      <c r="S116" s="133"/>
      <c r="T116" s="133"/>
    </row>
    <row r="117">
      <c r="A117" s="141"/>
      <c r="B117" s="142"/>
      <c r="C117" s="133"/>
      <c r="D117" s="133"/>
      <c r="E117" s="140"/>
      <c r="F117" s="140"/>
      <c r="G117" s="140"/>
      <c r="H117" s="133"/>
      <c r="I117" s="133"/>
      <c r="J117" s="140"/>
      <c r="K117" s="129"/>
      <c r="L117" s="129"/>
      <c r="M117" s="129"/>
      <c r="N117" s="129"/>
      <c r="O117" s="140"/>
      <c r="P117" s="140"/>
      <c r="Q117" s="133"/>
      <c r="R117" s="140"/>
      <c r="S117" s="133"/>
      <c r="T117" s="133"/>
    </row>
    <row r="118">
      <c r="A118" s="141"/>
      <c r="B118" s="142"/>
      <c r="C118" s="133"/>
      <c r="D118" s="133"/>
      <c r="E118" s="140"/>
      <c r="F118" s="140"/>
      <c r="G118" s="140"/>
      <c r="H118" s="133"/>
      <c r="I118" s="133"/>
      <c r="J118" s="140"/>
      <c r="K118" s="129"/>
      <c r="L118" s="129"/>
      <c r="M118" s="129"/>
      <c r="N118" s="129"/>
      <c r="O118" s="140"/>
      <c r="P118" s="140"/>
      <c r="Q118" s="133"/>
      <c r="R118" s="140"/>
      <c r="S118" s="133"/>
      <c r="T118" s="133"/>
    </row>
    <row r="119">
      <c r="A119" s="141"/>
      <c r="B119" s="142"/>
      <c r="C119" s="133"/>
      <c r="D119" s="133"/>
      <c r="E119" s="140"/>
      <c r="F119" s="140"/>
      <c r="G119" s="140"/>
      <c r="H119" s="133"/>
      <c r="I119" s="133"/>
      <c r="J119" s="140"/>
      <c r="K119" s="129"/>
      <c r="L119" s="129"/>
      <c r="M119" s="129"/>
      <c r="N119" s="129"/>
      <c r="O119" s="140"/>
      <c r="P119" s="140"/>
      <c r="Q119" s="133"/>
      <c r="R119" s="140"/>
      <c r="S119" s="133"/>
      <c r="T119" s="133"/>
    </row>
    <row r="120">
      <c r="A120" s="141"/>
      <c r="B120" s="142"/>
      <c r="C120" s="133"/>
      <c r="D120" s="133"/>
      <c r="E120" s="140"/>
      <c r="F120" s="140"/>
      <c r="G120" s="140"/>
      <c r="H120" s="133"/>
      <c r="I120" s="133"/>
      <c r="J120" s="140"/>
      <c r="K120" s="129"/>
      <c r="L120" s="129"/>
      <c r="M120" s="129"/>
      <c r="N120" s="129"/>
      <c r="O120" s="140"/>
      <c r="P120" s="140"/>
      <c r="Q120" s="133"/>
      <c r="R120" s="140"/>
      <c r="S120" s="133"/>
      <c r="T120" s="133"/>
    </row>
    <row r="121">
      <c r="A121" s="141"/>
      <c r="B121" s="142"/>
      <c r="C121" s="133"/>
      <c r="D121" s="133"/>
      <c r="E121" s="140"/>
      <c r="F121" s="140"/>
      <c r="G121" s="140"/>
      <c r="H121" s="133"/>
      <c r="I121" s="133"/>
      <c r="J121" s="140"/>
      <c r="K121" s="129"/>
      <c r="L121" s="129"/>
      <c r="M121" s="129"/>
      <c r="N121" s="129"/>
      <c r="O121" s="140"/>
      <c r="P121" s="140"/>
      <c r="Q121" s="133"/>
      <c r="R121" s="140"/>
      <c r="S121" s="133"/>
      <c r="T121" s="133"/>
    </row>
    <row r="122">
      <c r="A122" s="141"/>
      <c r="B122" s="142"/>
      <c r="C122" s="133"/>
      <c r="D122" s="133"/>
      <c r="E122" s="140"/>
      <c r="F122" s="140"/>
      <c r="G122" s="140"/>
      <c r="H122" s="133"/>
      <c r="I122" s="133"/>
      <c r="J122" s="140"/>
      <c r="K122" s="129"/>
      <c r="L122" s="129"/>
      <c r="M122" s="129"/>
      <c r="N122" s="129"/>
      <c r="O122" s="140"/>
      <c r="P122" s="140"/>
      <c r="Q122" s="133"/>
      <c r="R122" s="140"/>
      <c r="S122" s="133"/>
      <c r="T122" s="133"/>
    </row>
    <row r="123">
      <c r="A123" s="141"/>
      <c r="B123" s="142"/>
      <c r="C123" s="133"/>
      <c r="D123" s="133"/>
      <c r="E123" s="140"/>
      <c r="F123" s="140"/>
      <c r="G123" s="140"/>
      <c r="H123" s="133"/>
      <c r="I123" s="133"/>
      <c r="J123" s="140"/>
      <c r="K123" s="129"/>
      <c r="L123" s="129"/>
      <c r="M123" s="129"/>
      <c r="N123" s="129"/>
      <c r="O123" s="140"/>
      <c r="P123" s="140"/>
      <c r="Q123" s="133"/>
      <c r="R123" s="140"/>
      <c r="S123" s="133"/>
      <c r="T123" s="133"/>
    </row>
    <row r="124">
      <c r="A124" s="141"/>
      <c r="B124" s="142"/>
      <c r="C124" s="133"/>
      <c r="D124" s="133"/>
      <c r="E124" s="140"/>
      <c r="F124" s="140"/>
      <c r="G124" s="140"/>
      <c r="H124" s="133"/>
      <c r="I124" s="133"/>
      <c r="J124" s="140"/>
      <c r="K124" s="129"/>
      <c r="L124" s="129"/>
      <c r="M124" s="129"/>
      <c r="N124" s="129"/>
      <c r="O124" s="140"/>
      <c r="P124" s="140"/>
      <c r="Q124" s="133"/>
      <c r="R124" s="140"/>
      <c r="S124" s="133"/>
      <c r="T124" s="133"/>
    </row>
    <row r="125">
      <c r="A125" s="141"/>
      <c r="B125" s="142"/>
      <c r="C125" s="133"/>
      <c r="D125" s="133"/>
      <c r="E125" s="140"/>
      <c r="F125" s="140"/>
      <c r="G125" s="140"/>
      <c r="H125" s="133"/>
      <c r="I125" s="133"/>
      <c r="J125" s="140"/>
      <c r="K125" s="129"/>
      <c r="L125" s="129"/>
      <c r="M125" s="129"/>
      <c r="N125" s="129"/>
      <c r="O125" s="140"/>
      <c r="P125" s="140"/>
      <c r="Q125" s="133"/>
      <c r="R125" s="140"/>
      <c r="S125" s="133"/>
      <c r="T125" s="133"/>
    </row>
    <row r="126">
      <c r="A126" s="141"/>
      <c r="B126" s="142"/>
      <c r="C126" s="133"/>
      <c r="D126" s="133"/>
      <c r="E126" s="140"/>
      <c r="F126" s="140"/>
      <c r="G126" s="140"/>
      <c r="H126" s="133"/>
      <c r="I126" s="133"/>
      <c r="J126" s="140"/>
      <c r="K126" s="129"/>
      <c r="L126" s="129"/>
      <c r="M126" s="129"/>
      <c r="N126" s="129"/>
      <c r="O126" s="140"/>
      <c r="P126" s="140"/>
      <c r="Q126" s="133"/>
      <c r="R126" s="140"/>
      <c r="S126" s="133"/>
      <c r="T126" s="133"/>
    </row>
    <row r="127">
      <c r="A127" s="141"/>
      <c r="B127" s="142"/>
      <c r="C127" s="133"/>
      <c r="D127" s="133"/>
      <c r="E127" s="140"/>
      <c r="F127" s="140"/>
      <c r="G127" s="140"/>
      <c r="H127" s="133"/>
      <c r="I127" s="133"/>
      <c r="J127" s="140"/>
      <c r="K127" s="129"/>
      <c r="L127" s="129"/>
      <c r="M127" s="129"/>
      <c r="N127" s="129"/>
      <c r="O127" s="140"/>
      <c r="P127" s="140"/>
      <c r="Q127" s="133"/>
      <c r="R127" s="140"/>
      <c r="S127" s="133"/>
      <c r="T127" s="133"/>
    </row>
    <row r="128">
      <c r="A128" s="141"/>
      <c r="B128" s="142"/>
      <c r="C128" s="133"/>
      <c r="D128" s="133"/>
      <c r="E128" s="140"/>
      <c r="F128" s="140"/>
      <c r="G128" s="140"/>
      <c r="H128" s="133"/>
      <c r="I128" s="133"/>
      <c r="J128" s="140"/>
      <c r="K128" s="129"/>
      <c r="L128" s="129"/>
      <c r="M128" s="129"/>
      <c r="N128" s="129"/>
      <c r="O128" s="140"/>
      <c r="P128" s="140"/>
      <c r="Q128" s="133"/>
      <c r="R128" s="140"/>
      <c r="S128" s="133"/>
      <c r="T128" s="133"/>
    </row>
    <row r="129">
      <c r="A129" s="141"/>
      <c r="B129" s="142"/>
      <c r="C129" s="133"/>
      <c r="D129" s="133"/>
      <c r="E129" s="140"/>
      <c r="F129" s="140"/>
      <c r="G129" s="140"/>
      <c r="H129" s="133"/>
      <c r="I129" s="133"/>
      <c r="J129" s="140"/>
      <c r="K129" s="129"/>
      <c r="L129" s="129"/>
      <c r="M129" s="129"/>
      <c r="N129" s="129"/>
      <c r="O129" s="140"/>
      <c r="P129" s="140"/>
      <c r="Q129" s="133"/>
      <c r="R129" s="140"/>
      <c r="S129" s="133"/>
      <c r="T129" s="133"/>
    </row>
    <row r="130">
      <c r="A130" s="141"/>
      <c r="B130" s="142"/>
      <c r="C130" s="133"/>
      <c r="D130" s="133"/>
      <c r="E130" s="140"/>
      <c r="F130" s="140"/>
      <c r="G130" s="140"/>
      <c r="H130" s="133"/>
      <c r="I130" s="133"/>
      <c r="J130" s="140"/>
      <c r="K130" s="129"/>
      <c r="L130" s="129"/>
      <c r="M130" s="129"/>
      <c r="N130" s="129"/>
      <c r="O130" s="140"/>
      <c r="P130" s="140"/>
      <c r="Q130" s="133"/>
      <c r="R130" s="140"/>
      <c r="S130" s="133"/>
      <c r="T130" s="133"/>
    </row>
    <row r="131">
      <c r="A131" s="141"/>
      <c r="B131" s="142"/>
      <c r="C131" s="133"/>
      <c r="D131" s="133"/>
      <c r="E131" s="140"/>
      <c r="F131" s="140"/>
      <c r="G131" s="140"/>
      <c r="H131" s="133"/>
      <c r="I131" s="133"/>
      <c r="J131" s="140"/>
      <c r="K131" s="129"/>
      <c r="L131" s="129"/>
      <c r="M131" s="129"/>
      <c r="N131" s="129"/>
      <c r="O131" s="140"/>
      <c r="P131" s="140"/>
      <c r="Q131" s="133"/>
      <c r="R131" s="140"/>
      <c r="S131" s="133"/>
      <c r="T131" s="133"/>
    </row>
    <row r="132">
      <c r="A132" s="141"/>
      <c r="B132" s="142"/>
      <c r="C132" s="133"/>
      <c r="D132" s="133"/>
      <c r="E132" s="140"/>
      <c r="F132" s="140"/>
      <c r="G132" s="140"/>
      <c r="H132" s="133"/>
      <c r="I132" s="133"/>
      <c r="J132" s="140"/>
      <c r="K132" s="129"/>
      <c r="L132" s="129"/>
      <c r="M132" s="129"/>
      <c r="N132" s="129"/>
      <c r="O132" s="140"/>
      <c r="P132" s="140"/>
      <c r="Q132" s="133"/>
      <c r="R132" s="140"/>
      <c r="S132" s="133"/>
      <c r="T132" s="133"/>
    </row>
    <row r="133">
      <c r="A133" s="141"/>
      <c r="B133" s="142"/>
      <c r="C133" s="133"/>
      <c r="D133" s="133"/>
      <c r="E133" s="140"/>
      <c r="F133" s="140"/>
      <c r="G133" s="140"/>
      <c r="H133" s="133"/>
      <c r="I133" s="133"/>
      <c r="J133" s="140"/>
      <c r="K133" s="129"/>
      <c r="L133" s="129"/>
      <c r="M133" s="129"/>
      <c r="N133" s="129"/>
      <c r="O133" s="140"/>
      <c r="P133" s="140"/>
      <c r="Q133" s="133"/>
      <c r="R133" s="140"/>
      <c r="S133" s="133"/>
      <c r="T133" s="133"/>
    </row>
    <row r="134">
      <c r="A134" s="141"/>
      <c r="B134" s="142"/>
      <c r="C134" s="133"/>
      <c r="D134" s="133"/>
      <c r="E134" s="140"/>
      <c r="F134" s="140"/>
      <c r="G134" s="140"/>
      <c r="H134" s="133"/>
      <c r="I134" s="133"/>
      <c r="J134" s="140"/>
      <c r="K134" s="129"/>
      <c r="L134" s="129"/>
      <c r="M134" s="129"/>
      <c r="N134" s="129"/>
      <c r="O134" s="140"/>
      <c r="P134" s="140"/>
      <c r="Q134" s="133"/>
      <c r="R134" s="140"/>
      <c r="S134" s="133"/>
      <c r="T134" s="133"/>
    </row>
    <row r="135">
      <c r="A135" s="141"/>
      <c r="B135" s="142"/>
      <c r="C135" s="133"/>
      <c r="D135" s="133"/>
      <c r="E135" s="140"/>
      <c r="F135" s="140"/>
      <c r="G135" s="140"/>
      <c r="H135" s="133"/>
      <c r="I135" s="133"/>
      <c r="J135" s="140"/>
      <c r="K135" s="129"/>
      <c r="L135" s="129"/>
      <c r="M135" s="129"/>
      <c r="N135" s="129"/>
      <c r="O135" s="140"/>
      <c r="P135" s="140"/>
      <c r="Q135" s="133"/>
      <c r="R135" s="140"/>
      <c r="S135" s="133"/>
      <c r="T135" s="133"/>
    </row>
    <row r="136">
      <c r="A136" s="141"/>
      <c r="B136" s="142"/>
      <c r="C136" s="133"/>
      <c r="D136" s="133"/>
      <c r="E136" s="140"/>
      <c r="F136" s="140"/>
      <c r="G136" s="140"/>
      <c r="H136" s="133"/>
      <c r="I136" s="133"/>
      <c r="J136" s="140"/>
      <c r="K136" s="129"/>
      <c r="L136" s="129"/>
      <c r="M136" s="129"/>
      <c r="N136" s="129"/>
      <c r="O136" s="140"/>
      <c r="P136" s="140"/>
      <c r="Q136" s="133"/>
      <c r="R136" s="140"/>
      <c r="S136" s="133"/>
      <c r="T136" s="133"/>
    </row>
    <row r="137">
      <c r="A137" s="141"/>
      <c r="B137" s="142"/>
      <c r="C137" s="133"/>
      <c r="D137" s="133"/>
      <c r="E137" s="140"/>
      <c r="F137" s="140"/>
      <c r="G137" s="140"/>
      <c r="H137" s="133"/>
      <c r="I137" s="133"/>
      <c r="J137" s="140"/>
      <c r="K137" s="129"/>
      <c r="L137" s="129"/>
      <c r="M137" s="129"/>
      <c r="N137" s="129"/>
      <c r="O137" s="140"/>
      <c r="P137" s="140"/>
      <c r="Q137" s="133"/>
      <c r="R137" s="140"/>
      <c r="S137" s="133"/>
      <c r="T137" s="133"/>
    </row>
    <row r="138">
      <c r="A138" s="141"/>
      <c r="B138" s="142"/>
      <c r="C138" s="133"/>
      <c r="D138" s="133"/>
      <c r="E138" s="140"/>
      <c r="F138" s="140"/>
      <c r="G138" s="140"/>
      <c r="H138" s="133"/>
      <c r="I138" s="133"/>
      <c r="J138" s="140"/>
      <c r="K138" s="129"/>
      <c r="L138" s="129"/>
      <c r="M138" s="129"/>
      <c r="N138" s="129"/>
      <c r="O138" s="140"/>
      <c r="P138" s="140"/>
      <c r="Q138" s="133"/>
      <c r="R138" s="140"/>
      <c r="S138" s="133"/>
      <c r="T138" s="133"/>
    </row>
    <row r="139">
      <c r="A139" s="141"/>
      <c r="B139" s="142"/>
      <c r="C139" s="133"/>
      <c r="D139" s="133"/>
      <c r="E139" s="140"/>
      <c r="F139" s="140"/>
      <c r="G139" s="140"/>
      <c r="H139" s="133"/>
      <c r="I139" s="133"/>
      <c r="J139" s="140"/>
      <c r="K139" s="129"/>
      <c r="L139" s="129"/>
      <c r="M139" s="129"/>
      <c r="N139" s="129"/>
      <c r="O139" s="140"/>
      <c r="P139" s="140"/>
      <c r="Q139" s="133"/>
      <c r="R139" s="140"/>
      <c r="S139" s="133"/>
      <c r="T139" s="133"/>
    </row>
    <row r="140">
      <c r="A140" s="141"/>
      <c r="B140" s="142"/>
      <c r="C140" s="133"/>
      <c r="D140" s="133"/>
      <c r="E140" s="140"/>
      <c r="F140" s="140"/>
      <c r="G140" s="140"/>
      <c r="H140" s="133"/>
      <c r="I140" s="133"/>
      <c r="J140" s="140"/>
      <c r="K140" s="129"/>
      <c r="L140" s="129"/>
      <c r="M140" s="129"/>
      <c r="N140" s="129"/>
      <c r="O140" s="140"/>
      <c r="P140" s="140"/>
      <c r="Q140" s="133"/>
      <c r="R140" s="140"/>
      <c r="S140" s="133"/>
      <c r="T140" s="133"/>
    </row>
    <row r="141">
      <c r="A141" s="141"/>
      <c r="B141" s="142"/>
      <c r="C141" s="133"/>
      <c r="D141" s="133"/>
      <c r="E141" s="140"/>
      <c r="F141" s="140"/>
      <c r="G141" s="140"/>
      <c r="H141" s="133"/>
      <c r="I141" s="133"/>
      <c r="J141" s="140"/>
      <c r="K141" s="129"/>
      <c r="L141" s="129"/>
      <c r="M141" s="129"/>
      <c r="N141" s="129"/>
      <c r="O141" s="140"/>
      <c r="P141" s="140"/>
      <c r="Q141" s="133"/>
      <c r="R141" s="140"/>
      <c r="S141" s="133"/>
      <c r="T141" s="133"/>
    </row>
    <row r="142">
      <c r="A142" s="141"/>
      <c r="B142" s="142"/>
      <c r="C142" s="133"/>
      <c r="D142" s="133"/>
      <c r="E142" s="140"/>
      <c r="F142" s="140"/>
      <c r="G142" s="140"/>
      <c r="H142" s="133"/>
      <c r="I142" s="133"/>
      <c r="J142" s="140"/>
      <c r="K142" s="129"/>
      <c r="L142" s="129"/>
      <c r="M142" s="129"/>
      <c r="N142" s="129"/>
      <c r="O142" s="140"/>
      <c r="P142" s="140"/>
      <c r="Q142" s="133"/>
      <c r="R142" s="140"/>
      <c r="S142" s="133"/>
      <c r="T142" s="133"/>
    </row>
    <row r="143">
      <c r="A143" s="141"/>
      <c r="B143" s="142"/>
      <c r="C143" s="133"/>
      <c r="D143" s="133"/>
      <c r="E143" s="140"/>
      <c r="F143" s="140"/>
      <c r="G143" s="140"/>
      <c r="H143" s="133"/>
      <c r="I143" s="133"/>
      <c r="J143" s="140"/>
      <c r="K143" s="129"/>
      <c r="L143" s="129"/>
      <c r="M143" s="129"/>
      <c r="N143" s="129"/>
      <c r="O143" s="140"/>
      <c r="P143" s="140"/>
      <c r="Q143" s="133"/>
      <c r="R143" s="140"/>
      <c r="S143" s="133"/>
      <c r="T143" s="133"/>
    </row>
    <row r="144">
      <c r="A144" s="141"/>
      <c r="B144" s="142"/>
      <c r="C144" s="133"/>
      <c r="D144" s="133"/>
      <c r="E144" s="140"/>
      <c r="F144" s="140"/>
      <c r="G144" s="140"/>
      <c r="H144" s="133"/>
      <c r="I144" s="133"/>
      <c r="J144" s="140"/>
      <c r="K144" s="129"/>
      <c r="L144" s="129"/>
      <c r="M144" s="129"/>
      <c r="N144" s="129"/>
      <c r="O144" s="140"/>
      <c r="P144" s="140"/>
      <c r="Q144" s="133"/>
      <c r="R144" s="140"/>
      <c r="S144" s="133"/>
      <c r="T144" s="133"/>
    </row>
    <row r="145">
      <c r="A145" s="141"/>
      <c r="B145" s="142"/>
      <c r="C145" s="133"/>
      <c r="D145" s="133"/>
      <c r="E145" s="140"/>
      <c r="F145" s="140"/>
      <c r="G145" s="140"/>
      <c r="H145" s="133"/>
      <c r="I145" s="133"/>
      <c r="J145" s="140"/>
      <c r="K145" s="129"/>
      <c r="L145" s="129"/>
      <c r="M145" s="129"/>
      <c r="N145" s="129"/>
      <c r="O145" s="140"/>
      <c r="P145" s="140"/>
      <c r="Q145" s="133"/>
      <c r="R145" s="140"/>
      <c r="S145" s="133"/>
      <c r="T145" s="133"/>
    </row>
    <row r="146">
      <c r="A146" s="141"/>
      <c r="B146" s="142"/>
      <c r="C146" s="133"/>
      <c r="D146" s="133"/>
      <c r="E146" s="140"/>
      <c r="F146" s="140"/>
      <c r="G146" s="140"/>
      <c r="H146" s="133"/>
      <c r="I146" s="133"/>
      <c r="J146" s="140"/>
      <c r="K146" s="129"/>
      <c r="L146" s="129"/>
      <c r="M146" s="129"/>
      <c r="N146" s="129"/>
      <c r="O146" s="140"/>
      <c r="P146" s="140"/>
      <c r="Q146" s="133"/>
      <c r="R146" s="140"/>
      <c r="S146" s="133"/>
      <c r="T146" s="133"/>
    </row>
    <row r="147">
      <c r="A147" s="141"/>
      <c r="B147" s="142"/>
      <c r="C147" s="133"/>
      <c r="D147" s="133"/>
      <c r="E147" s="140"/>
      <c r="F147" s="140"/>
      <c r="G147" s="140"/>
      <c r="H147" s="133"/>
      <c r="I147" s="133"/>
      <c r="J147" s="140"/>
      <c r="K147" s="129"/>
      <c r="L147" s="129"/>
      <c r="M147" s="129"/>
      <c r="N147" s="129"/>
      <c r="O147" s="140"/>
      <c r="P147" s="140"/>
      <c r="Q147" s="133"/>
      <c r="R147" s="140"/>
      <c r="S147" s="133"/>
      <c r="T147" s="133"/>
    </row>
    <row r="148">
      <c r="A148" s="141"/>
      <c r="B148" s="142"/>
      <c r="C148" s="133"/>
      <c r="D148" s="133"/>
      <c r="E148" s="140"/>
      <c r="F148" s="140"/>
      <c r="G148" s="140"/>
      <c r="H148" s="133"/>
      <c r="I148" s="133"/>
      <c r="J148" s="140"/>
      <c r="K148" s="129"/>
      <c r="L148" s="129"/>
      <c r="M148" s="129"/>
      <c r="N148" s="129"/>
      <c r="O148" s="140"/>
      <c r="P148" s="140"/>
      <c r="Q148" s="133"/>
      <c r="R148" s="140"/>
      <c r="S148" s="133"/>
      <c r="T148" s="133"/>
    </row>
    <row r="149">
      <c r="A149" s="141"/>
      <c r="B149" s="142"/>
      <c r="C149" s="133"/>
      <c r="D149" s="133"/>
      <c r="E149" s="140"/>
      <c r="F149" s="140"/>
      <c r="G149" s="140"/>
      <c r="H149" s="133"/>
      <c r="I149" s="133"/>
      <c r="J149" s="140"/>
      <c r="K149" s="129"/>
      <c r="L149" s="129"/>
      <c r="M149" s="129"/>
      <c r="N149" s="129"/>
      <c r="O149" s="140"/>
      <c r="P149" s="140"/>
      <c r="Q149" s="133"/>
      <c r="R149" s="140"/>
      <c r="S149" s="133"/>
      <c r="T149" s="133"/>
    </row>
    <row r="150">
      <c r="A150" s="141"/>
      <c r="B150" s="142"/>
      <c r="C150" s="133"/>
      <c r="D150" s="133"/>
      <c r="E150" s="140"/>
      <c r="F150" s="140"/>
      <c r="G150" s="140"/>
      <c r="H150" s="133"/>
      <c r="I150" s="133"/>
      <c r="J150" s="140"/>
      <c r="K150" s="129"/>
      <c r="L150" s="129"/>
      <c r="M150" s="129"/>
      <c r="N150" s="129"/>
      <c r="O150" s="140"/>
      <c r="P150" s="140"/>
      <c r="Q150" s="133"/>
      <c r="R150" s="140"/>
      <c r="S150" s="133"/>
      <c r="T150" s="133"/>
    </row>
    <row r="151">
      <c r="A151" s="141"/>
      <c r="B151" s="142"/>
      <c r="C151" s="133"/>
      <c r="D151" s="133"/>
      <c r="E151" s="140"/>
      <c r="F151" s="140"/>
      <c r="G151" s="140"/>
      <c r="H151" s="133"/>
      <c r="I151" s="133"/>
      <c r="J151" s="140"/>
      <c r="K151" s="129"/>
      <c r="L151" s="129"/>
      <c r="M151" s="129"/>
      <c r="N151" s="129"/>
      <c r="O151" s="140"/>
      <c r="P151" s="140"/>
      <c r="Q151" s="133"/>
      <c r="R151" s="140"/>
      <c r="S151" s="133"/>
      <c r="T151" s="133"/>
    </row>
    <row r="152">
      <c r="A152" s="141"/>
      <c r="B152" s="142"/>
      <c r="C152" s="133"/>
      <c r="D152" s="133"/>
      <c r="E152" s="140"/>
      <c r="F152" s="140"/>
      <c r="G152" s="140"/>
      <c r="H152" s="133"/>
      <c r="I152" s="133"/>
      <c r="J152" s="140"/>
      <c r="K152" s="129"/>
      <c r="L152" s="129"/>
      <c r="M152" s="129"/>
      <c r="N152" s="129"/>
      <c r="O152" s="140"/>
      <c r="P152" s="140"/>
      <c r="Q152" s="133"/>
      <c r="R152" s="140"/>
      <c r="S152" s="133"/>
      <c r="T152" s="133"/>
    </row>
    <row r="153">
      <c r="A153" s="141"/>
      <c r="B153" s="142"/>
      <c r="C153" s="133"/>
      <c r="D153" s="133"/>
      <c r="E153" s="140"/>
      <c r="F153" s="140"/>
      <c r="G153" s="140"/>
      <c r="H153" s="133"/>
      <c r="I153" s="133"/>
      <c r="J153" s="140"/>
      <c r="K153" s="129"/>
      <c r="L153" s="129"/>
      <c r="M153" s="129"/>
      <c r="N153" s="129"/>
      <c r="O153" s="140"/>
      <c r="P153" s="140"/>
      <c r="Q153" s="133"/>
      <c r="R153" s="140"/>
      <c r="S153" s="133"/>
      <c r="T153" s="133"/>
    </row>
    <row r="154">
      <c r="A154" s="141"/>
      <c r="B154" s="142"/>
      <c r="C154" s="133"/>
      <c r="D154" s="133"/>
      <c r="E154" s="140"/>
      <c r="F154" s="140"/>
      <c r="G154" s="140"/>
      <c r="H154" s="133"/>
      <c r="I154" s="133"/>
      <c r="J154" s="140"/>
      <c r="K154" s="129"/>
      <c r="L154" s="129"/>
      <c r="M154" s="129"/>
      <c r="N154" s="129"/>
      <c r="O154" s="140"/>
      <c r="P154" s="140"/>
      <c r="Q154" s="133"/>
      <c r="R154" s="140"/>
      <c r="S154" s="133"/>
      <c r="T154" s="133"/>
    </row>
    <row r="155">
      <c r="A155" s="141"/>
      <c r="B155" s="142"/>
      <c r="C155" s="133"/>
      <c r="D155" s="133"/>
      <c r="E155" s="140"/>
      <c r="F155" s="140"/>
      <c r="G155" s="140"/>
      <c r="H155" s="133"/>
      <c r="I155" s="133"/>
      <c r="J155" s="140"/>
      <c r="K155" s="129"/>
      <c r="L155" s="129"/>
      <c r="M155" s="129"/>
      <c r="N155" s="129"/>
      <c r="O155" s="140"/>
      <c r="P155" s="140"/>
      <c r="Q155" s="133"/>
      <c r="R155" s="140"/>
      <c r="S155" s="133"/>
      <c r="T155" s="133"/>
    </row>
    <row r="156">
      <c r="A156" s="141"/>
      <c r="B156" s="142"/>
      <c r="C156" s="133"/>
      <c r="D156" s="133"/>
      <c r="E156" s="140"/>
      <c r="F156" s="140"/>
      <c r="G156" s="140"/>
      <c r="H156" s="133"/>
      <c r="I156" s="133"/>
      <c r="J156" s="140"/>
      <c r="K156" s="129"/>
      <c r="L156" s="129"/>
      <c r="M156" s="129"/>
      <c r="N156" s="129"/>
      <c r="O156" s="140"/>
      <c r="P156" s="140"/>
      <c r="Q156" s="133"/>
      <c r="R156" s="140"/>
      <c r="S156" s="133"/>
      <c r="T156" s="133"/>
    </row>
    <row r="157">
      <c r="A157" s="141"/>
      <c r="B157" s="142"/>
      <c r="C157" s="133"/>
      <c r="D157" s="133"/>
      <c r="E157" s="140"/>
      <c r="F157" s="140"/>
      <c r="G157" s="140"/>
      <c r="H157" s="133"/>
      <c r="I157" s="133"/>
      <c r="J157" s="140"/>
      <c r="K157" s="129"/>
      <c r="L157" s="129"/>
      <c r="M157" s="129"/>
      <c r="N157" s="129"/>
      <c r="O157" s="140"/>
      <c r="P157" s="140"/>
      <c r="Q157" s="133"/>
      <c r="R157" s="140"/>
      <c r="S157" s="133"/>
      <c r="T157" s="133"/>
    </row>
    <row r="158">
      <c r="A158" s="141"/>
      <c r="B158" s="142"/>
      <c r="C158" s="133"/>
      <c r="D158" s="133"/>
      <c r="E158" s="140"/>
      <c r="F158" s="140"/>
      <c r="G158" s="140"/>
      <c r="H158" s="133"/>
      <c r="I158" s="133"/>
      <c r="J158" s="140"/>
      <c r="K158" s="129"/>
      <c r="L158" s="129"/>
      <c r="M158" s="129"/>
      <c r="N158" s="129"/>
      <c r="O158" s="140"/>
      <c r="P158" s="140"/>
      <c r="Q158" s="133"/>
      <c r="R158" s="140"/>
      <c r="S158" s="133"/>
      <c r="T158" s="133"/>
    </row>
    <row r="159">
      <c r="A159" s="141"/>
      <c r="B159" s="142"/>
      <c r="C159" s="133"/>
      <c r="D159" s="133"/>
      <c r="E159" s="140"/>
      <c r="F159" s="140"/>
      <c r="G159" s="140"/>
      <c r="H159" s="133"/>
      <c r="I159" s="133"/>
      <c r="J159" s="140"/>
      <c r="K159" s="129"/>
      <c r="L159" s="129"/>
      <c r="M159" s="129"/>
      <c r="N159" s="129"/>
      <c r="O159" s="140"/>
      <c r="P159" s="140"/>
      <c r="Q159" s="133"/>
      <c r="R159" s="140"/>
      <c r="S159" s="133"/>
      <c r="T159" s="133"/>
    </row>
    <row r="160">
      <c r="A160" s="141"/>
      <c r="B160" s="142"/>
      <c r="C160" s="133"/>
      <c r="D160" s="133"/>
      <c r="E160" s="140"/>
      <c r="F160" s="140"/>
      <c r="G160" s="140"/>
      <c r="H160" s="133"/>
      <c r="I160" s="133"/>
      <c r="J160" s="140"/>
      <c r="K160" s="129"/>
      <c r="L160" s="129"/>
      <c r="M160" s="129"/>
      <c r="N160" s="129"/>
      <c r="O160" s="140"/>
      <c r="P160" s="140"/>
      <c r="Q160" s="133"/>
      <c r="R160" s="140"/>
      <c r="S160" s="133"/>
      <c r="T160" s="133"/>
    </row>
    <row r="161">
      <c r="A161" s="141"/>
      <c r="B161" s="142"/>
      <c r="C161" s="133"/>
      <c r="D161" s="133"/>
      <c r="E161" s="140"/>
      <c r="F161" s="140"/>
      <c r="G161" s="140"/>
      <c r="H161" s="133"/>
      <c r="I161" s="133"/>
      <c r="J161" s="140"/>
      <c r="K161" s="129"/>
      <c r="L161" s="129"/>
      <c r="M161" s="129"/>
      <c r="N161" s="129"/>
      <c r="O161" s="140"/>
      <c r="P161" s="140"/>
      <c r="Q161" s="133"/>
      <c r="R161" s="140"/>
      <c r="S161" s="133"/>
      <c r="T161" s="133"/>
    </row>
    <row r="162">
      <c r="A162" s="141"/>
      <c r="B162" s="142"/>
      <c r="C162" s="133"/>
      <c r="D162" s="133"/>
      <c r="E162" s="140"/>
      <c r="F162" s="140"/>
      <c r="G162" s="140"/>
      <c r="H162" s="133"/>
      <c r="I162" s="133"/>
      <c r="J162" s="140"/>
      <c r="K162" s="129"/>
      <c r="L162" s="129"/>
      <c r="M162" s="129"/>
      <c r="N162" s="129"/>
      <c r="O162" s="140"/>
      <c r="P162" s="140"/>
      <c r="Q162" s="133"/>
      <c r="R162" s="140"/>
      <c r="S162" s="133"/>
      <c r="T162" s="133"/>
    </row>
    <row r="163">
      <c r="A163" s="141"/>
      <c r="B163" s="142"/>
      <c r="C163" s="133"/>
      <c r="D163" s="133"/>
      <c r="E163" s="140"/>
      <c r="F163" s="140"/>
      <c r="G163" s="140"/>
      <c r="H163" s="133"/>
      <c r="I163" s="133"/>
      <c r="J163" s="140"/>
      <c r="K163" s="129"/>
      <c r="L163" s="129"/>
      <c r="M163" s="129"/>
      <c r="N163" s="129"/>
      <c r="O163" s="140"/>
      <c r="P163" s="140"/>
      <c r="Q163" s="133"/>
      <c r="R163" s="140"/>
      <c r="S163" s="133"/>
      <c r="T163" s="133"/>
    </row>
    <row r="164">
      <c r="A164" s="141"/>
      <c r="B164" s="142"/>
      <c r="C164" s="133"/>
      <c r="D164" s="133"/>
      <c r="E164" s="140"/>
      <c r="F164" s="140"/>
      <c r="G164" s="140"/>
      <c r="H164" s="133"/>
      <c r="I164" s="133"/>
      <c r="J164" s="140"/>
      <c r="K164" s="129"/>
      <c r="L164" s="129"/>
      <c r="M164" s="129"/>
      <c r="N164" s="129"/>
      <c r="O164" s="140"/>
      <c r="P164" s="140"/>
      <c r="Q164" s="133"/>
      <c r="R164" s="140"/>
      <c r="S164" s="133"/>
      <c r="T164" s="133"/>
    </row>
    <row r="165">
      <c r="A165" s="141"/>
      <c r="B165" s="142"/>
      <c r="C165" s="133"/>
      <c r="D165" s="133"/>
      <c r="E165" s="140"/>
      <c r="F165" s="140"/>
      <c r="G165" s="140"/>
      <c r="H165" s="133"/>
      <c r="I165" s="133"/>
      <c r="J165" s="140"/>
      <c r="K165" s="129"/>
      <c r="L165" s="129"/>
      <c r="M165" s="129"/>
      <c r="N165" s="129"/>
      <c r="O165" s="140"/>
      <c r="P165" s="140"/>
      <c r="Q165" s="133"/>
      <c r="R165" s="140"/>
      <c r="S165" s="133"/>
      <c r="T165" s="133"/>
    </row>
    <row r="166">
      <c r="A166" s="141"/>
      <c r="B166" s="142"/>
      <c r="C166" s="133"/>
      <c r="D166" s="133"/>
      <c r="E166" s="140"/>
      <c r="F166" s="140"/>
      <c r="G166" s="140"/>
      <c r="H166" s="133"/>
      <c r="I166" s="133"/>
      <c r="J166" s="140"/>
      <c r="K166" s="129"/>
      <c r="L166" s="129"/>
      <c r="M166" s="129"/>
      <c r="N166" s="129"/>
      <c r="O166" s="140"/>
      <c r="P166" s="140"/>
      <c r="Q166" s="133"/>
      <c r="R166" s="140"/>
      <c r="S166" s="133"/>
      <c r="T166" s="133"/>
    </row>
    <row r="167">
      <c r="A167" s="141"/>
      <c r="B167" s="142"/>
      <c r="C167" s="133"/>
      <c r="D167" s="133"/>
      <c r="E167" s="140"/>
      <c r="F167" s="140"/>
      <c r="G167" s="140"/>
      <c r="H167" s="133"/>
      <c r="I167" s="133"/>
      <c r="J167" s="140"/>
      <c r="K167" s="129"/>
      <c r="L167" s="129"/>
      <c r="M167" s="129"/>
      <c r="N167" s="129"/>
      <c r="O167" s="140"/>
      <c r="P167" s="140"/>
      <c r="Q167" s="133"/>
      <c r="R167" s="140"/>
      <c r="S167" s="133"/>
      <c r="T167" s="133"/>
    </row>
    <row r="168">
      <c r="A168" s="141"/>
      <c r="B168" s="142"/>
      <c r="C168" s="133"/>
      <c r="D168" s="133"/>
      <c r="E168" s="140"/>
      <c r="F168" s="140"/>
      <c r="G168" s="140"/>
      <c r="H168" s="133"/>
      <c r="I168" s="133"/>
      <c r="J168" s="140"/>
      <c r="K168" s="129"/>
      <c r="L168" s="129"/>
      <c r="M168" s="129"/>
      <c r="N168" s="129"/>
      <c r="O168" s="140"/>
      <c r="P168" s="140"/>
      <c r="Q168" s="133"/>
      <c r="R168" s="140"/>
      <c r="S168" s="133"/>
      <c r="T168" s="133"/>
    </row>
    <row r="169">
      <c r="A169" s="141"/>
      <c r="B169" s="142"/>
      <c r="C169" s="133"/>
      <c r="D169" s="133"/>
      <c r="E169" s="140"/>
      <c r="F169" s="140"/>
      <c r="G169" s="140"/>
      <c r="H169" s="133"/>
      <c r="I169" s="133"/>
      <c r="J169" s="140"/>
      <c r="K169" s="129"/>
      <c r="L169" s="129"/>
      <c r="M169" s="129"/>
      <c r="N169" s="129"/>
      <c r="O169" s="140"/>
      <c r="P169" s="140"/>
      <c r="Q169" s="133"/>
      <c r="R169" s="140"/>
      <c r="S169" s="133"/>
      <c r="T169" s="133"/>
    </row>
    <row r="170">
      <c r="A170" s="141"/>
      <c r="B170" s="142"/>
      <c r="C170" s="133"/>
      <c r="D170" s="133"/>
      <c r="E170" s="140"/>
      <c r="F170" s="140"/>
      <c r="G170" s="140"/>
      <c r="H170" s="133"/>
      <c r="I170" s="133"/>
      <c r="J170" s="140"/>
      <c r="K170" s="129"/>
      <c r="L170" s="129"/>
      <c r="M170" s="129"/>
      <c r="N170" s="129"/>
      <c r="O170" s="140"/>
      <c r="P170" s="140"/>
      <c r="Q170" s="133"/>
      <c r="R170" s="140"/>
      <c r="S170" s="133"/>
      <c r="T170" s="133"/>
    </row>
    <row r="171">
      <c r="A171" s="141"/>
      <c r="B171" s="142"/>
      <c r="C171" s="133"/>
      <c r="D171" s="133"/>
      <c r="E171" s="140"/>
      <c r="F171" s="140"/>
      <c r="G171" s="140"/>
      <c r="H171" s="133"/>
      <c r="I171" s="133"/>
      <c r="J171" s="140"/>
      <c r="K171" s="129"/>
      <c r="L171" s="129"/>
      <c r="M171" s="129"/>
      <c r="N171" s="129"/>
      <c r="O171" s="140"/>
      <c r="P171" s="140"/>
      <c r="Q171" s="133"/>
      <c r="R171" s="140"/>
      <c r="S171" s="133"/>
      <c r="T171" s="133"/>
    </row>
    <row r="172">
      <c r="A172" s="141"/>
      <c r="B172" s="142"/>
      <c r="C172" s="133"/>
      <c r="D172" s="133"/>
      <c r="E172" s="140"/>
      <c r="F172" s="140"/>
      <c r="G172" s="140"/>
      <c r="H172" s="133"/>
      <c r="I172" s="133"/>
      <c r="J172" s="140"/>
      <c r="K172" s="129"/>
      <c r="L172" s="129"/>
      <c r="M172" s="129"/>
      <c r="N172" s="129"/>
      <c r="O172" s="140"/>
      <c r="P172" s="140"/>
      <c r="Q172" s="133"/>
      <c r="R172" s="140"/>
      <c r="S172" s="133"/>
      <c r="T172" s="133"/>
    </row>
    <row r="173">
      <c r="A173" s="141"/>
      <c r="B173" s="142"/>
      <c r="C173" s="133"/>
      <c r="D173" s="133"/>
      <c r="E173" s="140"/>
      <c r="F173" s="140"/>
      <c r="G173" s="140"/>
      <c r="H173" s="133"/>
      <c r="I173" s="133"/>
      <c r="J173" s="140"/>
      <c r="K173" s="129"/>
      <c r="L173" s="129"/>
      <c r="M173" s="129"/>
      <c r="N173" s="129"/>
      <c r="O173" s="140"/>
      <c r="P173" s="140"/>
      <c r="Q173" s="133"/>
      <c r="R173" s="140"/>
      <c r="S173" s="133"/>
      <c r="T173" s="133"/>
    </row>
    <row r="174">
      <c r="A174" s="141"/>
      <c r="B174" s="142"/>
      <c r="C174" s="133"/>
      <c r="D174" s="133"/>
      <c r="E174" s="140"/>
      <c r="F174" s="140"/>
      <c r="G174" s="140"/>
      <c r="H174" s="133"/>
      <c r="I174" s="133"/>
      <c r="J174" s="140"/>
      <c r="K174" s="129"/>
      <c r="L174" s="129"/>
      <c r="M174" s="129"/>
      <c r="N174" s="129"/>
      <c r="O174" s="140"/>
      <c r="P174" s="140"/>
      <c r="Q174" s="133"/>
      <c r="R174" s="140"/>
      <c r="S174" s="133"/>
      <c r="T174" s="133"/>
    </row>
    <row r="175">
      <c r="A175" s="141"/>
      <c r="B175" s="142"/>
      <c r="C175" s="133"/>
      <c r="D175" s="133"/>
      <c r="E175" s="140"/>
      <c r="F175" s="140"/>
      <c r="G175" s="140"/>
      <c r="H175" s="133"/>
      <c r="I175" s="133"/>
      <c r="J175" s="140"/>
      <c r="K175" s="129"/>
      <c r="L175" s="129"/>
      <c r="M175" s="129"/>
      <c r="N175" s="129"/>
      <c r="O175" s="140"/>
      <c r="P175" s="140"/>
      <c r="Q175" s="133"/>
      <c r="R175" s="140"/>
      <c r="S175" s="133"/>
      <c r="T175" s="133"/>
    </row>
    <row r="176">
      <c r="A176" s="141"/>
      <c r="B176" s="142"/>
      <c r="C176" s="133"/>
      <c r="D176" s="133"/>
      <c r="E176" s="140"/>
      <c r="F176" s="140"/>
      <c r="G176" s="140"/>
      <c r="H176" s="133"/>
      <c r="I176" s="133"/>
      <c r="J176" s="140"/>
      <c r="K176" s="129"/>
      <c r="L176" s="129"/>
      <c r="M176" s="129"/>
      <c r="N176" s="129"/>
      <c r="O176" s="140"/>
      <c r="P176" s="140"/>
      <c r="Q176" s="133"/>
      <c r="R176" s="140"/>
      <c r="S176" s="133"/>
      <c r="T176" s="133"/>
    </row>
    <row r="177">
      <c r="A177" s="141"/>
      <c r="B177" s="142"/>
      <c r="C177" s="133"/>
      <c r="D177" s="133"/>
      <c r="E177" s="140"/>
      <c r="F177" s="140"/>
      <c r="G177" s="140"/>
      <c r="H177" s="133"/>
      <c r="I177" s="133"/>
      <c r="J177" s="140"/>
      <c r="K177" s="129"/>
      <c r="L177" s="129"/>
      <c r="M177" s="129"/>
      <c r="N177" s="129"/>
      <c r="O177" s="140"/>
      <c r="P177" s="140"/>
      <c r="Q177" s="133"/>
      <c r="R177" s="140"/>
      <c r="S177" s="133"/>
      <c r="T177" s="133"/>
    </row>
    <row r="178">
      <c r="A178" s="141"/>
      <c r="B178" s="142"/>
      <c r="C178" s="133"/>
      <c r="D178" s="133"/>
      <c r="E178" s="140"/>
      <c r="F178" s="140"/>
      <c r="G178" s="140"/>
      <c r="H178" s="133"/>
      <c r="I178" s="133"/>
      <c r="J178" s="140"/>
      <c r="K178" s="129"/>
      <c r="L178" s="129"/>
      <c r="M178" s="129"/>
      <c r="N178" s="129"/>
      <c r="O178" s="140"/>
      <c r="P178" s="140"/>
      <c r="Q178" s="133"/>
      <c r="R178" s="140"/>
      <c r="S178" s="133"/>
      <c r="T178" s="133"/>
    </row>
    <row r="179">
      <c r="A179" s="141"/>
      <c r="B179" s="142"/>
      <c r="C179" s="133"/>
      <c r="D179" s="133"/>
      <c r="E179" s="140"/>
      <c r="F179" s="140"/>
      <c r="G179" s="140"/>
      <c r="H179" s="133"/>
      <c r="I179" s="133"/>
      <c r="J179" s="140"/>
      <c r="K179" s="129"/>
      <c r="L179" s="129"/>
      <c r="M179" s="129"/>
      <c r="N179" s="129"/>
      <c r="O179" s="140"/>
      <c r="P179" s="140"/>
      <c r="Q179" s="133"/>
      <c r="R179" s="140"/>
      <c r="S179" s="133"/>
      <c r="T179" s="133"/>
    </row>
    <row r="180">
      <c r="A180" s="141"/>
      <c r="B180" s="142"/>
      <c r="C180" s="133"/>
      <c r="D180" s="133"/>
      <c r="E180" s="140"/>
      <c r="F180" s="140"/>
      <c r="G180" s="140"/>
      <c r="H180" s="133"/>
      <c r="I180" s="133"/>
      <c r="J180" s="140"/>
      <c r="K180" s="129"/>
      <c r="L180" s="129"/>
      <c r="M180" s="129"/>
      <c r="N180" s="129"/>
      <c r="O180" s="140"/>
      <c r="P180" s="140"/>
      <c r="Q180" s="133"/>
      <c r="R180" s="140"/>
      <c r="S180" s="133"/>
      <c r="T180" s="133"/>
    </row>
    <row r="181">
      <c r="A181" s="141"/>
      <c r="B181" s="142"/>
      <c r="C181" s="133"/>
      <c r="D181" s="133"/>
      <c r="E181" s="140"/>
      <c r="F181" s="140"/>
      <c r="G181" s="140"/>
      <c r="H181" s="133"/>
      <c r="I181" s="133"/>
      <c r="J181" s="140"/>
      <c r="K181" s="129"/>
      <c r="L181" s="129"/>
      <c r="M181" s="129"/>
      <c r="N181" s="129"/>
      <c r="O181" s="140"/>
      <c r="P181" s="140"/>
      <c r="Q181" s="133"/>
      <c r="R181" s="140"/>
      <c r="S181" s="133"/>
      <c r="T181" s="133"/>
    </row>
    <row r="182">
      <c r="A182" s="141"/>
      <c r="B182" s="142"/>
      <c r="C182" s="133"/>
      <c r="D182" s="133"/>
      <c r="E182" s="140"/>
      <c r="F182" s="140"/>
      <c r="G182" s="140"/>
      <c r="H182" s="133"/>
      <c r="I182" s="133"/>
      <c r="J182" s="140"/>
      <c r="K182" s="129"/>
      <c r="L182" s="129"/>
      <c r="M182" s="129"/>
      <c r="N182" s="129"/>
      <c r="O182" s="140"/>
      <c r="P182" s="140"/>
      <c r="Q182" s="133"/>
      <c r="R182" s="140"/>
      <c r="S182" s="133"/>
      <c r="T182" s="133"/>
    </row>
    <row r="183">
      <c r="A183" s="141"/>
      <c r="B183" s="142"/>
      <c r="C183" s="133"/>
      <c r="D183" s="133"/>
      <c r="E183" s="140"/>
      <c r="F183" s="140"/>
      <c r="G183" s="140"/>
      <c r="H183" s="133"/>
      <c r="I183" s="133"/>
      <c r="J183" s="140"/>
      <c r="K183" s="129"/>
      <c r="L183" s="129"/>
      <c r="M183" s="129"/>
      <c r="N183" s="129"/>
      <c r="O183" s="140"/>
      <c r="P183" s="140"/>
      <c r="Q183" s="133"/>
      <c r="R183" s="140"/>
      <c r="S183" s="133"/>
      <c r="T183" s="133"/>
    </row>
    <row r="184">
      <c r="A184" s="141"/>
      <c r="B184" s="142"/>
      <c r="C184" s="133"/>
      <c r="D184" s="133"/>
      <c r="E184" s="140"/>
      <c r="F184" s="140"/>
      <c r="G184" s="140"/>
      <c r="H184" s="133"/>
      <c r="I184" s="133"/>
      <c r="J184" s="140"/>
      <c r="K184" s="129"/>
      <c r="L184" s="129"/>
      <c r="M184" s="129"/>
      <c r="N184" s="129"/>
      <c r="O184" s="140"/>
      <c r="P184" s="140"/>
      <c r="Q184" s="133"/>
      <c r="R184" s="140"/>
      <c r="S184" s="133"/>
      <c r="T184" s="133"/>
    </row>
    <row r="185">
      <c r="A185" s="141"/>
      <c r="B185" s="142"/>
      <c r="C185" s="133"/>
      <c r="D185" s="133"/>
      <c r="E185" s="140"/>
      <c r="F185" s="140"/>
      <c r="G185" s="140"/>
      <c r="H185" s="133"/>
      <c r="I185" s="133"/>
      <c r="J185" s="140"/>
      <c r="K185" s="129"/>
      <c r="L185" s="129"/>
      <c r="M185" s="129"/>
      <c r="N185" s="129"/>
      <c r="O185" s="140"/>
      <c r="P185" s="140"/>
      <c r="Q185" s="133"/>
      <c r="R185" s="140"/>
      <c r="S185" s="133"/>
      <c r="T185" s="133"/>
    </row>
    <row r="186">
      <c r="A186" s="141"/>
      <c r="B186" s="142"/>
      <c r="C186" s="133"/>
      <c r="D186" s="133"/>
      <c r="E186" s="140"/>
      <c r="F186" s="140"/>
      <c r="G186" s="140"/>
      <c r="H186" s="133"/>
      <c r="I186" s="133"/>
      <c r="J186" s="140"/>
      <c r="K186" s="129"/>
      <c r="L186" s="129"/>
      <c r="M186" s="129"/>
      <c r="N186" s="129"/>
      <c r="O186" s="140"/>
      <c r="P186" s="140"/>
      <c r="Q186" s="133"/>
      <c r="R186" s="140"/>
      <c r="S186" s="133"/>
      <c r="T186" s="133"/>
    </row>
    <row r="187">
      <c r="A187" s="141"/>
      <c r="B187" s="142"/>
      <c r="C187" s="133"/>
      <c r="D187" s="133"/>
      <c r="E187" s="140"/>
      <c r="F187" s="140"/>
      <c r="G187" s="140"/>
      <c r="H187" s="133"/>
      <c r="I187" s="133"/>
      <c r="J187" s="140"/>
      <c r="K187" s="129"/>
      <c r="L187" s="129"/>
      <c r="M187" s="129"/>
      <c r="N187" s="129"/>
      <c r="O187" s="140"/>
      <c r="P187" s="140"/>
      <c r="Q187" s="133"/>
      <c r="R187" s="140"/>
      <c r="S187" s="133"/>
      <c r="T187" s="133"/>
    </row>
    <row r="188">
      <c r="A188" s="141"/>
      <c r="B188" s="142"/>
      <c r="C188" s="133"/>
      <c r="D188" s="133"/>
      <c r="E188" s="140"/>
      <c r="F188" s="140"/>
      <c r="G188" s="140"/>
      <c r="H188" s="133"/>
      <c r="I188" s="133"/>
      <c r="J188" s="140"/>
      <c r="K188" s="129"/>
      <c r="L188" s="129"/>
      <c r="M188" s="129"/>
      <c r="N188" s="129"/>
      <c r="O188" s="140"/>
      <c r="P188" s="140"/>
      <c r="Q188" s="133"/>
      <c r="R188" s="140"/>
      <c r="S188" s="133"/>
      <c r="T188" s="133"/>
    </row>
    <row r="189">
      <c r="A189" s="141"/>
      <c r="B189" s="142"/>
      <c r="C189" s="133"/>
      <c r="D189" s="133"/>
      <c r="E189" s="140"/>
      <c r="F189" s="140"/>
      <c r="G189" s="140"/>
      <c r="H189" s="133"/>
      <c r="I189" s="133"/>
      <c r="J189" s="140"/>
      <c r="K189" s="129"/>
      <c r="L189" s="129"/>
      <c r="M189" s="129"/>
      <c r="N189" s="129"/>
      <c r="O189" s="140"/>
      <c r="P189" s="140"/>
      <c r="Q189" s="133"/>
      <c r="R189" s="140"/>
      <c r="S189" s="133"/>
      <c r="T189" s="133"/>
    </row>
    <row r="190">
      <c r="A190" s="141"/>
      <c r="B190" s="142"/>
      <c r="C190" s="133"/>
      <c r="D190" s="133"/>
      <c r="E190" s="140"/>
      <c r="F190" s="140"/>
      <c r="G190" s="140"/>
      <c r="H190" s="133"/>
      <c r="I190" s="133"/>
      <c r="J190" s="140"/>
      <c r="K190" s="129"/>
      <c r="L190" s="129"/>
      <c r="M190" s="129"/>
      <c r="N190" s="129"/>
      <c r="O190" s="140"/>
      <c r="P190" s="140"/>
      <c r="Q190" s="133"/>
      <c r="R190" s="140"/>
      <c r="S190" s="133"/>
      <c r="T190" s="133"/>
    </row>
    <row r="191">
      <c r="A191" s="141"/>
      <c r="B191" s="142"/>
      <c r="C191" s="133"/>
      <c r="D191" s="133"/>
      <c r="E191" s="140"/>
      <c r="F191" s="140"/>
      <c r="G191" s="140"/>
      <c r="H191" s="133"/>
      <c r="I191" s="133"/>
      <c r="J191" s="140"/>
      <c r="K191" s="129"/>
      <c r="L191" s="129"/>
      <c r="M191" s="129"/>
      <c r="N191" s="129"/>
      <c r="O191" s="140"/>
      <c r="P191" s="140"/>
      <c r="Q191" s="133"/>
      <c r="R191" s="140"/>
      <c r="S191" s="133"/>
      <c r="T191" s="133"/>
    </row>
    <row r="192">
      <c r="A192" s="141"/>
      <c r="B192" s="142"/>
      <c r="C192" s="133"/>
      <c r="D192" s="133"/>
      <c r="E192" s="140"/>
      <c r="F192" s="140"/>
      <c r="G192" s="140"/>
      <c r="H192" s="133"/>
      <c r="I192" s="133"/>
      <c r="J192" s="140"/>
      <c r="K192" s="129"/>
      <c r="L192" s="129"/>
      <c r="M192" s="129"/>
      <c r="N192" s="129"/>
      <c r="O192" s="140"/>
      <c r="P192" s="140"/>
      <c r="Q192" s="133"/>
      <c r="R192" s="140"/>
      <c r="S192" s="133"/>
      <c r="T192" s="133"/>
    </row>
    <row r="193">
      <c r="A193" s="141"/>
      <c r="B193" s="142"/>
      <c r="C193" s="133"/>
      <c r="D193" s="133"/>
      <c r="E193" s="140"/>
      <c r="F193" s="140"/>
      <c r="G193" s="140"/>
      <c r="H193" s="133"/>
      <c r="I193" s="133"/>
      <c r="J193" s="140"/>
      <c r="K193" s="129"/>
      <c r="L193" s="129"/>
      <c r="M193" s="129"/>
      <c r="N193" s="129"/>
      <c r="O193" s="140"/>
      <c r="P193" s="140"/>
      <c r="Q193" s="133"/>
      <c r="R193" s="140"/>
      <c r="S193" s="133"/>
      <c r="T193" s="133"/>
    </row>
    <row r="194">
      <c r="A194" s="141"/>
      <c r="B194" s="142"/>
      <c r="C194" s="133"/>
      <c r="D194" s="133"/>
      <c r="E194" s="140"/>
      <c r="F194" s="140"/>
      <c r="G194" s="140"/>
      <c r="H194" s="133"/>
      <c r="I194" s="133"/>
      <c r="J194" s="140"/>
      <c r="K194" s="129"/>
      <c r="L194" s="129"/>
      <c r="M194" s="129"/>
      <c r="N194" s="129"/>
      <c r="O194" s="140"/>
      <c r="P194" s="140"/>
      <c r="Q194" s="133"/>
      <c r="R194" s="140"/>
      <c r="S194" s="133"/>
      <c r="T194" s="133"/>
    </row>
    <row r="195">
      <c r="A195" s="141"/>
      <c r="B195" s="142"/>
      <c r="C195" s="133"/>
      <c r="D195" s="133"/>
      <c r="E195" s="140"/>
      <c r="F195" s="140"/>
      <c r="G195" s="140"/>
      <c r="H195" s="133"/>
      <c r="I195" s="133"/>
      <c r="J195" s="140"/>
      <c r="K195" s="129"/>
      <c r="L195" s="129"/>
      <c r="M195" s="129"/>
      <c r="N195" s="129"/>
      <c r="O195" s="140"/>
      <c r="P195" s="140"/>
      <c r="Q195" s="133"/>
      <c r="R195" s="140"/>
      <c r="S195" s="133"/>
      <c r="T195" s="133"/>
    </row>
    <row r="196">
      <c r="A196" s="141"/>
      <c r="B196" s="142"/>
      <c r="C196" s="133"/>
      <c r="D196" s="133"/>
      <c r="E196" s="140"/>
      <c r="F196" s="140"/>
      <c r="G196" s="140"/>
      <c r="H196" s="133"/>
      <c r="I196" s="133"/>
      <c r="J196" s="140"/>
      <c r="K196" s="129"/>
      <c r="L196" s="129"/>
      <c r="M196" s="129"/>
      <c r="N196" s="129"/>
      <c r="O196" s="140"/>
      <c r="P196" s="140"/>
      <c r="Q196" s="133"/>
      <c r="R196" s="140"/>
      <c r="S196" s="133"/>
      <c r="T196" s="133"/>
    </row>
    <row r="197">
      <c r="A197" s="141"/>
      <c r="B197" s="142"/>
      <c r="C197" s="133"/>
      <c r="D197" s="133"/>
      <c r="E197" s="140"/>
      <c r="F197" s="140"/>
      <c r="G197" s="140"/>
      <c r="H197" s="133"/>
      <c r="I197" s="133"/>
      <c r="J197" s="140"/>
      <c r="K197" s="129"/>
      <c r="L197" s="129"/>
      <c r="M197" s="129"/>
      <c r="N197" s="129"/>
      <c r="O197" s="140"/>
      <c r="P197" s="140"/>
      <c r="Q197" s="133"/>
      <c r="R197" s="140"/>
      <c r="S197" s="133"/>
      <c r="T197" s="133"/>
    </row>
    <row r="198">
      <c r="A198" s="141"/>
      <c r="B198" s="142"/>
      <c r="C198" s="133"/>
      <c r="D198" s="133"/>
      <c r="E198" s="140"/>
      <c r="F198" s="140"/>
      <c r="G198" s="140"/>
      <c r="H198" s="133"/>
      <c r="I198" s="133"/>
      <c r="J198" s="140"/>
      <c r="K198" s="129"/>
      <c r="L198" s="129"/>
      <c r="M198" s="129"/>
      <c r="N198" s="129"/>
      <c r="O198" s="140"/>
      <c r="P198" s="140"/>
      <c r="Q198" s="133"/>
      <c r="R198" s="140"/>
      <c r="S198" s="133"/>
      <c r="T198" s="133"/>
    </row>
    <row r="199">
      <c r="A199" s="141"/>
      <c r="B199" s="142"/>
      <c r="C199" s="133"/>
      <c r="D199" s="133"/>
      <c r="E199" s="140"/>
      <c r="F199" s="140"/>
      <c r="G199" s="140"/>
      <c r="H199" s="133"/>
      <c r="I199" s="133"/>
      <c r="J199" s="140"/>
      <c r="K199" s="129"/>
      <c r="L199" s="129"/>
      <c r="M199" s="129"/>
      <c r="N199" s="129"/>
      <c r="O199" s="140"/>
      <c r="P199" s="140"/>
      <c r="Q199" s="133"/>
      <c r="R199" s="140"/>
      <c r="S199" s="133"/>
      <c r="T199" s="133"/>
    </row>
    <row r="200">
      <c r="A200" s="141"/>
      <c r="B200" s="142"/>
      <c r="C200" s="133"/>
      <c r="D200" s="133"/>
      <c r="E200" s="140"/>
      <c r="F200" s="140"/>
      <c r="G200" s="140"/>
      <c r="H200" s="133"/>
      <c r="I200" s="133"/>
      <c r="J200" s="140"/>
      <c r="K200" s="129"/>
      <c r="L200" s="129"/>
      <c r="M200" s="129"/>
      <c r="N200" s="129"/>
      <c r="O200" s="140"/>
      <c r="P200" s="140"/>
      <c r="Q200" s="133"/>
      <c r="R200" s="140"/>
      <c r="S200" s="133"/>
      <c r="T200" s="133"/>
    </row>
    <row r="201">
      <c r="A201" s="141"/>
      <c r="B201" s="142"/>
      <c r="C201" s="133"/>
      <c r="D201" s="133"/>
      <c r="E201" s="140"/>
      <c r="F201" s="140"/>
      <c r="G201" s="140"/>
      <c r="H201" s="133"/>
      <c r="I201" s="133"/>
      <c r="J201" s="140"/>
      <c r="K201" s="129"/>
      <c r="L201" s="129"/>
      <c r="M201" s="129"/>
      <c r="N201" s="129"/>
      <c r="O201" s="140"/>
      <c r="P201" s="140"/>
      <c r="Q201" s="133"/>
      <c r="R201" s="140"/>
      <c r="S201" s="133"/>
      <c r="T201" s="133"/>
    </row>
    <row r="202">
      <c r="A202" s="141"/>
      <c r="B202" s="142"/>
      <c r="C202" s="133"/>
      <c r="D202" s="133"/>
      <c r="E202" s="140"/>
      <c r="F202" s="140"/>
      <c r="G202" s="140"/>
      <c r="H202" s="133"/>
      <c r="I202" s="133"/>
      <c r="J202" s="140"/>
      <c r="K202" s="129"/>
      <c r="L202" s="129"/>
      <c r="M202" s="129"/>
      <c r="N202" s="129"/>
      <c r="O202" s="140"/>
      <c r="P202" s="140"/>
      <c r="Q202" s="133"/>
      <c r="R202" s="140"/>
      <c r="S202" s="133"/>
      <c r="T202" s="133"/>
    </row>
    <row r="203">
      <c r="A203" s="141"/>
      <c r="B203" s="142"/>
      <c r="C203" s="133"/>
      <c r="D203" s="133"/>
      <c r="E203" s="140"/>
      <c r="F203" s="140"/>
      <c r="G203" s="140"/>
      <c r="H203" s="133"/>
      <c r="I203" s="133"/>
      <c r="J203" s="140"/>
      <c r="K203" s="129"/>
      <c r="L203" s="129"/>
      <c r="M203" s="129"/>
      <c r="N203" s="129"/>
      <c r="O203" s="140"/>
      <c r="P203" s="140"/>
      <c r="Q203" s="133"/>
      <c r="R203" s="140"/>
      <c r="S203" s="133"/>
      <c r="T203" s="133"/>
    </row>
    <row r="204">
      <c r="A204" s="141"/>
      <c r="B204" s="142"/>
      <c r="C204" s="133"/>
      <c r="D204" s="133"/>
      <c r="E204" s="140"/>
      <c r="F204" s="140"/>
      <c r="G204" s="140"/>
      <c r="H204" s="133"/>
      <c r="I204" s="133"/>
      <c r="J204" s="140"/>
      <c r="K204" s="129"/>
      <c r="L204" s="129"/>
      <c r="M204" s="129"/>
      <c r="N204" s="129"/>
      <c r="O204" s="140"/>
      <c r="P204" s="140"/>
      <c r="Q204" s="133"/>
      <c r="R204" s="140"/>
      <c r="S204" s="133"/>
      <c r="T204" s="133"/>
    </row>
    <row r="205">
      <c r="A205" s="141"/>
      <c r="B205" s="142"/>
      <c r="C205" s="133"/>
      <c r="D205" s="133"/>
      <c r="E205" s="140"/>
      <c r="F205" s="140"/>
      <c r="G205" s="140"/>
      <c r="H205" s="133"/>
      <c r="I205" s="133"/>
      <c r="J205" s="140"/>
      <c r="K205" s="129"/>
      <c r="L205" s="129"/>
      <c r="M205" s="129"/>
      <c r="N205" s="129"/>
      <c r="O205" s="140"/>
      <c r="P205" s="140"/>
      <c r="Q205" s="133"/>
      <c r="R205" s="140"/>
      <c r="S205" s="133"/>
      <c r="T205" s="133"/>
    </row>
    <row r="206">
      <c r="A206" s="141"/>
      <c r="B206" s="142"/>
      <c r="C206" s="133"/>
      <c r="D206" s="133"/>
      <c r="E206" s="140"/>
      <c r="F206" s="140"/>
      <c r="G206" s="140"/>
      <c r="H206" s="133"/>
      <c r="I206" s="133"/>
      <c r="J206" s="140"/>
      <c r="K206" s="129"/>
      <c r="L206" s="129"/>
      <c r="M206" s="129"/>
      <c r="N206" s="129"/>
      <c r="O206" s="140"/>
      <c r="P206" s="140"/>
      <c r="Q206" s="133"/>
      <c r="R206" s="140"/>
      <c r="S206" s="133"/>
      <c r="T206" s="133"/>
    </row>
    <row r="207">
      <c r="A207" s="141"/>
      <c r="B207" s="142"/>
      <c r="C207" s="133"/>
      <c r="D207" s="133"/>
      <c r="E207" s="140"/>
      <c r="F207" s="140"/>
      <c r="G207" s="140"/>
      <c r="H207" s="133"/>
      <c r="I207" s="133"/>
      <c r="J207" s="140"/>
      <c r="K207" s="129"/>
      <c r="L207" s="129"/>
      <c r="M207" s="129"/>
      <c r="N207" s="129"/>
      <c r="O207" s="140"/>
      <c r="P207" s="140"/>
      <c r="Q207" s="133"/>
      <c r="R207" s="140"/>
      <c r="S207" s="133"/>
      <c r="T207" s="133"/>
    </row>
    <row r="208">
      <c r="A208" s="141"/>
      <c r="B208" s="142"/>
      <c r="C208" s="133"/>
      <c r="D208" s="133"/>
      <c r="E208" s="140"/>
      <c r="F208" s="140"/>
      <c r="G208" s="140"/>
      <c r="H208" s="133"/>
      <c r="I208" s="133"/>
      <c r="J208" s="140"/>
      <c r="K208" s="129"/>
      <c r="L208" s="129"/>
      <c r="M208" s="129"/>
      <c r="N208" s="129"/>
      <c r="O208" s="140"/>
      <c r="P208" s="140"/>
      <c r="Q208" s="133"/>
      <c r="R208" s="140"/>
      <c r="S208" s="133"/>
      <c r="T208" s="133"/>
    </row>
    <row r="209">
      <c r="A209" s="141"/>
      <c r="B209" s="142"/>
      <c r="C209" s="133"/>
      <c r="D209" s="133"/>
      <c r="E209" s="140"/>
      <c r="F209" s="140"/>
      <c r="G209" s="140"/>
      <c r="H209" s="133"/>
      <c r="I209" s="133"/>
      <c r="J209" s="140"/>
      <c r="K209" s="129"/>
      <c r="L209" s="129"/>
      <c r="M209" s="129"/>
      <c r="N209" s="129"/>
      <c r="O209" s="140"/>
      <c r="P209" s="140"/>
      <c r="Q209" s="133"/>
      <c r="R209" s="140"/>
      <c r="S209" s="133"/>
      <c r="T209" s="133"/>
    </row>
    <row r="210">
      <c r="A210" s="141"/>
      <c r="B210" s="142"/>
      <c r="C210" s="133"/>
      <c r="D210" s="133"/>
      <c r="E210" s="140"/>
      <c r="F210" s="140"/>
      <c r="G210" s="140"/>
      <c r="H210" s="133"/>
      <c r="I210" s="133"/>
      <c r="J210" s="140"/>
      <c r="K210" s="129"/>
      <c r="L210" s="129"/>
      <c r="M210" s="129"/>
      <c r="N210" s="129"/>
      <c r="O210" s="140"/>
      <c r="P210" s="140"/>
      <c r="Q210" s="133"/>
      <c r="R210" s="140"/>
      <c r="S210" s="133"/>
      <c r="T210" s="133"/>
    </row>
    <row r="211">
      <c r="A211" s="141"/>
      <c r="B211" s="142"/>
      <c r="C211" s="133"/>
      <c r="D211" s="133"/>
      <c r="E211" s="140"/>
      <c r="F211" s="140"/>
      <c r="G211" s="140"/>
      <c r="H211" s="133"/>
      <c r="I211" s="133"/>
      <c r="J211" s="140"/>
      <c r="K211" s="129"/>
      <c r="L211" s="129"/>
      <c r="M211" s="129"/>
      <c r="N211" s="129"/>
      <c r="O211" s="140"/>
      <c r="P211" s="140"/>
      <c r="Q211" s="133"/>
      <c r="R211" s="140"/>
      <c r="S211" s="133"/>
      <c r="T211" s="133"/>
    </row>
    <row r="212">
      <c r="A212" s="141"/>
      <c r="B212" s="142"/>
      <c r="C212" s="133"/>
      <c r="D212" s="133"/>
      <c r="E212" s="140"/>
      <c r="F212" s="140"/>
      <c r="G212" s="140"/>
      <c r="H212" s="133"/>
      <c r="I212" s="133"/>
      <c r="J212" s="140"/>
      <c r="K212" s="129"/>
      <c r="L212" s="129"/>
      <c r="M212" s="129"/>
      <c r="N212" s="129"/>
      <c r="O212" s="140"/>
      <c r="P212" s="140"/>
      <c r="Q212" s="133"/>
      <c r="R212" s="140"/>
      <c r="S212" s="133"/>
      <c r="T212" s="133"/>
    </row>
    <row r="213">
      <c r="A213" s="141"/>
      <c r="B213" s="142"/>
      <c r="C213" s="133"/>
      <c r="D213" s="133"/>
      <c r="E213" s="140"/>
      <c r="F213" s="140"/>
      <c r="G213" s="140"/>
      <c r="H213" s="133"/>
      <c r="I213" s="133"/>
      <c r="J213" s="140"/>
      <c r="K213" s="129"/>
      <c r="L213" s="129"/>
      <c r="M213" s="129"/>
      <c r="N213" s="129"/>
      <c r="O213" s="140"/>
      <c r="P213" s="140"/>
      <c r="Q213" s="133"/>
      <c r="R213" s="140"/>
      <c r="S213" s="133"/>
      <c r="T213" s="133"/>
    </row>
    <row r="214">
      <c r="A214" s="141"/>
      <c r="B214" s="142"/>
      <c r="C214" s="133"/>
      <c r="D214" s="133"/>
      <c r="E214" s="140"/>
      <c r="F214" s="140"/>
      <c r="G214" s="140"/>
      <c r="H214" s="133"/>
      <c r="I214" s="133"/>
      <c r="J214" s="140"/>
      <c r="K214" s="129"/>
      <c r="L214" s="129"/>
      <c r="M214" s="129"/>
      <c r="N214" s="129"/>
      <c r="O214" s="140"/>
      <c r="P214" s="140"/>
      <c r="Q214" s="133"/>
      <c r="R214" s="140"/>
      <c r="S214" s="133"/>
      <c r="T214" s="133"/>
    </row>
    <row r="215">
      <c r="A215" s="141"/>
      <c r="B215" s="142"/>
      <c r="C215" s="133"/>
      <c r="D215" s="133"/>
      <c r="E215" s="140"/>
      <c r="F215" s="140"/>
      <c r="G215" s="140"/>
      <c r="H215" s="133"/>
      <c r="I215" s="133"/>
      <c r="J215" s="140"/>
      <c r="K215" s="129"/>
      <c r="L215" s="129"/>
      <c r="M215" s="129"/>
      <c r="N215" s="129"/>
      <c r="O215" s="140"/>
      <c r="P215" s="140"/>
      <c r="Q215" s="133"/>
      <c r="R215" s="140"/>
      <c r="S215" s="133"/>
      <c r="T215" s="133"/>
    </row>
    <row r="216">
      <c r="A216" s="141"/>
      <c r="B216" s="142"/>
      <c r="C216" s="133"/>
      <c r="D216" s="133"/>
      <c r="E216" s="140"/>
      <c r="F216" s="140"/>
      <c r="G216" s="140"/>
      <c r="H216" s="133"/>
      <c r="I216" s="133"/>
      <c r="J216" s="140"/>
      <c r="K216" s="129"/>
      <c r="L216" s="129"/>
      <c r="M216" s="129"/>
      <c r="N216" s="129"/>
      <c r="O216" s="140"/>
      <c r="P216" s="140"/>
      <c r="Q216" s="133"/>
      <c r="R216" s="140"/>
      <c r="S216" s="133"/>
      <c r="T216" s="133"/>
    </row>
    <row r="217">
      <c r="A217" s="141"/>
      <c r="B217" s="142"/>
      <c r="C217" s="133"/>
      <c r="D217" s="133"/>
      <c r="E217" s="140"/>
      <c r="F217" s="140"/>
      <c r="G217" s="140"/>
      <c r="H217" s="133"/>
      <c r="I217" s="133"/>
      <c r="J217" s="140"/>
      <c r="K217" s="129"/>
      <c r="L217" s="129"/>
      <c r="M217" s="129"/>
      <c r="N217" s="129"/>
      <c r="O217" s="140"/>
      <c r="P217" s="140"/>
      <c r="Q217" s="133"/>
      <c r="R217" s="140"/>
      <c r="S217" s="133"/>
      <c r="T217" s="133"/>
    </row>
    <row r="218">
      <c r="A218" s="141"/>
      <c r="B218" s="142"/>
      <c r="C218" s="133"/>
      <c r="D218" s="133"/>
      <c r="E218" s="140"/>
      <c r="F218" s="140"/>
      <c r="G218" s="140"/>
      <c r="H218" s="133"/>
      <c r="I218" s="133"/>
      <c r="J218" s="140"/>
      <c r="K218" s="129"/>
      <c r="L218" s="129"/>
      <c r="M218" s="129"/>
      <c r="N218" s="129"/>
      <c r="O218" s="140"/>
      <c r="P218" s="140"/>
      <c r="Q218" s="133"/>
      <c r="R218" s="140"/>
      <c r="S218" s="133"/>
      <c r="T218" s="133"/>
    </row>
    <row r="219">
      <c r="A219" s="141"/>
      <c r="B219" s="142"/>
      <c r="C219" s="133"/>
      <c r="D219" s="133"/>
      <c r="E219" s="140"/>
      <c r="F219" s="140"/>
      <c r="G219" s="140"/>
      <c r="H219" s="133"/>
      <c r="I219" s="133"/>
      <c r="J219" s="140"/>
      <c r="K219" s="129"/>
      <c r="L219" s="129"/>
      <c r="M219" s="129"/>
      <c r="N219" s="129"/>
      <c r="O219" s="140"/>
      <c r="P219" s="140"/>
      <c r="Q219" s="133"/>
      <c r="R219" s="140"/>
      <c r="S219" s="133"/>
      <c r="T219" s="133"/>
    </row>
    <row r="220">
      <c r="A220" s="141"/>
      <c r="B220" s="142"/>
      <c r="C220" s="133"/>
      <c r="D220" s="133"/>
      <c r="E220" s="140"/>
      <c r="F220" s="140"/>
      <c r="G220" s="140"/>
      <c r="H220" s="133"/>
      <c r="I220" s="133"/>
      <c r="J220" s="140"/>
      <c r="K220" s="129"/>
      <c r="L220" s="129"/>
      <c r="M220" s="129"/>
      <c r="N220" s="129"/>
      <c r="O220" s="140"/>
      <c r="P220" s="140"/>
      <c r="Q220" s="133"/>
      <c r="R220" s="140"/>
      <c r="S220" s="133"/>
      <c r="T220" s="133"/>
    </row>
    <row r="221">
      <c r="A221" s="141"/>
      <c r="B221" s="142"/>
      <c r="C221" s="133"/>
      <c r="D221" s="133"/>
      <c r="E221" s="140"/>
      <c r="F221" s="140"/>
      <c r="G221" s="140"/>
      <c r="H221" s="133"/>
      <c r="I221" s="133"/>
      <c r="J221" s="140"/>
      <c r="K221" s="129"/>
      <c r="L221" s="129"/>
      <c r="M221" s="129"/>
      <c r="N221" s="129"/>
      <c r="O221" s="140"/>
      <c r="P221" s="140"/>
      <c r="Q221" s="133"/>
      <c r="R221" s="140"/>
      <c r="S221" s="133"/>
      <c r="T221" s="133"/>
    </row>
    <row r="222">
      <c r="A222" s="141"/>
      <c r="B222" s="142"/>
      <c r="C222" s="133"/>
      <c r="D222" s="133"/>
      <c r="E222" s="140"/>
      <c r="F222" s="140"/>
      <c r="G222" s="140"/>
      <c r="H222" s="133"/>
      <c r="I222" s="133"/>
      <c r="J222" s="140"/>
      <c r="K222" s="129"/>
      <c r="L222" s="129"/>
      <c r="M222" s="129"/>
      <c r="N222" s="129"/>
      <c r="O222" s="140"/>
      <c r="P222" s="140"/>
      <c r="Q222" s="133"/>
      <c r="R222" s="140"/>
      <c r="S222" s="133"/>
      <c r="T222" s="133"/>
    </row>
    <row r="223">
      <c r="A223" s="141"/>
      <c r="B223" s="142"/>
      <c r="C223" s="133"/>
      <c r="D223" s="133"/>
      <c r="E223" s="140"/>
      <c r="F223" s="140"/>
      <c r="G223" s="140"/>
      <c r="H223" s="133"/>
      <c r="I223" s="133"/>
      <c r="J223" s="140"/>
      <c r="K223" s="129"/>
      <c r="L223" s="129"/>
      <c r="M223" s="129"/>
      <c r="N223" s="129"/>
      <c r="O223" s="140"/>
      <c r="P223" s="140"/>
      <c r="Q223" s="133"/>
      <c r="R223" s="140"/>
      <c r="S223" s="133"/>
      <c r="T223" s="133"/>
    </row>
    <row r="224">
      <c r="A224" s="141"/>
      <c r="B224" s="142"/>
      <c r="C224" s="133"/>
      <c r="D224" s="133"/>
      <c r="E224" s="140"/>
      <c r="F224" s="140"/>
      <c r="G224" s="140"/>
      <c r="H224" s="133"/>
      <c r="I224" s="133"/>
      <c r="J224" s="140"/>
      <c r="K224" s="129"/>
      <c r="L224" s="129"/>
      <c r="M224" s="129"/>
      <c r="N224" s="129"/>
      <c r="O224" s="140"/>
      <c r="P224" s="140"/>
      <c r="Q224" s="133"/>
      <c r="R224" s="140"/>
      <c r="S224" s="133"/>
      <c r="T224" s="133"/>
    </row>
    <row r="225">
      <c r="A225" s="141"/>
      <c r="B225" s="142"/>
      <c r="C225" s="133"/>
      <c r="D225" s="133"/>
      <c r="E225" s="140"/>
      <c r="F225" s="140"/>
      <c r="G225" s="140"/>
      <c r="H225" s="133"/>
      <c r="I225" s="133"/>
      <c r="J225" s="140"/>
      <c r="K225" s="129"/>
      <c r="L225" s="129"/>
      <c r="M225" s="129"/>
      <c r="N225" s="129"/>
      <c r="O225" s="140"/>
      <c r="P225" s="140"/>
      <c r="Q225" s="133"/>
      <c r="R225" s="140"/>
      <c r="S225" s="133"/>
      <c r="T225" s="133"/>
    </row>
    <row r="226">
      <c r="A226" s="141"/>
      <c r="B226" s="142"/>
      <c r="C226" s="133"/>
      <c r="D226" s="133"/>
      <c r="E226" s="140"/>
      <c r="F226" s="140"/>
      <c r="G226" s="140"/>
      <c r="H226" s="133"/>
      <c r="I226" s="133"/>
      <c r="J226" s="140"/>
      <c r="K226" s="129"/>
      <c r="L226" s="129"/>
      <c r="M226" s="129"/>
      <c r="N226" s="129"/>
      <c r="O226" s="140"/>
      <c r="P226" s="140"/>
      <c r="Q226" s="133"/>
      <c r="R226" s="140"/>
      <c r="S226" s="133"/>
      <c r="T226" s="133"/>
    </row>
    <row r="227">
      <c r="A227" s="141"/>
      <c r="B227" s="142"/>
      <c r="C227" s="133"/>
      <c r="D227" s="133"/>
      <c r="E227" s="140"/>
      <c r="F227" s="140"/>
      <c r="G227" s="140"/>
      <c r="H227" s="133"/>
      <c r="I227" s="133"/>
      <c r="J227" s="140"/>
      <c r="K227" s="129"/>
      <c r="L227" s="129"/>
      <c r="M227" s="129"/>
      <c r="N227" s="129"/>
      <c r="O227" s="140"/>
      <c r="P227" s="140"/>
      <c r="Q227" s="133"/>
      <c r="R227" s="140"/>
      <c r="S227" s="133"/>
      <c r="T227" s="133"/>
    </row>
    <row r="228">
      <c r="A228" s="141"/>
      <c r="B228" s="142"/>
      <c r="C228" s="133"/>
      <c r="D228" s="133"/>
      <c r="E228" s="140"/>
      <c r="F228" s="140"/>
      <c r="G228" s="140"/>
      <c r="H228" s="133"/>
      <c r="I228" s="133"/>
      <c r="J228" s="140"/>
      <c r="K228" s="129"/>
      <c r="L228" s="129"/>
      <c r="M228" s="129"/>
      <c r="N228" s="129"/>
      <c r="O228" s="140"/>
      <c r="P228" s="140"/>
      <c r="Q228" s="133"/>
      <c r="R228" s="140"/>
      <c r="S228" s="133"/>
      <c r="T228" s="133"/>
    </row>
    <row r="229">
      <c r="A229" s="141"/>
      <c r="B229" s="142"/>
      <c r="C229" s="133"/>
      <c r="D229" s="133"/>
      <c r="E229" s="140"/>
      <c r="F229" s="140"/>
      <c r="G229" s="140"/>
      <c r="H229" s="133"/>
      <c r="I229" s="133"/>
      <c r="J229" s="140"/>
      <c r="K229" s="129"/>
      <c r="L229" s="129"/>
      <c r="M229" s="129"/>
      <c r="N229" s="129"/>
      <c r="O229" s="140"/>
      <c r="P229" s="140"/>
      <c r="Q229" s="133"/>
      <c r="R229" s="140"/>
      <c r="S229" s="133"/>
      <c r="T229" s="133"/>
    </row>
    <row r="230">
      <c r="A230" s="141"/>
      <c r="B230" s="142"/>
      <c r="C230" s="133"/>
      <c r="D230" s="133"/>
      <c r="E230" s="140"/>
      <c r="F230" s="140"/>
      <c r="G230" s="140"/>
      <c r="H230" s="133"/>
      <c r="I230" s="133"/>
      <c r="J230" s="140"/>
      <c r="K230" s="129"/>
      <c r="L230" s="129"/>
      <c r="M230" s="129"/>
      <c r="N230" s="129"/>
      <c r="O230" s="140"/>
      <c r="P230" s="140"/>
      <c r="Q230" s="133"/>
      <c r="R230" s="140"/>
      <c r="S230" s="133"/>
      <c r="T230" s="133"/>
    </row>
    <row r="231">
      <c r="A231" s="141"/>
      <c r="B231" s="142"/>
      <c r="C231" s="133"/>
      <c r="D231" s="133"/>
      <c r="E231" s="140"/>
      <c r="F231" s="140"/>
      <c r="G231" s="140"/>
      <c r="H231" s="133"/>
      <c r="I231" s="133"/>
      <c r="J231" s="140"/>
      <c r="K231" s="129"/>
      <c r="L231" s="129"/>
      <c r="M231" s="129"/>
      <c r="N231" s="129"/>
      <c r="O231" s="140"/>
      <c r="P231" s="140"/>
      <c r="Q231" s="133"/>
      <c r="R231" s="140"/>
      <c r="S231" s="133"/>
      <c r="T231" s="133"/>
    </row>
    <row r="232">
      <c r="A232" s="141"/>
      <c r="B232" s="142"/>
      <c r="C232" s="133"/>
      <c r="D232" s="133"/>
      <c r="E232" s="140"/>
      <c r="F232" s="140"/>
      <c r="G232" s="140"/>
      <c r="H232" s="133"/>
      <c r="I232" s="133"/>
      <c r="J232" s="140"/>
      <c r="K232" s="129"/>
      <c r="L232" s="129"/>
      <c r="M232" s="129"/>
      <c r="N232" s="129"/>
      <c r="O232" s="140"/>
      <c r="P232" s="140"/>
      <c r="Q232" s="133"/>
      <c r="R232" s="140"/>
      <c r="S232" s="133"/>
      <c r="T232" s="133"/>
    </row>
    <row r="233">
      <c r="A233" s="141"/>
      <c r="B233" s="142"/>
      <c r="C233" s="133"/>
      <c r="D233" s="133"/>
      <c r="E233" s="140"/>
      <c r="F233" s="140"/>
      <c r="G233" s="140"/>
      <c r="H233" s="133"/>
      <c r="I233" s="133"/>
      <c r="J233" s="140"/>
      <c r="K233" s="129"/>
      <c r="L233" s="129"/>
      <c r="M233" s="129"/>
      <c r="N233" s="129"/>
      <c r="O233" s="140"/>
      <c r="P233" s="140"/>
      <c r="Q233" s="133"/>
      <c r="R233" s="140"/>
      <c r="S233" s="133"/>
      <c r="T233" s="133"/>
    </row>
    <row r="234">
      <c r="A234" s="141"/>
      <c r="B234" s="142"/>
      <c r="C234" s="133"/>
      <c r="D234" s="133"/>
      <c r="E234" s="140"/>
      <c r="F234" s="140"/>
      <c r="G234" s="140"/>
      <c r="H234" s="133"/>
      <c r="I234" s="133"/>
      <c r="J234" s="140"/>
      <c r="K234" s="129"/>
      <c r="L234" s="129"/>
      <c r="M234" s="129"/>
      <c r="N234" s="129"/>
      <c r="O234" s="140"/>
      <c r="P234" s="140"/>
      <c r="Q234" s="133"/>
      <c r="R234" s="140"/>
      <c r="S234" s="133"/>
      <c r="T234" s="133"/>
    </row>
    <row r="235">
      <c r="A235" s="141"/>
      <c r="B235" s="142"/>
      <c r="C235" s="133"/>
      <c r="D235" s="133"/>
      <c r="E235" s="140"/>
      <c r="F235" s="140"/>
      <c r="G235" s="140"/>
      <c r="H235" s="133"/>
      <c r="I235" s="133"/>
      <c r="J235" s="140"/>
      <c r="K235" s="129"/>
      <c r="L235" s="129"/>
      <c r="M235" s="129"/>
      <c r="N235" s="129"/>
      <c r="O235" s="140"/>
      <c r="P235" s="140"/>
      <c r="Q235" s="133"/>
      <c r="R235" s="140"/>
      <c r="S235" s="133"/>
      <c r="T235" s="133"/>
    </row>
    <row r="236">
      <c r="A236" s="141"/>
      <c r="B236" s="142"/>
      <c r="C236" s="133"/>
      <c r="D236" s="133"/>
      <c r="E236" s="140"/>
      <c r="F236" s="140"/>
      <c r="G236" s="140"/>
      <c r="H236" s="133"/>
      <c r="I236" s="133"/>
      <c r="J236" s="140"/>
      <c r="K236" s="129"/>
      <c r="L236" s="129"/>
      <c r="M236" s="129"/>
      <c r="N236" s="129"/>
      <c r="O236" s="140"/>
      <c r="P236" s="140"/>
      <c r="Q236" s="133"/>
      <c r="R236" s="140"/>
      <c r="S236" s="133"/>
      <c r="T236" s="133"/>
    </row>
    <row r="237">
      <c r="A237" s="141"/>
      <c r="B237" s="142"/>
      <c r="C237" s="133"/>
      <c r="D237" s="133"/>
      <c r="E237" s="140"/>
      <c r="F237" s="140"/>
      <c r="G237" s="140"/>
      <c r="H237" s="133"/>
      <c r="I237" s="133"/>
      <c r="J237" s="140"/>
      <c r="K237" s="129"/>
      <c r="L237" s="129"/>
      <c r="M237" s="129"/>
      <c r="N237" s="129"/>
      <c r="O237" s="140"/>
      <c r="P237" s="140"/>
      <c r="Q237" s="133"/>
      <c r="R237" s="140"/>
      <c r="S237" s="133"/>
      <c r="T237" s="133"/>
    </row>
    <row r="238">
      <c r="A238" s="141"/>
      <c r="B238" s="142"/>
      <c r="C238" s="133"/>
      <c r="D238" s="133"/>
      <c r="E238" s="140"/>
      <c r="F238" s="140"/>
      <c r="G238" s="140"/>
      <c r="H238" s="133"/>
      <c r="I238" s="133"/>
      <c r="J238" s="140"/>
      <c r="K238" s="129"/>
      <c r="L238" s="129"/>
      <c r="M238" s="129"/>
      <c r="N238" s="129"/>
      <c r="O238" s="140"/>
      <c r="P238" s="140"/>
      <c r="Q238" s="133"/>
      <c r="R238" s="140"/>
      <c r="S238" s="133"/>
      <c r="T238" s="133"/>
    </row>
    <row r="239">
      <c r="A239" s="141"/>
      <c r="B239" s="142"/>
      <c r="C239" s="133"/>
      <c r="D239" s="133"/>
      <c r="E239" s="140"/>
      <c r="F239" s="140"/>
      <c r="G239" s="140"/>
      <c r="H239" s="133"/>
      <c r="I239" s="133"/>
      <c r="J239" s="140"/>
      <c r="K239" s="129"/>
      <c r="L239" s="129"/>
      <c r="M239" s="129"/>
      <c r="N239" s="129"/>
      <c r="O239" s="140"/>
      <c r="P239" s="140"/>
      <c r="Q239" s="133"/>
      <c r="R239" s="140"/>
      <c r="S239" s="133"/>
      <c r="T239" s="133"/>
    </row>
    <row r="240">
      <c r="A240" s="141"/>
      <c r="B240" s="142"/>
      <c r="C240" s="133"/>
      <c r="D240" s="133"/>
      <c r="E240" s="140"/>
      <c r="F240" s="140"/>
      <c r="G240" s="140"/>
      <c r="H240" s="133"/>
      <c r="I240" s="133"/>
      <c r="J240" s="140"/>
      <c r="K240" s="129"/>
      <c r="L240" s="129"/>
      <c r="M240" s="129"/>
      <c r="N240" s="129"/>
      <c r="O240" s="140"/>
      <c r="P240" s="140"/>
      <c r="Q240" s="133"/>
      <c r="R240" s="140"/>
      <c r="S240" s="133"/>
      <c r="T240" s="133"/>
    </row>
    <row r="241">
      <c r="A241" s="141"/>
      <c r="B241" s="142"/>
      <c r="C241" s="133"/>
      <c r="D241" s="133"/>
      <c r="E241" s="140"/>
      <c r="F241" s="140"/>
      <c r="G241" s="140"/>
      <c r="H241" s="133"/>
      <c r="I241" s="133"/>
      <c r="J241" s="140"/>
      <c r="K241" s="129"/>
      <c r="L241" s="129"/>
      <c r="M241" s="129"/>
      <c r="N241" s="129"/>
      <c r="O241" s="140"/>
      <c r="P241" s="140"/>
      <c r="Q241" s="133"/>
      <c r="R241" s="140"/>
      <c r="S241" s="133"/>
      <c r="T241" s="133"/>
    </row>
    <row r="242">
      <c r="A242" s="141"/>
      <c r="B242" s="142"/>
      <c r="C242" s="133"/>
      <c r="D242" s="133"/>
      <c r="E242" s="140"/>
      <c r="F242" s="140"/>
      <c r="G242" s="140"/>
      <c r="H242" s="133"/>
      <c r="I242" s="133"/>
      <c r="J242" s="140"/>
      <c r="K242" s="129"/>
      <c r="L242" s="129"/>
      <c r="M242" s="129"/>
      <c r="N242" s="129"/>
      <c r="O242" s="140"/>
      <c r="P242" s="140"/>
      <c r="Q242" s="133"/>
      <c r="R242" s="140"/>
      <c r="S242" s="133"/>
      <c r="T242" s="133"/>
    </row>
    <row r="243">
      <c r="A243" s="141"/>
      <c r="B243" s="142"/>
      <c r="C243" s="133"/>
      <c r="D243" s="133"/>
      <c r="E243" s="140"/>
      <c r="F243" s="140"/>
      <c r="G243" s="140"/>
      <c r="H243" s="133"/>
      <c r="I243" s="133"/>
      <c r="J243" s="140"/>
      <c r="K243" s="129"/>
      <c r="L243" s="129"/>
      <c r="M243" s="129"/>
      <c r="N243" s="129"/>
      <c r="O243" s="140"/>
      <c r="P243" s="140"/>
      <c r="Q243" s="133"/>
      <c r="R243" s="140"/>
      <c r="S243" s="133"/>
      <c r="T243" s="133"/>
    </row>
    <row r="244">
      <c r="A244" s="141"/>
      <c r="B244" s="142"/>
      <c r="C244" s="133"/>
      <c r="D244" s="133"/>
      <c r="E244" s="140"/>
      <c r="F244" s="140"/>
      <c r="G244" s="140"/>
      <c r="H244" s="133"/>
      <c r="I244" s="133"/>
      <c r="J244" s="140"/>
      <c r="K244" s="129"/>
      <c r="L244" s="129"/>
      <c r="M244" s="129"/>
      <c r="N244" s="129"/>
      <c r="O244" s="140"/>
      <c r="P244" s="140"/>
      <c r="Q244" s="133"/>
      <c r="R244" s="140"/>
      <c r="S244" s="133"/>
      <c r="T244" s="133"/>
    </row>
    <row r="245">
      <c r="A245" s="141"/>
      <c r="B245" s="142"/>
      <c r="C245" s="133"/>
      <c r="D245" s="133"/>
      <c r="E245" s="140"/>
      <c r="F245" s="140"/>
      <c r="G245" s="140"/>
      <c r="H245" s="133"/>
      <c r="I245" s="133"/>
      <c r="J245" s="140"/>
      <c r="K245" s="129"/>
      <c r="L245" s="129"/>
      <c r="M245" s="129"/>
      <c r="N245" s="129"/>
      <c r="O245" s="140"/>
      <c r="P245" s="140"/>
      <c r="Q245" s="133"/>
      <c r="R245" s="140"/>
      <c r="S245" s="133"/>
      <c r="T245" s="133"/>
    </row>
    <row r="246">
      <c r="A246" s="141"/>
      <c r="B246" s="142"/>
      <c r="C246" s="133"/>
      <c r="D246" s="133"/>
      <c r="E246" s="140"/>
      <c r="F246" s="140"/>
      <c r="G246" s="140"/>
      <c r="H246" s="133"/>
      <c r="I246" s="133"/>
      <c r="J246" s="140"/>
      <c r="K246" s="129"/>
      <c r="L246" s="129"/>
      <c r="M246" s="129"/>
      <c r="N246" s="129"/>
      <c r="O246" s="140"/>
      <c r="P246" s="140"/>
      <c r="Q246" s="133"/>
      <c r="R246" s="140"/>
      <c r="S246" s="133"/>
      <c r="T246" s="133"/>
    </row>
    <row r="247">
      <c r="A247" s="141"/>
      <c r="B247" s="142"/>
      <c r="C247" s="133"/>
      <c r="D247" s="133"/>
      <c r="E247" s="140"/>
      <c r="F247" s="140"/>
      <c r="G247" s="140"/>
      <c r="H247" s="133"/>
      <c r="I247" s="133"/>
      <c r="J247" s="140"/>
      <c r="K247" s="129"/>
      <c r="L247" s="129"/>
      <c r="M247" s="129"/>
      <c r="N247" s="129"/>
      <c r="O247" s="140"/>
      <c r="P247" s="140"/>
      <c r="Q247" s="133"/>
      <c r="R247" s="140"/>
      <c r="S247" s="133"/>
      <c r="T247" s="133"/>
    </row>
    <row r="248">
      <c r="A248" s="141"/>
      <c r="B248" s="142"/>
      <c r="C248" s="133"/>
      <c r="D248" s="133"/>
      <c r="E248" s="140"/>
      <c r="F248" s="140"/>
      <c r="G248" s="140"/>
      <c r="H248" s="133"/>
      <c r="I248" s="133"/>
      <c r="J248" s="140"/>
      <c r="K248" s="129"/>
      <c r="L248" s="129"/>
      <c r="M248" s="129"/>
      <c r="N248" s="129"/>
      <c r="O248" s="140"/>
      <c r="P248" s="140"/>
      <c r="Q248" s="133"/>
      <c r="R248" s="140"/>
      <c r="S248" s="133"/>
      <c r="T248" s="133"/>
    </row>
    <row r="249">
      <c r="A249" s="141"/>
      <c r="B249" s="142"/>
      <c r="C249" s="133"/>
      <c r="D249" s="133"/>
      <c r="E249" s="140"/>
      <c r="F249" s="140"/>
      <c r="G249" s="140"/>
      <c r="H249" s="133"/>
      <c r="I249" s="133"/>
      <c r="J249" s="140"/>
      <c r="K249" s="129"/>
      <c r="L249" s="129"/>
      <c r="M249" s="129"/>
      <c r="N249" s="129"/>
      <c r="O249" s="140"/>
      <c r="P249" s="140"/>
      <c r="Q249" s="133"/>
      <c r="R249" s="140"/>
      <c r="S249" s="133"/>
      <c r="T249" s="133"/>
    </row>
    <row r="250">
      <c r="A250" s="141"/>
      <c r="B250" s="142"/>
      <c r="C250" s="133"/>
      <c r="D250" s="133"/>
      <c r="E250" s="140"/>
      <c r="F250" s="140"/>
      <c r="G250" s="140"/>
      <c r="H250" s="133"/>
      <c r="I250" s="133"/>
      <c r="J250" s="140"/>
      <c r="K250" s="129"/>
      <c r="L250" s="129"/>
      <c r="M250" s="129"/>
      <c r="N250" s="129"/>
      <c r="O250" s="140"/>
      <c r="P250" s="140"/>
      <c r="Q250" s="133"/>
      <c r="R250" s="140"/>
      <c r="S250" s="133"/>
      <c r="T250" s="133"/>
    </row>
    <row r="251">
      <c r="A251" s="141"/>
      <c r="B251" s="142"/>
      <c r="C251" s="133"/>
      <c r="D251" s="133"/>
      <c r="E251" s="140"/>
      <c r="F251" s="140"/>
      <c r="G251" s="140"/>
      <c r="H251" s="133"/>
      <c r="I251" s="133"/>
      <c r="J251" s="140"/>
      <c r="K251" s="129"/>
      <c r="L251" s="129"/>
      <c r="M251" s="129"/>
      <c r="N251" s="129"/>
      <c r="O251" s="140"/>
      <c r="P251" s="140"/>
      <c r="Q251" s="133"/>
      <c r="R251" s="140"/>
      <c r="S251" s="133"/>
      <c r="T251" s="133"/>
    </row>
    <row r="252">
      <c r="A252" s="141"/>
      <c r="B252" s="142"/>
      <c r="C252" s="133"/>
      <c r="D252" s="133"/>
      <c r="E252" s="140"/>
      <c r="F252" s="140"/>
      <c r="G252" s="140"/>
      <c r="H252" s="133"/>
      <c r="I252" s="133"/>
      <c r="J252" s="140"/>
      <c r="K252" s="129"/>
      <c r="L252" s="129"/>
      <c r="M252" s="129"/>
      <c r="N252" s="129"/>
      <c r="O252" s="140"/>
      <c r="P252" s="140"/>
      <c r="Q252" s="133"/>
      <c r="R252" s="140"/>
      <c r="S252" s="133"/>
      <c r="T252" s="133"/>
    </row>
    <row r="253">
      <c r="A253" s="141"/>
      <c r="B253" s="142"/>
      <c r="C253" s="133"/>
      <c r="D253" s="133"/>
      <c r="E253" s="140"/>
      <c r="F253" s="140"/>
      <c r="G253" s="140"/>
      <c r="H253" s="133"/>
      <c r="I253" s="133"/>
      <c r="J253" s="140"/>
      <c r="K253" s="129"/>
      <c r="L253" s="129"/>
      <c r="M253" s="129"/>
      <c r="N253" s="129"/>
      <c r="O253" s="140"/>
      <c r="P253" s="140"/>
      <c r="Q253" s="133"/>
      <c r="R253" s="140"/>
      <c r="S253" s="133"/>
      <c r="T253" s="133"/>
    </row>
    <row r="254">
      <c r="A254" s="141"/>
      <c r="B254" s="142"/>
      <c r="C254" s="133"/>
      <c r="D254" s="133"/>
      <c r="E254" s="140"/>
      <c r="F254" s="140"/>
      <c r="G254" s="140"/>
      <c r="H254" s="133"/>
      <c r="I254" s="133"/>
      <c r="J254" s="140"/>
      <c r="K254" s="129"/>
      <c r="L254" s="129"/>
      <c r="M254" s="129"/>
      <c r="N254" s="129"/>
      <c r="O254" s="140"/>
      <c r="P254" s="140"/>
      <c r="Q254" s="133"/>
      <c r="R254" s="140"/>
      <c r="S254" s="133"/>
      <c r="T254" s="133"/>
    </row>
    <row r="255">
      <c r="A255" s="141"/>
      <c r="B255" s="142"/>
      <c r="C255" s="133"/>
      <c r="D255" s="133"/>
      <c r="E255" s="140"/>
      <c r="F255" s="140"/>
      <c r="G255" s="140"/>
      <c r="H255" s="133"/>
      <c r="I255" s="133"/>
      <c r="J255" s="140"/>
      <c r="K255" s="129"/>
      <c r="L255" s="129"/>
      <c r="M255" s="129"/>
      <c r="N255" s="129"/>
      <c r="O255" s="140"/>
      <c r="P255" s="140"/>
      <c r="Q255" s="133"/>
      <c r="R255" s="140"/>
      <c r="S255" s="133"/>
      <c r="T255" s="133"/>
    </row>
    <row r="256">
      <c r="A256" s="141"/>
      <c r="B256" s="142"/>
      <c r="C256" s="133"/>
      <c r="D256" s="133"/>
      <c r="E256" s="140"/>
      <c r="F256" s="140"/>
      <c r="G256" s="140"/>
      <c r="H256" s="133"/>
      <c r="I256" s="133"/>
      <c r="J256" s="140"/>
      <c r="K256" s="129"/>
      <c r="L256" s="129"/>
      <c r="M256" s="129"/>
      <c r="N256" s="129"/>
      <c r="O256" s="140"/>
      <c r="P256" s="140"/>
      <c r="Q256" s="133"/>
      <c r="R256" s="140"/>
      <c r="S256" s="133"/>
      <c r="T256" s="133"/>
    </row>
    <row r="257">
      <c r="A257" s="141"/>
      <c r="B257" s="142"/>
      <c r="C257" s="133"/>
      <c r="D257" s="133"/>
      <c r="E257" s="140"/>
      <c r="F257" s="140"/>
      <c r="G257" s="140"/>
      <c r="H257" s="133"/>
      <c r="I257" s="133"/>
      <c r="J257" s="140"/>
      <c r="K257" s="129"/>
      <c r="L257" s="129"/>
      <c r="M257" s="129"/>
      <c r="N257" s="129"/>
      <c r="O257" s="140"/>
      <c r="P257" s="140"/>
      <c r="Q257" s="133"/>
      <c r="R257" s="140"/>
      <c r="S257" s="133"/>
      <c r="T257" s="133"/>
    </row>
    <row r="258">
      <c r="A258" s="141"/>
      <c r="B258" s="142"/>
      <c r="C258" s="133"/>
      <c r="D258" s="133"/>
      <c r="E258" s="140"/>
      <c r="F258" s="140"/>
      <c r="G258" s="140"/>
      <c r="H258" s="133"/>
      <c r="I258" s="133"/>
      <c r="J258" s="140"/>
      <c r="K258" s="129"/>
      <c r="L258" s="129"/>
      <c r="M258" s="129"/>
      <c r="N258" s="129"/>
      <c r="O258" s="140"/>
      <c r="P258" s="140"/>
      <c r="Q258" s="133"/>
      <c r="R258" s="140"/>
      <c r="S258" s="133"/>
      <c r="T258" s="133"/>
    </row>
    <row r="259">
      <c r="A259" s="141"/>
      <c r="B259" s="142"/>
      <c r="C259" s="133"/>
      <c r="D259" s="133"/>
      <c r="E259" s="140"/>
      <c r="F259" s="140"/>
      <c r="G259" s="140"/>
      <c r="H259" s="133"/>
      <c r="I259" s="133"/>
      <c r="J259" s="140"/>
      <c r="K259" s="129"/>
      <c r="L259" s="129"/>
      <c r="M259" s="129"/>
      <c r="N259" s="129"/>
      <c r="O259" s="140"/>
      <c r="P259" s="140"/>
      <c r="Q259" s="133"/>
      <c r="R259" s="140"/>
      <c r="S259" s="133"/>
      <c r="T259" s="133"/>
    </row>
    <row r="260">
      <c r="A260" s="141"/>
      <c r="B260" s="142"/>
      <c r="C260" s="133"/>
      <c r="D260" s="133"/>
      <c r="E260" s="140"/>
      <c r="F260" s="140"/>
      <c r="G260" s="140"/>
      <c r="H260" s="133"/>
      <c r="I260" s="133"/>
      <c r="J260" s="140"/>
      <c r="K260" s="129"/>
      <c r="L260" s="129"/>
      <c r="M260" s="129"/>
      <c r="N260" s="129"/>
      <c r="O260" s="140"/>
      <c r="P260" s="140"/>
      <c r="Q260" s="133"/>
      <c r="R260" s="140"/>
      <c r="S260" s="133"/>
      <c r="T260" s="133"/>
    </row>
    <row r="261">
      <c r="A261" s="141"/>
      <c r="B261" s="142"/>
      <c r="C261" s="133"/>
      <c r="D261" s="133"/>
      <c r="E261" s="140"/>
      <c r="F261" s="140"/>
      <c r="G261" s="140"/>
      <c r="H261" s="133"/>
      <c r="I261" s="133"/>
      <c r="J261" s="140"/>
      <c r="K261" s="129"/>
      <c r="L261" s="129"/>
      <c r="M261" s="129"/>
      <c r="N261" s="129"/>
      <c r="O261" s="140"/>
      <c r="P261" s="140"/>
      <c r="Q261" s="133"/>
      <c r="R261" s="140"/>
      <c r="S261" s="133"/>
      <c r="T261" s="133"/>
    </row>
    <row r="262">
      <c r="A262" s="141"/>
      <c r="B262" s="142"/>
      <c r="C262" s="133"/>
      <c r="D262" s="133"/>
      <c r="E262" s="140"/>
      <c r="F262" s="140"/>
      <c r="G262" s="140"/>
      <c r="H262" s="133"/>
      <c r="I262" s="133"/>
      <c r="J262" s="140"/>
      <c r="K262" s="129"/>
      <c r="L262" s="129"/>
      <c r="M262" s="129"/>
      <c r="N262" s="129"/>
      <c r="O262" s="140"/>
      <c r="P262" s="140"/>
      <c r="Q262" s="133"/>
      <c r="R262" s="140"/>
      <c r="S262" s="133"/>
      <c r="T262" s="133"/>
    </row>
    <row r="263">
      <c r="A263" s="141"/>
      <c r="B263" s="142"/>
      <c r="C263" s="133"/>
      <c r="D263" s="133"/>
      <c r="E263" s="140"/>
      <c r="F263" s="140"/>
      <c r="G263" s="140"/>
      <c r="H263" s="133"/>
      <c r="I263" s="133"/>
      <c r="J263" s="140"/>
      <c r="K263" s="129"/>
      <c r="L263" s="129"/>
      <c r="M263" s="129"/>
      <c r="N263" s="129"/>
      <c r="O263" s="140"/>
      <c r="P263" s="140"/>
      <c r="Q263" s="133"/>
      <c r="R263" s="140"/>
      <c r="S263" s="133"/>
      <c r="T263" s="133"/>
    </row>
    <row r="264">
      <c r="A264" s="141"/>
      <c r="B264" s="142"/>
      <c r="C264" s="133"/>
      <c r="D264" s="133"/>
      <c r="E264" s="140"/>
      <c r="F264" s="140"/>
      <c r="G264" s="140"/>
      <c r="H264" s="133"/>
      <c r="I264" s="133"/>
      <c r="J264" s="140"/>
      <c r="K264" s="129"/>
      <c r="L264" s="129"/>
      <c r="M264" s="129"/>
      <c r="N264" s="129"/>
      <c r="O264" s="140"/>
      <c r="P264" s="140"/>
      <c r="Q264" s="133"/>
      <c r="R264" s="140"/>
      <c r="S264" s="133"/>
      <c r="T264" s="133"/>
    </row>
    <row r="265">
      <c r="A265" s="141"/>
      <c r="B265" s="142"/>
      <c r="C265" s="133"/>
      <c r="D265" s="133"/>
      <c r="E265" s="140"/>
      <c r="F265" s="140"/>
      <c r="G265" s="140"/>
      <c r="H265" s="133"/>
      <c r="I265" s="133"/>
      <c r="J265" s="140"/>
      <c r="K265" s="129"/>
      <c r="L265" s="129"/>
      <c r="M265" s="129"/>
      <c r="N265" s="129"/>
      <c r="O265" s="140"/>
      <c r="P265" s="140"/>
      <c r="Q265" s="133"/>
      <c r="R265" s="140"/>
      <c r="S265" s="133"/>
      <c r="T265" s="133"/>
    </row>
    <row r="266">
      <c r="A266" s="141"/>
      <c r="B266" s="142"/>
      <c r="C266" s="133"/>
      <c r="D266" s="133"/>
      <c r="E266" s="140"/>
      <c r="F266" s="140"/>
      <c r="G266" s="140"/>
      <c r="H266" s="133"/>
      <c r="I266" s="133"/>
      <c r="J266" s="140"/>
      <c r="K266" s="129"/>
      <c r="L266" s="129"/>
      <c r="M266" s="129"/>
      <c r="N266" s="129"/>
      <c r="O266" s="140"/>
      <c r="P266" s="140"/>
      <c r="Q266" s="133"/>
      <c r="R266" s="140"/>
      <c r="S266" s="133"/>
      <c r="T266" s="133"/>
    </row>
    <row r="267">
      <c r="A267" s="141"/>
      <c r="B267" s="142"/>
      <c r="C267" s="133"/>
      <c r="D267" s="133"/>
      <c r="E267" s="140"/>
      <c r="F267" s="140"/>
      <c r="G267" s="140"/>
      <c r="H267" s="133"/>
      <c r="I267" s="133"/>
      <c r="J267" s="140"/>
      <c r="K267" s="129"/>
      <c r="L267" s="129"/>
      <c r="M267" s="129"/>
      <c r="N267" s="129"/>
      <c r="O267" s="140"/>
      <c r="P267" s="140"/>
      <c r="Q267" s="133"/>
      <c r="R267" s="140"/>
      <c r="S267" s="133"/>
      <c r="T267" s="133"/>
    </row>
    <row r="268">
      <c r="A268" s="141"/>
      <c r="B268" s="142"/>
      <c r="C268" s="133"/>
      <c r="D268" s="133"/>
      <c r="E268" s="140"/>
      <c r="F268" s="140"/>
      <c r="G268" s="140"/>
      <c r="H268" s="133"/>
      <c r="I268" s="133"/>
      <c r="J268" s="140"/>
      <c r="K268" s="129"/>
      <c r="L268" s="129"/>
      <c r="M268" s="129"/>
      <c r="N268" s="129"/>
      <c r="O268" s="140"/>
      <c r="P268" s="140"/>
      <c r="Q268" s="133"/>
      <c r="R268" s="140"/>
      <c r="S268" s="133"/>
      <c r="T268" s="133"/>
    </row>
    <row r="269">
      <c r="A269" s="141"/>
      <c r="B269" s="142"/>
      <c r="C269" s="133"/>
      <c r="D269" s="133"/>
      <c r="E269" s="140"/>
      <c r="F269" s="140"/>
      <c r="G269" s="140"/>
      <c r="H269" s="133"/>
      <c r="I269" s="133"/>
      <c r="J269" s="140"/>
      <c r="K269" s="129"/>
      <c r="L269" s="129"/>
      <c r="M269" s="129"/>
      <c r="N269" s="129"/>
      <c r="O269" s="140"/>
      <c r="P269" s="140"/>
      <c r="Q269" s="133"/>
      <c r="R269" s="140"/>
      <c r="S269" s="133"/>
      <c r="T269" s="133"/>
    </row>
    <row r="270">
      <c r="A270" s="141"/>
      <c r="B270" s="142"/>
      <c r="C270" s="133"/>
      <c r="D270" s="133"/>
      <c r="E270" s="140"/>
      <c r="F270" s="140"/>
      <c r="G270" s="140"/>
      <c r="H270" s="133"/>
      <c r="I270" s="133"/>
      <c r="J270" s="140"/>
      <c r="K270" s="129"/>
      <c r="L270" s="129"/>
      <c r="M270" s="129"/>
      <c r="N270" s="129"/>
      <c r="O270" s="140"/>
      <c r="P270" s="140"/>
      <c r="Q270" s="133"/>
      <c r="R270" s="140"/>
      <c r="S270" s="133"/>
      <c r="T270" s="133"/>
    </row>
    <row r="271">
      <c r="A271" s="141"/>
      <c r="B271" s="142"/>
      <c r="C271" s="133"/>
      <c r="D271" s="133"/>
      <c r="E271" s="140"/>
      <c r="F271" s="140"/>
      <c r="G271" s="140"/>
      <c r="H271" s="133"/>
      <c r="I271" s="133"/>
      <c r="J271" s="140"/>
      <c r="K271" s="129"/>
      <c r="L271" s="129"/>
      <c r="M271" s="129"/>
      <c r="N271" s="129"/>
      <c r="O271" s="140"/>
      <c r="P271" s="140"/>
      <c r="Q271" s="133"/>
      <c r="R271" s="140"/>
      <c r="S271" s="133"/>
      <c r="T271" s="133"/>
    </row>
    <row r="272">
      <c r="A272" s="141"/>
      <c r="B272" s="142"/>
      <c r="C272" s="133"/>
      <c r="D272" s="133"/>
      <c r="E272" s="140"/>
      <c r="F272" s="140"/>
      <c r="G272" s="140"/>
      <c r="H272" s="133"/>
      <c r="I272" s="133"/>
      <c r="J272" s="140"/>
      <c r="K272" s="129"/>
      <c r="L272" s="129"/>
      <c r="M272" s="129"/>
      <c r="N272" s="129"/>
      <c r="O272" s="140"/>
      <c r="P272" s="140"/>
      <c r="Q272" s="133"/>
      <c r="R272" s="140"/>
      <c r="S272" s="133"/>
      <c r="T272" s="133"/>
    </row>
    <row r="273">
      <c r="A273" s="141"/>
      <c r="B273" s="142"/>
      <c r="C273" s="133"/>
      <c r="D273" s="133"/>
      <c r="E273" s="140"/>
      <c r="F273" s="140"/>
      <c r="G273" s="140"/>
      <c r="H273" s="133"/>
      <c r="I273" s="133"/>
      <c r="J273" s="140"/>
      <c r="K273" s="129"/>
      <c r="L273" s="129"/>
      <c r="M273" s="129"/>
      <c r="N273" s="129"/>
      <c r="O273" s="140"/>
      <c r="P273" s="140"/>
      <c r="Q273" s="133"/>
      <c r="R273" s="140"/>
      <c r="S273" s="133"/>
      <c r="T273" s="133"/>
    </row>
    <row r="274">
      <c r="A274" s="141"/>
      <c r="B274" s="142"/>
      <c r="C274" s="133"/>
      <c r="D274" s="133"/>
      <c r="E274" s="140"/>
      <c r="F274" s="140"/>
      <c r="G274" s="140"/>
      <c r="H274" s="133"/>
      <c r="I274" s="133"/>
      <c r="J274" s="140"/>
      <c r="K274" s="129"/>
      <c r="L274" s="129"/>
      <c r="M274" s="129"/>
      <c r="N274" s="129"/>
      <c r="O274" s="140"/>
      <c r="P274" s="140"/>
      <c r="Q274" s="133"/>
      <c r="R274" s="140"/>
      <c r="S274" s="133"/>
      <c r="T274" s="133"/>
    </row>
    <row r="275">
      <c r="A275" s="141"/>
      <c r="B275" s="142"/>
      <c r="C275" s="133"/>
      <c r="D275" s="133"/>
      <c r="E275" s="140"/>
      <c r="F275" s="140"/>
      <c r="G275" s="140"/>
      <c r="H275" s="133"/>
      <c r="I275" s="133"/>
      <c r="J275" s="140"/>
      <c r="K275" s="129"/>
      <c r="L275" s="129"/>
      <c r="M275" s="129"/>
      <c r="N275" s="129"/>
      <c r="O275" s="140"/>
      <c r="P275" s="140"/>
      <c r="Q275" s="133"/>
      <c r="R275" s="140"/>
      <c r="S275" s="133"/>
      <c r="T275" s="133"/>
    </row>
    <row r="276">
      <c r="A276" s="141"/>
      <c r="B276" s="142"/>
      <c r="C276" s="133"/>
      <c r="D276" s="133"/>
      <c r="E276" s="140"/>
      <c r="F276" s="140"/>
      <c r="G276" s="140"/>
      <c r="H276" s="133"/>
      <c r="I276" s="133"/>
      <c r="J276" s="140"/>
      <c r="K276" s="129"/>
      <c r="L276" s="129"/>
      <c r="M276" s="129"/>
      <c r="N276" s="129"/>
      <c r="O276" s="140"/>
      <c r="P276" s="140"/>
      <c r="Q276" s="133"/>
      <c r="R276" s="140"/>
      <c r="S276" s="133"/>
      <c r="T276" s="133"/>
    </row>
    <row r="277">
      <c r="A277" s="141"/>
      <c r="B277" s="142"/>
      <c r="C277" s="133"/>
      <c r="D277" s="133"/>
      <c r="E277" s="140"/>
      <c r="F277" s="140"/>
      <c r="G277" s="140"/>
      <c r="H277" s="133"/>
      <c r="I277" s="133"/>
      <c r="J277" s="140"/>
      <c r="K277" s="129"/>
      <c r="L277" s="129"/>
      <c r="M277" s="129"/>
      <c r="N277" s="129"/>
      <c r="O277" s="140"/>
      <c r="P277" s="140"/>
      <c r="Q277" s="133"/>
      <c r="R277" s="140"/>
      <c r="S277" s="133"/>
      <c r="T277" s="133"/>
    </row>
    <row r="278">
      <c r="A278" s="141"/>
      <c r="B278" s="142"/>
      <c r="C278" s="133"/>
      <c r="D278" s="133"/>
      <c r="E278" s="140"/>
      <c r="F278" s="140"/>
      <c r="G278" s="140"/>
      <c r="H278" s="133"/>
      <c r="I278" s="133"/>
      <c r="J278" s="140"/>
      <c r="K278" s="129"/>
      <c r="L278" s="129"/>
      <c r="M278" s="129"/>
      <c r="N278" s="129"/>
      <c r="O278" s="140"/>
      <c r="P278" s="140"/>
      <c r="Q278" s="133"/>
      <c r="R278" s="140"/>
      <c r="S278" s="133"/>
      <c r="T278" s="133"/>
    </row>
    <row r="279">
      <c r="A279" s="141"/>
      <c r="B279" s="142"/>
      <c r="C279" s="133"/>
      <c r="D279" s="133"/>
      <c r="E279" s="140"/>
      <c r="F279" s="140"/>
      <c r="G279" s="140"/>
      <c r="H279" s="133"/>
      <c r="I279" s="133"/>
      <c r="J279" s="140"/>
      <c r="K279" s="129"/>
      <c r="L279" s="129"/>
      <c r="M279" s="129"/>
      <c r="N279" s="129"/>
      <c r="O279" s="140"/>
      <c r="P279" s="140"/>
      <c r="Q279" s="133"/>
      <c r="R279" s="140"/>
      <c r="S279" s="133"/>
      <c r="T279" s="133"/>
    </row>
    <row r="280">
      <c r="A280" s="141"/>
      <c r="B280" s="142"/>
      <c r="C280" s="133"/>
      <c r="D280" s="133"/>
      <c r="E280" s="140"/>
      <c r="F280" s="140"/>
      <c r="G280" s="140"/>
      <c r="H280" s="133"/>
      <c r="I280" s="133"/>
      <c r="J280" s="140"/>
      <c r="K280" s="129"/>
      <c r="L280" s="129"/>
      <c r="M280" s="129"/>
      <c r="N280" s="129"/>
      <c r="O280" s="140"/>
      <c r="P280" s="140"/>
      <c r="Q280" s="133"/>
      <c r="R280" s="140"/>
      <c r="S280" s="133"/>
      <c r="T280" s="133"/>
    </row>
    <row r="281">
      <c r="A281" s="141"/>
      <c r="B281" s="142"/>
      <c r="C281" s="133"/>
      <c r="D281" s="133"/>
      <c r="E281" s="140"/>
      <c r="F281" s="140"/>
      <c r="G281" s="140"/>
      <c r="H281" s="133"/>
      <c r="I281" s="133"/>
      <c r="J281" s="140"/>
      <c r="K281" s="129"/>
      <c r="L281" s="129"/>
      <c r="M281" s="129"/>
      <c r="N281" s="129"/>
      <c r="O281" s="140"/>
      <c r="P281" s="140"/>
      <c r="Q281" s="133"/>
      <c r="R281" s="140"/>
      <c r="S281" s="133"/>
      <c r="T281" s="133"/>
    </row>
    <row r="282">
      <c r="A282" s="141"/>
      <c r="B282" s="142"/>
      <c r="C282" s="133"/>
      <c r="D282" s="133"/>
      <c r="E282" s="140"/>
      <c r="F282" s="140"/>
      <c r="G282" s="140"/>
      <c r="H282" s="133"/>
      <c r="I282" s="133"/>
      <c r="J282" s="140"/>
      <c r="K282" s="129"/>
      <c r="L282" s="129"/>
      <c r="M282" s="129"/>
      <c r="N282" s="129"/>
      <c r="O282" s="140"/>
      <c r="P282" s="140"/>
      <c r="Q282" s="133"/>
      <c r="R282" s="140"/>
      <c r="S282" s="133"/>
      <c r="T282" s="133"/>
    </row>
    <row r="283">
      <c r="A283" s="141"/>
      <c r="B283" s="142"/>
      <c r="C283" s="133"/>
      <c r="D283" s="133"/>
      <c r="E283" s="140"/>
      <c r="F283" s="140"/>
      <c r="G283" s="140"/>
      <c r="H283" s="133"/>
      <c r="I283" s="133"/>
      <c r="J283" s="140"/>
      <c r="K283" s="129"/>
      <c r="L283" s="129"/>
      <c r="M283" s="129"/>
      <c r="N283" s="129"/>
      <c r="O283" s="140"/>
      <c r="P283" s="140"/>
      <c r="Q283" s="133"/>
      <c r="R283" s="140"/>
      <c r="S283" s="133"/>
      <c r="T283" s="133"/>
    </row>
    <row r="284">
      <c r="A284" s="141"/>
      <c r="B284" s="142"/>
      <c r="C284" s="133"/>
      <c r="D284" s="133"/>
      <c r="E284" s="140"/>
      <c r="F284" s="140"/>
      <c r="G284" s="140"/>
      <c r="H284" s="133"/>
      <c r="I284" s="133"/>
      <c r="J284" s="140"/>
      <c r="K284" s="129"/>
      <c r="L284" s="129"/>
      <c r="M284" s="129"/>
      <c r="N284" s="129"/>
      <c r="O284" s="140"/>
      <c r="P284" s="140"/>
      <c r="Q284" s="133"/>
      <c r="R284" s="140"/>
      <c r="S284" s="133"/>
      <c r="T284" s="133"/>
    </row>
    <row r="285">
      <c r="A285" s="141"/>
      <c r="B285" s="142"/>
      <c r="C285" s="133"/>
      <c r="D285" s="133"/>
      <c r="E285" s="140"/>
      <c r="F285" s="140"/>
      <c r="G285" s="140"/>
      <c r="H285" s="133"/>
      <c r="I285" s="133"/>
      <c r="J285" s="140"/>
      <c r="K285" s="129"/>
      <c r="L285" s="129"/>
      <c r="M285" s="129"/>
      <c r="N285" s="129"/>
      <c r="O285" s="140"/>
      <c r="P285" s="140"/>
      <c r="Q285" s="133"/>
      <c r="R285" s="140"/>
      <c r="S285" s="133"/>
      <c r="T285" s="133"/>
    </row>
    <row r="286">
      <c r="A286" s="141"/>
      <c r="B286" s="142"/>
      <c r="C286" s="133"/>
      <c r="D286" s="133"/>
      <c r="E286" s="140"/>
      <c r="F286" s="140"/>
      <c r="G286" s="140"/>
      <c r="H286" s="133"/>
      <c r="I286" s="133"/>
      <c r="J286" s="140"/>
      <c r="K286" s="129"/>
      <c r="L286" s="129"/>
      <c r="M286" s="129"/>
      <c r="N286" s="129"/>
      <c r="O286" s="140"/>
      <c r="P286" s="140"/>
      <c r="Q286" s="133"/>
      <c r="R286" s="140"/>
      <c r="S286" s="133"/>
      <c r="T286" s="133"/>
    </row>
    <row r="287">
      <c r="A287" s="141"/>
      <c r="B287" s="142"/>
      <c r="C287" s="133"/>
      <c r="D287" s="133"/>
      <c r="E287" s="140"/>
      <c r="F287" s="140"/>
      <c r="G287" s="140"/>
      <c r="H287" s="133"/>
      <c r="I287" s="133"/>
      <c r="J287" s="140"/>
      <c r="K287" s="129"/>
      <c r="L287" s="129"/>
      <c r="M287" s="129"/>
      <c r="N287" s="129"/>
      <c r="O287" s="140"/>
      <c r="P287" s="140"/>
      <c r="Q287" s="133"/>
      <c r="R287" s="140"/>
      <c r="S287" s="133"/>
      <c r="T287" s="133"/>
    </row>
    <row r="288">
      <c r="A288" s="141"/>
      <c r="B288" s="142"/>
      <c r="C288" s="133"/>
      <c r="D288" s="133"/>
      <c r="E288" s="140"/>
      <c r="F288" s="140"/>
      <c r="G288" s="140"/>
      <c r="H288" s="133"/>
      <c r="I288" s="133"/>
      <c r="J288" s="140"/>
      <c r="K288" s="129"/>
      <c r="L288" s="129"/>
      <c r="M288" s="129"/>
      <c r="N288" s="129"/>
      <c r="O288" s="140"/>
      <c r="P288" s="140"/>
      <c r="Q288" s="133"/>
      <c r="R288" s="140"/>
      <c r="S288" s="133"/>
      <c r="T288" s="133"/>
    </row>
    <row r="289">
      <c r="A289" s="141"/>
      <c r="B289" s="142"/>
      <c r="C289" s="133"/>
      <c r="D289" s="133"/>
      <c r="E289" s="140"/>
      <c r="F289" s="140"/>
      <c r="G289" s="140"/>
      <c r="H289" s="133"/>
      <c r="I289" s="133"/>
      <c r="J289" s="140"/>
      <c r="K289" s="129"/>
      <c r="L289" s="129"/>
      <c r="M289" s="129"/>
      <c r="N289" s="129"/>
      <c r="O289" s="140"/>
      <c r="P289" s="140"/>
      <c r="Q289" s="133"/>
      <c r="R289" s="140"/>
      <c r="S289" s="133"/>
      <c r="T289" s="133"/>
    </row>
    <row r="290">
      <c r="A290" s="141"/>
      <c r="B290" s="142"/>
      <c r="C290" s="133"/>
      <c r="D290" s="133"/>
      <c r="E290" s="140"/>
      <c r="F290" s="140"/>
      <c r="G290" s="140"/>
      <c r="H290" s="133"/>
      <c r="I290" s="133"/>
      <c r="J290" s="140"/>
      <c r="K290" s="129"/>
      <c r="L290" s="129"/>
      <c r="M290" s="129"/>
      <c r="N290" s="129"/>
      <c r="O290" s="140"/>
      <c r="P290" s="140"/>
      <c r="Q290" s="133"/>
      <c r="R290" s="140"/>
      <c r="S290" s="133"/>
      <c r="T290" s="133"/>
    </row>
    <row r="291">
      <c r="A291" s="141"/>
      <c r="B291" s="142"/>
      <c r="C291" s="133"/>
      <c r="D291" s="133"/>
      <c r="E291" s="140"/>
      <c r="F291" s="140"/>
      <c r="G291" s="140"/>
      <c r="H291" s="133"/>
      <c r="I291" s="133"/>
      <c r="J291" s="140"/>
      <c r="K291" s="129"/>
      <c r="L291" s="129"/>
      <c r="M291" s="129"/>
      <c r="N291" s="129"/>
      <c r="O291" s="140"/>
      <c r="P291" s="140"/>
      <c r="Q291" s="133"/>
      <c r="R291" s="140"/>
      <c r="S291" s="133"/>
      <c r="T291" s="133"/>
    </row>
    <row r="292">
      <c r="A292" s="141"/>
      <c r="B292" s="142"/>
      <c r="C292" s="133"/>
      <c r="D292" s="133"/>
      <c r="E292" s="140"/>
      <c r="F292" s="140"/>
      <c r="G292" s="140"/>
      <c r="H292" s="133"/>
      <c r="I292" s="133"/>
      <c r="J292" s="140"/>
      <c r="K292" s="129"/>
      <c r="L292" s="129"/>
      <c r="M292" s="129"/>
      <c r="N292" s="129"/>
      <c r="O292" s="140"/>
      <c r="P292" s="140"/>
      <c r="Q292" s="133"/>
      <c r="R292" s="140"/>
      <c r="S292" s="133"/>
      <c r="T292" s="133"/>
    </row>
    <row r="293">
      <c r="A293" s="141"/>
      <c r="B293" s="142"/>
      <c r="C293" s="133"/>
      <c r="D293" s="133"/>
      <c r="E293" s="140"/>
      <c r="F293" s="140"/>
      <c r="G293" s="140"/>
      <c r="H293" s="133"/>
      <c r="I293" s="133"/>
      <c r="J293" s="140"/>
      <c r="K293" s="129"/>
      <c r="L293" s="129"/>
      <c r="M293" s="129"/>
      <c r="N293" s="129"/>
      <c r="O293" s="140"/>
      <c r="P293" s="140"/>
      <c r="Q293" s="133"/>
      <c r="R293" s="140"/>
      <c r="S293" s="133"/>
      <c r="T293" s="133"/>
    </row>
    <row r="294">
      <c r="A294" s="141"/>
      <c r="B294" s="142"/>
      <c r="C294" s="133"/>
      <c r="D294" s="133"/>
      <c r="E294" s="140"/>
      <c r="F294" s="140"/>
      <c r="G294" s="140"/>
      <c r="H294" s="133"/>
      <c r="I294" s="133"/>
      <c r="J294" s="140"/>
      <c r="K294" s="129"/>
      <c r="L294" s="129"/>
      <c r="M294" s="129"/>
      <c r="N294" s="129"/>
      <c r="O294" s="140"/>
      <c r="P294" s="140"/>
      <c r="Q294" s="133"/>
      <c r="R294" s="140"/>
      <c r="S294" s="133"/>
      <c r="T294" s="133"/>
    </row>
    <row r="295">
      <c r="A295" s="141"/>
      <c r="B295" s="142"/>
      <c r="C295" s="133"/>
      <c r="D295" s="133"/>
      <c r="E295" s="140"/>
      <c r="F295" s="140"/>
      <c r="G295" s="140"/>
      <c r="H295" s="133"/>
      <c r="I295" s="133"/>
      <c r="J295" s="140"/>
      <c r="K295" s="129"/>
      <c r="L295" s="129"/>
      <c r="M295" s="129"/>
      <c r="N295" s="129"/>
      <c r="O295" s="140"/>
      <c r="P295" s="140"/>
      <c r="Q295" s="133"/>
      <c r="R295" s="140"/>
      <c r="S295" s="133"/>
      <c r="T295" s="133"/>
    </row>
    <row r="296">
      <c r="A296" s="141"/>
      <c r="B296" s="142"/>
      <c r="C296" s="133"/>
      <c r="D296" s="133"/>
      <c r="E296" s="140"/>
      <c r="F296" s="140"/>
      <c r="G296" s="140"/>
      <c r="H296" s="133"/>
      <c r="I296" s="133"/>
      <c r="J296" s="140"/>
      <c r="K296" s="129"/>
      <c r="L296" s="129"/>
      <c r="M296" s="129"/>
      <c r="N296" s="129"/>
      <c r="O296" s="140"/>
      <c r="P296" s="140"/>
      <c r="Q296" s="133"/>
      <c r="R296" s="140"/>
      <c r="S296" s="133"/>
      <c r="T296" s="133"/>
    </row>
    <row r="297">
      <c r="A297" s="141"/>
      <c r="B297" s="142"/>
      <c r="C297" s="133"/>
      <c r="D297" s="133"/>
      <c r="E297" s="140"/>
      <c r="F297" s="140"/>
      <c r="G297" s="140"/>
      <c r="H297" s="133"/>
      <c r="I297" s="133"/>
      <c r="J297" s="140"/>
      <c r="K297" s="129"/>
      <c r="L297" s="129"/>
      <c r="M297" s="129"/>
      <c r="N297" s="129"/>
      <c r="O297" s="140"/>
      <c r="P297" s="140"/>
      <c r="Q297" s="133"/>
      <c r="R297" s="140"/>
      <c r="S297" s="133"/>
      <c r="T297" s="133"/>
    </row>
    <row r="298">
      <c r="A298" s="141"/>
      <c r="B298" s="142"/>
      <c r="C298" s="133"/>
      <c r="D298" s="133"/>
      <c r="E298" s="140"/>
      <c r="F298" s="140"/>
      <c r="G298" s="140"/>
      <c r="H298" s="133"/>
      <c r="I298" s="133"/>
      <c r="J298" s="140"/>
      <c r="K298" s="129"/>
      <c r="L298" s="129"/>
      <c r="M298" s="129"/>
      <c r="N298" s="129"/>
      <c r="O298" s="140"/>
      <c r="P298" s="140"/>
      <c r="Q298" s="133"/>
      <c r="R298" s="140"/>
      <c r="S298" s="133"/>
      <c r="T298" s="133"/>
    </row>
    <row r="299">
      <c r="A299" s="141"/>
      <c r="B299" s="142"/>
      <c r="C299" s="133"/>
      <c r="D299" s="133"/>
      <c r="E299" s="140"/>
      <c r="F299" s="140"/>
      <c r="G299" s="140"/>
      <c r="H299" s="133"/>
      <c r="I299" s="133"/>
      <c r="J299" s="140"/>
      <c r="K299" s="129"/>
      <c r="L299" s="129"/>
      <c r="M299" s="129"/>
      <c r="N299" s="129"/>
      <c r="O299" s="140"/>
      <c r="P299" s="140"/>
      <c r="Q299" s="133"/>
      <c r="R299" s="140"/>
      <c r="S299" s="133"/>
      <c r="T299" s="133"/>
    </row>
    <row r="300">
      <c r="A300" s="141"/>
      <c r="B300" s="142"/>
      <c r="C300" s="133"/>
      <c r="D300" s="133"/>
      <c r="E300" s="140"/>
      <c r="F300" s="140"/>
      <c r="G300" s="140"/>
      <c r="H300" s="133"/>
      <c r="I300" s="133"/>
      <c r="J300" s="140"/>
      <c r="K300" s="129"/>
      <c r="L300" s="129"/>
      <c r="M300" s="129"/>
      <c r="N300" s="129"/>
      <c r="O300" s="140"/>
      <c r="P300" s="140"/>
      <c r="Q300" s="133"/>
      <c r="R300" s="140"/>
      <c r="S300" s="133"/>
      <c r="T300" s="133"/>
    </row>
    <row r="301">
      <c r="A301" s="141"/>
      <c r="B301" s="142"/>
      <c r="C301" s="133"/>
      <c r="D301" s="133"/>
      <c r="E301" s="140"/>
      <c r="F301" s="140"/>
      <c r="G301" s="140"/>
      <c r="H301" s="133"/>
      <c r="I301" s="133"/>
      <c r="J301" s="140"/>
      <c r="K301" s="129"/>
      <c r="L301" s="129"/>
      <c r="M301" s="129"/>
      <c r="N301" s="129"/>
      <c r="O301" s="140"/>
      <c r="P301" s="140"/>
      <c r="Q301" s="133"/>
      <c r="R301" s="140"/>
      <c r="S301" s="133"/>
      <c r="T301" s="133"/>
    </row>
    <row r="302">
      <c r="A302" s="141"/>
      <c r="B302" s="142"/>
      <c r="C302" s="133"/>
      <c r="D302" s="133"/>
      <c r="E302" s="140"/>
      <c r="F302" s="140"/>
      <c r="G302" s="140"/>
      <c r="H302" s="133"/>
      <c r="I302" s="133"/>
      <c r="J302" s="140"/>
      <c r="K302" s="129"/>
      <c r="L302" s="129"/>
      <c r="M302" s="129"/>
      <c r="N302" s="129"/>
      <c r="O302" s="140"/>
      <c r="P302" s="140"/>
      <c r="Q302" s="133"/>
      <c r="R302" s="140"/>
      <c r="S302" s="133"/>
      <c r="T302" s="133"/>
    </row>
    <row r="303">
      <c r="A303" s="141"/>
      <c r="B303" s="142"/>
      <c r="C303" s="133"/>
      <c r="D303" s="133"/>
      <c r="E303" s="140"/>
      <c r="F303" s="140"/>
      <c r="G303" s="140"/>
      <c r="H303" s="133"/>
      <c r="I303" s="133"/>
      <c r="J303" s="140"/>
      <c r="K303" s="129"/>
      <c r="L303" s="129"/>
      <c r="M303" s="129"/>
      <c r="N303" s="129"/>
      <c r="O303" s="140"/>
      <c r="P303" s="140"/>
      <c r="Q303" s="133"/>
      <c r="R303" s="140"/>
      <c r="S303" s="133"/>
      <c r="T303" s="133"/>
    </row>
    <row r="304">
      <c r="A304" s="141"/>
      <c r="B304" s="142"/>
      <c r="C304" s="133"/>
      <c r="D304" s="133"/>
      <c r="E304" s="140"/>
      <c r="F304" s="140"/>
      <c r="G304" s="140"/>
      <c r="H304" s="133"/>
      <c r="I304" s="133"/>
      <c r="J304" s="140"/>
      <c r="K304" s="129"/>
      <c r="L304" s="129"/>
      <c r="M304" s="129"/>
      <c r="N304" s="129"/>
      <c r="O304" s="140"/>
      <c r="P304" s="140"/>
      <c r="Q304" s="133"/>
      <c r="R304" s="140"/>
      <c r="S304" s="133"/>
      <c r="T304" s="133"/>
    </row>
    <row r="305">
      <c r="A305" s="141"/>
      <c r="B305" s="142"/>
      <c r="C305" s="133"/>
      <c r="D305" s="133"/>
      <c r="E305" s="140"/>
      <c r="F305" s="140"/>
      <c r="G305" s="140"/>
      <c r="H305" s="133"/>
      <c r="I305" s="133"/>
      <c r="J305" s="140"/>
      <c r="K305" s="129"/>
      <c r="L305" s="129"/>
      <c r="M305" s="129"/>
      <c r="N305" s="129"/>
      <c r="O305" s="140"/>
      <c r="P305" s="140"/>
      <c r="Q305" s="133"/>
      <c r="R305" s="140"/>
      <c r="S305" s="133"/>
      <c r="T305" s="133"/>
    </row>
    <row r="306">
      <c r="A306" s="141"/>
      <c r="B306" s="142"/>
      <c r="C306" s="133"/>
      <c r="D306" s="133"/>
      <c r="E306" s="140"/>
      <c r="F306" s="140"/>
      <c r="G306" s="140"/>
      <c r="H306" s="133"/>
      <c r="I306" s="133"/>
      <c r="J306" s="140"/>
      <c r="K306" s="129"/>
      <c r="L306" s="129"/>
      <c r="M306" s="129"/>
      <c r="N306" s="129"/>
      <c r="O306" s="140"/>
      <c r="P306" s="140"/>
      <c r="Q306" s="133"/>
      <c r="R306" s="140"/>
      <c r="S306" s="133"/>
      <c r="T306" s="133"/>
    </row>
    <row r="307">
      <c r="A307" s="141"/>
      <c r="B307" s="142"/>
      <c r="C307" s="133"/>
      <c r="D307" s="133"/>
      <c r="E307" s="140"/>
      <c r="F307" s="140"/>
      <c r="G307" s="140"/>
      <c r="H307" s="133"/>
      <c r="I307" s="133"/>
      <c r="J307" s="140"/>
      <c r="K307" s="129"/>
      <c r="L307" s="129"/>
      <c r="M307" s="129"/>
      <c r="N307" s="129"/>
      <c r="O307" s="140"/>
      <c r="P307" s="140"/>
      <c r="Q307" s="133"/>
      <c r="R307" s="140"/>
      <c r="S307" s="133"/>
      <c r="T307" s="133"/>
    </row>
    <row r="308">
      <c r="A308" s="141"/>
      <c r="B308" s="142"/>
      <c r="C308" s="133"/>
      <c r="D308" s="133"/>
      <c r="E308" s="140"/>
      <c r="F308" s="140"/>
      <c r="G308" s="140"/>
      <c r="H308" s="133"/>
      <c r="I308" s="133"/>
      <c r="J308" s="140"/>
      <c r="K308" s="129"/>
      <c r="L308" s="129"/>
      <c r="M308" s="129"/>
      <c r="N308" s="129"/>
      <c r="O308" s="140"/>
      <c r="P308" s="140"/>
      <c r="Q308" s="133"/>
      <c r="R308" s="140"/>
      <c r="S308" s="133"/>
      <c r="T308" s="133"/>
    </row>
    <row r="309">
      <c r="A309" s="141"/>
      <c r="B309" s="142"/>
      <c r="C309" s="133"/>
      <c r="D309" s="133"/>
      <c r="E309" s="140"/>
      <c r="F309" s="140"/>
      <c r="G309" s="140"/>
      <c r="H309" s="133"/>
      <c r="I309" s="133"/>
      <c r="J309" s="140"/>
      <c r="K309" s="129"/>
      <c r="L309" s="129"/>
      <c r="M309" s="129"/>
      <c r="N309" s="129"/>
      <c r="O309" s="140"/>
      <c r="P309" s="140"/>
      <c r="Q309" s="133"/>
      <c r="R309" s="140"/>
      <c r="S309" s="133"/>
      <c r="T309" s="133"/>
    </row>
    <row r="310">
      <c r="A310" s="141"/>
      <c r="B310" s="142"/>
      <c r="C310" s="133"/>
      <c r="D310" s="133"/>
      <c r="E310" s="140"/>
      <c r="F310" s="140"/>
      <c r="G310" s="140"/>
      <c r="H310" s="133"/>
      <c r="I310" s="133"/>
      <c r="J310" s="140"/>
      <c r="K310" s="129"/>
      <c r="L310" s="129"/>
      <c r="M310" s="129"/>
      <c r="N310" s="129"/>
      <c r="O310" s="140"/>
      <c r="P310" s="140"/>
      <c r="Q310" s="133"/>
      <c r="R310" s="140"/>
      <c r="S310" s="133"/>
      <c r="T310" s="133"/>
    </row>
    <row r="311">
      <c r="A311" s="141"/>
      <c r="B311" s="142"/>
      <c r="C311" s="133"/>
      <c r="D311" s="133"/>
      <c r="E311" s="140"/>
      <c r="F311" s="140"/>
      <c r="G311" s="140"/>
      <c r="H311" s="133"/>
      <c r="I311" s="133"/>
      <c r="J311" s="140"/>
      <c r="K311" s="129"/>
      <c r="L311" s="129"/>
      <c r="M311" s="129"/>
      <c r="N311" s="129"/>
      <c r="O311" s="140"/>
      <c r="P311" s="140"/>
      <c r="Q311" s="133"/>
      <c r="R311" s="140"/>
      <c r="S311" s="133"/>
      <c r="T311" s="133"/>
    </row>
    <row r="312">
      <c r="A312" s="141"/>
      <c r="B312" s="142"/>
      <c r="C312" s="133"/>
      <c r="D312" s="133"/>
      <c r="E312" s="140"/>
      <c r="F312" s="140"/>
      <c r="G312" s="140"/>
      <c r="H312" s="133"/>
      <c r="I312" s="133"/>
      <c r="J312" s="140"/>
      <c r="K312" s="129"/>
      <c r="L312" s="129"/>
      <c r="M312" s="129"/>
      <c r="N312" s="129"/>
      <c r="O312" s="140"/>
      <c r="P312" s="140"/>
      <c r="Q312" s="133"/>
      <c r="R312" s="140"/>
      <c r="S312" s="133"/>
      <c r="T312" s="133"/>
    </row>
    <row r="313">
      <c r="A313" s="141"/>
      <c r="B313" s="142"/>
      <c r="C313" s="133"/>
      <c r="D313" s="133"/>
      <c r="E313" s="140"/>
      <c r="F313" s="140"/>
      <c r="G313" s="140"/>
      <c r="H313" s="133"/>
      <c r="I313" s="133"/>
      <c r="J313" s="140"/>
      <c r="K313" s="129"/>
      <c r="L313" s="129"/>
      <c r="M313" s="129"/>
      <c r="N313" s="129"/>
      <c r="O313" s="140"/>
      <c r="P313" s="140"/>
      <c r="Q313" s="133"/>
      <c r="R313" s="140"/>
      <c r="S313" s="133"/>
      <c r="T313" s="133"/>
    </row>
    <row r="314">
      <c r="A314" s="141"/>
      <c r="B314" s="142"/>
      <c r="C314" s="133"/>
      <c r="D314" s="133"/>
      <c r="E314" s="140"/>
      <c r="F314" s="140"/>
      <c r="G314" s="140"/>
      <c r="H314" s="133"/>
      <c r="I314" s="133"/>
      <c r="J314" s="140"/>
      <c r="K314" s="129"/>
      <c r="L314" s="129"/>
      <c r="M314" s="129"/>
      <c r="N314" s="129"/>
      <c r="O314" s="140"/>
      <c r="P314" s="140"/>
      <c r="Q314" s="133"/>
      <c r="R314" s="140"/>
      <c r="S314" s="133"/>
      <c r="T314" s="133"/>
    </row>
    <row r="315">
      <c r="A315" s="141"/>
      <c r="B315" s="142"/>
      <c r="C315" s="133"/>
      <c r="D315" s="133"/>
      <c r="E315" s="140"/>
      <c r="F315" s="140"/>
      <c r="G315" s="140"/>
      <c r="H315" s="133"/>
      <c r="I315" s="133"/>
      <c r="J315" s="140"/>
      <c r="K315" s="129"/>
      <c r="L315" s="129"/>
      <c r="M315" s="129"/>
      <c r="N315" s="129"/>
      <c r="O315" s="140"/>
      <c r="P315" s="140"/>
      <c r="Q315" s="133"/>
      <c r="R315" s="140"/>
      <c r="S315" s="133"/>
      <c r="T315" s="133"/>
    </row>
    <row r="316">
      <c r="A316" s="141"/>
      <c r="B316" s="142"/>
      <c r="C316" s="133"/>
      <c r="D316" s="133"/>
      <c r="E316" s="140"/>
      <c r="F316" s="140"/>
      <c r="G316" s="140"/>
      <c r="H316" s="133"/>
      <c r="I316" s="133"/>
      <c r="J316" s="140"/>
      <c r="K316" s="129"/>
      <c r="L316" s="129"/>
      <c r="M316" s="129"/>
      <c r="N316" s="129"/>
      <c r="O316" s="140"/>
      <c r="P316" s="140"/>
      <c r="Q316" s="133"/>
      <c r="R316" s="140"/>
      <c r="S316" s="133"/>
      <c r="T316" s="133"/>
    </row>
    <row r="317">
      <c r="A317" s="141"/>
      <c r="B317" s="142"/>
      <c r="C317" s="133"/>
      <c r="D317" s="133"/>
      <c r="E317" s="140"/>
      <c r="F317" s="140"/>
      <c r="G317" s="140"/>
      <c r="H317" s="133"/>
      <c r="I317" s="133"/>
      <c r="J317" s="140"/>
      <c r="K317" s="129"/>
      <c r="L317" s="129"/>
      <c r="M317" s="129"/>
      <c r="N317" s="129"/>
      <c r="O317" s="140"/>
      <c r="P317" s="140"/>
      <c r="Q317" s="133"/>
      <c r="R317" s="140"/>
      <c r="S317" s="133"/>
      <c r="T317" s="133"/>
    </row>
    <row r="318">
      <c r="A318" s="141"/>
      <c r="B318" s="142"/>
      <c r="C318" s="133"/>
      <c r="D318" s="133"/>
      <c r="E318" s="140"/>
      <c r="F318" s="140"/>
      <c r="G318" s="140"/>
      <c r="H318" s="133"/>
      <c r="I318" s="133"/>
      <c r="J318" s="140"/>
      <c r="K318" s="129"/>
      <c r="L318" s="129"/>
      <c r="M318" s="129"/>
      <c r="N318" s="129"/>
      <c r="O318" s="140"/>
      <c r="P318" s="140"/>
      <c r="Q318" s="133"/>
      <c r="R318" s="140"/>
      <c r="S318" s="133"/>
      <c r="T318" s="133"/>
    </row>
    <row r="319">
      <c r="A319" s="141"/>
      <c r="B319" s="142"/>
      <c r="C319" s="133"/>
      <c r="D319" s="133"/>
      <c r="E319" s="140"/>
      <c r="F319" s="140"/>
      <c r="G319" s="140"/>
      <c r="H319" s="133"/>
      <c r="I319" s="133"/>
      <c r="J319" s="140"/>
      <c r="K319" s="129"/>
      <c r="L319" s="129"/>
      <c r="M319" s="129"/>
      <c r="N319" s="129"/>
      <c r="O319" s="140"/>
      <c r="P319" s="140"/>
      <c r="Q319" s="133"/>
      <c r="R319" s="140"/>
      <c r="S319" s="133"/>
      <c r="T319" s="133"/>
    </row>
    <row r="320">
      <c r="A320" s="141"/>
      <c r="B320" s="142"/>
      <c r="C320" s="133"/>
      <c r="D320" s="133"/>
      <c r="E320" s="140"/>
      <c r="F320" s="140"/>
      <c r="G320" s="140"/>
      <c r="H320" s="133"/>
      <c r="I320" s="133"/>
      <c r="J320" s="140"/>
      <c r="K320" s="129"/>
      <c r="L320" s="129"/>
      <c r="M320" s="129"/>
      <c r="N320" s="129"/>
      <c r="O320" s="140"/>
      <c r="P320" s="140"/>
      <c r="Q320" s="133"/>
      <c r="R320" s="140"/>
      <c r="S320" s="133"/>
      <c r="T320" s="133"/>
    </row>
    <row r="321">
      <c r="A321" s="141"/>
      <c r="B321" s="142"/>
      <c r="C321" s="133"/>
      <c r="D321" s="133"/>
      <c r="E321" s="140"/>
      <c r="F321" s="140"/>
      <c r="G321" s="140"/>
      <c r="H321" s="133"/>
      <c r="I321" s="133"/>
      <c r="J321" s="140"/>
      <c r="K321" s="129"/>
      <c r="L321" s="129"/>
      <c r="M321" s="129"/>
      <c r="N321" s="129"/>
      <c r="O321" s="140"/>
      <c r="P321" s="140"/>
      <c r="Q321" s="133"/>
      <c r="R321" s="140"/>
      <c r="S321" s="133"/>
      <c r="T321" s="133"/>
    </row>
    <row r="322">
      <c r="A322" s="141"/>
      <c r="B322" s="142"/>
      <c r="C322" s="133"/>
      <c r="D322" s="133"/>
      <c r="E322" s="140"/>
      <c r="F322" s="140"/>
      <c r="G322" s="140"/>
      <c r="H322" s="133"/>
      <c r="I322" s="133"/>
      <c r="J322" s="140"/>
      <c r="K322" s="129"/>
      <c r="L322" s="129"/>
      <c r="M322" s="129"/>
      <c r="N322" s="129"/>
      <c r="O322" s="140"/>
      <c r="P322" s="140"/>
      <c r="Q322" s="133"/>
      <c r="R322" s="140"/>
      <c r="S322" s="133"/>
      <c r="T322" s="133"/>
    </row>
    <row r="323">
      <c r="A323" s="141"/>
      <c r="B323" s="142"/>
      <c r="C323" s="133"/>
      <c r="D323" s="133"/>
      <c r="E323" s="140"/>
      <c r="F323" s="140"/>
      <c r="G323" s="140"/>
      <c r="H323" s="133"/>
      <c r="I323" s="133"/>
      <c r="J323" s="140"/>
      <c r="K323" s="129"/>
      <c r="L323" s="129"/>
      <c r="M323" s="129"/>
      <c r="N323" s="129"/>
      <c r="O323" s="140"/>
      <c r="P323" s="140"/>
      <c r="Q323" s="133"/>
      <c r="R323" s="140"/>
      <c r="S323" s="133"/>
      <c r="T323" s="133"/>
    </row>
    <row r="324">
      <c r="A324" s="141"/>
      <c r="B324" s="142"/>
      <c r="C324" s="133"/>
      <c r="D324" s="133"/>
      <c r="E324" s="140"/>
      <c r="F324" s="140"/>
      <c r="G324" s="140"/>
      <c r="H324" s="133"/>
      <c r="I324" s="133"/>
      <c r="J324" s="140"/>
      <c r="K324" s="129"/>
      <c r="L324" s="129"/>
      <c r="M324" s="129"/>
      <c r="N324" s="129"/>
      <c r="O324" s="140"/>
      <c r="P324" s="140"/>
      <c r="Q324" s="133"/>
      <c r="R324" s="140"/>
      <c r="S324" s="133"/>
      <c r="T324" s="133"/>
    </row>
    <row r="325">
      <c r="A325" s="141"/>
      <c r="B325" s="142"/>
      <c r="C325" s="133"/>
      <c r="D325" s="133"/>
      <c r="E325" s="140"/>
      <c r="F325" s="140"/>
      <c r="G325" s="140"/>
      <c r="H325" s="133"/>
      <c r="I325" s="133"/>
      <c r="J325" s="140"/>
      <c r="K325" s="129"/>
      <c r="L325" s="129"/>
      <c r="M325" s="129"/>
      <c r="N325" s="129"/>
      <c r="O325" s="140"/>
      <c r="P325" s="140"/>
      <c r="Q325" s="133"/>
      <c r="R325" s="140"/>
      <c r="S325" s="133"/>
      <c r="T325" s="133"/>
    </row>
    <row r="326">
      <c r="A326" s="141"/>
      <c r="B326" s="142"/>
      <c r="C326" s="133"/>
      <c r="D326" s="133"/>
      <c r="E326" s="140"/>
      <c r="F326" s="140"/>
      <c r="G326" s="140"/>
      <c r="H326" s="133"/>
      <c r="I326" s="133"/>
      <c r="J326" s="140"/>
      <c r="K326" s="129"/>
      <c r="L326" s="129"/>
      <c r="M326" s="129"/>
      <c r="N326" s="129"/>
      <c r="O326" s="140"/>
      <c r="P326" s="140"/>
      <c r="Q326" s="133"/>
      <c r="R326" s="140"/>
      <c r="S326" s="133"/>
      <c r="T326" s="133"/>
    </row>
    <row r="327">
      <c r="A327" s="141"/>
      <c r="B327" s="142"/>
      <c r="C327" s="133"/>
      <c r="D327" s="133"/>
      <c r="E327" s="140"/>
      <c r="F327" s="140"/>
      <c r="G327" s="140"/>
      <c r="H327" s="133"/>
      <c r="I327" s="133"/>
      <c r="J327" s="140"/>
      <c r="K327" s="129"/>
      <c r="L327" s="129"/>
      <c r="M327" s="129"/>
      <c r="N327" s="129"/>
      <c r="O327" s="140"/>
      <c r="P327" s="140"/>
      <c r="Q327" s="133"/>
      <c r="R327" s="140"/>
      <c r="S327" s="133"/>
      <c r="T327" s="133"/>
    </row>
    <row r="328">
      <c r="A328" s="141"/>
      <c r="B328" s="142"/>
      <c r="C328" s="133"/>
      <c r="D328" s="133"/>
      <c r="E328" s="140"/>
      <c r="F328" s="140"/>
      <c r="G328" s="140"/>
      <c r="H328" s="133"/>
      <c r="I328" s="133"/>
      <c r="J328" s="140"/>
      <c r="K328" s="129"/>
      <c r="L328" s="129"/>
      <c r="M328" s="129"/>
      <c r="N328" s="129"/>
      <c r="O328" s="140"/>
      <c r="P328" s="140"/>
      <c r="Q328" s="133"/>
      <c r="R328" s="140"/>
      <c r="S328" s="133"/>
      <c r="T328" s="133"/>
    </row>
    <row r="329">
      <c r="A329" s="141"/>
      <c r="B329" s="142"/>
      <c r="C329" s="133"/>
      <c r="D329" s="133"/>
      <c r="E329" s="140"/>
      <c r="F329" s="140"/>
      <c r="G329" s="140"/>
      <c r="H329" s="133"/>
      <c r="I329" s="133"/>
      <c r="J329" s="140"/>
      <c r="K329" s="129"/>
      <c r="L329" s="129"/>
      <c r="M329" s="129"/>
      <c r="N329" s="129"/>
      <c r="O329" s="140"/>
      <c r="P329" s="140"/>
      <c r="Q329" s="133"/>
      <c r="R329" s="140"/>
      <c r="S329" s="133"/>
      <c r="T329" s="133"/>
    </row>
    <row r="330">
      <c r="A330" s="141"/>
      <c r="B330" s="142"/>
      <c r="C330" s="133"/>
      <c r="D330" s="133"/>
      <c r="E330" s="140"/>
      <c r="F330" s="140"/>
      <c r="G330" s="140"/>
      <c r="H330" s="133"/>
      <c r="I330" s="133"/>
      <c r="J330" s="140"/>
      <c r="K330" s="129"/>
      <c r="L330" s="129"/>
      <c r="M330" s="129"/>
      <c r="N330" s="129"/>
      <c r="O330" s="140"/>
      <c r="P330" s="140"/>
      <c r="Q330" s="133"/>
      <c r="R330" s="140"/>
      <c r="S330" s="133"/>
      <c r="T330" s="133"/>
    </row>
    <row r="331">
      <c r="A331" s="141"/>
      <c r="B331" s="142"/>
      <c r="C331" s="133"/>
      <c r="D331" s="133"/>
      <c r="E331" s="140"/>
      <c r="F331" s="140"/>
      <c r="G331" s="140"/>
      <c r="H331" s="133"/>
      <c r="I331" s="133"/>
      <c r="J331" s="140"/>
      <c r="K331" s="129"/>
      <c r="L331" s="129"/>
      <c r="M331" s="129"/>
      <c r="N331" s="129"/>
      <c r="O331" s="140"/>
      <c r="P331" s="140"/>
      <c r="Q331" s="133"/>
      <c r="R331" s="140"/>
      <c r="S331" s="133"/>
      <c r="T331" s="133"/>
    </row>
    <row r="332">
      <c r="A332" s="141"/>
      <c r="B332" s="142"/>
      <c r="C332" s="133"/>
      <c r="D332" s="133"/>
      <c r="E332" s="140"/>
      <c r="F332" s="140"/>
      <c r="G332" s="140"/>
      <c r="H332" s="133"/>
      <c r="I332" s="133"/>
      <c r="J332" s="140"/>
      <c r="K332" s="129"/>
      <c r="L332" s="129"/>
      <c r="M332" s="129"/>
      <c r="N332" s="129"/>
      <c r="O332" s="140"/>
      <c r="P332" s="140"/>
      <c r="Q332" s="133"/>
      <c r="R332" s="140"/>
      <c r="S332" s="133"/>
      <c r="T332" s="133"/>
    </row>
    <row r="333">
      <c r="A333" s="141"/>
      <c r="B333" s="142"/>
      <c r="C333" s="133"/>
      <c r="D333" s="133"/>
      <c r="E333" s="140"/>
      <c r="F333" s="140"/>
      <c r="G333" s="140"/>
      <c r="H333" s="133"/>
      <c r="I333" s="133"/>
      <c r="J333" s="140"/>
      <c r="K333" s="129"/>
      <c r="L333" s="129"/>
      <c r="M333" s="129"/>
      <c r="N333" s="129"/>
      <c r="O333" s="140"/>
      <c r="P333" s="140"/>
      <c r="Q333" s="133"/>
      <c r="R333" s="140"/>
      <c r="S333" s="133"/>
      <c r="T333" s="133"/>
    </row>
    <row r="334">
      <c r="A334" s="141"/>
      <c r="B334" s="142"/>
      <c r="C334" s="133"/>
      <c r="D334" s="133"/>
      <c r="E334" s="140"/>
      <c r="F334" s="140"/>
      <c r="G334" s="140"/>
      <c r="H334" s="133"/>
      <c r="I334" s="133"/>
      <c r="J334" s="140"/>
      <c r="K334" s="129"/>
      <c r="L334" s="129"/>
      <c r="M334" s="129"/>
      <c r="N334" s="129"/>
      <c r="O334" s="140"/>
      <c r="P334" s="140"/>
      <c r="Q334" s="133"/>
      <c r="R334" s="140"/>
      <c r="S334" s="133"/>
      <c r="T334" s="133"/>
    </row>
    <row r="335">
      <c r="A335" s="141"/>
      <c r="B335" s="142"/>
      <c r="C335" s="133"/>
      <c r="D335" s="133"/>
      <c r="E335" s="140"/>
      <c r="F335" s="140"/>
      <c r="G335" s="140"/>
      <c r="H335" s="133"/>
      <c r="I335" s="133"/>
      <c r="J335" s="140"/>
      <c r="K335" s="129"/>
      <c r="L335" s="129"/>
      <c r="M335" s="129"/>
      <c r="N335" s="129"/>
      <c r="O335" s="140"/>
      <c r="P335" s="140"/>
      <c r="Q335" s="133"/>
      <c r="R335" s="140"/>
      <c r="S335" s="133"/>
      <c r="T335" s="133"/>
    </row>
    <row r="336">
      <c r="A336" s="141"/>
      <c r="B336" s="142"/>
      <c r="C336" s="133"/>
      <c r="D336" s="133"/>
      <c r="E336" s="140"/>
      <c r="F336" s="140"/>
      <c r="G336" s="140"/>
      <c r="H336" s="133"/>
      <c r="I336" s="133"/>
      <c r="J336" s="140"/>
      <c r="K336" s="129"/>
      <c r="L336" s="129"/>
      <c r="M336" s="129"/>
      <c r="N336" s="129"/>
      <c r="O336" s="140"/>
      <c r="P336" s="140"/>
      <c r="Q336" s="133"/>
      <c r="R336" s="140"/>
      <c r="S336" s="133"/>
      <c r="T336" s="133"/>
    </row>
    <row r="337">
      <c r="A337" s="141"/>
      <c r="B337" s="142"/>
      <c r="C337" s="133"/>
      <c r="D337" s="133"/>
      <c r="E337" s="140"/>
      <c r="F337" s="140"/>
      <c r="G337" s="140"/>
      <c r="H337" s="133"/>
      <c r="I337" s="133"/>
      <c r="J337" s="140"/>
      <c r="K337" s="129"/>
      <c r="L337" s="129"/>
      <c r="M337" s="129"/>
      <c r="N337" s="129"/>
      <c r="O337" s="140"/>
      <c r="P337" s="140"/>
      <c r="Q337" s="133"/>
      <c r="R337" s="140"/>
      <c r="S337" s="133"/>
      <c r="T337" s="133"/>
    </row>
    <row r="338">
      <c r="A338" s="141"/>
      <c r="B338" s="142"/>
      <c r="C338" s="133"/>
      <c r="D338" s="133"/>
      <c r="E338" s="140"/>
      <c r="F338" s="140"/>
      <c r="G338" s="140"/>
      <c r="H338" s="133"/>
      <c r="I338" s="133"/>
      <c r="J338" s="140"/>
      <c r="K338" s="129"/>
      <c r="L338" s="129"/>
      <c r="M338" s="129"/>
      <c r="N338" s="129"/>
      <c r="O338" s="140"/>
      <c r="P338" s="140"/>
      <c r="Q338" s="133"/>
      <c r="R338" s="140"/>
      <c r="S338" s="133"/>
      <c r="T338" s="133"/>
    </row>
    <row r="339">
      <c r="A339" s="141"/>
      <c r="B339" s="142"/>
      <c r="C339" s="133"/>
      <c r="D339" s="133"/>
      <c r="E339" s="140"/>
      <c r="F339" s="140"/>
      <c r="G339" s="140"/>
      <c r="H339" s="133"/>
      <c r="I339" s="133"/>
      <c r="J339" s="140"/>
      <c r="K339" s="129"/>
      <c r="L339" s="129"/>
      <c r="M339" s="129"/>
      <c r="N339" s="129"/>
      <c r="O339" s="140"/>
      <c r="P339" s="140"/>
      <c r="Q339" s="133"/>
      <c r="R339" s="140"/>
      <c r="S339" s="133"/>
      <c r="T339" s="133"/>
    </row>
    <row r="340">
      <c r="A340" s="141"/>
      <c r="B340" s="142"/>
      <c r="C340" s="133"/>
      <c r="D340" s="133"/>
      <c r="E340" s="140"/>
      <c r="F340" s="140"/>
      <c r="G340" s="140"/>
      <c r="H340" s="133"/>
      <c r="I340" s="133"/>
      <c r="J340" s="140"/>
      <c r="K340" s="129"/>
      <c r="L340" s="129"/>
      <c r="M340" s="129"/>
      <c r="N340" s="129"/>
      <c r="O340" s="140"/>
      <c r="P340" s="140"/>
      <c r="Q340" s="133"/>
      <c r="R340" s="140"/>
      <c r="S340" s="133"/>
      <c r="T340" s="133"/>
    </row>
    <row r="341">
      <c r="A341" s="141"/>
      <c r="B341" s="142"/>
      <c r="C341" s="133"/>
      <c r="D341" s="133"/>
      <c r="E341" s="140"/>
      <c r="F341" s="140"/>
      <c r="G341" s="140"/>
      <c r="H341" s="133"/>
      <c r="I341" s="133"/>
      <c r="J341" s="140"/>
      <c r="K341" s="129"/>
      <c r="L341" s="129"/>
      <c r="M341" s="129"/>
      <c r="N341" s="129"/>
      <c r="O341" s="140"/>
      <c r="P341" s="140"/>
      <c r="Q341" s="133"/>
      <c r="R341" s="140"/>
      <c r="S341" s="133"/>
      <c r="T341" s="133"/>
    </row>
    <row r="342">
      <c r="A342" s="141"/>
      <c r="B342" s="142"/>
      <c r="C342" s="133"/>
      <c r="D342" s="133"/>
      <c r="E342" s="140"/>
      <c r="F342" s="140"/>
      <c r="G342" s="140"/>
      <c r="H342" s="133"/>
      <c r="I342" s="133"/>
      <c r="J342" s="140"/>
      <c r="K342" s="129"/>
      <c r="L342" s="129"/>
      <c r="M342" s="129"/>
      <c r="N342" s="129"/>
      <c r="O342" s="140"/>
      <c r="P342" s="140"/>
      <c r="Q342" s="133"/>
      <c r="R342" s="140"/>
      <c r="S342" s="133"/>
      <c r="T342" s="133"/>
    </row>
    <row r="343">
      <c r="A343" s="141"/>
      <c r="B343" s="142"/>
      <c r="C343" s="133"/>
      <c r="D343" s="133"/>
      <c r="E343" s="140"/>
      <c r="F343" s="140"/>
      <c r="G343" s="140"/>
      <c r="H343" s="133"/>
      <c r="I343" s="133"/>
      <c r="J343" s="140"/>
      <c r="K343" s="129"/>
      <c r="L343" s="129"/>
      <c r="M343" s="129"/>
      <c r="N343" s="129"/>
      <c r="O343" s="140"/>
      <c r="P343" s="140"/>
      <c r="Q343" s="133"/>
      <c r="R343" s="140"/>
      <c r="S343" s="133"/>
      <c r="T343" s="133"/>
    </row>
    <row r="344">
      <c r="A344" s="141"/>
      <c r="B344" s="142"/>
      <c r="C344" s="133"/>
      <c r="D344" s="133"/>
      <c r="E344" s="140"/>
      <c r="F344" s="140"/>
      <c r="G344" s="140"/>
      <c r="H344" s="133"/>
      <c r="I344" s="133"/>
      <c r="J344" s="140"/>
      <c r="K344" s="129"/>
      <c r="L344" s="129"/>
      <c r="M344" s="129"/>
      <c r="N344" s="129"/>
      <c r="O344" s="140"/>
      <c r="P344" s="140"/>
      <c r="Q344" s="133"/>
      <c r="R344" s="140"/>
      <c r="S344" s="133"/>
      <c r="T344" s="133"/>
    </row>
    <row r="345">
      <c r="A345" s="141"/>
      <c r="B345" s="142"/>
      <c r="C345" s="133"/>
      <c r="D345" s="133"/>
      <c r="E345" s="140"/>
      <c r="F345" s="140"/>
      <c r="G345" s="140"/>
      <c r="H345" s="133"/>
      <c r="I345" s="133"/>
      <c r="J345" s="140"/>
      <c r="K345" s="129"/>
      <c r="L345" s="129"/>
      <c r="M345" s="129"/>
      <c r="N345" s="129"/>
      <c r="O345" s="140"/>
      <c r="P345" s="140"/>
      <c r="Q345" s="133"/>
      <c r="R345" s="140"/>
      <c r="S345" s="133"/>
      <c r="T345" s="133"/>
    </row>
    <row r="346">
      <c r="A346" s="141"/>
      <c r="B346" s="142"/>
      <c r="C346" s="133"/>
      <c r="D346" s="133"/>
      <c r="E346" s="140"/>
      <c r="F346" s="140"/>
      <c r="G346" s="140"/>
      <c r="H346" s="133"/>
      <c r="I346" s="133"/>
      <c r="J346" s="140"/>
      <c r="K346" s="129"/>
      <c r="L346" s="129"/>
      <c r="M346" s="129"/>
      <c r="N346" s="129"/>
      <c r="O346" s="140"/>
      <c r="P346" s="140"/>
      <c r="Q346" s="133"/>
      <c r="R346" s="140"/>
      <c r="S346" s="133"/>
      <c r="T346" s="133"/>
    </row>
    <row r="347">
      <c r="A347" s="141"/>
      <c r="B347" s="142"/>
      <c r="C347" s="133"/>
      <c r="D347" s="133"/>
      <c r="E347" s="140"/>
      <c r="F347" s="140"/>
      <c r="G347" s="140"/>
      <c r="H347" s="133"/>
      <c r="I347" s="133"/>
      <c r="J347" s="140"/>
      <c r="K347" s="129"/>
      <c r="L347" s="129"/>
      <c r="M347" s="129"/>
      <c r="N347" s="129"/>
      <c r="O347" s="140"/>
      <c r="P347" s="140"/>
      <c r="Q347" s="133"/>
      <c r="R347" s="140"/>
      <c r="S347" s="133"/>
      <c r="T347" s="133"/>
    </row>
    <row r="348">
      <c r="A348" s="141"/>
      <c r="B348" s="142"/>
      <c r="C348" s="133"/>
      <c r="D348" s="133"/>
      <c r="E348" s="140"/>
      <c r="F348" s="140"/>
      <c r="G348" s="140"/>
      <c r="H348" s="133"/>
      <c r="I348" s="133"/>
      <c r="J348" s="140"/>
      <c r="K348" s="129"/>
      <c r="L348" s="129"/>
      <c r="M348" s="129"/>
      <c r="N348" s="129"/>
      <c r="O348" s="140"/>
      <c r="P348" s="140"/>
      <c r="Q348" s="133"/>
      <c r="R348" s="140"/>
      <c r="S348" s="133"/>
      <c r="T348" s="133"/>
    </row>
    <row r="349">
      <c r="A349" s="141"/>
      <c r="B349" s="142"/>
      <c r="C349" s="133"/>
      <c r="D349" s="133"/>
      <c r="E349" s="140"/>
      <c r="F349" s="140"/>
      <c r="G349" s="140"/>
      <c r="H349" s="133"/>
      <c r="I349" s="133"/>
      <c r="J349" s="140"/>
      <c r="K349" s="129"/>
      <c r="L349" s="129"/>
      <c r="M349" s="129"/>
      <c r="N349" s="129"/>
      <c r="O349" s="140"/>
      <c r="P349" s="140"/>
      <c r="Q349" s="133"/>
      <c r="R349" s="140"/>
      <c r="S349" s="133"/>
      <c r="T349" s="133"/>
    </row>
    <row r="350">
      <c r="A350" s="141"/>
      <c r="B350" s="142"/>
      <c r="C350" s="133"/>
      <c r="D350" s="133"/>
      <c r="E350" s="140"/>
      <c r="F350" s="140"/>
      <c r="G350" s="140"/>
      <c r="H350" s="133"/>
      <c r="I350" s="133"/>
      <c r="J350" s="140"/>
      <c r="K350" s="129"/>
      <c r="L350" s="129"/>
      <c r="M350" s="129"/>
      <c r="N350" s="129"/>
      <c r="O350" s="140"/>
      <c r="P350" s="140"/>
      <c r="Q350" s="133"/>
      <c r="R350" s="140"/>
      <c r="S350" s="133"/>
      <c r="T350" s="133"/>
    </row>
    <row r="351">
      <c r="A351" s="141"/>
      <c r="B351" s="142"/>
      <c r="C351" s="133"/>
      <c r="D351" s="133"/>
      <c r="E351" s="140"/>
      <c r="F351" s="140"/>
      <c r="G351" s="140"/>
      <c r="H351" s="133"/>
      <c r="I351" s="133"/>
      <c r="J351" s="140"/>
      <c r="K351" s="129"/>
      <c r="L351" s="129"/>
      <c r="M351" s="129"/>
      <c r="N351" s="129"/>
      <c r="O351" s="140"/>
      <c r="P351" s="140"/>
      <c r="Q351" s="133"/>
      <c r="R351" s="140"/>
      <c r="S351" s="133"/>
      <c r="T351" s="133"/>
    </row>
    <row r="352">
      <c r="A352" s="141"/>
      <c r="B352" s="142"/>
      <c r="C352" s="133"/>
      <c r="D352" s="133"/>
      <c r="E352" s="140"/>
      <c r="F352" s="140"/>
      <c r="G352" s="140"/>
      <c r="H352" s="133"/>
      <c r="I352" s="133"/>
      <c r="J352" s="140"/>
      <c r="K352" s="129"/>
      <c r="L352" s="129"/>
      <c r="M352" s="129"/>
      <c r="N352" s="129"/>
      <c r="O352" s="140"/>
      <c r="P352" s="140"/>
      <c r="Q352" s="133"/>
      <c r="R352" s="140"/>
      <c r="S352" s="133"/>
      <c r="T352" s="133"/>
    </row>
    <row r="353">
      <c r="A353" s="141"/>
      <c r="B353" s="142"/>
      <c r="C353" s="133"/>
      <c r="D353" s="133"/>
      <c r="E353" s="140"/>
      <c r="F353" s="140"/>
      <c r="G353" s="140"/>
      <c r="H353" s="133"/>
      <c r="I353" s="133"/>
      <c r="J353" s="140"/>
      <c r="K353" s="129"/>
      <c r="L353" s="129"/>
      <c r="M353" s="129"/>
      <c r="N353" s="129"/>
      <c r="O353" s="140"/>
      <c r="P353" s="140"/>
      <c r="Q353" s="133"/>
      <c r="R353" s="140"/>
      <c r="S353" s="133"/>
      <c r="T353" s="133"/>
    </row>
    <row r="354">
      <c r="A354" s="141"/>
      <c r="B354" s="142"/>
      <c r="C354" s="133"/>
      <c r="D354" s="133"/>
      <c r="E354" s="140"/>
      <c r="F354" s="140"/>
      <c r="G354" s="140"/>
      <c r="H354" s="133"/>
      <c r="I354" s="133"/>
      <c r="J354" s="140"/>
      <c r="K354" s="129"/>
      <c r="L354" s="129"/>
      <c r="M354" s="129"/>
      <c r="N354" s="129"/>
      <c r="O354" s="140"/>
      <c r="P354" s="140"/>
      <c r="Q354" s="133"/>
      <c r="R354" s="140"/>
      <c r="S354" s="133"/>
      <c r="T354" s="133"/>
    </row>
    <row r="355">
      <c r="A355" s="141"/>
      <c r="B355" s="142"/>
      <c r="C355" s="133"/>
      <c r="D355" s="133"/>
      <c r="E355" s="140"/>
      <c r="F355" s="140"/>
      <c r="G355" s="140"/>
      <c r="H355" s="133"/>
      <c r="I355" s="133"/>
      <c r="J355" s="140"/>
      <c r="K355" s="129"/>
      <c r="L355" s="129"/>
      <c r="M355" s="129"/>
      <c r="N355" s="129"/>
      <c r="O355" s="140"/>
      <c r="P355" s="140"/>
      <c r="Q355" s="133"/>
      <c r="R355" s="140"/>
      <c r="S355" s="133"/>
      <c r="T355" s="133"/>
    </row>
    <row r="356">
      <c r="A356" s="141"/>
      <c r="B356" s="142"/>
      <c r="C356" s="133"/>
      <c r="D356" s="133"/>
      <c r="E356" s="140"/>
      <c r="F356" s="140"/>
      <c r="G356" s="140"/>
      <c r="H356" s="133"/>
      <c r="I356" s="133"/>
      <c r="J356" s="140"/>
      <c r="K356" s="129"/>
      <c r="L356" s="129"/>
      <c r="M356" s="129"/>
      <c r="N356" s="129"/>
      <c r="O356" s="140"/>
      <c r="P356" s="140"/>
      <c r="Q356" s="133"/>
      <c r="R356" s="140"/>
      <c r="S356" s="133"/>
      <c r="T356" s="133"/>
    </row>
    <row r="357">
      <c r="A357" s="141"/>
      <c r="B357" s="142"/>
      <c r="C357" s="133"/>
      <c r="D357" s="133"/>
      <c r="E357" s="140"/>
      <c r="F357" s="140"/>
      <c r="G357" s="140"/>
      <c r="H357" s="133"/>
      <c r="I357" s="133"/>
      <c r="J357" s="140"/>
      <c r="K357" s="129"/>
      <c r="L357" s="129"/>
      <c r="M357" s="129"/>
      <c r="N357" s="129"/>
      <c r="O357" s="140"/>
      <c r="P357" s="140"/>
      <c r="Q357" s="133"/>
      <c r="R357" s="140"/>
      <c r="S357" s="133"/>
      <c r="T357" s="133"/>
    </row>
    <row r="358">
      <c r="A358" s="141"/>
      <c r="B358" s="142"/>
      <c r="C358" s="133"/>
      <c r="D358" s="133"/>
      <c r="E358" s="140"/>
      <c r="F358" s="140"/>
      <c r="G358" s="140"/>
      <c r="H358" s="133"/>
      <c r="I358" s="133"/>
      <c r="J358" s="140"/>
      <c r="K358" s="129"/>
      <c r="L358" s="129"/>
      <c r="M358" s="129"/>
      <c r="N358" s="129"/>
      <c r="O358" s="140"/>
      <c r="P358" s="140"/>
      <c r="Q358" s="133"/>
      <c r="R358" s="140"/>
      <c r="S358" s="133"/>
      <c r="T358" s="133"/>
    </row>
    <row r="359">
      <c r="A359" s="141"/>
      <c r="B359" s="142"/>
      <c r="C359" s="133"/>
      <c r="D359" s="133"/>
      <c r="E359" s="140"/>
      <c r="F359" s="140"/>
      <c r="G359" s="140"/>
      <c r="H359" s="133"/>
      <c r="I359" s="133"/>
      <c r="J359" s="140"/>
      <c r="K359" s="129"/>
      <c r="L359" s="129"/>
      <c r="M359" s="129"/>
      <c r="N359" s="129"/>
      <c r="O359" s="140"/>
      <c r="P359" s="140"/>
      <c r="Q359" s="133"/>
      <c r="R359" s="140"/>
      <c r="S359" s="133"/>
      <c r="T359" s="133"/>
    </row>
    <row r="360">
      <c r="A360" s="141"/>
      <c r="B360" s="142"/>
      <c r="C360" s="133"/>
      <c r="D360" s="133"/>
      <c r="E360" s="140"/>
      <c r="F360" s="140"/>
      <c r="G360" s="140"/>
      <c r="H360" s="133"/>
      <c r="I360" s="133"/>
      <c r="J360" s="140"/>
      <c r="K360" s="129"/>
      <c r="L360" s="129"/>
      <c r="M360" s="129"/>
      <c r="N360" s="129"/>
      <c r="O360" s="140"/>
      <c r="P360" s="140"/>
      <c r="Q360" s="133"/>
      <c r="R360" s="140"/>
      <c r="S360" s="133"/>
      <c r="T360" s="133"/>
    </row>
    <row r="361">
      <c r="A361" s="141"/>
      <c r="B361" s="142"/>
      <c r="C361" s="133"/>
      <c r="D361" s="133"/>
      <c r="E361" s="140"/>
      <c r="F361" s="140"/>
      <c r="G361" s="140"/>
      <c r="H361" s="133"/>
      <c r="I361" s="133"/>
      <c r="J361" s="140"/>
      <c r="K361" s="129"/>
      <c r="L361" s="129"/>
      <c r="M361" s="129"/>
      <c r="N361" s="129"/>
      <c r="O361" s="140"/>
      <c r="P361" s="140"/>
      <c r="Q361" s="133"/>
      <c r="R361" s="140"/>
      <c r="S361" s="133"/>
      <c r="T361" s="133"/>
    </row>
    <row r="362">
      <c r="A362" s="141"/>
      <c r="B362" s="142"/>
      <c r="C362" s="133"/>
      <c r="D362" s="133"/>
      <c r="E362" s="140"/>
      <c r="F362" s="140"/>
      <c r="G362" s="140"/>
      <c r="H362" s="133"/>
      <c r="I362" s="133"/>
      <c r="J362" s="140"/>
      <c r="K362" s="129"/>
      <c r="L362" s="129"/>
      <c r="M362" s="129"/>
      <c r="N362" s="129"/>
      <c r="O362" s="140"/>
      <c r="P362" s="140"/>
      <c r="Q362" s="133"/>
      <c r="R362" s="140"/>
      <c r="S362" s="133"/>
      <c r="T362" s="133"/>
    </row>
    <row r="363">
      <c r="A363" s="141"/>
      <c r="B363" s="142"/>
      <c r="C363" s="133"/>
      <c r="D363" s="133"/>
      <c r="E363" s="140"/>
      <c r="F363" s="140"/>
      <c r="G363" s="140"/>
      <c r="H363" s="133"/>
      <c r="I363" s="133"/>
      <c r="J363" s="140"/>
      <c r="K363" s="129"/>
      <c r="L363" s="129"/>
      <c r="M363" s="129"/>
      <c r="N363" s="129"/>
      <c r="O363" s="140"/>
      <c r="P363" s="140"/>
      <c r="Q363" s="133"/>
      <c r="R363" s="140"/>
      <c r="S363" s="133"/>
      <c r="T363" s="133"/>
    </row>
    <row r="364">
      <c r="A364" s="141"/>
      <c r="B364" s="142"/>
      <c r="C364" s="133"/>
      <c r="D364" s="133"/>
      <c r="E364" s="140"/>
      <c r="F364" s="140"/>
      <c r="G364" s="140"/>
      <c r="H364" s="133"/>
      <c r="I364" s="133"/>
      <c r="J364" s="140"/>
      <c r="K364" s="129"/>
      <c r="L364" s="129"/>
      <c r="M364" s="129"/>
      <c r="N364" s="129"/>
      <c r="O364" s="140"/>
      <c r="P364" s="140"/>
      <c r="Q364" s="133"/>
      <c r="R364" s="140"/>
      <c r="S364" s="133"/>
      <c r="T364" s="133"/>
    </row>
    <row r="365">
      <c r="A365" s="141"/>
      <c r="B365" s="142"/>
      <c r="C365" s="133"/>
      <c r="D365" s="133"/>
      <c r="E365" s="140"/>
      <c r="F365" s="140"/>
      <c r="G365" s="140"/>
      <c r="H365" s="133"/>
      <c r="I365" s="133"/>
      <c r="J365" s="140"/>
      <c r="K365" s="129"/>
      <c r="L365" s="129"/>
      <c r="M365" s="129"/>
      <c r="N365" s="129"/>
      <c r="O365" s="140"/>
      <c r="P365" s="140"/>
      <c r="Q365" s="133"/>
      <c r="R365" s="140"/>
      <c r="S365" s="133"/>
      <c r="T365" s="133"/>
    </row>
    <row r="366">
      <c r="A366" s="141"/>
      <c r="B366" s="142"/>
      <c r="C366" s="133"/>
      <c r="D366" s="133"/>
      <c r="E366" s="140"/>
      <c r="F366" s="140"/>
      <c r="G366" s="140"/>
      <c r="H366" s="133"/>
      <c r="I366" s="133"/>
      <c r="J366" s="140"/>
      <c r="K366" s="129"/>
      <c r="L366" s="129"/>
      <c r="M366" s="129"/>
      <c r="N366" s="129"/>
      <c r="O366" s="140"/>
      <c r="P366" s="140"/>
      <c r="Q366" s="133"/>
      <c r="R366" s="140"/>
      <c r="S366" s="133"/>
      <c r="T366" s="133"/>
    </row>
    <row r="367">
      <c r="A367" s="141"/>
      <c r="B367" s="142"/>
      <c r="C367" s="133"/>
      <c r="D367" s="133"/>
      <c r="E367" s="140"/>
      <c r="F367" s="140"/>
      <c r="G367" s="140"/>
      <c r="H367" s="133"/>
      <c r="I367" s="133"/>
      <c r="J367" s="140"/>
      <c r="K367" s="129"/>
      <c r="L367" s="129"/>
      <c r="M367" s="129"/>
      <c r="N367" s="129"/>
      <c r="O367" s="140"/>
      <c r="P367" s="140"/>
      <c r="Q367" s="133"/>
      <c r="R367" s="140"/>
      <c r="S367" s="133"/>
      <c r="T367" s="133"/>
    </row>
    <row r="368">
      <c r="A368" s="141"/>
      <c r="B368" s="142"/>
      <c r="C368" s="133"/>
      <c r="D368" s="133"/>
      <c r="E368" s="140"/>
      <c r="F368" s="140"/>
      <c r="G368" s="140"/>
      <c r="H368" s="133"/>
      <c r="I368" s="133"/>
      <c r="J368" s="140"/>
      <c r="K368" s="129"/>
      <c r="L368" s="129"/>
      <c r="M368" s="129"/>
      <c r="N368" s="129"/>
      <c r="O368" s="140"/>
      <c r="P368" s="140"/>
      <c r="Q368" s="133"/>
      <c r="R368" s="140"/>
      <c r="S368" s="133"/>
      <c r="T368" s="133"/>
    </row>
    <row r="369">
      <c r="A369" s="141"/>
      <c r="B369" s="142"/>
      <c r="C369" s="133"/>
      <c r="D369" s="133"/>
      <c r="E369" s="140"/>
      <c r="F369" s="140"/>
      <c r="G369" s="140"/>
      <c r="H369" s="133"/>
      <c r="I369" s="133"/>
      <c r="J369" s="140"/>
      <c r="K369" s="129"/>
      <c r="L369" s="129"/>
      <c r="M369" s="129"/>
      <c r="N369" s="129"/>
      <c r="O369" s="140"/>
      <c r="P369" s="140"/>
      <c r="Q369" s="133"/>
      <c r="R369" s="140"/>
      <c r="S369" s="133"/>
      <c r="T369" s="133"/>
    </row>
    <row r="370">
      <c r="A370" s="141"/>
      <c r="B370" s="142"/>
      <c r="C370" s="133"/>
      <c r="D370" s="133"/>
      <c r="E370" s="140"/>
      <c r="F370" s="140"/>
      <c r="G370" s="140"/>
      <c r="H370" s="133"/>
      <c r="I370" s="133"/>
      <c r="J370" s="140"/>
      <c r="K370" s="129"/>
      <c r="L370" s="129"/>
      <c r="M370" s="129"/>
      <c r="N370" s="129"/>
      <c r="O370" s="140"/>
      <c r="P370" s="140"/>
      <c r="Q370" s="133"/>
      <c r="R370" s="140"/>
      <c r="S370" s="133"/>
      <c r="T370" s="133"/>
    </row>
    <row r="371">
      <c r="A371" s="141"/>
      <c r="B371" s="142"/>
      <c r="C371" s="133"/>
      <c r="D371" s="133"/>
      <c r="E371" s="140"/>
      <c r="F371" s="140"/>
      <c r="G371" s="140"/>
      <c r="H371" s="133"/>
      <c r="I371" s="133"/>
      <c r="J371" s="140"/>
      <c r="K371" s="129"/>
      <c r="L371" s="129"/>
      <c r="M371" s="129"/>
      <c r="N371" s="129"/>
      <c r="O371" s="140"/>
      <c r="P371" s="140"/>
      <c r="Q371" s="133"/>
      <c r="R371" s="140"/>
      <c r="S371" s="133"/>
      <c r="T371" s="133"/>
    </row>
    <row r="372">
      <c r="A372" s="141"/>
      <c r="B372" s="142"/>
      <c r="C372" s="133"/>
      <c r="D372" s="133"/>
      <c r="E372" s="140"/>
      <c r="F372" s="140"/>
      <c r="G372" s="140"/>
      <c r="H372" s="133"/>
      <c r="I372" s="133"/>
      <c r="J372" s="140"/>
      <c r="K372" s="129"/>
      <c r="L372" s="129"/>
      <c r="M372" s="129"/>
      <c r="N372" s="129"/>
      <c r="O372" s="140"/>
      <c r="P372" s="140"/>
      <c r="Q372" s="133"/>
      <c r="R372" s="140"/>
      <c r="S372" s="133"/>
      <c r="T372" s="133"/>
    </row>
    <row r="373">
      <c r="A373" s="141"/>
      <c r="B373" s="142"/>
      <c r="C373" s="133"/>
      <c r="D373" s="133"/>
      <c r="E373" s="140"/>
      <c r="F373" s="140"/>
      <c r="G373" s="140"/>
      <c r="H373" s="133"/>
      <c r="I373" s="133"/>
      <c r="J373" s="140"/>
      <c r="K373" s="129"/>
      <c r="L373" s="129"/>
      <c r="M373" s="129"/>
      <c r="N373" s="129"/>
      <c r="O373" s="140"/>
      <c r="P373" s="140"/>
      <c r="Q373" s="133"/>
      <c r="R373" s="140"/>
      <c r="S373" s="133"/>
      <c r="T373" s="133"/>
    </row>
    <row r="374">
      <c r="A374" s="141"/>
      <c r="B374" s="142"/>
      <c r="C374" s="133"/>
      <c r="D374" s="133"/>
      <c r="E374" s="140"/>
      <c r="F374" s="140"/>
      <c r="G374" s="140"/>
      <c r="H374" s="133"/>
      <c r="I374" s="133"/>
      <c r="J374" s="140"/>
      <c r="K374" s="129"/>
      <c r="L374" s="129"/>
      <c r="M374" s="129"/>
      <c r="N374" s="129"/>
      <c r="O374" s="140"/>
      <c r="P374" s="140"/>
      <c r="Q374" s="133"/>
      <c r="R374" s="140"/>
      <c r="S374" s="133"/>
      <c r="T374" s="133"/>
    </row>
    <row r="375">
      <c r="A375" s="141"/>
      <c r="B375" s="142"/>
      <c r="C375" s="133"/>
      <c r="D375" s="133"/>
      <c r="E375" s="140"/>
      <c r="F375" s="140"/>
      <c r="G375" s="140"/>
      <c r="H375" s="133"/>
      <c r="I375" s="133"/>
      <c r="J375" s="140"/>
      <c r="K375" s="129"/>
      <c r="L375" s="129"/>
      <c r="M375" s="129"/>
      <c r="N375" s="129"/>
      <c r="O375" s="140"/>
      <c r="P375" s="140"/>
      <c r="Q375" s="133"/>
      <c r="R375" s="140"/>
      <c r="S375" s="133"/>
      <c r="T375" s="133"/>
    </row>
    <row r="376">
      <c r="A376" s="141"/>
      <c r="B376" s="142"/>
      <c r="C376" s="133"/>
      <c r="D376" s="133"/>
      <c r="E376" s="140"/>
      <c r="F376" s="140"/>
      <c r="G376" s="140"/>
      <c r="H376" s="133"/>
      <c r="I376" s="133"/>
      <c r="J376" s="140"/>
      <c r="K376" s="129"/>
      <c r="L376" s="129"/>
      <c r="M376" s="129"/>
      <c r="N376" s="129"/>
      <c r="O376" s="140"/>
      <c r="P376" s="140"/>
      <c r="Q376" s="133"/>
      <c r="R376" s="140"/>
      <c r="S376" s="133"/>
      <c r="T376" s="133"/>
    </row>
    <row r="377">
      <c r="A377" s="141"/>
      <c r="B377" s="142"/>
      <c r="C377" s="133"/>
      <c r="D377" s="133"/>
      <c r="E377" s="140"/>
      <c r="F377" s="140"/>
      <c r="G377" s="140"/>
      <c r="H377" s="133"/>
      <c r="I377" s="133"/>
      <c r="J377" s="140"/>
      <c r="K377" s="129"/>
      <c r="L377" s="129"/>
      <c r="M377" s="129"/>
      <c r="N377" s="129"/>
      <c r="O377" s="140"/>
      <c r="P377" s="140"/>
      <c r="Q377" s="133"/>
      <c r="R377" s="140"/>
      <c r="S377" s="133"/>
      <c r="T377" s="133"/>
    </row>
    <row r="378">
      <c r="A378" s="141"/>
      <c r="B378" s="142"/>
      <c r="C378" s="133"/>
      <c r="D378" s="133"/>
      <c r="E378" s="140"/>
      <c r="F378" s="140"/>
      <c r="G378" s="140"/>
      <c r="H378" s="133"/>
      <c r="I378" s="133"/>
      <c r="J378" s="140"/>
      <c r="K378" s="129"/>
      <c r="L378" s="129"/>
      <c r="M378" s="129"/>
      <c r="N378" s="129"/>
      <c r="O378" s="140"/>
      <c r="P378" s="140"/>
      <c r="Q378" s="133"/>
      <c r="R378" s="140"/>
      <c r="S378" s="133"/>
      <c r="T378" s="133"/>
    </row>
    <row r="379">
      <c r="A379" s="141"/>
      <c r="B379" s="142"/>
      <c r="C379" s="133"/>
      <c r="D379" s="133"/>
      <c r="E379" s="140"/>
      <c r="F379" s="140"/>
      <c r="G379" s="140"/>
      <c r="H379" s="133"/>
      <c r="I379" s="133"/>
      <c r="J379" s="140"/>
      <c r="K379" s="129"/>
      <c r="L379" s="129"/>
      <c r="M379" s="129"/>
      <c r="N379" s="129"/>
      <c r="O379" s="140"/>
      <c r="P379" s="140"/>
      <c r="Q379" s="133"/>
      <c r="R379" s="140"/>
      <c r="S379" s="133"/>
      <c r="T379" s="133"/>
    </row>
    <row r="380">
      <c r="A380" s="141"/>
      <c r="B380" s="142"/>
      <c r="C380" s="133"/>
      <c r="D380" s="133"/>
      <c r="E380" s="140"/>
      <c r="F380" s="140"/>
      <c r="G380" s="140"/>
      <c r="H380" s="133"/>
      <c r="I380" s="133"/>
      <c r="J380" s="140"/>
      <c r="K380" s="129"/>
      <c r="L380" s="129"/>
      <c r="M380" s="129"/>
      <c r="N380" s="129"/>
      <c r="O380" s="140"/>
      <c r="P380" s="140"/>
      <c r="Q380" s="133"/>
      <c r="R380" s="140"/>
      <c r="S380" s="133"/>
      <c r="T380" s="133"/>
    </row>
    <row r="381">
      <c r="A381" s="141"/>
      <c r="B381" s="142"/>
      <c r="C381" s="133"/>
      <c r="D381" s="133"/>
      <c r="E381" s="140"/>
      <c r="F381" s="140"/>
      <c r="G381" s="140"/>
      <c r="H381" s="133"/>
      <c r="I381" s="133"/>
      <c r="J381" s="140"/>
      <c r="K381" s="129"/>
      <c r="L381" s="129"/>
      <c r="M381" s="129"/>
      <c r="N381" s="129"/>
      <c r="O381" s="140"/>
      <c r="P381" s="140"/>
      <c r="Q381" s="133"/>
      <c r="R381" s="140"/>
      <c r="S381" s="133"/>
      <c r="T381" s="133"/>
    </row>
    <row r="382">
      <c r="A382" s="141"/>
      <c r="B382" s="142"/>
      <c r="C382" s="133"/>
      <c r="D382" s="133"/>
      <c r="E382" s="140"/>
      <c r="F382" s="140"/>
      <c r="G382" s="140"/>
      <c r="H382" s="133"/>
      <c r="I382" s="133"/>
      <c r="J382" s="140"/>
      <c r="K382" s="129"/>
      <c r="L382" s="129"/>
      <c r="M382" s="129"/>
      <c r="N382" s="129"/>
      <c r="O382" s="140"/>
      <c r="P382" s="140"/>
      <c r="Q382" s="133"/>
      <c r="R382" s="140"/>
      <c r="S382" s="133"/>
      <c r="T382" s="133"/>
    </row>
    <row r="383">
      <c r="A383" s="141"/>
      <c r="B383" s="142"/>
      <c r="C383" s="133"/>
      <c r="D383" s="133"/>
      <c r="E383" s="140"/>
      <c r="F383" s="140"/>
      <c r="G383" s="140"/>
      <c r="H383" s="133"/>
      <c r="I383" s="133"/>
      <c r="J383" s="140"/>
      <c r="K383" s="129"/>
      <c r="L383" s="129"/>
      <c r="M383" s="129"/>
      <c r="N383" s="129"/>
      <c r="O383" s="140"/>
      <c r="P383" s="140"/>
      <c r="Q383" s="133"/>
      <c r="R383" s="140"/>
      <c r="S383" s="133"/>
      <c r="T383" s="133"/>
    </row>
    <row r="384">
      <c r="A384" s="141"/>
      <c r="B384" s="142"/>
      <c r="C384" s="133"/>
      <c r="D384" s="133"/>
      <c r="E384" s="140"/>
      <c r="F384" s="140"/>
      <c r="G384" s="140"/>
      <c r="H384" s="133"/>
      <c r="I384" s="133"/>
      <c r="J384" s="140"/>
      <c r="K384" s="129"/>
      <c r="L384" s="129"/>
      <c r="M384" s="129"/>
      <c r="N384" s="129"/>
      <c r="O384" s="140"/>
      <c r="P384" s="140"/>
      <c r="Q384" s="133"/>
      <c r="R384" s="140"/>
      <c r="S384" s="133"/>
      <c r="T384" s="133"/>
    </row>
    <row r="385">
      <c r="A385" s="141"/>
      <c r="B385" s="142"/>
      <c r="C385" s="133"/>
      <c r="D385" s="133"/>
      <c r="E385" s="140"/>
      <c r="F385" s="140"/>
      <c r="G385" s="140"/>
      <c r="H385" s="133"/>
      <c r="I385" s="133"/>
      <c r="J385" s="140"/>
      <c r="K385" s="129"/>
      <c r="L385" s="129"/>
      <c r="M385" s="129"/>
      <c r="N385" s="129"/>
      <c r="O385" s="140"/>
      <c r="P385" s="140"/>
      <c r="Q385" s="133"/>
      <c r="R385" s="140"/>
      <c r="S385" s="133"/>
      <c r="T385" s="133"/>
    </row>
    <row r="386">
      <c r="A386" s="141"/>
      <c r="B386" s="142"/>
      <c r="C386" s="133"/>
      <c r="D386" s="133"/>
      <c r="E386" s="140"/>
      <c r="F386" s="140"/>
      <c r="G386" s="140"/>
      <c r="H386" s="133"/>
      <c r="I386" s="133"/>
      <c r="J386" s="140"/>
      <c r="K386" s="129"/>
      <c r="L386" s="129"/>
      <c r="M386" s="129"/>
      <c r="N386" s="129"/>
      <c r="O386" s="140"/>
      <c r="P386" s="140"/>
      <c r="Q386" s="133"/>
      <c r="R386" s="140"/>
      <c r="S386" s="133"/>
      <c r="T386" s="133"/>
    </row>
    <row r="387">
      <c r="A387" s="141"/>
      <c r="B387" s="142"/>
      <c r="C387" s="133"/>
      <c r="D387" s="133"/>
      <c r="E387" s="140"/>
      <c r="F387" s="140"/>
      <c r="G387" s="140"/>
      <c r="H387" s="133"/>
      <c r="I387" s="133"/>
      <c r="J387" s="140"/>
      <c r="K387" s="129"/>
      <c r="L387" s="129"/>
      <c r="M387" s="129"/>
      <c r="N387" s="129"/>
      <c r="O387" s="140"/>
      <c r="P387" s="140"/>
      <c r="Q387" s="133"/>
      <c r="R387" s="140"/>
      <c r="S387" s="133"/>
      <c r="T387" s="133"/>
    </row>
    <row r="388">
      <c r="A388" s="141"/>
      <c r="B388" s="142"/>
      <c r="C388" s="133"/>
      <c r="D388" s="133"/>
      <c r="E388" s="140"/>
      <c r="F388" s="140"/>
      <c r="G388" s="140"/>
      <c r="H388" s="133"/>
      <c r="I388" s="133"/>
      <c r="J388" s="140"/>
      <c r="K388" s="129"/>
      <c r="L388" s="129"/>
      <c r="M388" s="129"/>
      <c r="N388" s="129"/>
      <c r="O388" s="140"/>
      <c r="P388" s="140"/>
      <c r="Q388" s="133"/>
      <c r="R388" s="140"/>
      <c r="S388" s="133"/>
      <c r="T388" s="133"/>
    </row>
    <row r="389">
      <c r="A389" s="141"/>
      <c r="B389" s="142"/>
      <c r="C389" s="133"/>
      <c r="D389" s="133"/>
      <c r="E389" s="140"/>
      <c r="F389" s="140"/>
      <c r="G389" s="140"/>
      <c r="H389" s="133"/>
      <c r="I389" s="133"/>
      <c r="J389" s="140"/>
      <c r="K389" s="129"/>
      <c r="L389" s="129"/>
      <c r="M389" s="129"/>
      <c r="N389" s="129"/>
      <c r="O389" s="140"/>
      <c r="P389" s="140"/>
      <c r="Q389" s="133"/>
      <c r="R389" s="140"/>
      <c r="S389" s="133"/>
      <c r="T389" s="133"/>
    </row>
    <row r="390">
      <c r="A390" s="141"/>
      <c r="B390" s="142"/>
      <c r="C390" s="133"/>
      <c r="D390" s="133"/>
      <c r="E390" s="140"/>
      <c r="F390" s="140"/>
      <c r="G390" s="140"/>
      <c r="H390" s="133"/>
      <c r="I390" s="133"/>
      <c r="J390" s="140"/>
      <c r="K390" s="129"/>
      <c r="L390" s="129"/>
      <c r="M390" s="129"/>
      <c r="N390" s="129"/>
      <c r="O390" s="140"/>
      <c r="P390" s="140"/>
      <c r="Q390" s="133"/>
      <c r="R390" s="140"/>
      <c r="S390" s="133"/>
      <c r="T390" s="133"/>
    </row>
    <row r="391">
      <c r="A391" s="141"/>
      <c r="B391" s="142"/>
      <c r="C391" s="133"/>
      <c r="D391" s="133"/>
      <c r="E391" s="140"/>
      <c r="F391" s="140"/>
      <c r="G391" s="140"/>
      <c r="H391" s="133"/>
      <c r="I391" s="133"/>
      <c r="J391" s="140"/>
      <c r="K391" s="129"/>
      <c r="L391" s="129"/>
      <c r="M391" s="129"/>
      <c r="N391" s="129"/>
      <c r="O391" s="140"/>
      <c r="P391" s="140"/>
      <c r="Q391" s="133"/>
      <c r="R391" s="140"/>
      <c r="S391" s="133"/>
      <c r="T391" s="133"/>
    </row>
    <row r="392">
      <c r="A392" s="141"/>
      <c r="B392" s="142"/>
      <c r="C392" s="133"/>
      <c r="D392" s="133"/>
      <c r="E392" s="140"/>
      <c r="F392" s="140"/>
      <c r="G392" s="140"/>
      <c r="H392" s="133"/>
      <c r="I392" s="133"/>
      <c r="J392" s="140"/>
      <c r="K392" s="129"/>
      <c r="L392" s="129"/>
      <c r="M392" s="129"/>
      <c r="N392" s="129"/>
      <c r="O392" s="140"/>
      <c r="P392" s="140"/>
      <c r="Q392" s="133"/>
      <c r="R392" s="140"/>
      <c r="S392" s="133"/>
      <c r="T392" s="133"/>
    </row>
    <row r="393">
      <c r="A393" s="141"/>
      <c r="B393" s="142"/>
      <c r="C393" s="133"/>
      <c r="D393" s="133"/>
      <c r="E393" s="140"/>
      <c r="F393" s="140"/>
      <c r="G393" s="140"/>
      <c r="H393" s="133"/>
      <c r="I393" s="133"/>
      <c r="J393" s="140"/>
      <c r="K393" s="129"/>
      <c r="L393" s="129"/>
      <c r="M393" s="129"/>
      <c r="N393" s="129"/>
      <c r="O393" s="140"/>
      <c r="P393" s="140"/>
      <c r="Q393" s="133"/>
      <c r="R393" s="140"/>
      <c r="S393" s="133"/>
      <c r="T393" s="133"/>
    </row>
    <row r="394">
      <c r="A394" s="141"/>
      <c r="B394" s="142"/>
      <c r="C394" s="133"/>
      <c r="D394" s="133"/>
      <c r="E394" s="140"/>
      <c r="F394" s="140"/>
      <c r="G394" s="140"/>
      <c r="H394" s="133"/>
      <c r="I394" s="133"/>
      <c r="J394" s="140"/>
      <c r="K394" s="129"/>
      <c r="L394" s="129"/>
      <c r="M394" s="129"/>
      <c r="N394" s="129"/>
      <c r="O394" s="140"/>
      <c r="P394" s="140"/>
      <c r="Q394" s="133"/>
      <c r="R394" s="140"/>
      <c r="S394" s="133"/>
      <c r="T394" s="133"/>
    </row>
    <row r="395">
      <c r="A395" s="141"/>
      <c r="B395" s="142"/>
      <c r="C395" s="133"/>
      <c r="D395" s="133"/>
      <c r="E395" s="140"/>
      <c r="F395" s="140"/>
      <c r="G395" s="140"/>
      <c r="H395" s="133"/>
      <c r="I395" s="133"/>
      <c r="J395" s="140"/>
      <c r="K395" s="129"/>
      <c r="L395" s="129"/>
      <c r="M395" s="129"/>
      <c r="N395" s="129"/>
      <c r="O395" s="140"/>
      <c r="P395" s="140"/>
      <c r="Q395" s="133"/>
      <c r="R395" s="140"/>
      <c r="S395" s="133"/>
      <c r="T395" s="133"/>
    </row>
    <row r="396">
      <c r="A396" s="141"/>
      <c r="B396" s="142"/>
      <c r="C396" s="133"/>
      <c r="D396" s="133"/>
      <c r="E396" s="140"/>
      <c r="F396" s="140"/>
      <c r="G396" s="140"/>
      <c r="H396" s="133"/>
      <c r="I396" s="133"/>
      <c r="J396" s="140"/>
      <c r="K396" s="129"/>
      <c r="L396" s="129"/>
      <c r="M396" s="129"/>
      <c r="N396" s="129"/>
      <c r="O396" s="140"/>
      <c r="P396" s="140"/>
      <c r="Q396" s="133"/>
      <c r="R396" s="140"/>
      <c r="S396" s="133"/>
      <c r="T396" s="133"/>
    </row>
    <row r="397">
      <c r="A397" s="141"/>
      <c r="B397" s="142"/>
      <c r="C397" s="133"/>
      <c r="D397" s="133"/>
      <c r="E397" s="140"/>
      <c r="F397" s="140"/>
      <c r="G397" s="140"/>
      <c r="H397" s="133"/>
      <c r="I397" s="133"/>
      <c r="J397" s="140"/>
      <c r="K397" s="129"/>
      <c r="L397" s="129"/>
      <c r="M397" s="129"/>
      <c r="N397" s="129"/>
      <c r="O397" s="140"/>
      <c r="P397" s="140"/>
      <c r="Q397" s="133"/>
      <c r="R397" s="140"/>
      <c r="S397" s="133"/>
      <c r="T397" s="133"/>
    </row>
    <row r="398">
      <c r="A398" s="141"/>
      <c r="B398" s="142"/>
      <c r="C398" s="133"/>
      <c r="D398" s="133"/>
      <c r="E398" s="140"/>
      <c r="F398" s="140"/>
      <c r="G398" s="140"/>
      <c r="H398" s="133"/>
      <c r="I398" s="133"/>
      <c r="J398" s="140"/>
      <c r="K398" s="129"/>
      <c r="L398" s="129"/>
      <c r="M398" s="129"/>
      <c r="N398" s="129"/>
      <c r="O398" s="140"/>
      <c r="P398" s="140"/>
      <c r="Q398" s="133"/>
      <c r="R398" s="140"/>
      <c r="S398" s="133"/>
      <c r="T398" s="133"/>
    </row>
    <row r="399">
      <c r="A399" s="141"/>
      <c r="B399" s="142"/>
      <c r="C399" s="133"/>
      <c r="D399" s="133"/>
      <c r="E399" s="140"/>
      <c r="F399" s="140"/>
      <c r="G399" s="140"/>
      <c r="H399" s="133"/>
      <c r="I399" s="133"/>
      <c r="J399" s="140"/>
      <c r="K399" s="129"/>
      <c r="L399" s="129"/>
      <c r="M399" s="129"/>
      <c r="N399" s="129"/>
      <c r="O399" s="140"/>
      <c r="P399" s="140"/>
      <c r="Q399" s="133"/>
      <c r="R399" s="140"/>
      <c r="S399" s="133"/>
      <c r="T399" s="133"/>
    </row>
    <row r="400">
      <c r="A400" s="141"/>
      <c r="B400" s="142"/>
      <c r="C400" s="133"/>
      <c r="D400" s="133"/>
      <c r="E400" s="140"/>
      <c r="F400" s="140"/>
      <c r="G400" s="140"/>
      <c r="H400" s="133"/>
      <c r="I400" s="133"/>
      <c r="J400" s="140"/>
      <c r="K400" s="129"/>
      <c r="L400" s="129"/>
      <c r="M400" s="129"/>
      <c r="N400" s="129"/>
      <c r="O400" s="140"/>
      <c r="P400" s="140"/>
      <c r="Q400" s="133"/>
      <c r="R400" s="140"/>
      <c r="S400" s="133"/>
      <c r="T400" s="133"/>
    </row>
    <row r="401">
      <c r="A401" s="141"/>
      <c r="B401" s="142"/>
      <c r="C401" s="133"/>
      <c r="D401" s="133"/>
      <c r="E401" s="140"/>
      <c r="F401" s="140"/>
      <c r="G401" s="140"/>
      <c r="H401" s="133"/>
      <c r="I401" s="133"/>
      <c r="J401" s="140"/>
      <c r="K401" s="129"/>
      <c r="L401" s="129"/>
      <c r="M401" s="129"/>
      <c r="N401" s="129"/>
      <c r="O401" s="140"/>
      <c r="P401" s="140"/>
      <c r="Q401" s="133"/>
      <c r="R401" s="140"/>
      <c r="S401" s="133"/>
      <c r="T401" s="133"/>
    </row>
    <row r="402">
      <c r="A402" s="141"/>
      <c r="B402" s="142"/>
      <c r="C402" s="133"/>
      <c r="D402" s="133"/>
      <c r="E402" s="140"/>
      <c r="F402" s="140"/>
      <c r="G402" s="140"/>
      <c r="H402" s="133"/>
      <c r="I402" s="133"/>
      <c r="J402" s="140"/>
      <c r="K402" s="129"/>
      <c r="L402" s="129"/>
      <c r="M402" s="129"/>
      <c r="N402" s="129"/>
      <c r="O402" s="140"/>
      <c r="P402" s="140"/>
      <c r="Q402" s="133"/>
      <c r="R402" s="140"/>
      <c r="S402" s="133"/>
      <c r="T402" s="133"/>
    </row>
    <row r="403">
      <c r="A403" s="141"/>
      <c r="B403" s="142"/>
      <c r="C403" s="133"/>
      <c r="D403" s="133"/>
      <c r="E403" s="140"/>
      <c r="F403" s="140"/>
      <c r="G403" s="140"/>
      <c r="H403" s="133"/>
      <c r="I403" s="133"/>
      <c r="J403" s="140"/>
      <c r="K403" s="129"/>
      <c r="L403" s="129"/>
      <c r="M403" s="129"/>
      <c r="N403" s="129"/>
      <c r="O403" s="140"/>
      <c r="P403" s="140"/>
      <c r="Q403" s="133"/>
      <c r="R403" s="140"/>
      <c r="S403" s="133"/>
      <c r="T403" s="133"/>
    </row>
    <row r="404">
      <c r="A404" s="141"/>
      <c r="B404" s="142"/>
      <c r="C404" s="133"/>
      <c r="D404" s="133"/>
      <c r="E404" s="140"/>
      <c r="F404" s="140"/>
      <c r="G404" s="140"/>
      <c r="H404" s="133"/>
      <c r="I404" s="133"/>
      <c r="J404" s="140"/>
      <c r="K404" s="129"/>
      <c r="L404" s="129"/>
      <c r="M404" s="129"/>
      <c r="N404" s="129"/>
      <c r="O404" s="140"/>
      <c r="P404" s="140"/>
      <c r="Q404" s="133"/>
      <c r="R404" s="140"/>
      <c r="S404" s="133"/>
      <c r="T404" s="133"/>
    </row>
    <row r="405">
      <c r="A405" s="141"/>
      <c r="B405" s="142"/>
      <c r="C405" s="133"/>
      <c r="D405" s="133"/>
      <c r="E405" s="140"/>
      <c r="F405" s="140"/>
      <c r="G405" s="140"/>
      <c r="H405" s="133"/>
      <c r="I405" s="133"/>
      <c r="J405" s="140"/>
      <c r="K405" s="129"/>
      <c r="L405" s="129"/>
      <c r="M405" s="129"/>
      <c r="N405" s="129"/>
      <c r="O405" s="140"/>
      <c r="P405" s="140"/>
      <c r="Q405" s="133"/>
      <c r="R405" s="140"/>
      <c r="S405" s="133"/>
      <c r="T405" s="133"/>
    </row>
    <row r="406">
      <c r="A406" s="141"/>
      <c r="B406" s="142"/>
      <c r="C406" s="133"/>
      <c r="D406" s="133"/>
      <c r="E406" s="140"/>
      <c r="F406" s="140"/>
      <c r="G406" s="140"/>
      <c r="H406" s="133"/>
      <c r="I406" s="133"/>
      <c r="J406" s="140"/>
      <c r="K406" s="129"/>
      <c r="L406" s="129"/>
      <c r="M406" s="129"/>
      <c r="N406" s="129"/>
      <c r="O406" s="140"/>
      <c r="P406" s="140"/>
      <c r="Q406" s="133"/>
      <c r="R406" s="140"/>
      <c r="S406" s="133"/>
      <c r="T406" s="133"/>
    </row>
    <row r="407">
      <c r="A407" s="141"/>
      <c r="B407" s="142"/>
      <c r="C407" s="133"/>
      <c r="D407" s="133"/>
      <c r="E407" s="140"/>
      <c r="F407" s="140"/>
      <c r="G407" s="140"/>
      <c r="H407" s="133"/>
      <c r="I407" s="133"/>
      <c r="J407" s="140"/>
      <c r="K407" s="129"/>
      <c r="L407" s="129"/>
      <c r="M407" s="129"/>
      <c r="N407" s="129"/>
      <c r="O407" s="140"/>
      <c r="P407" s="140"/>
      <c r="Q407" s="133"/>
      <c r="R407" s="140"/>
      <c r="S407" s="133"/>
      <c r="T407" s="133"/>
    </row>
    <row r="408">
      <c r="A408" s="141"/>
      <c r="B408" s="142"/>
      <c r="C408" s="133"/>
      <c r="D408" s="133"/>
      <c r="E408" s="140"/>
      <c r="F408" s="140"/>
      <c r="G408" s="140"/>
      <c r="H408" s="133"/>
      <c r="I408" s="133"/>
      <c r="J408" s="140"/>
      <c r="K408" s="129"/>
      <c r="L408" s="129"/>
      <c r="M408" s="129"/>
      <c r="N408" s="129"/>
      <c r="O408" s="140"/>
      <c r="P408" s="140"/>
      <c r="Q408" s="133"/>
      <c r="R408" s="140"/>
      <c r="S408" s="133"/>
      <c r="T408" s="133"/>
    </row>
    <row r="409">
      <c r="A409" s="141"/>
      <c r="B409" s="142"/>
      <c r="C409" s="133"/>
      <c r="D409" s="133"/>
      <c r="E409" s="140"/>
      <c r="F409" s="140"/>
      <c r="G409" s="140"/>
      <c r="H409" s="133"/>
      <c r="I409" s="133"/>
      <c r="J409" s="140"/>
      <c r="K409" s="129"/>
      <c r="L409" s="129"/>
      <c r="M409" s="129"/>
      <c r="N409" s="129"/>
      <c r="O409" s="140"/>
      <c r="P409" s="140"/>
      <c r="Q409" s="133"/>
      <c r="R409" s="140"/>
      <c r="S409" s="133"/>
      <c r="T409" s="133"/>
    </row>
    <row r="410">
      <c r="A410" s="141"/>
      <c r="B410" s="142"/>
      <c r="C410" s="133"/>
      <c r="D410" s="133"/>
      <c r="E410" s="140"/>
      <c r="F410" s="140"/>
      <c r="G410" s="140"/>
      <c r="H410" s="133"/>
      <c r="I410" s="133"/>
      <c r="J410" s="140"/>
      <c r="K410" s="129"/>
      <c r="L410" s="129"/>
      <c r="M410" s="129"/>
      <c r="N410" s="129"/>
      <c r="O410" s="140"/>
      <c r="P410" s="140"/>
      <c r="Q410" s="133"/>
      <c r="R410" s="140"/>
      <c r="S410" s="133"/>
      <c r="T410" s="133"/>
    </row>
    <row r="411">
      <c r="A411" s="141"/>
      <c r="B411" s="142"/>
      <c r="C411" s="133"/>
      <c r="D411" s="133"/>
      <c r="E411" s="140"/>
      <c r="F411" s="140"/>
      <c r="G411" s="140"/>
      <c r="H411" s="133"/>
      <c r="I411" s="133"/>
      <c r="J411" s="140"/>
      <c r="K411" s="129"/>
      <c r="L411" s="129"/>
      <c r="M411" s="129"/>
      <c r="N411" s="129"/>
      <c r="O411" s="140"/>
      <c r="P411" s="140"/>
      <c r="Q411" s="133"/>
      <c r="R411" s="140"/>
      <c r="S411" s="133"/>
      <c r="T411" s="133"/>
    </row>
    <row r="412">
      <c r="A412" s="141"/>
      <c r="B412" s="142"/>
      <c r="C412" s="133"/>
      <c r="D412" s="133"/>
      <c r="E412" s="140"/>
      <c r="F412" s="140"/>
      <c r="G412" s="140"/>
      <c r="H412" s="133"/>
      <c r="I412" s="133"/>
      <c r="J412" s="140"/>
      <c r="K412" s="129"/>
      <c r="L412" s="129"/>
      <c r="M412" s="129"/>
      <c r="N412" s="129"/>
      <c r="O412" s="140"/>
      <c r="P412" s="140"/>
      <c r="Q412" s="133"/>
      <c r="R412" s="140"/>
      <c r="S412" s="133"/>
      <c r="T412" s="133"/>
    </row>
    <row r="413">
      <c r="A413" s="141"/>
      <c r="B413" s="142"/>
      <c r="C413" s="133"/>
      <c r="D413" s="133"/>
      <c r="E413" s="140"/>
      <c r="F413" s="140"/>
      <c r="G413" s="140"/>
      <c r="H413" s="133"/>
      <c r="I413" s="133"/>
      <c r="J413" s="140"/>
      <c r="K413" s="129"/>
      <c r="L413" s="129"/>
      <c r="M413" s="129"/>
      <c r="N413" s="129"/>
      <c r="O413" s="140"/>
      <c r="P413" s="140"/>
      <c r="Q413" s="133"/>
      <c r="R413" s="140"/>
      <c r="S413" s="133"/>
      <c r="T413" s="133"/>
    </row>
    <row r="414">
      <c r="A414" s="141"/>
      <c r="B414" s="142"/>
      <c r="C414" s="133"/>
      <c r="D414" s="133"/>
      <c r="E414" s="140"/>
      <c r="F414" s="140"/>
      <c r="G414" s="140"/>
      <c r="H414" s="133"/>
      <c r="I414" s="133"/>
      <c r="J414" s="140"/>
      <c r="K414" s="129"/>
      <c r="L414" s="129"/>
      <c r="M414" s="129"/>
      <c r="N414" s="129"/>
      <c r="O414" s="140"/>
      <c r="P414" s="140"/>
      <c r="Q414" s="133"/>
      <c r="R414" s="140"/>
      <c r="S414" s="133"/>
      <c r="T414" s="133"/>
    </row>
    <row r="415">
      <c r="A415" s="141"/>
      <c r="B415" s="142"/>
      <c r="C415" s="133"/>
      <c r="D415" s="133"/>
      <c r="E415" s="140"/>
      <c r="F415" s="140"/>
      <c r="G415" s="140"/>
      <c r="H415" s="133"/>
      <c r="I415" s="133"/>
      <c r="J415" s="140"/>
      <c r="K415" s="129"/>
      <c r="L415" s="129"/>
      <c r="M415" s="129"/>
      <c r="N415" s="129"/>
      <c r="O415" s="140"/>
      <c r="P415" s="140"/>
      <c r="Q415" s="133"/>
      <c r="R415" s="140"/>
      <c r="S415" s="133"/>
      <c r="T415" s="133"/>
    </row>
    <row r="416">
      <c r="A416" s="141"/>
      <c r="B416" s="142"/>
      <c r="C416" s="133"/>
      <c r="D416" s="133"/>
      <c r="E416" s="140"/>
      <c r="F416" s="140"/>
      <c r="G416" s="140"/>
      <c r="H416" s="133"/>
      <c r="I416" s="133"/>
      <c r="J416" s="140"/>
      <c r="K416" s="129"/>
      <c r="L416" s="129"/>
      <c r="M416" s="129"/>
      <c r="N416" s="129"/>
      <c r="O416" s="140"/>
      <c r="P416" s="140"/>
      <c r="Q416" s="133"/>
      <c r="R416" s="140"/>
      <c r="S416" s="133"/>
      <c r="T416" s="133"/>
    </row>
    <row r="417">
      <c r="A417" s="141"/>
      <c r="B417" s="142"/>
      <c r="C417" s="133"/>
      <c r="D417" s="133"/>
      <c r="E417" s="140"/>
      <c r="F417" s="140"/>
      <c r="G417" s="140"/>
      <c r="H417" s="133"/>
      <c r="I417" s="133"/>
      <c r="J417" s="140"/>
      <c r="K417" s="129"/>
      <c r="L417" s="129"/>
      <c r="M417" s="129"/>
      <c r="N417" s="129"/>
      <c r="O417" s="140"/>
      <c r="P417" s="140"/>
      <c r="Q417" s="133"/>
      <c r="R417" s="140"/>
      <c r="S417" s="133"/>
      <c r="T417" s="133"/>
    </row>
    <row r="418">
      <c r="A418" s="141"/>
      <c r="B418" s="142"/>
      <c r="C418" s="133"/>
      <c r="D418" s="133"/>
      <c r="E418" s="140"/>
      <c r="F418" s="140"/>
      <c r="G418" s="140"/>
      <c r="H418" s="133"/>
      <c r="I418" s="133"/>
      <c r="J418" s="140"/>
      <c r="K418" s="129"/>
      <c r="L418" s="129"/>
      <c r="M418" s="129"/>
      <c r="N418" s="129"/>
      <c r="O418" s="140"/>
      <c r="P418" s="140"/>
      <c r="Q418" s="133"/>
      <c r="R418" s="140"/>
      <c r="S418" s="133"/>
      <c r="T418" s="133"/>
    </row>
    <row r="419">
      <c r="A419" s="141"/>
      <c r="B419" s="142"/>
      <c r="C419" s="133"/>
      <c r="D419" s="133"/>
      <c r="E419" s="140"/>
      <c r="F419" s="140"/>
      <c r="G419" s="140"/>
      <c r="H419" s="133"/>
      <c r="I419" s="133"/>
      <c r="J419" s="140"/>
      <c r="K419" s="129"/>
      <c r="L419" s="129"/>
      <c r="M419" s="129"/>
      <c r="N419" s="129"/>
      <c r="O419" s="140"/>
      <c r="P419" s="140"/>
      <c r="Q419" s="133"/>
      <c r="R419" s="140"/>
      <c r="S419" s="133"/>
      <c r="T419" s="133"/>
    </row>
    <row r="420">
      <c r="A420" s="141"/>
      <c r="B420" s="142"/>
      <c r="C420" s="133"/>
      <c r="D420" s="133"/>
      <c r="E420" s="140"/>
      <c r="F420" s="140"/>
      <c r="G420" s="140"/>
      <c r="H420" s="133"/>
      <c r="I420" s="133"/>
      <c r="J420" s="140"/>
      <c r="K420" s="129"/>
      <c r="L420" s="129"/>
      <c r="M420" s="129"/>
      <c r="N420" s="129"/>
      <c r="O420" s="140"/>
      <c r="P420" s="140"/>
      <c r="Q420" s="133"/>
      <c r="R420" s="140"/>
      <c r="S420" s="133"/>
      <c r="T420" s="133"/>
    </row>
    <row r="421">
      <c r="A421" s="141"/>
      <c r="B421" s="142"/>
      <c r="C421" s="133"/>
      <c r="D421" s="133"/>
      <c r="E421" s="140"/>
      <c r="F421" s="140"/>
      <c r="G421" s="140"/>
      <c r="H421" s="133"/>
      <c r="I421" s="133"/>
      <c r="J421" s="140"/>
      <c r="K421" s="129"/>
      <c r="L421" s="129"/>
      <c r="M421" s="129"/>
      <c r="N421" s="129"/>
      <c r="O421" s="140"/>
      <c r="P421" s="140"/>
      <c r="Q421" s="133"/>
      <c r="R421" s="140"/>
      <c r="S421" s="133"/>
      <c r="T421" s="133"/>
    </row>
    <row r="422">
      <c r="A422" s="141"/>
      <c r="B422" s="142"/>
      <c r="C422" s="133"/>
      <c r="D422" s="133"/>
      <c r="E422" s="140"/>
      <c r="F422" s="140"/>
      <c r="G422" s="140"/>
      <c r="H422" s="133"/>
      <c r="I422" s="133"/>
      <c r="J422" s="140"/>
      <c r="K422" s="129"/>
      <c r="L422" s="129"/>
      <c r="M422" s="129"/>
      <c r="N422" s="129"/>
      <c r="O422" s="140"/>
      <c r="P422" s="140"/>
      <c r="Q422" s="133"/>
      <c r="R422" s="140"/>
      <c r="S422" s="133"/>
      <c r="T422" s="133"/>
    </row>
    <row r="423">
      <c r="A423" s="141"/>
      <c r="B423" s="142"/>
      <c r="C423" s="133"/>
      <c r="D423" s="133"/>
      <c r="E423" s="140"/>
      <c r="F423" s="140"/>
      <c r="G423" s="140"/>
      <c r="H423" s="133"/>
      <c r="I423" s="133"/>
      <c r="J423" s="140"/>
      <c r="K423" s="129"/>
      <c r="L423" s="129"/>
      <c r="M423" s="129"/>
      <c r="N423" s="129"/>
      <c r="O423" s="140"/>
      <c r="P423" s="140"/>
      <c r="Q423" s="133"/>
      <c r="R423" s="140"/>
      <c r="S423" s="133"/>
      <c r="T423" s="133"/>
    </row>
    <row r="424">
      <c r="A424" s="141"/>
      <c r="B424" s="142"/>
      <c r="C424" s="133"/>
      <c r="D424" s="133"/>
      <c r="E424" s="140"/>
      <c r="F424" s="140"/>
      <c r="G424" s="140"/>
      <c r="H424" s="133"/>
      <c r="I424" s="133"/>
      <c r="J424" s="140"/>
      <c r="K424" s="129"/>
      <c r="L424" s="129"/>
      <c r="M424" s="129"/>
      <c r="N424" s="129"/>
      <c r="O424" s="140"/>
      <c r="P424" s="140"/>
      <c r="Q424" s="133"/>
      <c r="R424" s="140"/>
      <c r="S424" s="133"/>
      <c r="T424" s="133"/>
    </row>
    <row r="425">
      <c r="A425" s="141"/>
      <c r="B425" s="142"/>
      <c r="C425" s="133"/>
      <c r="D425" s="133"/>
      <c r="E425" s="140"/>
      <c r="F425" s="140"/>
      <c r="G425" s="140"/>
      <c r="H425" s="133"/>
      <c r="I425" s="133"/>
      <c r="J425" s="140"/>
      <c r="K425" s="129"/>
      <c r="L425" s="129"/>
      <c r="M425" s="129"/>
      <c r="N425" s="129"/>
      <c r="O425" s="140"/>
      <c r="P425" s="140"/>
      <c r="Q425" s="133"/>
      <c r="R425" s="140"/>
      <c r="S425" s="133"/>
      <c r="T425" s="133"/>
    </row>
    <row r="426">
      <c r="A426" s="141"/>
      <c r="B426" s="142"/>
      <c r="C426" s="133"/>
      <c r="D426" s="133"/>
      <c r="E426" s="140"/>
      <c r="F426" s="140"/>
      <c r="G426" s="140"/>
      <c r="H426" s="133"/>
      <c r="I426" s="133"/>
      <c r="J426" s="140"/>
      <c r="K426" s="129"/>
      <c r="L426" s="129"/>
      <c r="M426" s="129"/>
      <c r="N426" s="129"/>
      <c r="O426" s="140"/>
      <c r="P426" s="140"/>
      <c r="Q426" s="133"/>
      <c r="R426" s="140"/>
      <c r="S426" s="133"/>
      <c r="T426" s="133"/>
    </row>
    <row r="427">
      <c r="A427" s="141"/>
      <c r="B427" s="142"/>
      <c r="C427" s="133"/>
      <c r="D427" s="133"/>
      <c r="E427" s="140"/>
      <c r="F427" s="140"/>
      <c r="G427" s="140"/>
      <c r="H427" s="133"/>
      <c r="I427" s="133"/>
      <c r="J427" s="140"/>
      <c r="K427" s="129"/>
      <c r="L427" s="129"/>
      <c r="M427" s="129"/>
      <c r="N427" s="129"/>
      <c r="O427" s="140"/>
      <c r="P427" s="140"/>
      <c r="Q427" s="133"/>
      <c r="R427" s="140"/>
      <c r="S427" s="133"/>
      <c r="T427" s="133"/>
    </row>
    <row r="428">
      <c r="A428" s="141"/>
      <c r="B428" s="142"/>
      <c r="C428" s="133"/>
      <c r="D428" s="133"/>
      <c r="E428" s="140"/>
      <c r="F428" s="140"/>
      <c r="G428" s="140"/>
      <c r="H428" s="133"/>
      <c r="I428" s="133"/>
      <c r="J428" s="140"/>
      <c r="K428" s="129"/>
      <c r="L428" s="129"/>
      <c r="M428" s="129"/>
      <c r="N428" s="129"/>
      <c r="O428" s="140"/>
      <c r="P428" s="140"/>
      <c r="Q428" s="133"/>
      <c r="R428" s="140"/>
      <c r="S428" s="133"/>
      <c r="T428" s="133"/>
    </row>
    <row r="429">
      <c r="A429" s="141"/>
      <c r="B429" s="142"/>
      <c r="C429" s="133"/>
      <c r="D429" s="133"/>
      <c r="E429" s="140"/>
      <c r="F429" s="140"/>
      <c r="G429" s="140"/>
      <c r="H429" s="133"/>
      <c r="I429" s="133"/>
      <c r="J429" s="140"/>
      <c r="K429" s="129"/>
      <c r="L429" s="129"/>
      <c r="M429" s="129"/>
      <c r="N429" s="129"/>
      <c r="O429" s="140"/>
      <c r="P429" s="140"/>
      <c r="Q429" s="133"/>
      <c r="R429" s="140"/>
      <c r="S429" s="133"/>
      <c r="T429" s="133"/>
    </row>
    <row r="430">
      <c r="A430" s="141"/>
      <c r="B430" s="142"/>
      <c r="C430" s="133"/>
      <c r="D430" s="133"/>
      <c r="E430" s="140"/>
      <c r="F430" s="140"/>
      <c r="G430" s="140"/>
      <c r="H430" s="133"/>
      <c r="I430" s="133"/>
      <c r="J430" s="140"/>
      <c r="K430" s="129"/>
      <c r="L430" s="129"/>
      <c r="M430" s="129"/>
      <c r="N430" s="129"/>
      <c r="O430" s="140"/>
      <c r="P430" s="140"/>
      <c r="Q430" s="133"/>
      <c r="R430" s="140"/>
      <c r="S430" s="133"/>
      <c r="T430" s="133"/>
    </row>
    <row r="431">
      <c r="A431" s="141"/>
      <c r="B431" s="142"/>
      <c r="C431" s="133"/>
      <c r="D431" s="133"/>
      <c r="E431" s="140"/>
      <c r="F431" s="140"/>
      <c r="G431" s="140"/>
      <c r="H431" s="133"/>
      <c r="I431" s="133"/>
      <c r="J431" s="140"/>
      <c r="K431" s="129"/>
      <c r="L431" s="129"/>
      <c r="M431" s="129"/>
      <c r="N431" s="129"/>
      <c r="O431" s="140"/>
      <c r="P431" s="140"/>
      <c r="Q431" s="133"/>
      <c r="R431" s="140"/>
      <c r="S431" s="133"/>
      <c r="T431" s="133"/>
    </row>
    <row r="432">
      <c r="A432" s="141"/>
      <c r="B432" s="142"/>
      <c r="C432" s="133"/>
      <c r="D432" s="133"/>
      <c r="E432" s="140"/>
      <c r="F432" s="140"/>
      <c r="G432" s="140"/>
      <c r="H432" s="133"/>
      <c r="I432" s="133"/>
      <c r="J432" s="140"/>
      <c r="K432" s="129"/>
      <c r="L432" s="129"/>
      <c r="M432" s="129"/>
      <c r="N432" s="129"/>
      <c r="O432" s="140"/>
      <c r="P432" s="140"/>
      <c r="Q432" s="133"/>
      <c r="R432" s="140"/>
      <c r="S432" s="133"/>
      <c r="T432" s="133"/>
    </row>
    <row r="433">
      <c r="A433" s="141"/>
      <c r="B433" s="142"/>
      <c r="C433" s="133"/>
      <c r="D433" s="133"/>
      <c r="E433" s="140"/>
      <c r="F433" s="140"/>
      <c r="G433" s="140"/>
      <c r="H433" s="133"/>
      <c r="I433" s="133"/>
      <c r="J433" s="140"/>
      <c r="K433" s="129"/>
      <c r="L433" s="129"/>
      <c r="M433" s="129"/>
      <c r="N433" s="129"/>
      <c r="O433" s="140"/>
      <c r="P433" s="140"/>
      <c r="Q433" s="133"/>
      <c r="R433" s="140"/>
      <c r="S433" s="133"/>
      <c r="T433" s="133"/>
    </row>
    <row r="434">
      <c r="A434" s="141"/>
      <c r="B434" s="142"/>
      <c r="C434" s="133"/>
      <c r="D434" s="133"/>
      <c r="E434" s="140"/>
      <c r="F434" s="140"/>
      <c r="G434" s="140"/>
      <c r="H434" s="133"/>
      <c r="I434" s="133"/>
      <c r="J434" s="140"/>
      <c r="K434" s="129"/>
      <c r="L434" s="129"/>
      <c r="M434" s="129"/>
      <c r="N434" s="129"/>
      <c r="O434" s="140"/>
      <c r="P434" s="140"/>
      <c r="Q434" s="133"/>
      <c r="R434" s="140"/>
      <c r="S434" s="133"/>
      <c r="T434" s="133"/>
    </row>
    <row r="435">
      <c r="A435" s="141"/>
      <c r="B435" s="142"/>
      <c r="C435" s="133"/>
      <c r="D435" s="133"/>
      <c r="E435" s="140"/>
      <c r="F435" s="140"/>
      <c r="G435" s="140"/>
      <c r="H435" s="133"/>
      <c r="I435" s="133"/>
      <c r="J435" s="140"/>
      <c r="K435" s="129"/>
      <c r="L435" s="129"/>
      <c r="M435" s="129"/>
      <c r="N435" s="129"/>
      <c r="O435" s="140"/>
      <c r="P435" s="140"/>
      <c r="Q435" s="133"/>
      <c r="R435" s="140"/>
      <c r="S435" s="133"/>
      <c r="T435" s="133"/>
    </row>
    <row r="436">
      <c r="A436" s="141"/>
      <c r="B436" s="142"/>
      <c r="C436" s="133"/>
      <c r="D436" s="133"/>
      <c r="E436" s="140"/>
      <c r="F436" s="140"/>
      <c r="G436" s="140"/>
      <c r="H436" s="133"/>
      <c r="I436" s="133"/>
      <c r="J436" s="140"/>
      <c r="K436" s="129"/>
      <c r="L436" s="129"/>
      <c r="M436" s="129"/>
      <c r="N436" s="129"/>
      <c r="O436" s="140"/>
      <c r="P436" s="140"/>
      <c r="Q436" s="133"/>
      <c r="R436" s="140"/>
      <c r="S436" s="133"/>
      <c r="T436" s="133"/>
    </row>
    <row r="437">
      <c r="A437" s="141"/>
      <c r="B437" s="142"/>
      <c r="C437" s="133"/>
      <c r="D437" s="133"/>
      <c r="E437" s="140"/>
      <c r="F437" s="140"/>
      <c r="G437" s="140"/>
      <c r="H437" s="133"/>
      <c r="I437" s="133"/>
      <c r="J437" s="140"/>
      <c r="K437" s="129"/>
      <c r="L437" s="129"/>
      <c r="M437" s="129"/>
      <c r="N437" s="129"/>
      <c r="O437" s="140"/>
      <c r="P437" s="140"/>
      <c r="Q437" s="133"/>
      <c r="R437" s="140"/>
      <c r="S437" s="133"/>
      <c r="T437" s="133"/>
    </row>
    <row r="438">
      <c r="A438" s="141"/>
      <c r="B438" s="142"/>
      <c r="C438" s="133"/>
      <c r="D438" s="133"/>
      <c r="E438" s="140"/>
      <c r="F438" s="140"/>
      <c r="G438" s="140"/>
      <c r="H438" s="133"/>
      <c r="I438" s="133"/>
      <c r="J438" s="140"/>
      <c r="K438" s="129"/>
      <c r="L438" s="129"/>
      <c r="M438" s="129"/>
      <c r="N438" s="129"/>
      <c r="O438" s="140"/>
      <c r="P438" s="140"/>
      <c r="Q438" s="133"/>
      <c r="R438" s="140"/>
      <c r="S438" s="133"/>
      <c r="T438" s="133"/>
    </row>
    <row r="439">
      <c r="A439" s="141"/>
      <c r="B439" s="142"/>
      <c r="C439" s="133"/>
      <c r="D439" s="133"/>
      <c r="E439" s="140"/>
      <c r="F439" s="140"/>
      <c r="G439" s="140"/>
      <c r="H439" s="133"/>
      <c r="I439" s="133"/>
      <c r="J439" s="140"/>
      <c r="K439" s="129"/>
      <c r="L439" s="129"/>
      <c r="M439" s="129"/>
      <c r="N439" s="129"/>
      <c r="O439" s="140"/>
      <c r="P439" s="140"/>
      <c r="Q439" s="133"/>
      <c r="R439" s="140"/>
      <c r="S439" s="133"/>
      <c r="T439" s="133"/>
    </row>
    <row r="440">
      <c r="A440" s="141"/>
      <c r="B440" s="142"/>
      <c r="C440" s="133"/>
      <c r="D440" s="133"/>
      <c r="E440" s="140"/>
      <c r="F440" s="140"/>
      <c r="G440" s="140"/>
      <c r="H440" s="133"/>
      <c r="I440" s="133"/>
      <c r="J440" s="140"/>
      <c r="K440" s="129"/>
      <c r="L440" s="129"/>
      <c r="M440" s="129"/>
      <c r="N440" s="129"/>
      <c r="O440" s="140"/>
      <c r="P440" s="140"/>
      <c r="Q440" s="133"/>
      <c r="R440" s="140"/>
      <c r="S440" s="133"/>
      <c r="T440" s="133"/>
    </row>
    <row r="441">
      <c r="A441" s="141"/>
      <c r="B441" s="142"/>
      <c r="C441" s="133"/>
      <c r="D441" s="133"/>
      <c r="E441" s="140"/>
      <c r="F441" s="140"/>
      <c r="G441" s="140"/>
      <c r="H441" s="133"/>
      <c r="I441" s="133"/>
      <c r="J441" s="140"/>
      <c r="K441" s="129"/>
      <c r="L441" s="129"/>
      <c r="M441" s="129"/>
      <c r="N441" s="129"/>
      <c r="O441" s="140"/>
      <c r="P441" s="140"/>
      <c r="Q441" s="133"/>
      <c r="R441" s="140"/>
      <c r="S441" s="133"/>
      <c r="T441" s="133"/>
    </row>
    <row r="442">
      <c r="A442" s="141"/>
      <c r="B442" s="142"/>
      <c r="C442" s="133"/>
      <c r="D442" s="133"/>
      <c r="E442" s="140"/>
      <c r="F442" s="140"/>
      <c r="G442" s="140"/>
      <c r="H442" s="133"/>
      <c r="I442" s="133"/>
      <c r="J442" s="140"/>
      <c r="K442" s="129"/>
      <c r="L442" s="129"/>
      <c r="M442" s="129"/>
      <c r="N442" s="129"/>
      <c r="O442" s="140"/>
      <c r="P442" s="140"/>
      <c r="Q442" s="133"/>
      <c r="R442" s="140"/>
      <c r="S442" s="133"/>
      <c r="T442" s="133"/>
    </row>
    <row r="443">
      <c r="A443" s="141"/>
      <c r="B443" s="142"/>
      <c r="C443" s="133"/>
      <c r="D443" s="133"/>
      <c r="E443" s="140"/>
      <c r="F443" s="140"/>
      <c r="G443" s="140"/>
      <c r="H443" s="133"/>
      <c r="I443" s="133"/>
      <c r="J443" s="140"/>
      <c r="K443" s="129"/>
      <c r="L443" s="129"/>
      <c r="M443" s="129"/>
      <c r="N443" s="129"/>
      <c r="O443" s="140"/>
      <c r="P443" s="140"/>
      <c r="Q443" s="133"/>
      <c r="R443" s="140"/>
      <c r="S443" s="133"/>
      <c r="T443" s="133"/>
    </row>
    <row r="444">
      <c r="A444" s="141"/>
      <c r="B444" s="142"/>
      <c r="C444" s="133"/>
      <c r="D444" s="133"/>
      <c r="E444" s="140"/>
      <c r="F444" s="140"/>
      <c r="G444" s="140"/>
      <c r="H444" s="133"/>
      <c r="I444" s="133"/>
      <c r="J444" s="140"/>
      <c r="K444" s="129"/>
      <c r="L444" s="129"/>
      <c r="M444" s="129"/>
      <c r="N444" s="129"/>
      <c r="O444" s="140"/>
      <c r="P444" s="140"/>
      <c r="Q444" s="133"/>
      <c r="R444" s="140"/>
      <c r="S444" s="133"/>
      <c r="T444" s="133"/>
    </row>
    <row r="445">
      <c r="A445" s="141"/>
      <c r="B445" s="142"/>
      <c r="C445" s="133"/>
      <c r="D445" s="133"/>
      <c r="E445" s="140"/>
      <c r="F445" s="140"/>
      <c r="G445" s="140"/>
      <c r="H445" s="133"/>
      <c r="I445" s="133"/>
      <c r="J445" s="140"/>
      <c r="K445" s="129"/>
      <c r="L445" s="129"/>
      <c r="M445" s="129"/>
      <c r="N445" s="129"/>
      <c r="O445" s="140"/>
      <c r="P445" s="140"/>
      <c r="Q445" s="133"/>
      <c r="R445" s="140"/>
      <c r="S445" s="133"/>
      <c r="T445" s="133"/>
    </row>
    <row r="446">
      <c r="A446" s="141"/>
      <c r="B446" s="142"/>
      <c r="C446" s="133"/>
      <c r="D446" s="133"/>
      <c r="E446" s="140"/>
      <c r="F446" s="140"/>
      <c r="G446" s="140"/>
      <c r="H446" s="133"/>
      <c r="I446" s="133"/>
      <c r="J446" s="140"/>
      <c r="K446" s="129"/>
      <c r="L446" s="129"/>
      <c r="M446" s="129"/>
      <c r="N446" s="129"/>
      <c r="O446" s="140"/>
      <c r="P446" s="140"/>
      <c r="Q446" s="133"/>
      <c r="R446" s="140"/>
      <c r="S446" s="133"/>
      <c r="T446" s="133"/>
    </row>
    <row r="447">
      <c r="A447" s="141"/>
      <c r="B447" s="142"/>
      <c r="C447" s="133"/>
      <c r="D447" s="133"/>
      <c r="E447" s="140"/>
      <c r="F447" s="140"/>
      <c r="G447" s="140"/>
      <c r="H447" s="133"/>
      <c r="I447" s="133"/>
      <c r="J447" s="140"/>
      <c r="K447" s="129"/>
      <c r="L447" s="129"/>
      <c r="M447" s="129"/>
      <c r="N447" s="129"/>
      <c r="O447" s="140"/>
      <c r="P447" s="140"/>
      <c r="Q447" s="133"/>
      <c r="R447" s="140"/>
      <c r="S447" s="133"/>
      <c r="T447" s="133"/>
    </row>
    <row r="448">
      <c r="A448" s="141"/>
      <c r="B448" s="142"/>
      <c r="C448" s="133"/>
      <c r="D448" s="133"/>
      <c r="E448" s="140"/>
      <c r="F448" s="140"/>
      <c r="G448" s="140"/>
      <c r="H448" s="133"/>
      <c r="I448" s="133"/>
      <c r="J448" s="140"/>
      <c r="K448" s="129"/>
      <c r="L448" s="129"/>
      <c r="M448" s="129"/>
      <c r="N448" s="129"/>
      <c r="O448" s="140"/>
      <c r="P448" s="140"/>
      <c r="Q448" s="133"/>
      <c r="R448" s="140"/>
      <c r="S448" s="133"/>
      <c r="T448" s="133"/>
    </row>
    <row r="449">
      <c r="A449" s="141"/>
      <c r="B449" s="142"/>
      <c r="C449" s="133"/>
      <c r="D449" s="133"/>
      <c r="E449" s="140"/>
      <c r="F449" s="140"/>
      <c r="G449" s="140"/>
      <c r="H449" s="133"/>
      <c r="I449" s="133"/>
      <c r="J449" s="140"/>
      <c r="K449" s="129"/>
      <c r="L449" s="129"/>
      <c r="M449" s="129"/>
      <c r="N449" s="129"/>
      <c r="O449" s="140"/>
      <c r="P449" s="140"/>
      <c r="Q449" s="133"/>
      <c r="R449" s="140"/>
      <c r="S449" s="133"/>
      <c r="T449" s="133"/>
    </row>
    <row r="450">
      <c r="A450" s="141"/>
      <c r="B450" s="142"/>
      <c r="C450" s="133"/>
      <c r="D450" s="133"/>
      <c r="E450" s="140"/>
      <c r="F450" s="140"/>
      <c r="G450" s="140"/>
      <c r="H450" s="133"/>
      <c r="I450" s="133"/>
      <c r="J450" s="140"/>
      <c r="K450" s="129"/>
      <c r="L450" s="129"/>
      <c r="M450" s="129"/>
      <c r="N450" s="129"/>
      <c r="O450" s="140"/>
      <c r="P450" s="140"/>
      <c r="Q450" s="133"/>
      <c r="R450" s="140"/>
      <c r="S450" s="133"/>
      <c r="T450" s="133"/>
    </row>
    <row r="451">
      <c r="A451" s="141"/>
      <c r="B451" s="142"/>
      <c r="C451" s="133"/>
      <c r="D451" s="133"/>
      <c r="E451" s="140"/>
      <c r="F451" s="140"/>
      <c r="G451" s="140"/>
      <c r="H451" s="133"/>
      <c r="I451" s="133"/>
      <c r="J451" s="140"/>
      <c r="K451" s="129"/>
      <c r="L451" s="129"/>
      <c r="M451" s="129"/>
      <c r="N451" s="129"/>
      <c r="O451" s="140"/>
      <c r="P451" s="140"/>
      <c r="Q451" s="133"/>
      <c r="R451" s="140"/>
      <c r="S451" s="133"/>
      <c r="T451" s="133"/>
    </row>
    <row r="452">
      <c r="A452" s="141"/>
      <c r="B452" s="142"/>
      <c r="C452" s="133"/>
      <c r="D452" s="133"/>
      <c r="E452" s="140"/>
      <c r="F452" s="140"/>
      <c r="G452" s="140"/>
      <c r="H452" s="133"/>
      <c r="I452" s="133"/>
      <c r="J452" s="140"/>
      <c r="K452" s="129"/>
      <c r="L452" s="129"/>
      <c r="M452" s="129"/>
      <c r="N452" s="129"/>
      <c r="O452" s="140"/>
      <c r="P452" s="140"/>
      <c r="Q452" s="133"/>
      <c r="R452" s="140"/>
      <c r="S452" s="133"/>
      <c r="T452" s="133"/>
    </row>
    <row r="453">
      <c r="A453" s="141"/>
      <c r="B453" s="142"/>
      <c r="C453" s="133"/>
      <c r="D453" s="133"/>
      <c r="E453" s="140"/>
      <c r="F453" s="140"/>
      <c r="G453" s="140"/>
      <c r="H453" s="133"/>
      <c r="I453" s="133"/>
      <c r="J453" s="140"/>
      <c r="K453" s="129"/>
      <c r="L453" s="129"/>
      <c r="M453" s="129"/>
      <c r="N453" s="129"/>
      <c r="O453" s="140"/>
      <c r="P453" s="140"/>
      <c r="Q453" s="133"/>
      <c r="R453" s="140"/>
      <c r="S453" s="133"/>
      <c r="T453" s="133"/>
    </row>
    <row r="454">
      <c r="A454" s="141"/>
      <c r="B454" s="142"/>
      <c r="C454" s="133"/>
      <c r="D454" s="133"/>
      <c r="E454" s="140"/>
      <c r="F454" s="140"/>
      <c r="G454" s="140"/>
      <c r="H454" s="133"/>
      <c r="I454" s="133"/>
      <c r="J454" s="140"/>
      <c r="K454" s="129"/>
      <c r="L454" s="129"/>
      <c r="M454" s="129"/>
      <c r="N454" s="129"/>
      <c r="O454" s="140"/>
      <c r="P454" s="140"/>
      <c r="Q454" s="133"/>
      <c r="R454" s="140"/>
      <c r="S454" s="133"/>
      <c r="T454" s="133"/>
    </row>
    <row r="455">
      <c r="A455" s="141"/>
      <c r="B455" s="142"/>
      <c r="C455" s="133"/>
      <c r="D455" s="133"/>
      <c r="E455" s="140"/>
      <c r="F455" s="140"/>
      <c r="G455" s="140"/>
      <c r="H455" s="133"/>
      <c r="I455" s="133"/>
      <c r="J455" s="140"/>
      <c r="K455" s="129"/>
      <c r="L455" s="129"/>
      <c r="M455" s="129"/>
      <c r="N455" s="129"/>
      <c r="O455" s="140"/>
      <c r="P455" s="140"/>
      <c r="Q455" s="133"/>
      <c r="R455" s="140"/>
      <c r="S455" s="133"/>
      <c r="T455" s="133"/>
    </row>
    <row r="456">
      <c r="A456" s="141"/>
      <c r="B456" s="142"/>
      <c r="C456" s="133"/>
      <c r="D456" s="133"/>
      <c r="E456" s="140"/>
      <c r="F456" s="140"/>
      <c r="G456" s="140"/>
      <c r="H456" s="133"/>
      <c r="I456" s="133"/>
      <c r="J456" s="140"/>
      <c r="K456" s="129"/>
      <c r="L456" s="129"/>
      <c r="M456" s="129"/>
      <c r="N456" s="129"/>
      <c r="O456" s="140"/>
      <c r="P456" s="140"/>
      <c r="Q456" s="133"/>
      <c r="R456" s="140"/>
      <c r="S456" s="133"/>
      <c r="T456" s="133"/>
    </row>
    <row r="457">
      <c r="A457" s="141"/>
      <c r="B457" s="142"/>
      <c r="C457" s="133"/>
      <c r="D457" s="133"/>
      <c r="E457" s="140"/>
      <c r="F457" s="140"/>
      <c r="G457" s="140"/>
      <c r="H457" s="133"/>
      <c r="I457" s="133"/>
      <c r="J457" s="140"/>
      <c r="K457" s="129"/>
      <c r="L457" s="129"/>
      <c r="M457" s="129"/>
      <c r="N457" s="129"/>
      <c r="O457" s="140"/>
      <c r="P457" s="140"/>
      <c r="Q457" s="133"/>
      <c r="R457" s="140"/>
      <c r="S457" s="133"/>
      <c r="T457" s="133"/>
    </row>
    <row r="458">
      <c r="A458" s="141"/>
      <c r="B458" s="142"/>
      <c r="C458" s="133"/>
      <c r="D458" s="133"/>
      <c r="E458" s="140"/>
      <c r="F458" s="140"/>
      <c r="G458" s="140"/>
      <c r="H458" s="133"/>
      <c r="I458" s="133"/>
      <c r="J458" s="140"/>
      <c r="K458" s="129"/>
      <c r="L458" s="129"/>
      <c r="M458" s="129"/>
      <c r="N458" s="129"/>
      <c r="O458" s="140"/>
      <c r="P458" s="140"/>
      <c r="Q458" s="133"/>
      <c r="R458" s="140"/>
      <c r="S458" s="133"/>
      <c r="T458" s="133"/>
    </row>
    <row r="459">
      <c r="A459" s="141"/>
      <c r="B459" s="142"/>
      <c r="C459" s="133"/>
      <c r="D459" s="133"/>
      <c r="E459" s="140"/>
      <c r="F459" s="140"/>
      <c r="G459" s="140"/>
      <c r="H459" s="133"/>
      <c r="I459" s="133"/>
      <c r="J459" s="140"/>
      <c r="K459" s="129"/>
      <c r="L459" s="129"/>
      <c r="M459" s="129"/>
      <c r="N459" s="129"/>
      <c r="O459" s="140"/>
      <c r="P459" s="140"/>
      <c r="Q459" s="133"/>
      <c r="R459" s="140"/>
      <c r="S459" s="133"/>
      <c r="T459" s="133"/>
    </row>
    <row r="460">
      <c r="A460" s="141"/>
      <c r="B460" s="142"/>
      <c r="C460" s="133"/>
      <c r="D460" s="133"/>
      <c r="E460" s="140"/>
      <c r="F460" s="140"/>
      <c r="G460" s="140"/>
      <c r="H460" s="133"/>
      <c r="I460" s="133"/>
      <c r="J460" s="140"/>
      <c r="K460" s="129"/>
      <c r="L460" s="129"/>
      <c r="M460" s="129"/>
      <c r="N460" s="129"/>
      <c r="O460" s="140"/>
      <c r="P460" s="140"/>
      <c r="Q460" s="133"/>
      <c r="R460" s="140"/>
      <c r="S460" s="133"/>
      <c r="T460" s="133"/>
    </row>
    <row r="461">
      <c r="A461" s="141"/>
      <c r="B461" s="142"/>
      <c r="C461" s="133"/>
      <c r="D461" s="133"/>
      <c r="E461" s="140"/>
      <c r="F461" s="140"/>
      <c r="G461" s="140"/>
      <c r="H461" s="133"/>
      <c r="I461" s="133"/>
      <c r="J461" s="140"/>
      <c r="K461" s="129"/>
      <c r="L461" s="129"/>
      <c r="M461" s="129"/>
      <c r="N461" s="129"/>
      <c r="O461" s="140"/>
      <c r="P461" s="140"/>
      <c r="Q461" s="133"/>
      <c r="R461" s="140"/>
      <c r="S461" s="133"/>
      <c r="T461" s="133"/>
    </row>
    <row r="462">
      <c r="A462" s="141"/>
      <c r="B462" s="142"/>
      <c r="C462" s="133"/>
      <c r="D462" s="133"/>
      <c r="E462" s="140"/>
      <c r="F462" s="140"/>
      <c r="G462" s="140"/>
      <c r="H462" s="133"/>
      <c r="I462" s="133"/>
      <c r="J462" s="140"/>
      <c r="K462" s="129"/>
      <c r="L462" s="129"/>
      <c r="M462" s="129"/>
      <c r="N462" s="129"/>
      <c r="O462" s="140"/>
      <c r="P462" s="140"/>
      <c r="Q462" s="133"/>
      <c r="R462" s="140"/>
      <c r="S462" s="133"/>
      <c r="T462" s="133"/>
    </row>
    <row r="463">
      <c r="A463" s="141"/>
      <c r="B463" s="142"/>
      <c r="C463" s="133"/>
      <c r="D463" s="133"/>
      <c r="E463" s="140"/>
      <c r="F463" s="140"/>
      <c r="G463" s="140"/>
      <c r="H463" s="133"/>
      <c r="I463" s="133"/>
      <c r="J463" s="140"/>
      <c r="K463" s="129"/>
      <c r="L463" s="129"/>
      <c r="M463" s="129"/>
      <c r="N463" s="129"/>
      <c r="O463" s="140"/>
      <c r="P463" s="140"/>
      <c r="Q463" s="133"/>
      <c r="R463" s="140"/>
      <c r="S463" s="133"/>
      <c r="T463" s="133"/>
    </row>
    <row r="464">
      <c r="A464" s="141"/>
      <c r="B464" s="142"/>
      <c r="C464" s="133"/>
      <c r="D464" s="133"/>
      <c r="E464" s="140"/>
      <c r="F464" s="140"/>
      <c r="G464" s="140"/>
      <c r="H464" s="133"/>
      <c r="I464" s="133"/>
      <c r="J464" s="140"/>
      <c r="K464" s="129"/>
      <c r="L464" s="129"/>
      <c r="M464" s="129"/>
      <c r="N464" s="129"/>
      <c r="O464" s="140"/>
      <c r="P464" s="140"/>
      <c r="Q464" s="133"/>
      <c r="R464" s="140"/>
      <c r="S464" s="133"/>
      <c r="T464" s="133"/>
    </row>
    <row r="465">
      <c r="A465" s="141"/>
      <c r="B465" s="142"/>
      <c r="C465" s="133"/>
      <c r="D465" s="133"/>
      <c r="E465" s="140"/>
      <c r="F465" s="140"/>
      <c r="G465" s="140"/>
      <c r="H465" s="133"/>
      <c r="I465" s="133"/>
      <c r="J465" s="140"/>
      <c r="K465" s="129"/>
      <c r="L465" s="129"/>
      <c r="M465" s="129"/>
      <c r="N465" s="129"/>
      <c r="O465" s="140"/>
      <c r="P465" s="140"/>
      <c r="Q465" s="133"/>
      <c r="R465" s="140"/>
      <c r="S465" s="133"/>
      <c r="T465" s="133"/>
    </row>
    <row r="466">
      <c r="A466" s="141"/>
      <c r="B466" s="142"/>
      <c r="C466" s="133"/>
      <c r="D466" s="133"/>
      <c r="E466" s="140"/>
      <c r="F466" s="140"/>
      <c r="G466" s="140"/>
      <c r="H466" s="133"/>
      <c r="I466" s="133"/>
      <c r="J466" s="140"/>
      <c r="K466" s="129"/>
      <c r="L466" s="129"/>
      <c r="M466" s="129"/>
      <c r="N466" s="129"/>
      <c r="O466" s="140"/>
      <c r="P466" s="140"/>
      <c r="Q466" s="133"/>
      <c r="R466" s="140"/>
      <c r="S466" s="133"/>
      <c r="T466" s="133"/>
    </row>
    <row r="467">
      <c r="A467" s="141"/>
      <c r="B467" s="142"/>
      <c r="C467" s="133"/>
      <c r="D467" s="133"/>
      <c r="E467" s="140"/>
      <c r="F467" s="140"/>
      <c r="G467" s="140"/>
      <c r="H467" s="133"/>
      <c r="I467" s="133"/>
      <c r="J467" s="140"/>
      <c r="K467" s="129"/>
      <c r="L467" s="129"/>
      <c r="M467" s="129"/>
      <c r="N467" s="129"/>
      <c r="O467" s="140"/>
      <c r="P467" s="140"/>
      <c r="Q467" s="133"/>
      <c r="R467" s="140"/>
      <c r="S467" s="133"/>
      <c r="T467" s="133"/>
    </row>
    <row r="468">
      <c r="A468" s="141"/>
      <c r="B468" s="142"/>
      <c r="C468" s="133"/>
      <c r="D468" s="133"/>
      <c r="E468" s="140"/>
      <c r="F468" s="140"/>
      <c r="G468" s="140"/>
      <c r="H468" s="133"/>
      <c r="I468" s="133"/>
      <c r="J468" s="140"/>
      <c r="K468" s="129"/>
      <c r="L468" s="129"/>
      <c r="M468" s="129"/>
      <c r="N468" s="129"/>
      <c r="O468" s="140"/>
      <c r="P468" s="140"/>
      <c r="Q468" s="133"/>
      <c r="R468" s="140"/>
      <c r="S468" s="133"/>
      <c r="T468" s="133"/>
    </row>
    <row r="469">
      <c r="A469" s="141"/>
      <c r="B469" s="142"/>
      <c r="C469" s="133"/>
      <c r="D469" s="133"/>
      <c r="E469" s="140"/>
      <c r="F469" s="140"/>
      <c r="G469" s="140"/>
      <c r="H469" s="133"/>
      <c r="I469" s="133"/>
      <c r="J469" s="140"/>
      <c r="K469" s="129"/>
      <c r="L469" s="129"/>
      <c r="M469" s="129"/>
      <c r="N469" s="129"/>
      <c r="O469" s="140"/>
      <c r="P469" s="140"/>
      <c r="Q469" s="133"/>
      <c r="R469" s="140"/>
      <c r="S469" s="133"/>
      <c r="T469" s="133"/>
    </row>
    <row r="470">
      <c r="A470" s="141"/>
      <c r="B470" s="142"/>
      <c r="C470" s="133"/>
      <c r="D470" s="133"/>
      <c r="E470" s="140"/>
      <c r="F470" s="140"/>
      <c r="G470" s="140"/>
      <c r="H470" s="133"/>
      <c r="I470" s="133"/>
      <c r="J470" s="140"/>
      <c r="K470" s="129"/>
      <c r="L470" s="129"/>
      <c r="M470" s="129"/>
      <c r="N470" s="129"/>
      <c r="O470" s="140"/>
      <c r="P470" s="140"/>
      <c r="Q470" s="133"/>
      <c r="R470" s="140"/>
      <c r="S470" s="133"/>
      <c r="T470" s="133"/>
    </row>
    <row r="471">
      <c r="A471" s="141"/>
      <c r="B471" s="142"/>
      <c r="C471" s="133"/>
      <c r="D471" s="133"/>
      <c r="E471" s="140"/>
      <c r="F471" s="140"/>
      <c r="G471" s="140"/>
      <c r="H471" s="133"/>
      <c r="I471" s="133"/>
      <c r="J471" s="140"/>
      <c r="K471" s="129"/>
      <c r="L471" s="129"/>
      <c r="M471" s="129"/>
      <c r="N471" s="129"/>
      <c r="O471" s="140"/>
      <c r="P471" s="140"/>
      <c r="Q471" s="133"/>
      <c r="R471" s="140"/>
      <c r="S471" s="133"/>
      <c r="T471" s="133"/>
    </row>
    <row r="472">
      <c r="A472" s="141"/>
      <c r="B472" s="142"/>
      <c r="C472" s="133"/>
      <c r="D472" s="133"/>
      <c r="E472" s="140"/>
      <c r="F472" s="140"/>
      <c r="G472" s="140"/>
      <c r="H472" s="133"/>
      <c r="I472" s="133"/>
      <c r="J472" s="140"/>
      <c r="K472" s="129"/>
      <c r="L472" s="129"/>
      <c r="M472" s="129"/>
      <c r="N472" s="129"/>
      <c r="O472" s="140"/>
      <c r="P472" s="140"/>
      <c r="Q472" s="133"/>
      <c r="R472" s="140"/>
      <c r="S472" s="133"/>
      <c r="T472" s="133"/>
    </row>
    <row r="473">
      <c r="A473" s="141"/>
      <c r="B473" s="142"/>
      <c r="C473" s="133"/>
      <c r="D473" s="133"/>
      <c r="E473" s="140"/>
      <c r="F473" s="140"/>
      <c r="G473" s="140"/>
      <c r="H473" s="133"/>
      <c r="I473" s="133"/>
      <c r="J473" s="140"/>
      <c r="K473" s="129"/>
      <c r="L473" s="129"/>
      <c r="M473" s="129"/>
      <c r="N473" s="129"/>
      <c r="O473" s="140"/>
      <c r="P473" s="140"/>
      <c r="Q473" s="133"/>
      <c r="R473" s="140"/>
      <c r="S473" s="133"/>
      <c r="T473" s="133"/>
    </row>
    <row r="474">
      <c r="A474" s="141"/>
      <c r="B474" s="142"/>
      <c r="C474" s="133"/>
      <c r="D474" s="133"/>
      <c r="E474" s="140"/>
      <c r="F474" s="140"/>
      <c r="G474" s="140"/>
      <c r="H474" s="133"/>
      <c r="I474" s="133"/>
      <c r="J474" s="140"/>
      <c r="K474" s="129"/>
      <c r="L474" s="129"/>
      <c r="M474" s="129"/>
      <c r="N474" s="129"/>
      <c r="O474" s="140"/>
      <c r="P474" s="140"/>
      <c r="Q474" s="133"/>
      <c r="R474" s="140"/>
      <c r="S474" s="133"/>
      <c r="T474" s="133"/>
    </row>
    <row r="475">
      <c r="A475" s="141"/>
      <c r="B475" s="142"/>
      <c r="C475" s="133"/>
      <c r="D475" s="133"/>
      <c r="E475" s="140"/>
      <c r="F475" s="140"/>
      <c r="G475" s="140"/>
      <c r="H475" s="133"/>
      <c r="I475" s="133"/>
      <c r="J475" s="140"/>
      <c r="K475" s="129"/>
      <c r="L475" s="129"/>
      <c r="M475" s="129"/>
      <c r="N475" s="129"/>
      <c r="O475" s="140"/>
      <c r="P475" s="140"/>
      <c r="Q475" s="133"/>
      <c r="R475" s="140"/>
      <c r="S475" s="133"/>
      <c r="T475" s="133"/>
    </row>
    <row r="476">
      <c r="A476" s="141"/>
      <c r="B476" s="142"/>
      <c r="C476" s="133"/>
      <c r="D476" s="133"/>
      <c r="E476" s="140"/>
      <c r="F476" s="140"/>
      <c r="G476" s="140"/>
      <c r="H476" s="133"/>
      <c r="I476" s="133"/>
      <c r="J476" s="140"/>
      <c r="K476" s="129"/>
      <c r="L476" s="129"/>
      <c r="M476" s="129"/>
      <c r="N476" s="129"/>
      <c r="O476" s="140"/>
      <c r="P476" s="140"/>
      <c r="Q476" s="133"/>
      <c r="R476" s="140"/>
      <c r="S476" s="133"/>
      <c r="T476" s="133"/>
    </row>
    <row r="477">
      <c r="A477" s="141"/>
      <c r="B477" s="142"/>
      <c r="C477" s="133"/>
      <c r="D477" s="133"/>
      <c r="E477" s="140"/>
      <c r="F477" s="140"/>
      <c r="G477" s="140"/>
      <c r="H477" s="133"/>
      <c r="I477" s="133"/>
      <c r="J477" s="140"/>
      <c r="K477" s="129"/>
      <c r="L477" s="129"/>
      <c r="M477" s="129"/>
      <c r="N477" s="129"/>
      <c r="O477" s="140"/>
      <c r="P477" s="140"/>
      <c r="Q477" s="133"/>
      <c r="R477" s="140"/>
      <c r="S477" s="133"/>
      <c r="T477" s="133"/>
    </row>
    <row r="478">
      <c r="A478" s="141"/>
      <c r="B478" s="142"/>
      <c r="C478" s="133"/>
      <c r="D478" s="133"/>
      <c r="E478" s="140"/>
      <c r="F478" s="140"/>
      <c r="G478" s="140"/>
      <c r="H478" s="133"/>
      <c r="I478" s="133"/>
      <c r="J478" s="140"/>
      <c r="K478" s="129"/>
      <c r="L478" s="129"/>
      <c r="M478" s="129"/>
      <c r="N478" s="129"/>
      <c r="O478" s="140"/>
      <c r="P478" s="140"/>
      <c r="Q478" s="133"/>
      <c r="R478" s="140"/>
      <c r="S478" s="133"/>
      <c r="T478" s="133"/>
    </row>
    <row r="479">
      <c r="A479" s="141"/>
      <c r="B479" s="142"/>
      <c r="C479" s="133"/>
      <c r="D479" s="133"/>
      <c r="E479" s="140"/>
      <c r="F479" s="140"/>
      <c r="G479" s="140"/>
      <c r="H479" s="133"/>
      <c r="I479" s="133"/>
      <c r="J479" s="140"/>
      <c r="K479" s="129"/>
      <c r="L479" s="129"/>
      <c r="M479" s="129"/>
      <c r="N479" s="129"/>
      <c r="O479" s="140"/>
      <c r="P479" s="140"/>
      <c r="Q479" s="133"/>
      <c r="R479" s="140"/>
      <c r="S479" s="133"/>
      <c r="T479" s="133"/>
    </row>
    <row r="480">
      <c r="A480" s="141"/>
      <c r="B480" s="142"/>
      <c r="C480" s="133"/>
      <c r="D480" s="133"/>
      <c r="E480" s="140"/>
      <c r="F480" s="140"/>
      <c r="G480" s="140"/>
      <c r="H480" s="133"/>
      <c r="I480" s="133"/>
      <c r="J480" s="140"/>
      <c r="K480" s="129"/>
      <c r="L480" s="129"/>
      <c r="M480" s="129"/>
      <c r="N480" s="129"/>
      <c r="O480" s="140"/>
      <c r="P480" s="140"/>
      <c r="Q480" s="133"/>
      <c r="R480" s="140"/>
      <c r="S480" s="133"/>
      <c r="T480" s="133"/>
    </row>
    <row r="481">
      <c r="A481" s="141"/>
      <c r="B481" s="142"/>
      <c r="C481" s="133"/>
      <c r="D481" s="133"/>
      <c r="E481" s="140"/>
      <c r="F481" s="140"/>
      <c r="G481" s="140"/>
      <c r="H481" s="133"/>
      <c r="I481" s="133"/>
      <c r="J481" s="140"/>
      <c r="K481" s="129"/>
      <c r="L481" s="129"/>
      <c r="M481" s="129"/>
      <c r="N481" s="129"/>
      <c r="O481" s="140"/>
      <c r="P481" s="140"/>
      <c r="Q481" s="133"/>
      <c r="R481" s="140"/>
      <c r="S481" s="133"/>
      <c r="T481" s="133"/>
    </row>
    <row r="482">
      <c r="A482" s="141"/>
      <c r="B482" s="142"/>
      <c r="C482" s="133"/>
      <c r="D482" s="133"/>
      <c r="E482" s="140"/>
      <c r="F482" s="140"/>
      <c r="G482" s="140"/>
      <c r="H482" s="133"/>
      <c r="I482" s="133"/>
      <c r="J482" s="140"/>
      <c r="K482" s="129"/>
      <c r="L482" s="129"/>
      <c r="M482" s="129"/>
      <c r="N482" s="129"/>
      <c r="O482" s="140"/>
      <c r="P482" s="140"/>
      <c r="Q482" s="133"/>
      <c r="R482" s="140"/>
      <c r="S482" s="133"/>
      <c r="T482" s="133"/>
    </row>
    <row r="483">
      <c r="A483" s="141"/>
      <c r="B483" s="142"/>
      <c r="C483" s="133"/>
      <c r="D483" s="133"/>
      <c r="E483" s="140"/>
      <c r="F483" s="140"/>
      <c r="G483" s="140"/>
      <c r="H483" s="133"/>
      <c r="I483" s="133"/>
      <c r="J483" s="140"/>
      <c r="K483" s="129"/>
      <c r="L483" s="129"/>
      <c r="M483" s="129"/>
      <c r="N483" s="129"/>
      <c r="O483" s="140"/>
      <c r="P483" s="140"/>
      <c r="Q483" s="133"/>
      <c r="R483" s="140"/>
      <c r="S483" s="133"/>
      <c r="T483" s="133"/>
    </row>
    <row r="484">
      <c r="A484" s="141"/>
      <c r="B484" s="142"/>
      <c r="C484" s="133"/>
      <c r="D484" s="133"/>
      <c r="E484" s="140"/>
      <c r="F484" s="140"/>
      <c r="G484" s="140"/>
      <c r="H484" s="133"/>
      <c r="I484" s="133"/>
      <c r="J484" s="140"/>
      <c r="K484" s="129"/>
      <c r="L484" s="129"/>
      <c r="M484" s="129"/>
      <c r="N484" s="129"/>
      <c r="O484" s="140"/>
      <c r="P484" s="140"/>
      <c r="Q484" s="133"/>
      <c r="R484" s="140"/>
      <c r="S484" s="133"/>
      <c r="T484" s="133"/>
    </row>
    <row r="485">
      <c r="A485" s="141"/>
      <c r="B485" s="142"/>
      <c r="C485" s="133"/>
      <c r="D485" s="133"/>
      <c r="E485" s="140"/>
      <c r="F485" s="140"/>
      <c r="G485" s="140"/>
      <c r="H485" s="133"/>
      <c r="I485" s="133"/>
      <c r="J485" s="140"/>
      <c r="K485" s="129"/>
      <c r="L485" s="129"/>
      <c r="M485" s="129"/>
      <c r="N485" s="129"/>
      <c r="O485" s="140"/>
      <c r="P485" s="140"/>
      <c r="Q485" s="133"/>
      <c r="R485" s="140"/>
      <c r="S485" s="133"/>
      <c r="T485" s="133"/>
    </row>
    <row r="486">
      <c r="A486" s="141"/>
      <c r="B486" s="142"/>
      <c r="C486" s="133"/>
      <c r="D486" s="133"/>
      <c r="E486" s="140"/>
      <c r="F486" s="140"/>
      <c r="G486" s="140"/>
      <c r="H486" s="133"/>
      <c r="I486" s="133"/>
      <c r="J486" s="140"/>
      <c r="K486" s="129"/>
      <c r="L486" s="129"/>
      <c r="M486" s="129"/>
      <c r="N486" s="129"/>
      <c r="O486" s="140"/>
      <c r="P486" s="140"/>
      <c r="Q486" s="133"/>
      <c r="R486" s="140"/>
      <c r="S486" s="133"/>
      <c r="T486" s="133"/>
    </row>
    <row r="487">
      <c r="A487" s="141"/>
      <c r="B487" s="142"/>
      <c r="C487" s="133"/>
      <c r="D487" s="133"/>
      <c r="E487" s="140"/>
      <c r="F487" s="140"/>
      <c r="G487" s="140"/>
      <c r="H487" s="133"/>
      <c r="I487" s="133"/>
      <c r="J487" s="140"/>
      <c r="K487" s="129"/>
      <c r="L487" s="129"/>
      <c r="M487" s="129"/>
      <c r="N487" s="129"/>
      <c r="O487" s="140"/>
      <c r="P487" s="140"/>
      <c r="Q487" s="133"/>
      <c r="R487" s="140"/>
      <c r="S487" s="133"/>
      <c r="T487" s="133"/>
    </row>
    <row r="488">
      <c r="A488" s="141"/>
      <c r="B488" s="142"/>
      <c r="C488" s="133"/>
      <c r="D488" s="133"/>
      <c r="E488" s="140"/>
      <c r="F488" s="140"/>
      <c r="G488" s="140"/>
      <c r="H488" s="133"/>
      <c r="I488" s="133"/>
      <c r="J488" s="140"/>
      <c r="K488" s="129"/>
      <c r="L488" s="129"/>
      <c r="M488" s="129"/>
      <c r="N488" s="129"/>
      <c r="O488" s="140"/>
      <c r="P488" s="140"/>
      <c r="Q488" s="133"/>
      <c r="R488" s="140"/>
      <c r="S488" s="133"/>
      <c r="T488" s="133"/>
    </row>
    <row r="489">
      <c r="A489" s="141"/>
      <c r="B489" s="142"/>
      <c r="C489" s="133"/>
      <c r="D489" s="133"/>
      <c r="E489" s="140"/>
      <c r="F489" s="140"/>
      <c r="G489" s="140"/>
      <c r="H489" s="133"/>
      <c r="I489" s="133"/>
      <c r="J489" s="140"/>
      <c r="K489" s="129"/>
      <c r="L489" s="129"/>
      <c r="M489" s="129"/>
      <c r="N489" s="129"/>
      <c r="O489" s="140"/>
      <c r="P489" s="140"/>
      <c r="Q489" s="133"/>
      <c r="R489" s="140"/>
      <c r="S489" s="133"/>
      <c r="T489" s="133"/>
    </row>
    <row r="490">
      <c r="A490" s="141"/>
      <c r="B490" s="142"/>
      <c r="C490" s="133"/>
      <c r="D490" s="133"/>
      <c r="E490" s="140"/>
      <c r="F490" s="140"/>
      <c r="G490" s="140"/>
      <c r="H490" s="133"/>
      <c r="I490" s="133"/>
      <c r="J490" s="140"/>
      <c r="K490" s="129"/>
      <c r="L490" s="129"/>
      <c r="M490" s="129"/>
      <c r="N490" s="129"/>
      <c r="O490" s="140"/>
      <c r="P490" s="140"/>
      <c r="Q490" s="133"/>
      <c r="R490" s="140"/>
      <c r="S490" s="133"/>
      <c r="T490" s="133"/>
    </row>
    <row r="491">
      <c r="A491" s="141"/>
      <c r="B491" s="142"/>
      <c r="C491" s="133"/>
      <c r="D491" s="133"/>
      <c r="E491" s="140"/>
      <c r="F491" s="140"/>
      <c r="G491" s="140"/>
      <c r="H491" s="133"/>
      <c r="I491" s="133"/>
      <c r="J491" s="140"/>
      <c r="K491" s="129"/>
      <c r="L491" s="129"/>
      <c r="M491" s="129"/>
      <c r="N491" s="129"/>
      <c r="O491" s="140"/>
      <c r="P491" s="140"/>
      <c r="Q491" s="133"/>
      <c r="R491" s="140"/>
      <c r="S491" s="133"/>
      <c r="T491" s="133"/>
    </row>
    <row r="492">
      <c r="A492" s="141"/>
      <c r="B492" s="142"/>
      <c r="C492" s="133"/>
      <c r="D492" s="133"/>
      <c r="E492" s="140"/>
      <c r="F492" s="140"/>
      <c r="G492" s="140"/>
      <c r="H492" s="133"/>
      <c r="I492" s="133"/>
      <c r="J492" s="140"/>
      <c r="K492" s="129"/>
      <c r="L492" s="129"/>
      <c r="M492" s="129"/>
      <c r="N492" s="129"/>
      <c r="O492" s="140"/>
      <c r="P492" s="140"/>
      <c r="Q492" s="133"/>
      <c r="R492" s="140"/>
      <c r="S492" s="133"/>
      <c r="T492" s="133"/>
    </row>
    <row r="493">
      <c r="A493" s="141"/>
      <c r="B493" s="142"/>
      <c r="C493" s="133"/>
      <c r="D493" s="133"/>
      <c r="E493" s="140"/>
      <c r="F493" s="140"/>
      <c r="G493" s="140"/>
      <c r="H493" s="133"/>
      <c r="I493" s="133"/>
      <c r="J493" s="140"/>
      <c r="K493" s="129"/>
      <c r="L493" s="129"/>
      <c r="M493" s="129"/>
      <c r="N493" s="129"/>
      <c r="O493" s="140"/>
      <c r="P493" s="140"/>
      <c r="Q493" s="133"/>
      <c r="R493" s="140"/>
      <c r="S493" s="133"/>
      <c r="T493" s="133"/>
    </row>
    <row r="494">
      <c r="A494" s="141"/>
      <c r="B494" s="142"/>
      <c r="C494" s="133"/>
      <c r="D494" s="133"/>
      <c r="E494" s="140"/>
      <c r="F494" s="140"/>
      <c r="G494" s="140"/>
      <c r="H494" s="133"/>
      <c r="I494" s="133"/>
      <c r="J494" s="140"/>
      <c r="K494" s="129"/>
      <c r="L494" s="129"/>
      <c r="M494" s="129"/>
      <c r="N494" s="129"/>
      <c r="O494" s="140"/>
      <c r="P494" s="140"/>
      <c r="Q494" s="133"/>
      <c r="R494" s="140"/>
      <c r="S494" s="133"/>
      <c r="T494" s="133"/>
    </row>
    <row r="495">
      <c r="A495" s="141"/>
      <c r="B495" s="142"/>
      <c r="C495" s="133"/>
      <c r="D495" s="133"/>
      <c r="E495" s="140"/>
      <c r="F495" s="140"/>
      <c r="G495" s="140"/>
      <c r="H495" s="133"/>
      <c r="I495" s="133"/>
      <c r="J495" s="140"/>
      <c r="K495" s="129"/>
      <c r="L495" s="129"/>
      <c r="M495" s="129"/>
      <c r="N495" s="129"/>
      <c r="O495" s="140"/>
      <c r="P495" s="140"/>
      <c r="Q495" s="133"/>
      <c r="R495" s="140"/>
      <c r="S495" s="133"/>
      <c r="T495" s="133"/>
    </row>
    <row r="496">
      <c r="A496" s="141"/>
      <c r="B496" s="142"/>
      <c r="C496" s="133"/>
      <c r="D496" s="133"/>
      <c r="E496" s="140"/>
      <c r="F496" s="140"/>
      <c r="G496" s="140"/>
      <c r="H496" s="133"/>
      <c r="I496" s="133"/>
      <c r="J496" s="140"/>
      <c r="K496" s="129"/>
      <c r="L496" s="129"/>
      <c r="M496" s="129"/>
      <c r="N496" s="129"/>
      <c r="O496" s="140"/>
      <c r="P496" s="140"/>
      <c r="Q496" s="133"/>
      <c r="R496" s="140"/>
      <c r="S496" s="133"/>
      <c r="T496" s="133"/>
    </row>
    <row r="497">
      <c r="A497" s="141"/>
      <c r="B497" s="142"/>
      <c r="C497" s="133"/>
      <c r="D497" s="133"/>
      <c r="E497" s="140"/>
      <c r="F497" s="140"/>
      <c r="G497" s="140"/>
      <c r="H497" s="133"/>
      <c r="I497" s="133"/>
      <c r="J497" s="140"/>
      <c r="K497" s="129"/>
      <c r="L497" s="129"/>
      <c r="M497" s="129"/>
      <c r="N497" s="129"/>
      <c r="O497" s="140"/>
      <c r="P497" s="140"/>
      <c r="Q497" s="133"/>
      <c r="R497" s="140"/>
      <c r="S497" s="133"/>
      <c r="T497" s="133"/>
    </row>
    <row r="498">
      <c r="A498" s="141"/>
      <c r="B498" s="142"/>
      <c r="C498" s="133"/>
      <c r="D498" s="133"/>
      <c r="E498" s="140"/>
      <c r="F498" s="140"/>
      <c r="G498" s="140"/>
      <c r="H498" s="133"/>
      <c r="I498" s="133"/>
      <c r="J498" s="140"/>
      <c r="K498" s="129"/>
      <c r="L498" s="129"/>
      <c r="M498" s="129"/>
      <c r="N498" s="129"/>
      <c r="O498" s="140"/>
      <c r="P498" s="140"/>
      <c r="Q498" s="133"/>
      <c r="R498" s="140"/>
      <c r="S498" s="133"/>
      <c r="T498" s="133"/>
    </row>
    <row r="499">
      <c r="A499" s="141"/>
      <c r="B499" s="142"/>
      <c r="C499" s="133"/>
      <c r="D499" s="133"/>
      <c r="E499" s="140"/>
      <c r="F499" s="140"/>
      <c r="G499" s="140"/>
      <c r="H499" s="133"/>
      <c r="I499" s="133"/>
      <c r="J499" s="140"/>
      <c r="K499" s="129"/>
      <c r="L499" s="129"/>
      <c r="M499" s="129"/>
      <c r="N499" s="129"/>
      <c r="O499" s="140"/>
      <c r="P499" s="140"/>
      <c r="Q499" s="133"/>
      <c r="R499" s="140"/>
      <c r="S499" s="133"/>
      <c r="T499" s="133"/>
    </row>
    <row r="500">
      <c r="A500" s="141"/>
      <c r="B500" s="142"/>
      <c r="C500" s="133"/>
      <c r="D500" s="133"/>
      <c r="E500" s="140"/>
      <c r="F500" s="140"/>
      <c r="G500" s="140"/>
      <c r="H500" s="133"/>
      <c r="I500" s="133"/>
      <c r="J500" s="140"/>
      <c r="K500" s="129"/>
      <c r="L500" s="129"/>
      <c r="M500" s="129"/>
      <c r="N500" s="129"/>
      <c r="O500" s="140"/>
      <c r="P500" s="140"/>
      <c r="Q500" s="133"/>
      <c r="R500" s="140"/>
      <c r="S500" s="133"/>
      <c r="T500" s="133"/>
    </row>
    <row r="501">
      <c r="A501" s="141"/>
      <c r="B501" s="142"/>
      <c r="C501" s="133"/>
      <c r="D501" s="133"/>
      <c r="E501" s="140"/>
      <c r="F501" s="140"/>
      <c r="G501" s="140"/>
      <c r="H501" s="133"/>
      <c r="I501" s="133"/>
      <c r="J501" s="140"/>
      <c r="K501" s="129"/>
      <c r="L501" s="129"/>
      <c r="M501" s="129"/>
      <c r="N501" s="129"/>
      <c r="O501" s="140"/>
      <c r="P501" s="140"/>
      <c r="Q501" s="133"/>
      <c r="R501" s="140"/>
      <c r="S501" s="133"/>
      <c r="T501" s="133"/>
    </row>
    <row r="502">
      <c r="A502" s="141"/>
      <c r="B502" s="142"/>
      <c r="C502" s="133"/>
      <c r="D502" s="133"/>
      <c r="E502" s="140"/>
      <c r="F502" s="140"/>
      <c r="G502" s="140"/>
      <c r="H502" s="133"/>
      <c r="I502" s="133"/>
      <c r="J502" s="140"/>
      <c r="K502" s="129"/>
      <c r="L502" s="129"/>
      <c r="M502" s="129"/>
      <c r="N502" s="129"/>
      <c r="O502" s="140"/>
      <c r="P502" s="140"/>
      <c r="Q502" s="133"/>
      <c r="R502" s="140"/>
      <c r="S502" s="133"/>
      <c r="T502" s="133"/>
    </row>
    <row r="503">
      <c r="A503" s="141"/>
      <c r="B503" s="142"/>
      <c r="C503" s="133"/>
      <c r="D503" s="133"/>
      <c r="E503" s="140"/>
      <c r="F503" s="140"/>
      <c r="G503" s="140"/>
      <c r="H503" s="133"/>
      <c r="I503" s="133"/>
      <c r="J503" s="140"/>
      <c r="K503" s="129"/>
      <c r="L503" s="129"/>
      <c r="M503" s="129"/>
      <c r="N503" s="129"/>
      <c r="O503" s="140"/>
      <c r="P503" s="140"/>
      <c r="Q503" s="133"/>
      <c r="R503" s="140"/>
      <c r="S503" s="133"/>
      <c r="T503" s="133"/>
    </row>
    <row r="504">
      <c r="A504" s="141"/>
      <c r="B504" s="142"/>
      <c r="C504" s="133"/>
      <c r="D504" s="133"/>
      <c r="E504" s="140"/>
      <c r="F504" s="140"/>
      <c r="G504" s="140"/>
      <c r="H504" s="133"/>
      <c r="I504" s="133"/>
      <c r="J504" s="140"/>
      <c r="K504" s="129"/>
      <c r="L504" s="129"/>
      <c r="M504" s="129"/>
      <c r="N504" s="129"/>
      <c r="O504" s="140"/>
      <c r="P504" s="140"/>
      <c r="Q504" s="133"/>
      <c r="R504" s="140"/>
      <c r="S504" s="133"/>
      <c r="T504" s="133"/>
    </row>
    <row r="505">
      <c r="A505" s="141"/>
      <c r="B505" s="142"/>
      <c r="C505" s="133"/>
      <c r="D505" s="133"/>
      <c r="E505" s="140"/>
      <c r="F505" s="140"/>
      <c r="G505" s="140"/>
      <c r="H505" s="133"/>
      <c r="I505" s="133"/>
      <c r="J505" s="140"/>
      <c r="K505" s="129"/>
      <c r="L505" s="129"/>
      <c r="M505" s="129"/>
      <c r="N505" s="129"/>
      <c r="O505" s="140"/>
      <c r="P505" s="140"/>
      <c r="Q505" s="133"/>
      <c r="R505" s="140"/>
      <c r="S505" s="133"/>
      <c r="T505" s="133"/>
    </row>
    <row r="506">
      <c r="A506" s="141"/>
      <c r="B506" s="142"/>
      <c r="C506" s="133"/>
      <c r="D506" s="133"/>
      <c r="E506" s="140"/>
      <c r="F506" s="140"/>
      <c r="G506" s="140"/>
      <c r="H506" s="133"/>
      <c r="I506" s="133"/>
      <c r="J506" s="140"/>
      <c r="K506" s="129"/>
      <c r="L506" s="129"/>
      <c r="M506" s="129"/>
      <c r="N506" s="129"/>
      <c r="O506" s="140"/>
      <c r="P506" s="140"/>
      <c r="Q506" s="133"/>
      <c r="R506" s="140"/>
      <c r="S506" s="133"/>
      <c r="T506" s="133"/>
    </row>
    <row r="507">
      <c r="A507" s="141"/>
      <c r="B507" s="142"/>
      <c r="C507" s="133"/>
      <c r="D507" s="133"/>
      <c r="E507" s="140"/>
      <c r="F507" s="140"/>
      <c r="G507" s="140"/>
      <c r="H507" s="133"/>
      <c r="I507" s="133"/>
      <c r="J507" s="140"/>
      <c r="K507" s="129"/>
      <c r="L507" s="129"/>
      <c r="M507" s="129"/>
      <c r="N507" s="129"/>
      <c r="O507" s="140"/>
      <c r="P507" s="140"/>
      <c r="Q507" s="133"/>
      <c r="R507" s="140"/>
      <c r="S507" s="133"/>
      <c r="T507" s="133"/>
    </row>
    <row r="508">
      <c r="A508" s="141"/>
      <c r="B508" s="142"/>
      <c r="C508" s="133"/>
      <c r="D508" s="133"/>
      <c r="E508" s="140"/>
      <c r="F508" s="140"/>
      <c r="G508" s="140"/>
      <c r="H508" s="133"/>
      <c r="I508" s="133"/>
      <c r="J508" s="140"/>
      <c r="K508" s="129"/>
      <c r="L508" s="129"/>
      <c r="M508" s="129"/>
      <c r="N508" s="129"/>
      <c r="O508" s="140"/>
      <c r="P508" s="140"/>
      <c r="Q508" s="133"/>
      <c r="R508" s="140"/>
      <c r="S508" s="133"/>
      <c r="T508" s="133"/>
    </row>
    <row r="509">
      <c r="A509" s="141"/>
      <c r="B509" s="142"/>
      <c r="C509" s="133"/>
      <c r="D509" s="133"/>
      <c r="E509" s="140"/>
      <c r="F509" s="140"/>
      <c r="G509" s="140"/>
      <c r="H509" s="133"/>
      <c r="I509" s="133"/>
      <c r="J509" s="140"/>
      <c r="K509" s="129"/>
      <c r="L509" s="129"/>
      <c r="M509" s="129"/>
      <c r="N509" s="129"/>
      <c r="O509" s="140"/>
      <c r="P509" s="140"/>
      <c r="Q509" s="133"/>
      <c r="R509" s="140"/>
      <c r="S509" s="133"/>
      <c r="T509" s="133"/>
    </row>
    <row r="510">
      <c r="A510" s="141"/>
      <c r="B510" s="142"/>
      <c r="C510" s="133"/>
      <c r="D510" s="133"/>
      <c r="E510" s="140"/>
      <c r="F510" s="140"/>
      <c r="G510" s="140"/>
      <c r="H510" s="133"/>
      <c r="I510" s="133"/>
      <c r="J510" s="140"/>
      <c r="K510" s="129"/>
      <c r="L510" s="129"/>
      <c r="M510" s="129"/>
      <c r="N510" s="129"/>
      <c r="O510" s="140"/>
      <c r="P510" s="140"/>
      <c r="Q510" s="133"/>
      <c r="R510" s="140"/>
      <c r="S510" s="133"/>
      <c r="T510" s="133"/>
    </row>
    <row r="511">
      <c r="A511" s="141"/>
      <c r="B511" s="142"/>
      <c r="C511" s="133"/>
      <c r="D511" s="133"/>
      <c r="E511" s="140"/>
      <c r="F511" s="140"/>
      <c r="G511" s="140"/>
      <c r="H511" s="133"/>
      <c r="I511" s="133"/>
      <c r="J511" s="140"/>
      <c r="K511" s="129"/>
      <c r="L511" s="129"/>
      <c r="M511" s="129"/>
      <c r="N511" s="129"/>
      <c r="O511" s="140"/>
      <c r="P511" s="140"/>
      <c r="Q511" s="133"/>
      <c r="R511" s="140"/>
      <c r="S511" s="133"/>
      <c r="T511" s="133"/>
    </row>
    <row r="512">
      <c r="A512" s="141"/>
      <c r="B512" s="142"/>
      <c r="C512" s="133"/>
      <c r="D512" s="133"/>
      <c r="E512" s="140"/>
      <c r="F512" s="140"/>
      <c r="G512" s="140"/>
      <c r="H512" s="133"/>
      <c r="I512" s="133"/>
      <c r="J512" s="140"/>
      <c r="K512" s="129"/>
      <c r="L512" s="129"/>
      <c r="M512" s="129"/>
      <c r="N512" s="129"/>
      <c r="O512" s="140"/>
      <c r="P512" s="140"/>
      <c r="Q512" s="133"/>
      <c r="R512" s="140"/>
      <c r="S512" s="133"/>
      <c r="T512" s="133"/>
    </row>
    <row r="513">
      <c r="A513" s="141"/>
      <c r="B513" s="142"/>
      <c r="C513" s="133"/>
      <c r="D513" s="133"/>
      <c r="E513" s="140"/>
      <c r="F513" s="140"/>
      <c r="G513" s="140"/>
      <c r="H513" s="133"/>
      <c r="I513" s="133"/>
      <c r="J513" s="140"/>
      <c r="K513" s="129"/>
      <c r="L513" s="129"/>
      <c r="M513" s="129"/>
      <c r="N513" s="129"/>
      <c r="O513" s="140"/>
      <c r="P513" s="140"/>
      <c r="Q513" s="133"/>
      <c r="R513" s="140"/>
      <c r="S513" s="133"/>
      <c r="T513" s="133"/>
    </row>
    <row r="514">
      <c r="A514" s="141"/>
      <c r="B514" s="142"/>
      <c r="C514" s="133"/>
      <c r="D514" s="133"/>
      <c r="E514" s="140"/>
      <c r="F514" s="140"/>
      <c r="G514" s="140"/>
      <c r="H514" s="133"/>
      <c r="I514" s="133"/>
      <c r="J514" s="140"/>
      <c r="K514" s="129"/>
      <c r="L514" s="129"/>
      <c r="M514" s="129"/>
      <c r="N514" s="129"/>
      <c r="O514" s="140"/>
      <c r="P514" s="140"/>
      <c r="Q514" s="133"/>
      <c r="R514" s="140"/>
      <c r="S514" s="133"/>
      <c r="T514" s="133"/>
    </row>
    <row r="515">
      <c r="A515" s="141"/>
      <c r="B515" s="142"/>
      <c r="C515" s="133"/>
      <c r="D515" s="133"/>
      <c r="E515" s="140"/>
      <c r="F515" s="140"/>
      <c r="G515" s="140"/>
      <c r="H515" s="133"/>
      <c r="I515" s="133"/>
      <c r="J515" s="140"/>
      <c r="K515" s="129"/>
      <c r="L515" s="129"/>
      <c r="M515" s="129"/>
      <c r="N515" s="129"/>
      <c r="O515" s="140"/>
      <c r="P515" s="140"/>
      <c r="Q515" s="133"/>
      <c r="R515" s="140"/>
      <c r="S515" s="133"/>
      <c r="T515" s="133"/>
    </row>
    <row r="516">
      <c r="A516" s="141"/>
      <c r="B516" s="142"/>
      <c r="C516" s="133"/>
      <c r="D516" s="133"/>
      <c r="E516" s="140"/>
      <c r="F516" s="140"/>
      <c r="G516" s="140"/>
      <c r="H516" s="133"/>
      <c r="I516" s="133"/>
      <c r="J516" s="140"/>
      <c r="K516" s="129"/>
      <c r="L516" s="129"/>
      <c r="M516" s="129"/>
      <c r="N516" s="129"/>
      <c r="O516" s="140"/>
      <c r="P516" s="140"/>
      <c r="Q516" s="133"/>
      <c r="R516" s="140"/>
      <c r="S516" s="133"/>
      <c r="T516" s="133"/>
    </row>
    <row r="517">
      <c r="A517" s="141"/>
      <c r="B517" s="142"/>
      <c r="C517" s="133"/>
      <c r="D517" s="133"/>
      <c r="E517" s="140"/>
      <c r="F517" s="140"/>
      <c r="G517" s="140"/>
      <c r="H517" s="133"/>
      <c r="I517" s="133"/>
      <c r="J517" s="140"/>
      <c r="K517" s="129"/>
      <c r="L517" s="129"/>
      <c r="M517" s="129"/>
      <c r="N517" s="129"/>
      <c r="O517" s="140"/>
      <c r="P517" s="140"/>
      <c r="Q517" s="133"/>
      <c r="R517" s="140"/>
      <c r="S517" s="133"/>
      <c r="T517" s="133"/>
    </row>
    <row r="518">
      <c r="A518" s="141"/>
      <c r="B518" s="142"/>
      <c r="C518" s="133"/>
      <c r="D518" s="133"/>
      <c r="E518" s="140"/>
      <c r="F518" s="140"/>
      <c r="G518" s="140"/>
      <c r="H518" s="133"/>
      <c r="I518" s="133"/>
      <c r="J518" s="140"/>
      <c r="K518" s="129"/>
      <c r="L518" s="129"/>
      <c r="M518" s="129"/>
      <c r="N518" s="129"/>
      <c r="O518" s="140"/>
      <c r="P518" s="140"/>
      <c r="Q518" s="133"/>
      <c r="R518" s="140"/>
      <c r="S518" s="133"/>
      <c r="T518" s="133"/>
    </row>
    <row r="519">
      <c r="A519" s="141"/>
      <c r="B519" s="142"/>
      <c r="C519" s="133"/>
      <c r="D519" s="133"/>
      <c r="E519" s="140"/>
      <c r="F519" s="140"/>
      <c r="G519" s="140"/>
      <c r="H519" s="133"/>
      <c r="I519" s="133"/>
      <c r="J519" s="140"/>
      <c r="K519" s="129"/>
      <c r="L519" s="129"/>
      <c r="M519" s="129"/>
      <c r="N519" s="129"/>
      <c r="O519" s="140"/>
      <c r="P519" s="140"/>
      <c r="Q519" s="133"/>
      <c r="R519" s="140"/>
      <c r="S519" s="133"/>
      <c r="T519" s="133"/>
    </row>
    <row r="520">
      <c r="A520" s="141"/>
      <c r="B520" s="142"/>
      <c r="C520" s="133"/>
      <c r="D520" s="133"/>
      <c r="E520" s="140"/>
      <c r="F520" s="140"/>
      <c r="G520" s="140"/>
      <c r="H520" s="133"/>
      <c r="I520" s="133"/>
      <c r="J520" s="140"/>
      <c r="K520" s="129"/>
      <c r="L520" s="129"/>
      <c r="M520" s="129"/>
      <c r="N520" s="129"/>
      <c r="O520" s="140"/>
      <c r="P520" s="140"/>
      <c r="Q520" s="133"/>
      <c r="R520" s="140"/>
      <c r="S520" s="133"/>
      <c r="T520" s="133"/>
    </row>
    <row r="521">
      <c r="A521" s="141"/>
      <c r="B521" s="142"/>
      <c r="C521" s="133"/>
      <c r="D521" s="133"/>
      <c r="E521" s="140"/>
      <c r="F521" s="140"/>
      <c r="G521" s="140"/>
      <c r="H521" s="133"/>
      <c r="I521" s="133"/>
      <c r="J521" s="140"/>
      <c r="K521" s="129"/>
      <c r="L521" s="129"/>
      <c r="M521" s="129"/>
      <c r="N521" s="129"/>
      <c r="O521" s="140"/>
      <c r="P521" s="140"/>
      <c r="Q521" s="133"/>
      <c r="R521" s="140"/>
      <c r="S521" s="133"/>
      <c r="T521" s="133"/>
    </row>
    <row r="522">
      <c r="A522" s="141"/>
      <c r="B522" s="142"/>
      <c r="C522" s="133"/>
      <c r="D522" s="133"/>
      <c r="E522" s="140"/>
      <c r="F522" s="140"/>
      <c r="G522" s="140"/>
      <c r="H522" s="133"/>
      <c r="I522" s="133"/>
      <c r="J522" s="140"/>
      <c r="K522" s="129"/>
      <c r="L522" s="129"/>
      <c r="M522" s="129"/>
      <c r="N522" s="129"/>
      <c r="O522" s="140"/>
      <c r="P522" s="140"/>
      <c r="Q522" s="133"/>
      <c r="R522" s="140"/>
      <c r="S522" s="133"/>
      <c r="T522" s="133"/>
    </row>
    <row r="523">
      <c r="A523" s="141"/>
      <c r="B523" s="142"/>
      <c r="C523" s="133"/>
      <c r="D523" s="133"/>
      <c r="E523" s="140"/>
      <c r="F523" s="140"/>
      <c r="G523" s="140"/>
      <c r="H523" s="133"/>
      <c r="I523" s="133"/>
      <c r="J523" s="140"/>
      <c r="K523" s="129"/>
      <c r="L523" s="129"/>
      <c r="M523" s="129"/>
      <c r="N523" s="129"/>
      <c r="O523" s="140"/>
      <c r="P523" s="140"/>
      <c r="Q523" s="133"/>
      <c r="R523" s="140"/>
      <c r="S523" s="133"/>
      <c r="T523" s="133"/>
    </row>
    <row r="524">
      <c r="A524" s="141"/>
      <c r="B524" s="142"/>
      <c r="C524" s="133"/>
      <c r="D524" s="133"/>
      <c r="E524" s="140"/>
      <c r="F524" s="140"/>
      <c r="G524" s="140"/>
      <c r="H524" s="133"/>
      <c r="I524" s="133"/>
      <c r="J524" s="140"/>
      <c r="K524" s="129"/>
      <c r="L524" s="129"/>
      <c r="M524" s="129"/>
      <c r="N524" s="129"/>
      <c r="O524" s="140"/>
      <c r="P524" s="140"/>
      <c r="Q524" s="133"/>
      <c r="R524" s="140"/>
      <c r="S524" s="133"/>
      <c r="T524" s="133"/>
    </row>
    <row r="525">
      <c r="A525" s="141"/>
      <c r="B525" s="142"/>
      <c r="C525" s="133"/>
      <c r="D525" s="133"/>
      <c r="E525" s="140"/>
      <c r="F525" s="140"/>
      <c r="G525" s="140"/>
      <c r="H525" s="133"/>
      <c r="I525" s="133"/>
      <c r="J525" s="140"/>
      <c r="K525" s="129"/>
      <c r="L525" s="129"/>
      <c r="M525" s="129"/>
      <c r="N525" s="129"/>
      <c r="O525" s="140"/>
      <c r="P525" s="140"/>
      <c r="Q525" s="133"/>
      <c r="R525" s="140"/>
      <c r="S525" s="133"/>
      <c r="T525" s="133"/>
    </row>
    <row r="526">
      <c r="A526" s="141"/>
      <c r="B526" s="142"/>
      <c r="C526" s="133"/>
      <c r="D526" s="133"/>
      <c r="E526" s="140"/>
      <c r="F526" s="140"/>
      <c r="G526" s="140"/>
      <c r="H526" s="133"/>
      <c r="I526" s="133"/>
      <c r="J526" s="140"/>
      <c r="K526" s="129"/>
      <c r="L526" s="129"/>
      <c r="M526" s="129"/>
      <c r="N526" s="129"/>
      <c r="O526" s="140"/>
      <c r="P526" s="140"/>
      <c r="Q526" s="133"/>
      <c r="R526" s="140"/>
      <c r="S526" s="133"/>
      <c r="T526" s="133"/>
    </row>
    <row r="527">
      <c r="A527" s="141"/>
      <c r="B527" s="142"/>
      <c r="C527" s="133"/>
      <c r="D527" s="133"/>
      <c r="E527" s="140"/>
      <c r="F527" s="140"/>
      <c r="G527" s="140"/>
      <c r="H527" s="133"/>
      <c r="I527" s="133"/>
      <c r="J527" s="140"/>
      <c r="K527" s="129"/>
      <c r="L527" s="129"/>
      <c r="M527" s="129"/>
      <c r="N527" s="129"/>
      <c r="O527" s="140"/>
      <c r="P527" s="140"/>
      <c r="Q527" s="133"/>
      <c r="R527" s="140"/>
      <c r="S527" s="133"/>
      <c r="T527" s="133"/>
    </row>
    <row r="528">
      <c r="A528" s="141"/>
      <c r="B528" s="142"/>
      <c r="C528" s="133"/>
      <c r="D528" s="133"/>
      <c r="E528" s="140"/>
      <c r="F528" s="140"/>
      <c r="G528" s="140"/>
      <c r="H528" s="133"/>
      <c r="I528" s="133"/>
      <c r="J528" s="140"/>
      <c r="K528" s="129"/>
      <c r="L528" s="129"/>
      <c r="M528" s="129"/>
      <c r="N528" s="129"/>
      <c r="O528" s="140"/>
      <c r="P528" s="140"/>
      <c r="Q528" s="133"/>
      <c r="R528" s="140"/>
      <c r="S528" s="133"/>
      <c r="T528" s="133"/>
    </row>
    <row r="529">
      <c r="A529" s="141"/>
      <c r="B529" s="142"/>
      <c r="C529" s="133"/>
      <c r="D529" s="133"/>
      <c r="E529" s="140"/>
      <c r="F529" s="140"/>
      <c r="G529" s="140"/>
      <c r="H529" s="133"/>
      <c r="I529" s="133"/>
      <c r="J529" s="140"/>
      <c r="K529" s="129"/>
      <c r="L529" s="129"/>
      <c r="M529" s="129"/>
      <c r="N529" s="129"/>
      <c r="O529" s="140"/>
      <c r="P529" s="140"/>
      <c r="Q529" s="133"/>
      <c r="R529" s="140"/>
      <c r="S529" s="133"/>
      <c r="T529" s="133"/>
    </row>
    <row r="530">
      <c r="A530" s="141"/>
      <c r="B530" s="142"/>
      <c r="C530" s="133"/>
      <c r="D530" s="133"/>
      <c r="E530" s="140"/>
      <c r="F530" s="140"/>
      <c r="G530" s="140"/>
      <c r="H530" s="133"/>
      <c r="I530" s="133"/>
      <c r="J530" s="140"/>
      <c r="K530" s="129"/>
      <c r="L530" s="129"/>
      <c r="M530" s="129"/>
      <c r="N530" s="129"/>
      <c r="O530" s="140"/>
      <c r="P530" s="140"/>
      <c r="Q530" s="133"/>
      <c r="R530" s="140"/>
      <c r="S530" s="133"/>
      <c r="T530" s="133"/>
    </row>
    <row r="531">
      <c r="A531" s="141"/>
      <c r="B531" s="142"/>
      <c r="C531" s="133"/>
      <c r="D531" s="133"/>
      <c r="E531" s="140"/>
      <c r="F531" s="140"/>
      <c r="G531" s="140"/>
      <c r="H531" s="133"/>
      <c r="I531" s="133"/>
      <c r="J531" s="140"/>
      <c r="K531" s="129"/>
      <c r="L531" s="129"/>
      <c r="M531" s="129"/>
      <c r="N531" s="129"/>
      <c r="O531" s="140"/>
      <c r="P531" s="140"/>
      <c r="Q531" s="133"/>
      <c r="R531" s="140"/>
      <c r="S531" s="133"/>
      <c r="T531" s="133"/>
    </row>
    <row r="532">
      <c r="A532" s="141"/>
      <c r="B532" s="142"/>
      <c r="C532" s="133"/>
      <c r="D532" s="133"/>
      <c r="E532" s="140"/>
      <c r="F532" s="140"/>
      <c r="G532" s="140"/>
      <c r="H532" s="133"/>
      <c r="I532" s="133"/>
      <c r="J532" s="140"/>
      <c r="K532" s="129"/>
      <c r="L532" s="129"/>
      <c r="M532" s="129"/>
      <c r="N532" s="129"/>
      <c r="O532" s="140"/>
      <c r="P532" s="140"/>
      <c r="Q532" s="133"/>
      <c r="R532" s="140"/>
      <c r="S532" s="133"/>
      <c r="T532" s="133"/>
    </row>
    <row r="533">
      <c r="A533" s="141"/>
      <c r="B533" s="142"/>
      <c r="C533" s="133"/>
      <c r="D533" s="133"/>
      <c r="E533" s="140"/>
      <c r="F533" s="140"/>
      <c r="G533" s="140"/>
      <c r="H533" s="133"/>
      <c r="I533" s="133"/>
      <c r="J533" s="140"/>
      <c r="K533" s="129"/>
      <c r="L533" s="129"/>
      <c r="M533" s="129"/>
      <c r="N533" s="129"/>
      <c r="O533" s="140"/>
      <c r="P533" s="140"/>
      <c r="Q533" s="133"/>
      <c r="R533" s="140"/>
      <c r="S533" s="133"/>
      <c r="T533" s="133"/>
    </row>
    <row r="534">
      <c r="A534" s="141"/>
      <c r="B534" s="142"/>
      <c r="C534" s="133"/>
      <c r="D534" s="133"/>
      <c r="E534" s="140"/>
      <c r="F534" s="140"/>
      <c r="G534" s="140"/>
      <c r="H534" s="133"/>
      <c r="I534" s="133"/>
      <c r="J534" s="140"/>
      <c r="K534" s="129"/>
      <c r="L534" s="129"/>
      <c r="M534" s="129"/>
      <c r="N534" s="129"/>
      <c r="O534" s="140"/>
      <c r="P534" s="140"/>
      <c r="Q534" s="133"/>
      <c r="R534" s="140"/>
      <c r="S534" s="133"/>
      <c r="T534" s="133"/>
    </row>
    <row r="535">
      <c r="A535" s="141"/>
      <c r="B535" s="142"/>
      <c r="C535" s="133"/>
      <c r="D535" s="133"/>
      <c r="E535" s="140"/>
      <c r="F535" s="140"/>
      <c r="G535" s="140"/>
      <c r="H535" s="133"/>
      <c r="I535" s="133"/>
      <c r="J535" s="140"/>
      <c r="K535" s="129"/>
      <c r="L535" s="129"/>
      <c r="M535" s="129"/>
      <c r="N535" s="129"/>
      <c r="O535" s="140"/>
      <c r="P535" s="140"/>
      <c r="Q535" s="133"/>
      <c r="R535" s="140"/>
      <c r="S535" s="133"/>
      <c r="T535" s="133"/>
    </row>
    <row r="536">
      <c r="A536" s="141"/>
      <c r="B536" s="142"/>
      <c r="C536" s="133"/>
      <c r="D536" s="133"/>
      <c r="E536" s="140"/>
      <c r="F536" s="140"/>
      <c r="G536" s="140"/>
      <c r="H536" s="133"/>
      <c r="I536" s="133"/>
      <c r="J536" s="140"/>
      <c r="K536" s="129"/>
      <c r="L536" s="129"/>
      <c r="M536" s="129"/>
      <c r="N536" s="129"/>
      <c r="O536" s="140"/>
      <c r="P536" s="140"/>
      <c r="Q536" s="133"/>
      <c r="R536" s="140"/>
      <c r="S536" s="133"/>
      <c r="T536" s="133"/>
    </row>
    <row r="537">
      <c r="A537" s="141"/>
      <c r="B537" s="142"/>
      <c r="C537" s="133"/>
      <c r="D537" s="133"/>
      <c r="E537" s="140"/>
      <c r="F537" s="140"/>
      <c r="G537" s="140"/>
      <c r="H537" s="133"/>
      <c r="I537" s="133"/>
      <c r="J537" s="140"/>
      <c r="K537" s="129"/>
      <c r="L537" s="129"/>
      <c r="M537" s="129"/>
      <c r="N537" s="129"/>
      <c r="O537" s="140"/>
      <c r="P537" s="140"/>
      <c r="Q537" s="133"/>
      <c r="R537" s="140"/>
      <c r="S537" s="133"/>
      <c r="T537" s="133"/>
    </row>
    <row r="538">
      <c r="A538" s="141"/>
      <c r="B538" s="142"/>
      <c r="C538" s="133"/>
      <c r="D538" s="133"/>
      <c r="E538" s="140"/>
      <c r="F538" s="140"/>
      <c r="G538" s="140"/>
      <c r="H538" s="133"/>
      <c r="I538" s="133"/>
      <c r="J538" s="140"/>
      <c r="K538" s="129"/>
      <c r="L538" s="129"/>
      <c r="M538" s="129"/>
      <c r="N538" s="129"/>
      <c r="O538" s="140"/>
      <c r="P538" s="140"/>
      <c r="Q538" s="133"/>
      <c r="R538" s="140"/>
      <c r="S538" s="133"/>
      <c r="T538" s="133"/>
    </row>
    <row r="539">
      <c r="A539" s="141"/>
      <c r="B539" s="142"/>
      <c r="C539" s="133"/>
      <c r="D539" s="133"/>
      <c r="E539" s="140"/>
      <c r="F539" s="140"/>
      <c r="G539" s="140"/>
      <c r="H539" s="133"/>
      <c r="I539" s="133"/>
      <c r="J539" s="140"/>
      <c r="K539" s="129"/>
      <c r="L539" s="129"/>
      <c r="M539" s="129"/>
      <c r="N539" s="129"/>
      <c r="O539" s="140"/>
      <c r="P539" s="140"/>
      <c r="Q539" s="133"/>
      <c r="R539" s="140"/>
      <c r="S539" s="133"/>
      <c r="T539" s="133"/>
    </row>
    <row r="540">
      <c r="A540" s="141"/>
      <c r="B540" s="142"/>
      <c r="C540" s="133"/>
      <c r="D540" s="133"/>
      <c r="E540" s="140"/>
      <c r="F540" s="140"/>
      <c r="G540" s="140"/>
      <c r="H540" s="133"/>
      <c r="I540" s="133"/>
      <c r="J540" s="140"/>
      <c r="K540" s="129"/>
      <c r="L540" s="129"/>
      <c r="M540" s="129"/>
      <c r="N540" s="129"/>
      <c r="O540" s="140"/>
      <c r="P540" s="140"/>
      <c r="Q540" s="133"/>
      <c r="R540" s="140"/>
      <c r="S540" s="133"/>
      <c r="T540" s="133"/>
    </row>
    <row r="541">
      <c r="A541" s="141"/>
      <c r="B541" s="142"/>
      <c r="C541" s="133"/>
      <c r="D541" s="133"/>
      <c r="E541" s="140"/>
      <c r="F541" s="140"/>
      <c r="G541" s="140"/>
      <c r="H541" s="133"/>
      <c r="I541" s="133"/>
      <c r="J541" s="140"/>
      <c r="K541" s="129"/>
      <c r="L541" s="129"/>
      <c r="M541" s="129"/>
      <c r="N541" s="129"/>
      <c r="O541" s="140"/>
      <c r="P541" s="140"/>
      <c r="Q541" s="133"/>
      <c r="R541" s="140"/>
      <c r="S541" s="133"/>
      <c r="T541" s="133"/>
    </row>
    <row r="542">
      <c r="A542" s="141"/>
      <c r="B542" s="142"/>
      <c r="C542" s="133"/>
      <c r="D542" s="133"/>
      <c r="E542" s="140"/>
      <c r="F542" s="140"/>
      <c r="G542" s="140"/>
      <c r="H542" s="133"/>
      <c r="I542" s="133"/>
      <c r="J542" s="140"/>
      <c r="K542" s="129"/>
      <c r="L542" s="129"/>
      <c r="M542" s="129"/>
      <c r="N542" s="129"/>
      <c r="O542" s="140"/>
      <c r="P542" s="140"/>
      <c r="Q542" s="133"/>
      <c r="R542" s="140"/>
      <c r="S542" s="133"/>
      <c r="T542" s="133"/>
    </row>
    <row r="543">
      <c r="A543" s="141"/>
      <c r="B543" s="142"/>
      <c r="C543" s="133"/>
      <c r="D543" s="133"/>
      <c r="E543" s="140"/>
      <c r="F543" s="140"/>
      <c r="G543" s="140"/>
      <c r="H543" s="133"/>
      <c r="I543" s="133"/>
      <c r="J543" s="140"/>
      <c r="K543" s="129"/>
      <c r="L543" s="129"/>
      <c r="M543" s="129"/>
      <c r="N543" s="129"/>
      <c r="O543" s="140"/>
      <c r="P543" s="140"/>
      <c r="Q543" s="133"/>
      <c r="R543" s="140"/>
      <c r="S543" s="133"/>
      <c r="T543" s="133"/>
    </row>
    <row r="544">
      <c r="A544" s="141"/>
      <c r="B544" s="142"/>
      <c r="C544" s="133"/>
      <c r="D544" s="133"/>
      <c r="E544" s="140"/>
      <c r="F544" s="140"/>
      <c r="G544" s="140"/>
      <c r="H544" s="133"/>
      <c r="I544" s="133"/>
      <c r="J544" s="140"/>
      <c r="K544" s="129"/>
      <c r="L544" s="129"/>
      <c r="M544" s="129"/>
      <c r="N544" s="129"/>
      <c r="O544" s="140"/>
      <c r="P544" s="140"/>
      <c r="Q544" s="133"/>
      <c r="R544" s="140"/>
      <c r="S544" s="133"/>
      <c r="T544" s="133"/>
    </row>
    <row r="545">
      <c r="A545" s="141"/>
      <c r="B545" s="142"/>
      <c r="C545" s="133"/>
      <c r="D545" s="133"/>
      <c r="E545" s="140"/>
      <c r="F545" s="140"/>
      <c r="G545" s="140"/>
      <c r="H545" s="133"/>
      <c r="I545" s="133"/>
      <c r="J545" s="140"/>
      <c r="K545" s="129"/>
      <c r="L545" s="129"/>
      <c r="M545" s="129"/>
      <c r="N545" s="129"/>
      <c r="O545" s="140"/>
      <c r="P545" s="140"/>
      <c r="Q545" s="133"/>
      <c r="R545" s="140"/>
      <c r="S545" s="133"/>
      <c r="T545" s="133"/>
    </row>
    <row r="546">
      <c r="A546" s="141"/>
      <c r="B546" s="142"/>
      <c r="C546" s="133"/>
      <c r="D546" s="133"/>
      <c r="E546" s="140"/>
      <c r="F546" s="140"/>
      <c r="G546" s="140"/>
      <c r="H546" s="133"/>
      <c r="I546" s="133"/>
      <c r="J546" s="140"/>
      <c r="K546" s="129"/>
      <c r="L546" s="129"/>
      <c r="M546" s="129"/>
      <c r="N546" s="129"/>
      <c r="O546" s="140"/>
      <c r="P546" s="140"/>
      <c r="Q546" s="133"/>
      <c r="R546" s="140"/>
      <c r="S546" s="133"/>
      <c r="T546" s="133"/>
    </row>
    <row r="547">
      <c r="A547" s="141"/>
      <c r="B547" s="142"/>
      <c r="C547" s="133"/>
      <c r="D547" s="133"/>
      <c r="E547" s="140"/>
      <c r="F547" s="140"/>
      <c r="G547" s="140"/>
      <c r="H547" s="133"/>
      <c r="I547" s="133"/>
      <c r="J547" s="140"/>
      <c r="K547" s="129"/>
      <c r="L547" s="129"/>
      <c r="M547" s="129"/>
      <c r="N547" s="129"/>
      <c r="O547" s="140"/>
      <c r="P547" s="140"/>
      <c r="Q547" s="133"/>
      <c r="R547" s="140"/>
      <c r="S547" s="133"/>
      <c r="T547" s="133"/>
    </row>
    <row r="548">
      <c r="A548" s="141"/>
      <c r="B548" s="142"/>
      <c r="C548" s="133"/>
      <c r="D548" s="133"/>
      <c r="E548" s="140"/>
      <c r="F548" s="140"/>
      <c r="G548" s="140"/>
      <c r="H548" s="133"/>
      <c r="I548" s="133"/>
      <c r="J548" s="140"/>
      <c r="K548" s="129"/>
      <c r="L548" s="129"/>
      <c r="M548" s="129"/>
      <c r="N548" s="129"/>
      <c r="O548" s="140"/>
      <c r="P548" s="140"/>
      <c r="Q548" s="133"/>
      <c r="R548" s="140"/>
      <c r="S548" s="133"/>
      <c r="T548" s="133"/>
    </row>
    <row r="549">
      <c r="A549" s="141"/>
      <c r="B549" s="142"/>
      <c r="C549" s="133"/>
      <c r="D549" s="133"/>
      <c r="E549" s="140"/>
      <c r="F549" s="140"/>
      <c r="G549" s="140"/>
      <c r="H549" s="133"/>
      <c r="I549" s="133"/>
      <c r="J549" s="140"/>
      <c r="K549" s="129"/>
      <c r="L549" s="129"/>
      <c r="M549" s="129"/>
      <c r="N549" s="129"/>
      <c r="O549" s="140"/>
      <c r="P549" s="140"/>
      <c r="Q549" s="133"/>
      <c r="R549" s="140"/>
      <c r="S549" s="133"/>
      <c r="T549" s="133"/>
    </row>
    <row r="550">
      <c r="A550" s="141"/>
      <c r="B550" s="142"/>
      <c r="C550" s="133"/>
      <c r="D550" s="133"/>
      <c r="E550" s="140"/>
      <c r="F550" s="140"/>
      <c r="G550" s="140"/>
      <c r="H550" s="133"/>
      <c r="I550" s="133"/>
      <c r="J550" s="140"/>
      <c r="K550" s="129"/>
      <c r="L550" s="129"/>
      <c r="M550" s="129"/>
      <c r="N550" s="129"/>
      <c r="O550" s="140"/>
      <c r="P550" s="140"/>
      <c r="Q550" s="133"/>
      <c r="R550" s="140"/>
      <c r="S550" s="133"/>
      <c r="T550" s="133"/>
    </row>
    <row r="551">
      <c r="A551" s="141"/>
      <c r="B551" s="142"/>
      <c r="C551" s="133"/>
      <c r="D551" s="133"/>
      <c r="E551" s="140"/>
      <c r="F551" s="140"/>
      <c r="G551" s="140"/>
      <c r="H551" s="133"/>
      <c r="I551" s="133"/>
      <c r="J551" s="140"/>
      <c r="K551" s="129"/>
      <c r="L551" s="129"/>
      <c r="M551" s="129"/>
      <c r="N551" s="129"/>
      <c r="O551" s="140"/>
      <c r="P551" s="140"/>
      <c r="Q551" s="133"/>
      <c r="R551" s="140"/>
      <c r="S551" s="133"/>
      <c r="T551" s="133"/>
    </row>
    <row r="552">
      <c r="A552" s="141"/>
      <c r="B552" s="142"/>
      <c r="C552" s="133"/>
      <c r="D552" s="133"/>
      <c r="E552" s="140"/>
      <c r="F552" s="140"/>
      <c r="G552" s="140"/>
      <c r="H552" s="133"/>
      <c r="I552" s="133"/>
      <c r="J552" s="140"/>
      <c r="K552" s="129"/>
      <c r="L552" s="129"/>
      <c r="M552" s="129"/>
      <c r="N552" s="129"/>
      <c r="O552" s="140"/>
      <c r="P552" s="140"/>
      <c r="Q552" s="133"/>
      <c r="R552" s="140"/>
      <c r="S552" s="133"/>
      <c r="T552" s="133"/>
    </row>
    <row r="553">
      <c r="A553" s="141"/>
      <c r="B553" s="142"/>
      <c r="C553" s="133"/>
      <c r="D553" s="133"/>
      <c r="E553" s="140"/>
      <c r="F553" s="140"/>
      <c r="G553" s="140"/>
      <c r="H553" s="133"/>
      <c r="I553" s="133"/>
      <c r="J553" s="140"/>
      <c r="K553" s="129"/>
      <c r="L553" s="129"/>
      <c r="M553" s="129"/>
      <c r="N553" s="129"/>
      <c r="O553" s="140"/>
      <c r="P553" s="140"/>
      <c r="Q553" s="133"/>
      <c r="R553" s="140"/>
      <c r="S553" s="133"/>
      <c r="T553" s="133"/>
    </row>
    <row r="554">
      <c r="A554" s="141"/>
      <c r="B554" s="142"/>
      <c r="C554" s="133"/>
      <c r="D554" s="133"/>
      <c r="E554" s="140"/>
      <c r="F554" s="140"/>
      <c r="G554" s="140"/>
      <c r="H554" s="133"/>
      <c r="I554" s="133"/>
      <c r="J554" s="140"/>
      <c r="K554" s="129"/>
      <c r="L554" s="129"/>
      <c r="M554" s="129"/>
      <c r="N554" s="129"/>
      <c r="O554" s="140"/>
      <c r="P554" s="140"/>
      <c r="Q554" s="133"/>
      <c r="R554" s="140"/>
      <c r="S554" s="133"/>
      <c r="T554" s="133"/>
    </row>
    <row r="555">
      <c r="A555" s="141"/>
      <c r="B555" s="142"/>
      <c r="C555" s="133"/>
      <c r="D555" s="133"/>
      <c r="E555" s="140"/>
      <c r="F555" s="140"/>
      <c r="G555" s="140"/>
      <c r="H555" s="133"/>
      <c r="I555" s="133"/>
      <c r="J555" s="140"/>
      <c r="K555" s="129"/>
      <c r="L555" s="129"/>
      <c r="M555" s="129"/>
      <c r="N555" s="129"/>
      <c r="O555" s="140"/>
      <c r="P555" s="140"/>
      <c r="Q555" s="133"/>
      <c r="R555" s="140"/>
      <c r="S555" s="133"/>
      <c r="T555" s="133"/>
    </row>
    <row r="556">
      <c r="A556" s="141"/>
      <c r="B556" s="142"/>
      <c r="C556" s="133"/>
      <c r="D556" s="133"/>
      <c r="E556" s="140"/>
      <c r="F556" s="140"/>
      <c r="G556" s="140"/>
      <c r="H556" s="133"/>
      <c r="I556" s="133"/>
      <c r="J556" s="140"/>
      <c r="K556" s="129"/>
      <c r="L556" s="129"/>
      <c r="M556" s="129"/>
      <c r="N556" s="129"/>
      <c r="O556" s="140"/>
      <c r="P556" s="140"/>
      <c r="Q556" s="133"/>
      <c r="R556" s="140"/>
      <c r="S556" s="133"/>
      <c r="T556" s="133"/>
    </row>
    <row r="557">
      <c r="A557" s="141"/>
      <c r="B557" s="142"/>
      <c r="C557" s="133"/>
      <c r="D557" s="133"/>
      <c r="E557" s="140"/>
      <c r="F557" s="140"/>
      <c r="G557" s="140"/>
      <c r="H557" s="133"/>
      <c r="I557" s="133"/>
      <c r="J557" s="140"/>
      <c r="K557" s="129"/>
      <c r="L557" s="129"/>
      <c r="M557" s="129"/>
      <c r="N557" s="129"/>
      <c r="O557" s="140"/>
      <c r="P557" s="140"/>
      <c r="Q557" s="133"/>
      <c r="R557" s="140"/>
      <c r="S557" s="133"/>
      <c r="T557" s="133"/>
    </row>
    <row r="558">
      <c r="A558" s="141"/>
      <c r="B558" s="142"/>
      <c r="C558" s="133"/>
      <c r="D558" s="133"/>
      <c r="E558" s="140"/>
      <c r="F558" s="140"/>
      <c r="G558" s="140"/>
      <c r="H558" s="133"/>
      <c r="I558" s="133"/>
      <c r="J558" s="140"/>
      <c r="K558" s="129"/>
      <c r="L558" s="129"/>
      <c r="M558" s="129"/>
      <c r="N558" s="129"/>
      <c r="O558" s="140"/>
      <c r="P558" s="140"/>
      <c r="Q558" s="133"/>
      <c r="R558" s="140"/>
      <c r="S558" s="133"/>
      <c r="T558" s="133"/>
    </row>
    <row r="559">
      <c r="A559" s="141"/>
      <c r="B559" s="142"/>
      <c r="C559" s="133"/>
      <c r="D559" s="133"/>
      <c r="E559" s="140"/>
      <c r="F559" s="140"/>
      <c r="G559" s="140"/>
      <c r="H559" s="133"/>
      <c r="I559" s="133"/>
      <c r="J559" s="140"/>
      <c r="K559" s="129"/>
      <c r="L559" s="129"/>
      <c r="M559" s="129"/>
      <c r="N559" s="129"/>
      <c r="O559" s="140"/>
      <c r="P559" s="140"/>
      <c r="Q559" s="133"/>
      <c r="R559" s="140"/>
      <c r="S559" s="133"/>
      <c r="T559" s="133"/>
    </row>
    <row r="560">
      <c r="A560" s="141"/>
      <c r="B560" s="142"/>
      <c r="C560" s="133"/>
      <c r="D560" s="133"/>
      <c r="E560" s="140"/>
      <c r="F560" s="140"/>
      <c r="G560" s="140"/>
      <c r="H560" s="133"/>
      <c r="I560" s="133"/>
      <c r="J560" s="140"/>
      <c r="K560" s="129"/>
      <c r="L560" s="129"/>
      <c r="M560" s="129"/>
      <c r="N560" s="129"/>
      <c r="O560" s="140"/>
      <c r="P560" s="140"/>
      <c r="Q560" s="133"/>
      <c r="R560" s="140"/>
      <c r="S560" s="133"/>
      <c r="T560" s="133"/>
    </row>
    <row r="561">
      <c r="A561" s="141"/>
      <c r="B561" s="142"/>
      <c r="C561" s="133"/>
      <c r="D561" s="133"/>
      <c r="E561" s="140"/>
      <c r="F561" s="140"/>
      <c r="G561" s="140"/>
      <c r="H561" s="133"/>
      <c r="I561" s="133"/>
      <c r="J561" s="140"/>
      <c r="K561" s="129"/>
      <c r="L561" s="129"/>
      <c r="M561" s="129"/>
      <c r="N561" s="129"/>
      <c r="O561" s="140"/>
      <c r="P561" s="140"/>
      <c r="Q561" s="133"/>
      <c r="R561" s="140"/>
      <c r="S561" s="133"/>
      <c r="T561" s="133"/>
    </row>
    <row r="562">
      <c r="A562" s="141"/>
      <c r="B562" s="142"/>
      <c r="C562" s="133"/>
      <c r="D562" s="133"/>
      <c r="E562" s="140"/>
      <c r="F562" s="140"/>
      <c r="G562" s="140"/>
      <c r="H562" s="133"/>
      <c r="I562" s="133"/>
      <c r="J562" s="140"/>
      <c r="K562" s="129"/>
      <c r="L562" s="129"/>
      <c r="M562" s="129"/>
      <c r="N562" s="129"/>
      <c r="O562" s="140"/>
      <c r="P562" s="140"/>
      <c r="Q562" s="133"/>
      <c r="R562" s="140"/>
      <c r="S562" s="133"/>
      <c r="T562" s="133"/>
    </row>
    <row r="563">
      <c r="A563" s="141"/>
      <c r="B563" s="142"/>
      <c r="C563" s="133"/>
      <c r="D563" s="133"/>
      <c r="E563" s="140"/>
      <c r="F563" s="140"/>
      <c r="G563" s="140"/>
      <c r="H563" s="133"/>
      <c r="I563" s="133"/>
      <c r="J563" s="140"/>
      <c r="K563" s="129"/>
      <c r="L563" s="129"/>
      <c r="M563" s="129"/>
      <c r="N563" s="129"/>
      <c r="O563" s="140"/>
      <c r="P563" s="140"/>
      <c r="Q563" s="133"/>
      <c r="R563" s="140"/>
      <c r="S563" s="133"/>
      <c r="T563" s="133"/>
    </row>
    <row r="564">
      <c r="A564" s="141"/>
      <c r="B564" s="142"/>
      <c r="C564" s="133"/>
      <c r="D564" s="133"/>
      <c r="E564" s="140"/>
      <c r="F564" s="140"/>
      <c r="G564" s="140"/>
      <c r="H564" s="133"/>
      <c r="I564" s="133"/>
      <c r="J564" s="140"/>
      <c r="K564" s="129"/>
      <c r="L564" s="129"/>
      <c r="M564" s="129"/>
      <c r="N564" s="129"/>
      <c r="O564" s="140"/>
      <c r="P564" s="140"/>
      <c r="Q564" s="133"/>
      <c r="R564" s="140"/>
      <c r="S564" s="133"/>
      <c r="T564" s="133"/>
    </row>
    <row r="565">
      <c r="A565" s="141"/>
      <c r="B565" s="142"/>
      <c r="C565" s="133"/>
      <c r="D565" s="133"/>
      <c r="E565" s="140"/>
      <c r="F565" s="140"/>
      <c r="G565" s="140"/>
      <c r="H565" s="133"/>
      <c r="I565" s="133"/>
      <c r="J565" s="140"/>
      <c r="K565" s="129"/>
      <c r="L565" s="129"/>
      <c r="M565" s="129"/>
      <c r="N565" s="129"/>
      <c r="O565" s="140"/>
      <c r="P565" s="140"/>
      <c r="Q565" s="133"/>
      <c r="R565" s="140"/>
      <c r="S565" s="133"/>
      <c r="T565" s="133"/>
    </row>
    <row r="566">
      <c r="A566" s="141"/>
      <c r="B566" s="142"/>
      <c r="C566" s="133"/>
      <c r="D566" s="133"/>
      <c r="E566" s="140"/>
      <c r="F566" s="140"/>
      <c r="G566" s="140"/>
      <c r="H566" s="133"/>
      <c r="I566" s="133"/>
      <c r="J566" s="140"/>
      <c r="K566" s="129"/>
      <c r="L566" s="129"/>
      <c r="M566" s="129"/>
      <c r="N566" s="129"/>
      <c r="O566" s="140"/>
      <c r="P566" s="140"/>
      <c r="Q566" s="133"/>
      <c r="R566" s="140"/>
      <c r="S566" s="133"/>
      <c r="T566" s="133"/>
    </row>
    <row r="567">
      <c r="A567" s="141"/>
      <c r="B567" s="142"/>
      <c r="C567" s="133"/>
      <c r="D567" s="133"/>
      <c r="E567" s="140"/>
      <c r="F567" s="140"/>
      <c r="G567" s="140"/>
      <c r="H567" s="133"/>
      <c r="I567" s="133"/>
      <c r="J567" s="140"/>
      <c r="K567" s="129"/>
      <c r="L567" s="129"/>
      <c r="M567" s="129"/>
      <c r="N567" s="129"/>
      <c r="O567" s="140"/>
      <c r="P567" s="140"/>
      <c r="Q567" s="133"/>
      <c r="R567" s="140"/>
      <c r="S567" s="133"/>
      <c r="T567" s="133"/>
    </row>
    <row r="568">
      <c r="A568" s="141"/>
      <c r="B568" s="142"/>
      <c r="C568" s="133"/>
      <c r="D568" s="133"/>
      <c r="E568" s="140"/>
      <c r="F568" s="140"/>
      <c r="G568" s="140"/>
      <c r="H568" s="133"/>
      <c r="I568" s="133"/>
      <c r="J568" s="140"/>
      <c r="K568" s="129"/>
      <c r="L568" s="129"/>
      <c r="M568" s="129"/>
      <c r="N568" s="129"/>
      <c r="O568" s="140"/>
      <c r="P568" s="140"/>
      <c r="Q568" s="133"/>
      <c r="R568" s="140"/>
      <c r="S568" s="133"/>
      <c r="T568" s="133"/>
    </row>
    <row r="569">
      <c r="A569" s="141"/>
      <c r="B569" s="142"/>
      <c r="C569" s="133"/>
      <c r="D569" s="133"/>
      <c r="E569" s="140"/>
      <c r="F569" s="140"/>
      <c r="G569" s="140"/>
      <c r="H569" s="133"/>
      <c r="I569" s="133"/>
      <c r="J569" s="140"/>
      <c r="K569" s="129"/>
      <c r="L569" s="129"/>
      <c r="M569" s="129"/>
      <c r="N569" s="129"/>
      <c r="O569" s="140"/>
      <c r="P569" s="140"/>
      <c r="Q569" s="133"/>
      <c r="R569" s="140"/>
      <c r="S569" s="133"/>
      <c r="T569" s="133"/>
    </row>
    <row r="570">
      <c r="A570" s="141"/>
      <c r="B570" s="142"/>
      <c r="C570" s="133"/>
      <c r="D570" s="133"/>
      <c r="E570" s="140"/>
      <c r="F570" s="140"/>
      <c r="G570" s="140"/>
      <c r="H570" s="133"/>
      <c r="I570" s="133"/>
      <c r="J570" s="140"/>
      <c r="K570" s="129"/>
      <c r="L570" s="129"/>
      <c r="M570" s="129"/>
      <c r="N570" s="129"/>
      <c r="O570" s="140"/>
      <c r="P570" s="140"/>
      <c r="Q570" s="133"/>
      <c r="R570" s="140"/>
      <c r="S570" s="133"/>
      <c r="T570" s="133"/>
    </row>
    <row r="571">
      <c r="A571" s="141"/>
      <c r="B571" s="142"/>
      <c r="C571" s="133"/>
      <c r="D571" s="133"/>
      <c r="E571" s="140"/>
      <c r="F571" s="140"/>
      <c r="G571" s="140"/>
      <c r="H571" s="133"/>
      <c r="I571" s="133"/>
      <c r="J571" s="140"/>
      <c r="K571" s="129"/>
      <c r="L571" s="129"/>
      <c r="M571" s="129"/>
      <c r="N571" s="129"/>
      <c r="O571" s="140"/>
      <c r="P571" s="140"/>
      <c r="Q571" s="133"/>
      <c r="R571" s="140"/>
      <c r="S571" s="133"/>
      <c r="T571" s="133"/>
    </row>
    <row r="572">
      <c r="A572" s="141"/>
      <c r="B572" s="142"/>
      <c r="C572" s="133"/>
      <c r="D572" s="133"/>
      <c r="E572" s="140"/>
      <c r="F572" s="140"/>
      <c r="G572" s="140"/>
      <c r="H572" s="133"/>
      <c r="I572" s="133"/>
      <c r="J572" s="140"/>
      <c r="K572" s="129"/>
      <c r="L572" s="129"/>
      <c r="M572" s="129"/>
      <c r="N572" s="129"/>
      <c r="O572" s="140"/>
      <c r="P572" s="140"/>
      <c r="Q572" s="133"/>
      <c r="R572" s="140"/>
      <c r="S572" s="133"/>
      <c r="T572" s="133"/>
    </row>
    <row r="573">
      <c r="A573" s="141"/>
      <c r="B573" s="142"/>
      <c r="C573" s="133"/>
      <c r="D573" s="133"/>
      <c r="E573" s="140"/>
      <c r="F573" s="140"/>
      <c r="G573" s="140"/>
      <c r="H573" s="133"/>
      <c r="I573" s="133"/>
      <c r="J573" s="140"/>
      <c r="K573" s="129"/>
      <c r="L573" s="129"/>
      <c r="M573" s="129"/>
      <c r="N573" s="129"/>
      <c r="O573" s="140"/>
      <c r="P573" s="140"/>
      <c r="Q573" s="133"/>
      <c r="R573" s="140"/>
      <c r="S573" s="133"/>
      <c r="T573" s="133"/>
    </row>
    <row r="574">
      <c r="A574" s="141"/>
      <c r="B574" s="142"/>
      <c r="C574" s="133"/>
      <c r="D574" s="133"/>
      <c r="E574" s="140"/>
      <c r="F574" s="140"/>
      <c r="G574" s="140"/>
      <c r="H574" s="133"/>
      <c r="I574" s="133"/>
      <c r="J574" s="140"/>
      <c r="K574" s="129"/>
      <c r="L574" s="129"/>
      <c r="M574" s="129"/>
      <c r="N574" s="129"/>
      <c r="O574" s="140"/>
      <c r="P574" s="140"/>
      <c r="Q574" s="133"/>
      <c r="R574" s="140"/>
      <c r="S574" s="133"/>
      <c r="T574" s="133"/>
    </row>
    <row r="575">
      <c r="A575" s="141"/>
      <c r="B575" s="142"/>
      <c r="C575" s="133"/>
      <c r="D575" s="133"/>
      <c r="E575" s="140"/>
      <c r="F575" s="140"/>
      <c r="G575" s="140"/>
      <c r="H575" s="133"/>
      <c r="I575" s="133"/>
      <c r="J575" s="140"/>
      <c r="K575" s="129"/>
      <c r="L575" s="129"/>
      <c r="M575" s="129"/>
      <c r="N575" s="129"/>
      <c r="O575" s="140"/>
      <c r="P575" s="140"/>
      <c r="Q575" s="133"/>
      <c r="R575" s="140"/>
      <c r="S575" s="133"/>
      <c r="T575" s="133"/>
    </row>
    <row r="576">
      <c r="A576" s="141"/>
      <c r="B576" s="142"/>
      <c r="C576" s="133"/>
      <c r="D576" s="133"/>
      <c r="E576" s="140"/>
      <c r="F576" s="140"/>
      <c r="G576" s="140"/>
      <c r="H576" s="133"/>
      <c r="I576" s="133"/>
      <c r="J576" s="140"/>
      <c r="K576" s="129"/>
      <c r="L576" s="129"/>
      <c r="M576" s="129"/>
      <c r="N576" s="129"/>
      <c r="O576" s="140"/>
      <c r="P576" s="140"/>
      <c r="Q576" s="133"/>
      <c r="R576" s="140"/>
      <c r="S576" s="133"/>
      <c r="T576" s="133"/>
    </row>
    <row r="577">
      <c r="A577" s="141"/>
      <c r="B577" s="142"/>
      <c r="C577" s="133"/>
      <c r="D577" s="133"/>
      <c r="E577" s="140"/>
      <c r="F577" s="140"/>
      <c r="G577" s="140"/>
      <c r="H577" s="133"/>
      <c r="I577" s="133"/>
      <c r="J577" s="140"/>
      <c r="K577" s="129"/>
      <c r="L577" s="129"/>
      <c r="M577" s="129"/>
      <c r="N577" s="129"/>
      <c r="O577" s="140"/>
      <c r="P577" s="140"/>
      <c r="Q577" s="133"/>
      <c r="R577" s="140"/>
      <c r="S577" s="133"/>
      <c r="T577" s="133"/>
    </row>
    <row r="578">
      <c r="A578" s="141"/>
      <c r="B578" s="142"/>
      <c r="C578" s="133"/>
      <c r="D578" s="133"/>
      <c r="E578" s="140"/>
      <c r="F578" s="140"/>
      <c r="G578" s="140"/>
      <c r="H578" s="133"/>
      <c r="I578" s="133"/>
      <c r="J578" s="140"/>
      <c r="K578" s="129"/>
      <c r="L578" s="129"/>
      <c r="M578" s="129"/>
      <c r="N578" s="129"/>
      <c r="O578" s="140"/>
      <c r="P578" s="140"/>
      <c r="Q578" s="133"/>
      <c r="R578" s="140"/>
      <c r="S578" s="133"/>
      <c r="T578" s="133"/>
    </row>
    <row r="579">
      <c r="A579" s="141"/>
      <c r="B579" s="142"/>
      <c r="C579" s="133"/>
      <c r="D579" s="133"/>
      <c r="E579" s="140"/>
      <c r="F579" s="140"/>
      <c r="G579" s="140"/>
      <c r="H579" s="133"/>
      <c r="I579" s="133"/>
      <c r="J579" s="140"/>
      <c r="K579" s="129"/>
      <c r="L579" s="129"/>
      <c r="M579" s="129"/>
      <c r="N579" s="129"/>
      <c r="O579" s="140"/>
      <c r="P579" s="140"/>
      <c r="Q579" s="133"/>
      <c r="R579" s="140"/>
      <c r="S579" s="133"/>
      <c r="T579" s="133"/>
    </row>
    <row r="580">
      <c r="A580" s="141"/>
      <c r="B580" s="142"/>
      <c r="C580" s="133"/>
      <c r="D580" s="133"/>
      <c r="E580" s="140"/>
      <c r="F580" s="140"/>
      <c r="G580" s="140"/>
      <c r="H580" s="133"/>
      <c r="I580" s="133"/>
      <c r="J580" s="140"/>
      <c r="K580" s="129"/>
      <c r="L580" s="129"/>
      <c r="M580" s="129"/>
      <c r="N580" s="129"/>
      <c r="O580" s="140"/>
      <c r="P580" s="140"/>
      <c r="Q580" s="133"/>
      <c r="R580" s="140"/>
      <c r="S580" s="133"/>
      <c r="T580" s="133"/>
    </row>
    <row r="581">
      <c r="A581" s="141"/>
      <c r="B581" s="142"/>
      <c r="C581" s="133"/>
      <c r="D581" s="133"/>
      <c r="E581" s="140"/>
      <c r="F581" s="140"/>
      <c r="G581" s="140"/>
      <c r="H581" s="133"/>
      <c r="I581" s="133"/>
      <c r="J581" s="140"/>
      <c r="K581" s="129"/>
      <c r="L581" s="129"/>
      <c r="M581" s="129"/>
      <c r="N581" s="129"/>
      <c r="O581" s="140"/>
      <c r="P581" s="140"/>
      <c r="Q581" s="133"/>
      <c r="R581" s="140"/>
      <c r="S581" s="133"/>
      <c r="T581" s="133"/>
    </row>
    <row r="582">
      <c r="A582" s="141"/>
      <c r="B582" s="142"/>
      <c r="C582" s="133"/>
      <c r="D582" s="133"/>
      <c r="E582" s="140"/>
      <c r="F582" s="140"/>
      <c r="G582" s="140"/>
      <c r="H582" s="133"/>
      <c r="I582" s="133"/>
      <c r="J582" s="140"/>
      <c r="K582" s="129"/>
      <c r="L582" s="129"/>
      <c r="M582" s="129"/>
      <c r="N582" s="129"/>
      <c r="O582" s="140"/>
      <c r="P582" s="140"/>
      <c r="Q582" s="133"/>
      <c r="R582" s="140"/>
      <c r="S582" s="133"/>
      <c r="T582" s="133"/>
    </row>
    <row r="583">
      <c r="A583" s="141"/>
      <c r="B583" s="142"/>
      <c r="C583" s="133"/>
      <c r="D583" s="133"/>
      <c r="E583" s="140"/>
      <c r="F583" s="140"/>
      <c r="G583" s="140"/>
      <c r="H583" s="133"/>
      <c r="I583" s="133"/>
      <c r="J583" s="140"/>
      <c r="K583" s="129"/>
      <c r="L583" s="129"/>
      <c r="M583" s="129"/>
      <c r="N583" s="129"/>
      <c r="O583" s="140"/>
      <c r="P583" s="140"/>
      <c r="Q583" s="133"/>
      <c r="R583" s="140"/>
      <c r="S583" s="133"/>
      <c r="T583" s="133"/>
    </row>
    <row r="584">
      <c r="A584" s="141"/>
      <c r="B584" s="142"/>
      <c r="C584" s="133"/>
      <c r="D584" s="133"/>
      <c r="E584" s="140"/>
      <c r="F584" s="140"/>
      <c r="G584" s="140"/>
      <c r="H584" s="133"/>
      <c r="I584" s="133"/>
      <c r="J584" s="140"/>
      <c r="K584" s="129"/>
      <c r="L584" s="129"/>
      <c r="M584" s="129"/>
      <c r="N584" s="129"/>
      <c r="O584" s="140"/>
      <c r="P584" s="140"/>
      <c r="Q584" s="133"/>
      <c r="R584" s="140"/>
      <c r="S584" s="133"/>
      <c r="T584" s="133"/>
    </row>
    <row r="585">
      <c r="A585" s="141"/>
      <c r="B585" s="142"/>
      <c r="C585" s="133"/>
      <c r="D585" s="133"/>
      <c r="E585" s="140"/>
      <c r="F585" s="140"/>
      <c r="G585" s="140"/>
      <c r="H585" s="133"/>
      <c r="I585" s="133"/>
      <c r="J585" s="140"/>
      <c r="K585" s="129"/>
      <c r="L585" s="129"/>
      <c r="M585" s="129"/>
      <c r="N585" s="129"/>
      <c r="O585" s="140"/>
      <c r="P585" s="140"/>
      <c r="Q585" s="133"/>
      <c r="R585" s="140"/>
      <c r="S585" s="133"/>
      <c r="T585" s="133"/>
    </row>
    <row r="586">
      <c r="A586" s="141"/>
      <c r="B586" s="142"/>
      <c r="C586" s="133"/>
      <c r="D586" s="133"/>
      <c r="E586" s="140"/>
      <c r="F586" s="140"/>
      <c r="G586" s="140"/>
      <c r="H586" s="133"/>
      <c r="I586" s="133"/>
      <c r="J586" s="140"/>
      <c r="K586" s="129"/>
      <c r="L586" s="129"/>
      <c r="M586" s="129"/>
      <c r="N586" s="129"/>
      <c r="O586" s="140"/>
      <c r="P586" s="140"/>
      <c r="Q586" s="133"/>
      <c r="R586" s="140"/>
      <c r="S586" s="133"/>
      <c r="T586" s="133"/>
    </row>
    <row r="587">
      <c r="A587" s="141"/>
      <c r="B587" s="142"/>
      <c r="C587" s="133"/>
      <c r="D587" s="133"/>
      <c r="E587" s="140"/>
      <c r="F587" s="140"/>
      <c r="G587" s="140"/>
      <c r="H587" s="133"/>
      <c r="I587" s="133"/>
      <c r="J587" s="140"/>
      <c r="K587" s="129"/>
      <c r="L587" s="129"/>
      <c r="M587" s="129"/>
      <c r="N587" s="129"/>
      <c r="O587" s="140"/>
      <c r="P587" s="140"/>
      <c r="Q587" s="133"/>
      <c r="R587" s="140"/>
      <c r="S587" s="133"/>
      <c r="T587" s="133"/>
    </row>
    <row r="588">
      <c r="A588" s="141"/>
      <c r="B588" s="142"/>
      <c r="C588" s="133"/>
      <c r="D588" s="133"/>
      <c r="E588" s="140"/>
      <c r="F588" s="140"/>
      <c r="G588" s="140"/>
      <c r="H588" s="133"/>
      <c r="I588" s="133"/>
      <c r="J588" s="140"/>
      <c r="K588" s="129"/>
      <c r="L588" s="129"/>
      <c r="M588" s="129"/>
      <c r="N588" s="129"/>
      <c r="O588" s="140"/>
      <c r="P588" s="140"/>
      <c r="Q588" s="133"/>
      <c r="R588" s="140"/>
      <c r="S588" s="133"/>
      <c r="T588" s="133"/>
    </row>
    <row r="589">
      <c r="A589" s="141"/>
      <c r="B589" s="142"/>
      <c r="C589" s="133"/>
      <c r="D589" s="133"/>
      <c r="E589" s="140"/>
      <c r="F589" s="140"/>
      <c r="G589" s="140"/>
      <c r="H589" s="133"/>
      <c r="I589" s="133"/>
      <c r="J589" s="140"/>
      <c r="K589" s="129"/>
      <c r="L589" s="129"/>
      <c r="M589" s="129"/>
      <c r="N589" s="129"/>
      <c r="O589" s="140"/>
      <c r="P589" s="140"/>
      <c r="Q589" s="133"/>
      <c r="R589" s="140"/>
      <c r="S589" s="133"/>
      <c r="T589" s="133"/>
    </row>
    <row r="590">
      <c r="A590" s="141"/>
      <c r="B590" s="142"/>
      <c r="C590" s="133"/>
      <c r="D590" s="133"/>
      <c r="E590" s="140"/>
      <c r="F590" s="140"/>
      <c r="G590" s="140"/>
      <c r="H590" s="133"/>
      <c r="I590" s="133"/>
      <c r="J590" s="140"/>
      <c r="K590" s="129"/>
      <c r="L590" s="129"/>
      <c r="M590" s="129"/>
      <c r="N590" s="129"/>
      <c r="O590" s="140"/>
      <c r="P590" s="140"/>
      <c r="Q590" s="133"/>
      <c r="R590" s="140"/>
      <c r="S590" s="133"/>
      <c r="T590" s="133"/>
    </row>
    <row r="591">
      <c r="A591" s="141"/>
      <c r="B591" s="142"/>
      <c r="C591" s="133"/>
      <c r="D591" s="133"/>
      <c r="E591" s="140"/>
      <c r="F591" s="140"/>
      <c r="G591" s="140"/>
      <c r="H591" s="133"/>
      <c r="I591" s="133"/>
      <c r="J591" s="140"/>
      <c r="K591" s="129"/>
      <c r="L591" s="129"/>
      <c r="M591" s="129"/>
      <c r="N591" s="129"/>
      <c r="O591" s="140"/>
      <c r="P591" s="140"/>
      <c r="Q591" s="133"/>
      <c r="R591" s="140"/>
      <c r="S591" s="133"/>
      <c r="T591" s="133"/>
    </row>
    <row r="592">
      <c r="A592" s="141"/>
      <c r="B592" s="142"/>
      <c r="C592" s="133"/>
      <c r="D592" s="133"/>
      <c r="E592" s="140"/>
      <c r="F592" s="140"/>
      <c r="G592" s="140"/>
      <c r="H592" s="133"/>
      <c r="I592" s="133"/>
      <c r="J592" s="140"/>
      <c r="K592" s="129"/>
      <c r="L592" s="129"/>
      <c r="M592" s="129"/>
      <c r="N592" s="129"/>
      <c r="O592" s="140"/>
      <c r="P592" s="140"/>
      <c r="Q592" s="133"/>
      <c r="R592" s="140"/>
      <c r="S592" s="133"/>
      <c r="T592" s="133"/>
    </row>
    <row r="593">
      <c r="A593" s="141"/>
      <c r="B593" s="142"/>
      <c r="C593" s="133"/>
      <c r="D593" s="133"/>
      <c r="E593" s="140"/>
      <c r="F593" s="140"/>
      <c r="G593" s="140"/>
      <c r="H593" s="133"/>
      <c r="I593" s="133"/>
      <c r="J593" s="140"/>
      <c r="K593" s="129"/>
      <c r="L593" s="129"/>
      <c r="M593" s="129"/>
      <c r="N593" s="129"/>
      <c r="O593" s="140"/>
      <c r="P593" s="140"/>
      <c r="Q593" s="133"/>
      <c r="R593" s="140"/>
      <c r="S593" s="133"/>
      <c r="T593" s="133"/>
    </row>
    <row r="594">
      <c r="A594" s="141"/>
      <c r="B594" s="142"/>
      <c r="C594" s="133"/>
      <c r="D594" s="133"/>
      <c r="E594" s="140"/>
      <c r="F594" s="140"/>
      <c r="G594" s="140"/>
      <c r="H594" s="133"/>
      <c r="I594" s="133"/>
      <c r="J594" s="140"/>
      <c r="K594" s="129"/>
      <c r="L594" s="129"/>
      <c r="M594" s="129"/>
      <c r="N594" s="129"/>
      <c r="O594" s="140"/>
      <c r="P594" s="140"/>
      <c r="Q594" s="133"/>
      <c r="R594" s="140"/>
      <c r="S594" s="133"/>
      <c r="T594" s="133"/>
    </row>
    <row r="595">
      <c r="A595" s="141"/>
      <c r="B595" s="142"/>
      <c r="C595" s="133"/>
      <c r="D595" s="133"/>
      <c r="E595" s="140"/>
      <c r="F595" s="140"/>
      <c r="G595" s="140"/>
      <c r="H595" s="133"/>
      <c r="I595" s="133"/>
      <c r="J595" s="140"/>
      <c r="K595" s="129"/>
      <c r="L595" s="129"/>
      <c r="M595" s="129"/>
      <c r="N595" s="129"/>
      <c r="O595" s="140"/>
      <c r="P595" s="140"/>
      <c r="Q595" s="133"/>
      <c r="R595" s="140"/>
      <c r="S595" s="133"/>
      <c r="T595" s="133"/>
    </row>
    <row r="596">
      <c r="A596" s="141"/>
      <c r="B596" s="142"/>
      <c r="C596" s="133"/>
      <c r="D596" s="133"/>
      <c r="E596" s="140"/>
      <c r="F596" s="140"/>
      <c r="G596" s="140"/>
      <c r="H596" s="133"/>
      <c r="I596" s="133"/>
      <c r="J596" s="140"/>
      <c r="K596" s="129"/>
      <c r="L596" s="129"/>
      <c r="M596" s="129"/>
      <c r="N596" s="129"/>
      <c r="O596" s="140"/>
      <c r="P596" s="140"/>
      <c r="Q596" s="133"/>
      <c r="R596" s="140"/>
      <c r="S596" s="133"/>
      <c r="T596" s="133"/>
    </row>
    <row r="597">
      <c r="A597" s="141"/>
      <c r="B597" s="142"/>
      <c r="C597" s="133"/>
      <c r="D597" s="133"/>
      <c r="E597" s="140"/>
      <c r="F597" s="140"/>
      <c r="G597" s="140"/>
      <c r="H597" s="133"/>
      <c r="I597" s="133"/>
      <c r="J597" s="140"/>
      <c r="K597" s="129"/>
      <c r="L597" s="129"/>
      <c r="M597" s="129"/>
      <c r="N597" s="129"/>
      <c r="O597" s="140"/>
      <c r="P597" s="140"/>
      <c r="Q597" s="133"/>
      <c r="R597" s="140"/>
      <c r="S597" s="133"/>
      <c r="T597" s="133"/>
    </row>
    <row r="598">
      <c r="A598" s="141"/>
      <c r="B598" s="142"/>
      <c r="C598" s="133"/>
      <c r="D598" s="133"/>
      <c r="E598" s="140"/>
      <c r="F598" s="140"/>
      <c r="G598" s="140"/>
      <c r="H598" s="133"/>
      <c r="I598" s="133"/>
      <c r="J598" s="140"/>
      <c r="K598" s="129"/>
      <c r="L598" s="129"/>
      <c r="M598" s="129"/>
      <c r="N598" s="129"/>
      <c r="O598" s="140"/>
      <c r="P598" s="140"/>
      <c r="Q598" s="133"/>
      <c r="R598" s="140"/>
      <c r="S598" s="133"/>
      <c r="T598" s="133"/>
    </row>
    <row r="599">
      <c r="A599" s="141"/>
      <c r="B599" s="142"/>
      <c r="C599" s="133"/>
      <c r="D599" s="133"/>
      <c r="E599" s="140"/>
      <c r="F599" s="140"/>
      <c r="G599" s="140"/>
      <c r="H599" s="133"/>
      <c r="I599" s="133"/>
      <c r="J599" s="140"/>
      <c r="K599" s="129"/>
      <c r="L599" s="129"/>
      <c r="M599" s="129"/>
      <c r="N599" s="129"/>
      <c r="O599" s="140"/>
      <c r="P599" s="140"/>
      <c r="Q599" s="133"/>
      <c r="R599" s="140"/>
      <c r="S599" s="133"/>
      <c r="T599" s="133"/>
    </row>
    <row r="600">
      <c r="A600" s="141"/>
      <c r="B600" s="142"/>
      <c r="C600" s="133"/>
      <c r="D600" s="133"/>
      <c r="E600" s="140"/>
      <c r="F600" s="140"/>
      <c r="G600" s="140"/>
      <c r="H600" s="133"/>
      <c r="I600" s="133"/>
      <c r="J600" s="140"/>
      <c r="K600" s="129"/>
      <c r="L600" s="129"/>
      <c r="M600" s="129"/>
      <c r="N600" s="129"/>
      <c r="O600" s="140"/>
      <c r="P600" s="140"/>
      <c r="Q600" s="133"/>
      <c r="R600" s="140"/>
      <c r="S600" s="133"/>
      <c r="T600" s="133"/>
    </row>
    <row r="601">
      <c r="A601" s="141"/>
      <c r="B601" s="142"/>
      <c r="C601" s="133"/>
      <c r="D601" s="133"/>
      <c r="E601" s="140"/>
      <c r="F601" s="140"/>
      <c r="G601" s="140"/>
      <c r="H601" s="133"/>
      <c r="I601" s="133"/>
      <c r="J601" s="140"/>
      <c r="K601" s="129"/>
      <c r="L601" s="129"/>
      <c r="M601" s="129"/>
      <c r="N601" s="129"/>
      <c r="O601" s="140"/>
      <c r="P601" s="140"/>
      <c r="Q601" s="133"/>
      <c r="R601" s="140"/>
      <c r="S601" s="133"/>
      <c r="T601" s="133"/>
    </row>
    <row r="602">
      <c r="A602" s="141"/>
      <c r="B602" s="142"/>
      <c r="C602" s="133"/>
      <c r="D602" s="133"/>
      <c r="E602" s="140"/>
      <c r="F602" s="140"/>
      <c r="G602" s="140"/>
      <c r="H602" s="133"/>
      <c r="I602" s="133"/>
      <c r="J602" s="140"/>
      <c r="K602" s="129"/>
      <c r="L602" s="129"/>
      <c r="M602" s="129"/>
      <c r="N602" s="129"/>
      <c r="O602" s="140"/>
      <c r="P602" s="140"/>
      <c r="Q602" s="133"/>
      <c r="R602" s="140"/>
      <c r="S602" s="133"/>
      <c r="T602" s="133"/>
    </row>
    <row r="603">
      <c r="A603" s="141"/>
      <c r="B603" s="142"/>
      <c r="C603" s="133"/>
      <c r="D603" s="133"/>
      <c r="E603" s="140"/>
      <c r="F603" s="140"/>
      <c r="G603" s="140"/>
      <c r="H603" s="133"/>
      <c r="I603" s="133"/>
      <c r="J603" s="140"/>
      <c r="K603" s="129"/>
      <c r="L603" s="129"/>
      <c r="M603" s="129"/>
      <c r="N603" s="129"/>
      <c r="O603" s="140"/>
      <c r="P603" s="140"/>
      <c r="Q603" s="133"/>
      <c r="R603" s="140"/>
      <c r="S603" s="133"/>
      <c r="T603" s="133"/>
    </row>
    <row r="604">
      <c r="A604" s="141"/>
      <c r="B604" s="142"/>
      <c r="C604" s="133"/>
      <c r="D604" s="133"/>
      <c r="E604" s="140"/>
      <c r="F604" s="140"/>
      <c r="G604" s="140"/>
      <c r="H604" s="133"/>
      <c r="I604" s="133"/>
      <c r="J604" s="140"/>
      <c r="K604" s="129"/>
      <c r="L604" s="129"/>
      <c r="M604" s="129"/>
      <c r="N604" s="129"/>
      <c r="O604" s="140"/>
      <c r="P604" s="140"/>
      <c r="Q604" s="133"/>
      <c r="R604" s="140"/>
      <c r="S604" s="133"/>
      <c r="T604" s="133"/>
    </row>
    <row r="605">
      <c r="A605" s="141"/>
      <c r="B605" s="142"/>
      <c r="C605" s="133"/>
      <c r="D605" s="133"/>
      <c r="E605" s="140"/>
      <c r="F605" s="140"/>
      <c r="G605" s="140"/>
      <c r="H605" s="133"/>
      <c r="I605" s="133"/>
      <c r="J605" s="140"/>
      <c r="K605" s="129"/>
      <c r="L605" s="129"/>
      <c r="M605" s="129"/>
      <c r="N605" s="129"/>
      <c r="O605" s="140"/>
      <c r="P605" s="140"/>
      <c r="Q605" s="133"/>
      <c r="R605" s="140"/>
      <c r="S605" s="133"/>
      <c r="T605" s="133"/>
    </row>
    <row r="606">
      <c r="A606" s="141"/>
      <c r="B606" s="142"/>
      <c r="C606" s="133"/>
      <c r="D606" s="133"/>
      <c r="E606" s="140"/>
      <c r="F606" s="140"/>
      <c r="G606" s="140"/>
      <c r="H606" s="133"/>
      <c r="I606" s="133"/>
      <c r="J606" s="140"/>
      <c r="K606" s="129"/>
      <c r="L606" s="129"/>
      <c r="M606" s="129"/>
      <c r="N606" s="129"/>
      <c r="O606" s="140"/>
      <c r="P606" s="140"/>
      <c r="Q606" s="133"/>
      <c r="R606" s="140"/>
      <c r="S606" s="133"/>
      <c r="T606" s="133"/>
    </row>
    <row r="607">
      <c r="A607" s="141"/>
      <c r="B607" s="142"/>
      <c r="C607" s="133"/>
      <c r="D607" s="133"/>
      <c r="E607" s="140"/>
      <c r="F607" s="140"/>
      <c r="G607" s="140"/>
      <c r="H607" s="133"/>
      <c r="I607" s="133"/>
      <c r="J607" s="140"/>
      <c r="K607" s="129"/>
      <c r="L607" s="129"/>
      <c r="M607" s="129"/>
      <c r="N607" s="129"/>
      <c r="O607" s="140"/>
      <c r="P607" s="140"/>
      <c r="Q607" s="133"/>
      <c r="R607" s="140"/>
      <c r="S607" s="133"/>
      <c r="T607" s="133"/>
    </row>
    <row r="608">
      <c r="A608" s="141"/>
      <c r="B608" s="142"/>
      <c r="C608" s="133"/>
      <c r="D608" s="133"/>
      <c r="E608" s="140"/>
      <c r="F608" s="140"/>
      <c r="G608" s="140"/>
      <c r="H608" s="133"/>
      <c r="I608" s="133"/>
      <c r="J608" s="140"/>
      <c r="K608" s="129"/>
      <c r="L608" s="129"/>
      <c r="M608" s="129"/>
      <c r="N608" s="129"/>
      <c r="O608" s="140"/>
      <c r="P608" s="140"/>
      <c r="Q608" s="133"/>
      <c r="R608" s="140"/>
      <c r="S608" s="133"/>
      <c r="T608" s="133"/>
    </row>
    <row r="609">
      <c r="A609" s="141"/>
      <c r="B609" s="142"/>
      <c r="C609" s="133"/>
      <c r="D609" s="133"/>
      <c r="E609" s="140"/>
      <c r="F609" s="140"/>
      <c r="G609" s="140"/>
      <c r="H609" s="133"/>
      <c r="I609" s="133"/>
      <c r="J609" s="140"/>
      <c r="K609" s="129"/>
      <c r="L609" s="129"/>
      <c r="M609" s="129"/>
      <c r="N609" s="129"/>
      <c r="O609" s="140"/>
      <c r="P609" s="140"/>
      <c r="Q609" s="133"/>
      <c r="R609" s="140"/>
      <c r="S609" s="133"/>
      <c r="T609" s="133"/>
    </row>
    <row r="610">
      <c r="A610" s="141"/>
      <c r="B610" s="142"/>
      <c r="C610" s="133"/>
      <c r="D610" s="133"/>
      <c r="E610" s="140"/>
      <c r="F610" s="140"/>
      <c r="G610" s="140"/>
      <c r="H610" s="133"/>
      <c r="I610" s="133"/>
      <c r="J610" s="140"/>
      <c r="K610" s="129"/>
      <c r="L610" s="129"/>
      <c r="M610" s="129"/>
      <c r="N610" s="129"/>
      <c r="O610" s="140"/>
      <c r="P610" s="140"/>
      <c r="Q610" s="133"/>
      <c r="R610" s="140"/>
      <c r="S610" s="133"/>
      <c r="T610" s="133"/>
    </row>
    <row r="611">
      <c r="A611" s="141"/>
      <c r="B611" s="142"/>
      <c r="C611" s="133"/>
      <c r="D611" s="133"/>
      <c r="E611" s="140"/>
      <c r="F611" s="140"/>
      <c r="G611" s="140"/>
      <c r="H611" s="133"/>
      <c r="I611" s="133"/>
      <c r="J611" s="140"/>
      <c r="K611" s="129"/>
      <c r="L611" s="129"/>
      <c r="M611" s="129"/>
      <c r="N611" s="129"/>
      <c r="O611" s="140"/>
      <c r="P611" s="140"/>
      <c r="Q611" s="133"/>
      <c r="R611" s="140"/>
      <c r="S611" s="133"/>
      <c r="T611" s="133"/>
    </row>
    <row r="612">
      <c r="A612" s="141"/>
      <c r="B612" s="142"/>
      <c r="C612" s="133"/>
      <c r="D612" s="133"/>
      <c r="E612" s="140"/>
      <c r="F612" s="140"/>
      <c r="G612" s="140"/>
      <c r="H612" s="133"/>
      <c r="I612" s="133"/>
      <c r="J612" s="140"/>
      <c r="K612" s="129"/>
      <c r="L612" s="129"/>
      <c r="M612" s="129"/>
      <c r="N612" s="129"/>
      <c r="O612" s="140"/>
      <c r="P612" s="140"/>
      <c r="Q612" s="133"/>
      <c r="R612" s="140"/>
      <c r="S612" s="133"/>
      <c r="T612" s="133"/>
    </row>
    <row r="613">
      <c r="A613" s="141"/>
      <c r="B613" s="142"/>
      <c r="C613" s="133"/>
      <c r="D613" s="133"/>
      <c r="E613" s="140"/>
      <c r="F613" s="140"/>
      <c r="G613" s="140"/>
      <c r="H613" s="133"/>
      <c r="I613" s="133"/>
      <c r="J613" s="140"/>
      <c r="K613" s="129"/>
      <c r="L613" s="129"/>
      <c r="M613" s="129"/>
      <c r="N613" s="129"/>
      <c r="O613" s="140"/>
      <c r="P613" s="140"/>
      <c r="Q613" s="133"/>
      <c r="R613" s="140"/>
      <c r="S613" s="133"/>
      <c r="T613" s="133"/>
    </row>
    <row r="614">
      <c r="A614" s="141"/>
      <c r="B614" s="142"/>
      <c r="C614" s="133"/>
      <c r="D614" s="133"/>
      <c r="E614" s="140"/>
      <c r="F614" s="140"/>
      <c r="G614" s="140"/>
      <c r="H614" s="133"/>
      <c r="I614" s="133"/>
      <c r="J614" s="140"/>
      <c r="K614" s="129"/>
      <c r="L614" s="129"/>
      <c r="M614" s="129"/>
      <c r="N614" s="129"/>
      <c r="O614" s="140"/>
      <c r="P614" s="140"/>
      <c r="Q614" s="133"/>
      <c r="R614" s="140"/>
      <c r="S614" s="133"/>
      <c r="T614" s="133"/>
    </row>
    <row r="615">
      <c r="A615" s="141"/>
      <c r="B615" s="142"/>
      <c r="C615" s="133"/>
      <c r="D615" s="133"/>
      <c r="E615" s="140"/>
      <c r="F615" s="140"/>
      <c r="G615" s="140"/>
      <c r="H615" s="133"/>
      <c r="I615" s="133"/>
      <c r="J615" s="140"/>
      <c r="K615" s="129"/>
      <c r="L615" s="129"/>
      <c r="M615" s="129"/>
      <c r="N615" s="129"/>
      <c r="O615" s="140"/>
      <c r="P615" s="140"/>
      <c r="Q615" s="133"/>
      <c r="R615" s="140"/>
      <c r="S615" s="133"/>
      <c r="T615" s="133"/>
    </row>
    <row r="616">
      <c r="A616" s="141"/>
      <c r="B616" s="142"/>
      <c r="C616" s="133"/>
      <c r="D616" s="133"/>
      <c r="E616" s="140"/>
      <c r="F616" s="140"/>
      <c r="G616" s="140"/>
      <c r="H616" s="133"/>
      <c r="I616" s="133"/>
      <c r="J616" s="140"/>
      <c r="K616" s="129"/>
      <c r="L616" s="129"/>
      <c r="M616" s="129"/>
      <c r="N616" s="129"/>
      <c r="O616" s="140"/>
      <c r="P616" s="140"/>
      <c r="Q616" s="133"/>
      <c r="R616" s="140"/>
      <c r="S616" s="133"/>
      <c r="T616" s="133"/>
    </row>
    <row r="617">
      <c r="A617" s="141"/>
      <c r="B617" s="142"/>
      <c r="C617" s="133"/>
      <c r="D617" s="133"/>
      <c r="E617" s="140"/>
      <c r="F617" s="140"/>
      <c r="G617" s="140"/>
      <c r="H617" s="133"/>
      <c r="I617" s="133"/>
      <c r="J617" s="140"/>
      <c r="K617" s="129"/>
      <c r="L617" s="129"/>
      <c r="M617" s="129"/>
      <c r="N617" s="129"/>
      <c r="O617" s="140"/>
      <c r="P617" s="140"/>
      <c r="Q617" s="133"/>
      <c r="R617" s="140"/>
      <c r="S617" s="133"/>
      <c r="T617" s="133"/>
    </row>
    <row r="618">
      <c r="A618" s="141"/>
      <c r="B618" s="142"/>
      <c r="C618" s="133"/>
      <c r="D618" s="133"/>
      <c r="E618" s="140"/>
      <c r="F618" s="140"/>
      <c r="G618" s="140"/>
      <c r="H618" s="133"/>
      <c r="I618" s="133"/>
      <c r="J618" s="140"/>
      <c r="K618" s="129"/>
      <c r="L618" s="129"/>
      <c r="M618" s="129"/>
      <c r="N618" s="129"/>
      <c r="O618" s="140"/>
      <c r="P618" s="140"/>
      <c r="Q618" s="133"/>
      <c r="R618" s="140"/>
      <c r="S618" s="133"/>
      <c r="T618" s="133"/>
    </row>
    <row r="619">
      <c r="A619" s="141"/>
      <c r="B619" s="142"/>
      <c r="C619" s="133"/>
      <c r="D619" s="133"/>
      <c r="E619" s="140"/>
      <c r="F619" s="140"/>
      <c r="G619" s="140"/>
      <c r="H619" s="133"/>
      <c r="I619" s="133"/>
      <c r="J619" s="140"/>
      <c r="K619" s="129"/>
      <c r="L619" s="129"/>
      <c r="M619" s="129"/>
      <c r="N619" s="129"/>
      <c r="O619" s="140"/>
      <c r="P619" s="140"/>
      <c r="Q619" s="133"/>
      <c r="R619" s="140"/>
      <c r="S619" s="133"/>
      <c r="T619" s="133"/>
    </row>
    <row r="620">
      <c r="A620" s="141"/>
      <c r="B620" s="142"/>
      <c r="C620" s="133"/>
      <c r="D620" s="133"/>
      <c r="E620" s="140"/>
      <c r="F620" s="140"/>
      <c r="G620" s="140"/>
      <c r="H620" s="133"/>
      <c r="I620" s="133"/>
      <c r="J620" s="140"/>
      <c r="K620" s="129"/>
      <c r="L620" s="129"/>
      <c r="M620" s="129"/>
      <c r="N620" s="129"/>
      <c r="O620" s="140"/>
      <c r="P620" s="140"/>
      <c r="Q620" s="133"/>
      <c r="R620" s="140"/>
      <c r="S620" s="133"/>
      <c r="T620" s="133"/>
    </row>
    <row r="621">
      <c r="A621" s="141"/>
      <c r="B621" s="142"/>
      <c r="C621" s="133"/>
      <c r="D621" s="133"/>
      <c r="E621" s="140"/>
      <c r="F621" s="140"/>
      <c r="G621" s="140"/>
      <c r="H621" s="133"/>
      <c r="I621" s="133"/>
      <c r="J621" s="140"/>
      <c r="K621" s="129"/>
      <c r="L621" s="129"/>
      <c r="M621" s="129"/>
      <c r="N621" s="129"/>
      <c r="O621" s="140"/>
      <c r="P621" s="140"/>
      <c r="Q621" s="133"/>
      <c r="R621" s="140"/>
      <c r="S621" s="133"/>
      <c r="T621" s="133"/>
    </row>
    <row r="622">
      <c r="A622" s="141"/>
      <c r="B622" s="142"/>
      <c r="C622" s="133"/>
      <c r="D622" s="133"/>
      <c r="E622" s="140"/>
      <c r="F622" s="140"/>
      <c r="G622" s="140"/>
      <c r="H622" s="133"/>
      <c r="I622" s="133"/>
      <c r="J622" s="140"/>
      <c r="K622" s="129"/>
      <c r="L622" s="129"/>
      <c r="M622" s="129"/>
      <c r="N622" s="129"/>
      <c r="O622" s="140"/>
      <c r="P622" s="140"/>
      <c r="Q622" s="133"/>
      <c r="R622" s="140"/>
      <c r="S622" s="133"/>
      <c r="T622" s="133"/>
    </row>
    <row r="623">
      <c r="A623" s="141"/>
      <c r="B623" s="142"/>
      <c r="C623" s="133"/>
      <c r="D623" s="133"/>
      <c r="E623" s="140"/>
      <c r="F623" s="140"/>
      <c r="G623" s="140"/>
      <c r="H623" s="133"/>
      <c r="I623" s="133"/>
      <c r="J623" s="140"/>
      <c r="K623" s="129"/>
      <c r="L623" s="129"/>
      <c r="M623" s="129"/>
      <c r="N623" s="129"/>
      <c r="O623" s="140"/>
      <c r="P623" s="140"/>
      <c r="Q623" s="133"/>
      <c r="R623" s="140"/>
      <c r="S623" s="133"/>
      <c r="T623" s="133"/>
    </row>
    <row r="624">
      <c r="A624" s="141"/>
      <c r="B624" s="142"/>
      <c r="C624" s="133"/>
      <c r="D624" s="133"/>
      <c r="E624" s="140"/>
      <c r="F624" s="140"/>
      <c r="G624" s="140"/>
      <c r="H624" s="133"/>
      <c r="I624" s="133"/>
      <c r="J624" s="140"/>
      <c r="K624" s="129"/>
      <c r="L624" s="129"/>
      <c r="M624" s="129"/>
      <c r="N624" s="129"/>
      <c r="O624" s="140"/>
      <c r="P624" s="140"/>
      <c r="Q624" s="133"/>
      <c r="R624" s="140"/>
      <c r="S624" s="133"/>
      <c r="T624" s="133"/>
    </row>
    <row r="625">
      <c r="A625" s="141"/>
      <c r="B625" s="142"/>
      <c r="C625" s="133"/>
      <c r="D625" s="133"/>
      <c r="E625" s="140"/>
      <c r="F625" s="140"/>
      <c r="G625" s="140"/>
      <c r="H625" s="133"/>
      <c r="I625" s="133"/>
      <c r="J625" s="140"/>
      <c r="K625" s="129"/>
      <c r="L625" s="129"/>
      <c r="M625" s="129"/>
      <c r="N625" s="129"/>
      <c r="O625" s="140"/>
      <c r="P625" s="140"/>
      <c r="Q625" s="133"/>
      <c r="R625" s="140"/>
      <c r="S625" s="133"/>
      <c r="T625" s="133"/>
    </row>
    <row r="626">
      <c r="A626" s="141"/>
      <c r="B626" s="142"/>
      <c r="C626" s="133"/>
      <c r="D626" s="133"/>
      <c r="E626" s="140"/>
      <c r="F626" s="140"/>
      <c r="G626" s="140"/>
      <c r="H626" s="133"/>
      <c r="I626" s="133"/>
      <c r="J626" s="140"/>
      <c r="K626" s="129"/>
      <c r="L626" s="129"/>
      <c r="M626" s="129"/>
      <c r="N626" s="129"/>
      <c r="O626" s="140"/>
      <c r="P626" s="140"/>
      <c r="Q626" s="133"/>
      <c r="R626" s="140"/>
      <c r="S626" s="133"/>
      <c r="T626" s="133"/>
    </row>
    <row r="627">
      <c r="A627" s="141"/>
      <c r="B627" s="142"/>
      <c r="C627" s="133"/>
      <c r="D627" s="133"/>
      <c r="E627" s="140"/>
      <c r="F627" s="140"/>
      <c r="G627" s="140"/>
      <c r="H627" s="133"/>
      <c r="I627" s="133"/>
      <c r="J627" s="140"/>
      <c r="K627" s="129"/>
      <c r="L627" s="129"/>
      <c r="M627" s="129"/>
      <c r="N627" s="129"/>
      <c r="O627" s="140"/>
      <c r="P627" s="140"/>
      <c r="Q627" s="133"/>
      <c r="R627" s="140"/>
      <c r="S627" s="133"/>
      <c r="T627" s="133"/>
    </row>
    <row r="628">
      <c r="A628" s="141"/>
      <c r="B628" s="142"/>
      <c r="C628" s="133"/>
      <c r="D628" s="133"/>
      <c r="E628" s="140"/>
      <c r="F628" s="140"/>
      <c r="G628" s="140"/>
      <c r="H628" s="133"/>
      <c r="I628" s="133"/>
      <c r="J628" s="140"/>
      <c r="K628" s="129"/>
      <c r="L628" s="129"/>
      <c r="M628" s="129"/>
      <c r="N628" s="129"/>
      <c r="O628" s="140"/>
      <c r="P628" s="140"/>
      <c r="Q628" s="133"/>
      <c r="R628" s="140"/>
      <c r="S628" s="133"/>
      <c r="T628" s="133"/>
    </row>
    <row r="629">
      <c r="A629" s="141"/>
      <c r="B629" s="142"/>
      <c r="C629" s="133"/>
      <c r="D629" s="133"/>
      <c r="E629" s="140"/>
      <c r="F629" s="140"/>
      <c r="G629" s="140"/>
      <c r="H629" s="133"/>
      <c r="I629" s="133"/>
      <c r="J629" s="140"/>
      <c r="K629" s="129"/>
      <c r="L629" s="129"/>
      <c r="M629" s="129"/>
      <c r="N629" s="129"/>
      <c r="O629" s="140"/>
      <c r="P629" s="140"/>
      <c r="Q629" s="133"/>
      <c r="R629" s="140"/>
      <c r="S629" s="133"/>
      <c r="T629" s="133"/>
    </row>
    <row r="630">
      <c r="A630" s="141"/>
      <c r="B630" s="142"/>
      <c r="C630" s="133"/>
      <c r="D630" s="133"/>
      <c r="E630" s="140"/>
      <c r="F630" s="140"/>
      <c r="G630" s="140"/>
      <c r="H630" s="133"/>
      <c r="I630" s="133"/>
      <c r="J630" s="140"/>
      <c r="K630" s="129"/>
      <c r="L630" s="129"/>
      <c r="M630" s="129"/>
      <c r="N630" s="129"/>
      <c r="O630" s="140"/>
      <c r="P630" s="140"/>
      <c r="Q630" s="133"/>
      <c r="R630" s="140"/>
      <c r="S630" s="133"/>
      <c r="T630" s="133"/>
    </row>
    <row r="631">
      <c r="A631" s="141"/>
      <c r="B631" s="142"/>
      <c r="C631" s="133"/>
      <c r="D631" s="133"/>
      <c r="E631" s="140"/>
      <c r="F631" s="140"/>
      <c r="G631" s="140"/>
      <c r="H631" s="133"/>
      <c r="I631" s="133"/>
      <c r="J631" s="140"/>
      <c r="K631" s="129"/>
      <c r="L631" s="129"/>
      <c r="M631" s="129"/>
      <c r="N631" s="129"/>
      <c r="O631" s="140"/>
      <c r="P631" s="140"/>
      <c r="Q631" s="133"/>
      <c r="R631" s="140"/>
      <c r="S631" s="133"/>
      <c r="T631" s="133"/>
    </row>
    <row r="632">
      <c r="A632" s="141"/>
      <c r="B632" s="142"/>
      <c r="C632" s="133"/>
      <c r="D632" s="133"/>
      <c r="E632" s="140"/>
      <c r="F632" s="140"/>
      <c r="G632" s="140"/>
      <c r="H632" s="133"/>
      <c r="I632" s="133"/>
      <c r="J632" s="140"/>
      <c r="K632" s="129"/>
      <c r="L632" s="129"/>
      <c r="M632" s="129"/>
      <c r="N632" s="129"/>
      <c r="O632" s="140"/>
      <c r="P632" s="140"/>
      <c r="Q632" s="133"/>
      <c r="R632" s="140"/>
      <c r="S632" s="133"/>
      <c r="T632" s="133"/>
    </row>
    <row r="633">
      <c r="A633" s="141"/>
      <c r="B633" s="142"/>
      <c r="C633" s="133"/>
      <c r="D633" s="133"/>
      <c r="E633" s="140"/>
      <c r="F633" s="140"/>
      <c r="G633" s="140"/>
      <c r="H633" s="133"/>
      <c r="I633" s="133"/>
      <c r="J633" s="140"/>
      <c r="K633" s="129"/>
      <c r="L633" s="129"/>
      <c r="M633" s="129"/>
      <c r="N633" s="129"/>
      <c r="O633" s="140"/>
      <c r="P633" s="140"/>
      <c r="Q633" s="133"/>
      <c r="R633" s="140"/>
      <c r="S633" s="133"/>
      <c r="T633" s="133"/>
    </row>
    <row r="634">
      <c r="A634" s="141"/>
      <c r="B634" s="142"/>
      <c r="C634" s="133"/>
      <c r="D634" s="133"/>
      <c r="E634" s="140"/>
      <c r="F634" s="140"/>
      <c r="G634" s="140"/>
      <c r="H634" s="133"/>
      <c r="I634" s="133"/>
      <c r="J634" s="140"/>
      <c r="K634" s="129"/>
      <c r="L634" s="129"/>
      <c r="M634" s="129"/>
      <c r="N634" s="129"/>
      <c r="O634" s="140"/>
      <c r="P634" s="140"/>
      <c r="Q634" s="133"/>
      <c r="R634" s="140"/>
      <c r="S634" s="133"/>
      <c r="T634" s="133"/>
    </row>
    <row r="635">
      <c r="A635" s="141"/>
      <c r="B635" s="142"/>
      <c r="C635" s="133"/>
      <c r="D635" s="133"/>
      <c r="E635" s="140"/>
      <c r="F635" s="140"/>
      <c r="G635" s="140"/>
      <c r="H635" s="133"/>
      <c r="I635" s="133"/>
      <c r="J635" s="140"/>
      <c r="K635" s="129"/>
      <c r="L635" s="129"/>
      <c r="M635" s="129"/>
      <c r="N635" s="129"/>
      <c r="O635" s="140"/>
      <c r="P635" s="140"/>
      <c r="Q635" s="133"/>
      <c r="R635" s="140"/>
      <c r="S635" s="133"/>
      <c r="T635" s="133"/>
    </row>
    <row r="636">
      <c r="A636" s="141"/>
      <c r="B636" s="142"/>
      <c r="C636" s="133"/>
      <c r="D636" s="133"/>
      <c r="E636" s="140"/>
      <c r="F636" s="140"/>
      <c r="G636" s="140"/>
      <c r="H636" s="133"/>
      <c r="I636" s="133"/>
      <c r="J636" s="140"/>
      <c r="K636" s="129"/>
      <c r="L636" s="129"/>
      <c r="M636" s="129"/>
      <c r="N636" s="129"/>
      <c r="O636" s="140"/>
      <c r="P636" s="140"/>
      <c r="Q636" s="133"/>
      <c r="R636" s="140"/>
      <c r="S636" s="133"/>
      <c r="T636" s="133"/>
    </row>
    <row r="637">
      <c r="A637" s="141"/>
      <c r="B637" s="142"/>
      <c r="C637" s="133"/>
      <c r="D637" s="133"/>
      <c r="E637" s="140"/>
      <c r="F637" s="140"/>
      <c r="G637" s="140"/>
      <c r="H637" s="133"/>
      <c r="I637" s="133"/>
      <c r="J637" s="140"/>
      <c r="K637" s="129"/>
      <c r="L637" s="129"/>
      <c r="M637" s="129"/>
      <c r="N637" s="129"/>
      <c r="O637" s="140"/>
      <c r="P637" s="140"/>
      <c r="Q637" s="133"/>
      <c r="R637" s="140"/>
      <c r="S637" s="133"/>
      <c r="T637" s="133"/>
    </row>
    <row r="638">
      <c r="A638" s="141"/>
      <c r="B638" s="142"/>
      <c r="C638" s="133"/>
      <c r="D638" s="133"/>
      <c r="E638" s="140"/>
      <c r="F638" s="140"/>
      <c r="G638" s="140"/>
      <c r="H638" s="133"/>
      <c r="I638" s="133"/>
      <c r="J638" s="140"/>
      <c r="K638" s="129"/>
      <c r="L638" s="129"/>
      <c r="M638" s="129"/>
      <c r="N638" s="129"/>
      <c r="O638" s="140"/>
      <c r="P638" s="140"/>
      <c r="Q638" s="133"/>
      <c r="R638" s="140"/>
      <c r="S638" s="133"/>
      <c r="T638" s="133"/>
    </row>
    <row r="639">
      <c r="A639" s="141"/>
      <c r="B639" s="142"/>
      <c r="C639" s="133"/>
      <c r="D639" s="133"/>
      <c r="E639" s="140"/>
      <c r="F639" s="140"/>
      <c r="G639" s="140"/>
      <c r="H639" s="133"/>
      <c r="I639" s="133"/>
      <c r="J639" s="140"/>
      <c r="K639" s="129"/>
      <c r="L639" s="129"/>
      <c r="M639" s="129"/>
      <c r="N639" s="129"/>
      <c r="O639" s="140"/>
      <c r="P639" s="140"/>
      <c r="Q639" s="133"/>
      <c r="R639" s="140"/>
      <c r="S639" s="133"/>
      <c r="T639" s="133"/>
    </row>
    <row r="640">
      <c r="A640" s="141"/>
      <c r="B640" s="142"/>
      <c r="C640" s="133"/>
      <c r="D640" s="133"/>
      <c r="E640" s="140"/>
      <c r="F640" s="140"/>
      <c r="G640" s="140"/>
      <c r="H640" s="133"/>
      <c r="I640" s="133"/>
      <c r="J640" s="140"/>
      <c r="K640" s="129"/>
      <c r="L640" s="129"/>
      <c r="M640" s="129"/>
      <c r="N640" s="129"/>
      <c r="O640" s="140"/>
      <c r="P640" s="140"/>
      <c r="Q640" s="133"/>
      <c r="R640" s="140"/>
      <c r="S640" s="133"/>
      <c r="T640" s="133"/>
    </row>
    <row r="641">
      <c r="A641" s="141"/>
      <c r="B641" s="142"/>
      <c r="C641" s="133"/>
      <c r="D641" s="133"/>
      <c r="E641" s="140"/>
      <c r="F641" s="140"/>
      <c r="G641" s="140"/>
      <c r="H641" s="133"/>
      <c r="I641" s="133"/>
      <c r="J641" s="140"/>
      <c r="K641" s="129"/>
      <c r="L641" s="129"/>
      <c r="M641" s="129"/>
      <c r="N641" s="129"/>
      <c r="O641" s="140"/>
      <c r="P641" s="140"/>
      <c r="Q641" s="133"/>
      <c r="R641" s="140"/>
      <c r="S641" s="133"/>
      <c r="T641" s="133"/>
    </row>
    <row r="642">
      <c r="A642" s="141"/>
      <c r="B642" s="142"/>
      <c r="C642" s="133"/>
      <c r="D642" s="133"/>
      <c r="E642" s="140"/>
      <c r="F642" s="140"/>
      <c r="G642" s="140"/>
      <c r="H642" s="133"/>
      <c r="I642" s="133"/>
      <c r="J642" s="140"/>
      <c r="K642" s="129"/>
      <c r="L642" s="129"/>
      <c r="M642" s="129"/>
      <c r="N642" s="129"/>
      <c r="O642" s="140"/>
      <c r="P642" s="140"/>
      <c r="Q642" s="133"/>
      <c r="R642" s="140"/>
      <c r="S642" s="133"/>
      <c r="T642" s="133"/>
    </row>
    <row r="643">
      <c r="A643" s="141"/>
      <c r="B643" s="142"/>
      <c r="C643" s="133"/>
      <c r="D643" s="133"/>
      <c r="E643" s="140"/>
      <c r="F643" s="140"/>
      <c r="G643" s="140"/>
      <c r="H643" s="133"/>
      <c r="I643" s="133"/>
      <c r="J643" s="140"/>
      <c r="K643" s="129"/>
      <c r="L643" s="129"/>
      <c r="M643" s="129"/>
      <c r="N643" s="129"/>
      <c r="O643" s="140"/>
      <c r="P643" s="140"/>
      <c r="Q643" s="133"/>
      <c r="R643" s="140"/>
      <c r="S643" s="133"/>
      <c r="T643" s="133"/>
    </row>
    <row r="644">
      <c r="A644" s="141"/>
      <c r="B644" s="142"/>
      <c r="C644" s="133"/>
      <c r="D644" s="133"/>
      <c r="E644" s="140"/>
      <c r="F644" s="140"/>
      <c r="G644" s="140"/>
      <c r="H644" s="133"/>
      <c r="I644" s="133"/>
      <c r="J644" s="140"/>
      <c r="K644" s="129"/>
      <c r="L644" s="129"/>
      <c r="M644" s="129"/>
      <c r="N644" s="129"/>
      <c r="O644" s="140"/>
      <c r="P644" s="140"/>
      <c r="Q644" s="133"/>
      <c r="R644" s="140"/>
      <c r="S644" s="133"/>
      <c r="T644" s="133"/>
    </row>
    <row r="645">
      <c r="A645" s="141"/>
      <c r="B645" s="142"/>
      <c r="C645" s="133"/>
      <c r="D645" s="133"/>
      <c r="E645" s="140"/>
      <c r="F645" s="140"/>
      <c r="G645" s="140"/>
      <c r="H645" s="133"/>
      <c r="I645" s="133"/>
      <c r="J645" s="140"/>
      <c r="K645" s="129"/>
      <c r="L645" s="129"/>
      <c r="M645" s="129"/>
      <c r="N645" s="129"/>
      <c r="O645" s="140"/>
      <c r="P645" s="140"/>
      <c r="Q645" s="133"/>
      <c r="R645" s="140"/>
      <c r="S645" s="133"/>
      <c r="T645" s="133"/>
    </row>
    <row r="646">
      <c r="A646" s="141"/>
      <c r="B646" s="142"/>
      <c r="C646" s="133"/>
      <c r="D646" s="133"/>
      <c r="E646" s="140"/>
      <c r="F646" s="140"/>
      <c r="G646" s="140"/>
      <c r="H646" s="133"/>
      <c r="I646" s="133"/>
      <c r="J646" s="140"/>
      <c r="K646" s="129"/>
      <c r="L646" s="129"/>
      <c r="M646" s="129"/>
      <c r="N646" s="129"/>
      <c r="O646" s="140"/>
      <c r="P646" s="140"/>
      <c r="Q646" s="133"/>
      <c r="R646" s="140"/>
      <c r="S646" s="133"/>
      <c r="T646" s="133"/>
    </row>
    <row r="647">
      <c r="A647" s="141"/>
      <c r="B647" s="142"/>
      <c r="C647" s="133"/>
      <c r="D647" s="133"/>
      <c r="E647" s="140"/>
      <c r="F647" s="140"/>
      <c r="G647" s="140"/>
      <c r="H647" s="133"/>
      <c r="I647" s="133"/>
      <c r="J647" s="140"/>
      <c r="K647" s="129"/>
      <c r="L647" s="129"/>
      <c r="M647" s="129"/>
      <c r="N647" s="129"/>
      <c r="O647" s="140"/>
      <c r="P647" s="140"/>
      <c r="Q647" s="133"/>
      <c r="R647" s="140"/>
      <c r="S647" s="133"/>
      <c r="T647" s="133"/>
    </row>
    <row r="648">
      <c r="A648" s="141"/>
      <c r="B648" s="142"/>
      <c r="C648" s="133"/>
      <c r="D648" s="133"/>
      <c r="E648" s="140"/>
      <c r="F648" s="140"/>
      <c r="G648" s="140"/>
      <c r="H648" s="133"/>
      <c r="I648" s="133"/>
      <c r="J648" s="140"/>
      <c r="K648" s="129"/>
      <c r="L648" s="129"/>
      <c r="M648" s="129"/>
      <c r="N648" s="129"/>
      <c r="O648" s="140"/>
      <c r="P648" s="140"/>
      <c r="Q648" s="133"/>
      <c r="R648" s="140"/>
      <c r="S648" s="133"/>
      <c r="T648" s="133"/>
    </row>
    <row r="649">
      <c r="A649" s="141"/>
      <c r="B649" s="142"/>
      <c r="C649" s="133"/>
      <c r="D649" s="133"/>
      <c r="E649" s="140"/>
      <c r="F649" s="140"/>
      <c r="G649" s="140"/>
      <c r="H649" s="133"/>
      <c r="I649" s="133"/>
      <c r="J649" s="140"/>
      <c r="K649" s="129"/>
      <c r="L649" s="129"/>
      <c r="M649" s="129"/>
      <c r="N649" s="129"/>
      <c r="O649" s="140"/>
      <c r="P649" s="140"/>
      <c r="Q649" s="133"/>
      <c r="R649" s="140"/>
      <c r="S649" s="133"/>
      <c r="T649" s="133"/>
    </row>
    <row r="650">
      <c r="A650" s="141"/>
      <c r="B650" s="142"/>
      <c r="C650" s="133"/>
      <c r="D650" s="133"/>
      <c r="E650" s="140"/>
      <c r="F650" s="140"/>
      <c r="G650" s="140"/>
      <c r="H650" s="133"/>
      <c r="I650" s="133"/>
      <c r="J650" s="140"/>
      <c r="K650" s="129"/>
      <c r="L650" s="129"/>
      <c r="M650" s="129"/>
      <c r="N650" s="129"/>
      <c r="O650" s="140"/>
      <c r="P650" s="140"/>
      <c r="Q650" s="133"/>
      <c r="R650" s="140"/>
      <c r="S650" s="133"/>
      <c r="T650" s="133"/>
    </row>
    <row r="651">
      <c r="A651" s="141"/>
      <c r="B651" s="142"/>
      <c r="C651" s="133"/>
      <c r="D651" s="133"/>
      <c r="E651" s="140"/>
      <c r="F651" s="140"/>
      <c r="G651" s="140"/>
      <c r="H651" s="133"/>
      <c r="I651" s="133"/>
      <c r="J651" s="140"/>
      <c r="K651" s="129"/>
      <c r="L651" s="129"/>
      <c r="M651" s="129"/>
      <c r="N651" s="129"/>
      <c r="O651" s="140"/>
      <c r="P651" s="140"/>
      <c r="Q651" s="133"/>
      <c r="R651" s="140"/>
      <c r="S651" s="133"/>
      <c r="T651" s="133"/>
    </row>
    <row r="652">
      <c r="A652" s="141"/>
      <c r="B652" s="142"/>
      <c r="C652" s="133"/>
      <c r="D652" s="133"/>
      <c r="E652" s="140"/>
      <c r="F652" s="140"/>
      <c r="G652" s="140"/>
      <c r="H652" s="133"/>
      <c r="I652" s="133"/>
      <c r="J652" s="140"/>
      <c r="K652" s="129"/>
      <c r="L652" s="129"/>
      <c r="M652" s="129"/>
      <c r="N652" s="129"/>
      <c r="O652" s="140"/>
      <c r="P652" s="140"/>
      <c r="Q652" s="133"/>
      <c r="R652" s="140"/>
      <c r="S652" s="133"/>
      <c r="T652" s="133"/>
    </row>
    <row r="653">
      <c r="A653" s="141"/>
      <c r="B653" s="142"/>
      <c r="C653" s="133"/>
      <c r="D653" s="133"/>
      <c r="E653" s="140"/>
      <c r="F653" s="140"/>
      <c r="G653" s="140"/>
      <c r="H653" s="133"/>
      <c r="I653" s="133"/>
      <c r="J653" s="140"/>
      <c r="K653" s="129"/>
      <c r="L653" s="129"/>
      <c r="M653" s="129"/>
      <c r="N653" s="129"/>
      <c r="O653" s="140"/>
      <c r="P653" s="140"/>
      <c r="Q653" s="133"/>
      <c r="R653" s="140"/>
      <c r="S653" s="133"/>
      <c r="T653" s="133"/>
    </row>
    <row r="654">
      <c r="A654" s="141"/>
      <c r="B654" s="142"/>
      <c r="C654" s="133"/>
      <c r="D654" s="133"/>
      <c r="E654" s="140"/>
      <c r="F654" s="140"/>
      <c r="G654" s="140"/>
      <c r="H654" s="133"/>
      <c r="I654" s="133"/>
      <c r="J654" s="140"/>
      <c r="K654" s="129"/>
      <c r="L654" s="129"/>
      <c r="M654" s="129"/>
      <c r="N654" s="129"/>
      <c r="O654" s="140"/>
      <c r="P654" s="140"/>
      <c r="Q654" s="133"/>
      <c r="R654" s="140"/>
      <c r="S654" s="133"/>
      <c r="T654" s="133"/>
    </row>
    <row r="655">
      <c r="A655" s="141"/>
      <c r="B655" s="142"/>
      <c r="C655" s="133"/>
      <c r="D655" s="133"/>
      <c r="E655" s="140"/>
      <c r="F655" s="140"/>
      <c r="G655" s="140"/>
      <c r="H655" s="133"/>
      <c r="I655" s="133"/>
      <c r="J655" s="140"/>
      <c r="K655" s="129"/>
      <c r="L655" s="129"/>
      <c r="M655" s="129"/>
      <c r="N655" s="129"/>
      <c r="O655" s="140"/>
      <c r="P655" s="140"/>
      <c r="Q655" s="133"/>
      <c r="R655" s="140"/>
      <c r="S655" s="133"/>
      <c r="T655" s="133"/>
    </row>
    <row r="656">
      <c r="A656" s="141"/>
      <c r="B656" s="142"/>
      <c r="C656" s="133"/>
      <c r="D656" s="133"/>
      <c r="E656" s="140"/>
      <c r="F656" s="140"/>
      <c r="G656" s="140"/>
      <c r="H656" s="133"/>
      <c r="I656" s="133"/>
      <c r="J656" s="140"/>
      <c r="K656" s="129"/>
      <c r="L656" s="129"/>
      <c r="M656" s="129"/>
      <c r="N656" s="129"/>
      <c r="O656" s="140"/>
      <c r="P656" s="140"/>
      <c r="Q656" s="133"/>
      <c r="R656" s="140"/>
      <c r="S656" s="133"/>
      <c r="T656" s="133"/>
    </row>
    <row r="657">
      <c r="A657" s="141"/>
      <c r="B657" s="142"/>
      <c r="C657" s="133"/>
      <c r="D657" s="133"/>
      <c r="E657" s="140"/>
      <c r="F657" s="140"/>
      <c r="G657" s="140"/>
      <c r="H657" s="133"/>
      <c r="I657" s="133"/>
      <c r="J657" s="140"/>
      <c r="K657" s="129"/>
      <c r="L657" s="129"/>
      <c r="M657" s="129"/>
      <c r="N657" s="129"/>
      <c r="O657" s="140"/>
      <c r="P657" s="140"/>
      <c r="Q657" s="133"/>
      <c r="R657" s="140"/>
      <c r="S657" s="133"/>
      <c r="T657" s="133"/>
    </row>
    <row r="658">
      <c r="A658" s="141"/>
      <c r="B658" s="142"/>
      <c r="C658" s="133"/>
      <c r="D658" s="133"/>
      <c r="E658" s="140"/>
      <c r="F658" s="140"/>
      <c r="G658" s="140"/>
      <c r="H658" s="133"/>
      <c r="I658" s="133"/>
      <c r="J658" s="140"/>
      <c r="K658" s="129"/>
      <c r="L658" s="129"/>
      <c r="M658" s="129"/>
      <c r="N658" s="129"/>
      <c r="O658" s="140"/>
      <c r="P658" s="140"/>
      <c r="Q658" s="133"/>
      <c r="R658" s="140"/>
      <c r="S658" s="133"/>
      <c r="T658" s="133"/>
    </row>
    <row r="659">
      <c r="A659" s="141"/>
      <c r="B659" s="142"/>
      <c r="C659" s="133"/>
      <c r="D659" s="133"/>
      <c r="E659" s="140"/>
      <c r="F659" s="140"/>
      <c r="G659" s="140"/>
      <c r="H659" s="133"/>
      <c r="I659" s="133"/>
      <c r="J659" s="140"/>
      <c r="K659" s="129"/>
      <c r="L659" s="129"/>
      <c r="M659" s="129"/>
      <c r="N659" s="129"/>
      <c r="O659" s="140"/>
      <c r="P659" s="140"/>
      <c r="Q659" s="133"/>
      <c r="R659" s="140"/>
      <c r="S659" s="133"/>
      <c r="T659" s="133"/>
    </row>
    <row r="660">
      <c r="A660" s="141"/>
      <c r="B660" s="142"/>
      <c r="C660" s="133"/>
      <c r="D660" s="133"/>
      <c r="E660" s="140"/>
      <c r="F660" s="140"/>
      <c r="G660" s="140"/>
      <c r="H660" s="133"/>
      <c r="I660" s="133"/>
      <c r="J660" s="140"/>
      <c r="K660" s="129"/>
      <c r="L660" s="129"/>
      <c r="M660" s="129"/>
      <c r="N660" s="129"/>
      <c r="O660" s="140"/>
      <c r="P660" s="140"/>
      <c r="Q660" s="133"/>
      <c r="R660" s="140"/>
      <c r="S660" s="133"/>
      <c r="T660" s="133"/>
    </row>
    <row r="661">
      <c r="A661" s="141"/>
      <c r="B661" s="142"/>
      <c r="C661" s="133"/>
      <c r="D661" s="133"/>
      <c r="E661" s="140"/>
      <c r="F661" s="140"/>
      <c r="G661" s="140"/>
      <c r="H661" s="133"/>
      <c r="I661" s="133"/>
      <c r="J661" s="140"/>
      <c r="K661" s="129"/>
      <c r="L661" s="129"/>
      <c r="M661" s="129"/>
      <c r="N661" s="129"/>
      <c r="O661" s="140"/>
      <c r="P661" s="140"/>
      <c r="Q661" s="133"/>
      <c r="R661" s="140"/>
      <c r="S661" s="133"/>
      <c r="T661" s="133"/>
    </row>
    <row r="662">
      <c r="A662" s="141"/>
      <c r="B662" s="142"/>
      <c r="C662" s="133"/>
      <c r="D662" s="133"/>
      <c r="E662" s="140"/>
      <c r="F662" s="140"/>
      <c r="G662" s="140"/>
      <c r="H662" s="133"/>
      <c r="I662" s="133"/>
      <c r="J662" s="140"/>
      <c r="K662" s="129"/>
      <c r="L662" s="129"/>
      <c r="M662" s="129"/>
      <c r="N662" s="129"/>
      <c r="O662" s="140"/>
      <c r="P662" s="140"/>
      <c r="Q662" s="133"/>
      <c r="R662" s="140"/>
      <c r="S662" s="133"/>
      <c r="T662" s="133"/>
    </row>
    <row r="663">
      <c r="A663" s="141"/>
      <c r="B663" s="142"/>
      <c r="C663" s="133"/>
      <c r="D663" s="133"/>
      <c r="E663" s="140"/>
      <c r="F663" s="140"/>
      <c r="G663" s="140"/>
      <c r="H663" s="133"/>
      <c r="I663" s="133"/>
      <c r="J663" s="140"/>
      <c r="K663" s="129"/>
      <c r="L663" s="129"/>
      <c r="M663" s="129"/>
      <c r="N663" s="129"/>
      <c r="O663" s="140"/>
      <c r="P663" s="140"/>
      <c r="Q663" s="133"/>
      <c r="R663" s="140"/>
      <c r="S663" s="133"/>
      <c r="T663" s="133"/>
    </row>
    <row r="664">
      <c r="A664" s="141"/>
      <c r="B664" s="142"/>
      <c r="C664" s="133"/>
      <c r="D664" s="133"/>
      <c r="E664" s="140"/>
      <c r="F664" s="140"/>
      <c r="G664" s="140"/>
      <c r="H664" s="133"/>
      <c r="I664" s="133"/>
      <c r="J664" s="140"/>
      <c r="K664" s="129"/>
      <c r="L664" s="129"/>
      <c r="M664" s="129"/>
      <c r="N664" s="129"/>
      <c r="O664" s="140"/>
      <c r="P664" s="140"/>
      <c r="Q664" s="133"/>
      <c r="R664" s="140"/>
      <c r="S664" s="133"/>
      <c r="T664" s="133"/>
    </row>
    <row r="665">
      <c r="A665" s="141"/>
      <c r="B665" s="142"/>
      <c r="C665" s="133"/>
      <c r="D665" s="133"/>
      <c r="E665" s="140"/>
      <c r="F665" s="140"/>
      <c r="G665" s="140"/>
      <c r="H665" s="133"/>
      <c r="I665" s="133"/>
      <c r="J665" s="140"/>
      <c r="K665" s="129"/>
      <c r="L665" s="129"/>
      <c r="M665" s="129"/>
      <c r="N665" s="129"/>
      <c r="O665" s="140"/>
      <c r="P665" s="140"/>
      <c r="Q665" s="133"/>
      <c r="R665" s="140"/>
      <c r="S665" s="133"/>
      <c r="T665" s="133"/>
    </row>
    <row r="666">
      <c r="A666" s="141"/>
      <c r="B666" s="142"/>
      <c r="C666" s="133"/>
      <c r="D666" s="133"/>
      <c r="E666" s="140"/>
      <c r="F666" s="140"/>
      <c r="G666" s="140"/>
      <c r="H666" s="133"/>
      <c r="I666" s="133"/>
      <c r="J666" s="140"/>
      <c r="K666" s="129"/>
      <c r="L666" s="129"/>
      <c r="M666" s="129"/>
      <c r="N666" s="129"/>
      <c r="O666" s="140"/>
      <c r="P666" s="140"/>
      <c r="Q666" s="133"/>
      <c r="R666" s="140"/>
      <c r="S666" s="133"/>
      <c r="T666" s="133"/>
    </row>
    <row r="667">
      <c r="A667" s="141"/>
      <c r="B667" s="142"/>
      <c r="C667" s="133"/>
      <c r="D667" s="133"/>
      <c r="E667" s="140"/>
      <c r="F667" s="140"/>
      <c r="G667" s="140"/>
      <c r="H667" s="133"/>
      <c r="I667" s="133"/>
      <c r="J667" s="140"/>
      <c r="K667" s="129"/>
      <c r="L667" s="129"/>
      <c r="M667" s="129"/>
      <c r="N667" s="129"/>
      <c r="O667" s="140"/>
      <c r="P667" s="140"/>
      <c r="Q667" s="133"/>
      <c r="R667" s="140"/>
      <c r="S667" s="133"/>
      <c r="T667" s="133"/>
    </row>
    <row r="668">
      <c r="A668" s="141"/>
      <c r="B668" s="142"/>
      <c r="C668" s="133"/>
      <c r="D668" s="133"/>
      <c r="E668" s="140"/>
      <c r="F668" s="140"/>
      <c r="G668" s="140"/>
      <c r="H668" s="133"/>
      <c r="I668" s="133"/>
      <c r="J668" s="140"/>
      <c r="K668" s="129"/>
      <c r="L668" s="129"/>
      <c r="M668" s="129"/>
      <c r="N668" s="129"/>
      <c r="O668" s="140"/>
      <c r="P668" s="140"/>
      <c r="Q668" s="133"/>
      <c r="R668" s="140"/>
      <c r="S668" s="133"/>
      <c r="T668" s="133"/>
    </row>
    <row r="669">
      <c r="A669" s="141"/>
      <c r="B669" s="142"/>
      <c r="C669" s="133"/>
      <c r="D669" s="133"/>
      <c r="E669" s="140"/>
      <c r="F669" s="140"/>
      <c r="G669" s="140"/>
      <c r="H669" s="133"/>
      <c r="I669" s="133"/>
      <c r="J669" s="140"/>
      <c r="K669" s="129"/>
      <c r="L669" s="129"/>
      <c r="M669" s="129"/>
      <c r="N669" s="129"/>
      <c r="O669" s="140"/>
      <c r="P669" s="140"/>
      <c r="Q669" s="133"/>
      <c r="R669" s="140"/>
      <c r="S669" s="133"/>
      <c r="T669" s="133"/>
    </row>
    <row r="670">
      <c r="A670" s="141"/>
      <c r="B670" s="142"/>
      <c r="C670" s="133"/>
      <c r="D670" s="133"/>
      <c r="E670" s="140"/>
      <c r="F670" s="140"/>
      <c r="G670" s="140"/>
      <c r="H670" s="133"/>
      <c r="I670" s="133"/>
      <c r="J670" s="140"/>
      <c r="K670" s="129"/>
      <c r="L670" s="129"/>
      <c r="M670" s="129"/>
      <c r="N670" s="129"/>
      <c r="O670" s="140"/>
      <c r="P670" s="140"/>
      <c r="Q670" s="133"/>
      <c r="R670" s="140"/>
      <c r="S670" s="133"/>
      <c r="T670" s="133"/>
    </row>
    <row r="671">
      <c r="A671" s="141"/>
      <c r="B671" s="142"/>
      <c r="C671" s="133"/>
      <c r="D671" s="133"/>
      <c r="E671" s="140"/>
      <c r="F671" s="140"/>
      <c r="G671" s="140"/>
      <c r="H671" s="133"/>
      <c r="I671" s="133"/>
      <c r="J671" s="140"/>
      <c r="K671" s="129"/>
      <c r="L671" s="129"/>
      <c r="M671" s="129"/>
      <c r="N671" s="129"/>
      <c r="O671" s="140"/>
      <c r="P671" s="140"/>
      <c r="Q671" s="133"/>
      <c r="R671" s="140"/>
      <c r="S671" s="133"/>
      <c r="T671" s="133"/>
    </row>
    <row r="672">
      <c r="A672" s="141"/>
      <c r="B672" s="142"/>
      <c r="C672" s="133"/>
      <c r="D672" s="133"/>
      <c r="E672" s="140"/>
      <c r="F672" s="140"/>
      <c r="G672" s="140"/>
      <c r="H672" s="133"/>
      <c r="I672" s="133"/>
      <c r="J672" s="140"/>
      <c r="K672" s="129"/>
      <c r="L672" s="129"/>
      <c r="M672" s="129"/>
      <c r="N672" s="129"/>
      <c r="O672" s="140"/>
      <c r="P672" s="140"/>
      <c r="Q672" s="133"/>
      <c r="R672" s="140"/>
      <c r="S672" s="133"/>
      <c r="T672" s="133"/>
    </row>
    <row r="673">
      <c r="A673" s="141"/>
      <c r="B673" s="142"/>
      <c r="C673" s="133"/>
      <c r="D673" s="133"/>
      <c r="E673" s="140"/>
      <c r="F673" s="140"/>
      <c r="G673" s="140"/>
      <c r="H673" s="133"/>
      <c r="I673" s="133"/>
      <c r="J673" s="140"/>
      <c r="K673" s="129"/>
      <c r="L673" s="129"/>
      <c r="M673" s="129"/>
      <c r="N673" s="129"/>
      <c r="O673" s="140"/>
      <c r="P673" s="140"/>
      <c r="Q673" s="133"/>
      <c r="R673" s="140"/>
      <c r="S673" s="133"/>
      <c r="T673" s="133"/>
    </row>
    <row r="674">
      <c r="A674" s="141"/>
      <c r="B674" s="142"/>
      <c r="C674" s="133"/>
      <c r="D674" s="133"/>
      <c r="E674" s="140"/>
      <c r="F674" s="140"/>
      <c r="G674" s="140"/>
      <c r="H674" s="133"/>
      <c r="I674" s="133"/>
      <c r="J674" s="140"/>
      <c r="K674" s="129"/>
      <c r="L674" s="129"/>
      <c r="M674" s="129"/>
      <c r="N674" s="129"/>
      <c r="O674" s="140"/>
      <c r="P674" s="140"/>
      <c r="Q674" s="133"/>
      <c r="R674" s="140"/>
      <c r="S674" s="133"/>
      <c r="T674" s="133"/>
    </row>
    <row r="675">
      <c r="A675" s="141"/>
      <c r="B675" s="142"/>
      <c r="C675" s="133"/>
      <c r="D675" s="133"/>
      <c r="E675" s="140"/>
      <c r="F675" s="140"/>
      <c r="G675" s="140"/>
      <c r="H675" s="133"/>
      <c r="I675" s="133"/>
      <c r="J675" s="140"/>
      <c r="K675" s="129"/>
      <c r="L675" s="129"/>
      <c r="M675" s="129"/>
      <c r="N675" s="129"/>
      <c r="O675" s="140"/>
      <c r="P675" s="140"/>
      <c r="Q675" s="133"/>
      <c r="R675" s="140"/>
      <c r="S675" s="133"/>
      <c r="T675" s="133"/>
    </row>
    <row r="676">
      <c r="A676" s="141"/>
      <c r="B676" s="142"/>
      <c r="C676" s="133"/>
      <c r="D676" s="133"/>
      <c r="E676" s="140"/>
      <c r="F676" s="140"/>
      <c r="G676" s="140"/>
      <c r="H676" s="133"/>
      <c r="I676" s="133"/>
      <c r="J676" s="140"/>
      <c r="K676" s="129"/>
      <c r="L676" s="129"/>
      <c r="M676" s="129"/>
      <c r="N676" s="129"/>
      <c r="O676" s="140"/>
      <c r="P676" s="140"/>
      <c r="Q676" s="133"/>
      <c r="R676" s="140"/>
      <c r="S676" s="133"/>
      <c r="T676" s="133"/>
    </row>
    <row r="677">
      <c r="A677" s="141"/>
      <c r="B677" s="142"/>
      <c r="C677" s="133"/>
      <c r="D677" s="133"/>
      <c r="E677" s="140"/>
      <c r="F677" s="140"/>
      <c r="G677" s="140"/>
      <c r="H677" s="133"/>
      <c r="I677" s="133"/>
      <c r="J677" s="140"/>
      <c r="K677" s="129"/>
      <c r="L677" s="129"/>
      <c r="M677" s="129"/>
      <c r="N677" s="129"/>
      <c r="O677" s="140"/>
      <c r="P677" s="140"/>
      <c r="Q677" s="133"/>
      <c r="R677" s="140"/>
      <c r="S677" s="133"/>
      <c r="T677" s="133"/>
    </row>
    <row r="678">
      <c r="A678" s="141"/>
      <c r="B678" s="142"/>
      <c r="C678" s="133"/>
      <c r="D678" s="133"/>
      <c r="E678" s="140"/>
      <c r="F678" s="140"/>
      <c r="G678" s="140"/>
      <c r="H678" s="133"/>
      <c r="I678" s="133"/>
      <c r="J678" s="140"/>
      <c r="K678" s="129"/>
      <c r="L678" s="129"/>
      <c r="M678" s="129"/>
      <c r="N678" s="129"/>
      <c r="O678" s="140"/>
      <c r="P678" s="140"/>
      <c r="Q678" s="133"/>
      <c r="R678" s="140"/>
      <c r="S678" s="133"/>
      <c r="T678" s="133"/>
    </row>
    <row r="679">
      <c r="A679" s="141"/>
      <c r="B679" s="142"/>
      <c r="C679" s="133"/>
      <c r="D679" s="133"/>
      <c r="E679" s="140"/>
      <c r="F679" s="140"/>
      <c r="G679" s="140"/>
      <c r="H679" s="133"/>
      <c r="I679" s="133"/>
      <c r="J679" s="140"/>
      <c r="K679" s="129"/>
      <c r="L679" s="129"/>
      <c r="M679" s="129"/>
      <c r="N679" s="129"/>
      <c r="O679" s="140"/>
      <c r="P679" s="140"/>
      <c r="Q679" s="133"/>
      <c r="R679" s="140"/>
      <c r="S679" s="133"/>
      <c r="T679" s="133"/>
    </row>
    <row r="680">
      <c r="A680" s="141"/>
      <c r="B680" s="142"/>
      <c r="C680" s="133"/>
      <c r="D680" s="133"/>
      <c r="E680" s="140"/>
      <c r="F680" s="140"/>
      <c r="G680" s="140"/>
      <c r="H680" s="133"/>
      <c r="I680" s="133"/>
      <c r="J680" s="140"/>
      <c r="K680" s="129"/>
      <c r="L680" s="129"/>
      <c r="M680" s="129"/>
      <c r="N680" s="129"/>
      <c r="O680" s="140"/>
      <c r="P680" s="140"/>
      <c r="Q680" s="133"/>
      <c r="R680" s="140"/>
      <c r="S680" s="133"/>
      <c r="T680" s="133"/>
    </row>
    <row r="681">
      <c r="A681" s="141"/>
      <c r="B681" s="142"/>
      <c r="C681" s="133"/>
      <c r="D681" s="133"/>
      <c r="E681" s="140"/>
      <c r="F681" s="140"/>
      <c r="G681" s="140"/>
      <c r="H681" s="133"/>
      <c r="I681" s="133"/>
      <c r="J681" s="140"/>
      <c r="K681" s="129"/>
      <c r="L681" s="129"/>
      <c r="M681" s="129"/>
      <c r="N681" s="129"/>
      <c r="O681" s="140"/>
      <c r="P681" s="140"/>
      <c r="Q681" s="133"/>
      <c r="R681" s="140"/>
      <c r="S681" s="133"/>
      <c r="T681" s="133"/>
    </row>
    <row r="682">
      <c r="A682" s="141"/>
      <c r="B682" s="142"/>
      <c r="C682" s="133"/>
      <c r="D682" s="133"/>
      <c r="E682" s="140"/>
      <c r="F682" s="140"/>
      <c r="G682" s="140"/>
      <c r="H682" s="133"/>
      <c r="I682" s="133"/>
      <c r="J682" s="140"/>
      <c r="K682" s="129"/>
      <c r="L682" s="129"/>
      <c r="M682" s="129"/>
      <c r="N682" s="129"/>
      <c r="O682" s="140"/>
      <c r="P682" s="140"/>
      <c r="Q682" s="133"/>
      <c r="R682" s="140"/>
      <c r="S682" s="133"/>
      <c r="T682" s="133"/>
    </row>
    <row r="683">
      <c r="A683" s="141"/>
      <c r="B683" s="142"/>
      <c r="C683" s="133"/>
      <c r="D683" s="133"/>
      <c r="E683" s="140"/>
      <c r="F683" s="140"/>
      <c r="G683" s="140"/>
      <c r="H683" s="133"/>
      <c r="I683" s="133"/>
      <c r="J683" s="140"/>
      <c r="K683" s="129"/>
      <c r="L683" s="129"/>
      <c r="M683" s="129"/>
      <c r="N683" s="129"/>
      <c r="O683" s="140"/>
      <c r="P683" s="140"/>
      <c r="Q683" s="133"/>
      <c r="R683" s="140"/>
      <c r="S683" s="133"/>
      <c r="T683" s="133"/>
    </row>
    <row r="684">
      <c r="A684" s="141"/>
      <c r="B684" s="142"/>
      <c r="C684" s="133"/>
      <c r="D684" s="133"/>
      <c r="E684" s="140"/>
      <c r="F684" s="140"/>
      <c r="G684" s="140"/>
      <c r="H684" s="133"/>
      <c r="I684" s="133"/>
      <c r="J684" s="140"/>
      <c r="K684" s="129"/>
      <c r="L684" s="129"/>
      <c r="M684" s="129"/>
      <c r="N684" s="129"/>
      <c r="O684" s="140"/>
      <c r="P684" s="140"/>
      <c r="Q684" s="133"/>
      <c r="R684" s="140"/>
      <c r="S684" s="133"/>
      <c r="T684" s="133"/>
    </row>
    <row r="685">
      <c r="A685" s="141"/>
      <c r="B685" s="142"/>
      <c r="C685" s="133"/>
      <c r="D685" s="133"/>
      <c r="E685" s="140"/>
      <c r="F685" s="140"/>
      <c r="G685" s="140"/>
      <c r="H685" s="133"/>
      <c r="I685" s="133"/>
      <c r="J685" s="140"/>
      <c r="K685" s="129"/>
      <c r="L685" s="129"/>
      <c r="M685" s="129"/>
      <c r="N685" s="129"/>
      <c r="O685" s="140"/>
      <c r="P685" s="140"/>
      <c r="Q685" s="133"/>
      <c r="R685" s="140"/>
      <c r="S685" s="133"/>
      <c r="T685" s="133"/>
    </row>
    <row r="686">
      <c r="A686" s="141"/>
      <c r="B686" s="142"/>
      <c r="C686" s="133"/>
      <c r="D686" s="133"/>
      <c r="E686" s="140"/>
      <c r="F686" s="140"/>
      <c r="G686" s="140"/>
      <c r="H686" s="133"/>
      <c r="I686" s="133"/>
      <c r="J686" s="140"/>
      <c r="K686" s="129"/>
      <c r="L686" s="129"/>
      <c r="M686" s="129"/>
      <c r="N686" s="129"/>
      <c r="O686" s="140"/>
      <c r="P686" s="140"/>
      <c r="Q686" s="133"/>
      <c r="R686" s="140"/>
      <c r="S686" s="133"/>
      <c r="T686" s="133"/>
    </row>
    <row r="687">
      <c r="A687" s="141"/>
      <c r="B687" s="142"/>
      <c r="C687" s="133"/>
      <c r="D687" s="133"/>
      <c r="E687" s="140"/>
      <c r="F687" s="140"/>
      <c r="G687" s="140"/>
      <c r="H687" s="133"/>
      <c r="I687" s="133"/>
      <c r="J687" s="140"/>
      <c r="K687" s="129"/>
      <c r="L687" s="129"/>
      <c r="M687" s="129"/>
      <c r="N687" s="129"/>
      <c r="O687" s="140"/>
      <c r="P687" s="140"/>
      <c r="Q687" s="133"/>
      <c r="R687" s="140"/>
      <c r="S687" s="133"/>
      <c r="T687" s="133"/>
    </row>
    <row r="688">
      <c r="A688" s="141"/>
      <c r="B688" s="142"/>
      <c r="C688" s="133"/>
      <c r="D688" s="133"/>
      <c r="E688" s="140"/>
      <c r="F688" s="140"/>
      <c r="G688" s="140"/>
      <c r="H688" s="133"/>
      <c r="I688" s="133"/>
      <c r="J688" s="140"/>
      <c r="K688" s="129"/>
      <c r="L688" s="129"/>
      <c r="M688" s="129"/>
      <c r="N688" s="129"/>
      <c r="O688" s="140"/>
      <c r="P688" s="140"/>
      <c r="Q688" s="133"/>
      <c r="R688" s="140"/>
      <c r="S688" s="133"/>
      <c r="T688" s="133"/>
    </row>
    <row r="689">
      <c r="A689" s="141"/>
      <c r="B689" s="142"/>
      <c r="C689" s="133"/>
      <c r="D689" s="133"/>
      <c r="E689" s="140"/>
      <c r="F689" s="140"/>
      <c r="G689" s="140"/>
      <c r="H689" s="133"/>
      <c r="I689" s="133"/>
      <c r="J689" s="140"/>
      <c r="K689" s="129"/>
      <c r="L689" s="129"/>
      <c r="M689" s="129"/>
      <c r="N689" s="129"/>
      <c r="O689" s="140"/>
      <c r="P689" s="140"/>
      <c r="Q689" s="133"/>
      <c r="R689" s="140"/>
      <c r="S689" s="133"/>
      <c r="T689" s="133"/>
    </row>
    <row r="690">
      <c r="A690" s="141"/>
      <c r="B690" s="142"/>
      <c r="C690" s="133"/>
      <c r="D690" s="133"/>
      <c r="E690" s="140"/>
      <c r="F690" s="140"/>
      <c r="G690" s="140"/>
      <c r="H690" s="133"/>
      <c r="I690" s="133"/>
      <c r="J690" s="140"/>
      <c r="K690" s="129"/>
      <c r="L690" s="129"/>
      <c r="M690" s="129"/>
      <c r="N690" s="129"/>
      <c r="O690" s="140"/>
      <c r="P690" s="140"/>
      <c r="Q690" s="133"/>
      <c r="R690" s="140"/>
      <c r="S690" s="133"/>
      <c r="T690" s="133"/>
    </row>
    <row r="691">
      <c r="A691" s="141"/>
      <c r="B691" s="142"/>
      <c r="C691" s="133"/>
      <c r="D691" s="133"/>
      <c r="E691" s="140"/>
      <c r="F691" s="140"/>
      <c r="G691" s="140"/>
      <c r="H691" s="133"/>
      <c r="I691" s="133"/>
      <c r="J691" s="140"/>
      <c r="K691" s="129"/>
      <c r="L691" s="129"/>
      <c r="M691" s="129"/>
      <c r="N691" s="129"/>
      <c r="O691" s="140"/>
      <c r="P691" s="140"/>
      <c r="Q691" s="133"/>
      <c r="R691" s="140"/>
      <c r="S691" s="133"/>
      <c r="T691" s="133"/>
    </row>
    <row r="692">
      <c r="A692" s="141"/>
      <c r="B692" s="142"/>
      <c r="C692" s="133"/>
      <c r="D692" s="133"/>
      <c r="E692" s="140"/>
      <c r="F692" s="140"/>
      <c r="G692" s="140"/>
      <c r="H692" s="133"/>
      <c r="I692" s="133"/>
      <c r="J692" s="140"/>
      <c r="K692" s="129"/>
      <c r="L692" s="129"/>
      <c r="M692" s="129"/>
      <c r="N692" s="129"/>
      <c r="O692" s="140"/>
      <c r="P692" s="140"/>
      <c r="Q692" s="133"/>
      <c r="R692" s="140"/>
      <c r="S692" s="133"/>
      <c r="T692" s="133"/>
    </row>
    <row r="693">
      <c r="A693" s="141"/>
      <c r="B693" s="142"/>
      <c r="C693" s="133"/>
      <c r="D693" s="133"/>
      <c r="E693" s="140"/>
      <c r="F693" s="140"/>
      <c r="G693" s="140"/>
      <c r="H693" s="133"/>
      <c r="I693" s="133"/>
      <c r="J693" s="140"/>
      <c r="K693" s="129"/>
      <c r="L693" s="129"/>
      <c r="M693" s="129"/>
      <c r="N693" s="129"/>
      <c r="O693" s="140"/>
      <c r="P693" s="140"/>
      <c r="Q693" s="133"/>
      <c r="R693" s="140"/>
      <c r="S693" s="133"/>
      <c r="T693" s="133"/>
    </row>
    <row r="694">
      <c r="A694" s="141"/>
      <c r="B694" s="142"/>
      <c r="C694" s="133"/>
      <c r="D694" s="133"/>
      <c r="E694" s="140"/>
      <c r="F694" s="140"/>
      <c r="G694" s="140"/>
      <c r="H694" s="133"/>
      <c r="I694" s="133"/>
      <c r="J694" s="140"/>
      <c r="K694" s="129"/>
      <c r="L694" s="129"/>
      <c r="M694" s="129"/>
      <c r="N694" s="129"/>
      <c r="O694" s="140"/>
      <c r="P694" s="140"/>
      <c r="Q694" s="133"/>
      <c r="R694" s="140"/>
      <c r="S694" s="133"/>
      <c r="T694" s="133"/>
    </row>
    <row r="695">
      <c r="A695" s="141"/>
      <c r="B695" s="142"/>
      <c r="C695" s="133"/>
      <c r="D695" s="133"/>
      <c r="E695" s="140"/>
      <c r="F695" s="140"/>
      <c r="G695" s="140"/>
      <c r="H695" s="133"/>
      <c r="I695" s="133"/>
      <c r="J695" s="140"/>
      <c r="K695" s="129"/>
      <c r="L695" s="129"/>
      <c r="M695" s="129"/>
      <c r="N695" s="129"/>
      <c r="O695" s="140"/>
      <c r="P695" s="140"/>
      <c r="Q695" s="133"/>
      <c r="R695" s="140"/>
      <c r="S695" s="133"/>
      <c r="T695" s="133"/>
    </row>
    <row r="696">
      <c r="A696" s="141"/>
      <c r="B696" s="142"/>
      <c r="C696" s="133"/>
      <c r="D696" s="133"/>
      <c r="E696" s="140"/>
      <c r="F696" s="140"/>
      <c r="G696" s="140"/>
      <c r="H696" s="133"/>
      <c r="I696" s="133"/>
      <c r="J696" s="140"/>
      <c r="K696" s="129"/>
      <c r="L696" s="129"/>
      <c r="M696" s="129"/>
      <c r="N696" s="129"/>
      <c r="O696" s="140"/>
      <c r="P696" s="140"/>
      <c r="Q696" s="133"/>
      <c r="R696" s="140"/>
      <c r="S696" s="133"/>
      <c r="T696" s="133"/>
    </row>
    <row r="697">
      <c r="A697" s="141"/>
      <c r="B697" s="142"/>
      <c r="C697" s="133"/>
      <c r="D697" s="133"/>
      <c r="E697" s="140"/>
      <c r="F697" s="140"/>
      <c r="G697" s="140"/>
      <c r="H697" s="133"/>
      <c r="I697" s="133"/>
      <c r="J697" s="140"/>
      <c r="K697" s="129"/>
      <c r="L697" s="129"/>
      <c r="M697" s="129"/>
      <c r="N697" s="129"/>
      <c r="O697" s="140"/>
      <c r="P697" s="140"/>
      <c r="Q697" s="133"/>
      <c r="R697" s="140"/>
      <c r="S697" s="133"/>
      <c r="T697" s="133"/>
    </row>
    <row r="698">
      <c r="A698" s="141"/>
      <c r="B698" s="142"/>
      <c r="C698" s="133"/>
      <c r="D698" s="133"/>
      <c r="E698" s="140"/>
      <c r="F698" s="140"/>
      <c r="G698" s="140"/>
      <c r="H698" s="133"/>
      <c r="I698" s="133"/>
      <c r="J698" s="140"/>
      <c r="K698" s="129"/>
      <c r="L698" s="129"/>
      <c r="M698" s="129"/>
      <c r="N698" s="129"/>
      <c r="O698" s="140"/>
      <c r="P698" s="140"/>
      <c r="Q698" s="133"/>
      <c r="R698" s="140"/>
      <c r="S698" s="133"/>
      <c r="T698" s="133"/>
    </row>
    <row r="699">
      <c r="A699" s="141"/>
      <c r="B699" s="142"/>
      <c r="C699" s="133"/>
      <c r="D699" s="133"/>
      <c r="E699" s="140"/>
      <c r="F699" s="140"/>
      <c r="G699" s="140"/>
      <c r="H699" s="133"/>
      <c r="I699" s="133"/>
      <c r="J699" s="140"/>
      <c r="K699" s="129"/>
      <c r="L699" s="129"/>
      <c r="M699" s="129"/>
      <c r="N699" s="129"/>
      <c r="O699" s="140"/>
      <c r="P699" s="140"/>
      <c r="Q699" s="133"/>
      <c r="R699" s="140"/>
      <c r="S699" s="133"/>
      <c r="T699" s="133"/>
    </row>
    <row r="700">
      <c r="A700" s="141"/>
      <c r="B700" s="142"/>
      <c r="C700" s="133"/>
      <c r="D700" s="133"/>
      <c r="E700" s="140"/>
      <c r="F700" s="140"/>
      <c r="G700" s="140"/>
      <c r="H700" s="133"/>
      <c r="I700" s="133"/>
      <c r="J700" s="140"/>
      <c r="K700" s="129"/>
      <c r="L700" s="129"/>
      <c r="M700" s="129"/>
      <c r="N700" s="129"/>
      <c r="O700" s="140"/>
      <c r="P700" s="140"/>
      <c r="Q700" s="133"/>
      <c r="R700" s="140"/>
      <c r="S700" s="133"/>
      <c r="T700" s="133"/>
    </row>
    <row r="701">
      <c r="A701" s="141"/>
      <c r="B701" s="142"/>
      <c r="C701" s="133"/>
      <c r="D701" s="133"/>
      <c r="E701" s="140"/>
      <c r="F701" s="140"/>
      <c r="G701" s="140"/>
      <c r="H701" s="133"/>
      <c r="I701" s="133"/>
      <c r="J701" s="140"/>
      <c r="K701" s="129"/>
      <c r="L701" s="129"/>
      <c r="M701" s="129"/>
      <c r="N701" s="129"/>
      <c r="O701" s="140"/>
      <c r="P701" s="140"/>
      <c r="Q701" s="133"/>
      <c r="R701" s="140"/>
      <c r="S701" s="133"/>
      <c r="T701" s="133"/>
    </row>
    <row r="702">
      <c r="A702" s="141"/>
      <c r="B702" s="142"/>
      <c r="C702" s="133"/>
      <c r="D702" s="133"/>
      <c r="E702" s="140"/>
      <c r="F702" s="140"/>
      <c r="G702" s="140"/>
      <c r="H702" s="133"/>
      <c r="I702" s="133"/>
      <c r="J702" s="140"/>
      <c r="K702" s="129"/>
      <c r="L702" s="129"/>
      <c r="M702" s="129"/>
      <c r="N702" s="129"/>
      <c r="O702" s="140"/>
      <c r="P702" s="140"/>
      <c r="Q702" s="133"/>
      <c r="R702" s="140"/>
      <c r="S702" s="133"/>
      <c r="T702" s="133"/>
    </row>
    <row r="703">
      <c r="A703" s="141"/>
      <c r="B703" s="142"/>
      <c r="C703" s="133"/>
      <c r="D703" s="133"/>
      <c r="E703" s="140"/>
      <c r="F703" s="140"/>
      <c r="G703" s="140"/>
      <c r="H703" s="133"/>
      <c r="I703" s="133"/>
      <c r="J703" s="140"/>
      <c r="K703" s="129"/>
      <c r="L703" s="129"/>
      <c r="M703" s="129"/>
      <c r="N703" s="129"/>
      <c r="O703" s="140"/>
      <c r="P703" s="140"/>
      <c r="Q703" s="133"/>
      <c r="R703" s="140"/>
      <c r="S703" s="133"/>
      <c r="T703" s="133"/>
    </row>
    <row r="704">
      <c r="A704" s="141"/>
      <c r="B704" s="142"/>
      <c r="C704" s="133"/>
      <c r="D704" s="133"/>
      <c r="E704" s="140"/>
      <c r="F704" s="140"/>
      <c r="G704" s="140"/>
      <c r="H704" s="133"/>
      <c r="I704" s="133"/>
      <c r="J704" s="140"/>
      <c r="K704" s="129"/>
      <c r="L704" s="129"/>
      <c r="M704" s="129"/>
      <c r="N704" s="129"/>
      <c r="O704" s="140"/>
      <c r="P704" s="140"/>
      <c r="Q704" s="133"/>
      <c r="R704" s="140"/>
      <c r="S704" s="133"/>
      <c r="T704" s="133"/>
    </row>
    <row r="705">
      <c r="A705" s="141"/>
      <c r="B705" s="142"/>
      <c r="C705" s="133"/>
      <c r="D705" s="133"/>
      <c r="E705" s="140"/>
      <c r="F705" s="140"/>
      <c r="G705" s="140"/>
      <c r="H705" s="133"/>
      <c r="I705" s="133"/>
      <c r="J705" s="140"/>
      <c r="K705" s="129"/>
      <c r="L705" s="129"/>
      <c r="M705" s="129"/>
      <c r="N705" s="129"/>
      <c r="O705" s="140"/>
      <c r="P705" s="140"/>
      <c r="Q705" s="133"/>
      <c r="R705" s="140"/>
      <c r="S705" s="133"/>
      <c r="T705" s="133"/>
    </row>
    <row r="706">
      <c r="A706" s="141"/>
      <c r="B706" s="142"/>
      <c r="C706" s="133"/>
      <c r="D706" s="133"/>
      <c r="E706" s="140"/>
      <c r="F706" s="140"/>
      <c r="G706" s="140"/>
      <c r="H706" s="133"/>
      <c r="I706" s="133"/>
      <c r="J706" s="140"/>
      <c r="K706" s="129"/>
      <c r="L706" s="129"/>
      <c r="M706" s="129"/>
      <c r="N706" s="129"/>
      <c r="O706" s="140"/>
      <c r="P706" s="140"/>
      <c r="Q706" s="133"/>
      <c r="R706" s="140"/>
      <c r="S706" s="133"/>
      <c r="T706" s="133"/>
    </row>
    <row r="707">
      <c r="A707" s="141"/>
      <c r="B707" s="142"/>
      <c r="C707" s="133"/>
      <c r="D707" s="133"/>
      <c r="E707" s="140"/>
      <c r="F707" s="140"/>
      <c r="G707" s="140"/>
      <c r="H707" s="133"/>
      <c r="I707" s="133"/>
      <c r="J707" s="140"/>
      <c r="K707" s="129"/>
      <c r="L707" s="129"/>
      <c r="M707" s="129"/>
      <c r="N707" s="129"/>
      <c r="O707" s="140"/>
      <c r="P707" s="140"/>
      <c r="Q707" s="133"/>
      <c r="R707" s="140"/>
      <c r="S707" s="133"/>
      <c r="T707" s="133"/>
    </row>
    <row r="708">
      <c r="A708" s="141"/>
      <c r="B708" s="142"/>
      <c r="C708" s="133"/>
      <c r="D708" s="133"/>
      <c r="E708" s="140"/>
      <c r="F708" s="140"/>
      <c r="G708" s="140"/>
      <c r="H708" s="133"/>
      <c r="I708" s="133"/>
      <c r="J708" s="140"/>
      <c r="K708" s="129"/>
      <c r="L708" s="129"/>
      <c r="M708" s="129"/>
      <c r="N708" s="129"/>
      <c r="O708" s="140"/>
      <c r="P708" s="140"/>
      <c r="Q708" s="133"/>
      <c r="R708" s="140"/>
      <c r="S708" s="133"/>
      <c r="T708" s="133"/>
    </row>
    <row r="709">
      <c r="A709" s="141"/>
      <c r="B709" s="142"/>
      <c r="C709" s="133"/>
      <c r="D709" s="133"/>
      <c r="E709" s="140"/>
      <c r="F709" s="140"/>
      <c r="G709" s="140"/>
      <c r="H709" s="133"/>
      <c r="I709" s="133"/>
      <c r="J709" s="140"/>
      <c r="K709" s="129"/>
      <c r="L709" s="129"/>
      <c r="M709" s="129"/>
      <c r="N709" s="129"/>
      <c r="O709" s="140"/>
      <c r="P709" s="140"/>
      <c r="Q709" s="133"/>
      <c r="R709" s="140"/>
      <c r="S709" s="133"/>
      <c r="T709" s="133"/>
    </row>
    <row r="710">
      <c r="A710" s="141"/>
      <c r="B710" s="142"/>
      <c r="C710" s="133"/>
      <c r="D710" s="133"/>
      <c r="E710" s="140"/>
      <c r="F710" s="140"/>
      <c r="G710" s="140"/>
      <c r="H710" s="133"/>
      <c r="I710" s="133"/>
      <c r="J710" s="140"/>
      <c r="K710" s="129"/>
      <c r="L710" s="129"/>
      <c r="M710" s="129"/>
      <c r="N710" s="129"/>
      <c r="O710" s="140"/>
      <c r="P710" s="140"/>
      <c r="Q710" s="133"/>
      <c r="R710" s="140"/>
      <c r="S710" s="133"/>
      <c r="T710" s="133"/>
    </row>
    <row r="711">
      <c r="A711" s="141"/>
      <c r="B711" s="142"/>
      <c r="C711" s="133"/>
      <c r="D711" s="133"/>
      <c r="E711" s="140"/>
      <c r="F711" s="140"/>
      <c r="G711" s="140"/>
      <c r="H711" s="133"/>
      <c r="I711" s="133"/>
      <c r="J711" s="140"/>
      <c r="K711" s="129"/>
      <c r="L711" s="129"/>
      <c r="M711" s="129"/>
      <c r="N711" s="129"/>
      <c r="O711" s="140"/>
      <c r="P711" s="140"/>
      <c r="Q711" s="133"/>
      <c r="R711" s="140"/>
      <c r="S711" s="133"/>
      <c r="T711" s="133"/>
    </row>
    <row r="712">
      <c r="A712" s="141"/>
      <c r="B712" s="142"/>
      <c r="C712" s="133"/>
      <c r="D712" s="133"/>
      <c r="E712" s="140"/>
      <c r="F712" s="140"/>
      <c r="G712" s="140"/>
      <c r="H712" s="133"/>
      <c r="I712" s="133"/>
      <c r="J712" s="140"/>
      <c r="K712" s="129"/>
      <c r="L712" s="129"/>
      <c r="M712" s="129"/>
      <c r="N712" s="129"/>
      <c r="O712" s="140"/>
      <c r="P712" s="140"/>
      <c r="Q712" s="133"/>
      <c r="R712" s="140"/>
      <c r="S712" s="133"/>
      <c r="T712" s="133"/>
    </row>
    <row r="713">
      <c r="A713" s="141"/>
      <c r="B713" s="142"/>
      <c r="C713" s="133"/>
      <c r="D713" s="133"/>
      <c r="E713" s="140"/>
      <c r="F713" s="140"/>
      <c r="G713" s="140"/>
      <c r="H713" s="133"/>
      <c r="I713" s="133"/>
      <c r="J713" s="140"/>
      <c r="K713" s="129"/>
      <c r="L713" s="129"/>
      <c r="M713" s="129"/>
      <c r="N713" s="129"/>
      <c r="O713" s="140"/>
      <c r="P713" s="140"/>
      <c r="Q713" s="133"/>
      <c r="R713" s="140"/>
      <c r="S713" s="133"/>
      <c r="T713" s="133"/>
    </row>
    <row r="714">
      <c r="A714" s="141"/>
      <c r="B714" s="142"/>
      <c r="C714" s="133"/>
      <c r="D714" s="133"/>
      <c r="E714" s="140"/>
      <c r="F714" s="140"/>
      <c r="G714" s="140"/>
      <c r="H714" s="133"/>
      <c r="I714" s="133"/>
      <c r="J714" s="140"/>
      <c r="K714" s="129"/>
      <c r="L714" s="129"/>
      <c r="M714" s="129"/>
      <c r="N714" s="129"/>
      <c r="O714" s="140"/>
      <c r="P714" s="140"/>
      <c r="Q714" s="133"/>
      <c r="R714" s="140"/>
      <c r="S714" s="133"/>
      <c r="T714" s="133"/>
    </row>
    <row r="715">
      <c r="A715" s="141"/>
      <c r="B715" s="142"/>
      <c r="C715" s="133"/>
      <c r="D715" s="133"/>
      <c r="E715" s="140"/>
      <c r="F715" s="140"/>
      <c r="G715" s="140"/>
      <c r="H715" s="133"/>
      <c r="I715" s="133"/>
      <c r="J715" s="140"/>
      <c r="K715" s="129"/>
      <c r="L715" s="129"/>
      <c r="M715" s="129"/>
      <c r="N715" s="129"/>
      <c r="O715" s="140"/>
      <c r="P715" s="140"/>
      <c r="Q715" s="133"/>
      <c r="R715" s="140"/>
      <c r="S715" s="133"/>
      <c r="T715" s="133"/>
    </row>
    <row r="716">
      <c r="A716" s="141"/>
      <c r="B716" s="142"/>
      <c r="C716" s="133"/>
      <c r="D716" s="133"/>
      <c r="E716" s="140"/>
      <c r="F716" s="140"/>
      <c r="G716" s="140"/>
      <c r="H716" s="133"/>
      <c r="I716" s="133"/>
      <c r="J716" s="140"/>
      <c r="K716" s="129"/>
      <c r="L716" s="129"/>
      <c r="M716" s="129"/>
      <c r="N716" s="129"/>
      <c r="O716" s="140"/>
      <c r="P716" s="140"/>
      <c r="Q716" s="133"/>
      <c r="R716" s="140"/>
      <c r="S716" s="133"/>
      <c r="T716" s="133"/>
    </row>
    <row r="717">
      <c r="A717" s="141"/>
      <c r="B717" s="142"/>
      <c r="C717" s="133"/>
      <c r="D717" s="133"/>
      <c r="E717" s="140"/>
      <c r="F717" s="140"/>
      <c r="G717" s="140"/>
      <c r="H717" s="133"/>
      <c r="I717" s="133"/>
      <c r="J717" s="140"/>
      <c r="K717" s="129"/>
      <c r="L717" s="129"/>
      <c r="M717" s="129"/>
      <c r="N717" s="129"/>
      <c r="O717" s="140"/>
      <c r="P717" s="140"/>
      <c r="Q717" s="133"/>
      <c r="R717" s="140"/>
      <c r="S717" s="133"/>
      <c r="T717" s="133"/>
    </row>
    <row r="718">
      <c r="A718" s="141"/>
      <c r="B718" s="142"/>
      <c r="C718" s="133"/>
      <c r="D718" s="133"/>
      <c r="E718" s="140"/>
      <c r="F718" s="140"/>
      <c r="G718" s="140"/>
      <c r="H718" s="133"/>
      <c r="I718" s="133"/>
      <c r="J718" s="140"/>
      <c r="K718" s="129"/>
      <c r="L718" s="129"/>
      <c r="M718" s="129"/>
      <c r="N718" s="129"/>
      <c r="O718" s="140"/>
      <c r="P718" s="140"/>
      <c r="Q718" s="133"/>
      <c r="R718" s="140"/>
      <c r="S718" s="133"/>
      <c r="T718" s="133"/>
    </row>
    <row r="719">
      <c r="A719" s="141"/>
      <c r="B719" s="142"/>
      <c r="C719" s="133"/>
      <c r="D719" s="133"/>
      <c r="E719" s="140"/>
      <c r="F719" s="140"/>
      <c r="G719" s="140"/>
      <c r="H719" s="133"/>
      <c r="I719" s="133"/>
      <c r="J719" s="140"/>
      <c r="K719" s="129"/>
      <c r="L719" s="129"/>
      <c r="M719" s="129"/>
      <c r="N719" s="129"/>
      <c r="O719" s="140"/>
      <c r="P719" s="140"/>
      <c r="Q719" s="133"/>
      <c r="R719" s="140"/>
      <c r="S719" s="133"/>
      <c r="T719" s="133"/>
    </row>
    <row r="720">
      <c r="A720" s="141"/>
      <c r="B720" s="142"/>
      <c r="C720" s="133"/>
      <c r="D720" s="133"/>
      <c r="E720" s="140"/>
      <c r="F720" s="140"/>
      <c r="G720" s="140"/>
      <c r="H720" s="133"/>
      <c r="I720" s="133"/>
      <c r="J720" s="140"/>
      <c r="K720" s="129"/>
      <c r="L720" s="129"/>
      <c r="M720" s="129"/>
      <c r="N720" s="129"/>
      <c r="O720" s="140"/>
      <c r="P720" s="140"/>
      <c r="Q720" s="133"/>
      <c r="R720" s="140"/>
      <c r="S720" s="133"/>
      <c r="T720" s="133"/>
    </row>
    <row r="721">
      <c r="A721" s="141"/>
      <c r="B721" s="142"/>
      <c r="C721" s="133"/>
      <c r="D721" s="133"/>
      <c r="E721" s="140"/>
      <c r="F721" s="140"/>
      <c r="G721" s="140"/>
      <c r="H721" s="133"/>
      <c r="I721" s="133"/>
      <c r="J721" s="140"/>
      <c r="K721" s="129"/>
      <c r="L721" s="129"/>
      <c r="M721" s="129"/>
      <c r="N721" s="129"/>
      <c r="O721" s="140"/>
      <c r="P721" s="140"/>
      <c r="Q721" s="133"/>
      <c r="R721" s="140"/>
      <c r="S721" s="133"/>
      <c r="T721" s="133"/>
    </row>
    <row r="722">
      <c r="A722" s="141"/>
      <c r="B722" s="142"/>
      <c r="C722" s="133"/>
      <c r="D722" s="133"/>
      <c r="E722" s="140"/>
      <c r="F722" s="140"/>
      <c r="G722" s="140"/>
      <c r="H722" s="133"/>
      <c r="I722" s="133"/>
      <c r="J722" s="140"/>
      <c r="K722" s="129"/>
      <c r="L722" s="129"/>
      <c r="M722" s="129"/>
      <c r="N722" s="129"/>
      <c r="O722" s="140"/>
      <c r="P722" s="140"/>
      <c r="Q722" s="133"/>
      <c r="R722" s="140"/>
      <c r="S722" s="133"/>
      <c r="T722" s="133"/>
    </row>
    <row r="723">
      <c r="A723" s="141"/>
      <c r="B723" s="142"/>
      <c r="C723" s="133"/>
      <c r="D723" s="133"/>
      <c r="E723" s="140"/>
      <c r="F723" s="140"/>
      <c r="G723" s="140"/>
      <c r="H723" s="133"/>
      <c r="I723" s="133"/>
      <c r="J723" s="140"/>
      <c r="K723" s="129"/>
      <c r="L723" s="129"/>
      <c r="M723" s="129"/>
      <c r="N723" s="129"/>
      <c r="O723" s="140"/>
      <c r="P723" s="140"/>
      <c r="Q723" s="133"/>
      <c r="R723" s="140"/>
      <c r="S723" s="133"/>
      <c r="T723" s="133"/>
    </row>
    <row r="724">
      <c r="A724" s="141"/>
      <c r="B724" s="142"/>
      <c r="C724" s="133"/>
      <c r="D724" s="133"/>
      <c r="E724" s="140"/>
      <c r="F724" s="140"/>
      <c r="G724" s="140"/>
      <c r="H724" s="133"/>
      <c r="I724" s="133"/>
      <c r="J724" s="140"/>
      <c r="K724" s="129"/>
      <c r="L724" s="129"/>
      <c r="M724" s="129"/>
      <c r="N724" s="129"/>
      <c r="O724" s="140"/>
      <c r="P724" s="140"/>
      <c r="Q724" s="133"/>
      <c r="R724" s="140"/>
      <c r="S724" s="133"/>
      <c r="T724" s="133"/>
    </row>
    <row r="725">
      <c r="A725" s="141"/>
      <c r="B725" s="142"/>
      <c r="C725" s="133"/>
      <c r="D725" s="133"/>
      <c r="E725" s="140"/>
      <c r="F725" s="140"/>
      <c r="G725" s="140"/>
      <c r="H725" s="133"/>
      <c r="I725" s="133"/>
      <c r="J725" s="140"/>
      <c r="K725" s="129"/>
      <c r="L725" s="129"/>
      <c r="M725" s="129"/>
      <c r="N725" s="129"/>
      <c r="O725" s="140"/>
      <c r="P725" s="140"/>
      <c r="Q725" s="133"/>
      <c r="R725" s="140"/>
      <c r="S725" s="133"/>
      <c r="T725" s="133"/>
    </row>
    <row r="726">
      <c r="A726" s="141"/>
      <c r="B726" s="142"/>
      <c r="C726" s="133"/>
      <c r="D726" s="133"/>
      <c r="E726" s="140"/>
      <c r="F726" s="140"/>
      <c r="G726" s="140"/>
      <c r="H726" s="133"/>
      <c r="I726" s="133"/>
      <c r="J726" s="140"/>
      <c r="K726" s="129"/>
      <c r="L726" s="129"/>
      <c r="M726" s="129"/>
      <c r="N726" s="129"/>
      <c r="O726" s="140"/>
      <c r="P726" s="140"/>
      <c r="Q726" s="133"/>
      <c r="R726" s="140"/>
      <c r="S726" s="133"/>
      <c r="T726" s="133"/>
    </row>
    <row r="727">
      <c r="A727" s="141"/>
      <c r="B727" s="142"/>
      <c r="C727" s="133"/>
      <c r="D727" s="133"/>
      <c r="E727" s="140"/>
      <c r="F727" s="140"/>
      <c r="G727" s="140"/>
      <c r="H727" s="133"/>
      <c r="I727" s="133"/>
      <c r="J727" s="140"/>
      <c r="K727" s="129"/>
      <c r="L727" s="129"/>
      <c r="M727" s="129"/>
      <c r="N727" s="129"/>
      <c r="O727" s="140"/>
      <c r="P727" s="140"/>
      <c r="Q727" s="133"/>
      <c r="R727" s="140"/>
      <c r="S727" s="133"/>
      <c r="T727" s="133"/>
    </row>
    <row r="728">
      <c r="A728" s="141"/>
      <c r="B728" s="142"/>
      <c r="C728" s="133"/>
      <c r="D728" s="133"/>
      <c r="E728" s="140"/>
      <c r="F728" s="140"/>
      <c r="G728" s="140"/>
      <c r="H728" s="133"/>
      <c r="I728" s="133"/>
      <c r="J728" s="140"/>
      <c r="K728" s="129"/>
      <c r="L728" s="129"/>
      <c r="M728" s="129"/>
      <c r="N728" s="129"/>
      <c r="O728" s="140"/>
      <c r="P728" s="140"/>
      <c r="Q728" s="133"/>
      <c r="R728" s="140"/>
      <c r="S728" s="133"/>
      <c r="T728" s="133"/>
    </row>
    <row r="729">
      <c r="A729" s="141"/>
      <c r="B729" s="142"/>
      <c r="C729" s="133"/>
      <c r="D729" s="133"/>
      <c r="E729" s="140"/>
      <c r="F729" s="140"/>
      <c r="G729" s="140"/>
      <c r="H729" s="133"/>
      <c r="I729" s="133"/>
      <c r="J729" s="140"/>
      <c r="K729" s="129"/>
      <c r="L729" s="129"/>
      <c r="M729" s="129"/>
      <c r="N729" s="129"/>
      <c r="O729" s="140"/>
      <c r="P729" s="140"/>
      <c r="Q729" s="133"/>
      <c r="R729" s="140"/>
      <c r="S729" s="133"/>
      <c r="T729" s="133"/>
    </row>
    <row r="730">
      <c r="A730" s="141"/>
      <c r="B730" s="142"/>
      <c r="C730" s="133"/>
      <c r="D730" s="133"/>
      <c r="E730" s="140"/>
      <c r="F730" s="140"/>
      <c r="G730" s="140"/>
      <c r="H730" s="133"/>
      <c r="I730" s="133"/>
      <c r="J730" s="140"/>
      <c r="K730" s="129"/>
      <c r="L730" s="129"/>
      <c r="M730" s="129"/>
      <c r="N730" s="129"/>
      <c r="O730" s="140"/>
      <c r="P730" s="140"/>
      <c r="Q730" s="133"/>
      <c r="R730" s="140"/>
      <c r="S730" s="133"/>
      <c r="T730" s="133"/>
    </row>
    <row r="731">
      <c r="A731" s="141"/>
      <c r="B731" s="142"/>
      <c r="C731" s="133"/>
      <c r="D731" s="133"/>
      <c r="E731" s="140"/>
      <c r="F731" s="140"/>
      <c r="G731" s="140"/>
      <c r="H731" s="133"/>
      <c r="I731" s="133"/>
      <c r="J731" s="140"/>
      <c r="K731" s="129"/>
      <c r="L731" s="129"/>
      <c r="M731" s="129"/>
      <c r="N731" s="129"/>
      <c r="O731" s="140"/>
      <c r="P731" s="140"/>
      <c r="Q731" s="133"/>
      <c r="R731" s="140"/>
      <c r="S731" s="133"/>
      <c r="T731" s="133"/>
    </row>
    <row r="732">
      <c r="A732" s="141"/>
      <c r="B732" s="142"/>
      <c r="C732" s="133"/>
      <c r="D732" s="133"/>
      <c r="E732" s="140"/>
      <c r="F732" s="140"/>
      <c r="G732" s="140"/>
      <c r="H732" s="133"/>
      <c r="I732" s="133"/>
      <c r="J732" s="140"/>
      <c r="K732" s="129"/>
      <c r="L732" s="129"/>
      <c r="M732" s="129"/>
      <c r="N732" s="129"/>
      <c r="O732" s="140"/>
      <c r="P732" s="140"/>
      <c r="Q732" s="133"/>
      <c r="R732" s="140"/>
      <c r="S732" s="133"/>
      <c r="T732" s="133"/>
    </row>
    <row r="733">
      <c r="A733" s="141"/>
      <c r="B733" s="142"/>
      <c r="C733" s="133"/>
      <c r="D733" s="133"/>
      <c r="E733" s="140"/>
      <c r="F733" s="140"/>
      <c r="G733" s="140"/>
      <c r="H733" s="133"/>
      <c r="I733" s="133"/>
      <c r="J733" s="140"/>
      <c r="K733" s="129"/>
      <c r="L733" s="129"/>
      <c r="M733" s="129"/>
      <c r="N733" s="129"/>
      <c r="O733" s="140"/>
      <c r="P733" s="140"/>
      <c r="Q733" s="133"/>
      <c r="R733" s="140"/>
      <c r="S733" s="133"/>
      <c r="T733" s="133"/>
    </row>
    <row r="734">
      <c r="A734" s="141"/>
      <c r="B734" s="142"/>
      <c r="C734" s="133"/>
      <c r="D734" s="133"/>
      <c r="E734" s="140"/>
      <c r="F734" s="140"/>
      <c r="G734" s="140"/>
      <c r="H734" s="133"/>
      <c r="I734" s="133"/>
      <c r="J734" s="140"/>
      <c r="K734" s="129"/>
      <c r="L734" s="129"/>
      <c r="M734" s="129"/>
      <c r="N734" s="129"/>
      <c r="O734" s="140"/>
      <c r="P734" s="140"/>
      <c r="Q734" s="133"/>
      <c r="R734" s="140"/>
      <c r="S734" s="133"/>
      <c r="T734" s="133"/>
    </row>
    <row r="735">
      <c r="A735" s="141"/>
      <c r="B735" s="142"/>
      <c r="C735" s="133"/>
      <c r="D735" s="133"/>
      <c r="E735" s="140"/>
      <c r="F735" s="140"/>
      <c r="G735" s="140"/>
      <c r="H735" s="133"/>
      <c r="I735" s="133"/>
      <c r="J735" s="140"/>
      <c r="K735" s="129"/>
      <c r="L735" s="129"/>
      <c r="M735" s="129"/>
      <c r="N735" s="129"/>
      <c r="O735" s="140"/>
      <c r="P735" s="140"/>
      <c r="Q735" s="133"/>
      <c r="R735" s="140"/>
      <c r="S735" s="133"/>
      <c r="T735" s="133"/>
    </row>
    <row r="736">
      <c r="A736" s="141"/>
      <c r="B736" s="142"/>
      <c r="C736" s="133"/>
      <c r="D736" s="133"/>
      <c r="E736" s="140"/>
      <c r="F736" s="140"/>
      <c r="G736" s="140"/>
      <c r="H736" s="133"/>
      <c r="I736" s="133"/>
      <c r="J736" s="140"/>
      <c r="K736" s="129"/>
      <c r="L736" s="129"/>
      <c r="M736" s="129"/>
      <c r="N736" s="129"/>
      <c r="O736" s="140"/>
      <c r="P736" s="140"/>
      <c r="Q736" s="133"/>
      <c r="R736" s="140"/>
      <c r="S736" s="133"/>
      <c r="T736" s="133"/>
    </row>
    <row r="737">
      <c r="A737" s="141"/>
      <c r="B737" s="142"/>
      <c r="C737" s="133"/>
      <c r="D737" s="133"/>
      <c r="E737" s="140"/>
      <c r="F737" s="140"/>
      <c r="G737" s="140"/>
      <c r="H737" s="133"/>
      <c r="I737" s="133"/>
      <c r="J737" s="140"/>
      <c r="K737" s="129"/>
      <c r="L737" s="129"/>
      <c r="M737" s="129"/>
      <c r="N737" s="129"/>
      <c r="O737" s="140"/>
      <c r="P737" s="140"/>
      <c r="Q737" s="133"/>
      <c r="R737" s="140"/>
      <c r="S737" s="133"/>
      <c r="T737" s="133"/>
    </row>
    <row r="738">
      <c r="A738" s="141"/>
      <c r="B738" s="142"/>
      <c r="C738" s="133"/>
      <c r="D738" s="133"/>
      <c r="E738" s="140"/>
      <c r="F738" s="140"/>
      <c r="G738" s="140"/>
      <c r="H738" s="133"/>
      <c r="I738" s="133"/>
      <c r="J738" s="140"/>
      <c r="K738" s="129"/>
      <c r="L738" s="129"/>
      <c r="M738" s="129"/>
      <c r="N738" s="129"/>
      <c r="O738" s="140"/>
      <c r="P738" s="140"/>
      <c r="Q738" s="133"/>
      <c r="R738" s="140"/>
      <c r="S738" s="133"/>
      <c r="T738" s="133"/>
    </row>
    <row r="739">
      <c r="A739" s="141"/>
      <c r="B739" s="142"/>
      <c r="C739" s="133"/>
      <c r="D739" s="133"/>
      <c r="E739" s="140"/>
      <c r="F739" s="140"/>
      <c r="G739" s="140"/>
      <c r="H739" s="133"/>
      <c r="I739" s="133"/>
      <c r="J739" s="140"/>
      <c r="K739" s="129"/>
      <c r="L739" s="129"/>
      <c r="M739" s="129"/>
      <c r="N739" s="129"/>
      <c r="O739" s="140"/>
      <c r="P739" s="140"/>
      <c r="Q739" s="133"/>
      <c r="R739" s="140"/>
      <c r="S739" s="133"/>
      <c r="T739" s="133"/>
    </row>
    <row r="740">
      <c r="A740" s="141"/>
      <c r="B740" s="142"/>
      <c r="C740" s="133"/>
      <c r="D740" s="133"/>
      <c r="E740" s="140"/>
      <c r="F740" s="140"/>
      <c r="G740" s="140"/>
      <c r="H740" s="133"/>
      <c r="I740" s="133"/>
      <c r="J740" s="140"/>
      <c r="K740" s="129"/>
      <c r="L740" s="129"/>
      <c r="M740" s="129"/>
      <c r="N740" s="129"/>
      <c r="O740" s="140"/>
      <c r="P740" s="140"/>
      <c r="Q740" s="133"/>
      <c r="R740" s="140"/>
      <c r="S740" s="133"/>
      <c r="T740" s="133"/>
    </row>
    <row r="741">
      <c r="A741" s="141"/>
      <c r="B741" s="142"/>
      <c r="C741" s="133"/>
      <c r="D741" s="133"/>
      <c r="E741" s="140"/>
      <c r="F741" s="140"/>
      <c r="G741" s="140"/>
      <c r="H741" s="133"/>
      <c r="I741" s="133"/>
      <c r="J741" s="140"/>
      <c r="K741" s="129"/>
      <c r="L741" s="129"/>
      <c r="M741" s="129"/>
      <c r="N741" s="129"/>
      <c r="O741" s="140"/>
      <c r="P741" s="140"/>
      <c r="Q741" s="133"/>
      <c r="R741" s="140"/>
      <c r="S741" s="133"/>
      <c r="T741" s="133"/>
    </row>
    <row r="742">
      <c r="A742" s="141"/>
      <c r="B742" s="142"/>
      <c r="C742" s="133"/>
      <c r="D742" s="133"/>
      <c r="E742" s="140"/>
      <c r="F742" s="140"/>
      <c r="G742" s="140"/>
      <c r="H742" s="133"/>
      <c r="I742" s="133"/>
      <c r="J742" s="140"/>
      <c r="K742" s="129"/>
      <c r="L742" s="129"/>
      <c r="M742" s="129"/>
      <c r="N742" s="129"/>
      <c r="O742" s="140"/>
      <c r="P742" s="140"/>
      <c r="Q742" s="133"/>
      <c r="R742" s="140"/>
      <c r="S742" s="133"/>
      <c r="T742" s="133"/>
    </row>
    <row r="743">
      <c r="A743" s="141"/>
      <c r="B743" s="142"/>
      <c r="C743" s="133"/>
      <c r="D743" s="133"/>
      <c r="E743" s="140"/>
      <c r="F743" s="140"/>
      <c r="G743" s="140"/>
      <c r="H743" s="133"/>
      <c r="I743" s="133"/>
      <c r="J743" s="140"/>
      <c r="K743" s="129"/>
      <c r="L743" s="129"/>
      <c r="M743" s="129"/>
      <c r="N743" s="129"/>
      <c r="O743" s="140"/>
      <c r="P743" s="140"/>
      <c r="Q743" s="133"/>
      <c r="R743" s="140"/>
      <c r="S743" s="133"/>
      <c r="T743" s="133"/>
    </row>
    <row r="744">
      <c r="A744" s="141"/>
      <c r="B744" s="142"/>
      <c r="C744" s="133"/>
      <c r="D744" s="133"/>
      <c r="E744" s="140"/>
      <c r="F744" s="140"/>
      <c r="G744" s="140"/>
      <c r="H744" s="133"/>
      <c r="I744" s="133"/>
      <c r="J744" s="140"/>
      <c r="K744" s="129"/>
      <c r="L744" s="129"/>
      <c r="M744" s="129"/>
      <c r="N744" s="129"/>
      <c r="O744" s="140"/>
      <c r="P744" s="140"/>
      <c r="Q744" s="133"/>
      <c r="R744" s="140"/>
      <c r="S744" s="133"/>
      <c r="T744" s="133"/>
    </row>
    <row r="745">
      <c r="A745" s="141"/>
      <c r="B745" s="142"/>
      <c r="C745" s="133"/>
      <c r="D745" s="133"/>
      <c r="E745" s="140"/>
      <c r="F745" s="140"/>
      <c r="G745" s="140"/>
      <c r="H745" s="133"/>
      <c r="I745" s="133"/>
      <c r="J745" s="140"/>
      <c r="K745" s="129"/>
      <c r="L745" s="129"/>
      <c r="M745" s="129"/>
      <c r="N745" s="129"/>
      <c r="O745" s="140"/>
      <c r="P745" s="140"/>
      <c r="Q745" s="133"/>
      <c r="R745" s="140"/>
      <c r="S745" s="133"/>
      <c r="T745" s="133"/>
    </row>
    <row r="746">
      <c r="A746" s="141"/>
      <c r="B746" s="142"/>
      <c r="C746" s="133"/>
      <c r="D746" s="133"/>
      <c r="E746" s="140"/>
      <c r="F746" s="140"/>
      <c r="G746" s="140"/>
      <c r="H746" s="133"/>
      <c r="I746" s="133"/>
      <c r="J746" s="140"/>
      <c r="K746" s="129"/>
      <c r="L746" s="129"/>
      <c r="M746" s="129"/>
      <c r="N746" s="129"/>
      <c r="O746" s="140"/>
      <c r="P746" s="140"/>
      <c r="Q746" s="133"/>
      <c r="R746" s="140"/>
      <c r="S746" s="133"/>
      <c r="T746" s="133"/>
    </row>
    <row r="747">
      <c r="A747" s="141"/>
      <c r="B747" s="142"/>
      <c r="C747" s="133"/>
      <c r="D747" s="133"/>
      <c r="E747" s="140"/>
      <c r="F747" s="140"/>
      <c r="G747" s="140"/>
      <c r="H747" s="133"/>
      <c r="I747" s="133"/>
      <c r="J747" s="140"/>
      <c r="K747" s="129"/>
      <c r="L747" s="129"/>
      <c r="M747" s="129"/>
      <c r="N747" s="129"/>
      <c r="O747" s="140"/>
      <c r="P747" s="140"/>
      <c r="Q747" s="133"/>
      <c r="R747" s="140"/>
      <c r="S747" s="133"/>
      <c r="T747" s="133"/>
    </row>
    <row r="748">
      <c r="A748" s="141"/>
      <c r="B748" s="142"/>
      <c r="C748" s="133"/>
      <c r="D748" s="133"/>
      <c r="E748" s="140"/>
      <c r="F748" s="140"/>
      <c r="G748" s="140"/>
      <c r="H748" s="133"/>
      <c r="I748" s="133"/>
      <c r="J748" s="140"/>
      <c r="K748" s="129"/>
      <c r="L748" s="129"/>
      <c r="M748" s="129"/>
      <c r="N748" s="129"/>
      <c r="O748" s="140"/>
      <c r="P748" s="140"/>
      <c r="Q748" s="133"/>
      <c r="R748" s="140"/>
      <c r="S748" s="133"/>
      <c r="T748" s="133"/>
    </row>
    <row r="749">
      <c r="A749" s="141"/>
      <c r="B749" s="142"/>
      <c r="C749" s="133"/>
      <c r="D749" s="133"/>
      <c r="E749" s="140"/>
      <c r="F749" s="140"/>
      <c r="G749" s="140"/>
      <c r="H749" s="133"/>
      <c r="I749" s="133"/>
      <c r="J749" s="140"/>
      <c r="K749" s="129"/>
      <c r="L749" s="129"/>
      <c r="M749" s="129"/>
      <c r="N749" s="129"/>
      <c r="O749" s="140"/>
      <c r="P749" s="140"/>
      <c r="Q749" s="133"/>
      <c r="R749" s="140"/>
      <c r="S749" s="133"/>
      <c r="T749" s="133"/>
    </row>
    <row r="750">
      <c r="A750" s="141"/>
      <c r="B750" s="142"/>
      <c r="C750" s="133"/>
      <c r="D750" s="133"/>
      <c r="E750" s="140"/>
      <c r="F750" s="140"/>
      <c r="G750" s="140"/>
      <c r="H750" s="133"/>
      <c r="I750" s="133"/>
      <c r="J750" s="140"/>
      <c r="K750" s="129"/>
      <c r="L750" s="129"/>
      <c r="M750" s="129"/>
      <c r="N750" s="129"/>
      <c r="O750" s="140"/>
      <c r="P750" s="140"/>
      <c r="Q750" s="133"/>
      <c r="R750" s="140"/>
      <c r="S750" s="133"/>
      <c r="T750" s="133"/>
    </row>
    <row r="751">
      <c r="A751" s="141"/>
      <c r="B751" s="142"/>
      <c r="C751" s="133"/>
      <c r="D751" s="133"/>
      <c r="E751" s="140"/>
      <c r="F751" s="140"/>
      <c r="G751" s="140"/>
      <c r="H751" s="133"/>
      <c r="I751" s="133"/>
      <c r="J751" s="140"/>
      <c r="K751" s="129"/>
      <c r="L751" s="129"/>
      <c r="M751" s="129"/>
      <c r="N751" s="129"/>
      <c r="O751" s="140"/>
      <c r="P751" s="140"/>
      <c r="Q751" s="133"/>
      <c r="R751" s="140"/>
      <c r="S751" s="133"/>
      <c r="T751" s="133"/>
    </row>
    <row r="752">
      <c r="A752" s="141"/>
      <c r="B752" s="142"/>
      <c r="C752" s="133"/>
      <c r="D752" s="133"/>
      <c r="E752" s="140"/>
      <c r="F752" s="140"/>
      <c r="G752" s="140"/>
      <c r="H752" s="133"/>
      <c r="I752" s="133"/>
      <c r="J752" s="140"/>
      <c r="K752" s="129"/>
      <c r="L752" s="129"/>
      <c r="M752" s="129"/>
      <c r="N752" s="129"/>
      <c r="O752" s="140"/>
      <c r="P752" s="140"/>
      <c r="Q752" s="133"/>
      <c r="R752" s="140"/>
      <c r="S752" s="133"/>
      <c r="T752" s="133"/>
    </row>
    <row r="753">
      <c r="A753" s="141"/>
      <c r="B753" s="142"/>
      <c r="C753" s="133"/>
      <c r="D753" s="133"/>
      <c r="E753" s="140"/>
      <c r="F753" s="140"/>
      <c r="G753" s="140"/>
      <c r="H753" s="133"/>
      <c r="I753" s="133"/>
      <c r="J753" s="140"/>
      <c r="K753" s="129"/>
      <c r="L753" s="129"/>
      <c r="M753" s="129"/>
      <c r="N753" s="129"/>
      <c r="O753" s="140"/>
      <c r="P753" s="140"/>
      <c r="Q753" s="133"/>
      <c r="R753" s="140"/>
      <c r="S753" s="133"/>
      <c r="T753" s="133"/>
    </row>
    <row r="754">
      <c r="A754" s="141"/>
      <c r="B754" s="142"/>
      <c r="C754" s="133"/>
      <c r="D754" s="133"/>
      <c r="E754" s="140"/>
      <c r="F754" s="140"/>
      <c r="G754" s="140"/>
      <c r="H754" s="133"/>
      <c r="I754" s="133"/>
      <c r="J754" s="140"/>
      <c r="K754" s="129"/>
      <c r="L754" s="129"/>
      <c r="M754" s="129"/>
      <c r="N754" s="129"/>
      <c r="O754" s="140"/>
      <c r="P754" s="140"/>
      <c r="Q754" s="133"/>
      <c r="R754" s="140"/>
      <c r="S754" s="133"/>
      <c r="T754" s="133"/>
    </row>
    <row r="755">
      <c r="A755" s="141"/>
      <c r="B755" s="142"/>
      <c r="C755" s="133"/>
      <c r="D755" s="133"/>
      <c r="E755" s="140"/>
      <c r="F755" s="140"/>
      <c r="G755" s="140"/>
      <c r="H755" s="133"/>
      <c r="I755" s="133"/>
      <c r="J755" s="140"/>
      <c r="K755" s="129"/>
      <c r="L755" s="129"/>
      <c r="M755" s="129"/>
      <c r="N755" s="129"/>
      <c r="O755" s="140"/>
      <c r="P755" s="140"/>
      <c r="Q755" s="133"/>
      <c r="R755" s="140"/>
      <c r="S755" s="133"/>
      <c r="T755" s="133"/>
    </row>
    <row r="756">
      <c r="A756" s="141"/>
      <c r="B756" s="142"/>
      <c r="C756" s="133"/>
      <c r="D756" s="133"/>
      <c r="E756" s="140"/>
      <c r="F756" s="140"/>
      <c r="G756" s="140"/>
      <c r="H756" s="133"/>
      <c r="I756" s="133"/>
      <c r="J756" s="140"/>
      <c r="K756" s="129"/>
      <c r="L756" s="129"/>
      <c r="M756" s="129"/>
      <c r="N756" s="129"/>
      <c r="O756" s="140"/>
      <c r="P756" s="140"/>
      <c r="Q756" s="133"/>
      <c r="R756" s="140"/>
      <c r="S756" s="133"/>
      <c r="T756" s="133"/>
    </row>
    <row r="757">
      <c r="A757" s="141"/>
      <c r="B757" s="142"/>
      <c r="C757" s="133"/>
      <c r="D757" s="133"/>
      <c r="E757" s="140"/>
      <c r="F757" s="140"/>
      <c r="G757" s="140"/>
      <c r="H757" s="133"/>
      <c r="I757" s="133"/>
      <c r="J757" s="140"/>
      <c r="K757" s="129"/>
      <c r="L757" s="129"/>
      <c r="M757" s="129"/>
      <c r="N757" s="129"/>
      <c r="O757" s="140"/>
      <c r="P757" s="140"/>
      <c r="Q757" s="133"/>
      <c r="R757" s="140"/>
      <c r="S757" s="133"/>
      <c r="T757" s="133"/>
    </row>
    <row r="758">
      <c r="A758" s="141"/>
      <c r="B758" s="142"/>
      <c r="C758" s="133"/>
      <c r="D758" s="133"/>
      <c r="E758" s="140"/>
      <c r="F758" s="140"/>
      <c r="G758" s="140"/>
      <c r="H758" s="133"/>
      <c r="I758" s="133"/>
      <c r="J758" s="140"/>
      <c r="K758" s="129"/>
      <c r="L758" s="129"/>
      <c r="M758" s="129"/>
      <c r="N758" s="129"/>
      <c r="O758" s="140"/>
      <c r="P758" s="140"/>
      <c r="Q758" s="133"/>
      <c r="R758" s="140"/>
      <c r="S758" s="133"/>
      <c r="T758" s="133"/>
    </row>
    <row r="759">
      <c r="A759" s="141"/>
      <c r="B759" s="142"/>
      <c r="C759" s="133"/>
      <c r="D759" s="133"/>
      <c r="E759" s="140"/>
      <c r="F759" s="140"/>
      <c r="G759" s="140"/>
      <c r="H759" s="133"/>
      <c r="I759" s="133"/>
      <c r="J759" s="140"/>
      <c r="K759" s="129"/>
      <c r="L759" s="129"/>
      <c r="M759" s="129"/>
      <c r="N759" s="129"/>
      <c r="O759" s="140"/>
      <c r="P759" s="140"/>
      <c r="Q759" s="133"/>
      <c r="R759" s="140"/>
      <c r="S759" s="133"/>
      <c r="T759" s="133"/>
    </row>
    <row r="760">
      <c r="A760" s="141"/>
      <c r="B760" s="142"/>
      <c r="C760" s="133"/>
      <c r="D760" s="133"/>
      <c r="E760" s="140"/>
      <c r="F760" s="140"/>
      <c r="G760" s="140"/>
      <c r="H760" s="133"/>
      <c r="I760" s="133"/>
      <c r="J760" s="140"/>
      <c r="K760" s="129"/>
      <c r="L760" s="129"/>
      <c r="M760" s="129"/>
      <c r="N760" s="129"/>
      <c r="O760" s="140"/>
      <c r="P760" s="140"/>
      <c r="Q760" s="133"/>
      <c r="R760" s="140"/>
      <c r="S760" s="133"/>
      <c r="T760" s="133"/>
    </row>
    <row r="761">
      <c r="A761" s="141"/>
      <c r="B761" s="142"/>
      <c r="C761" s="133"/>
      <c r="D761" s="133"/>
      <c r="E761" s="140"/>
      <c r="F761" s="140"/>
      <c r="G761" s="140"/>
      <c r="H761" s="133"/>
      <c r="I761" s="133"/>
      <c r="J761" s="140"/>
      <c r="K761" s="129"/>
      <c r="L761" s="129"/>
      <c r="M761" s="129"/>
      <c r="N761" s="129"/>
      <c r="O761" s="140"/>
      <c r="P761" s="140"/>
      <c r="Q761" s="133"/>
      <c r="R761" s="140"/>
      <c r="S761" s="133"/>
      <c r="T761" s="133"/>
    </row>
    <row r="762">
      <c r="A762" s="141"/>
      <c r="B762" s="142"/>
      <c r="C762" s="133"/>
      <c r="D762" s="133"/>
      <c r="E762" s="140"/>
      <c r="F762" s="140"/>
      <c r="G762" s="140"/>
      <c r="H762" s="133"/>
      <c r="I762" s="133"/>
      <c r="J762" s="140"/>
      <c r="K762" s="129"/>
      <c r="L762" s="129"/>
      <c r="M762" s="129"/>
      <c r="N762" s="129"/>
      <c r="O762" s="140"/>
      <c r="P762" s="140"/>
      <c r="Q762" s="133"/>
      <c r="R762" s="140"/>
      <c r="S762" s="133"/>
      <c r="T762" s="133"/>
    </row>
    <row r="763">
      <c r="A763" s="141"/>
      <c r="B763" s="142"/>
      <c r="C763" s="133"/>
      <c r="D763" s="133"/>
      <c r="E763" s="140"/>
      <c r="F763" s="140"/>
      <c r="G763" s="140"/>
      <c r="H763" s="133"/>
      <c r="I763" s="133"/>
      <c r="J763" s="140"/>
      <c r="K763" s="129"/>
      <c r="L763" s="129"/>
      <c r="M763" s="129"/>
      <c r="N763" s="129"/>
      <c r="O763" s="140"/>
      <c r="P763" s="140"/>
      <c r="Q763" s="133"/>
      <c r="R763" s="140"/>
      <c r="S763" s="133"/>
      <c r="T763" s="133"/>
    </row>
    <row r="764">
      <c r="A764" s="141"/>
      <c r="B764" s="142"/>
      <c r="C764" s="133"/>
      <c r="D764" s="133"/>
      <c r="E764" s="140"/>
      <c r="F764" s="140"/>
      <c r="G764" s="140"/>
      <c r="H764" s="133"/>
      <c r="I764" s="133"/>
      <c r="J764" s="140"/>
      <c r="K764" s="129"/>
      <c r="L764" s="129"/>
      <c r="M764" s="129"/>
      <c r="N764" s="129"/>
      <c r="O764" s="140"/>
      <c r="P764" s="140"/>
      <c r="Q764" s="133"/>
      <c r="R764" s="140"/>
      <c r="S764" s="133"/>
      <c r="T764" s="133"/>
    </row>
    <row r="765">
      <c r="A765" s="141"/>
      <c r="B765" s="142"/>
      <c r="C765" s="133"/>
      <c r="D765" s="133"/>
      <c r="E765" s="140"/>
      <c r="F765" s="140"/>
      <c r="G765" s="140"/>
      <c r="H765" s="133"/>
      <c r="I765" s="133"/>
      <c r="J765" s="140"/>
      <c r="K765" s="129"/>
      <c r="L765" s="129"/>
      <c r="M765" s="129"/>
      <c r="N765" s="129"/>
      <c r="O765" s="140"/>
      <c r="P765" s="140"/>
      <c r="Q765" s="133"/>
      <c r="R765" s="140"/>
      <c r="S765" s="133"/>
      <c r="T765" s="133"/>
    </row>
    <row r="766">
      <c r="A766" s="141"/>
      <c r="B766" s="142"/>
      <c r="C766" s="133"/>
      <c r="D766" s="133"/>
      <c r="E766" s="140"/>
      <c r="F766" s="140"/>
      <c r="G766" s="140"/>
      <c r="H766" s="133"/>
      <c r="I766" s="133"/>
      <c r="J766" s="140"/>
      <c r="K766" s="129"/>
      <c r="L766" s="129"/>
      <c r="M766" s="129"/>
      <c r="N766" s="129"/>
      <c r="O766" s="140"/>
      <c r="P766" s="140"/>
      <c r="Q766" s="133"/>
      <c r="R766" s="140"/>
      <c r="S766" s="133"/>
      <c r="T766" s="133"/>
    </row>
    <row r="767">
      <c r="A767" s="141"/>
      <c r="B767" s="142"/>
      <c r="C767" s="133"/>
      <c r="D767" s="133"/>
      <c r="E767" s="140"/>
      <c r="F767" s="140"/>
      <c r="G767" s="140"/>
      <c r="H767" s="133"/>
      <c r="I767" s="133"/>
      <c r="J767" s="140"/>
      <c r="K767" s="129"/>
      <c r="L767" s="129"/>
      <c r="M767" s="129"/>
      <c r="N767" s="129"/>
      <c r="O767" s="140"/>
      <c r="P767" s="140"/>
      <c r="Q767" s="133"/>
      <c r="R767" s="140"/>
      <c r="S767" s="133"/>
      <c r="T767" s="133"/>
    </row>
    <row r="768">
      <c r="A768" s="141"/>
      <c r="B768" s="142"/>
      <c r="C768" s="133"/>
      <c r="D768" s="133"/>
      <c r="E768" s="140"/>
      <c r="F768" s="140"/>
      <c r="G768" s="140"/>
      <c r="H768" s="133"/>
      <c r="I768" s="133"/>
      <c r="J768" s="140"/>
      <c r="K768" s="129"/>
      <c r="L768" s="129"/>
      <c r="M768" s="129"/>
      <c r="N768" s="129"/>
      <c r="O768" s="140"/>
      <c r="P768" s="140"/>
      <c r="Q768" s="133"/>
      <c r="R768" s="140"/>
      <c r="S768" s="133"/>
      <c r="T768" s="133"/>
    </row>
    <row r="769">
      <c r="A769" s="141"/>
      <c r="B769" s="142"/>
      <c r="C769" s="133"/>
      <c r="D769" s="133"/>
      <c r="E769" s="140"/>
      <c r="F769" s="140"/>
      <c r="G769" s="140"/>
      <c r="H769" s="133"/>
      <c r="I769" s="133"/>
      <c r="J769" s="140"/>
      <c r="K769" s="129"/>
      <c r="L769" s="129"/>
      <c r="M769" s="129"/>
      <c r="N769" s="129"/>
      <c r="O769" s="140"/>
      <c r="P769" s="140"/>
      <c r="Q769" s="133"/>
      <c r="R769" s="140"/>
      <c r="S769" s="133"/>
      <c r="T769" s="133"/>
    </row>
    <row r="770">
      <c r="A770" s="141"/>
      <c r="B770" s="142"/>
      <c r="C770" s="133"/>
      <c r="D770" s="133"/>
      <c r="E770" s="140"/>
      <c r="F770" s="140"/>
      <c r="G770" s="140"/>
      <c r="H770" s="133"/>
      <c r="I770" s="133"/>
      <c r="J770" s="140"/>
      <c r="K770" s="129"/>
      <c r="L770" s="129"/>
      <c r="M770" s="129"/>
      <c r="N770" s="129"/>
      <c r="O770" s="140"/>
      <c r="P770" s="140"/>
      <c r="Q770" s="133"/>
      <c r="R770" s="140"/>
      <c r="S770" s="133"/>
      <c r="T770" s="133"/>
    </row>
    <row r="771">
      <c r="A771" s="141"/>
      <c r="B771" s="142"/>
      <c r="C771" s="133"/>
      <c r="D771" s="133"/>
      <c r="E771" s="140"/>
      <c r="F771" s="140"/>
      <c r="G771" s="140"/>
      <c r="H771" s="133"/>
      <c r="I771" s="133"/>
      <c r="J771" s="140"/>
      <c r="K771" s="129"/>
      <c r="L771" s="129"/>
      <c r="M771" s="129"/>
      <c r="N771" s="129"/>
      <c r="O771" s="140"/>
      <c r="P771" s="140"/>
      <c r="Q771" s="133"/>
      <c r="R771" s="140"/>
      <c r="S771" s="133"/>
      <c r="T771" s="133"/>
    </row>
    <row r="772">
      <c r="A772" s="141"/>
      <c r="B772" s="142"/>
      <c r="C772" s="133"/>
      <c r="D772" s="133"/>
      <c r="E772" s="140"/>
      <c r="F772" s="140"/>
      <c r="G772" s="140"/>
      <c r="H772" s="133"/>
      <c r="I772" s="133"/>
      <c r="J772" s="140"/>
      <c r="K772" s="129"/>
      <c r="L772" s="129"/>
      <c r="M772" s="129"/>
      <c r="N772" s="129"/>
      <c r="O772" s="140"/>
      <c r="P772" s="140"/>
      <c r="Q772" s="133"/>
      <c r="R772" s="140"/>
      <c r="S772" s="133"/>
      <c r="T772" s="133"/>
    </row>
    <row r="773">
      <c r="A773" s="141"/>
      <c r="B773" s="142"/>
      <c r="C773" s="133"/>
      <c r="D773" s="133"/>
      <c r="E773" s="140"/>
      <c r="F773" s="140"/>
      <c r="G773" s="140"/>
      <c r="H773" s="133"/>
      <c r="I773" s="133"/>
      <c r="J773" s="140"/>
      <c r="K773" s="129"/>
      <c r="L773" s="129"/>
      <c r="M773" s="129"/>
      <c r="N773" s="129"/>
      <c r="O773" s="140"/>
      <c r="P773" s="140"/>
      <c r="Q773" s="133"/>
      <c r="R773" s="140"/>
      <c r="S773" s="133"/>
      <c r="T773" s="133"/>
    </row>
    <row r="774">
      <c r="A774" s="141"/>
      <c r="B774" s="142"/>
      <c r="C774" s="133"/>
      <c r="D774" s="133"/>
      <c r="E774" s="140"/>
      <c r="F774" s="140"/>
      <c r="G774" s="140"/>
      <c r="H774" s="133"/>
      <c r="I774" s="133"/>
      <c r="J774" s="140"/>
      <c r="K774" s="129"/>
      <c r="L774" s="129"/>
      <c r="M774" s="129"/>
      <c r="N774" s="129"/>
      <c r="O774" s="140"/>
      <c r="P774" s="140"/>
      <c r="Q774" s="133"/>
      <c r="R774" s="140"/>
      <c r="S774" s="133"/>
      <c r="T774" s="133"/>
    </row>
    <row r="775">
      <c r="A775" s="141"/>
      <c r="B775" s="142"/>
      <c r="C775" s="133"/>
      <c r="D775" s="133"/>
      <c r="E775" s="140"/>
      <c r="F775" s="140"/>
      <c r="G775" s="140"/>
      <c r="H775" s="133"/>
      <c r="I775" s="133"/>
      <c r="J775" s="140"/>
      <c r="K775" s="129"/>
      <c r="L775" s="129"/>
      <c r="M775" s="129"/>
      <c r="N775" s="129"/>
      <c r="O775" s="140"/>
      <c r="P775" s="140"/>
      <c r="Q775" s="133"/>
      <c r="R775" s="140"/>
      <c r="S775" s="133"/>
      <c r="T775" s="133"/>
    </row>
    <row r="776">
      <c r="A776" s="141"/>
      <c r="B776" s="142"/>
      <c r="C776" s="133"/>
      <c r="D776" s="133"/>
      <c r="E776" s="140"/>
      <c r="F776" s="140"/>
      <c r="G776" s="140"/>
      <c r="H776" s="133"/>
      <c r="I776" s="133"/>
      <c r="J776" s="140"/>
      <c r="K776" s="129"/>
      <c r="L776" s="129"/>
      <c r="M776" s="129"/>
      <c r="N776" s="129"/>
      <c r="O776" s="140"/>
      <c r="P776" s="140"/>
      <c r="Q776" s="133"/>
      <c r="R776" s="140"/>
      <c r="S776" s="133"/>
      <c r="T776" s="133"/>
    </row>
    <row r="777">
      <c r="A777" s="141"/>
      <c r="B777" s="142"/>
      <c r="C777" s="133"/>
      <c r="D777" s="133"/>
      <c r="E777" s="140"/>
      <c r="F777" s="140"/>
      <c r="G777" s="140"/>
      <c r="H777" s="133"/>
      <c r="I777" s="133"/>
      <c r="J777" s="140"/>
      <c r="K777" s="129"/>
      <c r="L777" s="129"/>
      <c r="M777" s="129"/>
      <c r="N777" s="129"/>
      <c r="O777" s="140"/>
      <c r="P777" s="140"/>
      <c r="Q777" s="133"/>
      <c r="R777" s="140"/>
      <c r="S777" s="133"/>
      <c r="T777" s="133"/>
    </row>
    <row r="778">
      <c r="A778" s="141"/>
      <c r="B778" s="142"/>
      <c r="C778" s="133"/>
      <c r="D778" s="133"/>
      <c r="E778" s="140"/>
      <c r="F778" s="140"/>
      <c r="G778" s="140"/>
      <c r="H778" s="133"/>
      <c r="I778" s="133"/>
      <c r="J778" s="140"/>
      <c r="K778" s="129"/>
      <c r="L778" s="129"/>
      <c r="M778" s="129"/>
      <c r="N778" s="129"/>
      <c r="O778" s="140"/>
      <c r="P778" s="140"/>
      <c r="Q778" s="133"/>
      <c r="R778" s="140"/>
      <c r="S778" s="133"/>
      <c r="T778" s="133"/>
    </row>
    <row r="779">
      <c r="A779" s="141"/>
      <c r="B779" s="142"/>
      <c r="C779" s="133"/>
      <c r="D779" s="133"/>
      <c r="E779" s="140"/>
      <c r="F779" s="140"/>
      <c r="G779" s="140"/>
      <c r="H779" s="133"/>
      <c r="I779" s="133"/>
      <c r="J779" s="140"/>
      <c r="K779" s="129"/>
      <c r="L779" s="129"/>
      <c r="M779" s="129"/>
      <c r="N779" s="129"/>
      <c r="O779" s="140"/>
      <c r="P779" s="140"/>
      <c r="Q779" s="133"/>
      <c r="R779" s="140"/>
      <c r="S779" s="133"/>
      <c r="T779" s="133"/>
    </row>
    <row r="780">
      <c r="A780" s="141"/>
      <c r="B780" s="142"/>
      <c r="C780" s="133"/>
      <c r="D780" s="133"/>
      <c r="E780" s="140"/>
      <c r="F780" s="140"/>
      <c r="G780" s="140"/>
      <c r="H780" s="133"/>
      <c r="I780" s="133"/>
      <c r="J780" s="140"/>
      <c r="K780" s="129"/>
      <c r="L780" s="129"/>
      <c r="M780" s="129"/>
      <c r="N780" s="129"/>
      <c r="O780" s="140"/>
      <c r="P780" s="140"/>
      <c r="Q780" s="133"/>
      <c r="R780" s="140"/>
      <c r="S780" s="133"/>
      <c r="T780" s="133"/>
    </row>
    <row r="781">
      <c r="A781" s="141"/>
      <c r="B781" s="142"/>
      <c r="C781" s="133"/>
      <c r="D781" s="133"/>
      <c r="E781" s="140"/>
      <c r="F781" s="140"/>
      <c r="G781" s="140"/>
      <c r="H781" s="133"/>
      <c r="I781" s="133"/>
      <c r="J781" s="140"/>
      <c r="K781" s="129"/>
      <c r="L781" s="129"/>
      <c r="M781" s="129"/>
      <c r="N781" s="129"/>
      <c r="O781" s="140"/>
      <c r="P781" s="140"/>
      <c r="Q781" s="133"/>
      <c r="R781" s="140"/>
      <c r="S781" s="133"/>
      <c r="T781" s="133"/>
    </row>
    <row r="782">
      <c r="A782" s="141"/>
      <c r="B782" s="142"/>
      <c r="C782" s="133"/>
      <c r="D782" s="133"/>
      <c r="E782" s="140"/>
      <c r="F782" s="140"/>
      <c r="G782" s="140"/>
      <c r="H782" s="133"/>
      <c r="I782" s="133"/>
      <c r="J782" s="140"/>
      <c r="K782" s="129"/>
      <c r="L782" s="129"/>
      <c r="M782" s="129"/>
      <c r="N782" s="129"/>
      <c r="O782" s="140"/>
      <c r="P782" s="140"/>
      <c r="Q782" s="133"/>
      <c r="R782" s="140"/>
      <c r="S782" s="133"/>
      <c r="T782" s="133"/>
    </row>
    <row r="783">
      <c r="A783" s="141"/>
      <c r="B783" s="142"/>
      <c r="C783" s="133"/>
      <c r="D783" s="133"/>
      <c r="E783" s="140"/>
      <c r="F783" s="140"/>
      <c r="G783" s="140"/>
      <c r="H783" s="133"/>
      <c r="I783" s="133"/>
      <c r="J783" s="140"/>
      <c r="K783" s="129"/>
      <c r="L783" s="129"/>
      <c r="M783" s="129"/>
      <c r="N783" s="129"/>
      <c r="O783" s="140"/>
      <c r="P783" s="140"/>
      <c r="Q783" s="133"/>
      <c r="R783" s="140"/>
      <c r="S783" s="133"/>
      <c r="T783" s="133"/>
    </row>
    <row r="784">
      <c r="A784" s="141"/>
      <c r="B784" s="142"/>
      <c r="C784" s="133"/>
      <c r="D784" s="133"/>
      <c r="E784" s="140"/>
      <c r="F784" s="140"/>
      <c r="G784" s="140"/>
      <c r="H784" s="133"/>
      <c r="I784" s="133"/>
      <c r="J784" s="140"/>
      <c r="K784" s="129"/>
      <c r="L784" s="129"/>
      <c r="M784" s="129"/>
      <c r="N784" s="129"/>
      <c r="O784" s="140"/>
      <c r="P784" s="140"/>
      <c r="Q784" s="133"/>
      <c r="R784" s="140"/>
      <c r="S784" s="133"/>
      <c r="T784" s="133"/>
    </row>
    <row r="785">
      <c r="A785" s="141"/>
      <c r="B785" s="142"/>
      <c r="C785" s="133"/>
      <c r="D785" s="133"/>
      <c r="E785" s="140"/>
      <c r="F785" s="140"/>
      <c r="G785" s="140"/>
      <c r="H785" s="133"/>
      <c r="I785" s="133"/>
      <c r="J785" s="140"/>
      <c r="K785" s="129"/>
      <c r="L785" s="129"/>
      <c r="M785" s="129"/>
      <c r="N785" s="129"/>
      <c r="O785" s="140"/>
      <c r="P785" s="140"/>
      <c r="Q785" s="133"/>
      <c r="R785" s="140"/>
      <c r="S785" s="133"/>
      <c r="T785" s="133"/>
    </row>
    <row r="786">
      <c r="A786" s="141"/>
      <c r="B786" s="142"/>
      <c r="C786" s="133"/>
      <c r="D786" s="133"/>
      <c r="E786" s="140"/>
      <c r="F786" s="140"/>
      <c r="G786" s="140"/>
      <c r="H786" s="133"/>
      <c r="I786" s="133"/>
      <c r="J786" s="140"/>
      <c r="K786" s="129"/>
      <c r="L786" s="129"/>
      <c r="M786" s="129"/>
      <c r="N786" s="129"/>
      <c r="O786" s="140"/>
      <c r="P786" s="140"/>
      <c r="Q786" s="133"/>
      <c r="R786" s="140"/>
      <c r="S786" s="133"/>
      <c r="T786" s="133"/>
    </row>
    <row r="787">
      <c r="A787" s="141"/>
      <c r="B787" s="142"/>
      <c r="C787" s="133"/>
      <c r="D787" s="133"/>
      <c r="E787" s="140"/>
      <c r="F787" s="140"/>
      <c r="G787" s="140"/>
      <c r="H787" s="133"/>
      <c r="I787" s="133"/>
      <c r="J787" s="140"/>
      <c r="K787" s="129"/>
      <c r="L787" s="129"/>
      <c r="M787" s="129"/>
      <c r="N787" s="129"/>
      <c r="O787" s="140"/>
      <c r="P787" s="140"/>
      <c r="Q787" s="133"/>
      <c r="R787" s="140"/>
      <c r="S787" s="133"/>
      <c r="T787" s="133"/>
    </row>
    <row r="788">
      <c r="A788" s="141"/>
      <c r="B788" s="142"/>
      <c r="C788" s="133"/>
      <c r="D788" s="133"/>
      <c r="E788" s="140"/>
      <c r="F788" s="140"/>
      <c r="G788" s="140"/>
      <c r="H788" s="133"/>
      <c r="I788" s="133"/>
      <c r="J788" s="140"/>
      <c r="K788" s="129"/>
      <c r="L788" s="129"/>
      <c r="M788" s="129"/>
      <c r="N788" s="129"/>
      <c r="O788" s="140"/>
      <c r="P788" s="140"/>
      <c r="Q788" s="133"/>
      <c r="R788" s="140"/>
      <c r="S788" s="133"/>
      <c r="T788" s="133"/>
    </row>
    <row r="789">
      <c r="A789" s="141"/>
      <c r="B789" s="142"/>
      <c r="C789" s="133"/>
      <c r="D789" s="133"/>
      <c r="E789" s="140"/>
      <c r="F789" s="140"/>
      <c r="G789" s="140"/>
      <c r="H789" s="133"/>
      <c r="I789" s="133"/>
      <c r="J789" s="140"/>
      <c r="K789" s="129"/>
      <c r="L789" s="129"/>
      <c r="M789" s="129"/>
      <c r="N789" s="129"/>
      <c r="O789" s="140"/>
      <c r="P789" s="140"/>
      <c r="Q789" s="133"/>
      <c r="R789" s="140"/>
      <c r="S789" s="133"/>
      <c r="T789" s="133"/>
    </row>
    <row r="790">
      <c r="A790" s="141"/>
      <c r="B790" s="142"/>
      <c r="C790" s="133"/>
      <c r="D790" s="133"/>
      <c r="E790" s="140"/>
      <c r="F790" s="140"/>
      <c r="G790" s="140"/>
      <c r="H790" s="133"/>
      <c r="I790" s="133"/>
      <c r="J790" s="140"/>
      <c r="K790" s="129"/>
      <c r="L790" s="129"/>
      <c r="M790" s="129"/>
      <c r="N790" s="129"/>
      <c r="O790" s="140"/>
      <c r="P790" s="140"/>
      <c r="Q790" s="133"/>
      <c r="R790" s="140"/>
      <c r="S790" s="133"/>
      <c r="T790" s="133"/>
    </row>
    <row r="791">
      <c r="A791" s="141"/>
      <c r="B791" s="142"/>
      <c r="C791" s="133"/>
      <c r="D791" s="133"/>
      <c r="E791" s="140"/>
      <c r="F791" s="140"/>
      <c r="G791" s="140"/>
      <c r="H791" s="133"/>
      <c r="I791" s="133"/>
      <c r="J791" s="140"/>
      <c r="K791" s="129"/>
      <c r="L791" s="129"/>
      <c r="M791" s="129"/>
      <c r="N791" s="129"/>
      <c r="O791" s="140"/>
      <c r="P791" s="140"/>
      <c r="Q791" s="133"/>
      <c r="R791" s="140"/>
      <c r="S791" s="133"/>
      <c r="T791" s="133"/>
    </row>
    <row r="792">
      <c r="A792" s="141"/>
      <c r="B792" s="142"/>
      <c r="C792" s="133"/>
      <c r="D792" s="133"/>
      <c r="E792" s="140"/>
      <c r="F792" s="140"/>
      <c r="G792" s="140"/>
      <c r="H792" s="133"/>
      <c r="I792" s="133"/>
      <c r="J792" s="140"/>
      <c r="K792" s="129"/>
      <c r="L792" s="129"/>
      <c r="M792" s="129"/>
      <c r="N792" s="129"/>
      <c r="O792" s="140"/>
      <c r="P792" s="140"/>
      <c r="Q792" s="133"/>
      <c r="R792" s="140"/>
      <c r="S792" s="133"/>
      <c r="T792" s="133"/>
    </row>
    <row r="793">
      <c r="A793" s="141"/>
      <c r="B793" s="142"/>
      <c r="C793" s="133"/>
      <c r="D793" s="133"/>
      <c r="E793" s="140"/>
      <c r="F793" s="140"/>
      <c r="G793" s="140"/>
      <c r="H793" s="133"/>
      <c r="I793" s="133"/>
      <c r="J793" s="140"/>
      <c r="K793" s="129"/>
      <c r="L793" s="129"/>
      <c r="M793" s="129"/>
      <c r="N793" s="129"/>
      <c r="O793" s="140"/>
      <c r="P793" s="140"/>
      <c r="Q793" s="133"/>
      <c r="R793" s="140"/>
      <c r="S793" s="133"/>
      <c r="T793" s="133"/>
    </row>
    <row r="794">
      <c r="A794" s="141"/>
      <c r="B794" s="142"/>
      <c r="C794" s="133"/>
      <c r="D794" s="133"/>
      <c r="E794" s="140"/>
      <c r="F794" s="140"/>
      <c r="G794" s="140"/>
      <c r="H794" s="133"/>
      <c r="I794" s="133"/>
      <c r="J794" s="140"/>
      <c r="K794" s="129"/>
      <c r="L794" s="129"/>
      <c r="M794" s="129"/>
      <c r="N794" s="129"/>
      <c r="O794" s="140"/>
      <c r="P794" s="140"/>
      <c r="Q794" s="133"/>
      <c r="R794" s="140"/>
      <c r="S794" s="133"/>
      <c r="T794" s="133"/>
    </row>
    <row r="795">
      <c r="A795" s="141"/>
      <c r="B795" s="142"/>
      <c r="C795" s="133"/>
      <c r="D795" s="133"/>
      <c r="E795" s="140"/>
      <c r="F795" s="140"/>
      <c r="G795" s="140"/>
      <c r="H795" s="133"/>
      <c r="I795" s="133"/>
      <c r="J795" s="140"/>
      <c r="K795" s="129"/>
      <c r="L795" s="129"/>
      <c r="M795" s="129"/>
      <c r="N795" s="129"/>
      <c r="O795" s="140"/>
      <c r="P795" s="140"/>
      <c r="Q795" s="133"/>
      <c r="R795" s="140"/>
      <c r="S795" s="133"/>
      <c r="T795" s="133"/>
    </row>
    <row r="796">
      <c r="A796" s="141"/>
      <c r="B796" s="142"/>
      <c r="C796" s="133"/>
      <c r="D796" s="133"/>
      <c r="E796" s="140"/>
      <c r="F796" s="140"/>
      <c r="G796" s="140"/>
      <c r="H796" s="133"/>
      <c r="I796" s="133"/>
      <c r="J796" s="140"/>
      <c r="K796" s="129"/>
      <c r="L796" s="129"/>
      <c r="M796" s="129"/>
      <c r="N796" s="129"/>
      <c r="O796" s="140"/>
      <c r="P796" s="140"/>
      <c r="Q796" s="133"/>
      <c r="R796" s="140"/>
      <c r="S796" s="133"/>
      <c r="T796" s="133"/>
    </row>
    <row r="797">
      <c r="A797" s="141"/>
      <c r="B797" s="142"/>
      <c r="C797" s="133"/>
      <c r="D797" s="133"/>
      <c r="E797" s="140"/>
      <c r="F797" s="140"/>
      <c r="G797" s="140"/>
      <c r="H797" s="133"/>
      <c r="I797" s="133"/>
      <c r="J797" s="140"/>
      <c r="K797" s="129"/>
      <c r="L797" s="129"/>
      <c r="M797" s="129"/>
      <c r="N797" s="129"/>
      <c r="O797" s="140"/>
      <c r="P797" s="140"/>
      <c r="Q797" s="133"/>
      <c r="R797" s="140"/>
      <c r="S797" s="133"/>
      <c r="T797" s="133"/>
    </row>
    <row r="798">
      <c r="A798" s="141"/>
      <c r="B798" s="142"/>
      <c r="C798" s="133"/>
      <c r="D798" s="133"/>
      <c r="E798" s="140"/>
      <c r="F798" s="140"/>
      <c r="G798" s="140"/>
      <c r="H798" s="133"/>
      <c r="I798" s="133"/>
      <c r="J798" s="140"/>
      <c r="K798" s="129"/>
      <c r="L798" s="129"/>
      <c r="M798" s="129"/>
      <c r="N798" s="129"/>
      <c r="O798" s="140"/>
      <c r="P798" s="140"/>
      <c r="Q798" s="133"/>
      <c r="R798" s="140"/>
      <c r="S798" s="133"/>
      <c r="T798" s="133"/>
    </row>
    <row r="799">
      <c r="A799" s="141"/>
      <c r="B799" s="142"/>
      <c r="C799" s="133"/>
      <c r="D799" s="133"/>
      <c r="E799" s="140"/>
      <c r="F799" s="140"/>
      <c r="G799" s="140"/>
      <c r="H799" s="133"/>
      <c r="I799" s="133"/>
      <c r="J799" s="140"/>
      <c r="K799" s="129"/>
      <c r="L799" s="129"/>
      <c r="M799" s="129"/>
      <c r="N799" s="129"/>
      <c r="O799" s="140"/>
      <c r="P799" s="140"/>
      <c r="Q799" s="133"/>
      <c r="R799" s="140"/>
      <c r="S799" s="133"/>
      <c r="T799" s="133"/>
    </row>
    <row r="800">
      <c r="A800" s="141"/>
      <c r="B800" s="142"/>
      <c r="C800" s="133"/>
      <c r="D800" s="133"/>
      <c r="E800" s="140"/>
      <c r="F800" s="140"/>
      <c r="G800" s="140"/>
      <c r="H800" s="133"/>
      <c r="I800" s="133"/>
      <c r="J800" s="140"/>
      <c r="K800" s="129"/>
      <c r="L800" s="129"/>
      <c r="M800" s="129"/>
      <c r="N800" s="129"/>
      <c r="O800" s="140"/>
      <c r="P800" s="140"/>
      <c r="Q800" s="133"/>
      <c r="R800" s="140"/>
      <c r="S800" s="133"/>
      <c r="T800" s="133"/>
    </row>
    <row r="801">
      <c r="A801" s="141"/>
      <c r="B801" s="142"/>
      <c r="C801" s="133"/>
      <c r="D801" s="133"/>
      <c r="E801" s="140"/>
      <c r="F801" s="140"/>
      <c r="G801" s="140"/>
      <c r="H801" s="133"/>
      <c r="I801" s="133"/>
      <c r="J801" s="140"/>
      <c r="K801" s="129"/>
      <c r="L801" s="129"/>
      <c r="M801" s="129"/>
      <c r="N801" s="129"/>
      <c r="O801" s="140"/>
      <c r="P801" s="140"/>
      <c r="Q801" s="133"/>
      <c r="R801" s="140"/>
      <c r="S801" s="133"/>
      <c r="T801" s="133"/>
    </row>
    <row r="802">
      <c r="A802" s="141"/>
      <c r="B802" s="142"/>
      <c r="C802" s="133"/>
      <c r="D802" s="133"/>
      <c r="E802" s="140"/>
      <c r="F802" s="140"/>
      <c r="G802" s="140"/>
      <c r="H802" s="133"/>
      <c r="I802" s="133"/>
      <c r="J802" s="140"/>
      <c r="K802" s="129"/>
      <c r="L802" s="129"/>
      <c r="M802" s="129"/>
      <c r="N802" s="129"/>
      <c r="O802" s="140"/>
      <c r="P802" s="140"/>
      <c r="Q802" s="133"/>
      <c r="R802" s="140"/>
      <c r="S802" s="133"/>
      <c r="T802" s="133"/>
    </row>
    <row r="803">
      <c r="A803" s="141"/>
      <c r="B803" s="142"/>
      <c r="C803" s="133"/>
      <c r="D803" s="133"/>
      <c r="E803" s="140"/>
      <c r="F803" s="140"/>
      <c r="G803" s="140"/>
      <c r="H803" s="133"/>
      <c r="I803" s="133"/>
      <c r="J803" s="140"/>
      <c r="K803" s="129"/>
      <c r="L803" s="129"/>
      <c r="M803" s="129"/>
      <c r="N803" s="129"/>
      <c r="O803" s="140"/>
      <c r="P803" s="140"/>
      <c r="Q803" s="133"/>
      <c r="R803" s="140"/>
      <c r="S803" s="133"/>
      <c r="T803" s="133"/>
    </row>
    <row r="804">
      <c r="A804" s="141"/>
      <c r="B804" s="142"/>
      <c r="C804" s="133"/>
      <c r="D804" s="133"/>
      <c r="E804" s="140"/>
      <c r="F804" s="140"/>
      <c r="G804" s="140"/>
      <c r="H804" s="133"/>
      <c r="I804" s="133"/>
      <c r="J804" s="140"/>
      <c r="K804" s="129"/>
      <c r="L804" s="129"/>
      <c r="M804" s="129"/>
      <c r="N804" s="129"/>
      <c r="O804" s="140"/>
      <c r="P804" s="140"/>
      <c r="Q804" s="133"/>
      <c r="R804" s="140"/>
      <c r="S804" s="133"/>
      <c r="T804" s="133"/>
    </row>
    <row r="805">
      <c r="A805" s="141"/>
      <c r="B805" s="142"/>
      <c r="C805" s="133"/>
      <c r="D805" s="133"/>
      <c r="E805" s="140"/>
      <c r="F805" s="140"/>
      <c r="G805" s="140"/>
      <c r="H805" s="133"/>
      <c r="I805" s="133"/>
      <c r="J805" s="140"/>
      <c r="K805" s="129"/>
      <c r="L805" s="129"/>
      <c r="M805" s="129"/>
      <c r="N805" s="129"/>
      <c r="O805" s="140"/>
      <c r="P805" s="140"/>
      <c r="Q805" s="133"/>
      <c r="R805" s="140"/>
      <c r="S805" s="133"/>
      <c r="T805" s="133"/>
    </row>
    <row r="806">
      <c r="A806" s="141"/>
      <c r="B806" s="142"/>
      <c r="C806" s="133"/>
      <c r="D806" s="133"/>
      <c r="E806" s="140"/>
      <c r="F806" s="140"/>
      <c r="G806" s="140"/>
      <c r="H806" s="133"/>
      <c r="I806" s="133"/>
      <c r="J806" s="140"/>
      <c r="K806" s="129"/>
      <c r="L806" s="129"/>
      <c r="M806" s="129"/>
      <c r="N806" s="129"/>
      <c r="O806" s="140"/>
      <c r="P806" s="140"/>
      <c r="Q806" s="133"/>
      <c r="R806" s="140"/>
      <c r="S806" s="133"/>
      <c r="T806" s="133"/>
    </row>
    <row r="807">
      <c r="A807" s="141"/>
      <c r="B807" s="142"/>
      <c r="C807" s="133"/>
      <c r="D807" s="133"/>
      <c r="E807" s="140"/>
      <c r="F807" s="140"/>
      <c r="G807" s="140"/>
      <c r="H807" s="133"/>
      <c r="I807" s="133"/>
      <c r="J807" s="140"/>
      <c r="K807" s="129"/>
      <c r="L807" s="129"/>
      <c r="M807" s="129"/>
      <c r="N807" s="129"/>
      <c r="O807" s="140"/>
      <c r="P807" s="140"/>
      <c r="Q807" s="133"/>
      <c r="R807" s="140"/>
      <c r="S807" s="133"/>
      <c r="T807" s="133"/>
    </row>
    <row r="808">
      <c r="A808" s="141"/>
      <c r="B808" s="142"/>
      <c r="C808" s="133"/>
      <c r="D808" s="133"/>
      <c r="E808" s="140"/>
      <c r="F808" s="140"/>
      <c r="G808" s="140"/>
      <c r="H808" s="133"/>
      <c r="I808" s="133"/>
      <c r="J808" s="140"/>
      <c r="K808" s="129"/>
      <c r="L808" s="129"/>
      <c r="M808" s="129"/>
      <c r="N808" s="129"/>
      <c r="O808" s="140"/>
      <c r="P808" s="140"/>
      <c r="Q808" s="133"/>
      <c r="R808" s="140"/>
      <c r="S808" s="133"/>
      <c r="T808" s="133"/>
    </row>
    <row r="809">
      <c r="A809" s="141"/>
      <c r="B809" s="142"/>
      <c r="C809" s="133"/>
      <c r="D809" s="133"/>
      <c r="E809" s="140"/>
      <c r="F809" s="140"/>
      <c r="G809" s="140"/>
      <c r="H809" s="133"/>
      <c r="I809" s="133"/>
      <c r="J809" s="140"/>
      <c r="K809" s="129"/>
      <c r="L809" s="129"/>
      <c r="M809" s="129"/>
      <c r="N809" s="129"/>
      <c r="O809" s="140"/>
      <c r="P809" s="140"/>
      <c r="Q809" s="133"/>
      <c r="R809" s="140"/>
      <c r="S809" s="133"/>
      <c r="T809" s="133"/>
    </row>
    <row r="810">
      <c r="A810" s="141"/>
      <c r="B810" s="142"/>
      <c r="C810" s="133"/>
      <c r="D810" s="133"/>
      <c r="E810" s="140"/>
      <c r="F810" s="140"/>
      <c r="G810" s="140"/>
      <c r="H810" s="133"/>
      <c r="I810" s="133"/>
      <c r="J810" s="140"/>
      <c r="K810" s="129"/>
      <c r="L810" s="129"/>
      <c r="M810" s="129"/>
      <c r="N810" s="129"/>
      <c r="O810" s="140"/>
      <c r="P810" s="140"/>
      <c r="Q810" s="133"/>
      <c r="R810" s="140"/>
      <c r="S810" s="133"/>
      <c r="T810" s="133"/>
    </row>
    <row r="811">
      <c r="A811" s="141"/>
      <c r="B811" s="142"/>
      <c r="C811" s="133"/>
      <c r="D811" s="133"/>
      <c r="E811" s="140"/>
      <c r="F811" s="140"/>
      <c r="G811" s="140"/>
      <c r="H811" s="133"/>
      <c r="I811" s="133"/>
      <c r="J811" s="140"/>
      <c r="K811" s="129"/>
      <c r="L811" s="129"/>
      <c r="M811" s="129"/>
      <c r="N811" s="129"/>
      <c r="O811" s="140"/>
      <c r="P811" s="140"/>
      <c r="Q811" s="133"/>
      <c r="R811" s="140"/>
      <c r="S811" s="133"/>
      <c r="T811" s="133"/>
    </row>
    <row r="812">
      <c r="A812" s="141"/>
      <c r="B812" s="142"/>
      <c r="C812" s="133"/>
      <c r="D812" s="133"/>
      <c r="E812" s="140"/>
      <c r="F812" s="140"/>
      <c r="G812" s="140"/>
      <c r="H812" s="133"/>
      <c r="I812" s="133"/>
      <c r="J812" s="140"/>
      <c r="K812" s="129"/>
      <c r="L812" s="129"/>
      <c r="M812" s="129"/>
      <c r="N812" s="129"/>
      <c r="O812" s="140"/>
      <c r="P812" s="140"/>
      <c r="Q812" s="133"/>
      <c r="R812" s="140"/>
      <c r="S812" s="133"/>
      <c r="T812" s="133"/>
    </row>
    <row r="813">
      <c r="A813" s="141"/>
      <c r="B813" s="142"/>
      <c r="C813" s="133"/>
      <c r="D813" s="133"/>
      <c r="E813" s="140"/>
      <c r="F813" s="140"/>
      <c r="G813" s="140"/>
      <c r="H813" s="133"/>
      <c r="I813" s="133"/>
      <c r="J813" s="140"/>
      <c r="K813" s="129"/>
      <c r="L813" s="129"/>
      <c r="M813" s="129"/>
      <c r="N813" s="129"/>
      <c r="O813" s="140"/>
      <c r="P813" s="140"/>
      <c r="Q813" s="133"/>
      <c r="R813" s="140"/>
      <c r="S813" s="133"/>
      <c r="T813" s="133"/>
    </row>
    <row r="814">
      <c r="A814" s="141"/>
      <c r="B814" s="142"/>
      <c r="C814" s="133"/>
      <c r="D814" s="133"/>
      <c r="E814" s="140"/>
      <c r="F814" s="140"/>
      <c r="G814" s="140"/>
      <c r="H814" s="133"/>
      <c r="I814" s="133"/>
      <c r="J814" s="140"/>
      <c r="K814" s="129"/>
      <c r="L814" s="129"/>
      <c r="M814" s="129"/>
      <c r="N814" s="129"/>
      <c r="O814" s="140"/>
      <c r="P814" s="140"/>
      <c r="Q814" s="133"/>
      <c r="R814" s="140"/>
      <c r="S814" s="133"/>
      <c r="T814" s="133"/>
    </row>
    <row r="815">
      <c r="A815" s="141"/>
      <c r="B815" s="142"/>
      <c r="C815" s="133"/>
      <c r="D815" s="133"/>
      <c r="E815" s="140"/>
      <c r="F815" s="140"/>
      <c r="G815" s="140"/>
      <c r="H815" s="133"/>
      <c r="I815" s="133"/>
      <c r="J815" s="140"/>
      <c r="K815" s="129"/>
      <c r="L815" s="129"/>
      <c r="M815" s="129"/>
      <c r="N815" s="129"/>
      <c r="O815" s="140"/>
      <c r="P815" s="140"/>
      <c r="Q815" s="133"/>
      <c r="R815" s="140"/>
      <c r="S815" s="133"/>
      <c r="T815" s="133"/>
    </row>
    <row r="816">
      <c r="A816" s="141"/>
      <c r="B816" s="142"/>
      <c r="C816" s="133"/>
      <c r="D816" s="133"/>
      <c r="E816" s="140"/>
      <c r="F816" s="140"/>
      <c r="G816" s="140"/>
      <c r="H816" s="133"/>
      <c r="I816" s="133"/>
      <c r="J816" s="140"/>
      <c r="K816" s="129"/>
      <c r="L816" s="129"/>
      <c r="M816" s="129"/>
      <c r="N816" s="129"/>
      <c r="O816" s="140"/>
      <c r="P816" s="140"/>
      <c r="Q816" s="133"/>
      <c r="R816" s="140"/>
      <c r="S816" s="133"/>
      <c r="T816" s="133"/>
    </row>
    <row r="817">
      <c r="A817" s="141"/>
      <c r="B817" s="142"/>
      <c r="C817" s="133"/>
      <c r="D817" s="133"/>
      <c r="E817" s="140"/>
      <c r="F817" s="140"/>
      <c r="G817" s="140"/>
      <c r="H817" s="133"/>
      <c r="I817" s="133"/>
      <c r="J817" s="140"/>
      <c r="K817" s="129"/>
      <c r="L817" s="129"/>
      <c r="M817" s="129"/>
      <c r="N817" s="129"/>
      <c r="O817" s="140"/>
      <c r="P817" s="140"/>
      <c r="Q817" s="133"/>
      <c r="R817" s="140"/>
      <c r="S817" s="133"/>
      <c r="T817" s="133"/>
    </row>
    <row r="818">
      <c r="A818" s="141"/>
      <c r="B818" s="142"/>
      <c r="C818" s="133"/>
      <c r="D818" s="133"/>
      <c r="E818" s="140"/>
      <c r="F818" s="140"/>
      <c r="G818" s="140"/>
      <c r="H818" s="133"/>
      <c r="I818" s="133"/>
      <c r="J818" s="140"/>
      <c r="K818" s="129"/>
      <c r="L818" s="129"/>
      <c r="M818" s="129"/>
      <c r="N818" s="129"/>
      <c r="O818" s="140"/>
      <c r="P818" s="140"/>
      <c r="Q818" s="133"/>
      <c r="R818" s="140"/>
      <c r="S818" s="133"/>
      <c r="T818" s="133"/>
    </row>
    <row r="819">
      <c r="A819" s="141"/>
      <c r="B819" s="142"/>
      <c r="C819" s="133"/>
      <c r="D819" s="133"/>
      <c r="E819" s="140"/>
      <c r="F819" s="140"/>
      <c r="G819" s="140"/>
      <c r="H819" s="133"/>
      <c r="I819" s="133"/>
      <c r="J819" s="140"/>
      <c r="K819" s="129"/>
      <c r="L819" s="129"/>
      <c r="M819" s="129"/>
      <c r="N819" s="129"/>
      <c r="O819" s="140"/>
      <c r="P819" s="140"/>
      <c r="Q819" s="133"/>
      <c r="R819" s="140"/>
      <c r="S819" s="133"/>
      <c r="T819" s="133"/>
    </row>
    <row r="820">
      <c r="A820" s="141"/>
      <c r="B820" s="142"/>
      <c r="C820" s="133"/>
      <c r="D820" s="133"/>
      <c r="E820" s="140"/>
      <c r="F820" s="140"/>
      <c r="G820" s="140"/>
      <c r="H820" s="133"/>
      <c r="I820" s="133"/>
      <c r="J820" s="140"/>
      <c r="K820" s="129"/>
      <c r="L820" s="129"/>
      <c r="M820" s="129"/>
      <c r="N820" s="129"/>
      <c r="O820" s="140"/>
      <c r="P820" s="140"/>
      <c r="Q820" s="133"/>
      <c r="R820" s="140"/>
      <c r="S820" s="133"/>
      <c r="T820" s="133"/>
    </row>
    <row r="821">
      <c r="A821" s="141"/>
      <c r="B821" s="142"/>
      <c r="C821" s="133"/>
      <c r="D821" s="133"/>
      <c r="E821" s="140"/>
      <c r="F821" s="140"/>
      <c r="G821" s="140"/>
      <c r="H821" s="133"/>
      <c r="I821" s="133"/>
      <c r="J821" s="140"/>
      <c r="K821" s="129"/>
      <c r="L821" s="129"/>
      <c r="M821" s="129"/>
      <c r="N821" s="129"/>
      <c r="O821" s="140"/>
      <c r="P821" s="140"/>
      <c r="Q821" s="133"/>
      <c r="R821" s="140"/>
      <c r="S821" s="133"/>
      <c r="T821" s="133"/>
    </row>
    <row r="822">
      <c r="A822" s="141"/>
      <c r="B822" s="142"/>
      <c r="C822" s="133"/>
      <c r="D822" s="133"/>
      <c r="E822" s="140"/>
      <c r="F822" s="140"/>
      <c r="G822" s="140"/>
      <c r="H822" s="133"/>
      <c r="I822" s="133"/>
      <c r="J822" s="140"/>
      <c r="K822" s="129"/>
      <c r="L822" s="129"/>
      <c r="M822" s="129"/>
      <c r="N822" s="129"/>
      <c r="O822" s="140"/>
      <c r="P822" s="140"/>
      <c r="Q822" s="133"/>
      <c r="R822" s="140"/>
      <c r="S822" s="133"/>
      <c r="T822" s="133"/>
    </row>
    <row r="823">
      <c r="A823" s="141"/>
      <c r="B823" s="142"/>
      <c r="C823" s="133"/>
      <c r="D823" s="133"/>
      <c r="E823" s="140"/>
      <c r="F823" s="140"/>
      <c r="G823" s="140"/>
      <c r="H823" s="133"/>
      <c r="I823" s="133"/>
      <c r="J823" s="140"/>
      <c r="K823" s="129"/>
      <c r="L823" s="129"/>
      <c r="M823" s="129"/>
      <c r="N823" s="129"/>
      <c r="O823" s="140"/>
      <c r="P823" s="140"/>
      <c r="Q823" s="133"/>
      <c r="R823" s="140"/>
      <c r="S823" s="133"/>
      <c r="T823" s="133"/>
    </row>
    <row r="824">
      <c r="A824" s="141"/>
      <c r="B824" s="142"/>
      <c r="C824" s="133"/>
      <c r="D824" s="133"/>
      <c r="E824" s="140"/>
      <c r="F824" s="140"/>
      <c r="G824" s="140"/>
      <c r="H824" s="133"/>
      <c r="I824" s="133"/>
      <c r="J824" s="140"/>
      <c r="K824" s="129"/>
      <c r="L824" s="129"/>
      <c r="M824" s="129"/>
      <c r="N824" s="129"/>
      <c r="O824" s="140"/>
      <c r="P824" s="140"/>
      <c r="Q824" s="133"/>
      <c r="R824" s="140"/>
      <c r="S824" s="133"/>
      <c r="T824" s="133"/>
    </row>
    <row r="825">
      <c r="A825" s="141"/>
      <c r="B825" s="142"/>
      <c r="C825" s="133"/>
      <c r="D825" s="133"/>
      <c r="E825" s="140"/>
      <c r="F825" s="140"/>
      <c r="G825" s="140"/>
      <c r="H825" s="133"/>
      <c r="I825" s="133"/>
      <c r="J825" s="140"/>
      <c r="K825" s="129"/>
      <c r="L825" s="129"/>
      <c r="M825" s="129"/>
      <c r="N825" s="129"/>
      <c r="O825" s="140"/>
      <c r="P825" s="140"/>
      <c r="Q825" s="133"/>
      <c r="R825" s="140"/>
      <c r="S825" s="133"/>
      <c r="T825" s="133"/>
    </row>
    <row r="826">
      <c r="A826" s="141"/>
      <c r="B826" s="142"/>
      <c r="C826" s="133"/>
      <c r="D826" s="133"/>
      <c r="E826" s="140"/>
      <c r="F826" s="140"/>
      <c r="G826" s="140"/>
      <c r="H826" s="133"/>
      <c r="I826" s="133"/>
      <c r="J826" s="140"/>
      <c r="K826" s="129"/>
      <c r="L826" s="129"/>
      <c r="M826" s="129"/>
      <c r="N826" s="129"/>
      <c r="O826" s="140"/>
      <c r="P826" s="140"/>
      <c r="Q826" s="133"/>
      <c r="R826" s="140"/>
      <c r="S826" s="133"/>
      <c r="T826" s="133"/>
    </row>
    <row r="827">
      <c r="A827" s="141"/>
      <c r="B827" s="142"/>
      <c r="C827" s="133"/>
      <c r="D827" s="133"/>
      <c r="E827" s="140"/>
      <c r="F827" s="140"/>
      <c r="G827" s="140"/>
      <c r="H827" s="133"/>
      <c r="I827" s="133"/>
      <c r="J827" s="140"/>
      <c r="K827" s="129"/>
      <c r="L827" s="129"/>
      <c r="M827" s="129"/>
      <c r="N827" s="129"/>
      <c r="O827" s="140"/>
      <c r="P827" s="140"/>
      <c r="Q827" s="133"/>
      <c r="R827" s="140"/>
      <c r="S827" s="133"/>
      <c r="T827" s="133"/>
    </row>
    <row r="828">
      <c r="A828" s="141"/>
      <c r="B828" s="142"/>
      <c r="C828" s="133"/>
      <c r="D828" s="133"/>
      <c r="E828" s="140"/>
      <c r="F828" s="140"/>
      <c r="G828" s="140"/>
      <c r="H828" s="133"/>
      <c r="I828" s="133"/>
      <c r="J828" s="140"/>
      <c r="K828" s="129"/>
      <c r="L828" s="129"/>
      <c r="M828" s="129"/>
      <c r="N828" s="129"/>
      <c r="O828" s="140"/>
      <c r="P828" s="140"/>
      <c r="Q828" s="133"/>
      <c r="R828" s="140"/>
      <c r="S828" s="133"/>
      <c r="T828" s="133"/>
    </row>
    <row r="829">
      <c r="A829" s="141"/>
      <c r="B829" s="142"/>
      <c r="C829" s="133"/>
      <c r="D829" s="133"/>
      <c r="E829" s="140"/>
      <c r="F829" s="140"/>
      <c r="G829" s="140"/>
      <c r="H829" s="133"/>
      <c r="I829" s="133"/>
      <c r="J829" s="140"/>
      <c r="K829" s="129"/>
      <c r="L829" s="129"/>
      <c r="M829" s="129"/>
      <c r="N829" s="129"/>
      <c r="O829" s="140"/>
      <c r="P829" s="140"/>
      <c r="Q829" s="133"/>
      <c r="R829" s="140"/>
      <c r="S829" s="133"/>
      <c r="T829" s="133"/>
    </row>
    <row r="830">
      <c r="A830" s="141"/>
      <c r="B830" s="142"/>
      <c r="C830" s="133"/>
      <c r="D830" s="133"/>
      <c r="E830" s="140"/>
      <c r="F830" s="140"/>
      <c r="G830" s="140"/>
      <c r="H830" s="133"/>
      <c r="I830" s="133"/>
      <c r="J830" s="140"/>
      <c r="K830" s="129"/>
      <c r="L830" s="129"/>
      <c r="M830" s="129"/>
      <c r="N830" s="129"/>
      <c r="O830" s="140"/>
      <c r="P830" s="140"/>
      <c r="Q830" s="133"/>
      <c r="R830" s="140"/>
      <c r="S830" s="133"/>
      <c r="T830" s="133"/>
    </row>
    <row r="831">
      <c r="A831" s="141"/>
      <c r="B831" s="142"/>
      <c r="C831" s="133"/>
      <c r="D831" s="133"/>
      <c r="E831" s="140"/>
      <c r="F831" s="140"/>
      <c r="G831" s="140"/>
      <c r="H831" s="133"/>
      <c r="I831" s="133"/>
      <c r="J831" s="140"/>
      <c r="K831" s="129"/>
      <c r="L831" s="129"/>
      <c r="M831" s="129"/>
      <c r="N831" s="129"/>
      <c r="O831" s="140"/>
      <c r="P831" s="140"/>
      <c r="Q831" s="133"/>
      <c r="R831" s="140"/>
      <c r="S831" s="133"/>
      <c r="T831" s="133"/>
    </row>
    <row r="832">
      <c r="A832" s="141"/>
      <c r="B832" s="142"/>
      <c r="C832" s="133"/>
      <c r="D832" s="133"/>
      <c r="E832" s="140"/>
      <c r="F832" s="140"/>
      <c r="G832" s="140"/>
      <c r="H832" s="133"/>
      <c r="I832" s="133"/>
      <c r="J832" s="140"/>
      <c r="K832" s="129"/>
      <c r="L832" s="129"/>
      <c r="M832" s="129"/>
      <c r="N832" s="129"/>
      <c r="O832" s="140"/>
      <c r="P832" s="140"/>
      <c r="Q832" s="133"/>
      <c r="R832" s="140"/>
      <c r="S832" s="133"/>
      <c r="T832" s="133"/>
    </row>
    <row r="833">
      <c r="A833" s="141"/>
      <c r="B833" s="142"/>
      <c r="C833" s="133"/>
      <c r="D833" s="133"/>
      <c r="E833" s="140"/>
      <c r="F833" s="140"/>
      <c r="G833" s="140"/>
      <c r="H833" s="133"/>
      <c r="I833" s="133"/>
      <c r="J833" s="140"/>
      <c r="K833" s="129"/>
      <c r="L833" s="129"/>
      <c r="M833" s="129"/>
      <c r="N833" s="129"/>
      <c r="O833" s="140"/>
      <c r="P833" s="140"/>
      <c r="Q833" s="133"/>
      <c r="R833" s="140"/>
      <c r="S833" s="133"/>
      <c r="T833" s="133"/>
    </row>
    <row r="834">
      <c r="A834" s="141"/>
      <c r="B834" s="142"/>
      <c r="C834" s="133"/>
      <c r="D834" s="133"/>
      <c r="E834" s="140"/>
      <c r="F834" s="140"/>
      <c r="G834" s="140"/>
      <c r="H834" s="133"/>
      <c r="I834" s="133"/>
      <c r="J834" s="140"/>
      <c r="K834" s="129"/>
      <c r="L834" s="129"/>
      <c r="M834" s="129"/>
      <c r="N834" s="129"/>
      <c r="O834" s="140"/>
      <c r="P834" s="140"/>
      <c r="Q834" s="133"/>
      <c r="R834" s="140"/>
      <c r="S834" s="133"/>
      <c r="T834" s="133"/>
    </row>
    <row r="835">
      <c r="A835" s="141"/>
      <c r="B835" s="142"/>
      <c r="C835" s="133"/>
      <c r="D835" s="133"/>
      <c r="E835" s="140"/>
      <c r="F835" s="140"/>
      <c r="G835" s="140"/>
      <c r="H835" s="133"/>
      <c r="I835" s="133"/>
      <c r="J835" s="140"/>
      <c r="K835" s="129"/>
      <c r="L835" s="129"/>
      <c r="M835" s="129"/>
      <c r="N835" s="129"/>
      <c r="O835" s="140"/>
      <c r="P835" s="140"/>
      <c r="Q835" s="133"/>
      <c r="R835" s="140"/>
      <c r="S835" s="133"/>
      <c r="T835" s="133"/>
    </row>
    <row r="836">
      <c r="A836" s="141"/>
      <c r="B836" s="142"/>
      <c r="C836" s="133"/>
      <c r="D836" s="133"/>
      <c r="E836" s="140"/>
      <c r="F836" s="140"/>
      <c r="G836" s="140"/>
      <c r="H836" s="133"/>
      <c r="I836" s="133"/>
      <c r="J836" s="140"/>
      <c r="K836" s="129"/>
      <c r="L836" s="129"/>
      <c r="M836" s="129"/>
      <c r="N836" s="129"/>
      <c r="O836" s="140"/>
      <c r="P836" s="140"/>
      <c r="Q836" s="133"/>
      <c r="R836" s="140"/>
      <c r="S836" s="133"/>
      <c r="T836" s="133"/>
    </row>
    <row r="837">
      <c r="A837" s="141"/>
      <c r="B837" s="142"/>
      <c r="C837" s="133"/>
      <c r="D837" s="133"/>
      <c r="E837" s="140"/>
      <c r="F837" s="140"/>
      <c r="G837" s="140"/>
      <c r="H837" s="133"/>
      <c r="I837" s="133"/>
      <c r="J837" s="140"/>
      <c r="K837" s="129"/>
      <c r="L837" s="129"/>
      <c r="M837" s="129"/>
      <c r="N837" s="129"/>
      <c r="O837" s="140"/>
      <c r="P837" s="140"/>
      <c r="Q837" s="133"/>
      <c r="R837" s="140"/>
      <c r="S837" s="133"/>
      <c r="T837" s="133"/>
    </row>
    <row r="838">
      <c r="A838" s="141"/>
      <c r="B838" s="142"/>
      <c r="C838" s="133"/>
      <c r="D838" s="133"/>
      <c r="E838" s="140"/>
      <c r="F838" s="140"/>
      <c r="G838" s="140"/>
      <c r="H838" s="133"/>
      <c r="I838" s="133"/>
      <c r="J838" s="140"/>
      <c r="K838" s="129"/>
      <c r="L838" s="129"/>
      <c r="M838" s="129"/>
      <c r="N838" s="129"/>
      <c r="O838" s="140"/>
      <c r="P838" s="140"/>
      <c r="Q838" s="133"/>
      <c r="R838" s="140"/>
      <c r="S838" s="133"/>
      <c r="T838" s="133"/>
    </row>
    <row r="839">
      <c r="A839" s="141"/>
      <c r="B839" s="142"/>
      <c r="C839" s="133"/>
      <c r="D839" s="133"/>
      <c r="E839" s="140"/>
      <c r="F839" s="140"/>
      <c r="G839" s="140"/>
      <c r="H839" s="133"/>
      <c r="I839" s="133"/>
      <c r="J839" s="140"/>
      <c r="K839" s="129"/>
      <c r="L839" s="129"/>
      <c r="M839" s="129"/>
      <c r="N839" s="129"/>
      <c r="O839" s="140"/>
      <c r="P839" s="140"/>
      <c r="Q839" s="133"/>
      <c r="R839" s="140"/>
      <c r="S839" s="133"/>
      <c r="T839" s="133"/>
    </row>
    <row r="840">
      <c r="A840" s="141"/>
      <c r="B840" s="142"/>
      <c r="C840" s="133"/>
      <c r="D840" s="133"/>
      <c r="E840" s="140"/>
      <c r="F840" s="140"/>
      <c r="G840" s="140"/>
      <c r="H840" s="133"/>
      <c r="I840" s="133"/>
      <c r="J840" s="140"/>
      <c r="K840" s="129"/>
      <c r="L840" s="129"/>
      <c r="M840" s="129"/>
      <c r="N840" s="129"/>
      <c r="O840" s="140"/>
      <c r="P840" s="140"/>
      <c r="Q840" s="133"/>
      <c r="R840" s="140"/>
      <c r="S840" s="133"/>
      <c r="T840" s="133"/>
    </row>
    <row r="841">
      <c r="A841" s="141"/>
      <c r="B841" s="142"/>
      <c r="C841" s="133"/>
      <c r="D841" s="133"/>
      <c r="E841" s="140"/>
      <c r="F841" s="140"/>
      <c r="G841" s="140"/>
      <c r="H841" s="133"/>
      <c r="I841" s="133"/>
      <c r="J841" s="140"/>
      <c r="K841" s="129"/>
      <c r="L841" s="129"/>
      <c r="M841" s="129"/>
      <c r="N841" s="129"/>
      <c r="O841" s="140"/>
      <c r="P841" s="140"/>
      <c r="Q841" s="133"/>
      <c r="R841" s="140"/>
      <c r="S841" s="133"/>
      <c r="T841" s="133"/>
    </row>
    <row r="842">
      <c r="A842" s="141"/>
      <c r="B842" s="142"/>
      <c r="C842" s="133"/>
      <c r="D842" s="133"/>
      <c r="E842" s="140"/>
      <c r="F842" s="140"/>
      <c r="G842" s="140"/>
      <c r="H842" s="133"/>
      <c r="I842" s="133"/>
      <c r="J842" s="140"/>
      <c r="K842" s="129"/>
      <c r="L842" s="129"/>
      <c r="M842" s="129"/>
      <c r="N842" s="129"/>
      <c r="O842" s="140"/>
      <c r="P842" s="140"/>
      <c r="Q842" s="133"/>
      <c r="R842" s="140"/>
      <c r="S842" s="133"/>
      <c r="T842" s="133"/>
    </row>
    <row r="843">
      <c r="A843" s="141"/>
      <c r="B843" s="142"/>
      <c r="C843" s="133"/>
      <c r="D843" s="133"/>
      <c r="E843" s="140"/>
      <c r="F843" s="140"/>
      <c r="G843" s="140"/>
      <c r="H843" s="133"/>
      <c r="I843" s="133"/>
      <c r="J843" s="140"/>
      <c r="K843" s="129"/>
      <c r="L843" s="129"/>
      <c r="M843" s="129"/>
      <c r="N843" s="129"/>
      <c r="O843" s="140"/>
      <c r="P843" s="140"/>
      <c r="Q843" s="133"/>
      <c r="R843" s="140"/>
      <c r="S843" s="133"/>
      <c r="T843" s="133"/>
    </row>
    <row r="844">
      <c r="A844" s="141"/>
      <c r="B844" s="142"/>
      <c r="C844" s="133"/>
      <c r="D844" s="133"/>
      <c r="E844" s="140"/>
      <c r="F844" s="140"/>
      <c r="G844" s="140"/>
      <c r="H844" s="133"/>
      <c r="I844" s="133"/>
      <c r="J844" s="140"/>
      <c r="K844" s="129"/>
      <c r="L844" s="129"/>
      <c r="M844" s="129"/>
      <c r="N844" s="129"/>
      <c r="O844" s="140"/>
      <c r="P844" s="140"/>
      <c r="Q844" s="133"/>
      <c r="R844" s="140"/>
      <c r="S844" s="133"/>
      <c r="T844" s="133"/>
    </row>
    <row r="845">
      <c r="A845" s="141"/>
      <c r="B845" s="142"/>
      <c r="C845" s="133"/>
      <c r="D845" s="133"/>
      <c r="E845" s="140"/>
      <c r="F845" s="140"/>
      <c r="G845" s="140"/>
      <c r="H845" s="133"/>
      <c r="I845" s="133"/>
      <c r="J845" s="140"/>
      <c r="K845" s="129"/>
      <c r="L845" s="129"/>
      <c r="M845" s="129"/>
      <c r="N845" s="129"/>
      <c r="O845" s="140"/>
      <c r="P845" s="140"/>
      <c r="Q845" s="133"/>
      <c r="R845" s="140"/>
      <c r="S845" s="133"/>
      <c r="T845" s="133"/>
    </row>
    <row r="846">
      <c r="A846" s="141"/>
      <c r="B846" s="142"/>
      <c r="C846" s="133"/>
      <c r="D846" s="133"/>
      <c r="E846" s="140"/>
      <c r="F846" s="140"/>
      <c r="G846" s="140"/>
      <c r="H846" s="133"/>
      <c r="I846" s="133"/>
      <c r="J846" s="140"/>
      <c r="K846" s="129"/>
      <c r="L846" s="129"/>
      <c r="M846" s="129"/>
      <c r="N846" s="129"/>
      <c r="O846" s="140"/>
      <c r="P846" s="140"/>
      <c r="Q846" s="133"/>
      <c r="R846" s="140"/>
      <c r="S846" s="133"/>
      <c r="T846" s="133"/>
    </row>
    <row r="847">
      <c r="A847" s="141"/>
      <c r="B847" s="142"/>
      <c r="C847" s="133"/>
      <c r="D847" s="133"/>
      <c r="E847" s="140"/>
      <c r="F847" s="140"/>
      <c r="G847" s="140"/>
      <c r="H847" s="133"/>
      <c r="I847" s="133"/>
      <c r="J847" s="140"/>
      <c r="K847" s="129"/>
      <c r="L847" s="129"/>
      <c r="M847" s="129"/>
      <c r="N847" s="129"/>
      <c r="O847" s="140"/>
      <c r="P847" s="140"/>
      <c r="Q847" s="133"/>
      <c r="R847" s="140"/>
      <c r="S847" s="133"/>
      <c r="T847" s="133"/>
    </row>
    <row r="848">
      <c r="A848" s="141"/>
      <c r="B848" s="142"/>
      <c r="C848" s="133"/>
      <c r="D848" s="133"/>
      <c r="E848" s="140"/>
      <c r="F848" s="140"/>
      <c r="G848" s="140"/>
      <c r="H848" s="133"/>
      <c r="I848" s="133"/>
      <c r="J848" s="140"/>
      <c r="K848" s="129"/>
      <c r="L848" s="129"/>
      <c r="M848" s="129"/>
      <c r="N848" s="129"/>
      <c r="O848" s="140"/>
      <c r="P848" s="140"/>
      <c r="Q848" s="133"/>
      <c r="R848" s="140"/>
      <c r="S848" s="133"/>
      <c r="T848" s="133"/>
    </row>
    <row r="849">
      <c r="A849" s="141"/>
      <c r="B849" s="142"/>
      <c r="C849" s="133"/>
      <c r="D849" s="133"/>
      <c r="E849" s="140"/>
      <c r="F849" s="140"/>
      <c r="G849" s="140"/>
      <c r="H849" s="133"/>
      <c r="I849" s="133"/>
      <c r="J849" s="140"/>
      <c r="K849" s="129"/>
      <c r="L849" s="129"/>
      <c r="M849" s="129"/>
      <c r="N849" s="129"/>
      <c r="O849" s="140"/>
      <c r="P849" s="140"/>
      <c r="Q849" s="133"/>
      <c r="R849" s="140"/>
      <c r="S849" s="133"/>
      <c r="T849" s="133"/>
    </row>
    <row r="850">
      <c r="A850" s="141"/>
      <c r="B850" s="142"/>
      <c r="C850" s="133"/>
      <c r="D850" s="133"/>
      <c r="E850" s="140"/>
      <c r="F850" s="140"/>
      <c r="G850" s="140"/>
      <c r="H850" s="133"/>
      <c r="I850" s="133"/>
      <c r="J850" s="140"/>
      <c r="K850" s="129"/>
      <c r="L850" s="129"/>
      <c r="M850" s="129"/>
      <c r="N850" s="129"/>
      <c r="O850" s="140"/>
      <c r="P850" s="140"/>
      <c r="Q850" s="133"/>
      <c r="R850" s="140"/>
      <c r="S850" s="133"/>
      <c r="T850" s="133"/>
    </row>
    <row r="851">
      <c r="A851" s="141"/>
      <c r="B851" s="142"/>
      <c r="C851" s="133"/>
      <c r="D851" s="133"/>
      <c r="E851" s="140"/>
      <c r="F851" s="140"/>
      <c r="G851" s="140"/>
      <c r="H851" s="133"/>
      <c r="I851" s="133"/>
      <c r="J851" s="140"/>
      <c r="K851" s="129"/>
      <c r="L851" s="129"/>
      <c r="M851" s="129"/>
      <c r="N851" s="129"/>
      <c r="O851" s="140"/>
      <c r="P851" s="140"/>
      <c r="Q851" s="133"/>
      <c r="R851" s="140"/>
      <c r="S851" s="133"/>
      <c r="T851" s="133"/>
    </row>
    <row r="852">
      <c r="A852" s="141"/>
      <c r="B852" s="142"/>
      <c r="C852" s="133"/>
      <c r="D852" s="133"/>
      <c r="E852" s="140"/>
      <c r="F852" s="140"/>
      <c r="G852" s="140"/>
      <c r="H852" s="133"/>
      <c r="I852" s="133"/>
      <c r="J852" s="140"/>
      <c r="K852" s="129"/>
      <c r="L852" s="129"/>
      <c r="M852" s="129"/>
      <c r="N852" s="129"/>
      <c r="O852" s="140"/>
      <c r="P852" s="140"/>
      <c r="Q852" s="133"/>
      <c r="R852" s="140"/>
      <c r="S852" s="133"/>
      <c r="T852" s="133"/>
    </row>
    <row r="853">
      <c r="A853" s="141"/>
      <c r="B853" s="142"/>
      <c r="C853" s="133"/>
      <c r="D853" s="133"/>
      <c r="E853" s="140"/>
      <c r="F853" s="140"/>
      <c r="G853" s="140"/>
      <c r="H853" s="133"/>
      <c r="I853" s="133"/>
      <c r="J853" s="140"/>
      <c r="K853" s="129"/>
      <c r="L853" s="129"/>
      <c r="M853" s="129"/>
      <c r="N853" s="129"/>
      <c r="O853" s="140"/>
      <c r="P853" s="140"/>
      <c r="Q853" s="133"/>
      <c r="R853" s="140"/>
      <c r="S853" s="133"/>
      <c r="T853" s="133"/>
    </row>
    <row r="854">
      <c r="A854" s="141"/>
      <c r="B854" s="142"/>
      <c r="C854" s="133"/>
      <c r="D854" s="133"/>
      <c r="E854" s="140"/>
      <c r="F854" s="140"/>
      <c r="G854" s="140"/>
      <c r="H854" s="133"/>
      <c r="I854" s="133"/>
      <c r="J854" s="140"/>
      <c r="K854" s="129"/>
      <c r="L854" s="129"/>
      <c r="M854" s="129"/>
      <c r="N854" s="129"/>
      <c r="O854" s="140"/>
      <c r="P854" s="140"/>
      <c r="Q854" s="133"/>
      <c r="R854" s="140"/>
      <c r="S854" s="133"/>
      <c r="T854" s="133"/>
    </row>
    <row r="855">
      <c r="A855" s="141"/>
      <c r="B855" s="142"/>
      <c r="C855" s="133"/>
      <c r="D855" s="133"/>
      <c r="E855" s="140"/>
      <c r="F855" s="140"/>
      <c r="G855" s="140"/>
      <c r="H855" s="133"/>
      <c r="I855" s="133"/>
      <c r="J855" s="140"/>
      <c r="K855" s="129"/>
      <c r="L855" s="129"/>
      <c r="M855" s="129"/>
      <c r="N855" s="129"/>
      <c r="O855" s="140"/>
      <c r="P855" s="140"/>
      <c r="Q855" s="133"/>
      <c r="R855" s="140"/>
      <c r="S855" s="133"/>
      <c r="T855" s="133"/>
    </row>
    <row r="856">
      <c r="A856" s="141"/>
      <c r="B856" s="142"/>
      <c r="C856" s="133"/>
      <c r="D856" s="133"/>
      <c r="E856" s="140"/>
      <c r="F856" s="140"/>
      <c r="G856" s="140"/>
      <c r="H856" s="133"/>
      <c r="I856" s="133"/>
      <c r="J856" s="140"/>
      <c r="K856" s="129"/>
      <c r="L856" s="129"/>
      <c r="M856" s="129"/>
      <c r="N856" s="129"/>
      <c r="O856" s="140"/>
      <c r="P856" s="140"/>
      <c r="Q856" s="133"/>
      <c r="R856" s="140"/>
      <c r="S856" s="133"/>
      <c r="T856" s="133"/>
    </row>
    <row r="857">
      <c r="A857" s="141"/>
      <c r="B857" s="142"/>
      <c r="C857" s="133"/>
      <c r="D857" s="133"/>
      <c r="E857" s="140"/>
      <c r="F857" s="140"/>
      <c r="G857" s="140"/>
      <c r="H857" s="133"/>
      <c r="I857" s="133"/>
      <c r="J857" s="140"/>
      <c r="K857" s="129"/>
      <c r="L857" s="129"/>
      <c r="M857" s="129"/>
      <c r="N857" s="129"/>
      <c r="O857" s="140"/>
      <c r="P857" s="140"/>
      <c r="Q857" s="133"/>
      <c r="R857" s="140"/>
      <c r="S857" s="133"/>
      <c r="T857" s="133"/>
    </row>
    <row r="858">
      <c r="A858" s="141"/>
      <c r="B858" s="142"/>
      <c r="C858" s="133"/>
      <c r="D858" s="133"/>
      <c r="E858" s="140"/>
      <c r="F858" s="140"/>
      <c r="G858" s="140"/>
      <c r="H858" s="133"/>
      <c r="I858" s="133"/>
      <c r="J858" s="140"/>
      <c r="K858" s="129"/>
      <c r="L858" s="129"/>
      <c r="M858" s="129"/>
      <c r="N858" s="129"/>
      <c r="O858" s="140"/>
      <c r="P858" s="140"/>
      <c r="Q858" s="133"/>
      <c r="R858" s="140"/>
      <c r="S858" s="133"/>
      <c r="T858" s="133"/>
    </row>
    <row r="859">
      <c r="A859" s="141"/>
      <c r="B859" s="142"/>
      <c r="C859" s="133"/>
      <c r="D859" s="133"/>
      <c r="E859" s="140"/>
      <c r="F859" s="140"/>
      <c r="G859" s="140"/>
      <c r="H859" s="133"/>
      <c r="I859" s="133"/>
      <c r="J859" s="140"/>
      <c r="K859" s="129"/>
      <c r="L859" s="129"/>
      <c r="M859" s="129"/>
      <c r="N859" s="129"/>
      <c r="O859" s="140"/>
      <c r="P859" s="140"/>
      <c r="Q859" s="133"/>
      <c r="R859" s="140"/>
      <c r="S859" s="133"/>
      <c r="T859" s="133"/>
    </row>
    <row r="860">
      <c r="A860" s="141"/>
      <c r="B860" s="142"/>
      <c r="C860" s="133"/>
      <c r="D860" s="133"/>
      <c r="E860" s="140"/>
      <c r="F860" s="140"/>
      <c r="G860" s="140"/>
      <c r="H860" s="133"/>
      <c r="I860" s="133"/>
      <c r="J860" s="140"/>
      <c r="K860" s="129"/>
      <c r="L860" s="129"/>
      <c r="M860" s="129"/>
      <c r="N860" s="129"/>
      <c r="O860" s="140"/>
      <c r="P860" s="140"/>
      <c r="Q860" s="133"/>
      <c r="R860" s="140"/>
      <c r="S860" s="133"/>
      <c r="T860" s="133"/>
    </row>
    <row r="861">
      <c r="A861" s="141"/>
      <c r="B861" s="142"/>
      <c r="C861" s="133"/>
      <c r="D861" s="133"/>
      <c r="E861" s="140"/>
      <c r="F861" s="140"/>
      <c r="G861" s="140"/>
      <c r="H861" s="133"/>
      <c r="I861" s="133"/>
      <c r="J861" s="140"/>
      <c r="K861" s="129"/>
      <c r="L861" s="129"/>
      <c r="M861" s="129"/>
      <c r="N861" s="129"/>
      <c r="O861" s="140"/>
      <c r="P861" s="140"/>
      <c r="Q861" s="133"/>
      <c r="R861" s="140"/>
      <c r="S861" s="133"/>
      <c r="T861" s="133"/>
    </row>
    <row r="862">
      <c r="A862" s="141"/>
      <c r="B862" s="142"/>
      <c r="C862" s="133"/>
      <c r="D862" s="133"/>
      <c r="E862" s="140"/>
      <c r="F862" s="140"/>
      <c r="G862" s="140"/>
      <c r="H862" s="133"/>
      <c r="I862" s="133"/>
      <c r="J862" s="140"/>
      <c r="K862" s="129"/>
      <c r="L862" s="129"/>
      <c r="M862" s="129"/>
      <c r="N862" s="129"/>
      <c r="O862" s="140"/>
      <c r="P862" s="140"/>
      <c r="Q862" s="133"/>
      <c r="R862" s="140"/>
      <c r="S862" s="133"/>
      <c r="T862" s="133"/>
    </row>
    <row r="863">
      <c r="A863" s="141"/>
      <c r="B863" s="142"/>
      <c r="C863" s="133"/>
      <c r="D863" s="133"/>
      <c r="E863" s="140"/>
      <c r="F863" s="140"/>
      <c r="G863" s="140"/>
      <c r="H863" s="133"/>
      <c r="I863" s="133"/>
      <c r="J863" s="140"/>
      <c r="K863" s="129"/>
      <c r="L863" s="129"/>
      <c r="M863" s="129"/>
      <c r="N863" s="129"/>
      <c r="O863" s="140"/>
      <c r="P863" s="140"/>
      <c r="Q863" s="133"/>
      <c r="R863" s="140"/>
      <c r="S863" s="133"/>
      <c r="T863" s="133"/>
    </row>
    <row r="864">
      <c r="A864" s="141"/>
      <c r="B864" s="142"/>
      <c r="C864" s="133"/>
      <c r="D864" s="133"/>
      <c r="E864" s="140"/>
      <c r="F864" s="140"/>
      <c r="G864" s="140"/>
      <c r="H864" s="133"/>
      <c r="I864" s="133"/>
      <c r="J864" s="140"/>
      <c r="K864" s="129"/>
      <c r="L864" s="129"/>
      <c r="M864" s="129"/>
      <c r="N864" s="129"/>
      <c r="O864" s="140"/>
      <c r="P864" s="140"/>
      <c r="Q864" s="133"/>
      <c r="R864" s="140"/>
      <c r="S864" s="133"/>
      <c r="T864" s="133"/>
    </row>
    <row r="865">
      <c r="A865" s="141"/>
      <c r="B865" s="142"/>
      <c r="C865" s="133"/>
      <c r="D865" s="133"/>
      <c r="E865" s="140"/>
      <c r="F865" s="140"/>
      <c r="G865" s="140"/>
      <c r="H865" s="133"/>
      <c r="I865" s="133"/>
      <c r="J865" s="140"/>
      <c r="K865" s="129"/>
      <c r="L865" s="129"/>
      <c r="M865" s="129"/>
      <c r="N865" s="129"/>
      <c r="O865" s="140"/>
      <c r="P865" s="140"/>
      <c r="Q865" s="133"/>
      <c r="R865" s="140"/>
      <c r="S865" s="133"/>
      <c r="T865" s="133"/>
    </row>
    <row r="866">
      <c r="A866" s="141"/>
      <c r="B866" s="142"/>
      <c r="C866" s="133"/>
      <c r="D866" s="133"/>
      <c r="E866" s="140"/>
      <c r="F866" s="140"/>
      <c r="G866" s="140"/>
      <c r="H866" s="133"/>
      <c r="I866" s="133"/>
      <c r="J866" s="140"/>
      <c r="K866" s="129"/>
      <c r="L866" s="129"/>
      <c r="M866" s="129"/>
      <c r="N866" s="129"/>
      <c r="O866" s="140"/>
      <c r="P866" s="140"/>
      <c r="Q866" s="133"/>
      <c r="R866" s="140"/>
      <c r="S866" s="133"/>
      <c r="T866" s="133"/>
    </row>
    <row r="867">
      <c r="A867" s="141"/>
      <c r="B867" s="142"/>
      <c r="C867" s="133"/>
      <c r="D867" s="133"/>
      <c r="E867" s="140"/>
      <c r="F867" s="140"/>
      <c r="G867" s="140"/>
      <c r="H867" s="133"/>
      <c r="I867" s="133"/>
      <c r="J867" s="140"/>
      <c r="K867" s="129"/>
      <c r="L867" s="129"/>
      <c r="M867" s="129"/>
      <c r="N867" s="129"/>
      <c r="O867" s="140"/>
      <c r="P867" s="140"/>
      <c r="Q867" s="133"/>
      <c r="R867" s="140"/>
      <c r="S867" s="133"/>
      <c r="T867" s="133"/>
    </row>
    <row r="868">
      <c r="A868" s="141"/>
      <c r="B868" s="142"/>
      <c r="C868" s="133"/>
      <c r="D868" s="133"/>
      <c r="E868" s="140"/>
      <c r="F868" s="140"/>
      <c r="G868" s="140"/>
      <c r="H868" s="133"/>
      <c r="I868" s="133"/>
      <c r="J868" s="140"/>
      <c r="K868" s="129"/>
      <c r="L868" s="129"/>
      <c r="M868" s="129"/>
      <c r="N868" s="129"/>
      <c r="O868" s="140"/>
      <c r="P868" s="140"/>
      <c r="Q868" s="133"/>
      <c r="R868" s="140"/>
      <c r="S868" s="133"/>
      <c r="T868" s="133"/>
    </row>
    <row r="869">
      <c r="A869" s="141"/>
      <c r="B869" s="142"/>
      <c r="C869" s="133"/>
      <c r="D869" s="133"/>
      <c r="E869" s="140"/>
      <c r="F869" s="140"/>
      <c r="G869" s="140"/>
      <c r="H869" s="133"/>
      <c r="I869" s="133"/>
      <c r="J869" s="140"/>
      <c r="K869" s="129"/>
      <c r="L869" s="129"/>
      <c r="M869" s="129"/>
      <c r="N869" s="129"/>
      <c r="O869" s="140"/>
      <c r="P869" s="140"/>
      <c r="Q869" s="133"/>
      <c r="R869" s="140"/>
      <c r="S869" s="133"/>
      <c r="T869" s="133"/>
    </row>
    <row r="870">
      <c r="A870" s="141"/>
      <c r="B870" s="142"/>
      <c r="C870" s="133"/>
      <c r="D870" s="133"/>
      <c r="E870" s="140"/>
      <c r="F870" s="140"/>
      <c r="G870" s="140"/>
      <c r="H870" s="133"/>
      <c r="I870" s="133"/>
      <c r="J870" s="140"/>
      <c r="K870" s="129"/>
      <c r="L870" s="129"/>
      <c r="M870" s="129"/>
      <c r="N870" s="129"/>
      <c r="O870" s="140"/>
      <c r="P870" s="140"/>
      <c r="Q870" s="133"/>
      <c r="R870" s="140"/>
      <c r="S870" s="133"/>
      <c r="T870" s="133"/>
    </row>
    <row r="871">
      <c r="A871" s="141"/>
      <c r="B871" s="142"/>
      <c r="C871" s="133"/>
      <c r="D871" s="133"/>
      <c r="E871" s="140"/>
      <c r="F871" s="140"/>
      <c r="G871" s="140"/>
      <c r="H871" s="133"/>
      <c r="I871" s="133"/>
      <c r="J871" s="140"/>
      <c r="K871" s="129"/>
      <c r="L871" s="129"/>
      <c r="M871" s="129"/>
      <c r="N871" s="129"/>
      <c r="O871" s="140"/>
      <c r="P871" s="140"/>
      <c r="Q871" s="133"/>
      <c r="R871" s="140"/>
      <c r="S871" s="133"/>
      <c r="T871" s="133"/>
    </row>
    <row r="872">
      <c r="A872" s="141"/>
      <c r="B872" s="142"/>
      <c r="C872" s="133"/>
      <c r="D872" s="133"/>
      <c r="E872" s="140"/>
      <c r="F872" s="140"/>
      <c r="G872" s="140"/>
      <c r="H872" s="133"/>
      <c r="I872" s="133"/>
      <c r="J872" s="140"/>
      <c r="K872" s="129"/>
      <c r="L872" s="129"/>
      <c r="M872" s="129"/>
      <c r="N872" s="129"/>
      <c r="O872" s="140"/>
      <c r="P872" s="140"/>
      <c r="Q872" s="133"/>
      <c r="R872" s="140"/>
      <c r="S872" s="133"/>
      <c r="T872" s="133"/>
    </row>
    <row r="873">
      <c r="A873" s="141"/>
      <c r="B873" s="142"/>
      <c r="C873" s="133"/>
      <c r="D873" s="133"/>
      <c r="E873" s="140"/>
      <c r="F873" s="140"/>
      <c r="G873" s="140"/>
      <c r="H873" s="133"/>
      <c r="I873" s="133"/>
      <c r="J873" s="140"/>
      <c r="K873" s="129"/>
      <c r="L873" s="129"/>
      <c r="M873" s="129"/>
      <c r="N873" s="129"/>
      <c r="O873" s="140"/>
      <c r="P873" s="140"/>
      <c r="Q873" s="133"/>
      <c r="R873" s="140"/>
      <c r="S873" s="133"/>
      <c r="T873" s="133"/>
    </row>
    <row r="874">
      <c r="A874" s="141"/>
      <c r="B874" s="142"/>
      <c r="C874" s="133"/>
      <c r="D874" s="133"/>
      <c r="E874" s="140"/>
      <c r="F874" s="140"/>
      <c r="G874" s="140"/>
      <c r="H874" s="133"/>
      <c r="I874" s="133"/>
      <c r="J874" s="140"/>
      <c r="K874" s="129"/>
      <c r="L874" s="129"/>
      <c r="M874" s="129"/>
      <c r="N874" s="129"/>
      <c r="O874" s="140"/>
      <c r="P874" s="140"/>
      <c r="Q874" s="133"/>
      <c r="R874" s="140"/>
      <c r="S874" s="133"/>
      <c r="T874" s="133"/>
    </row>
    <row r="875">
      <c r="A875" s="141"/>
      <c r="B875" s="142"/>
      <c r="C875" s="133"/>
      <c r="D875" s="133"/>
      <c r="E875" s="140"/>
      <c r="F875" s="140"/>
      <c r="G875" s="140"/>
      <c r="H875" s="133"/>
      <c r="I875" s="133"/>
      <c r="J875" s="140"/>
      <c r="K875" s="129"/>
      <c r="L875" s="129"/>
      <c r="M875" s="129"/>
      <c r="N875" s="129"/>
      <c r="O875" s="140"/>
      <c r="P875" s="140"/>
      <c r="Q875" s="133"/>
      <c r="R875" s="140"/>
      <c r="S875" s="133"/>
      <c r="T875" s="133"/>
    </row>
    <row r="876">
      <c r="A876" s="141"/>
      <c r="B876" s="142"/>
      <c r="C876" s="133"/>
      <c r="D876" s="133"/>
      <c r="E876" s="140"/>
      <c r="F876" s="140"/>
      <c r="G876" s="140"/>
      <c r="H876" s="133"/>
      <c r="I876" s="133"/>
      <c r="J876" s="140"/>
      <c r="K876" s="129"/>
      <c r="L876" s="129"/>
      <c r="M876" s="129"/>
      <c r="N876" s="129"/>
      <c r="O876" s="140"/>
      <c r="P876" s="140"/>
      <c r="Q876" s="133"/>
      <c r="R876" s="140"/>
      <c r="S876" s="133"/>
      <c r="T876" s="133"/>
    </row>
    <row r="877">
      <c r="A877" s="141"/>
      <c r="B877" s="142"/>
      <c r="C877" s="133"/>
      <c r="D877" s="133"/>
      <c r="E877" s="140"/>
      <c r="F877" s="140"/>
      <c r="G877" s="140"/>
      <c r="H877" s="133"/>
      <c r="I877" s="133"/>
      <c r="J877" s="140"/>
      <c r="K877" s="129"/>
      <c r="L877" s="129"/>
      <c r="M877" s="129"/>
      <c r="N877" s="129"/>
      <c r="O877" s="140"/>
      <c r="P877" s="140"/>
      <c r="Q877" s="133"/>
      <c r="R877" s="140"/>
      <c r="S877" s="133"/>
      <c r="T877" s="133"/>
    </row>
    <row r="878">
      <c r="A878" s="141"/>
      <c r="B878" s="142"/>
      <c r="C878" s="133"/>
      <c r="D878" s="133"/>
      <c r="E878" s="140"/>
      <c r="F878" s="140"/>
      <c r="G878" s="140"/>
      <c r="H878" s="133"/>
      <c r="I878" s="133"/>
      <c r="J878" s="140"/>
      <c r="K878" s="129"/>
      <c r="L878" s="129"/>
      <c r="M878" s="129"/>
      <c r="N878" s="129"/>
      <c r="O878" s="140"/>
      <c r="P878" s="140"/>
      <c r="Q878" s="133"/>
      <c r="R878" s="140"/>
      <c r="S878" s="133"/>
      <c r="T878" s="133"/>
    </row>
    <row r="879">
      <c r="A879" s="141"/>
      <c r="B879" s="142"/>
      <c r="C879" s="133"/>
      <c r="D879" s="133"/>
      <c r="E879" s="140"/>
      <c r="F879" s="140"/>
      <c r="G879" s="140"/>
      <c r="H879" s="133"/>
      <c r="I879" s="133"/>
      <c r="J879" s="140"/>
      <c r="K879" s="129"/>
      <c r="L879" s="129"/>
      <c r="M879" s="129"/>
      <c r="N879" s="129"/>
      <c r="O879" s="140"/>
      <c r="P879" s="140"/>
      <c r="Q879" s="133"/>
      <c r="R879" s="140"/>
      <c r="S879" s="133"/>
      <c r="T879" s="133"/>
    </row>
    <row r="880">
      <c r="A880" s="141"/>
      <c r="B880" s="142"/>
      <c r="C880" s="133"/>
      <c r="D880" s="133"/>
      <c r="E880" s="140"/>
      <c r="F880" s="140"/>
      <c r="G880" s="140"/>
      <c r="H880" s="133"/>
      <c r="I880" s="133"/>
      <c r="J880" s="140"/>
      <c r="K880" s="129"/>
      <c r="L880" s="129"/>
      <c r="M880" s="129"/>
      <c r="N880" s="129"/>
      <c r="O880" s="140"/>
      <c r="P880" s="140"/>
      <c r="Q880" s="133"/>
      <c r="R880" s="140"/>
      <c r="S880" s="133"/>
      <c r="T880" s="133"/>
    </row>
    <row r="881">
      <c r="A881" s="141"/>
      <c r="B881" s="142"/>
      <c r="C881" s="133"/>
      <c r="D881" s="133"/>
      <c r="E881" s="140"/>
      <c r="F881" s="140"/>
      <c r="G881" s="140"/>
      <c r="H881" s="133"/>
      <c r="I881" s="133"/>
      <c r="J881" s="140"/>
      <c r="K881" s="129"/>
      <c r="L881" s="129"/>
      <c r="M881" s="129"/>
      <c r="N881" s="129"/>
      <c r="O881" s="140"/>
      <c r="P881" s="140"/>
      <c r="Q881" s="133"/>
      <c r="R881" s="140"/>
      <c r="S881" s="133"/>
      <c r="T881" s="133"/>
    </row>
    <row r="882">
      <c r="A882" s="141"/>
      <c r="B882" s="142"/>
      <c r="C882" s="133"/>
      <c r="D882" s="133"/>
      <c r="E882" s="140"/>
      <c r="F882" s="140"/>
      <c r="G882" s="140"/>
      <c r="H882" s="133"/>
      <c r="I882" s="133"/>
      <c r="J882" s="140"/>
      <c r="K882" s="129"/>
      <c r="L882" s="129"/>
      <c r="M882" s="129"/>
      <c r="N882" s="129"/>
      <c r="O882" s="140"/>
      <c r="P882" s="140"/>
      <c r="Q882" s="133"/>
      <c r="R882" s="140"/>
      <c r="S882" s="133"/>
      <c r="T882" s="133"/>
    </row>
    <row r="883">
      <c r="A883" s="141"/>
      <c r="B883" s="142"/>
      <c r="C883" s="133"/>
      <c r="D883" s="133"/>
      <c r="E883" s="140"/>
      <c r="F883" s="140"/>
      <c r="G883" s="140"/>
      <c r="H883" s="133"/>
      <c r="I883" s="133"/>
      <c r="J883" s="140"/>
      <c r="K883" s="129"/>
      <c r="L883" s="129"/>
      <c r="M883" s="129"/>
      <c r="N883" s="129"/>
      <c r="O883" s="140"/>
      <c r="P883" s="140"/>
      <c r="Q883" s="133"/>
      <c r="R883" s="140"/>
      <c r="S883" s="133"/>
      <c r="T883" s="133"/>
    </row>
    <row r="884">
      <c r="A884" s="141"/>
      <c r="B884" s="142"/>
      <c r="C884" s="133"/>
      <c r="D884" s="133"/>
      <c r="E884" s="140"/>
      <c r="F884" s="140"/>
      <c r="G884" s="140"/>
      <c r="H884" s="133"/>
      <c r="I884" s="133"/>
      <c r="J884" s="140"/>
      <c r="K884" s="129"/>
      <c r="L884" s="129"/>
      <c r="M884" s="129"/>
      <c r="N884" s="129"/>
      <c r="O884" s="140"/>
      <c r="P884" s="140"/>
      <c r="Q884" s="133"/>
      <c r="R884" s="140"/>
      <c r="S884" s="133"/>
      <c r="T884" s="133"/>
    </row>
    <row r="885">
      <c r="A885" s="141"/>
      <c r="B885" s="142"/>
      <c r="C885" s="133"/>
      <c r="D885" s="133"/>
      <c r="E885" s="140"/>
      <c r="F885" s="140"/>
      <c r="G885" s="140"/>
      <c r="H885" s="133"/>
      <c r="I885" s="133"/>
      <c r="J885" s="140"/>
      <c r="K885" s="129"/>
      <c r="L885" s="129"/>
      <c r="M885" s="129"/>
      <c r="N885" s="129"/>
      <c r="O885" s="140"/>
      <c r="P885" s="140"/>
      <c r="Q885" s="133"/>
      <c r="R885" s="140"/>
      <c r="S885" s="133"/>
      <c r="T885" s="133"/>
    </row>
    <row r="886">
      <c r="A886" s="141"/>
      <c r="B886" s="142"/>
      <c r="C886" s="133"/>
      <c r="D886" s="133"/>
      <c r="E886" s="140"/>
      <c r="F886" s="140"/>
      <c r="G886" s="140"/>
      <c r="H886" s="133"/>
      <c r="I886" s="133"/>
      <c r="J886" s="140"/>
      <c r="K886" s="129"/>
      <c r="L886" s="129"/>
      <c r="M886" s="129"/>
      <c r="N886" s="129"/>
      <c r="O886" s="140"/>
      <c r="P886" s="140"/>
      <c r="Q886" s="133"/>
      <c r="R886" s="140"/>
      <c r="S886" s="133"/>
      <c r="T886" s="133"/>
    </row>
    <row r="887">
      <c r="A887" s="141"/>
      <c r="B887" s="142"/>
      <c r="C887" s="133"/>
      <c r="D887" s="133"/>
      <c r="E887" s="140"/>
      <c r="F887" s="140"/>
      <c r="G887" s="140"/>
      <c r="H887" s="133"/>
      <c r="I887" s="133"/>
      <c r="J887" s="140"/>
      <c r="K887" s="129"/>
      <c r="L887" s="129"/>
      <c r="M887" s="129"/>
      <c r="N887" s="129"/>
      <c r="O887" s="140"/>
      <c r="P887" s="140"/>
      <c r="Q887" s="133"/>
      <c r="R887" s="140"/>
      <c r="S887" s="133"/>
      <c r="T887" s="133"/>
    </row>
    <row r="888">
      <c r="A888" s="141"/>
      <c r="B888" s="142"/>
      <c r="C888" s="133"/>
      <c r="D888" s="133"/>
      <c r="E888" s="140"/>
      <c r="F888" s="140"/>
      <c r="G888" s="140"/>
      <c r="H888" s="133"/>
      <c r="I888" s="133"/>
      <c r="J888" s="140"/>
      <c r="K888" s="129"/>
      <c r="L888" s="129"/>
      <c r="M888" s="129"/>
      <c r="N888" s="129"/>
      <c r="O888" s="140"/>
      <c r="P888" s="140"/>
      <c r="Q888" s="133"/>
      <c r="R888" s="140"/>
      <c r="S888" s="133"/>
      <c r="T888" s="133"/>
    </row>
    <row r="889">
      <c r="A889" s="141"/>
      <c r="B889" s="142"/>
      <c r="C889" s="133"/>
      <c r="D889" s="133"/>
      <c r="E889" s="140"/>
      <c r="F889" s="140"/>
      <c r="G889" s="140"/>
      <c r="H889" s="133"/>
      <c r="I889" s="133"/>
      <c r="J889" s="140"/>
      <c r="K889" s="129"/>
      <c r="L889" s="129"/>
      <c r="M889" s="129"/>
      <c r="N889" s="129"/>
      <c r="O889" s="140"/>
      <c r="P889" s="140"/>
      <c r="Q889" s="133"/>
      <c r="R889" s="140"/>
      <c r="S889" s="133"/>
      <c r="T889" s="133"/>
    </row>
    <row r="890">
      <c r="A890" s="141"/>
      <c r="B890" s="142"/>
      <c r="C890" s="133"/>
      <c r="D890" s="133"/>
      <c r="E890" s="140"/>
      <c r="F890" s="140"/>
      <c r="G890" s="140"/>
      <c r="H890" s="133"/>
      <c r="I890" s="133"/>
      <c r="J890" s="140"/>
      <c r="K890" s="129"/>
      <c r="L890" s="129"/>
      <c r="M890" s="129"/>
      <c r="N890" s="129"/>
      <c r="O890" s="140"/>
      <c r="P890" s="140"/>
      <c r="Q890" s="133"/>
      <c r="R890" s="140"/>
      <c r="S890" s="133"/>
      <c r="T890" s="133"/>
    </row>
    <row r="891">
      <c r="A891" s="141"/>
      <c r="B891" s="142"/>
      <c r="C891" s="133"/>
      <c r="D891" s="133"/>
      <c r="E891" s="140"/>
      <c r="F891" s="140"/>
      <c r="G891" s="140"/>
      <c r="H891" s="133"/>
      <c r="I891" s="133"/>
      <c r="J891" s="140"/>
      <c r="K891" s="129"/>
      <c r="L891" s="129"/>
      <c r="M891" s="129"/>
      <c r="N891" s="129"/>
      <c r="O891" s="140"/>
      <c r="P891" s="140"/>
      <c r="Q891" s="133"/>
      <c r="R891" s="140"/>
      <c r="S891" s="133"/>
      <c r="T891" s="133"/>
    </row>
    <row r="892">
      <c r="A892" s="141"/>
      <c r="B892" s="142"/>
      <c r="C892" s="133"/>
      <c r="D892" s="133"/>
      <c r="E892" s="140"/>
      <c r="F892" s="140"/>
      <c r="G892" s="140"/>
      <c r="H892" s="133"/>
      <c r="I892" s="133"/>
      <c r="J892" s="140"/>
      <c r="K892" s="129"/>
      <c r="L892" s="129"/>
      <c r="M892" s="129"/>
      <c r="N892" s="129"/>
      <c r="O892" s="140"/>
      <c r="P892" s="140"/>
      <c r="Q892" s="133"/>
      <c r="R892" s="140"/>
      <c r="S892" s="133"/>
      <c r="T892" s="133"/>
    </row>
    <row r="893">
      <c r="A893" s="141"/>
      <c r="B893" s="142"/>
      <c r="C893" s="133"/>
      <c r="D893" s="133"/>
      <c r="E893" s="140"/>
      <c r="F893" s="140"/>
      <c r="G893" s="140"/>
      <c r="H893" s="133"/>
      <c r="I893" s="133"/>
      <c r="J893" s="140"/>
      <c r="K893" s="129"/>
      <c r="L893" s="129"/>
      <c r="M893" s="129"/>
      <c r="N893" s="129"/>
      <c r="O893" s="140"/>
      <c r="P893" s="140"/>
      <c r="Q893" s="133"/>
      <c r="R893" s="140"/>
      <c r="S893" s="133"/>
      <c r="T893" s="133"/>
    </row>
    <row r="894">
      <c r="A894" s="141"/>
      <c r="B894" s="142"/>
      <c r="C894" s="133"/>
      <c r="D894" s="133"/>
      <c r="E894" s="140"/>
      <c r="F894" s="140"/>
      <c r="G894" s="140"/>
      <c r="H894" s="133"/>
      <c r="I894" s="133"/>
      <c r="J894" s="140"/>
      <c r="K894" s="129"/>
      <c r="L894" s="129"/>
      <c r="M894" s="129"/>
      <c r="N894" s="129"/>
      <c r="O894" s="140"/>
      <c r="P894" s="140"/>
      <c r="Q894" s="133"/>
      <c r="R894" s="140"/>
      <c r="S894" s="133"/>
      <c r="T894" s="133"/>
    </row>
    <row r="895">
      <c r="A895" s="141"/>
      <c r="B895" s="142"/>
      <c r="C895" s="133"/>
      <c r="D895" s="133"/>
      <c r="E895" s="140"/>
      <c r="F895" s="140"/>
      <c r="G895" s="140"/>
      <c r="H895" s="133"/>
      <c r="I895" s="133"/>
      <c r="J895" s="140"/>
      <c r="K895" s="129"/>
      <c r="L895" s="129"/>
      <c r="M895" s="129"/>
      <c r="N895" s="129"/>
      <c r="O895" s="140"/>
      <c r="P895" s="140"/>
      <c r="Q895" s="133"/>
      <c r="R895" s="140"/>
      <c r="S895" s="133"/>
      <c r="T895" s="133"/>
    </row>
    <row r="896">
      <c r="A896" s="141"/>
      <c r="B896" s="142"/>
      <c r="C896" s="133"/>
      <c r="D896" s="133"/>
      <c r="E896" s="140"/>
      <c r="F896" s="140"/>
      <c r="G896" s="140"/>
      <c r="H896" s="133"/>
      <c r="I896" s="133"/>
      <c r="J896" s="140"/>
      <c r="K896" s="129"/>
      <c r="L896" s="129"/>
      <c r="M896" s="129"/>
      <c r="N896" s="129"/>
      <c r="O896" s="140"/>
      <c r="P896" s="140"/>
      <c r="Q896" s="133"/>
      <c r="R896" s="140"/>
      <c r="S896" s="133"/>
      <c r="T896" s="133"/>
    </row>
    <row r="897">
      <c r="A897" s="141"/>
      <c r="B897" s="142"/>
      <c r="C897" s="133"/>
      <c r="D897" s="133"/>
      <c r="E897" s="140"/>
      <c r="F897" s="140"/>
      <c r="G897" s="140"/>
      <c r="H897" s="133"/>
      <c r="I897" s="133"/>
      <c r="J897" s="140"/>
      <c r="K897" s="129"/>
      <c r="L897" s="129"/>
      <c r="M897" s="129"/>
      <c r="N897" s="129"/>
      <c r="O897" s="140"/>
      <c r="P897" s="140"/>
      <c r="Q897" s="133"/>
      <c r="R897" s="140"/>
      <c r="S897" s="133"/>
      <c r="T897" s="133"/>
    </row>
    <row r="898">
      <c r="A898" s="141"/>
      <c r="B898" s="142"/>
      <c r="C898" s="133"/>
      <c r="D898" s="133"/>
      <c r="E898" s="140"/>
      <c r="F898" s="140"/>
      <c r="G898" s="140"/>
      <c r="H898" s="133"/>
      <c r="I898" s="133"/>
      <c r="J898" s="140"/>
      <c r="K898" s="129"/>
      <c r="L898" s="129"/>
      <c r="M898" s="129"/>
      <c r="N898" s="129"/>
      <c r="O898" s="140"/>
      <c r="P898" s="140"/>
      <c r="Q898" s="133"/>
      <c r="R898" s="140"/>
      <c r="S898" s="133"/>
      <c r="T898" s="133"/>
    </row>
    <row r="899">
      <c r="A899" s="141"/>
      <c r="B899" s="142"/>
      <c r="C899" s="133"/>
      <c r="D899" s="133"/>
      <c r="E899" s="140"/>
      <c r="F899" s="140"/>
      <c r="G899" s="140"/>
      <c r="H899" s="133"/>
      <c r="I899" s="133"/>
      <c r="J899" s="140"/>
      <c r="K899" s="129"/>
      <c r="L899" s="129"/>
      <c r="M899" s="129"/>
      <c r="N899" s="129"/>
      <c r="O899" s="140"/>
      <c r="P899" s="140"/>
      <c r="Q899" s="133"/>
      <c r="R899" s="140"/>
      <c r="S899" s="133"/>
      <c r="T899" s="133"/>
    </row>
    <row r="900">
      <c r="A900" s="141"/>
      <c r="B900" s="142"/>
      <c r="C900" s="133"/>
      <c r="D900" s="133"/>
      <c r="E900" s="140"/>
      <c r="F900" s="140"/>
      <c r="G900" s="140"/>
      <c r="H900" s="133"/>
      <c r="I900" s="133"/>
      <c r="J900" s="140"/>
      <c r="K900" s="129"/>
      <c r="L900" s="129"/>
      <c r="M900" s="129"/>
      <c r="N900" s="129"/>
      <c r="O900" s="140"/>
      <c r="P900" s="140"/>
      <c r="Q900" s="133"/>
      <c r="R900" s="140"/>
      <c r="S900" s="133"/>
      <c r="T900" s="133"/>
    </row>
    <row r="901">
      <c r="A901" s="141"/>
      <c r="B901" s="142"/>
      <c r="C901" s="133"/>
      <c r="D901" s="133"/>
      <c r="E901" s="140"/>
      <c r="F901" s="140"/>
      <c r="G901" s="140"/>
      <c r="H901" s="133"/>
      <c r="I901" s="133"/>
      <c r="J901" s="140"/>
      <c r="K901" s="129"/>
      <c r="L901" s="129"/>
      <c r="M901" s="129"/>
      <c r="N901" s="129"/>
      <c r="O901" s="140"/>
      <c r="P901" s="140"/>
      <c r="Q901" s="133"/>
      <c r="R901" s="140"/>
      <c r="S901" s="133"/>
      <c r="T901" s="133"/>
    </row>
    <row r="902">
      <c r="A902" s="141"/>
      <c r="B902" s="142"/>
      <c r="C902" s="133"/>
      <c r="D902" s="133"/>
      <c r="E902" s="140"/>
      <c r="F902" s="140"/>
      <c r="G902" s="140"/>
      <c r="H902" s="133"/>
      <c r="I902" s="133"/>
      <c r="J902" s="140"/>
      <c r="K902" s="129"/>
      <c r="L902" s="129"/>
      <c r="M902" s="129"/>
      <c r="N902" s="129"/>
      <c r="O902" s="140"/>
      <c r="P902" s="140"/>
      <c r="Q902" s="133"/>
      <c r="R902" s="140"/>
      <c r="S902" s="133"/>
      <c r="T902" s="133"/>
    </row>
    <row r="903">
      <c r="A903" s="141"/>
      <c r="B903" s="142"/>
      <c r="C903" s="133"/>
      <c r="D903" s="133"/>
      <c r="E903" s="140"/>
      <c r="F903" s="140"/>
      <c r="G903" s="140"/>
      <c r="H903" s="133"/>
      <c r="I903" s="133"/>
      <c r="J903" s="140"/>
      <c r="K903" s="129"/>
      <c r="L903" s="129"/>
      <c r="M903" s="129"/>
      <c r="N903" s="129"/>
      <c r="O903" s="140"/>
      <c r="P903" s="140"/>
      <c r="Q903" s="133"/>
      <c r="R903" s="140"/>
      <c r="S903" s="133"/>
      <c r="T903" s="133"/>
    </row>
    <row r="904">
      <c r="A904" s="141"/>
      <c r="B904" s="142"/>
      <c r="C904" s="133"/>
      <c r="D904" s="133"/>
      <c r="E904" s="140"/>
      <c r="F904" s="140"/>
      <c r="G904" s="140"/>
      <c r="H904" s="133"/>
      <c r="I904" s="133"/>
      <c r="J904" s="140"/>
      <c r="K904" s="129"/>
      <c r="L904" s="129"/>
      <c r="M904" s="129"/>
      <c r="N904" s="129"/>
      <c r="O904" s="140"/>
      <c r="P904" s="140"/>
      <c r="Q904" s="133"/>
      <c r="R904" s="140"/>
      <c r="S904" s="133"/>
      <c r="T904" s="133"/>
    </row>
    <row r="905">
      <c r="A905" s="141"/>
      <c r="B905" s="142"/>
      <c r="C905" s="133"/>
      <c r="D905" s="133"/>
      <c r="E905" s="140"/>
      <c r="F905" s="140"/>
      <c r="G905" s="140"/>
      <c r="H905" s="133"/>
      <c r="I905" s="133"/>
      <c r="J905" s="140"/>
      <c r="K905" s="129"/>
      <c r="L905" s="129"/>
      <c r="M905" s="129"/>
      <c r="N905" s="129"/>
      <c r="O905" s="140"/>
      <c r="P905" s="140"/>
      <c r="Q905" s="133"/>
      <c r="R905" s="140"/>
      <c r="S905" s="133"/>
      <c r="T905" s="133"/>
    </row>
    <row r="906">
      <c r="A906" s="141"/>
      <c r="B906" s="142"/>
      <c r="C906" s="133"/>
      <c r="D906" s="133"/>
      <c r="E906" s="140"/>
      <c r="F906" s="140"/>
      <c r="G906" s="140"/>
      <c r="H906" s="133"/>
      <c r="I906" s="133"/>
      <c r="J906" s="140"/>
      <c r="K906" s="129"/>
      <c r="L906" s="129"/>
      <c r="M906" s="129"/>
      <c r="N906" s="129"/>
      <c r="O906" s="140"/>
      <c r="P906" s="140"/>
      <c r="Q906" s="133"/>
      <c r="R906" s="140"/>
      <c r="S906" s="133"/>
      <c r="T906" s="133"/>
    </row>
    <row r="907">
      <c r="A907" s="141"/>
      <c r="B907" s="142"/>
      <c r="C907" s="133"/>
      <c r="D907" s="133"/>
      <c r="E907" s="140"/>
      <c r="F907" s="140"/>
      <c r="G907" s="140"/>
      <c r="H907" s="133"/>
      <c r="I907" s="133"/>
      <c r="J907" s="140"/>
      <c r="K907" s="129"/>
      <c r="L907" s="129"/>
      <c r="M907" s="129"/>
      <c r="N907" s="129"/>
      <c r="O907" s="140"/>
      <c r="P907" s="140"/>
      <c r="Q907" s="133"/>
      <c r="R907" s="140"/>
      <c r="S907" s="133"/>
      <c r="T907" s="133"/>
    </row>
    <row r="908">
      <c r="A908" s="141"/>
      <c r="B908" s="142"/>
      <c r="C908" s="133"/>
      <c r="D908" s="133"/>
      <c r="E908" s="140"/>
      <c r="F908" s="140"/>
      <c r="G908" s="140"/>
      <c r="H908" s="133"/>
      <c r="I908" s="133"/>
      <c r="J908" s="140"/>
      <c r="K908" s="129"/>
      <c r="L908" s="129"/>
      <c r="M908" s="129"/>
      <c r="N908" s="129"/>
      <c r="O908" s="140"/>
      <c r="P908" s="140"/>
      <c r="Q908" s="133"/>
      <c r="R908" s="140"/>
      <c r="S908" s="133"/>
      <c r="T908" s="133"/>
    </row>
    <row r="909">
      <c r="A909" s="141"/>
      <c r="B909" s="142"/>
      <c r="C909" s="133"/>
      <c r="D909" s="133"/>
      <c r="E909" s="140"/>
      <c r="F909" s="140"/>
      <c r="G909" s="140"/>
      <c r="H909" s="133"/>
      <c r="I909" s="133"/>
      <c r="J909" s="140"/>
      <c r="K909" s="129"/>
      <c r="L909" s="129"/>
      <c r="M909" s="129"/>
      <c r="N909" s="129"/>
      <c r="O909" s="140"/>
      <c r="P909" s="140"/>
      <c r="Q909" s="133"/>
      <c r="R909" s="140"/>
      <c r="S909" s="133"/>
      <c r="T909" s="133"/>
    </row>
    <row r="910">
      <c r="A910" s="141"/>
      <c r="B910" s="142"/>
      <c r="C910" s="133"/>
      <c r="D910" s="133"/>
      <c r="E910" s="140"/>
      <c r="F910" s="140"/>
      <c r="G910" s="140"/>
      <c r="H910" s="133"/>
      <c r="I910" s="133"/>
      <c r="J910" s="140"/>
      <c r="K910" s="129"/>
      <c r="L910" s="129"/>
      <c r="M910" s="129"/>
      <c r="N910" s="129"/>
      <c r="O910" s="140"/>
      <c r="P910" s="140"/>
      <c r="Q910" s="133"/>
      <c r="R910" s="140"/>
      <c r="S910" s="133"/>
      <c r="T910" s="133"/>
    </row>
    <row r="911">
      <c r="A911" s="141"/>
      <c r="B911" s="142"/>
      <c r="C911" s="133"/>
      <c r="D911" s="133"/>
      <c r="E911" s="140"/>
      <c r="F911" s="140"/>
      <c r="G911" s="140"/>
      <c r="H911" s="133"/>
      <c r="I911" s="133"/>
      <c r="J911" s="140"/>
      <c r="K911" s="129"/>
      <c r="L911" s="129"/>
      <c r="M911" s="129"/>
      <c r="N911" s="129"/>
      <c r="O911" s="140"/>
      <c r="P911" s="140"/>
      <c r="Q911" s="133"/>
      <c r="R911" s="140"/>
      <c r="S911" s="133"/>
      <c r="T911" s="133"/>
    </row>
    <row r="912">
      <c r="A912" s="141"/>
      <c r="B912" s="142"/>
      <c r="C912" s="133"/>
      <c r="D912" s="133"/>
      <c r="E912" s="140"/>
      <c r="F912" s="140"/>
      <c r="G912" s="140"/>
      <c r="H912" s="133"/>
      <c r="I912" s="133"/>
      <c r="J912" s="140"/>
      <c r="K912" s="129"/>
      <c r="L912" s="129"/>
      <c r="M912" s="129"/>
      <c r="N912" s="129"/>
      <c r="O912" s="140"/>
      <c r="P912" s="140"/>
      <c r="Q912" s="133"/>
      <c r="R912" s="140"/>
      <c r="S912" s="133"/>
      <c r="T912" s="133"/>
    </row>
    <row r="913">
      <c r="A913" s="141"/>
      <c r="B913" s="142"/>
      <c r="C913" s="133"/>
      <c r="D913" s="133"/>
      <c r="E913" s="140"/>
      <c r="F913" s="140"/>
      <c r="G913" s="140"/>
      <c r="H913" s="133"/>
      <c r="I913" s="133"/>
      <c r="J913" s="140"/>
      <c r="K913" s="129"/>
      <c r="L913" s="129"/>
      <c r="M913" s="129"/>
      <c r="N913" s="129"/>
      <c r="O913" s="140"/>
      <c r="P913" s="140"/>
      <c r="Q913" s="133"/>
      <c r="R913" s="140"/>
      <c r="S913" s="133"/>
      <c r="T913" s="133"/>
    </row>
    <row r="914">
      <c r="A914" s="141"/>
      <c r="B914" s="142"/>
      <c r="C914" s="133"/>
      <c r="D914" s="133"/>
      <c r="E914" s="140"/>
      <c r="F914" s="140"/>
      <c r="G914" s="140"/>
      <c r="H914" s="133"/>
      <c r="I914" s="133"/>
      <c r="J914" s="140"/>
      <c r="K914" s="129"/>
      <c r="L914" s="129"/>
      <c r="M914" s="129"/>
      <c r="N914" s="129"/>
      <c r="O914" s="140"/>
      <c r="P914" s="140"/>
      <c r="Q914" s="133"/>
      <c r="R914" s="140"/>
      <c r="S914" s="133"/>
      <c r="T914" s="133"/>
    </row>
    <row r="915">
      <c r="A915" s="141"/>
      <c r="B915" s="142"/>
      <c r="C915" s="133"/>
      <c r="D915" s="133"/>
      <c r="E915" s="140"/>
      <c r="F915" s="140"/>
      <c r="G915" s="140"/>
      <c r="H915" s="133"/>
      <c r="I915" s="133"/>
      <c r="J915" s="140"/>
      <c r="K915" s="129"/>
      <c r="L915" s="129"/>
      <c r="M915" s="129"/>
      <c r="N915" s="129"/>
      <c r="O915" s="140"/>
      <c r="P915" s="140"/>
      <c r="Q915" s="133"/>
      <c r="R915" s="140"/>
      <c r="S915" s="133"/>
      <c r="T915" s="133"/>
    </row>
    <row r="916">
      <c r="A916" s="141"/>
      <c r="B916" s="142"/>
      <c r="C916" s="133"/>
      <c r="D916" s="133"/>
      <c r="E916" s="140"/>
      <c r="F916" s="140"/>
      <c r="G916" s="140"/>
      <c r="H916" s="133"/>
      <c r="I916" s="133"/>
      <c r="J916" s="140"/>
      <c r="K916" s="129"/>
      <c r="L916" s="129"/>
      <c r="M916" s="129"/>
      <c r="N916" s="129"/>
      <c r="O916" s="140"/>
      <c r="P916" s="140"/>
      <c r="Q916" s="133"/>
      <c r="R916" s="140"/>
      <c r="S916" s="133"/>
      <c r="T916" s="133"/>
    </row>
    <row r="917">
      <c r="A917" s="141"/>
      <c r="B917" s="142"/>
      <c r="C917" s="133"/>
      <c r="D917" s="133"/>
      <c r="E917" s="140"/>
      <c r="F917" s="140"/>
      <c r="G917" s="140"/>
      <c r="H917" s="133"/>
      <c r="I917" s="133"/>
      <c r="J917" s="140"/>
      <c r="K917" s="129"/>
      <c r="L917" s="129"/>
      <c r="M917" s="129"/>
      <c r="N917" s="129"/>
      <c r="O917" s="140"/>
      <c r="P917" s="140"/>
      <c r="Q917" s="133"/>
      <c r="R917" s="140"/>
      <c r="S917" s="133"/>
      <c r="T917" s="133"/>
    </row>
    <row r="918">
      <c r="A918" s="141"/>
      <c r="B918" s="142"/>
      <c r="C918" s="133"/>
      <c r="D918" s="133"/>
      <c r="E918" s="140"/>
      <c r="F918" s="140"/>
      <c r="G918" s="140"/>
      <c r="H918" s="133"/>
      <c r="I918" s="133"/>
      <c r="J918" s="140"/>
      <c r="K918" s="129"/>
      <c r="L918" s="129"/>
      <c r="M918" s="129"/>
      <c r="N918" s="129"/>
      <c r="O918" s="140"/>
      <c r="P918" s="140"/>
      <c r="Q918" s="133"/>
      <c r="R918" s="140"/>
      <c r="S918" s="133"/>
      <c r="T918" s="133"/>
    </row>
    <row r="919">
      <c r="A919" s="141"/>
      <c r="B919" s="142"/>
      <c r="C919" s="133"/>
      <c r="D919" s="133"/>
      <c r="E919" s="140"/>
      <c r="F919" s="140"/>
      <c r="G919" s="140"/>
      <c r="H919" s="133"/>
      <c r="I919" s="133"/>
      <c r="J919" s="140"/>
      <c r="K919" s="129"/>
      <c r="L919" s="129"/>
      <c r="M919" s="129"/>
      <c r="N919" s="129"/>
      <c r="O919" s="140"/>
      <c r="P919" s="140"/>
      <c r="Q919" s="133"/>
      <c r="R919" s="140"/>
      <c r="S919" s="133"/>
      <c r="T919" s="133"/>
    </row>
    <row r="920">
      <c r="A920" s="141"/>
      <c r="B920" s="142"/>
      <c r="C920" s="133"/>
      <c r="D920" s="133"/>
      <c r="E920" s="140"/>
      <c r="F920" s="140"/>
      <c r="G920" s="140"/>
      <c r="H920" s="133"/>
      <c r="I920" s="133"/>
      <c r="J920" s="140"/>
      <c r="K920" s="129"/>
      <c r="L920" s="129"/>
      <c r="M920" s="129"/>
      <c r="N920" s="129"/>
      <c r="O920" s="140"/>
      <c r="P920" s="140"/>
      <c r="Q920" s="133"/>
      <c r="R920" s="140"/>
      <c r="S920" s="133"/>
      <c r="T920" s="133"/>
    </row>
    <row r="921">
      <c r="A921" s="141"/>
      <c r="B921" s="142"/>
      <c r="C921" s="133"/>
      <c r="D921" s="133"/>
      <c r="E921" s="140"/>
      <c r="F921" s="140"/>
      <c r="G921" s="140"/>
      <c r="H921" s="133"/>
      <c r="I921" s="133"/>
      <c r="J921" s="140"/>
      <c r="K921" s="129"/>
      <c r="L921" s="129"/>
      <c r="M921" s="129"/>
      <c r="N921" s="129"/>
      <c r="O921" s="140"/>
      <c r="P921" s="140"/>
      <c r="Q921" s="133"/>
      <c r="R921" s="140"/>
      <c r="S921" s="133"/>
      <c r="T921" s="133"/>
    </row>
    <row r="922">
      <c r="A922" s="141"/>
      <c r="B922" s="142"/>
      <c r="C922" s="133"/>
      <c r="D922" s="133"/>
      <c r="E922" s="140"/>
      <c r="F922" s="140"/>
      <c r="G922" s="140"/>
      <c r="H922" s="133"/>
      <c r="I922" s="133"/>
      <c r="J922" s="140"/>
      <c r="K922" s="129"/>
      <c r="L922" s="129"/>
      <c r="M922" s="129"/>
      <c r="N922" s="129"/>
      <c r="O922" s="140"/>
      <c r="P922" s="140"/>
      <c r="Q922" s="133"/>
      <c r="R922" s="140"/>
      <c r="S922" s="133"/>
      <c r="T922" s="133"/>
    </row>
    <row r="923">
      <c r="A923" s="141"/>
      <c r="B923" s="142"/>
      <c r="C923" s="133"/>
      <c r="D923" s="133"/>
      <c r="E923" s="140"/>
      <c r="F923" s="140"/>
      <c r="G923" s="140"/>
      <c r="H923" s="133"/>
      <c r="I923" s="133"/>
      <c r="J923" s="140"/>
      <c r="K923" s="129"/>
      <c r="L923" s="129"/>
      <c r="M923" s="129"/>
      <c r="N923" s="129"/>
      <c r="O923" s="140"/>
      <c r="P923" s="140"/>
      <c r="Q923" s="133"/>
      <c r="R923" s="140"/>
      <c r="S923" s="133"/>
      <c r="T923" s="133"/>
    </row>
    <row r="924">
      <c r="A924" s="141"/>
      <c r="B924" s="142"/>
      <c r="C924" s="133"/>
      <c r="D924" s="133"/>
      <c r="E924" s="140"/>
      <c r="F924" s="140"/>
      <c r="G924" s="140"/>
      <c r="H924" s="133"/>
      <c r="I924" s="133"/>
      <c r="J924" s="140"/>
      <c r="K924" s="129"/>
      <c r="L924" s="129"/>
      <c r="M924" s="129"/>
      <c r="N924" s="129"/>
      <c r="O924" s="140"/>
      <c r="P924" s="140"/>
      <c r="Q924" s="133"/>
      <c r="R924" s="140"/>
      <c r="S924" s="133"/>
      <c r="T924" s="133"/>
    </row>
    <row r="925">
      <c r="A925" s="141"/>
      <c r="B925" s="142"/>
      <c r="C925" s="133"/>
      <c r="D925" s="133"/>
      <c r="E925" s="140"/>
      <c r="F925" s="140"/>
      <c r="G925" s="140"/>
      <c r="H925" s="133"/>
      <c r="I925" s="133"/>
      <c r="J925" s="140"/>
      <c r="K925" s="129"/>
      <c r="L925" s="129"/>
      <c r="M925" s="129"/>
      <c r="N925" s="129"/>
      <c r="O925" s="140"/>
      <c r="P925" s="140"/>
      <c r="Q925" s="133"/>
      <c r="R925" s="140"/>
      <c r="S925" s="133"/>
      <c r="T925" s="133"/>
    </row>
    <row r="926">
      <c r="A926" s="141"/>
      <c r="B926" s="142"/>
      <c r="C926" s="133"/>
      <c r="D926" s="133"/>
      <c r="E926" s="140"/>
      <c r="F926" s="140"/>
      <c r="G926" s="140"/>
      <c r="H926" s="133"/>
      <c r="I926" s="133"/>
      <c r="J926" s="140"/>
      <c r="K926" s="129"/>
      <c r="L926" s="129"/>
      <c r="M926" s="129"/>
      <c r="N926" s="129"/>
      <c r="O926" s="140"/>
      <c r="P926" s="140"/>
      <c r="Q926" s="133"/>
      <c r="R926" s="140"/>
      <c r="S926" s="133"/>
      <c r="T926" s="133"/>
    </row>
    <row r="927">
      <c r="A927" s="141"/>
      <c r="B927" s="142"/>
      <c r="C927" s="133"/>
      <c r="D927" s="133"/>
      <c r="E927" s="140"/>
      <c r="F927" s="140"/>
      <c r="G927" s="140"/>
      <c r="H927" s="133"/>
      <c r="I927" s="133"/>
      <c r="J927" s="140"/>
      <c r="K927" s="129"/>
      <c r="L927" s="129"/>
      <c r="M927" s="129"/>
      <c r="N927" s="129"/>
      <c r="O927" s="140"/>
      <c r="P927" s="140"/>
      <c r="Q927" s="133"/>
      <c r="R927" s="140"/>
      <c r="S927" s="133"/>
      <c r="T927" s="133"/>
    </row>
    <row r="928">
      <c r="A928" s="141"/>
      <c r="B928" s="142"/>
      <c r="C928" s="133"/>
      <c r="D928" s="133"/>
      <c r="E928" s="140"/>
      <c r="F928" s="140"/>
      <c r="G928" s="140"/>
      <c r="H928" s="133"/>
      <c r="I928" s="133"/>
      <c r="J928" s="140"/>
      <c r="K928" s="129"/>
      <c r="L928" s="129"/>
      <c r="M928" s="129"/>
      <c r="N928" s="129"/>
      <c r="O928" s="140"/>
      <c r="P928" s="140"/>
      <c r="Q928" s="133"/>
      <c r="R928" s="140"/>
      <c r="S928" s="133"/>
      <c r="T928" s="133"/>
    </row>
    <row r="929">
      <c r="A929" s="141"/>
      <c r="B929" s="142"/>
      <c r="C929" s="133"/>
      <c r="D929" s="133"/>
      <c r="E929" s="140"/>
      <c r="F929" s="140"/>
      <c r="G929" s="140"/>
      <c r="H929" s="133"/>
      <c r="I929" s="133"/>
      <c r="J929" s="140"/>
      <c r="K929" s="129"/>
      <c r="L929" s="129"/>
      <c r="M929" s="129"/>
      <c r="N929" s="129"/>
      <c r="O929" s="140"/>
      <c r="P929" s="140"/>
      <c r="Q929" s="133"/>
      <c r="R929" s="140"/>
      <c r="S929" s="133"/>
      <c r="T929" s="133"/>
    </row>
    <row r="930">
      <c r="A930" s="141"/>
      <c r="B930" s="142"/>
      <c r="C930" s="133"/>
      <c r="D930" s="133"/>
      <c r="E930" s="140"/>
      <c r="F930" s="140"/>
      <c r="G930" s="140"/>
      <c r="H930" s="133"/>
      <c r="I930" s="133"/>
      <c r="J930" s="140"/>
      <c r="K930" s="129"/>
      <c r="L930" s="129"/>
      <c r="M930" s="129"/>
      <c r="N930" s="129"/>
      <c r="O930" s="140"/>
      <c r="P930" s="140"/>
      <c r="Q930" s="133"/>
      <c r="R930" s="140"/>
      <c r="S930" s="133"/>
      <c r="T930" s="133"/>
    </row>
    <row r="931">
      <c r="A931" s="141"/>
      <c r="B931" s="142"/>
      <c r="C931" s="133"/>
      <c r="D931" s="133"/>
      <c r="E931" s="140"/>
      <c r="F931" s="140"/>
      <c r="G931" s="140"/>
      <c r="H931" s="133"/>
      <c r="I931" s="133"/>
      <c r="J931" s="140"/>
      <c r="K931" s="129"/>
      <c r="L931" s="129"/>
      <c r="M931" s="129"/>
      <c r="N931" s="129"/>
      <c r="O931" s="140"/>
      <c r="P931" s="140"/>
      <c r="Q931" s="133"/>
      <c r="R931" s="140"/>
      <c r="S931" s="133"/>
      <c r="T931" s="133"/>
    </row>
    <row r="932">
      <c r="A932" s="141"/>
      <c r="B932" s="142"/>
      <c r="C932" s="133"/>
      <c r="D932" s="133"/>
      <c r="E932" s="140"/>
      <c r="F932" s="140"/>
      <c r="G932" s="140"/>
      <c r="H932" s="133"/>
      <c r="I932" s="133"/>
      <c r="J932" s="140"/>
      <c r="K932" s="129"/>
      <c r="L932" s="129"/>
      <c r="M932" s="129"/>
      <c r="N932" s="129"/>
      <c r="O932" s="140"/>
      <c r="P932" s="140"/>
      <c r="Q932" s="133"/>
      <c r="R932" s="140"/>
      <c r="S932" s="133"/>
      <c r="T932" s="133"/>
    </row>
    <row r="933">
      <c r="A933" s="141"/>
      <c r="B933" s="142"/>
      <c r="C933" s="133"/>
      <c r="D933" s="133"/>
      <c r="E933" s="140"/>
      <c r="F933" s="140"/>
      <c r="G933" s="140"/>
      <c r="H933" s="133"/>
      <c r="I933" s="133"/>
      <c r="J933" s="140"/>
      <c r="K933" s="129"/>
      <c r="L933" s="129"/>
      <c r="M933" s="129"/>
      <c r="N933" s="129"/>
      <c r="O933" s="140"/>
      <c r="P933" s="140"/>
      <c r="Q933" s="133"/>
      <c r="R933" s="140"/>
      <c r="S933" s="133"/>
      <c r="T933" s="133"/>
    </row>
    <row r="934">
      <c r="A934" s="141"/>
      <c r="B934" s="142"/>
      <c r="C934" s="133"/>
      <c r="D934" s="133"/>
      <c r="E934" s="140"/>
      <c r="F934" s="140"/>
      <c r="G934" s="140"/>
      <c r="H934" s="133"/>
      <c r="I934" s="133"/>
      <c r="J934" s="140"/>
      <c r="K934" s="129"/>
      <c r="L934" s="129"/>
      <c r="M934" s="129"/>
      <c r="N934" s="129"/>
      <c r="O934" s="140"/>
      <c r="P934" s="140"/>
      <c r="Q934" s="133"/>
      <c r="R934" s="140"/>
      <c r="S934" s="133"/>
      <c r="T934" s="133"/>
    </row>
    <row r="935">
      <c r="A935" s="141"/>
      <c r="B935" s="142"/>
      <c r="C935" s="133"/>
      <c r="D935" s="133"/>
      <c r="E935" s="140"/>
      <c r="F935" s="140"/>
      <c r="G935" s="140"/>
      <c r="H935" s="133"/>
      <c r="I935" s="133"/>
      <c r="J935" s="140"/>
      <c r="K935" s="129"/>
      <c r="L935" s="129"/>
      <c r="M935" s="129"/>
      <c r="N935" s="129"/>
      <c r="O935" s="140"/>
      <c r="P935" s="140"/>
      <c r="Q935" s="133"/>
      <c r="R935" s="140"/>
      <c r="S935" s="133"/>
      <c r="T935" s="133"/>
    </row>
    <row r="936">
      <c r="A936" s="141"/>
      <c r="B936" s="142"/>
      <c r="C936" s="133"/>
      <c r="D936" s="133"/>
      <c r="E936" s="140"/>
      <c r="F936" s="140"/>
      <c r="G936" s="140"/>
      <c r="H936" s="133"/>
      <c r="I936" s="133"/>
      <c r="J936" s="140"/>
      <c r="K936" s="129"/>
      <c r="L936" s="129"/>
      <c r="M936" s="129"/>
      <c r="N936" s="129"/>
      <c r="O936" s="140"/>
      <c r="P936" s="140"/>
      <c r="Q936" s="133"/>
      <c r="R936" s="140"/>
      <c r="S936" s="133"/>
      <c r="T936" s="133"/>
    </row>
    <row r="937">
      <c r="A937" s="141"/>
      <c r="B937" s="142"/>
      <c r="C937" s="133"/>
      <c r="D937" s="133"/>
      <c r="E937" s="140"/>
      <c r="F937" s="140"/>
      <c r="G937" s="140"/>
      <c r="H937" s="133"/>
      <c r="I937" s="133"/>
      <c r="J937" s="140"/>
      <c r="K937" s="129"/>
      <c r="L937" s="129"/>
      <c r="M937" s="129"/>
      <c r="N937" s="129"/>
      <c r="O937" s="140"/>
      <c r="P937" s="140"/>
      <c r="Q937" s="133"/>
      <c r="R937" s="140"/>
      <c r="S937" s="133"/>
      <c r="T937" s="133"/>
    </row>
    <row r="938">
      <c r="A938" s="141"/>
      <c r="B938" s="142"/>
      <c r="C938" s="133"/>
      <c r="D938" s="133"/>
      <c r="E938" s="140"/>
      <c r="F938" s="140"/>
      <c r="G938" s="140"/>
      <c r="H938" s="133"/>
      <c r="I938" s="133"/>
      <c r="J938" s="140"/>
      <c r="K938" s="129"/>
      <c r="L938" s="129"/>
      <c r="M938" s="129"/>
      <c r="N938" s="129"/>
      <c r="O938" s="140"/>
      <c r="P938" s="140"/>
      <c r="Q938" s="133"/>
      <c r="R938" s="140"/>
      <c r="S938" s="133"/>
      <c r="T938" s="133"/>
    </row>
    <row r="939">
      <c r="A939" s="141"/>
      <c r="B939" s="142"/>
      <c r="C939" s="133"/>
      <c r="D939" s="133"/>
      <c r="E939" s="140"/>
      <c r="F939" s="140"/>
      <c r="G939" s="140"/>
      <c r="H939" s="133"/>
      <c r="I939" s="133"/>
      <c r="J939" s="140"/>
      <c r="K939" s="129"/>
      <c r="L939" s="129"/>
      <c r="M939" s="129"/>
      <c r="N939" s="129"/>
      <c r="O939" s="140"/>
      <c r="P939" s="140"/>
      <c r="Q939" s="133"/>
      <c r="R939" s="140"/>
      <c r="S939" s="133"/>
      <c r="T939" s="133"/>
    </row>
    <row r="940">
      <c r="A940" s="141"/>
      <c r="B940" s="142"/>
      <c r="C940" s="133"/>
      <c r="D940" s="133"/>
      <c r="E940" s="140"/>
      <c r="F940" s="140"/>
      <c r="G940" s="140"/>
      <c r="H940" s="133"/>
      <c r="I940" s="133"/>
      <c r="J940" s="140"/>
      <c r="K940" s="129"/>
      <c r="L940" s="129"/>
      <c r="M940" s="129"/>
      <c r="N940" s="129"/>
      <c r="O940" s="140"/>
      <c r="P940" s="140"/>
      <c r="Q940" s="133"/>
      <c r="R940" s="140"/>
      <c r="S940" s="133"/>
      <c r="T940" s="133"/>
    </row>
    <row r="941">
      <c r="A941" s="141"/>
      <c r="B941" s="142"/>
      <c r="C941" s="133"/>
      <c r="D941" s="133"/>
      <c r="E941" s="140"/>
      <c r="F941" s="140"/>
      <c r="G941" s="140"/>
      <c r="H941" s="133"/>
      <c r="I941" s="133"/>
      <c r="J941" s="140"/>
      <c r="K941" s="129"/>
      <c r="L941" s="129"/>
      <c r="M941" s="129"/>
      <c r="N941" s="129"/>
      <c r="O941" s="140"/>
      <c r="P941" s="140"/>
      <c r="Q941" s="133"/>
      <c r="R941" s="140"/>
      <c r="S941" s="133"/>
      <c r="T941" s="133"/>
    </row>
    <row r="942">
      <c r="A942" s="141"/>
      <c r="B942" s="142"/>
      <c r="C942" s="133"/>
      <c r="D942" s="133"/>
      <c r="E942" s="140"/>
      <c r="F942" s="140"/>
      <c r="G942" s="140"/>
      <c r="H942" s="133"/>
      <c r="I942" s="133"/>
      <c r="J942" s="140"/>
      <c r="K942" s="129"/>
      <c r="L942" s="129"/>
      <c r="M942" s="129"/>
      <c r="N942" s="129"/>
      <c r="O942" s="140"/>
      <c r="P942" s="140"/>
      <c r="Q942" s="133"/>
      <c r="R942" s="140"/>
      <c r="S942" s="133"/>
      <c r="T942" s="133"/>
    </row>
    <row r="943">
      <c r="A943" s="141"/>
      <c r="B943" s="142"/>
      <c r="C943" s="133"/>
      <c r="D943" s="133"/>
      <c r="E943" s="140"/>
      <c r="F943" s="140"/>
      <c r="G943" s="140"/>
      <c r="H943" s="133"/>
      <c r="I943" s="133"/>
      <c r="J943" s="140"/>
      <c r="K943" s="129"/>
      <c r="L943" s="129"/>
      <c r="M943" s="129"/>
      <c r="N943" s="129"/>
      <c r="O943" s="140"/>
      <c r="P943" s="140"/>
      <c r="Q943" s="133"/>
      <c r="R943" s="140"/>
      <c r="S943" s="133"/>
      <c r="T943" s="133"/>
    </row>
    <row r="944">
      <c r="A944" s="141"/>
      <c r="B944" s="142"/>
      <c r="C944" s="133"/>
      <c r="D944" s="133"/>
      <c r="E944" s="140"/>
      <c r="F944" s="140"/>
      <c r="G944" s="140"/>
      <c r="H944" s="133"/>
      <c r="I944" s="133"/>
      <c r="J944" s="140"/>
      <c r="K944" s="129"/>
      <c r="L944" s="129"/>
      <c r="M944" s="129"/>
      <c r="N944" s="129"/>
      <c r="O944" s="140"/>
      <c r="P944" s="140"/>
      <c r="Q944" s="133"/>
      <c r="R944" s="140"/>
      <c r="S944" s="133"/>
      <c r="T944" s="133"/>
    </row>
    <row r="945">
      <c r="A945" s="141"/>
      <c r="B945" s="142"/>
      <c r="C945" s="133"/>
      <c r="D945" s="133"/>
      <c r="E945" s="140"/>
      <c r="F945" s="140"/>
      <c r="G945" s="140"/>
      <c r="H945" s="133"/>
      <c r="I945" s="133"/>
      <c r="J945" s="140"/>
      <c r="K945" s="129"/>
      <c r="L945" s="129"/>
      <c r="M945" s="129"/>
      <c r="N945" s="129"/>
      <c r="O945" s="140"/>
      <c r="P945" s="140"/>
      <c r="Q945" s="133"/>
      <c r="R945" s="140"/>
      <c r="S945" s="133"/>
      <c r="T945" s="133"/>
    </row>
    <row r="946">
      <c r="A946" s="141"/>
      <c r="B946" s="142"/>
      <c r="C946" s="133"/>
      <c r="D946" s="133"/>
      <c r="E946" s="140"/>
      <c r="F946" s="140"/>
      <c r="G946" s="140"/>
      <c r="H946" s="133"/>
      <c r="I946" s="133"/>
      <c r="J946" s="140"/>
      <c r="K946" s="129"/>
      <c r="L946" s="129"/>
      <c r="M946" s="129"/>
      <c r="N946" s="129"/>
      <c r="O946" s="140"/>
      <c r="P946" s="140"/>
      <c r="Q946" s="133"/>
      <c r="R946" s="140"/>
      <c r="S946" s="133"/>
      <c r="T946" s="133"/>
    </row>
    <row r="947">
      <c r="A947" s="141"/>
      <c r="B947" s="142"/>
      <c r="C947" s="133"/>
      <c r="D947" s="133"/>
      <c r="E947" s="140"/>
      <c r="F947" s="140"/>
      <c r="G947" s="140"/>
      <c r="H947" s="133"/>
      <c r="I947" s="133"/>
      <c r="J947" s="140"/>
      <c r="K947" s="129"/>
      <c r="L947" s="129"/>
      <c r="M947" s="129"/>
      <c r="N947" s="129"/>
      <c r="O947" s="140"/>
      <c r="P947" s="140"/>
      <c r="Q947" s="133"/>
      <c r="R947" s="140"/>
      <c r="S947" s="133"/>
      <c r="T947" s="133"/>
    </row>
    <row r="948">
      <c r="A948" s="141"/>
      <c r="B948" s="142"/>
      <c r="C948" s="133"/>
      <c r="D948" s="133"/>
      <c r="E948" s="140"/>
      <c r="F948" s="140"/>
      <c r="G948" s="140"/>
      <c r="H948" s="133"/>
      <c r="I948" s="133"/>
      <c r="J948" s="140"/>
      <c r="K948" s="129"/>
      <c r="L948" s="129"/>
      <c r="M948" s="129"/>
      <c r="N948" s="129"/>
      <c r="O948" s="140"/>
      <c r="P948" s="140"/>
      <c r="Q948" s="133"/>
      <c r="R948" s="140"/>
      <c r="S948" s="133"/>
      <c r="T948" s="133"/>
    </row>
    <row r="949">
      <c r="A949" s="141"/>
      <c r="B949" s="142"/>
      <c r="C949" s="133"/>
      <c r="D949" s="133"/>
      <c r="E949" s="140"/>
      <c r="F949" s="140"/>
      <c r="G949" s="140"/>
      <c r="H949" s="133"/>
      <c r="I949" s="133"/>
      <c r="J949" s="140"/>
      <c r="K949" s="129"/>
      <c r="L949" s="129"/>
      <c r="M949" s="129"/>
      <c r="N949" s="129"/>
      <c r="O949" s="140"/>
      <c r="P949" s="140"/>
      <c r="Q949" s="133"/>
      <c r="R949" s="140"/>
      <c r="S949" s="133"/>
      <c r="T949" s="133"/>
    </row>
    <row r="950">
      <c r="A950" s="141"/>
      <c r="B950" s="142"/>
      <c r="C950" s="133"/>
      <c r="D950" s="133"/>
      <c r="E950" s="140"/>
      <c r="F950" s="140"/>
      <c r="G950" s="140"/>
      <c r="H950" s="133"/>
      <c r="I950" s="133"/>
      <c r="J950" s="140"/>
      <c r="K950" s="129"/>
      <c r="L950" s="129"/>
      <c r="M950" s="129"/>
      <c r="N950" s="129"/>
      <c r="O950" s="140"/>
      <c r="P950" s="140"/>
      <c r="Q950" s="133"/>
      <c r="R950" s="140"/>
      <c r="S950" s="133"/>
      <c r="T950" s="133"/>
    </row>
    <row r="951">
      <c r="A951" s="141"/>
      <c r="B951" s="142"/>
      <c r="C951" s="133"/>
      <c r="D951" s="133"/>
      <c r="E951" s="140"/>
      <c r="F951" s="140"/>
      <c r="G951" s="140"/>
      <c r="H951" s="133"/>
      <c r="I951" s="133"/>
      <c r="J951" s="140"/>
      <c r="K951" s="129"/>
      <c r="L951" s="129"/>
      <c r="M951" s="129"/>
      <c r="N951" s="129"/>
      <c r="O951" s="140"/>
      <c r="P951" s="140"/>
      <c r="Q951" s="133"/>
      <c r="R951" s="140"/>
      <c r="S951" s="133"/>
      <c r="T951" s="133"/>
    </row>
    <row r="952">
      <c r="A952" s="141"/>
      <c r="B952" s="142"/>
      <c r="C952" s="133"/>
      <c r="D952" s="133"/>
      <c r="E952" s="140"/>
      <c r="F952" s="140"/>
      <c r="G952" s="140"/>
      <c r="H952" s="133"/>
      <c r="I952" s="133"/>
      <c r="J952" s="140"/>
      <c r="K952" s="129"/>
      <c r="L952" s="129"/>
      <c r="M952" s="129"/>
      <c r="N952" s="129"/>
      <c r="O952" s="140"/>
      <c r="P952" s="140"/>
      <c r="Q952" s="133"/>
      <c r="R952" s="140"/>
      <c r="S952" s="133"/>
      <c r="T952" s="133"/>
    </row>
    <row r="953">
      <c r="A953" s="141"/>
      <c r="B953" s="142"/>
      <c r="C953" s="133"/>
      <c r="D953" s="133"/>
      <c r="E953" s="140"/>
      <c r="F953" s="140"/>
      <c r="G953" s="140"/>
      <c r="H953" s="133"/>
      <c r="I953" s="133"/>
      <c r="J953" s="140"/>
      <c r="K953" s="129"/>
      <c r="L953" s="129"/>
      <c r="M953" s="129"/>
      <c r="N953" s="129"/>
      <c r="O953" s="140"/>
      <c r="P953" s="140"/>
      <c r="Q953" s="133"/>
      <c r="R953" s="140"/>
      <c r="S953" s="133"/>
      <c r="T953" s="133"/>
    </row>
    <row r="954">
      <c r="A954" s="141"/>
      <c r="B954" s="142"/>
      <c r="C954" s="133"/>
      <c r="D954" s="133"/>
      <c r="E954" s="140"/>
      <c r="F954" s="140"/>
      <c r="G954" s="140"/>
      <c r="H954" s="133"/>
      <c r="I954" s="133"/>
      <c r="J954" s="140"/>
      <c r="K954" s="129"/>
      <c r="L954" s="129"/>
      <c r="M954" s="129"/>
      <c r="N954" s="129"/>
      <c r="O954" s="140"/>
      <c r="P954" s="140"/>
      <c r="Q954" s="133"/>
      <c r="R954" s="140"/>
      <c r="S954" s="133"/>
      <c r="T954" s="133"/>
    </row>
    <row r="955">
      <c r="A955" s="141"/>
      <c r="B955" s="142"/>
      <c r="C955" s="133"/>
      <c r="D955" s="133"/>
      <c r="E955" s="140"/>
      <c r="F955" s="140"/>
      <c r="G955" s="140"/>
      <c r="H955" s="133"/>
      <c r="I955" s="133"/>
      <c r="J955" s="140"/>
      <c r="K955" s="129"/>
      <c r="L955" s="129"/>
      <c r="M955" s="129"/>
      <c r="N955" s="129"/>
      <c r="O955" s="140"/>
      <c r="P955" s="140"/>
      <c r="Q955" s="133"/>
      <c r="R955" s="140"/>
      <c r="S955" s="133"/>
      <c r="T955" s="133"/>
    </row>
    <row r="956">
      <c r="A956" s="141"/>
      <c r="B956" s="142"/>
      <c r="C956" s="133"/>
      <c r="D956" s="133"/>
      <c r="E956" s="140"/>
      <c r="F956" s="140"/>
      <c r="G956" s="140"/>
      <c r="H956" s="133"/>
      <c r="I956" s="133"/>
      <c r="J956" s="140"/>
      <c r="K956" s="129"/>
      <c r="L956" s="129"/>
      <c r="M956" s="129"/>
      <c r="N956" s="129"/>
      <c r="O956" s="140"/>
      <c r="P956" s="140"/>
      <c r="Q956" s="133"/>
      <c r="R956" s="140"/>
      <c r="S956" s="133"/>
      <c r="T956" s="133"/>
    </row>
    <row r="957">
      <c r="A957" s="141"/>
      <c r="B957" s="142"/>
      <c r="C957" s="133"/>
      <c r="D957" s="133"/>
      <c r="E957" s="140"/>
      <c r="F957" s="140"/>
      <c r="G957" s="140"/>
      <c r="H957" s="133"/>
      <c r="I957" s="133"/>
      <c r="J957" s="140"/>
      <c r="K957" s="129"/>
      <c r="L957" s="129"/>
      <c r="M957" s="129"/>
      <c r="N957" s="129"/>
      <c r="O957" s="140"/>
      <c r="P957" s="140"/>
      <c r="Q957" s="133"/>
      <c r="R957" s="140"/>
      <c r="S957" s="133"/>
      <c r="T957" s="133"/>
    </row>
    <row r="958">
      <c r="A958" s="141"/>
      <c r="B958" s="142"/>
      <c r="C958" s="133"/>
      <c r="D958" s="133"/>
      <c r="E958" s="140"/>
      <c r="F958" s="140"/>
      <c r="G958" s="140"/>
      <c r="H958" s="133"/>
      <c r="I958" s="133"/>
      <c r="J958" s="140"/>
      <c r="K958" s="129"/>
      <c r="L958" s="129"/>
      <c r="M958" s="129"/>
      <c r="N958" s="129"/>
      <c r="O958" s="140"/>
      <c r="P958" s="140"/>
      <c r="Q958" s="133"/>
      <c r="R958" s="140"/>
      <c r="S958" s="133"/>
      <c r="T958" s="133"/>
    </row>
    <row r="959">
      <c r="A959" s="141"/>
      <c r="B959" s="142"/>
      <c r="C959" s="133"/>
      <c r="D959" s="133"/>
      <c r="E959" s="140"/>
      <c r="F959" s="140"/>
      <c r="G959" s="140"/>
      <c r="H959" s="133"/>
      <c r="I959" s="133"/>
      <c r="J959" s="140"/>
      <c r="K959" s="129"/>
      <c r="L959" s="129"/>
      <c r="M959" s="129"/>
      <c r="N959" s="129"/>
      <c r="O959" s="140"/>
      <c r="P959" s="140"/>
      <c r="Q959" s="133"/>
      <c r="R959" s="140"/>
      <c r="S959" s="133"/>
      <c r="T959" s="133"/>
    </row>
    <row r="960">
      <c r="A960" s="141"/>
      <c r="B960" s="142"/>
      <c r="C960" s="133"/>
      <c r="D960" s="133"/>
      <c r="E960" s="140"/>
      <c r="F960" s="140"/>
      <c r="G960" s="140"/>
      <c r="H960" s="133"/>
      <c r="I960" s="133"/>
      <c r="J960" s="140"/>
      <c r="K960" s="129"/>
      <c r="L960" s="129"/>
      <c r="M960" s="129"/>
      <c r="N960" s="129"/>
      <c r="O960" s="140"/>
      <c r="P960" s="140"/>
      <c r="Q960" s="133"/>
      <c r="R960" s="140"/>
      <c r="S960" s="133"/>
      <c r="T960" s="133"/>
    </row>
    <row r="961">
      <c r="A961" s="141"/>
      <c r="B961" s="142"/>
      <c r="C961" s="133"/>
      <c r="D961" s="133"/>
      <c r="E961" s="140"/>
      <c r="F961" s="140"/>
      <c r="G961" s="140"/>
      <c r="H961" s="133"/>
      <c r="I961" s="133"/>
      <c r="J961" s="140"/>
      <c r="K961" s="129"/>
      <c r="L961" s="129"/>
      <c r="M961" s="129"/>
      <c r="N961" s="129"/>
      <c r="O961" s="140"/>
      <c r="P961" s="140"/>
      <c r="Q961" s="133"/>
      <c r="R961" s="140"/>
      <c r="S961" s="133"/>
      <c r="T961" s="133"/>
    </row>
    <row r="962">
      <c r="A962" s="141"/>
      <c r="B962" s="142"/>
      <c r="C962" s="133"/>
      <c r="D962" s="133"/>
      <c r="E962" s="140"/>
      <c r="F962" s="140"/>
      <c r="G962" s="140"/>
      <c r="H962" s="133"/>
      <c r="I962" s="133"/>
      <c r="J962" s="140"/>
      <c r="K962" s="129"/>
      <c r="L962" s="129"/>
      <c r="M962" s="129"/>
      <c r="N962" s="129"/>
      <c r="O962" s="140"/>
      <c r="P962" s="140"/>
      <c r="Q962" s="133"/>
      <c r="R962" s="140"/>
      <c r="S962" s="133"/>
      <c r="T962" s="133"/>
    </row>
    <row r="963">
      <c r="A963" s="141"/>
      <c r="B963" s="142"/>
      <c r="C963" s="133"/>
      <c r="D963" s="133"/>
      <c r="E963" s="140"/>
      <c r="F963" s="140"/>
      <c r="G963" s="140"/>
      <c r="H963" s="133"/>
      <c r="I963" s="133"/>
      <c r="J963" s="140"/>
      <c r="K963" s="129"/>
      <c r="L963" s="129"/>
      <c r="M963" s="129"/>
      <c r="N963" s="129"/>
      <c r="O963" s="140"/>
      <c r="P963" s="140"/>
      <c r="Q963" s="133"/>
      <c r="R963" s="140"/>
      <c r="S963" s="133"/>
      <c r="T963" s="133"/>
    </row>
    <row r="964">
      <c r="A964" s="141"/>
      <c r="B964" s="142"/>
      <c r="C964" s="133"/>
      <c r="D964" s="133"/>
      <c r="E964" s="140"/>
      <c r="F964" s="140"/>
      <c r="G964" s="140"/>
      <c r="H964" s="133"/>
      <c r="I964" s="133"/>
      <c r="J964" s="140"/>
      <c r="K964" s="129"/>
      <c r="L964" s="129"/>
      <c r="M964" s="129"/>
      <c r="N964" s="129"/>
      <c r="O964" s="140"/>
      <c r="P964" s="140"/>
      <c r="Q964" s="133"/>
      <c r="R964" s="140"/>
      <c r="S964" s="133"/>
      <c r="T964" s="133"/>
    </row>
    <row r="965">
      <c r="A965" s="141"/>
      <c r="B965" s="142"/>
      <c r="C965" s="133"/>
      <c r="D965" s="133"/>
      <c r="E965" s="140"/>
      <c r="F965" s="140"/>
      <c r="G965" s="140"/>
      <c r="H965" s="133"/>
      <c r="I965" s="133"/>
      <c r="J965" s="140"/>
      <c r="K965" s="129"/>
      <c r="L965" s="129"/>
      <c r="M965" s="129"/>
      <c r="N965" s="129"/>
      <c r="O965" s="140"/>
      <c r="P965" s="140"/>
      <c r="Q965" s="133"/>
      <c r="R965" s="140"/>
      <c r="S965" s="133"/>
      <c r="T965" s="133"/>
    </row>
    <row r="966">
      <c r="A966" s="141"/>
      <c r="B966" s="142"/>
      <c r="C966" s="133"/>
      <c r="D966" s="133"/>
      <c r="E966" s="140"/>
      <c r="F966" s="140"/>
      <c r="G966" s="140"/>
      <c r="H966" s="133"/>
      <c r="I966" s="133"/>
      <c r="J966" s="140"/>
      <c r="K966" s="129"/>
      <c r="L966" s="129"/>
      <c r="M966" s="129"/>
      <c r="N966" s="129"/>
      <c r="O966" s="140"/>
      <c r="P966" s="140"/>
      <c r="Q966" s="133"/>
      <c r="R966" s="140"/>
      <c r="S966" s="133"/>
      <c r="T966" s="133"/>
    </row>
    <row r="967">
      <c r="A967" s="141"/>
      <c r="B967" s="142"/>
      <c r="C967" s="133"/>
      <c r="D967" s="133"/>
      <c r="E967" s="140"/>
      <c r="F967" s="140"/>
      <c r="G967" s="140"/>
      <c r="H967" s="133"/>
      <c r="I967" s="133"/>
      <c r="J967" s="140"/>
      <c r="K967" s="129"/>
      <c r="L967" s="129"/>
      <c r="M967" s="129"/>
      <c r="N967" s="129"/>
      <c r="O967" s="140"/>
      <c r="P967" s="140"/>
      <c r="Q967" s="133"/>
      <c r="R967" s="140"/>
      <c r="S967" s="133"/>
      <c r="T967" s="133"/>
    </row>
    <row r="968">
      <c r="A968" s="141"/>
      <c r="B968" s="142"/>
      <c r="C968" s="133"/>
      <c r="D968" s="133"/>
      <c r="E968" s="140"/>
      <c r="F968" s="140"/>
      <c r="G968" s="140"/>
      <c r="H968" s="133"/>
      <c r="I968" s="133"/>
      <c r="J968" s="140"/>
      <c r="K968" s="129"/>
      <c r="L968" s="129"/>
      <c r="M968" s="129"/>
      <c r="N968" s="129"/>
      <c r="O968" s="140"/>
      <c r="P968" s="140"/>
      <c r="Q968" s="133"/>
      <c r="R968" s="140"/>
      <c r="S968" s="133"/>
      <c r="T968" s="133"/>
    </row>
    <row r="969">
      <c r="A969" s="141"/>
      <c r="B969" s="142"/>
      <c r="C969" s="133"/>
      <c r="D969" s="133"/>
      <c r="E969" s="140"/>
      <c r="F969" s="140"/>
      <c r="G969" s="140"/>
      <c r="H969" s="133"/>
      <c r="I969" s="133"/>
      <c r="J969" s="140"/>
      <c r="K969" s="129"/>
      <c r="L969" s="129"/>
      <c r="M969" s="129"/>
      <c r="N969" s="129"/>
      <c r="O969" s="140"/>
      <c r="P969" s="140"/>
      <c r="Q969" s="133"/>
      <c r="R969" s="140"/>
      <c r="S969" s="133"/>
      <c r="T969" s="133"/>
    </row>
    <row r="970">
      <c r="A970" s="141"/>
      <c r="B970" s="142"/>
      <c r="C970" s="133"/>
      <c r="D970" s="133"/>
      <c r="E970" s="140"/>
      <c r="F970" s="140"/>
      <c r="G970" s="140"/>
      <c r="H970" s="133"/>
      <c r="I970" s="133"/>
      <c r="J970" s="140"/>
      <c r="K970" s="129"/>
      <c r="L970" s="129"/>
      <c r="M970" s="129"/>
      <c r="N970" s="129"/>
      <c r="O970" s="140"/>
      <c r="P970" s="140"/>
      <c r="Q970" s="133"/>
      <c r="R970" s="140"/>
      <c r="S970" s="133"/>
      <c r="T970" s="133"/>
    </row>
    <row r="971">
      <c r="A971" s="141"/>
      <c r="B971" s="142"/>
      <c r="C971" s="133"/>
      <c r="D971" s="133"/>
      <c r="E971" s="140"/>
      <c r="F971" s="140"/>
      <c r="G971" s="140"/>
      <c r="H971" s="133"/>
      <c r="I971" s="133"/>
      <c r="J971" s="140"/>
      <c r="K971" s="129"/>
      <c r="L971" s="129"/>
      <c r="M971" s="129"/>
      <c r="N971" s="129"/>
      <c r="O971" s="140"/>
      <c r="P971" s="140"/>
      <c r="Q971" s="133"/>
      <c r="R971" s="140"/>
      <c r="S971" s="133"/>
      <c r="T971" s="133"/>
    </row>
    <row r="972">
      <c r="A972" s="141"/>
      <c r="B972" s="142"/>
      <c r="C972" s="133"/>
      <c r="D972" s="133"/>
      <c r="E972" s="140"/>
      <c r="F972" s="140"/>
      <c r="G972" s="140"/>
      <c r="H972" s="133"/>
      <c r="I972" s="133"/>
      <c r="J972" s="140"/>
      <c r="K972" s="129"/>
      <c r="L972" s="129"/>
      <c r="M972" s="129"/>
      <c r="N972" s="129"/>
      <c r="O972" s="140"/>
      <c r="P972" s="140"/>
      <c r="Q972" s="133"/>
      <c r="R972" s="140"/>
      <c r="S972" s="133"/>
      <c r="T972" s="133"/>
    </row>
    <row r="973">
      <c r="A973" s="141"/>
      <c r="B973" s="142"/>
      <c r="C973" s="133"/>
      <c r="D973" s="133"/>
      <c r="E973" s="140"/>
      <c r="F973" s="140"/>
      <c r="G973" s="140"/>
      <c r="H973" s="133"/>
      <c r="I973" s="133"/>
      <c r="J973" s="140"/>
      <c r="K973" s="129"/>
      <c r="L973" s="129"/>
      <c r="M973" s="129"/>
      <c r="N973" s="129"/>
      <c r="O973" s="140"/>
      <c r="P973" s="140"/>
      <c r="Q973" s="133"/>
      <c r="R973" s="140"/>
      <c r="S973" s="133"/>
      <c r="T973" s="133"/>
    </row>
    <row r="974">
      <c r="A974" s="141"/>
      <c r="B974" s="142"/>
      <c r="C974" s="133"/>
      <c r="D974" s="133"/>
      <c r="E974" s="140"/>
      <c r="F974" s="140"/>
      <c r="G974" s="140"/>
      <c r="H974" s="133"/>
      <c r="I974" s="133"/>
      <c r="J974" s="140"/>
      <c r="K974" s="129"/>
      <c r="L974" s="129"/>
      <c r="M974" s="129"/>
      <c r="N974" s="129"/>
      <c r="O974" s="140"/>
      <c r="P974" s="140"/>
      <c r="Q974" s="133"/>
      <c r="R974" s="140"/>
      <c r="S974" s="133"/>
      <c r="T974" s="133"/>
    </row>
    <row r="975">
      <c r="A975" s="141"/>
      <c r="B975" s="142"/>
      <c r="C975" s="133"/>
      <c r="D975" s="133"/>
      <c r="E975" s="140"/>
      <c r="F975" s="140"/>
      <c r="G975" s="140"/>
      <c r="H975" s="133"/>
      <c r="I975" s="133"/>
      <c r="J975" s="140"/>
      <c r="K975" s="129"/>
      <c r="L975" s="129"/>
      <c r="M975" s="129"/>
      <c r="N975" s="129"/>
      <c r="O975" s="140"/>
      <c r="P975" s="140"/>
      <c r="Q975" s="133"/>
      <c r="R975" s="140"/>
      <c r="S975" s="133"/>
      <c r="T975" s="133"/>
    </row>
    <row r="976">
      <c r="A976" s="141"/>
      <c r="B976" s="142"/>
      <c r="C976" s="133"/>
      <c r="D976" s="133"/>
      <c r="E976" s="140"/>
      <c r="F976" s="140"/>
      <c r="G976" s="140"/>
      <c r="H976" s="133"/>
      <c r="I976" s="133"/>
      <c r="J976" s="140"/>
      <c r="K976" s="129"/>
      <c r="L976" s="129"/>
      <c r="M976" s="129"/>
      <c r="N976" s="129"/>
      <c r="O976" s="140"/>
      <c r="P976" s="140"/>
      <c r="Q976" s="133"/>
      <c r="R976" s="140"/>
      <c r="S976" s="133"/>
      <c r="T976" s="133"/>
    </row>
    <row r="977">
      <c r="A977" s="141"/>
      <c r="B977" s="142"/>
      <c r="C977" s="133"/>
      <c r="D977" s="133"/>
      <c r="E977" s="140"/>
      <c r="F977" s="140"/>
      <c r="G977" s="140"/>
      <c r="H977" s="133"/>
      <c r="I977" s="133"/>
      <c r="J977" s="140"/>
      <c r="K977" s="129"/>
      <c r="L977" s="129"/>
      <c r="M977" s="129"/>
      <c r="N977" s="129"/>
      <c r="O977" s="140"/>
      <c r="P977" s="140"/>
      <c r="Q977" s="133"/>
      <c r="R977" s="140"/>
      <c r="S977" s="133"/>
      <c r="T977" s="133"/>
    </row>
    <row r="978">
      <c r="A978" s="141"/>
      <c r="B978" s="142"/>
      <c r="C978" s="133"/>
      <c r="D978" s="133"/>
      <c r="E978" s="140"/>
      <c r="F978" s="140"/>
      <c r="G978" s="140"/>
      <c r="H978" s="133"/>
      <c r="I978" s="133"/>
      <c r="J978" s="140"/>
      <c r="K978" s="129"/>
      <c r="L978" s="129"/>
      <c r="M978" s="129"/>
      <c r="N978" s="129"/>
      <c r="O978" s="140"/>
      <c r="P978" s="140"/>
      <c r="Q978" s="133"/>
      <c r="R978" s="140"/>
      <c r="S978" s="133"/>
      <c r="T978" s="133"/>
    </row>
    <row r="979">
      <c r="A979" s="141"/>
      <c r="B979" s="142"/>
      <c r="C979" s="133"/>
      <c r="D979" s="133"/>
      <c r="E979" s="140"/>
      <c r="F979" s="140"/>
      <c r="G979" s="140"/>
      <c r="H979" s="133"/>
      <c r="I979" s="133"/>
      <c r="J979" s="140"/>
      <c r="K979" s="129"/>
      <c r="L979" s="129"/>
      <c r="M979" s="129"/>
      <c r="N979" s="129"/>
      <c r="O979" s="140"/>
      <c r="P979" s="140"/>
      <c r="Q979" s="133"/>
      <c r="R979" s="140"/>
      <c r="S979" s="133"/>
      <c r="T979" s="133"/>
    </row>
    <row r="980">
      <c r="A980" s="141"/>
      <c r="B980" s="142"/>
      <c r="C980" s="133"/>
      <c r="D980" s="133"/>
      <c r="E980" s="140"/>
      <c r="F980" s="140"/>
      <c r="G980" s="140"/>
      <c r="H980" s="133"/>
      <c r="I980" s="133"/>
      <c r="J980" s="140"/>
      <c r="K980" s="129"/>
      <c r="L980" s="129"/>
      <c r="M980" s="129"/>
      <c r="N980" s="129"/>
      <c r="O980" s="140"/>
      <c r="P980" s="140"/>
      <c r="Q980" s="133"/>
      <c r="R980" s="140"/>
      <c r="S980" s="133"/>
      <c r="T980" s="133"/>
    </row>
    <row r="981">
      <c r="A981" s="141"/>
      <c r="B981" s="142"/>
      <c r="C981" s="133"/>
      <c r="D981" s="133"/>
      <c r="E981" s="140"/>
      <c r="F981" s="140"/>
      <c r="G981" s="140"/>
      <c r="H981" s="133"/>
      <c r="I981" s="133"/>
      <c r="J981" s="140"/>
      <c r="K981" s="129"/>
      <c r="L981" s="129"/>
      <c r="M981" s="129"/>
      <c r="N981" s="129"/>
      <c r="O981" s="140"/>
      <c r="P981" s="140"/>
      <c r="Q981" s="133"/>
      <c r="R981" s="140"/>
      <c r="S981" s="133"/>
      <c r="T981" s="133"/>
    </row>
    <row r="982">
      <c r="A982" s="141"/>
      <c r="B982" s="142"/>
      <c r="C982" s="133"/>
      <c r="D982" s="133"/>
      <c r="E982" s="140"/>
      <c r="F982" s="140"/>
      <c r="G982" s="140"/>
      <c r="H982" s="133"/>
      <c r="I982" s="133"/>
      <c r="J982" s="140"/>
      <c r="K982" s="129"/>
      <c r="L982" s="129"/>
      <c r="M982" s="129"/>
      <c r="N982" s="129"/>
      <c r="O982" s="140"/>
      <c r="P982" s="140"/>
      <c r="Q982" s="133"/>
      <c r="R982" s="140"/>
      <c r="S982" s="133"/>
      <c r="T982" s="133"/>
    </row>
    <row r="983">
      <c r="A983" s="141"/>
      <c r="B983" s="142"/>
      <c r="C983" s="133"/>
      <c r="D983" s="133"/>
      <c r="E983" s="140"/>
      <c r="F983" s="140"/>
      <c r="G983" s="140"/>
      <c r="H983" s="133"/>
      <c r="I983" s="133"/>
      <c r="J983" s="140"/>
      <c r="K983" s="129"/>
      <c r="L983" s="129"/>
      <c r="M983" s="129"/>
      <c r="N983" s="129"/>
      <c r="O983" s="140"/>
      <c r="P983" s="140"/>
      <c r="Q983" s="133"/>
      <c r="R983" s="140"/>
      <c r="S983" s="133"/>
      <c r="T983" s="133"/>
    </row>
    <row r="984">
      <c r="A984" s="141"/>
      <c r="B984" s="142"/>
      <c r="C984" s="133"/>
      <c r="D984" s="133"/>
      <c r="E984" s="140"/>
      <c r="F984" s="140"/>
      <c r="G984" s="140"/>
      <c r="H984" s="133"/>
      <c r="I984" s="133"/>
      <c r="J984" s="140"/>
      <c r="K984" s="129"/>
      <c r="L984" s="129"/>
      <c r="M984" s="129"/>
      <c r="N984" s="129"/>
      <c r="O984" s="140"/>
      <c r="P984" s="140"/>
      <c r="Q984" s="133"/>
      <c r="R984" s="140"/>
      <c r="S984" s="133"/>
      <c r="T984" s="133"/>
    </row>
    <row r="985">
      <c r="A985" s="141"/>
      <c r="B985" s="142"/>
      <c r="C985" s="133"/>
      <c r="D985" s="133"/>
      <c r="E985" s="140"/>
      <c r="F985" s="140"/>
      <c r="G985" s="140"/>
      <c r="H985" s="133"/>
      <c r="I985" s="133"/>
      <c r="J985" s="140"/>
      <c r="K985" s="129"/>
      <c r="L985" s="129"/>
      <c r="M985" s="129"/>
      <c r="N985" s="129"/>
      <c r="O985" s="140"/>
      <c r="P985" s="140"/>
      <c r="Q985" s="133"/>
      <c r="R985" s="140"/>
      <c r="S985" s="133"/>
      <c r="T985" s="133"/>
    </row>
    <row r="986">
      <c r="A986" s="141"/>
      <c r="B986" s="142"/>
      <c r="C986" s="133"/>
      <c r="D986" s="133"/>
      <c r="E986" s="140"/>
      <c r="F986" s="140"/>
      <c r="G986" s="140"/>
      <c r="H986" s="133"/>
      <c r="I986" s="133"/>
      <c r="J986" s="140"/>
      <c r="K986" s="129"/>
      <c r="L986" s="129"/>
      <c r="M986" s="129"/>
      <c r="N986" s="129"/>
      <c r="O986" s="140"/>
      <c r="P986" s="140"/>
      <c r="Q986" s="133"/>
      <c r="R986" s="140"/>
      <c r="S986" s="133"/>
      <c r="T986" s="133"/>
    </row>
    <row r="987">
      <c r="A987" s="141"/>
      <c r="B987" s="142"/>
      <c r="C987" s="133"/>
      <c r="D987" s="133"/>
      <c r="E987" s="140"/>
      <c r="F987" s="140"/>
      <c r="G987" s="140"/>
      <c r="H987" s="133"/>
      <c r="I987" s="133"/>
      <c r="J987" s="140"/>
      <c r="K987" s="129"/>
      <c r="L987" s="129"/>
      <c r="M987" s="129"/>
      <c r="N987" s="129"/>
      <c r="O987" s="140"/>
      <c r="P987" s="140"/>
      <c r="Q987" s="133"/>
      <c r="R987" s="140"/>
      <c r="S987" s="133"/>
      <c r="T987" s="133"/>
    </row>
    <row r="988">
      <c r="A988" s="141"/>
      <c r="B988" s="142"/>
      <c r="C988" s="133"/>
      <c r="D988" s="133"/>
      <c r="E988" s="140"/>
      <c r="F988" s="140"/>
      <c r="G988" s="140"/>
      <c r="H988" s="133"/>
      <c r="I988" s="133"/>
      <c r="J988" s="140"/>
      <c r="K988" s="129"/>
      <c r="L988" s="129"/>
      <c r="M988" s="129"/>
      <c r="N988" s="129"/>
      <c r="O988" s="140"/>
      <c r="P988" s="140"/>
      <c r="Q988" s="133"/>
      <c r="R988" s="140"/>
      <c r="S988" s="133"/>
      <c r="T988" s="133"/>
    </row>
    <row r="989">
      <c r="A989" s="141"/>
      <c r="B989" s="142"/>
      <c r="C989" s="133"/>
      <c r="D989" s="133"/>
      <c r="E989" s="140"/>
      <c r="F989" s="140"/>
      <c r="G989" s="140"/>
      <c r="H989" s="133"/>
      <c r="I989" s="133"/>
      <c r="J989" s="140"/>
      <c r="K989" s="129"/>
      <c r="L989" s="129"/>
      <c r="M989" s="129"/>
      <c r="N989" s="129"/>
      <c r="O989" s="140"/>
      <c r="P989" s="140"/>
      <c r="Q989" s="133"/>
      <c r="R989" s="140"/>
      <c r="S989" s="133"/>
      <c r="T989" s="133"/>
    </row>
    <row r="990">
      <c r="A990" s="141"/>
      <c r="B990" s="142"/>
      <c r="C990" s="133"/>
      <c r="D990" s="133"/>
      <c r="E990" s="140"/>
      <c r="F990" s="140"/>
      <c r="G990" s="140"/>
      <c r="H990" s="133"/>
      <c r="I990" s="133"/>
      <c r="J990" s="140"/>
      <c r="K990" s="129"/>
      <c r="L990" s="129"/>
      <c r="M990" s="129"/>
      <c r="N990" s="129"/>
      <c r="O990" s="140"/>
      <c r="P990" s="140"/>
      <c r="Q990" s="133"/>
      <c r="R990" s="140"/>
      <c r="S990" s="133"/>
      <c r="T990" s="133"/>
    </row>
    <row r="991">
      <c r="A991" s="141"/>
      <c r="B991" s="142"/>
      <c r="C991" s="133"/>
      <c r="D991" s="133"/>
      <c r="E991" s="140"/>
      <c r="F991" s="140"/>
      <c r="G991" s="140"/>
      <c r="H991" s="133"/>
      <c r="I991" s="133"/>
      <c r="J991" s="140"/>
      <c r="K991" s="129"/>
      <c r="L991" s="129"/>
      <c r="M991" s="129"/>
      <c r="N991" s="129"/>
      <c r="O991" s="140"/>
      <c r="P991" s="140"/>
      <c r="Q991" s="133"/>
      <c r="R991" s="140"/>
      <c r="S991" s="133"/>
      <c r="T991" s="133"/>
    </row>
    <row r="992">
      <c r="A992" s="141"/>
      <c r="B992" s="142"/>
      <c r="C992" s="133"/>
      <c r="D992" s="133"/>
      <c r="E992" s="140"/>
      <c r="F992" s="140"/>
      <c r="G992" s="140"/>
      <c r="H992" s="133"/>
      <c r="I992" s="133"/>
      <c r="J992" s="140"/>
      <c r="K992" s="129"/>
      <c r="L992" s="129"/>
      <c r="M992" s="129"/>
      <c r="N992" s="129"/>
      <c r="O992" s="140"/>
      <c r="P992" s="140"/>
      <c r="Q992" s="133"/>
      <c r="R992" s="140"/>
      <c r="S992" s="133"/>
      <c r="T992" s="133"/>
    </row>
    <row r="993">
      <c r="A993" s="141"/>
      <c r="B993" s="142"/>
      <c r="C993" s="133"/>
      <c r="D993" s="133"/>
      <c r="E993" s="140"/>
      <c r="F993" s="140"/>
      <c r="G993" s="140"/>
      <c r="H993" s="133"/>
      <c r="I993" s="133"/>
      <c r="J993" s="140"/>
      <c r="K993" s="129"/>
      <c r="L993" s="129"/>
      <c r="M993" s="129"/>
      <c r="N993" s="129"/>
      <c r="O993" s="140"/>
      <c r="P993" s="140"/>
      <c r="Q993" s="133"/>
      <c r="R993" s="140"/>
      <c r="S993" s="133"/>
      <c r="T993" s="133"/>
    </row>
    <row r="994">
      <c r="A994" s="141"/>
      <c r="B994" s="142"/>
      <c r="C994" s="133"/>
      <c r="D994" s="133"/>
      <c r="E994" s="140"/>
      <c r="F994" s="140"/>
      <c r="G994" s="140"/>
      <c r="H994" s="133"/>
      <c r="I994" s="133"/>
      <c r="J994" s="140"/>
      <c r="K994" s="129"/>
      <c r="L994" s="129"/>
      <c r="M994" s="129"/>
      <c r="N994" s="129"/>
      <c r="O994" s="140"/>
      <c r="P994" s="140"/>
      <c r="Q994" s="133"/>
      <c r="R994" s="140"/>
      <c r="S994" s="133"/>
      <c r="T994" s="133"/>
    </row>
    <row r="995">
      <c r="A995" s="141"/>
      <c r="B995" s="142"/>
      <c r="C995" s="133"/>
      <c r="D995" s="133"/>
      <c r="E995" s="140"/>
      <c r="F995" s="140"/>
      <c r="G995" s="140"/>
      <c r="H995" s="133"/>
      <c r="I995" s="133"/>
      <c r="J995" s="140"/>
      <c r="K995" s="129"/>
      <c r="L995" s="129"/>
      <c r="M995" s="129"/>
      <c r="N995" s="129"/>
      <c r="O995" s="140"/>
      <c r="P995" s="140"/>
      <c r="Q995" s="133"/>
      <c r="R995" s="140"/>
      <c r="S995" s="133"/>
      <c r="T995" s="133"/>
    </row>
    <row r="996">
      <c r="A996" s="141"/>
      <c r="B996" s="142"/>
      <c r="C996" s="133"/>
      <c r="D996" s="133"/>
      <c r="E996" s="140"/>
      <c r="F996" s="140"/>
      <c r="G996" s="140"/>
      <c r="H996" s="133"/>
      <c r="I996" s="133"/>
      <c r="J996" s="140"/>
      <c r="K996" s="129"/>
      <c r="L996" s="129"/>
      <c r="M996" s="129"/>
      <c r="N996" s="129"/>
      <c r="O996" s="140"/>
      <c r="P996" s="140"/>
      <c r="Q996" s="133"/>
      <c r="R996" s="140"/>
      <c r="S996" s="133"/>
      <c r="T996" s="133"/>
    </row>
    <row r="997">
      <c r="A997" s="141"/>
      <c r="B997" s="142"/>
      <c r="C997" s="133"/>
      <c r="D997" s="133"/>
      <c r="E997" s="140"/>
      <c r="F997" s="140"/>
      <c r="G997" s="140"/>
      <c r="H997" s="133"/>
      <c r="I997" s="133"/>
      <c r="J997" s="140"/>
      <c r="K997" s="129"/>
      <c r="L997" s="129"/>
      <c r="M997" s="129"/>
      <c r="N997" s="129"/>
      <c r="O997" s="140"/>
      <c r="P997" s="140"/>
      <c r="Q997" s="133"/>
      <c r="R997" s="140"/>
      <c r="S997" s="133"/>
      <c r="T997" s="133"/>
    </row>
    <row r="998">
      <c r="A998" s="141"/>
      <c r="B998" s="142"/>
      <c r="C998" s="133"/>
      <c r="D998" s="133"/>
      <c r="E998" s="140"/>
      <c r="F998" s="140"/>
      <c r="G998" s="140"/>
      <c r="H998" s="133"/>
      <c r="I998" s="133"/>
      <c r="J998" s="140"/>
      <c r="K998" s="129"/>
      <c r="L998" s="129"/>
      <c r="M998" s="129"/>
      <c r="N998" s="129"/>
      <c r="O998" s="140"/>
      <c r="P998" s="140"/>
      <c r="Q998" s="133"/>
      <c r="R998" s="140"/>
      <c r="S998" s="133"/>
      <c r="T998" s="133"/>
    </row>
    <row r="999">
      <c r="A999" s="141"/>
      <c r="B999" s="142"/>
      <c r="C999" s="133"/>
      <c r="D999" s="133"/>
      <c r="E999" s="140"/>
      <c r="F999" s="140"/>
      <c r="G999" s="140"/>
      <c r="H999" s="133"/>
      <c r="I999" s="133"/>
      <c r="J999" s="140"/>
      <c r="K999" s="129"/>
      <c r="L999" s="129"/>
      <c r="M999" s="129"/>
      <c r="N999" s="129"/>
      <c r="O999" s="140"/>
      <c r="P999" s="140"/>
      <c r="Q999" s="133"/>
      <c r="R999" s="140"/>
      <c r="S999" s="133"/>
      <c r="T999" s="133"/>
    </row>
    <row r="1000">
      <c r="A1000" s="141"/>
      <c r="B1000" s="142"/>
      <c r="C1000" s="133"/>
      <c r="D1000" s="133"/>
      <c r="E1000" s="140"/>
      <c r="F1000" s="140"/>
      <c r="G1000" s="140"/>
      <c r="H1000" s="133"/>
      <c r="I1000" s="133"/>
      <c r="J1000" s="140"/>
      <c r="K1000" s="129"/>
      <c r="L1000" s="129"/>
      <c r="M1000" s="129"/>
      <c r="N1000" s="129"/>
      <c r="O1000" s="140"/>
      <c r="P1000" s="140"/>
      <c r="Q1000" s="133"/>
      <c r="R1000" s="140"/>
      <c r="S1000" s="133"/>
      <c r="T1000" s="133"/>
    </row>
    <row r="1001">
      <c r="A1001" s="141"/>
      <c r="B1001" s="142"/>
      <c r="C1001" s="133"/>
      <c r="D1001" s="133"/>
      <c r="E1001" s="140"/>
      <c r="F1001" s="140"/>
      <c r="G1001" s="140"/>
      <c r="H1001" s="133"/>
      <c r="I1001" s="133"/>
      <c r="J1001" s="140"/>
      <c r="K1001" s="129"/>
      <c r="L1001" s="129"/>
      <c r="M1001" s="129"/>
      <c r="N1001" s="129"/>
      <c r="O1001" s="140"/>
      <c r="P1001" s="140"/>
      <c r="Q1001" s="133"/>
      <c r="R1001" s="140"/>
      <c r="S1001" s="133"/>
      <c r="T1001" s="133"/>
    </row>
    <row r="1002">
      <c r="A1002" s="141"/>
      <c r="B1002" s="142"/>
      <c r="C1002" s="133"/>
      <c r="D1002" s="133"/>
      <c r="E1002" s="140"/>
      <c r="F1002" s="140"/>
      <c r="G1002" s="140"/>
      <c r="H1002" s="133"/>
      <c r="I1002" s="133"/>
      <c r="J1002" s="140"/>
      <c r="K1002" s="129"/>
      <c r="L1002" s="129"/>
      <c r="M1002" s="129"/>
      <c r="N1002" s="129"/>
      <c r="O1002" s="140"/>
      <c r="P1002" s="140"/>
      <c r="Q1002" s="133"/>
      <c r="R1002" s="140"/>
      <c r="S1002" s="133"/>
      <c r="T1002" s="133"/>
    </row>
    <row r="1003">
      <c r="A1003" s="141"/>
      <c r="B1003" s="142"/>
      <c r="C1003" s="133"/>
      <c r="D1003" s="133"/>
      <c r="E1003" s="140"/>
      <c r="F1003" s="140"/>
      <c r="G1003" s="140"/>
      <c r="H1003" s="133"/>
      <c r="I1003" s="133"/>
      <c r="J1003" s="140"/>
      <c r="K1003" s="129"/>
      <c r="L1003" s="129"/>
      <c r="M1003" s="129"/>
      <c r="N1003" s="129"/>
      <c r="O1003" s="140"/>
      <c r="P1003" s="140"/>
      <c r="Q1003" s="133"/>
      <c r="R1003" s="140"/>
      <c r="S1003" s="133"/>
      <c r="T1003" s="133"/>
    </row>
    <row r="1004">
      <c r="A1004" s="141"/>
      <c r="B1004" s="142"/>
      <c r="C1004" s="133"/>
      <c r="D1004" s="133"/>
      <c r="E1004" s="140"/>
      <c r="F1004" s="140"/>
      <c r="G1004" s="140"/>
      <c r="H1004" s="133"/>
      <c r="I1004" s="133"/>
      <c r="J1004" s="140"/>
      <c r="K1004" s="129"/>
      <c r="L1004" s="129"/>
      <c r="M1004" s="129"/>
      <c r="N1004" s="129"/>
      <c r="O1004" s="140"/>
      <c r="P1004" s="140"/>
      <c r="Q1004" s="133"/>
      <c r="R1004" s="140"/>
      <c r="S1004" s="133"/>
      <c r="T1004" s="133"/>
    </row>
    <row r="1005">
      <c r="A1005" s="141"/>
      <c r="B1005" s="142"/>
      <c r="C1005" s="133"/>
      <c r="D1005" s="133"/>
      <c r="E1005" s="140"/>
      <c r="F1005" s="140"/>
      <c r="G1005" s="140"/>
      <c r="H1005" s="133"/>
      <c r="I1005" s="133"/>
      <c r="J1005" s="140"/>
      <c r="K1005" s="129"/>
      <c r="L1005" s="129"/>
      <c r="M1005" s="129"/>
      <c r="N1005" s="129"/>
      <c r="O1005" s="140"/>
      <c r="P1005" s="140"/>
      <c r="Q1005" s="133"/>
      <c r="R1005" s="140"/>
      <c r="S1005" s="133"/>
      <c r="T1005" s="133"/>
    </row>
    <row r="1006">
      <c r="A1006" s="141"/>
      <c r="B1006" s="142"/>
      <c r="C1006" s="133"/>
      <c r="D1006" s="133"/>
      <c r="E1006" s="140"/>
      <c r="F1006" s="140"/>
      <c r="G1006" s="140"/>
      <c r="H1006" s="133"/>
      <c r="I1006" s="133"/>
      <c r="J1006" s="140"/>
      <c r="K1006" s="129"/>
      <c r="L1006" s="129"/>
      <c r="M1006" s="129"/>
      <c r="N1006" s="129"/>
      <c r="O1006" s="140"/>
      <c r="P1006" s="140"/>
      <c r="Q1006" s="133"/>
      <c r="R1006" s="140"/>
      <c r="S1006" s="133"/>
      <c r="T1006" s="133"/>
    </row>
    <row r="1007">
      <c r="A1007" s="141"/>
      <c r="B1007" s="142"/>
      <c r="C1007" s="133"/>
      <c r="D1007" s="133"/>
      <c r="E1007" s="140"/>
      <c r="F1007" s="140"/>
      <c r="G1007" s="140"/>
      <c r="H1007" s="133"/>
      <c r="I1007" s="133"/>
      <c r="J1007" s="140"/>
      <c r="K1007" s="129"/>
      <c r="L1007" s="129"/>
      <c r="M1007" s="129"/>
      <c r="N1007" s="129"/>
      <c r="O1007" s="140"/>
      <c r="P1007" s="140"/>
      <c r="Q1007" s="133"/>
      <c r="R1007" s="140"/>
      <c r="S1007" s="133"/>
      <c r="T1007" s="133"/>
    </row>
    <row r="1008">
      <c r="A1008" s="141"/>
      <c r="B1008" s="142"/>
      <c r="C1008" s="133"/>
      <c r="D1008" s="133"/>
      <c r="E1008" s="140"/>
      <c r="F1008" s="140"/>
      <c r="G1008" s="140"/>
      <c r="H1008" s="133"/>
      <c r="I1008" s="133"/>
      <c r="J1008" s="140"/>
      <c r="K1008" s="129"/>
      <c r="L1008" s="129"/>
      <c r="M1008" s="129"/>
      <c r="N1008" s="129"/>
      <c r="O1008" s="140"/>
      <c r="P1008" s="140"/>
      <c r="Q1008" s="133"/>
      <c r="R1008" s="140"/>
      <c r="S1008" s="133"/>
      <c r="T1008" s="133"/>
    </row>
    <row r="1009">
      <c r="A1009" s="141"/>
      <c r="B1009" s="142"/>
      <c r="C1009" s="133"/>
      <c r="D1009" s="133"/>
      <c r="E1009" s="140"/>
      <c r="F1009" s="140"/>
      <c r="G1009" s="140"/>
      <c r="H1009" s="133"/>
      <c r="I1009" s="133"/>
      <c r="J1009" s="140"/>
      <c r="K1009" s="129"/>
      <c r="L1009" s="129"/>
      <c r="M1009" s="129"/>
      <c r="N1009" s="129"/>
      <c r="O1009" s="140"/>
      <c r="P1009" s="140"/>
      <c r="Q1009" s="133"/>
      <c r="R1009" s="140"/>
      <c r="S1009" s="133"/>
      <c r="T1009" s="133"/>
    </row>
    <row r="1010">
      <c r="A1010" s="141"/>
      <c r="B1010" s="142"/>
      <c r="C1010" s="133"/>
      <c r="D1010" s="133"/>
      <c r="E1010" s="140"/>
      <c r="F1010" s="140"/>
      <c r="G1010" s="140"/>
      <c r="H1010" s="133"/>
      <c r="I1010" s="133"/>
      <c r="J1010" s="140"/>
      <c r="K1010" s="129"/>
      <c r="L1010" s="129"/>
      <c r="M1010" s="129"/>
      <c r="N1010" s="129"/>
      <c r="O1010" s="140"/>
      <c r="P1010" s="140"/>
      <c r="Q1010" s="133"/>
      <c r="R1010" s="140"/>
      <c r="S1010" s="133"/>
      <c r="T1010" s="133"/>
    </row>
    <row r="1011">
      <c r="A1011" s="141"/>
      <c r="B1011" s="142"/>
      <c r="C1011" s="133"/>
      <c r="D1011" s="133"/>
      <c r="E1011" s="140"/>
      <c r="F1011" s="140"/>
      <c r="G1011" s="140"/>
      <c r="H1011" s="133"/>
      <c r="I1011" s="133"/>
      <c r="J1011" s="140"/>
      <c r="K1011" s="129"/>
      <c r="L1011" s="129"/>
      <c r="M1011" s="129"/>
      <c r="N1011" s="129"/>
      <c r="O1011" s="140"/>
      <c r="P1011" s="140"/>
      <c r="Q1011" s="133"/>
      <c r="R1011" s="140"/>
      <c r="S1011" s="133"/>
      <c r="T1011" s="133"/>
    </row>
    <row r="1012">
      <c r="A1012" s="141"/>
      <c r="B1012" s="142"/>
      <c r="C1012" s="133"/>
      <c r="D1012" s="133"/>
      <c r="E1012" s="140"/>
      <c r="F1012" s="140"/>
      <c r="G1012" s="140"/>
      <c r="H1012" s="133"/>
      <c r="I1012" s="133"/>
      <c r="J1012" s="140"/>
      <c r="K1012" s="129"/>
      <c r="L1012" s="129"/>
      <c r="M1012" s="129"/>
      <c r="N1012" s="129"/>
      <c r="O1012" s="140"/>
      <c r="P1012" s="140"/>
      <c r="Q1012" s="133"/>
      <c r="R1012" s="140"/>
      <c r="S1012" s="133"/>
      <c r="T1012" s="133"/>
    </row>
    <row r="1013">
      <c r="A1013" s="141"/>
      <c r="B1013" s="142"/>
      <c r="C1013" s="133"/>
      <c r="D1013" s="133"/>
      <c r="E1013" s="140"/>
      <c r="F1013" s="140"/>
      <c r="G1013" s="140"/>
      <c r="H1013" s="133"/>
      <c r="I1013" s="133"/>
      <c r="J1013" s="140"/>
      <c r="K1013" s="129"/>
      <c r="L1013" s="129"/>
      <c r="M1013" s="129"/>
      <c r="N1013" s="129"/>
      <c r="O1013" s="140"/>
      <c r="P1013" s="140"/>
      <c r="Q1013" s="133"/>
      <c r="R1013" s="140"/>
      <c r="S1013" s="133"/>
      <c r="T1013" s="133"/>
    </row>
    <row r="1014">
      <c r="A1014" s="141"/>
      <c r="B1014" s="142"/>
      <c r="C1014" s="133"/>
      <c r="D1014" s="133"/>
      <c r="E1014" s="140"/>
      <c r="F1014" s="140"/>
      <c r="G1014" s="140"/>
      <c r="H1014" s="133"/>
      <c r="I1014" s="133"/>
      <c r="J1014" s="140"/>
      <c r="K1014" s="129"/>
      <c r="L1014" s="129"/>
      <c r="M1014" s="129"/>
      <c r="N1014" s="129"/>
      <c r="O1014" s="140"/>
      <c r="P1014" s="140"/>
      <c r="Q1014" s="133"/>
      <c r="R1014" s="140"/>
      <c r="S1014" s="133"/>
      <c r="T1014" s="133"/>
    </row>
    <row r="1015">
      <c r="A1015" s="141"/>
      <c r="B1015" s="142"/>
      <c r="C1015" s="133"/>
      <c r="D1015" s="133"/>
      <c r="E1015" s="140"/>
      <c r="F1015" s="140"/>
      <c r="G1015" s="140"/>
      <c r="H1015" s="133"/>
      <c r="I1015" s="133"/>
      <c r="J1015" s="140"/>
      <c r="K1015" s="129"/>
      <c r="L1015" s="129"/>
      <c r="M1015" s="129"/>
      <c r="N1015" s="129"/>
      <c r="O1015" s="140"/>
      <c r="P1015" s="140"/>
      <c r="Q1015" s="133"/>
      <c r="R1015" s="140"/>
      <c r="S1015" s="133"/>
      <c r="T1015" s="133"/>
    </row>
    <row r="1016">
      <c r="A1016" s="141"/>
      <c r="B1016" s="142"/>
      <c r="C1016" s="133"/>
      <c r="D1016" s="133"/>
      <c r="E1016" s="140"/>
      <c r="F1016" s="140"/>
      <c r="G1016" s="140"/>
      <c r="H1016" s="133"/>
      <c r="I1016" s="133"/>
      <c r="J1016" s="140"/>
      <c r="K1016" s="129"/>
      <c r="L1016" s="129"/>
      <c r="M1016" s="129"/>
      <c r="N1016" s="129"/>
      <c r="O1016" s="140"/>
      <c r="P1016" s="140"/>
      <c r="Q1016" s="133"/>
      <c r="R1016" s="140"/>
      <c r="S1016" s="133"/>
      <c r="T1016" s="133"/>
    </row>
    <row r="1017">
      <c r="A1017" s="141"/>
      <c r="B1017" s="142"/>
      <c r="C1017" s="133"/>
      <c r="D1017" s="133"/>
      <c r="E1017" s="140"/>
      <c r="F1017" s="140"/>
      <c r="G1017" s="140"/>
      <c r="H1017" s="133"/>
      <c r="I1017" s="133"/>
      <c r="J1017" s="140"/>
      <c r="K1017" s="129"/>
      <c r="L1017" s="129"/>
      <c r="M1017" s="129"/>
      <c r="N1017" s="129"/>
      <c r="O1017" s="140"/>
      <c r="P1017" s="140"/>
      <c r="Q1017" s="133"/>
      <c r="R1017" s="140"/>
      <c r="S1017" s="133"/>
      <c r="T1017" s="133"/>
    </row>
    <row r="1018">
      <c r="A1018" s="141"/>
      <c r="B1018" s="142"/>
      <c r="C1018" s="133"/>
      <c r="D1018" s="133"/>
      <c r="E1018" s="140"/>
      <c r="F1018" s="140"/>
      <c r="G1018" s="140"/>
      <c r="H1018" s="133"/>
      <c r="I1018" s="133"/>
      <c r="J1018" s="140"/>
      <c r="K1018" s="129"/>
      <c r="L1018" s="129"/>
      <c r="M1018" s="129"/>
      <c r="N1018" s="129"/>
      <c r="O1018" s="140"/>
      <c r="P1018" s="140"/>
      <c r="Q1018" s="133"/>
      <c r="R1018" s="140"/>
      <c r="S1018" s="133"/>
      <c r="T1018" s="133"/>
    </row>
    <row r="1019">
      <c r="A1019" s="141"/>
      <c r="B1019" s="142"/>
      <c r="C1019" s="133"/>
      <c r="D1019" s="133"/>
      <c r="E1019" s="140"/>
      <c r="F1019" s="140"/>
      <c r="G1019" s="140"/>
      <c r="H1019" s="133"/>
      <c r="I1019" s="133"/>
      <c r="J1019" s="140"/>
      <c r="K1019" s="129"/>
      <c r="L1019" s="129"/>
      <c r="M1019" s="129"/>
      <c r="N1019" s="129"/>
      <c r="O1019" s="140"/>
      <c r="P1019" s="140"/>
      <c r="Q1019" s="133"/>
      <c r="R1019" s="140"/>
      <c r="S1019" s="133"/>
      <c r="T1019" s="133"/>
    </row>
    <row r="1020">
      <c r="A1020" s="141"/>
      <c r="B1020" s="142"/>
      <c r="C1020" s="133"/>
      <c r="D1020" s="133"/>
      <c r="E1020" s="140"/>
      <c r="F1020" s="140"/>
      <c r="G1020" s="140"/>
      <c r="H1020" s="133"/>
      <c r="I1020" s="133"/>
      <c r="J1020" s="140"/>
      <c r="K1020" s="129"/>
      <c r="L1020" s="129"/>
      <c r="M1020" s="129"/>
      <c r="N1020" s="129"/>
      <c r="O1020" s="140"/>
      <c r="P1020" s="140"/>
      <c r="Q1020" s="133"/>
      <c r="R1020" s="140"/>
      <c r="S1020" s="133"/>
      <c r="T1020" s="133"/>
    </row>
    <row r="1021">
      <c r="A1021" s="141"/>
      <c r="B1021" s="142"/>
      <c r="C1021" s="133"/>
      <c r="D1021" s="133"/>
      <c r="E1021" s="140"/>
      <c r="F1021" s="140"/>
      <c r="G1021" s="140"/>
      <c r="H1021" s="133"/>
      <c r="I1021" s="133"/>
      <c r="J1021" s="140"/>
      <c r="K1021" s="129"/>
      <c r="L1021" s="129"/>
      <c r="M1021" s="129"/>
      <c r="N1021" s="129"/>
      <c r="O1021" s="140"/>
      <c r="P1021" s="140"/>
      <c r="Q1021" s="133"/>
      <c r="R1021" s="140"/>
      <c r="S1021" s="133"/>
      <c r="T1021" s="133"/>
    </row>
    <row r="1022">
      <c r="A1022" s="141"/>
      <c r="B1022" s="142"/>
      <c r="C1022" s="133"/>
      <c r="D1022" s="133"/>
      <c r="E1022" s="140"/>
      <c r="F1022" s="140"/>
      <c r="G1022" s="140"/>
      <c r="H1022" s="133"/>
      <c r="I1022" s="133"/>
      <c r="J1022" s="140"/>
      <c r="K1022" s="129"/>
      <c r="L1022" s="129"/>
      <c r="M1022" s="129"/>
      <c r="N1022" s="129"/>
      <c r="O1022" s="140"/>
      <c r="P1022" s="140"/>
      <c r="Q1022" s="133"/>
      <c r="R1022" s="140"/>
      <c r="S1022" s="133"/>
      <c r="T1022" s="133"/>
    </row>
    <row r="1023">
      <c r="A1023" s="141"/>
      <c r="B1023" s="142"/>
      <c r="C1023" s="133"/>
      <c r="D1023" s="133"/>
      <c r="E1023" s="140"/>
      <c r="F1023" s="140"/>
      <c r="G1023" s="140"/>
      <c r="H1023" s="133"/>
      <c r="I1023" s="133"/>
      <c r="J1023" s="140"/>
      <c r="K1023" s="129"/>
      <c r="L1023" s="129"/>
      <c r="M1023" s="129"/>
      <c r="N1023" s="129"/>
      <c r="O1023" s="140"/>
      <c r="P1023" s="140"/>
      <c r="Q1023" s="133"/>
      <c r="R1023" s="140"/>
      <c r="S1023" s="133"/>
      <c r="T1023" s="133"/>
    </row>
  </sheetData>
  <mergeCells count="4">
    <mergeCell ref="C1:F1"/>
    <mergeCell ref="G1:G2"/>
    <mergeCell ref="H1:J1"/>
    <mergeCell ref="P1:P2"/>
  </mergeCells>
  <conditionalFormatting sqref="F3:F1023">
    <cfRule type="cellIs" dxfId="0" priority="1" operator="lessThan">
      <formula>0</formula>
    </cfRule>
  </conditionalFormatting>
  <conditionalFormatting sqref="E3:E1023">
    <cfRule type="expression" dxfId="1" priority="2">
      <formula> E:E - #REF! &gt; 2</formula>
    </cfRule>
  </conditionalFormatting>
  <conditionalFormatting sqref="C3:C1023 D3:D108 E3:E37 F37:S37">
    <cfRule type="expression" dxfId="1" priority="3">
      <formula>" = D:D - C:C &gt; 1"</formula>
    </cfRule>
  </conditionalFormatting>
  <printOptions horizontalCentered="1"/>
  <pageMargins bottom="0.75" footer="0.0" header="0.0" left="0.7" right="0.7" top="0.75"/>
  <pageSetup fitToHeight="0" cellComments="atEnd" orientation="landscape" pageOrder="overThenDown"/>
  <headerFooter>
    <oddHeader>&amp;LCrow Canyon Archaeological Center&amp;C2020 Endowment Distribution Summary&amp;R&amp;D</oddHeader>
  </headerFooter>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6.71"/>
    <col customWidth="1" min="3" max="3" width="13.0"/>
  </cols>
  <sheetData>
    <row r="1">
      <c r="A1" s="143" t="s">
        <v>4</v>
      </c>
      <c r="B1" s="143" t="s">
        <v>188</v>
      </c>
      <c r="C1" s="144" t="str">
        <f>HYPERLINK("https://download.bls.gov/pub/time.series/cu/cu.data.1.AllItems","Inflation")</f>
        <v>Inflation</v>
      </c>
      <c r="D1" s="145"/>
      <c r="E1" s="145"/>
      <c r="F1" s="145"/>
      <c r="G1" s="145"/>
      <c r="H1" s="145"/>
      <c r="I1" s="145"/>
      <c r="J1" s="145"/>
      <c r="K1" s="145"/>
      <c r="L1" s="145"/>
      <c r="M1" s="145"/>
      <c r="N1" s="145"/>
      <c r="O1" s="145"/>
      <c r="P1" s="145"/>
      <c r="Q1" s="145"/>
      <c r="R1" s="145"/>
      <c r="S1" s="145"/>
      <c r="T1" s="145"/>
      <c r="U1" s="145"/>
      <c r="V1" s="145"/>
      <c r="W1" s="145"/>
      <c r="X1" s="145"/>
      <c r="Y1" s="145"/>
      <c r="Z1" s="145"/>
    </row>
    <row r="2">
      <c r="A2" s="146">
        <v>1990.0</v>
      </c>
      <c r="B2" s="146">
        <v>1.0</v>
      </c>
      <c r="C2" s="147">
        <v>0.052023121</v>
      </c>
      <c r="D2" s="148"/>
      <c r="E2" s="148"/>
      <c r="F2" s="148"/>
      <c r="G2" s="148"/>
      <c r="H2" s="148"/>
      <c r="I2" s="148"/>
      <c r="J2" s="148"/>
      <c r="K2" s="148"/>
      <c r="L2" s="148"/>
      <c r="M2" s="148"/>
      <c r="N2" s="148"/>
      <c r="O2" s="148"/>
      <c r="P2" s="148"/>
      <c r="Q2" s="148"/>
      <c r="R2" s="148"/>
      <c r="S2" s="148"/>
      <c r="T2" s="148"/>
      <c r="U2" s="148"/>
      <c r="V2" s="148"/>
      <c r="W2" s="148"/>
      <c r="X2" s="148"/>
      <c r="Y2" s="148"/>
      <c r="Z2" s="148"/>
    </row>
    <row r="3">
      <c r="A3" s="146">
        <v>1990.0</v>
      </c>
      <c r="B3" s="146">
        <v>2.0</v>
      </c>
      <c r="C3" s="147">
        <v>0.052631579</v>
      </c>
      <c r="D3" s="148"/>
      <c r="E3" s="148"/>
      <c r="F3" s="148"/>
      <c r="G3" s="148"/>
      <c r="H3" s="148"/>
      <c r="I3" s="148"/>
      <c r="J3" s="148"/>
      <c r="K3" s="148"/>
      <c r="L3" s="148"/>
      <c r="M3" s="148"/>
      <c r="N3" s="148"/>
      <c r="O3" s="148"/>
      <c r="P3" s="148"/>
      <c r="Q3" s="148"/>
      <c r="R3" s="148"/>
      <c r="S3" s="148"/>
      <c r="T3" s="148"/>
      <c r="U3" s="148"/>
      <c r="V3" s="148"/>
      <c r="W3" s="148"/>
      <c r="X3" s="148"/>
      <c r="Y3" s="148"/>
      <c r="Z3" s="148"/>
    </row>
    <row r="4">
      <c r="A4" s="146">
        <v>1990.0</v>
      </c>
      <c r="B4" s="146">
        <v>3.0</v>
      </c>
      <c r="C4" s="147">
        <v>0.052330335</v>
      </c>
      <c r="D4" s="148"/>
      <c r="E4" s="148"/>
      <c r="F4" s="148"/>
      <c r="G4" s="148"/>
      <c r="H4" s="148"/>
      <c r="I4" s="148"/>
      <c r="J4" s="148"/>
      <c r="K4" s="148"/>
      <c r="L4" s="148"/>
      <c r="M4" s="148"/>
      <c r="N4" s="148"/>
      <c r="O4" s="148"/>
      <c r="P4" s="148"/>
      <c r="Q4" s="148"/>
      <c r="R4" s="148"/>
      <c r="S4" s="148"/>
      <c r="T4" s="148"/>
      <c r="U4" s="148"/>
      <c r="V4" s="148"/>
      <c r="W4" s="148"/>
      <c r="X4" s="148"/>
      <c r="Y4" s="148"/>
      <c r="Z4" s="148"/>
    </row>
    <row r="5">
      <c r="A5" s="146">
        <v>1990.0</v>
      </c>
      <c r="B5" s="146">
        <v>4.0</v>
      </c>
      <c r="C5" s="147">
        <v>0.047116166</v>
      </c>
      <c r="D5" s="148"/>
      <c r="E5" s="148"/>
      <c r="F5" s="148"/>
      <c r="G5" s="148"/>
      <c r="H5" s="148"/>
      <c r="I5" s="148"/>
      <c r="J5" s="148"/>
      <c r="K5" s="148"/>
      <c r="L5" s="148"/>
      <c r="M5" s="148"/>
      <c r="N5" s="148"/>
      <c r="O5" s="148"/>
      <c r="P5" s="148"/>
      <c r="Q5" s="148"/>
      <c r="R5" s="148"/>
      <c r="S5" s="148"/>
      <c r="T5" s="148"/>
      <c r="U5" s="148"/>
      <c r="V5" s="148"/>
      <c r="W5" s="148"/>
      <c r="X5" s="148"/>
      <c r="Y5" s="148"/>
      <c r="Z5" s="148"/>
    </row>
    <row r="6">
      <c r="A6" s="146">
        <v>1990.0</v>
      </c>
      <c r="B6" s="146">
        <v>5.0</v>
      </c>
      <c r="C6" s="147">
        <v>0.04361874</v>
      </c>
      <c r="D6" s="148"/>
      <c r="E6" s="148"/>
      <c r="F6" s="148"/>
      <c r="G6" s="148"/>
      <c r="H6" s="148"/>
      <c r="I6" s="148"/>
      <c r="J6" s="148"/>
      <c r="K6" s="148"/>
      <c r="L6" s="148"/>
      <c r="M6" s="148"/>
      <c r="N6" s="148"/>
      <c r="O6" s="148"/>
      <c r="P6" s="148"/>
      <c r="Q6" s="148"/>
      <c r="R6" s="148"/>
      <c r="S6" s="148"/>
      <c r="T6" s="148"/>
      <c r="U6" s="148"/>
      <c r="V6" s="148"/>
      <c r="W6" s="148"/>
      <c r="X6" s="148"/>
      <c r="Y6" s="148"/>
      <c r="Z6" s="148"/>
    </row>
    <row r="7">
      <c r="A7" s="146">
        <v>1990.0</v>
      </c>
      <c r="B7" s="146">
        <v>6.0</v>
      </c>
      <c r="C7" s="147">
        <v>0.046736503</v>
      </c>
      <c r="D7" s="148"/>
      <c r="E7" s="148"/>
      <c r="F7" s="148"/>
      <c r="G7" s="148"/>
      <c r="H7" s="148"/>
      <c r="I7" s="148"/>
      <c r="J7" s="148"/>
      <c r="K7" s="148"/>
      <c r="L7" s="148"/>
      <c r="M7" s="148"/>
      <c r="N7" s="148"/>
      <c r="O7" s="148"/>
      <c r="P7" s="148"/>
      <c r="Q7" s="148"/>
      <c r="R7" s="148"/>
      <c r="S7" s="148"/>
      <c r="T7" s="148"/>
      <c r="U7" s="148"/>
      <c r="V7" s="148"/>
      <c r="W7" s="148"/>
      <c r="X7" s="148"/>
      <c r="Y7" s="148"/>
      <c r="Z7" s="148"/>
    </row>
    <row r="8">
      <c r="A8" s="146">
        <v>1990.0</v>
      </c>
      <c r="B8" s="146">
        <v>7.0</v>
      </c>
      <c r="C8" s="147">
        <v>0.048231511</v>
      </c>
      <c r="D8" s="148"/>
      <c r="E8" s="148"/>
      <c r="F8" s="148"/>
      <c r="G8" s="148"/>
      <c r="H8" s="148"/>
      <c r="I8" s="148"/>
      <c r="J8" s="148"/>
      <c r="K8" s="148"/>
      <c r="L8" s="148"/>
      <c r="M8" s="148"/>
      <c r="N8" s="148"/>
      <c r="O8" s="148"/>
      <c r="P8" s="148"/>
      <c r="Q8" s="148"/>
      <c r="R8" s="148"/>
      <c r="S8" s="148"/>
      <c r="T8" s="148"/>
      <c r="U8" s="148"/>
      <c r="V8" s="148"/>
      <c r="W8" s="148"/>
      <c r="X8" s="148"/>
      <c r="Y8" s="148"/>
      <c r="Z8" s="148"/>
    </row>
    <row r="9">
      <c r="A9" s="146">
        <v>1990.0</v>
      </c>
      <c r="B9" s="146">
        <v>8.0</v>
      </c>
      <c r="C9" s="147">
        <v>0.056179775</v>
      </c>
      <c r="D9" s="148"/>
      <c r="E9" s="148"/>
      <c r="F9" s="148"/>
      <c r="G9" s="148"/>
      <c r="H9" s="148"/>
      <c r="I9" s="148"/>
      <c r="J9" s="148"/>
      <c r="K9" s="148"/>
      <c r="L9" s="148"/>
      <c r="M9" s="148"/>
      <c r="N9" s="148"/>
      <c r="O9" s="148"/>
      <c r="P9" s="148"/>
      <c r="Q9" s="148"/>
      <c r="R9" s="148"/>
      <c r="S9" s="148"/>
      <c r="T9" s="148"/>
      <c r="U9" s="148"/>
      <c r="V9" s="148"/>
      <c r="W9" s="148"/>
      <c r="X9" s="148"/>
      <c r="Y9" s="148"/>
      <c r="Z9" s="148"/>
    </row>
    <row r="10">
      <c r="A10" s="146">
        <v>1990.0</v>
      </c>
      <c r="B10" s="146">
        <v>9.0</v>
      </c>
      <c r="C10" s="147">
        <v>0.0616</v>
      </c>
      <c r="D10" s="148"/>
      <c r="E10" s="148"/>
      <c r="F10" s="148"/>
      <c r="G10" s="148"/>
      <c r="H10" s="148"/>
      <c r="I10" s="148"/>
      <c r="J10" s="148"/>
      <c r="K10" s="148"/>
      <c r="L10" s="148"/>
      <c r="M10" s="148"/>
      <c r="N10" s="148"/>
      <c r="O10" s="148"/>
      <c r="P10" s="148"/>
      <c r="Q10" s="148"/>
      <c r="R10" s="148"/>
      <c r="S10" s="148"/>
      <c r="T10" s="148"/>
      <c r="U10" s="148"/>
      <c r="V10" s="148"/>
      <c r="W10" s="148"/>
      <c r="X10" s="148"/>
      <c r="Y10" s="148"/>
      <c r="Z10" s="148"/>
    </row>
    <row r="11">
      <c r="A11" s="146">
        <v>1990.0</v>
      </c>
      <c r="B11" s="146">
        <v>10.0</v>
      </c>
      <c r="C11" s="147">
        <v>0.062898089</v>
      </c>
      <c r="D11" s="148"/>
      <c r="E11" s="148"/>
      <c r="F11" s="148"/>
      <c r="G11" s="148"/>
      <c r="H11" s="148"/>
      <c r="I11" s="148"/>
      <c r="J11" s="148"/>
      <c r="K11" s="148"/>
      <c r="L11" s="148"/>
      <c r="M11" s="148"/>
      <c r="N11" s="148"/>
      <c r="O11" s="148"/>
      <c r="P11" s="148"/>
      <c r="Q11" s="148"/>
      <c r="R11" s="148"/>
      <c r="S11" s="148"/>
      <c r="T11" s="148"/>
      <c r="U11" s="148"/>
      <c r="V11" s="148"/>
      <c r="W11" s="148"/>
      <c r="X11" s="148"/>
      <c r="Y11" s="148"/>
      <c r="Z11" s="148"/>
    </row>
    <row r="12">
      <c r="A12" s="146">
        <v>1990.0</v>
      </c>
      <c r="B12" s="146">
        <v>11.0</v>
      </c>
      <c r="C12" s="147">
        <v>0.062748213</v>
      </c>
      <c r="D12" s="148"/>
      <c r="E12" s="148"/>
      <c r="F12" s="148"/>
      <c r="G12" s="148"/>
      <c r="H12" s="148"/>
      <c r="I12" s="148"/>
      <c r="J12" s="148"/>
      <c r="K12" s="148"/>
      <c r="L12" s="148"/>
      <c r="M12" s="148"/>
      <c r="N12" s="148"/>
      <c r="O12" s="148"/>
      <c r="P12" s="148"/>
      <c r="Q12" s="148"/>
      <c r="R12" s="148"/>
      <c r="S12" s="148"/>
      <c r="T12" s="148"/>
      <c r="U12" s="148"/>
      <c r="V12" s="148"/>
      <c r="W12" s="148"/>
      <c r="X12" s="148"/>
      <c r="Y12" s="148"/>
      <c r="Z12" s="148"/>
    </row>
    <row r="13">
      <c r="A13" s="146">
        <v>1990.0</v>
      </c>
      <c r="B13" s="146">
        <v>12.0</v>
      </c>
      <c r="C13" s="147">
        <v>0.061062649</v>
      </c>
      <c r="D13" s="148"/>
      <c r="E13" s="148"/>
      <c r="F13" s="148"/>
      <c r="G13" s="148"/>
      <c r="H13" s="148"/>
      <c r="I13" s="148"/>
      <c r="J13" s="148"/>
      <c r="K13" s="148"/>
      <c r="L13" s="148"/>
      <c r="M13" s="148"/>
      <c r="N13" s="148"/>
      <c r="O13" s="148"/>
      <c r="P13" s="148"/>
      <c r="Q13" s="148"/>
      <c r="R13" s="148"/>
      <c r="S13" s="148"/>
      <c r="T13" s="148"/>
      <c r="U13" s="148"/>
      <c r="V13" s="148"/>
      <c r="W13" s="148"/>
      <c r="X13" s="148"/>
      <c r="Y13" s="148"/>
      <c r="Z13" s="148"/>
    </row>
    <row r="14">
      <c r="A14" s="146">
        <v>1991.0</v>
      </c>
      <c r="B14" s="146">
        <v>1.0</v>
      </c>
      <c r="C14" s="147">
        <v>0.056514914</v>
      </c>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c r="A15" s="146">
        <v>1991.0</v>
      </c>
      <c r="B15" s="146">
        <v>2.0</v>
      </c>
      <c r="C15" s="147">
        <v>0.053125</v>
      </c>
      <c r="D15" s="148"/>
      <c r="E15" s="148"/>
      <c r="F15" s="148"/>
      <c r="G15" s="148"/>
      <c r="H15" s="148"/>
      <c r="I15" s="148"/>
      <c r="J15" s="148"/>
      <c r="K15" s="148"/>
      <c r="L15" s="148"/>
      <c r="M15" s="148"/>
      <c r="N15" s="148"/>
      <c r="O15" s="148"/>
      <c r="P15" s="148"/>
      <c r="Q15" s="148"/>
      <c r="R15" s="148"/>
      <c r="S15" s="148"/>
      <c r="T15" s="148"/>
      <c r="U15" s="148"/>
      <c r="V15" s="148"/>
      <c r="W15" s="148"/>
      <c r="X15" s="148"/>
      <c r="Y15" s="148"/>
      <c r="Z15" s="148"/>
    </row>
    <row r="16">
      <c r="A16" s="146">
        <v>1991.0</v>
      </c>
      <c r="B16" s="146">
        <v>3.0</v>
      </c>
      <c r="C16" s="147">
        <v>0.048951049</v>
      </c>
      <c r="D16" s="148"/>
      <c r="E16" s="148"/>
      <c r="F16" s="148"/>
      <c r="G16" s="148"/>
      <c r="H16" s="148"/>
      <c r="I16" s="148"/>
      <c r="J16" s="148"/>
      <c r="K16" s="148"/>
      <c r="L16" s="148"/>
      <c r="M16" s="148"/>
      <c r="N16" s="148"/>
      <c r="O16" s="148"/>
      <c r="P16" s="148"/>
      <c r="Q16" s="148"/>
      <c r="R16" s="148"/>
      <c r="S16" s="148"/>
      <c r="T16" s="148"/>
      <c r="U16" s="148"/>
      <c r="V16" s="148"/>
      <c r="W16" s="148"/>
      <c r="X16" s="148"/>
      <c r="Y16" s="148"/>
      <c r="Z16" s="148"/>
    </row>
    <row r="17">
      <c r="A17" s="146">
        <v>1991.0</v>
      </c>
      <c r="B17" s="146">
        <v>4.0</v>
      </c>
      <c r="C17" s="147">
        <v>0.048875097</v>
      </c>
      <c r="D17" s="148"/>
      <c r="E17" s="148"/>
      <c r="F17" s="148"/>
      <c r="G17" s="148"/>
      <c r="H17" s="148"/>
      <c r="I17" s="148"/>
      <c r="J17" s="148"/>
      <c r="K17" s="148"/>
      <c r="L17" s="148"/>
      <c r="M17" s="148"/>
      <c r="N17" s="148"/>
      <c r="O17" s="148"/>
      <c r="P17" s="148"/>
      <c r="Q17" s="148"/>
      <c r="R17" s="148"/>
      <c r="S17" s="148"/>
      <c r="T17" s="148"/>
      <c r="U17" s="148"/>
      <c r="V17" s="148"/>
      <c r="W17" s="148"/>
      <c r="X17" s="148"/>
      <c r="Y17" s="148"/>
      <c r="Z17" s="148"/>
    </row>
    <row r="18">
      <c r="A18" s="146">
        <v>1991.0</v>
      </c>
      <c r="B18" s="146">
        <v>5.0</v>
      </c>
      <c r="C18" s="147">
        <v>0.049535604</v>
      </c>
      <c r="D18" s="148"/>
      <c r="E18" s="148"/>
      <c r="F18" s="148"/>
      <c r="G18" s="148"/>
      <c r="H18" s="148"/>
      <c r="I18" s="148"/>
      <c r="J18" s="148"/>
      <c r="K18" s="148"/>
      <c r="L18" s="148"/>
      <c r="M18" s="148"/>
      <c r="N18" s="148"/>
      <c r="O18" s="148"/>
      <c r="P18" s="148"/>
      <c r="Q18" s="148"/>
      <c r="R18" s="148"/>
      <c r="S18" s="148"/>
      <c r="T18" s="148"/>
      <c r="U18" s="148"/>
      <c r="V18" s="148"/>
      <c r="W18" s="148"/>
      <c r="X18" s="148"/>
      <c r="Y18" s="148"/>
      <c r="Z18" s="148"/>
    </row>
    <row r="19">
      <c r="A19" s="146">
        <v>1991.0</v>
      </c>
      <c r="B19" s="146">
        <v>6.0</v>
      </c>
      <c r="C19" s="147">
        <v>0.046959199</v>
      </c>
      <c r="D19" s="148"/>
      <c r="E19" s="148"/>
      <c r="F19" s="148"/>
      <c r="G19" s="148"/>
      <c r="H19" s="148"/>
      <c r="I19" s="148"/>
      <c r="J19" s="148"/>
      <c r="K19" s="148"/>
      <c r="L19" s="148"/>
      <c r="M19" s="148"/>
      <c r="N19" s="148"/>
      <c r="O19" s="148"/>
      <c r="P19" s="148"/>
      <c r="Q19" s="148"/>
      <c r="R19" s="148"/>
      <c r="S19" s="148"/>
      <c r="T19" s="148"/>
      <c r="U19" s="148"/>
      <c r="V19" s="148"/>
      <c r="W19" s="148"/>
      <c r="X19" s="148"/>
      <c r="Y19" s="148"/>
      <c r="Z19" s="148"/>
    </row>
    <row r="20">
      <c r="A20" s="146">
        <v>1991.0</v>
      </c>
      <c r="B20" s="146">
        <v>7.0</v>
      </c>
      <c r="C20" s="147">
        <v>0.044478528</v>
      </c>
      <c r="D20" s="148"/>
      <c r="E20" s="148"/>
      <c r="F20" s="148"/>
      <c r="G20" s="148"/>
      <c r="H20" s="148"/>
      <c r="I20" s="148"/>
      <c r="J20" s="148"/>
      <c r="K20" s="148"/>
      <c r="L20" s="148"/>
      <c r="M20" s="148"/>
      <c r="N20" s="148"/>
      <c r="O20" s="148"/>
      <c r="P20" s="148"/>
      <c r="Q20" s="148"/>
      <c r="R20" s="148"/>
      <c r="S20" s="148"/>
      <c r="T20" s="148"/>
      <c r="U20" s="148"/>
      <c r="V20" s="148"/>
      <c r="W20" s="148"/>
      <c r="X20" s="148"/>
      <c r="Y20" s="148"/>
      <c r="Z20" s="148"/>
    </row>
    <row r="21">
      <c r="A21" s="146">
        <v>1991.0</v>
      </c>
      <c r="B21" s="146">
        <v>8.0</v>
      </c>
      <c r="C21" s="147">
        <v>0.037993921</v>
      </c>
      <c r="D21" s="148"/>
      <c r="E21" s="148"/>
      <c r="F21" s="148"/>
      <c r="G21" s="148"/>
      <c r="H21" s="148"/>
      <c r="I21" s="148"/>
      <c r="J21" s="148"/>
      <c r="K21" s="148"/>
      <c r="L21" s="148"/>
      <c r="M21" s="148"/>
      <c r="N21" s="148"/>
      <c r="O21" s="148"/>
      <c r="P21" s="148"/>
      <c r="Q21" s="148"/>
      <c r="R21" s="148"/>
      <c r="S21" s="148"/>
      <c r="T21" s="148"/>
      <c r="U21" s="148"/>
      <c r="V21" s="148"/>
      <c r="W21" s="148"/>
      <c r="X21" s="148"/>
      <c r="Y21" s="148"/>
      <c r="Z21" s="148"/>
    </row>
    <row r="22">
      <c r="A22" s="146">
        <v>1991.0</v>
      </c>
      <c r="B22" s="146">
        <v>9.0</v>
      </c>
      <c r="C22" s="147">
        <v>0.033911078</v>
      </c>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c r="A23" s="146">
        <v>1991.0</v>
      </c>
      <c r="B23" s="146">
        <v>10.0</v>
      </c>
      <c r="C23" s="147">
        <v>0.029213483</v>
      </c>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c r="A24" s="146">
        <v>1991.0</v>
      </c>
      <c r="B24" s="146">
        <v>11.0</v>
      </c>
      <c r="C24" s="147">
        <v>0.029895366</v>
      </c>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c r="A25" s="146">
        <v>1991.0</v>
      </c>
      <c r="B25" s="146">
        <v>12.0</v>
      </c>
      <c r="C25" s="147">
        <v>0.03064275</v>
      </c>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c r="A26" s="146">
        <v>1992.0</v>
      </c>
      <c r="B26" s="146">
        <v>1.0</v>
      </c>
      <c r="C26" s="147">
        <v>0.026002972</v>
      </c>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c r="A27" s="146">
        <v>1992.0</v>
      </c>
      <c r="B27" s="146">
        <v>2.0</v>
      </c>
      <c r="C27" s="147">
        <v>0.028189911</v>
      </c>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c r="A28" s="146">
        <v>1992.0</v>
      </c>
      <c r="B28" s="146">
        <v>3.0</v>
      </c>
      <c r="C28" s="147">
        <v>0.031851852</v>
      </c>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c r="A29" s="146">
        <v>1992.0</v>
      </c>
      <c r="B29" s="146">
        <v>4.0</v>
      </c>
      <c r="C29" s="147">
        <v>0.031804734</v>
      </c>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c r="A30" s="146">
        <v>1992.0</v>
      </c>
      <c r="B30" s="146">
        <v>5.0</v>
      </c>
      <c r="C30" s="147">
        <v>0.030235988</v>
      </c>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c r="A31" s="146">
        <v>1992.0</v>
      </c>
      <c r="B31" s="146">
        <v>6.0</v>
      </c>
      <c r="C31" s="147">
        <v>0.030882353</v>
      </c>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c r="A32" s="146">
        <v>1992.0</v>
      </c>
      <c r="B32" s="146">
        <v>7.0</v>
      </c>
      <c r="C32" s="147">
        <v>0.031571219</v>
      </c>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c r="A33" s="146">
        <v>1992.0</v>
      </c>
      <c r="B33" s="146">
        <v>8.0</v>
      </c>
      <c r="C33" s="147">
        <v>0.03147877</v>
      </c>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c r="A34" s="146">
        <v>1992.0</v>
      </c>
      <c r="B34" s="146">
        <v>9.0</v>
      </c>
      <c r="C34" s="147">
        <v>0.029883382</v>
      </c>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c r="A35" s="146">
        <v>1992.0</v>
      </c>
      <c r="B35" s="146">
        <v>10.0</v>
      </c>
      <c r="C35" s="147">
        <v>0.03202329</v>
      </c>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c r="A36" s="146">
        <v>1992.0</v>
      </c>
      <c r="B36" s="146">
        <v>11.0</v>
      </c>
      <c r="C36" s="147">
        <v>0.030478955</v>
      </c>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c r="A37" s="146">
        <v>1992.0</v>
      </c>
      <c r="B37" s="146">
        <v>12.0</v>
      </c>
      <c r="C37" s="147">
        <v>0.029006526</v>
      </c>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c r="A38" s="146">
        <v>1993.0</v>
      </c>
      <c r="B38" s="146">
        <v>1.0</v>
      </c>
      <c r="C38" s="147">
        <v>0.032585083</v>
      </c>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c r="A39" s="146">
        <v>1993.0</v>
      </c>
      <c r="B39" s="146">
        <v>2.0</v>
      </c>
      <c r="C39" s="147">
        <v>0.032467532</v>
      </c>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c r="A40" s="146">
        <v>1993.0</v>
      </c>
      <c r="B40" s="146">
        <v>3.0</v>
      </c>
      <c r="C40" s="147">
        <v>0.030868629</v>
      </c>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c r="A41" s="146">
        <v>1993.0</v>
      </c>
      <c r="B41" s="146">
        <v>4.0</v>
      </c>
      <c r="C41" s="147">
        <v>0.032258065</v>
      </c>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c r="A42" s="146">
        <v>1993.0</v>
      </c>
      <c r="B42" s="146">
        <v>5.0</v>
      </c>
      <c r="C42" s="147">
        <v>0.032211883</v>
      </c>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c r="A43" s="146">
        <v>1993.0</v>
      </c>
      <c r="B43" s="146">
        <v>6.0</v>
      </c>
      <c r="C43" s="147">
        <v>0.029957204</v>
      </c>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c r="A44" s="146">
        <v>1993.0</v>
      </c>
      <c r="B44" s="146">
        <v>7.0</v>
      </c>
      <c r="C44" s="147">
        <v>0.027758007</v>
      </c>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c r="A45" s="146">
        <v>1993.0</v>
      </c>
      <c r="B45" s="146">
        <v>8.0</v>
      </c>
      <c r="C45" s="147">
        <v>0.027679205</v>
      </c>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c r="A46" s="146">
        <v>1993.0</v>
      </c>
      <c r="B46" s="146">
        <v>9.0</v>
      </c>
      <c r="C46" s="147">
        <v>0.026893135</v>
      </c>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c r="A47" s="146">
        <v>1993.0</v>
      </c>
      <c r="B47" s="146">
        <v>10.0</v>
      </c>
      <c r="C47" s="147">
        <v>0.027503526</v>
      </c>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c r="A48" s="146">
        <v>1993.0</v>
      </c>
      <c r="B48" s="146">
        <v>11.0</v>
      </c>
      <c r="C48" s="147">
        <v>0.026760563</v>
      </c>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c r="A49" s="146">
        <v>1993.0</v>
      </c>
      <c r="B49" s="146">
        <v>12.0</v>
      </c>
      <c r="C49" s="147">
        <v>0.027484144</v>
      </c>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c r="A50" s="146">
        <v>1994.0</v>
      </c>
      <c r="B50" s="146">
        <v>1.0</v>
      </c>
      <c r="C50" s="146">
        <v>0.025245442</v>
      </c>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c r="A51" s="146">
        <v>1994.0</v>
      </c>
      <c r="B51" s="146">
        <v>2.0</v>
      </c>
      <c r="C51" s="146">
        <v>0.025157233</v>
      </c>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c r="A52" s="146">
        <v>1994.0</v>
      </c>
      <c r="B52" s="146">
        <v>3.0</v>
      </c>
      <c r="C52" s="146">
        <v>0.025069638</v>
      </c>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c r="A53" s="146">
        <v>1994.0</v>
      </c>
      <c r="B53" s="146">
        <v>4.0</v>
      </c>
      <c r="C53" s="146">
        <v>0.023611111</v>
      </c>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c r="A54" s="146">
        <v>1994.0</v>
      </c>
      <c r="B54" s="146">
        <v>5.0</v>
      </c>
      <c r="C54" s="146">
        <v>0.022884882</v>
      </c>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c r="A55" s="146">
        <v>1994.0</v>
      </c>
      <c r="B55" s="146">
        <v>6.0</v>
      </c>
      <c r="C55" s="146">
        <v>0.024930748</v>
      </c>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c r="A56" s="146">
        <v>1994.0</v>
      </c>
      <c r="B56" s="146">
        <v>7.0</v>
      </c>
      <c r="C56" s="146">
        <v>0.027700831</v>
      </c>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c r="A57" s="146">
        <v>1994.0</v>
      </c>
      <c r="B57" s="146">
        <v>8.0</v>
      </c>
      <c r="C57" s="146">
        <v>0.029005525</v>
      </c>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c r="A58" s="146">
        <v>1994.0</v>
      </c>
      <c r="B58" s="146">
        <v>9.0</v>
      </c>
      <c r="C58" s="146">
        <v>0.029634735</v>
      </c>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c r="A59" s="146">
        <v>1994.0</v>
      </c>
      <c r="B59" s="146">
        <v>10.0</v>
      </c>
      <c r="C59" s="146">
        <v>0.026080988</v>
      </c>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c r="A60" s="146">
        <v>1994.0</v>
      </c>
      <c r="B60" s="146">
        <v>11.0</v>
      </c>
      <c r="C60" s="146">
        <v>0.026748971</v>
      </c>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c r="A61" s="146">
        <v>1994.0</v>
      </c>
      <c r="B61" s="146">
        <v>12.0</v>
      </c>
      <c r="C61" s="146">
        <v>0.026748971</v>
      </c>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c r="A62" s="146">
        <v>1995.0</v>
      </c>
      <c r="B62" s="146">
        <v>1.0</v>
      </c>
      <c r="C62" s="146">
        <v>0.028043776</v>
      </c>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c r="A63" s="146">
        <v>1995.0</v>
      </c>
      <c r="B63" s="146">
        <v>2.0</v>
      </c>
      <c r="C63" s="146">
        <v>0.028629857</v>
      </c>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c r="A64" s="146">
        <v>1995.0</v>
      </c>
      <c r="B64" s="146">
        <v>3.0</v>
      </c>
      <c r="C64" s="146">
        <v>0.028532609</v>
      </c>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c r="A65" s="146">
        <v>1995.0</v>
      </c>
      <c r="B65" s="146">
        <v>4.0</v>
      </c>
      <c r="C65" s="146">
        <v>0.030529172</v>
      </c>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c r="A66" s="146">
        <v>1995.0</v>
      </c>
      <c r="B66" s="146">
        <v>5.0</v>
      </c>
      <c r="C66" s="146">
        <v>0.031864407</v>
      </c>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c r="A67" s="146">
        <v>1995.0</v>
      </c>
      <c r="B67" s="146">
        <v>6.0</v>
      </c>
      <c r="C67" s="146">
        <v>0.030405405</v>
      </c>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c r="A68" s="146">
        <v>1995.0</v>
      </c>
      <c r="B68" s="146">
        <v>7.0</v>
      </c>
      <c r="C68" s="146">
        <v>0.027628032</v>
      </c>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c r="A69" s="146">
        <v>1995.0</v>
      </c>
      <c r="B69" s="146">
        <v>8.0</v>
      </c>
      <c r="C69" s="146">
        <v>0.026174497</v>
      </c>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c r="A70" s="146">
        <v>1995.0</v>
      </c>
      <c r="B70" s="146">
        <v>9.0</v>
      </c>
      <c r="C70" s="146">
        <v>0.025435074</v>
      </c>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c r="A71" s="146">
        <v>1995.0</v>
      </c>
      <c r="B71" s="146">
        <v>10.0</v>
      </c>
      <c r="C71" s="146">
        <v>0.028093645</v>
      </c>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c r="A72" s="146">
        <v>1995.0</v>
      </c>
      <c r="B72" s="146">
        <v>11.0</v>
      </c>
      <c r="C72" s="146">
        <v>0.026052104</v>
      </c>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c r="A73" s="146">
        <v>1995.0</v>
      </c>
      <c r="B73" s="146">
        <v>12.0</v>
      </c>
      <c r="C73" s="146">
        <v>0.025384102</v>
      </c>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c r="A74" s="146">
        <v>1996.0</v>
      </c>
      <c r="B74" s="146">
        <v>1.0</v>
      </c>
      <c r="C74" s="146">
        <v>0.027278776</v>
      </c>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c r="A75" s="146">
        <v>1996.0</v>
      </c>
      <c r="B75" s="146">
        <v>2.0</v>
      </c>
      <c r="C75" s="146">
        <v>0.026507621</v>
      </c>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c r="A76" s="146">
        <v>1996.0</v>
      </c>
      <c r="B76" s="146">
        <v>3.0</v>
      </c>
      <c r="C76" s="146">
        <v>0.028401585</v>
      </c>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c r="A77" s="146">
        <v>1996.0</v>
      </c>
      <c r="B77" s="146">
        <v>4.0</v>
      </c>
      <c r="C77" s="146">
        <v>0.028966425</v>
      </c>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c r="A78" s="146">
        <v>1996.0</v>
      </c>
      <c r="B78" s="146">
        <v>5.0</v>
      </c>
      <c r="C78" s="146">
        <v>0.02890933</v>
      </c>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c r="A79" s="146">
        <v>1996.0</v>
      </c>
      <c r="B79" s="146">
        <v>6.0</v>
      </c>
      <c r="C79" s="146">
        <v>0.027540984</v>
      </c>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c r="A80" s="146">
        <v>1996.0</v>
      </c>
      <c r="B80" s="146">
        <v>7.0</v>
      </c>
      <c r="C80" s="146">
        <v>0.029508197</v>
      </c>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c r="A81" s="146">
        <v>1996.0</v>
      </c>
      <c r="B81" s="146">
        <v>8.0</v>
      </c>
      <c r="C81" s="146">
        <v>0.028776978</v>
      </c>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c r="A82" s="146">
        <v>1996.0</v>
      </c>
      <c r="B82" s="146">
        <v>9.0</v>
      </c>
      <c r="C82" s="146">
        <v>0.03002611</v>
      </c>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c r="A83" s="146">
        <v>1996.0</v>
      </c>
      <c r="B83" s="146">
        <v>10.0</v>
      </c>
      <c r="C83" s="146">
        <v>0.029928432</v>
      </c>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c r="A84" s="146">
        <v>1996.0</v>
      </c>
      <c r="B84" s="146">
        <v>11.0</v>
      </c>
      <c r="C84" s="146">
        <v>0.032552083</v>
      </c>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c r="A85" s="146">
        <v>1996.0</v>
      </c>
      <c r="B85" s="146">
        <v>12.0</v>
      </c>
      <c r="C85" s="146">
        <v>0.033224756</v>
      </c>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c r="A86" s="146">
        <v>1997.0</v>
      </c>
      <c r="B86" s="146">
        <v>1.0</v>
      </c>
      <c r="C86" s="146">
        <v>0.030440415</v>
      </c>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c r="A87" s="146">
        <v>1997.0</v>
      </c>
      <c r="B87" s="146">
        <v>2.0</v>
      </c>
      <c r="C87" s="146">
        <v>0.030342156</v>
      </c>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c r="A88" s="146">
        <v>1997.0</v>
      </c>
      <c r="B88" s="146">
        <v>3.0</v>
      </c>
      <c r="C88" s="146">
        <v>0.027617213</v>
      </c>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c r="A89" s="146">
        <v>1997.0</v>
      </c>
      <c r="B89" s="146">
        <v>4.0</v>
      </c>
      <c r="C89" s="146">
        <v>0.024952015</v>
      </c>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c r="A90" s="146">
        <v>1997.0</v>
      </c>
      <c r="B90" s="146">
        <v>5.0</v>
      </c>
      <c r="C90" s="146">
        <v>0.022349936</v>
      </c>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c r="A91" s="146">
        <v>1997.0</v>
      </c>
      <c r="B91" s="146">
        <v>6.0</v>
      </c>
      <c r="C91" s="146">
        <v>0.022973835</v>
      </c>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c r="A92" s="146">
        <v>1997.0</v>
      </c>
      <c r="B92" s="146">
        <v>7.0</v>
      </c>
      <c r="C92" s="146">
        <v>0.022292994</v>
      </c>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c r="A93" s="146">
        <v>1997.0</v>
      </c>
      <c r="B93" s="146">
        <v>8.0</v>
      </c>
      <c r="C93" s="146">
        <v>0.022250477</v>
      </c>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c r="A94" s="146">
        <v>1997.0</v>
      </c>
      <c r="B94" s="146">
        <v>9.0</v>
      </c>
      <c r="C94" s="146">
        <v>0.021546261</v>
      </c>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c r="A95" s="146">
        <v>1997.0</v>
      </c>
      <c r="B95" s="146">
        <v>10.0</v>
      </c>
      <c r="C95" s="146">
        <v>0.020846494</v>
      </c>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c r="A96" s="146">
        <v>1997.0</v>
      </c>
      <c r="B96" s="146">
        <v>11.0</v>
      </c>
      <c r="C96" s="146">
        <v>0.018284994</v>
      </c>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c r="A97" s="146">
        <v>1997.0</v>
      </c>
      <c r="B97" s="146">
        <v>12.0</v>
      </c>
      <c r="C97" s="146">
        <v>0.01702396</v>
      </c>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c r="A98" s="146">
        <v>1998.0</v>
      </c>
      <c r="B98" s="146">
        <v>1.0</v>
      </c>
      <c r="C98" s="146">
        <v>0.015713388</v>
      </c>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c r="A99" s="146">
        <v>1998.0</v>
      </c>
      <c r="B99" s="146">
        <v>2.0</v>
      </c>
      <c r="C99" s="146">
        <v>0.014411028</v>
      </c>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c r="A100" s="146">
        <v>1998.0</v>
      </c>
      <c r="B100" s="146">
        <v>3.0</v>
      </c>
      <c r="C100" s="146">
        <v>0.01375</v>
      </c>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c r="A101" s="146">
        <v>1998.0</v>
      </c>
      <c r="B101" s="146">
        <v>4.0</v>
      </c>
      <c r="C101" s="146">
        <v>0.014357054</v>
      </c>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c r="A102" s="146">
        <v>1998.0</v>
      </c>
      <c r="B102" s="146">
        <v>5.0</v>
      </c>
      <c r="C102" s="146">
        <v>0.01686446</v>
      </c>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c r="A103" s="146">
        <v>1998.0</v>
      </c>
      <c r="B103" s="146">
        <v>6.0</v>
      </c>
      <c r="C103" s="146">
        <v>0.016843419</v>
      </c>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c r="A104" s="146">
        <v>1998.0</v>
      </c>
      <c r="B104" s="146">
        <v>7.0</v>
      </c>
      <c r="C104" s="146">
        <v>0.01682243</v>
      </c>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c r="A105" s="146">
        <v>1998.0</v>
      </c>
      <c r="B105" s="146">
        <v>8.0</v>
      </c>
      <c r="C105" s="146">
        <v>0.016169154</v>
      </c>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c r="A106" s="146">
        <v>1998.0</v>
      </c>
      <c r="B106" s="146">
        <v>9.0</v>
      </c>
      <c r="C106" s="146">
        <v>0.014888337</v>
      </c>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c r="A107" s="146">
        <v>1998.0</v>
      </c>
      <c r="B107" s="146">
        <v>10.0</v>
      </c>
      <c r="C107" s="146">
        <v>0.014851485</v>
      </c>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c r="A108" s="146">
        <v>1998.0</v>
      </c>
      <c r="B108" s="146">
        <v>11.0</v>
      </c>
      <c r="C108" s="146">
        <v>0.015479876</v>
      </c>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c r="A109" s="146">
        <v>1998.0</v>
      </c>
      <c r="B109" s="146">
        <v>12.0</v>
      </c>
      <c r="C109" s="146">
        <v>0.016119033</v>
      </c>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c r="A110" s="146">
        <v>1999.0</v>
      </c>
      <c r="B110" s="146">
        <v>1.0</v>
      </c>
      <c r="C110" s="146">
        <v>0.016707921</v>
      </c>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c r="A111" s="146">
        <v>1999.0</v>
      </c>
      <c r="B111" s="146">
        <v>2.0</v>
      </c>
      <c r="C111" s="146">
        <v>0.016059296</v>
      </c>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c r="A112" s="146">
        <v>1999.0</v>
      </c>
      <c r="B112" s="146">
        <v>3.0</v>
      </c>
      <c r="C112" s="146">
        <v>0.017262639</v>
      </c>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c r="A113" s="146">
        <v>1999.0</v>
      </c>
      <c r="B113" s="146">
        <v>4.0</v>
      </c>
      <c r="C113" s="146">
        <v>0.022769231</v>
      </c>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c r="A114" s="146">
        <v>1999.0</v>
      </c>
      <c r="B114" s="146">
        <v>5.0</v>
      </c>
      <c r="C114" s="146">
        <v>0.020884521</v>
      </c>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c r="A115" s="146">
        <v>1999.0</v>
      </c>
      <c r="B115" s="146">
        <v>6.0</v>
      </c>
      <c r="C115" s="146">
        <v>0.019631902</v>
      </c>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c r="A116" s="146">
        <v>1999.0</v>
      </c>
      <c r="B116" s="146">
        <v>7.0</v>
      </c>
      <c r="C116" s="146">
        <v>0.021446078</v>
      </c>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c r="A117" s="146">
        <v>1999.0</v>
      </c>
      <c r="B117" s="146">
        <v>8.0</v>
      </c>
      <c r="C117" s="146">
        <v>0.022643819</v>
      </c>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c r="A118" s="146">
        <v>1999.0</v>
      </c>
      <c r="B118" s="146">
        <v>9.0</v>
      </c>
      <c r="C118" s="146">
        <v>0.026283619</v>
      </c>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c r="A119" s="146">
        <v>1999.0</v>
      </c>
      <c r="B119" s="146">
        <v>10.0</v>
      </c>
      <c r="C119" s="146">
        <v>0.025609756</v>
      </c>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c r="A120" s="146">
        <v>1999.0</v>
      </c>
      <c r="B120" s="146">
        <v>11.0</v>
      </c>
      <c r="C120" s="146">
        <v>0.026219512</v>
      </c>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c r="A121" s="146">
        <v>1999.0</v>
      </c>
      <c r="B121" s="146">
        <v>12.0</v>
      </c>
      <c r="C121" s="146">
        <v>0.026845638</v>
      </c>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c r="A122" s="146">
        <v>2000.0</v>
      </c>
      <c r="B122" s="146">
        <v>1.0</v>
      </c>
      <c r="C122" s="146">
        <v>0.027388923</v>
      </c>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c r="A123" s="146">
        <v>2000.0</v>
      </c>
      <c r="B123" s="146">
        <v>2.0</v>
      </c>
      <c r="C123" s="146">
        <v>0.032218845</v>
      </c>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c r="A124" s="146">
        <v>2000.0</v>
      </c>
      <c r="B124" s="146">
        <v>3.0</v>
      </c>
      <c r="C124" s="146">
        <v>0.037575758</v>
      </c>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c r="A125" s="146">
        <v>2000.0</v>
      </c>
      <c r="B125" s="146">
        <v>4.0</v>
      </c>
      <c r="C125" s="146">
        <v>0.030685921</v>
      </c>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c r="A126" s="146">
        <v>2000.0</v>
      </c>
      <c r="B126" s="146">
        <v>5.0</v>
      </c>
      <c r="C126" s="146">
        <v>0.03188929</v>
      </c>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c r="A127" s="146">
        <v>2000.0</v>
      </c>
      <c r="B127" s="146">
        <v>6.0</v>
      </c>
      <c r="C127" s="146">
        <v>0.037304452</v>
      </c>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c r="A128" s="146">
        <v>2000.0</v>
      </c>
      <c r="B128" s="146">
        <v>7.0</v>
      </c>
      <c r="C128" s="146">
        <v>0.036592681</v>
      </c>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c r="A129" s="146">
        <v>2000.0</v>
      </c>
      <c r="B129" s="146">
        <v>8.0</v>
      </c>
      <c r="C129" s="146">
        <v>0.034111311</v>
      </c>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c r="A130" s="146">
        <v>2000.0</v>
      </c>
      <c r="B130" s="146">
        <v>9.0</v>
      </c>
      <c r="C130" s="146">
        <v>0.034544372</v>
      </c>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c r="A131" s="146">
        <v>2000.0</v>
      </c>
      <c r="B131" s="146">
        <v>10.0</v>
      </c>
      <c r="C131" s="146">
        <v>0.034482759</v>
      </c>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c r="A132" s="146">
        <v>2000.0</v>
      </c>
      <c r="B132" s="146">
        <v>11.0</v>
      </c>
      <c r="C132" s="146">
        <v>0.03446227</v>
      </c>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c r="A133" s="146">
        <v>2000.0</v>
      </c>
      <c r="B133" s="146">
        <v>12.0</v>
      </c>
      <c r="C133" s="146">
        <v>0.033868093</v>
      </c>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c r="A134" s="146">
        <v>2001.0</v>
      </c>
      <c r="B134" s="146">
        <v>1.0</v>
      </c>
      <c r="C134" s="146">
        <v>0.037322275</v>
      </c>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c r="A135" s="146">
        <v>2001.0</v>
      </c>
      <c r="B135" s="146">
        <v>2.0</v>
      </c>
      <c r="C135" s="146">
        <v>0.035335689</v>
      </c>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c r="A136" s="146">
        <v>2001.0</v>
      </c>
      <c r="B136" s="146">
        <v>3.0</v>
      </c>
      <c r="C136" s="146">
        <v>0.029205607</v>
      </c>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c r="A137" s="146">
        <v>2001.0</v>
      </c>
      <c r="B137" s="146">
        <v>4.0</v>
      </c>
      <c r="C137" s="146">
        <v>0.032691185</v>
      </c>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c r="A138" s="146">
        <v>2001.0</v>
      </c>
      <c r="B138" s="146">
        <v>5.0</v>
      </c>
      <c r="C138" s="146">
        <v>0.036151603</v>
      </c>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c r="A139" s="146">
        <v>2001.0</v>
      </c>
      <c r="B139" s="146">
        <v>6.0</v>
      </c>
      <c r="C139" s="146">
        <v>0.032482599</v>
      </c>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c r="A140" s="146">
        <v>2001.0</v>
      </c>
      <c r="B140" s="146">
        <v>7.0</v>
      </c>
      <c r="C140" s="146">
        <v>0.027199074</v>
      </c>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c r="A141" s="146">
        <v>2001.0</v>
      </c>
      <c r="B141" s="146">
        <v>8.0</v>
      </c>
      <c r="C141" s="146">
        <v>0.027199074</v>
      </c>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c r="A142" s="146">
        <v>2001.0</v>
      </c>
      <c r="B142" s="146">
        <v>9.0</v>
      </c>
      <c r="C142" s="146">
        <v>0.026482441</v>
      </c>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c r="A143" s="146">
        <v>2001.0</v>
      </c>
      <c r="B143" s="146">
        <v>10.0</v>
      </c>
      <c r="C143" s="146">
        <v>0.021264368</v>
      </c>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c r="A144" s="146">
        <v>2001.0</v>
      </c>
      <c r="B144" s="146">
        <v>11.0</v>
      </c>
      <c r="C144" s="146">
        <v>0.018954624</v>
      </c>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c r="A145" s="146">
        <v>2001.0</v>
      </c>
      <c r="B145" s="146">
        <v>12.0</v>
      </c>
      <c r="C145" s="146">
        <v>0.015517241</v>
      </c>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c r="A146" s="146">
        <v>2002.0</v>
      </c>
      <c r="B146" s="146">
        <v>1.0</v>
      </c>
      <c r="C146" s="146">
        <v>0.011422045</v>
      </c>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c r="A147" s="146">
        <v>2002.0</v>
      </c>
      <c r="B147" s="146">
        <v>2.0</v>
      </c>
      <c r="C147" s="146">
        <v>0.011376564</v>
      </c>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c r="A148" s="146">
        <v>2002.0</v>
      </c>
      <c r="B148" s="146">
        <v>3.0</v>
      </c>
      <c r="C148" s="146">
        <v>0.014755959</v>
      </c>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c r="A149" s="146">
        <v>2002.0</v>
      </c>
      <c r="B149" s="146">
        <v>4.0</v>
      </c>
      <c r="C149" s="146">
        <v>0.016393443</v>
      </c>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c r="A150" s="146">
        <v>2002.0</v>
      </c>
      <c r="B150" s="146">
        <v>5.0</v>
      </c>
      <c r="C150" s="146">
        <v>0.01181767</v>
      </c>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c r="A151" s="146">
        <v>2002.0</v>
      </c>
      <c r="B151" s="146">
        <v>6.0</v>
      </c>
      <c r="C151" s="146">
        <v>0.010674157</v>
      </c>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c r="A152" s="146">
        <v>2002.0</v>
      </c>
      <c r="B152" s="146">
        <v>7.0</v>
      </c>
      <c r="C152" s="146">
        <v>0.014647887</v>
      </c>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c r="A153" s="146">
        <v>2002.0</v>
      </c>
      <c r="B153" s="146">
        <v>8.0</v>
      </c>
      <c r="C153" s="146">
        <v>0.018028169</v>
      </c>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c r="A154" s="146">
        <v>2002.0</v>
      </c>
      <c r="B154" s="146">
        <v>9.0</v>
      </c>
      <c r="C154" s="146">
        <v>0.015143017</v>
      </c>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c r="A155" s="146">
        <v>2002.0</v>
      </c>
      <c r="B155" s="146">
        <v>10.0</v>
      </c>
      <c r="C155" s="146">
        <v>0.020258863</v>
      </c>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c r="A156" s="146">
        <v>2002.0</v>
      </c>
      <c r="B156" s="146">
        <v>11.0</v>
      </c>
      <c r="C156" s="146">
        <v>0.021984216</v>
      </c>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c r="A157" s="146">
        <v>2002.0</v>
      </c>
      <c r="B157" s="146">
        <v>12.0</v>
      </c>
      <c r="C157" s="146">
        <v>0.0237691</v>
      </c>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c r="A158" s="146">
        <v>2003.0</v>
      </c>
      <c r="B158" s="146">
        <v>1.0</v>
      </c>
      <c r="C158" s="146">
        <v>0.025974026</v>
      </c>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c r="A159" s="146">
        <v>2003.0</v>
      </c>
      <c r="B159" s="146">
        <v>2.0</v>
      </c>
      <c r="C159" s="146">
        <v>0.029808774</v>
      </c>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c r="A160" s="146">
        <v>2003.0</v>
      </c>
      <c r="B160" s="146">
        <v>3.0</v>
      </c>
      <c r="C160" s="146">
        <v>0.030201342</v>
      </c>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c r="A161" s="146">
        <v>2003.0</v>
      </c>
      <c r="B161" s="146">
        <v>4.0</v>
      </c>
      <c r="C161" s="146">
        <v>0.022246941</v>
      </c>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c r="A162" s="146">
        <v>2003.0</v>
      </c>
      <c r="B162" s="146">
        <v>5.0</v>
      </c>
      <c r="C162" s="146">
        <v>0.02057842</v>
      </c>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c r="A163" s="146">
        <v>2003.0</v>
      </c>
      <c r="B163" s="146">
        <v>6.0</v>
      </c>
      <c r="C163" s="146">
        <v>0.021122846</v>
      </c>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c r="A164" s="146">
        <v>2003.0</v>
      </c>
      <c r="B164" s="146">
        <v>7.0</v>
      </c>
      <c r="C164" s="146">
        <v>0.021099389</v>
      </c>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c r="A165" s="146">
        <v>2003.0</v>
      </c>
      <c r="B165" s="146">
        <v>8.0</v>
      </c>
      <c r="C165" s="146">
        <v>0.021582734</v>
      </c>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c r="A166" s="146">
        <v>2003.0</v>
      </c>
      <c r="B166" s="146">
        <v>9.0</v>
      </c>
      <c r="C166" s="146">
        <v>0.02320442</v>
      </c>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c r="A167" s="146">
        <v>2003.0</v>
      </c>
      <c r="B167" s="146">
        <v>10.0</v>
      </c>
      <c r="C167" s="146">
        <v>0.020408163</v>
      </c>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c r="A168" s="146">
        <v>2003.0</v>
      </c>
      <c r="B168" s="146">
        <v>11.0</v>
      </c>
      <c r="C168" s="146">
        <v>0.017650303</v>
      </c>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c r="A169" s="146">
        <v>2003.0</v>
      </c>
      <c r="B169" s="146">
        <v>12.0</v>
      </c>
      <c r="C169" s="146">
        <v>0.018794914</v>
      </c>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c r="A170" s="146">
        <v>2004.0</v>
      </c>
      <c r="B170" s="146">
        <v>1.0</v>
      </c>
      <c r="C170" s="146">
        <v>0.019262521</v>
      </c>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c r="A171" s="146">
        <v>2004.0</v>
      </c>
      <c r="B171" s="146">
        <v>2.0</v>
      </c>
      <c r="C171" s="146">
        <v>0.016930639</v>
      </c>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c r="A172" s="146">
        <v>2004.0</v>
      </c>
      <c r="B172" s="146">
        <v>3.0</v>
      </c>
      <c r="C172" s="146">
        <v>0.017372421</v>
      </c>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c r="A173" s="146">
        <v>2004.0</v>
      </c>
      <c r="B173" s="146">
        <v>4.0</v>
      </c>
      <c r="C173" s="146">
        <v>0.022850925</v>
      </c>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c r="A174" s="146">
        <v>2004.0</v>
      </c>
      <c r="B174" s="146">
        <v>5.0</v>
      </c>
      <c r="C174" s="146">
        <v>0.030517711</v>
      </c>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c r="A175" s="146">
        <v>2004.0</v>
      </c>
      <c r="B175" s="146">
        <v>6.0</v>
      </c>
      <c r="C175" s="146">
        <v>0.032661949</v>
      </c>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c r="A176" s="146">
        <v>2004.0</v>
      </c>
      <c r="B176" s="146">
        <v>7.0</v>
      </c>
      <c r="C176" s="146">
        <v>0.029907558</v>
      </c>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c r="A177" s="146">
        <v>2004.0</v>
      </c>
      <c r="B177" s="146">
        <v>8.0</v>
      </c>
      <c r="C177" s="146">
        <v>0.026543879</v>
      </c>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c r="A178" s="146">
        <v>2004.0</v>
      </c>
      <c r="B178" s="146">
        <v>9.0</v>
      </c>
      <c r="C178" s="146">
        <v>0.02537797</v>
      </c>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c r="A179" s="146">
        <v>2004.0</v>
      </c>
      <c r="B179" s="146">
        <v>10.0</v>
      </c>
      <c r="C179" s="146">
        <v>0.031891892</v>
      </c>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c r="A180" s="146">
        <v>2004.0</v>
      </c>
      <c r="B180" s="146">
        <v>11.0</v>
      </c>
      <c r="C180" s="146">
        <v>0.035230352</v>
      </c>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c r="A181" s="146">
        <v>2004.0</v>
      </c>
      <c r="B181" s="146">
        <v>12.0</v>
      </c>
      <c r="C181" s="146">
        <v>0.032555616</v>
      </c>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c r="A182" s="146">
        <v>2005.0</v>
      </c>
      <c r="B182" s="146">
        <v>1.0</v>
      </c>
      <c r="C182" s="146">
        <v>0.029697624</v>
      </c>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c r="A183" s="146">
        <v>2005.0</v>
      </c>
      <c r="B183" s="146">
        <v>2.0</v>
      </c>
      <c r="C183" s="146">
        <v>0.030075188</v>
      </c>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c r="A184" s="146">
        <v>2005.0</v>
      </c>
      <c r="B184" s="146">
        <v>3.0</v>
      </c>
      <c r="C184" s="146">
        <v>0.031483458</v>
      </c>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c r="A185" s="146">
        <v>2005.0</v>
      </c>
      <c r="B185" s="146">
        <v>4.0</v>
      </c>
      <c r="C185" s="146">
        <v>0.035106383</v>
      </c>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c r="A186" s="146">
        <v>2005.0</v>
      </c>
      <c r="B186" s="146">
        <v>5.0</v>
      </c>
      <c r="C186" s="146">
        <v>0.028027499</v>
      </c>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c r="A187" s="146">
        <v>2005.0</v>
      </c>
      <c r="B187" s="146">
        <v>6.0</v>
      </c>
      <c r="C187" s="146">
        <v>0.02530311</v>
      </c>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c r="A188" s="146">
        <v>2005.0</v>
      </c>
      <c r="B188" s="146">
        <v>7.0</v>
      </c>
      <c r="C188" s="146">
        <v>0.031678986</v>
      </c>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c r="A189" s="146">
        <v>2005.0</v>
      </c>
      <c r="B189" s="146">
        <v>8.0</v>
      </c>
      <c r="C189" s="146">
        <v>0.036411609</v>
      </c>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c r="A190" s="146">
        <v>2005.0</v>
      </c>
      <c r="B190" s="146">
        <v>9.0</v>
      </c>
      <c r="C190" s="146">
        <v>0.046866772</v>
      </c>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c r="A191" s="146">
        <v>2005.0</v>
      </c>
      <c r="B191" s="146">
        <v>10.0</v>
      </c>
      <c r="C191" s="146">
        <v>0.043478261</v>
      </c>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c r="A192" s="146">
        <v>2005.0</v>
      </c>
      <c r="B192" s="146">
        <v>11.0</v>
      </c>
      <c r="C192" s="146">
        <v>0.034554974</v>
      </c>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c r="A193" s="146">
        <v>2005.0</v>
      </c>
      <c r="B193" s="146">
        <v>12.0</v>
      </c>
      <c r="C193" s="146">
        <v>0.034156595</v>
      </c>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c r="A194" s="146">
        <v>2006.0</v>
      </c>
      <c r="B194" s="146">
        <v>1.0</v>
      </c>
      <c r="C194" s="146">
        <v>0.039853173</v>
      </c>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c r="A195" s="146">
        <v>2006.0</v>
      </c>
      <c r="B195" s="146">
        <v>2.0</v>
      </c>
      <c r="C195" s="146">
        <v>0.035974974</v>
      </c>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c r="A196" s="146">
        <v>2006.0</v>
      </c>
      <c r="B196" s="146">
        <v>3.0</v>
      </c>
      <c r="C196" s="146">
        <v>0.033626487</v>
      </c>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c r="A197" s="146">
        <v>2006.0</v>
      </c>
      <c r="B197" s="146">
        <v>4.0</v>
      </c>
      <c r="C197" s="146">
        <v>0.035457348</v>
      </c>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c r="A198" s="146">
        <v>2006.0</v>
      </c>
      <c r="B198" s="146">
        <v>5.0</v>
      </c>
      <c r="C198" s="146">
        <v>0.041666667</v>
      </c>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c r="A199" s="146">
        <v>2006.0</v>
      </c>
      <c r="B199" s="146">
        <v>6.0</v>
      </c>
      <c r="C199" s="146">
        <v>0.043187661</v>
      </c>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c r="A200" s="146">
        <v>2006.0</v>
      </c>
      <c r="B200" s="146">
        <v>7.0</v>
      </c>
      <c r="C200" s="146">
        <v>0.041453429</v>
      </c>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c r="A201" s="146">
        <v>2006.0</v>
      </c>
      <c r="B201" s="146">
        <v>8.0</v>
      </c>
      <c r="C201" s="146">
        <v>0.038187373</v>
      </c>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c r="A202" s="146">
        <v>2006.0</v>
      </c>
      <c r="B202" s="146">
        <v>9.0</v>
      </c>
      <c r="C202" s="146">
        <v>0.020623742</v>
      </c>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c r="A203" s="146">
        <v>2006.0</v>
      </c>
      <c r="B203" s="146">
        <v>10.0</v>
      </c>
      <c r="C203" s="146">
        <v>0.013052209</v>
      </c>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c r="A204" s="146">
        <v>2006.0</v>
      </c>
      <c r="B204" s="146">
        <v>11.0</v>
      </c>
      <c r="C204" s="146">
        <v>0.019736842</v>
      </c>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c r="A205" s="146">
        <v>2006.0</v>
      </c>
      <c r="B205" s="146">
        <v>12.0</v>
      </c>
      <c r="C205" s="146">
        <v>0.025406504</v>
      </c>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c r="A206" s="146">
        <v>2007.0</v>
      </c>
      <c r="B206" s="146">
        <v>1.0</v>
      </c>
      <c r="C206" s="146">
        <v>0.02075643</v>
      </c>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c r="A207" s="146">
        <v>2007.0</v>
      </c>
      <c r="B207" s="146">
        <v>2.0</v>
      </c>
      <c r="C207" s="146">
        <v>0.024151988</v>
      </c>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c r="A208" s="146">
        <v>2007.0</v>
      </c>
      <c r="B208" s="146">
        <v>3.0</v>
      </c>
      <c r="C208" s="146">
        <v>0.027787788</v>
      </c>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c r="A209" s="146">
        <v>2007.0</v>
      </c>
      <c r="B209" s="146">
        <v>4.0</v>
      </c>
      <c r="C209" s="146">
        <v>0.025736973</v>
      </c>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c r="A210" s="146">
        <v>2007.0</v>
      </c>
      <c r="B210" s="146">
        <v>5.0</v>
      </c>
      <c r="C210" s="146">
        <v>0.026908642</v>
      </c>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c r="A211" s="146">
        <v>2007.0</v>
      </c>
      <c r="B211" s="146">
        <v>6.0</v>
      </c>
      <c r="C211" s="146">
        <v>0.026870379</v>
      </c>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c r="A212" s="146">
        <v>2007.0</v>
      </c>
      <c r="B212" s="146">
        <v>7.0</v>
      </c>
      <c r="C212" s="146">
        <v>0.02358231</v>
      </c>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c r="A213" s="146">
        <v>2007.0</v>
      </c>
      <c r="B213" s="146">
        <v>8.0</v>
      </c>
      <c r="C213" s="146">
        <v>0.019700834</v>
      </c>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c r="A214" s="146">
        <v>2007.0</v>
      </c>
      <c r="B214" s="146">
        <v>9.0</v>
      </c>
      <c r="C214" s="146">
        <v>0.027550517</v>
      </c>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c r="A215" s="146">
        <v>2007.0</v>
      </c>
      <c r="B215" s="146">
        <v>10.0</v>
      </c>
      <c r="C215" s="146">
        <v>0.035361744</v>
      </c>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c r="A216" s="146">
        <v>2007.0</v>
      </c>
      <c r="B216" s="146">
        <v>11.0</v>
      </c>
      <c r="C216" s="146">
        <v>0.043062035</v>
      </c>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c r="A217" s="146">
        <v>2007.0</v>
      </c>
      <c r="B217" s="146">
        <v>12.0</v>
      </c>
      <c r="C217" s="146">
        <v>0.040812686</v>
      </c>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c r="A218" s="146">
        <v>2008.0</v>
      </c>
      <c r="B218" s="146">
        <v>1.0</v>
      </c>
      <c r="C218" s="146">
        <v>0.04280294</v>
      </c>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c r="A219" s="146">
        <v>2008.0</v>
      </c>
      <c r="B219" s="146">
        <v>2.0</v>
      </c>
      <c r="C219" s="146">
        <v>0.040265554</v>
      </c>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c r="A220" s="146">
        <v>2008.0</v>
      </c>
      <c r="B220" s="146">
        <v>3.0</v>
      </c>
      <c r="C220" s="146">
        <v>0.039814562</v>
      </c>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c r="A221" s="146">
        <v>2008.0</v>
      </c>
      <c r="B221" s="146">
        <v>4.0</v>
      </c>
      <c r="C221" s="146">
        <v>0.039368898</v>
      </c>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c r="A222" s="146">
        <v>2008.0</v>
      </c>
      <c r="B222" s="146">
        <v>5.0</v>
      </c>
      <c r="C222" s="146">
        <v>0.04175543</v>
      </c>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c r="A223" s="146">
        <v>2008.0</v>
      </c>
      <c r="B223" s="146">
        <v>6.0</v>
      </c>
      <c r="C223" s="146">
        <v>0.0502179</v>
      </c>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c r="A224" s="146">
        <v>2008.0</v>
      </c>
      <c r="B224" s="146">
        <v>7.0</v>
      </c>
      <c r="C224" s="146">
        <v>0.056001229</v>
      </c>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c r="A225" s="146">
        <v>2008.0</v>
      </c>
      <c r="B225" s="146">
        <v>8.0</v>
      </c>
      <c r="C225" s="146">
        <v>0.053718551</v>
      </c>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c r="A226" s="146">
        <v>2008.0</v>
      </c>
      <c r="B226" s="146">
        <v>9.0</v>
      </c>
      <c r="C226" s="146">
        <v>0.049369274</v>
      </c>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c r="A227" s="146">
        <v>2008.0</v>
      </c>
      <c r="B227" s="146">
        <v>10.0</v>
      </c>
      <c r="C227" s="146">
        <v>0.036551863</v>
      </c>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c r="A228" s="146">
        <v>2008.0</v>
      </c>
      <c r="B228" s="146">
        <v>11.0</v>
      </c>
      <c r="C228" s="146">
        <v>0.010695747</v>
      </c>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c r="A229" s="146">
        <v>2008.0</v>
      </c>
      <c r="B229" s="146">
        <v>12.0</v>
      </c>
      <c r="C229" s="149">
        <v>9.14E-4</v>
      </c>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c r="A230" s="146">
        <v>2009.0</v>
      </c>
      <c r="B230" s="146">
        <v>1.0</v>
      </c>
      <c r="C230" s="149">
        <v>2.98E-4</v>
      </c>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c r="A231" s="146">
        <v>2009.0</v>
      </c>
      <c r="B231" s="146">
        <v>2.0</v>
      </c>
      <c r="C231" s="146">
        <v>0.002361911</v>
      </c>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c r="A232" s="146">
        <v>2009.0</v>
      </c>
      <c r="B232" s="146">
        <v>3.0</v>
      </c>
      <c r="C232" s="146">
        <v>-0.003835563</v>
      </c>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c r="A233" s="146">
        <v>2009.0</v>
      </c>
      <c r="B233" s="146">
        <v>4.0</v>
      </c>
      <c r="C233" s="146">
        <v>-0.007368857</v>
      </c>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c r="A234" s="146">
        <v>2009.0</v>
      </c>
      <c r="B234" s="146">
        <v>5.0</v>
      </c>
      <c r="C234" s="146">
        <v>-0.012814358</v>
      </c>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c r="A235" s="146">
        <v>2009.0</v>
      </c>
      <c r="B235" s="146">
        <v>6.0</v>
      </c>
      <c r="C235" s="146">
        <v>-0.01426776</v>
      </c>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c r="A236" s="146">
        <v>2009.0</v>
      </c>
      <c r="B236" s="146">
        <v>7.0</v>
      </c>
      <c r="C236" s="146">
        <v>-0.020971614</v>
      </c>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c r="A237" s="146">
        <v>2009.0</v>
      </c>
      <c r="B237" s="146">
        <v>8.0</v>
      </c>
      <c r="C237" s="146">
        <v>-0.014843486</v>
      </c>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c r="A238" s="146">
        <v>2009.0</v>
      </c>
      <c r="B238" s="146">
        <v>9.0</v>
      </c>
      <c r="C238" s="146">
        <v>-0.01286206</v>
      </c>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c r="A239" s="146">
        <v>2009.0</v>
      </c>
      <c r="B239" s="146">
        <v>10.0</v>
      </c>
      <c r="C239" s="146">
        <v>-0.001828483</v>
      </c>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c r="A240" s="146">
        <v>2009.0</v>
      </c>
      <c r="B240" s="146">
        <v>11.0</v>
      </c>
      <c r="C240" s="146">
        <v>0.018382959</v>
      </c>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c r="A241" s="146">
        <v>2009.0</v>
      </c>
      <c r="B241" s="146">
        <v>12.0</v>
      </c>
      <c r="C241" s="146">
        <v>0.027213311</v>
      </c>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c r="A242" s="146">
        <v>2010.0</v>
      </c>
      <c r="B242" s="146">
        <v>1.0</v>
      </c>
      <c r="C242" s="146">
        <v>0.026257086</v>
      </c>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c r="A243" s="146">
        <v>2010.0</v>
      </c>
      <c r="B243" s="146">
        <v>2.0</v>
      </c>
      <c r="C243" s="146">
        <v>0.021433318</v>
      </c>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c r="A244" s="146">
        <v>2010.0</v>
      </c>
      <c r="B244" s="146">
        <v>3.0</v>
      </c>
      <c r="C244" s="146">
        <v>0.023139594</v>
      </c>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c r="A245" s="146">
        <v>2010.0</v>
      </c>
      <c r="B245" s="146">
        <v>4.0</v>
      </c>
      <c r="C245" s="146">
        <v>0.022364472</v>
      </c>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c r="A246" s="146">
        <v>2010.0</v>
      </c>
      <c r="B246" s="146">
        <v>5.0</v>
      </c>
      <c r="C246" s="146">
        <v>0.020209861</v>
      </c>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c r="A247" s="146">
        <v>2010.0</v>
      </c>
      <c r="B247" s="146">
        <v>6.0</v>
      </c>
      <c r="C247" s="146">
        <v>0.01053349</v>
      </c>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c r="A248" s="146">
        <v>2010.0</v>
      </c>
      <c r="B248" s="146">
        <v>7.0</v>
      </c>
      <c r="C248" s="146">
        <v>0.012351928</v>
      </c>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c r="A249" s="146">
        <v>2010.0</v>
      </c>
      <c r="B249" s="146">
        <v>8.0</v>
      </c>
      <c r="C249" s="146">
        <v>0.011481046</v>
      </c>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c r="A250" s="146">
        <v>2010.0</v>
      </c>
      <c r="B250" s="146">
        <v>9.0</v>
      </c>
      <c r="C250" s="146">
        <v>0.011436827</v>
      </c>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c r="A251" s="146">
        <v>2010.0</v>
      </c>
      <c r="B251" s="146">
        <v>10.0</v>
      </c>
      <c r="C251" s="146">
        <v>0.011721876</v>
      </c>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c r="A252" s="146">
        <v>2010.0</v>
      </c>
      <c r="B252" s="146">
        <v>11.0</v>
      </c>
      <c r="C252" s="146">
        <v>0.011431609</v>
      </c>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c r="A253" s="146">
        <v>2010.0</v>
      </c>
      <c r="B253" s="146">
        <v>12.0</v>
      </c>
      <c r="C253" s="146">
        <v>0.014957235</v>
      </c>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c r="A254" s="146">
        <v>2011.0</v>
      </c>
      <c r="B254" s="146">
        <v>1.0</v>
      </c>
      <c r="C254" s="146">
        <v>0.016318469</v>
      </c>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c r="A255" s="146">
        <v>2011.0</v>
      </c>
      <c r="B255" s="146">
        <v>2.0</v>
      </c>
      <c r="C255" s="146">
        <v>0.021075846</v>
      </c>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c r="A256" s="146">
        <v>2011.0</v>
      </c>
      <c r="B256" s="146">
        <v>3.0</v>
      </c>
      <c r="C256" s="146">
        <v>0.026816033</v>
      </c>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c r="A257" s="146">
        <v>2011.0</v>
      </c>
      <c r="B257" s="146">
        <v>4.0</v>
      </c>
      <c r="C257" s="146">
        <v>0.031636309</v>
      </c>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c r="A258" s="146">
        <v>2011.0</v>
      </c>
      <c r="B258" s="146">
        <v>5.0</v>
      </c>
      <c r="C258" s="146">
        <v>0.035686458</v>
      </c>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c r="A259" s="146">
        <v>2011.0</v>
      </c>
      <c r="B259" s="146">
        <v>6.0</v>
      </c>
      <c r="C259" s="146">
        <v>0.035588283</v>
      </c>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c r="A260" s="146">
        <v>2011.0</v>
      </c>
      <c r="B260" s="146">
        <v>7.0</v>
      </c>
      <c r="C260" s="146">
        <v>0.03628716</v>
      </c>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c r="A261" s="146">
        <v>2011.0</v>
      </c>
      <c r="B261" s="146">
        <v>8.0</v>
      </c>
      <c r="C261" s="146">
        <v>0.037712082</v>
      </c>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c r="A262" s="146">
        <v>2011.0</v>
      </c>
      <c r="B262" s="146">
        <v>9.0</v>
      </c>
      <c r="C262" s="146">
        <v>0.038683568</v>
      </c>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c r="A263" s="146">
        <v>2011.0</v>
      </c>
      <c r="B263" s="146">
        <v>10.0</v>
      </c>
      <c r="C263" s="146">
        <v>0.035251999</v>
      </c>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c r="A264" s="146">
        <v>2011.0</v>
      </c>
      <c r="B264" s="146">
        <v>11.0</v>
      </c>
      <c r="C264" s="146">
        <v>0.033943776</v>
      </c>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c r="A265" s="146">
        <v>2011.0</v>
      </c>
      <c r="B265" s="146">
        <v>12.0</v>
      </c>
      <c r="C265" s="146">
        <v>0.029624188</v>
      </c>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c r="A266" s="146">
        <v>2012.0</v>
      </c>
      <c r="B266" s="146">
        <v>1.0</v>
      </c>
      <c r="C266" s="146">
        <v>0.029252167</v>
      </c>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c r="A267" s="146">
        <v>2012.0</v>
      </c>
      <c r="B267" s="146">
        <v>2.0</v>
      </c>
      <c r="C267" s="146">
        <v>0.028710988</v>
      </c>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c r="A268" s="146">
        <v>2012.0</v>
      </c>
      <c r="B268" s="146">
        <v>3.0</v>
      </c>
      <c r="C268" s="146">
        <v>0.026513982</v>
      </c>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c r="A269" s="146">
        <v>2012.0</v>
      </c>
      <c r="B269" s="146">
        <v>4.0</v>
      </c>
      <c r="C269" s="146">
        <v>0.023027398</v>
      </c>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c r="A270" s="146">
        <v>2012.0</v>
      </c>
      <c r="B270" s="146">
        <v>5.0</v>
      </c>
      <c r="C270" s="146">
        <v>0.017042538</v>
      </c>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c r="A271" s="146">
        <v>2012.0</v>
      </c>
      <c r="B271" s="146">
        <v>6.0</v>
      </c>
      <c r="C271" s="146">
        <v>0.016639938</v>
      </c>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c r="A272" s="146">
        <v>2012.0</v>
      </c>
      <c r="B272" s="146">
        <v>7.0</v>
      </c>
      <c r="C272" s="146">
        <v>0.014084507</v>
      </c>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c r="A273" s="146">
        <v>2012.0</v>
      </c>
      <c r="B273" s="146">
        <v>8.0</v>
      </c>
      <c r="C273" s="146">
        <v>0.01692379</v>
      </c>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c r="A274" s="146">
        <v>2012.0</v>
      </c>
      <c r="B274" s="146">
        <v>9.0</v>
      </c>
      <c r="C274" s="146">
        <v>0.019912821</v>
      </c>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c r="A275" s="146">
        <v>2012.0</v>
      </c>
      <c r="B275" s="146">
        <v>10.0</v>
      </c>
      <c r="C275" s="146">
        <v>0.021623436</v>
      </c>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c r="A276" s="146">
        <v>2012.0</v>
      </c>
      <c r="B276" s="146">
        <v>11.0</v>
      </c>
      <c r="C276" s="146">
        <v>0.017641338</v>
      </c>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c r="A277" s="146">
        <v>2012.0</v>
      </c>
      <c r="B277" s="146">
        <v>12.0</v>
      </c>
      <c r="C277" s="146">
        <v>0.017410224</v>
      </c>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c r="A278" s="146">
        <v>2013.0</v>
      </c>
      <c r="B278" s="146">
        <v>1.0</v>
      </c>
      <c r="C278" s="146">
        <v>0.015948647</v>
      </c>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c r="A279" s="146">
        <v>2013.0</v>
      </c>
      <c r="B279" s="146">
        <v>2.0</v>
      </c>
      <c r="C279" s="146">
        <v>0.019779235</v>
      </c>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c r="A280" s="146">
        <v>2013.0</v>
      </c>
      <c r="B280" s="146">
        <v>3.0</v>
      </c>
      <c r="C280" s="146">
        <v>0.014738962</v>
      </c>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c r="A281" s="146">
        <v>2013.0</v>
      </c>
      <c r="B281" s="146">
        <v>4.0</v>
      </c>
      <c r="C281" s="146">
        <v>0.010630854</v>
      </c>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c r="A282" s="146">
        <v>2013.0</v>
      </c>
      <c r="B282" s="146">
        <v>5.0</v>
      </c>
      <c r="C282" s="146">
        <v>0.013619651</v>
      </c>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c r="A283" s="146">
        <v>2013.0</v>
      </c>
      <c r="B283" s="146">
        <v>6.0</v>
      </c>
      <c r="C283" s="146">
        <v>0.017544165</v>
      </c>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c r="A284" s="146">
        <v>2013.0</v>
      </c>
      <c r="B284" s="146">
        <v>7.0</v>
      </c>
      <c r="C284" s="146">
        <v>0.019606816</v>
      </c>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c r="A285" s="146">
        <v>2013.0</v>
      </c>
      <c r="B285" s="146">
        <v>8.0</v>
      </c>
      <c r="C285" s="146">
        <v>0.015183676</v>
      </c>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c r="A286" s="146">
        <v>2013.0</v>
      </c>
      <c r="B286" s="146">
        <v>9.0</v>
      </c>
      <c r="C286" s="146">
        <v>0.011849253</v>
      </c>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c r="A287" s="146">
        <v>2013.0</v>
      </c>
      <c r="B287" s="146">
        <v>10.0</v>
      </c>
      <c r="C287" s="146">
        <v>0.009636127</v>
      </c>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c r="A288" s="146">
        <v>2013.0</v>
      </c>
      <c r="B288" s="146">
        <v>11.0</v>
      </c>
      <c r="C288" s="146">
        <v>0.012370722</v>
      </c>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c r="A289" s="146">
        <v>2013.0</v>
      </c>
      <c r="B289" s="146">
        <v>12.0</v>
      </c>
      <c r="C289" s="146">
        <v>0.015017356</v>
      </c>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c r="A290" s="146">
        <v>2014.0</v>
      </c>
      <c r="B290" s="146">
        <v>1.0</v>
      </c>
      <c r="C290" s="146">
        <v>0.015789474</v>
      </c>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c r="A291" s="146">
        <v>2014.0</v>
      </c>
      <c r="B291" s="146">
        <v>2.0</v>
      </c>
      <c r="C291" s="146">
        <v>0.011263493</v>
      </c>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c r="A292" s="146">
        <v>2014.0</v>
      </c>
      <c r="B292" s="146">
        <v>3.0</v>
      </c>
      <c r="C292" s="146">
        <v>0.015122029</v>
      </c>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c r="A293" s="146">
        <v>2014.0</v>
      </c>
      <c r="B293" s="146">
        <v>4.0</v>
      </c>
      <c r="C293" s="146">
        <v>0.019528579</v>
      </c>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c r="A294" s="146">
        <v>2014.0</v>
      </c>
      <c r="B294" s="146">
        <v>5.0</v>
      </c>
      <c r="C294" s="146">
        <v>0.021271115</v>
      </c>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c r="A295" s="146">
        <v>2014.0</v>
      </c>
      <c r="B295" s="146">
        <v>6.0</v>
      </c>
      <c r="C295" s="146">
        <v>0.020723414</v>
      </c>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c r="A296" s="146">
        <v>2014.0</v>
      </c>
      <c r="B296" s="146">
        <v>7.0</v>
      </c>
      <c r="C296" s="146">
        <v>0.019923286</v>
      </c>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c r="A297" s="146">
        <v>2014.0</v>
      </c>
      <c r="B297" s="146">
        <v>8.0</v>
      </c>
      <c r="C297" s="146">
        <v>0.016996113</v>
      </c>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c r="A298" s="146">
        <v>2014.0</v>
      </c>
      <c r="B298" s="146">
        <v>9.0</v>
      </c>
      <c r="C298" s="146">
        <v>0.016579187</v>
      </c>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c r="A299" s="146">
        <v>2014.0</v>
      </c>
      <c r="B299" s="146">
        <v>10.0</v>
      </c>
      <c r="C299" s="146">
        <v>0.016643402</v>
      </c>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c r="A300" s="146">
        <v>2014.0</v>
      </c>
      <c r="B300" s="146">
        <v>11.0</v>
      </c>
      <c r="C300" s="146">
        <v>0.013223552</v>
      </c>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c r="A301" s="146">
        <v>2014.0</v>
      </c>
      <c r="B301" s="146">
        <v>12.0</v>
      </c>
      <c r="C301" s="146">
        <v>0.007564933</v>
      </c>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c r="A302" s="146">
        <v>2015.0</v>
      </c>
      <c r="B302" s="146">
        <v>1.0</v>
      </c>
      <c r="C302" s="149">
        <v>-8.93E-4</v>
      </c>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c r="A303" s="146">
        <v>2015.0</v>
      </c>
      <c r="B303" s="146">
        <v>2.0</v>
      </c>
      <c r="C303" s="149">
        <v>-2.51E-4</v>
      </c>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c r="A304" s="146">
        <v>2015.0</v>
      </c>
      <c r="B304" s="146">
        <v>3.0</v>
      </c>
      <c r="C304" s="149">
        <v>-7.36E-4</v>
      </c>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c r="A305" s="146">
        <v>2015.0</v>
      </c>
      <c r="B305" s="146">
        <v>4.0</v>
      </c>
      <c r="C305" s="146">
        <v>-0.001995174</v>
      </c>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c r="A306" s="146">
        <v>2015.0</v>
      </c>
      <c r="B306" s="146">
        <v>5.0</v>
      </c>
      <c r="C306" s="149">
        <v>-3.99E-4</v>
      </c>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c r="A307" s="146">
        <v>2015.0</v>
      </c>
      <c r="B307" s="146">
        <v>6.0</v>
      </c>
      <c r="C307" s="146">
        <v>0.001237712</v>
      </c>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c r="A308" s="146">
        <v>2015.0</v>
      </c>
      <c r="B308" s="146">
        <v>7.0</v>
      </c>
      <c r="C308" s="146">
        <v>0.001695698</v>
      </c>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c r="A309" s="146">
        <v>2015.0</v>
      </c>
      <c r="B309" s="146">
        <v>8.0</v>
      </c>
      <c r="C309" s="146">
        <v>0.001950793</v>
      </c>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c r="A310" s="146">
        <v>2015.0</v>
      </c>
      <c r="B310" s="146">
        <v>9.0</v>
      </c>
      <c r="C310" s="149">
        <v>-3.61E-4</v>
      </c>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c r="A311" s="146">
        <v>2015.0</v>
      </c>
      <c r="B311" s="146">
        <v>10.0</v>
      </c>
      <c r="C311" s="146">
        <v>0.001705744</v>
      </c>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c r="A312" s="146">
        <v>2015.0</v>
      </c>
      <c r="B312" s="146">
        <v>11.0</v>
      </c>
      <c r="C312" s="146">
        <v>0.005017976</v>
      </c>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c r="A313" s="146">
        <v>2015.0</v>
      </c>
      <c r="B313" s="146">
        <v>12.0</v>
      </c>
      <c r="C313" s="146">
        <v>0.007295198</v>
      </c>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c r="A314" s="146">
        <v>2016.0</v>
      </c>
      <c r="B314" s="146">
        <v>1.0</v>
      </c>
      <c r="C314" s="146">
        <v>0.013730868</v>
      </c>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c r="A315" s="146">
        <v>2016.0</v>
      </c>
      <c r="B315" s="146">
        <v>2.0</v>
      </c>
      <c r="C315" s="146">
        <v>0.010177998</v>
      </c>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c r="A316" s="146">
        <v>2016.0</v>
      </c>
      <c r="B316" s="146">
        <v>3.0</v>
      </c>
      <c r="C316" s="146">
        <v>0.008525362</v>
      </c>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c r="A317" s="146">
        <v>2016.0</v>
      </c>
      <c r="B317" s="146">
        <v>4.0</v>
      </c>
      <c r="C317" s="146">
        <v>0.011251104</v>
      </c>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c r="A318" s="146">
        <v>2016.0</v>
      </c>
      <c r="B318" s="146">
        <v>5.0</v>
      </c>
      <c r="C318" s="146">
        <v>0.010193226</v>
      </c>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c r="A319" s="146">
        <v>2016.0</v>
      </c>
      <c r="B319" s="146">
        <v>6.0</v>
      </c>
      <c r="C319" s="146">
        <v>0.009973265</v>
      </c>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c r="A320" s="146">
        <v>2016.0</v>
      </c>
      <c r="B320" s="146">
        <v>7.0</v>
      </c>
      <c r="C320" s="146">
        <v>0.008271389</v>
      </c>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c r="A321" s="146">
        <v>2016.0</v>
      </c>
      <c r="B321" s="146">
        <v>8.0</v>
      </c>
      <c r="C321" s="146">
        <v>0.010628745</v>
      </c>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c r="A322" s="146">
        <v>2016.0</v>
      </c>
      <c r="B322" s="146">
        <v>9.0</v>
      </c>
      <c r="C322" s="146">
        <v>0.014637836</v>
      </c>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c r="A323" s="146">
        <v>2016.0</v>
      </c>
      <c r="B323" s="146">
        <v>10.0</v>
      </c>
      <c r="C323" s="146">
        <v>0.016359875</v>
      </c>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c r="A324" s="146">
        <v>2016.0</v>
      </c>
      <c r="B324" s="146">
        <v>11.0</v>
      </c>
      <c r="C324" s="146">
        <v>0.016925372</v>
      </c>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c r="A325" s="146">
        <v>2016.0</v>
      </c>
      <c r="B325" s="146">
        <v>12.0</v>
      </c>
      <c r="C325" s="146">
        <v>0.020746221</v>
      </c>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c r="A326" s="146">
        <v>2017.0</v>
      </c>
      <c r="B326" s="146">
        <v>1.0</v>
      </c>
      <c r="C326" s="146">
        <v>0.025000422</v>
      </c>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c r="A327" s="146">
        <v>2017.0</v>
      </c>
      <c r="B327" s="146">
        <v>2.0</v>
      </c>
      <c r="C327" s="146">
        <v>0.027379582</v>
      </c>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c r="A328" s="146">
        <v>2017.0</v>
      </c>
      <c r="B328" s="146">
        <v>3.0</v>
      </c>
      <c r="C328" s="146">
        <v>0.023806124</v>
      </c>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c r="A329" s="146">
        <v>2017.0</v>
      </c>
      <c r="B329" s="146">
        <v>4.0</v>
      </c>
      <c r="C329" s="146">
        <v>0.021996899</v>
      </c>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c r="A330" s="146">
        <v>2017.0</v>
      </c>
      <c r="B330" s="146">
        <v>5.0</v>
      </c>
      <c r="C330" s="146">
        <v>0.018748777</v>
      </c>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c r="A331" s="146">
        <v>2017.0</v>
      </c>
      <c r="B331" s="146">
        <v>6.0</v>
      </c>
      <c r="C331" s="146">
        <v>0.01633488</v>
      </c>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c r="A332" s="146">
        <v>2017.0</v>
      </c>
      <c r="B332" s="146">
        <v>7.0</v>
      </c>
      <c r="C332" s="146">
        <v>0.017279785</v>
      </c>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c r="A333" s="146">
        <v>2017.0</v>
      </c>
      <c r="B333" s="146">
        <v>8.0</v>
      </c>
      <c r="C333" s="146">
        <v>0.019389742</v>
      </c>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c r="A334" s="146">
        <v>2017.0</v>
      </c>
      <c r="B334" s="146">
        <v>9.0</v>
      </c>
      <c r="C334" s="146">
        <v>0.022329639</v>
      </c>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c r="A335" s="146">
        <v>2017.0</v>
      </c>
      <c r="B335" s="146">
        <v>10.0</v>
      </c>
      <c r="C335" s="146">
        <v>0.020411287</v>
      </c>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c r="A336" s="146">
        <v>2017.0</v>
      </c>
      <c r="B336" s="146">
        <v>11.0</v>
      </c>
      <c r="C336" s="146">
        <v>0.022025829</v>
      </c>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c r="A337" s="146">
        <v>2017.0</v>
      </c>
      <c r="B337" s="146">
        <v>12.0</v>
      </c>
      <c r="C337" s="146">
        <v>0.021090825</v>
      </c>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c r="A338" s="146">
        <v>2018.0</v>
      </c>
      <c r="B338" s="146">
        <v>1.0</v>
      </c>
      <c r="C338" s="146">
        <v>0.020705076</v>
      </c>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c r="A339" s="146">
        <v>2018.0</v>
      </c>
      <c r="B339" s="146">
        <v>2.0</v>
      </c>
      <c r="C339" s="146">
        <v>0.022117954</v>
      </c>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c r="A340" s="146">
        <v>2018.0</v>
      </c>
      <c r="B340" s="146">
        <v>3.0</v>
      </c>
      <c r="C340" s="146">
        <v>0.023597114</v>
      </c>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c r="A341" s="146">
        <v>2018.0</v>
      </c>
      <c r="B341" s="146">
        <v>4.0</v>
      </c>
      <c r="C341" s="146">
        <v>0.024627439</v>
      </c>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c r="A342" s="146">
        <v>2018.0</v>
      </c>
      <c r="B342" s="146">
        <v>5.0</v>
      </c>
      <c r="C342" s="146">
        <v>0.028010117</v>
      </c>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c r="A343" s="146">
        <v>2018.0</v>
      </c>
      <c r="B343" s="146">
        <v>6.0</v>
      </c>
      <c r="C343" s="146">
        <v>0.028715478</v>
      </c>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c r="A344" s="146">
        <v>2018.0</v>
      </c>
      <c r="B344" s="146">
        <v>7.0</v>
      </c>
      <c r="C344" s="146">
        <v>0.029495151</v>
      </c>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c r="A345" s="146">
        <v>2018.0</v>
      </c>
      <c r="B345" s="146">
        <v>8.0</v>
      </c>
      <c r="C345" s="146">
        <v>0.026991801</v>
      </c>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c r="A346" s="146">
        <v>2018.0</v>
      </c>
      <c r="B346" s="146">
        <v>9.0</v>
      </c>
      <c r="C346" s="146">
        <v>0.022769722</v>
      </c>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c r="A347" s="146">
        <v>2018.0</v>
      </c>
      <c r="B347" s="146">
        <v>10.0</v>
      </c>
      <c r="C347" s="146">
        <v>0.025224699</v>
      </c>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c r="A348" s="146">
        <v>2018.0</v>
      </c>
      <c r="B348" s="146">
        <v>11.0</v>
      </c>
      <c r="C348" s="146">
        <v>0.02176601</v>
      </c>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c r="A349" s="146">
        <v>2018.0</v>
      </c>
      <c r="B349" s="146">
        <v>12.0</v>
      </c>
      <c r="C349" s="146">
        <v>0.019101588</v>
      </c>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c r="A350" s="147">
        <v>2019.0</v>
      </c>
      <c r="B350" s="147">
        <v>1.0</v>
      </c>
      <c r="C350" s="147">
        <v>0.01551235</v>
      </c>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c r="A351" s="147">
        <v>2019.0</v>
      </c>
      <c r="B351" s="147">
        <v>2.0</v>
      </c>
      <c r="C351" s="147">
        <v>0.01520135</v>
      </c>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c r="A352" s="147">
        <v>2019.0</v>
      </c>
      <c r="B352" s="147">
        <v>3.0</v>
      </c>
      <c r="C352" s="147">
        <v>0.01862523</v>
      </c>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c r="A353" s="147">
        <v>2019.0</v>
      </c>
      <c r="B353" s="147">
        <v>4.0</v>
      </c>
      <c r="C353" s="147">
        <v>0.0199644</v>
      </c>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c r="A354" s="147">
        <v>2019.0</v>
      </c>
      <c r="B354" s="147">
        <v>5.0</v>
      </c>
      <c r="C354" s="147">
        <v>0.01790228</v>
      </c>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c r="A355" s="147">
        <v>2019.0</v>
      </c>
      <c r="B355" s="147">
        <v>6.0</v>
      </c>
      <c r="C355" s="147">
        <v>0.01648485</v>
      </c>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c r="A356" s="147">
        <v>2019.0</v>
      </c>
      <c r="B356" s="147">
        <v>7.0</v>
      </c>
      <c r="C356" s="147">
        <v>0.01811465</v>
      </c>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c r="A357" s="147">
        <v>2019.0</v>
      </c>
      <c r="B357" s="147">
        <v>8.0</v>
      </c>
      <c r="C357" s="147">
        <v>0.0174978</v>
      </c>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c r="A358" s="147">
        <v>2019.0</v>
      </c>
      <c r="B358" s="147">
        <v>9.0</v>
      </c>
      <c r="C358" s="147">
        <v>0.01711305</v>
      </c>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c r="A359" s="147">
        <v>2019.0</v>
      </c>
      <c r="B359" s="147">
        <v>10.0</v>
      </c>
      <c r="C359" s="147">
        <v>0.01764043</v>
      </c>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c r="A360" s="147">
        <v>2019.0</v>
      </c>
      <c r="B360" s="147">
        <v>11.0</v>
      </c>
      <c r="C360" s="147">
        <v>0.02051278</v>
      </c>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c r="A361" s="147">
        <v>2019.0</v>
      </c>
      <c r="B361" s="147">
        <v>12.0</v>
      </c>
      <c r="C361" s="147">
        <v>0.0228513</v>
      </c>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c r="A362" s="147">
        <v>2020.0</v>
      </c>
      <c r="B362" s="147">
        <v>1.0</v>
      </c>
      <c r="C362" s="147">
        <v>0.02486572</v>
      </c>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c r="A363" s="147">
        <v>2020.0</v>
      </c>
      <c r="B363" s="147">
        <v>2.0</v>
      </c>
      <c r="C363" s="147">
        <v>0.02334874</v>
      </c>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5.0"/>
  </cols>
  <sheetData>
    <row r="1">
      <c r="A1" s="150" t="str">
        <f>'Endowed Funds'!A:A</f>
        <v>Fund</v>
      </c>
      <c r="B1" s="150">
        <v>1990.0</v>
      </c>
      <c r="C1" s="150">
        <v>1991.0</v>
      </c>
      <c r="D1" s="150">
        <v>1992.0</v>
      </c>
      <c r="E1" s="150">
        <v>1993.0</v>
      </c>
      <c r="F1" s="150">
        <v>1994.0</v>
      </c>
      <c r="G1" s="150">
        <v>1995.0</v>
      </c>
      <c r="H1" s="150">
        <v>1996.0</v>
      </c>
      <c r="I1" s="150">
        <v>1997.0</v>
      </c>
      <c r="J1" s="150">
        <v>1998.0</v>
      </c>
      <c r="K1" s="150">
        <v>1999.0</v>
      </c>
      <c r="L1" s="150">
        <v>2000.0</v>
      </c>
      <c r="M1" s="150">
        <v>2001.0</v>
      </c>
      <c r="N1" s="150">
        <v>2002.0</v>
      </c>
      <c r="O1" s="150">
        <v>2003.0</v>
      </c>
      <c r="P1" s="150">
        <v>2004.0</v>
      </c>
      <c r="Q1" s="150">
        <v>2005.0</v>
      </c>
      <c r="R1" s="150">
        <v>2006.0</v>
      </c>
      <c r="S1" s="150">
        <v>2007.0</v>
      </c>
      <c r="T1" s="150">
        <v>2008.0</v>
      </c>
      <c r="U1" s="150">
        <v>2009.0</v>
      </c>
      <c r="V1" s="150">
        <v>2010.0</v>
      </c>
      <c r="W1" s="150">
        <v>2011.0</v>
      </c>
      <c r="X1" s="150">
        <v>2012.0</v>
      </c>
      <c r="Y1" s="150">
        <v>2013.0</v>
      </c>
      <c r="Z1" s="150">
        <v>2014.0</v>
      </c>
      <c r="AA1" s="150">
        <v>2015.0</v>
      </c>
      <c r="AB1" s="150">
        <v>2016.0</v>
      </c>
      <c r="AC1" s="150">
        <v>2017.0</v>
      </c>
      <c r="AD1" s="150">
        <v>2018.0</v>
      </c>
      <c r="AE1" s="150">
        <v>2019.0</v>
      </c>
    </row>
    <row r="2">
      <c r="A2" s="151" t="str">
        <f>'Endowed Funds'!A:A</f>
        <v>Native American Endowment Fund</v>
      </c>
      <c r="B2" t="str">
        <f>IFERROR(__xludf.DUMMYFUNCTION("IFERROR(FILTER('Fund Investment Data'!$D:$D, 'Fund Investment Data'!$C:$C = $A2, 'Fund Investment Data'!$A:$A = B$1, 'Fund Investment Data'!$B:$B = 12),"""")"),"")</f>
        <v/>
      </c>
      <c r="C2" t="str">
        <f>IFERROR(__xludf.DUMMYFUNCTION("IFERROR(FILTER('Fund Investment Data'!$D:$D, 'Fund Investment Data'!$C:$C = $A2, 'Fund Investment Data'!$A:$A = C$1, 'Fund Investment Data'!$B:$B = 12),"""")"),"")</f>
        <v/>
      </c>
      <c r="D2" t="str">
        <f>IFERROR(__xludf.DUMMYFUNCTION("IFERROR(FILTER('Fund Investment Data'!$D:$D, 'Fund Investment Data'!$C:$C = $A2, 'Fund Investment Data'!$A:$A = D$1, 'Fund Investment Data'!$B:$B = 12),"""")"),"")</f>
        <v/>
      </c>
      <c r="E2" t="str">
        <f>IFERROR(__xludf.DUMMYFUNCTION("IFERROR(FILTER('Fund Investment Data'!$D:$D, 'Fund Investment Data'!$C:$C = $A2, 'Fund Investment Data'!$A:$A = E$1, 'Fund Investment Data'!$B:$B = 12),"""")"),"")</f>
        <v/>
      </c>
      <c r="F2" t="str">
        <f>IFERROR(__xludf.DUMMYFUNCTION("IFERROR(FILTER('Fund Investment Data'!$D:$D, 'Fund Investment Data'!$C:$C = $A2, 'Fund Investment Data'!$A:$A = F$1, 'Fund Investment Data'!$B:$B = 12),"""")"),"")</f>
        <v/>
      </c>
      <c r="G2" t="str">
        <f>IFERROR(__xludf.DUMMYFUNCTION("IFERROR(FILTER('Fund Investment Data'!$D:$D, 'Fund Investment Data'!$C:$C = $A2, 'Fund Investment Data'!$A:$A = G$1, 'Fund Investment Data'!$B:$B = 12),"""")"),"")</f>
        <v/>
      </c>
      <c r="H2" t="str">
        <f>IFERROR(__xludf.DUMMYFUNCTION("IFERROR(FILTER('Fund Investment Data'!$D:$D, 'Fund Investment Data'!$C:$C = $A2, 'Fund Investment Data'!$A:$A = H$1, 'Fund Investment Data'!$B:$B = 12),"""")"),"")</f>
        <v/>
      </c>
      <c r="I2" t="str">
        <f>IFERROR(__xludf.DUMMYFUNCTION("IFERROR(FILTER('Fund Investment Data'!$D:$D, 'Fund Investment Data'!$C:$C = $A2, 'Fund Investment Data'!$A:$A = I$1, 'Fund Investment Data'!$B:$B = 12),"""")"),"")</f>
        <v/>
      </c>
      <c r="J2" t="str">
        <f>IFERROR(__xludf.DUMMYFUNCTION("IFERROR(FILTER('Fund Investment Data'!$D:$D, 'Fund Investment Data'!$C:$C = $A2, 'Fund Investment Data'!$A:$A = J$1, 'Fund Investment Data'!$B:$B = 12),"""")"),"")</f>
        <v/>
      </c>
      <c r="K2" t="str">
        <f>IFERROR(__xludf.DUMMYFUNCTION("IFERROR(FILTER('Fund Investment Data'!$D:$D, 'Fund Investment Data'!$C:$C = $A2, 'Fund Investment Data'!$A:$A = K$1, 'Fund Investment Data'!$B:$B = 12),"""")"),"")</f>
        <v/>
      </c>
      <c r="L2">
        <f>IFERROR(__xludf.DUMMYFUNCTION("IFERROR(FILTER('Fund Investment Data'!$D:$D, 'Fund Investment Data'!$C:$C = $A2, 'Fund Investment Data'!$A:$A = L$1, 'Fund Investment Data'!$B:$B = 12),"""")"),20000.0)</f>
        <v>20000</v>
      </c>
      <c r="M2">
        <f>IFERROR(__xludf.DUMMYFUNCTION("IFERROR(FILTER('Fund Investment Data'!$D:$D, 'Fund Investment Data'!$C:$C = $A2, 'Fund Investment Data'!$A:$A = M$1, 'Fund Investment Data'!$B:$B = 12),"""")"),11000.0)</f>
        <v>11000</v>
      </c>
      <c r="N2">
        <f>IFERROR(__xludf.DUMMYFUNCTION("IFERROR(FILTER('Fund Investment Data'!$D:$D, 'Fund Investment Data'!$C:$C = $A2, 'Fund Investment Data'!$A:$A = N$1, 'Fund Investment Data'!$B:$B = 12),"""")"),10000.0)</f>
        <v>10000</v>
      </c>
      <c r="O2">
        <f>IFERROR(__xludf.DUMMYFUNCTION("IFERROR(FILTER('Fund Investment Data'!$D:$D, 'Fund Investment Data'!$C:$C = $A2, 'Fund Investment Data'!$A:$A = O$1, 'Fund Investment Data'!$B:$B = 12),"""")"),10000.0)</f>
        <v>10000</v>
      </c>
      <c r="P2">
        <f>IFERROR(__xludf.DUMMYFUNCTION("IFERROR(FILTER('Fund Investment Data'!$D:$D, 'Fund Investment Data'!$C:$C = $A2, 'Fund Investment Data'!$A:$A = P$1, 'Fund Investment Data'!$B:$B = 12),"""")"),10000.0)</f>
        <v>10000</v>
      </c>
      <c r="Q2">
        <f>IFERROR(__xludf.DUMMYFUNCTION("IFERROR(FILTER('Fund Investment Data'!$D:$D, 'Fund Investment Data'!$C:$C = $A2, 'Fund Investment Data'!$A:$A = Q$1, 'Fund Investment Data'!$B:$B = 12),"""")"),10000.0)</f>
        <v>10000</v>
      </c>
      <c r="R2" t="str">
        <f>IFERROR(__xludf.DUMMYFUNCTION("IFERROR(FILTER('Fund Investment Data'!$D:$D, 'Fund Investment Data'!$C:$C = $A2, 'Fund Investment Data'!$A:$A = R$1, 'Fund Investment Data'!$B:$B = 12),"""")"),"")</f>
        <v/>
      </c>
      <c r="S2" t="str">
        <f>IFERROR(__xludf.DUMMYFUNCTION("IFERROR(FILTER('Fund Investment Data'!$D:$D, 'Fund Investment Data'!$C:$C = $A2, 'Fund Investment Data'!$A:$A = S$1, 'Fund Investment Data'!$B:$B = 12),"""")"),"")</f>
        <v/>
      </c>
      <c r="T2" t="str">
        <f>IFERROR(__xludf.DUMMYFUNCTION("IFERROR(FILTER('Fund Investment Data'!$D:$D, 'Fund Investment Data'!$C:$C = $A2, 'Fund Investment Data'!$A:$A = T$1, 'Fund Investment Data'!$B:$B = 12),"""")"),"")</f>
        <v/>
      </c>
      <c r="U2" t="str">
        <f>IFERROR(__xludf.DUMMYFUNCTION("IFERROR(FILTER('Fund Investment Data'!$D:$D, 'Fund Investment Data'!$C:$C = $A2, 'Fund Investment Data'!$A:$A = U$1, 'Fund Investment Data'!$B:$B = 12),"""")"),"")</f>
        <v/>
      </c>
      <c r="V2" t="str">
        <f>IFERROR(__xludf.DUMMYFUNCTION("IFERROR(FILTER('Fund Investment Data'!$D:$D, 'Fund Investment Data'!$C:$C = $A2, 'Fund Investment Data'!$A:$A = V$1, 'Fund Investment Data'!$B:$B = 12),"""")"),"")</f>
        <v/>
      </c>
      <c r="W2" t="str">
        <f>IFERROR(__xludf.DUMMYFUNCTION("IFERROR(FILTER('Fund Investment Data'!$D:$D, 'Fund Investment Data'!$C:$C = $A2, 'Fund Investment Data'!$A:$A = W$1, 'Fund Investment Data'!$B:$B = 12),"""")"),"")</f>
        <v/>
      </c>
      <c r="X2" t="str">
        <f>IFERROR(__xludf.DUMMYFUNCTION("IFERROR(FILTER('Fund Investment Data'!$D:$D, 'Fund Investment Data'!$C:$C = $A2, 'Fund Investment Data'!$A:$A = X$1, 'Fund Investment Data'!$B:$B = 12),"""")"),"")</f>
        <v/>
      </c>
      <c r="Y2" t="str">
        <f>IFERROR(__xludf.DUMMYFUNCTION("IFERROR(FILTER('Fund Investment Data'!$D:$D, 'Fund Investment Data'!$C:$C = $A2, 'Fund Investment Data'!$A:$A = Y$1, 'Fund Investment Data'!$B:$B = 12),"""")"),"")</f>
        <v/>
      </c>
      <c r="Z2">
        <f>IFERROR(__xludf.DUMMYFUNCTION("IFERROR(FILTER('Fund Investment Data'!$D:$D, 'Fund Investment Data'!$C:$C = $A2, 'Fund Investment Data'!$A:$A = Z$1, 'Fund Investment Data'!$B:$B = 12),"""")"),10000.0)</f>
        <v>10000</v>
      </c>
      <c r="AA2" t="str">
        <f>IFERROR(__xludf.DUMMYFUNCTION("IFERROR(FILTER('Fund Investment Data'!$D:$D, 'Fund Investment Data'!$C:$C = $A2, 'Fund Investment Data'!$A:$A = AA$1, 'Fund Investment Data'!$B:$B = 12),"""")"),"")</f>
        <v/>
      </c>
      <c r="AB2" t="str">
        <f>IFERROR(__xludf.DUMMYFUNCTION("IFERROR(FILTER('Fund Investment Data'!$D:$D, 'Fund Investment Data'!$C:$C = $A2, 'Fund Investment Data'!$A:$A = AB$1, 'Fund Investment Data'!$B:$B = 12),"""")"),"")</f>
        <v/>
      </c>
      <c r="AC2" t="str">
        <f>IFERROR(__xludf.DUMMYFUNCTION("IFERROR(FILTER('Fund Investment Data'!$D:$D, 'Fund Investment Data'!$C:$C = $A2, 'Fund Investment Data'!$A:$A = AC$1, 'Fund Investment Data'!$B:$B = 12),"""")"),"")</f>
        <v/>
      </c>
      <c r="AD2" t="str">
        <f>IFERROR(__xludf.DUMMYFUNCTION("IFERROR(FILTER('Fund Investment Data'!$D:$D, 'Fund Investment Data'!$C:$C = $A2, 'Fund Investment Data'!$A:$A = AD$1, 'Fund Investment Data'!$B:$B = 12),"""")"),"")</f>
        <v/>
      </c>
      <c r="AE2">
        <f>IFERROR(__xludf.DUMMYFUNCTION("IFERROR(FILTER('Fund Investment Data'!$D:$D, 'Fund Investment Data'!$C:$C = $A2, 'Fund Investment Data'!$A:$A = AE$1, 'Fund Investment Data'!$B:$B = 12),"""")"),0.0)</f>
        <v>0</v>
      </c>
    </row>
    <row r="3">
      <c r="A3" s="151" t="str">
        <f>'Endowed Funds'!A:A</f>
        <v>Albert G. Boyce, Jr. Family Fund</v>
      </c>
      <c r="B3" t="str">
        <f>IFERROR(__xludf.DUMMYFUNCTION("IFERROR(FILTER('Fund Investment Data'!$D:$D, 'Fund Investment Data'!$C:$C = $A3, 'Fund Investment Data'!$A:$A = B$1, 'Fund Investment Data'!$B:$B = 12),"""")"),"")</f>
        <v/>
      </c>
      <c r="C3" t="str">
        <f>IFERROR(__xludf.DUMMYFUNCTION("IFERROR(FILTER('Fund Investment Data'!$D:$D, 'Fund Investment Data'!$C:$C = $A3, 'Fund Investment Data'!$A:$A = C$1, 'Fund Investment Data'!$B:$B = 12),"""")"),"")</f>
        <v/>
      </c>
      <c r="D3" t="str">
        <f>IFERROR(__xludf.DUMMYFUNCTION("IFERROR(FILTER('Fund Investment Data'!$D:$D, 'Fund Investment Data'!$C:$C = $A3, 'Fund Investment Data'!$A:$A = D$1, 'Fund Investment Data'!$B:$B = 12),"""")"),"")</f>
        <v/>
      </c>
      <c r="E3" t="str">
        <f>IFERROR(__xludf.DUMMYFUNCTION("IFERROR(FILTER('Fund Investment Data'!$D:$D, 'Fund Investment Data'!$C:$C = $A3, 'Fund Investment Data'!$A:$A = E$1, 'Fund Investment Data'!$B:$B = 12),"""")"),"")</f>
        <v/>
      </c>
      <c r="F3" t="str">
        <f>IFERROR(__xludf.DUMMYFUNCTION("IFERROR(FILTER('Fund Investment Data'!$D:$D, 'Fund Investment Data'!$C:$C = $A3, 'Fund Investment Data'!$A:$A = F$1, 'Fund Investment Data'!$B:$B = 12),"""")"),"")</f>
        <v/>
      </c>
      <c r="G3" t="str">
        <f>IFERROR(__xludf.DUMMYFUNCTION("IFERROR(FILTER('Fund Investment Data'!$D:$D, 'Fund Investment Data'!$C:$C = $A3, 'Fund Investment Data'!$A:$A = G$1, 'Fund Investment Data'!$B:$B = 12),"""")"),"")</f>
        <v/>
      </c>
      <c r="H3" t="str">
        <f>IFERROR(__xludf.DUMMYFUNCTION("IFERROR(FILTER('Fund Investment Data'!$D:$D, 'Fund Investment Data'!$C:$C = $A3, 'Fund Investment Data'!$A:$A = H$1, 'Fund Investment Data'!$B:$B = 12),"""")"),"")</f>
        <v/>
      </c>
      <c r="I3" t="str">
        <f>IFERROR(__xludf.DUMMYFUNCTION("IFERROR(FILTER('Fund Investment Data'!$D:$D, 'Fund Investment Data'!$C:$C = $A3, 'Fund Investment Data'!$A:$A = I$1, 'Fund Investment Data'!$B:$B = 12),"""")"),"")</f>
        <v/>
      </c>
      <c r="J3" t="str">
        <f>IFERROR(__xludf.DUMMYFUNCTION("IFERROR(FILTER('Fund Investment Data'!$D:$D, 'Fund Investment Data'!$C:$C = $A3, 'Fund Investment Data'!$A:$A = J$1, 'Fund Investment Data'!$B:$B = 12),"""")"),"")</f>
        <v/>
      </c>
      <c r="K3" t="str">
        <f>IFERROR(__xludf.DUMMYFUNCTION("IFERROR(FILTER('Fund Investment Data'!$D:$D, 'Fund Investment Data'!$C:$C = $A3, 'Fund Investment Data'!$A:$A = K$1, 'Fund Investment Data'!$B:$B = 12),"""")"),"")</f>
        <v/>
      </c>
      <c r="L3" t="str">
        <f>IFERROR(__xludf.DUMMYFUNCTION("IFERROR(FILTER('Fund Investment Data'!$D:$D, 'Fund Investment Data'!$C:$C = $A3, 'Fund Investment Data'!$A:$A = L$1, 'Fund Investment Data'!$B:$B = 12),"""")"),"")</f>
        <v/>
      </c>
      <c r="M3" t="str">
        <f>IFERROR(__xludf.DUMMYFUNCTION("IFERROR(FILTER('Fund Investment Data'!$D:$D, 'Fund Investment Data'!$C:$C = $A3, 'Fund Investment Data'!$A:$A = M$1, 'Fund Investment Data'!$B:$B = 12),"""")"),"")</f>
        <v/>
      </c>
      <c r="N3" t="str">
        <f>IFERROR(__xludf.DUMMYFUNCTION("IFERROR(FILTER('Fund Investment Data'!$D:$D, 'Fund Investment Data'!$C:$C = $A3, 'Fund Investment Data'!$A:$A = N$1, 'Fund Investment Data'!$B:$B = 12),"""")"),"")</f>
        <v/>
      </c>
      <c r="O3" t="str">
        <f>IFERROR(__xludf.DUMMYFUNCTION("IFERROR(FILTER('Fund Investment Data'!$D:$D, 'Fund Investment Data'!$C:$C = $A3, 'Fund Investment Data'!$A:$A = O$1, 'Fund Investment Data'!$B:$B = 12),"""")"),"")</f>
        <v/>
      </c>
      <c r="P3">
        <f>IFERROR(__xludf.DUMMYFUNCTION("IFERROR(FILTER('Fund Investment Data'!$D:$D, 'Fund Investment Data'!$C:$C = $A3, 'Fund Investment Data'!$A:$A = P$1, 'Fund Investment Data'!$B:$B = 12),"""")"),30000.0)</f>
        <v>30000</v>
      </c>
      <c r="Q3">
        <f>IFERROR(__xludf.DUMMYFUNCTION("IFERROR(FILTER('Fund Investment Data'!$D:$D, 'Fund Investment Data'!$C:$C = $A3, 'Fund Investment Data'!$A:$A = Q$1, 'Fund Investment Data'!$B:$B = 12),"""")"),130000.0)</f>
        <v>130000</v>
      </c>
      <c r="R3">
        <f>IFERROR(__xludf.DUMMYFUNCTION("IFERROR(FILTER('Fund Investment Data'!$D:$D, 'Fund Investment Data'!$C:$C = $A3, 'Fund Investment Data'!$A:$A = R$1, 'Fund Investment Data'!$B:$B = 12),"""")"),30000.0)</f>
        <v>30000</v>
      </c>
      <c r="S3">
        <f>IFERROR(__xludf.DUMMYFUNCTION("IFERROR(FILTER('Fund Investment Data'!$D:$D, 'Fund Investment Data'!$C:$C = $A3, 'Fund Investment Data'!$A:$A = S$1, 'Fund Investment Data'!$B:$B = 12),"""")"),30000.0)</f>
        <v>30000</v>
      </c>
      <c r="T3">
        <f>IFERROR(__xludf.DUMMYFUNCTION("IFERROR(FILTER('Fund Investment Data'!$D:$D, 'Fund Investment Data'!$C:$C = $A3, 'Fund Investment Data'!$A:$A = T$1, 'Fund Investment Data'!$B:$B = 12),"""")"),30000.0)</f>
        <v>30000</v>
      </c>
      <c r="U3" t="str">
        <f>IFERROR(__xludf.DUMMYFUNCTION("IFERROR(FILTER('Fund Investment Data'!$D:$D, 'Fund Investment Data'!$C:$C = $A3, 'Fund Investment Data'!$A:$A = U$1, 'Fund Investment Data'!$B:$B = 12),"""")"),"")</f>
        <v/>
      </c>
      <c r="V3" t="str">
        <f>IFERROR(__xludf.DUMMYFUNCTION("IFERROR(FILTER('Fund Investment Data'!$D:$D, 'Fund Investment Data'!$C:$C = $A3, 'Fund Investment Data'!$A:$A = V$1, 'Fund Investment Data'!$B:$B = 12),"""")"),"")</f>
        <v/>
      </c>
      <c r="W3" t="str">
        <f>IFERROR(__xludf.DUMMYFUNCTION("IFERROR(FILTER('Fund Investment Data'!$D:$D, 'Fund Investment Data'!$C:$C = $A3, 'Fund Investment Data'!$A:$A = W$1, 'Fund Investment Data'!$B:$B = 12),"""")"),"")</f>
        <v/>
      </c>
      <c r="X3" t="str">
        <f>IFERROR(__xludf.DUMMYFUNCTION("IFERROR(FILTER('Fund Investment Data'!$D:$D, 'Fund Investment Data'!$C:$C = $A3, 'Fund Investment Data'!$A:$A = X$1, 'Fund Investment Data'!$B:$B = 12),"""")"),"")</f>
        <v/>
      </c>
      <c r="Y3" t="str">
        <f>IFERROR(__xludf.DUMMYFUNCTION("IFERROR(FILTER('Fund Investment Data'!$D:$D, 'Fund Investment Data'!$C:$C = $A3, 'Fund Investment Data'!$A:$A = Y$1, 'Fund Investment Data'!$B:$B = 12),"""")"),"")</f>
        <v/>
      </c>
      <c r="Z3">
        <f>IFERROR(__xludf.DUMMYFUNCTION("IFERROR(FILTER('Fund Investment Data'!$D:$D, 'Fund Investment Data'!$C:$C = $A3, 'Fund Investment Data'!$A:$A = Z$1, 'Fund Investment Data'!$B:$B = 12),"""")"),10061.0)</f>
        <v>10061</v>
      </c>
      <c r="AA3">
        <f>IFERROR(__xludf.DUMMYFUNCTION("IFERROR(FILTER('Fund Investment Data'!$D:$D, 'Fund Investment Data'!$C:$C = $A3, 'Fund Investment Data'!$A:$A = AA$1, 'Fund Investment Data'!$B:$B = 12),"""")"),10861.0)</f>
        <v>10861</v>
      </c>
      <c r="AB3">
        <f>IFERROR(__xludf.DUMMYFUNCTION("IFERROR(FILTER('Fund Investment Data'!$D:$D, 'Fund Investment Data'!$C:$C = $A3, 'Fund Investment Data'!$A:$A = AB$1, 'Fund Investment Data'!$B:$B = 12),"""")"),11045.0)</f>
        <v>11045</v>
      </c>
      <c r="AC3">
        <f>IFERROR(__xludf.DUMMYFUNCTION("IFERROR(FILTER('Fund Investment Data'!$D:$D, 'Fund Investment Data'!$C:$C = $A3, 'Fund Investment Data'!$A:$A = AC$1, 'Fund Investment Data'!$B:$B = 12),"""")"),10093.0)</f>
        <v>10093</v>
      </c>
      <c r="AD3">
        <f>IFERROR(__xludf.DUMMYFUNCTION("IFERROR(FILTER('Fund Investment Data'!$D:$D, 'Fund Investment Data'!$C:$C = $A3, 'Fund Investment Data'!$A:$A = AD$1, 'Fund Investment Data'!$B:$B = 12),"""")"),18189.0)</f>
        <v>18189</v>
      </c>
      <c r="AE3">
        <f>IFERROR(__xludf.DUMMYFUNCTION("IFERROR(FILTER('Fund Investment Data'!$D:$D, 'Fund Investment Data'!$C:$C = $A3, 'Fund Investment Data'!$A:$A = AE$1, 'Fund Investment Data'!$B:$B = 12),"""")"),7128.01)</f>
        <v>7128.01</v>
      </c>
    </row>
    <row r="4">
      <c r="A4" s="151" t="str">
        <f>'Endowed Funds'!A:A</f>
        <v>Alden C. Hayes Research Fund</v>
      </c>
      <c r="B4" t="str">
        <f>IFERROR(__xludf.DUMMYFUNCTION("IFERROR(FILTER('Fund Investment Data'!$D:$D, 'Fund Investment Data'!$C:$C = $A4, 'Fund Investment Data'!$A:$A = B$1, 'Fund Investment Data'!$B:$B = 12),"""")"),"")</f>
        <v/>
      </c>
      <c r="C4" t="str">
        <f>IFERROR(__xludf.DUMMYFUNCTION("IFERROR(FILTER('Fund Investment Data'!$D:$D, 'Fund Investment Data'!$C:$C = $A4, 'Fund Investment Data'!$A:$A = C$1, 'Fund Investment Data'!$B:$B = 12),"""")"),"")</f>
        <v/>
      </c>
      <c r="D4" t="str">
        <f>IFERROR(__xludf.DUMMYFUNCTION("IFERROR(FILTER('Fund Investment Data'!$D:$D, 'Fund Investment Data'!$C:$C = $A4, 'Fund Investment Data'!$A:$A = D$1, 'Fund Investment Data'!$B:$B = 12),"""")"),"")</f>
        <v/>
      </c>
      <c r="E4" t="str">
        <f>IFERROR(__xludf.DUMMYFUNCTION("IFERROR(FILTER('Fund Investment Data'!$D:$D, 'Fund Investment Data'!$C:$C = $A4, 'Fund Investment Data'!$A:$A = E$1, 'Fund Investment Data'!$B:$B = 12),"""")"),"")</f>
        <v/>
      </c>
      <c r="F4" t="str">
        <f>IFERROR(__xludf.DUMMYFUNCTION("IFERROR(FILTER('Fund Investment Data'!$D:$D, 'Fund Investment Data'!$C:$C = $A4, 'Fund Investment Data'!$A:$A = F$1, 'Fund Investment Data'!$B:$B = 12),"""")"),"")</f>
        <v/>
      </c>
      <c r="G4" t="str">
        <f>IFERROR(__xludf.DUMMYFUNCTION("IFERROR(FILTER('Fund Investment Data'!$D:$D, 'Fund Investment Data'!$C:$C = $A4, 'Fund Investment Data'!$A:$A = G$1, 'Fund Investment Data'!$B:$B = 12),"""")"),"")</f>
        <v/>
      </c>
      <c r="H4">
        <f>IFERROR(__xludf.DUMMYFUNCTION("IFERROR(FILTER('Fund Investment Data'!$D:$D, 'Fund Investment Data'!$C:$C = $A4, 'Fund Investment Data'!$A:$A = H$1, 'Fund Investment Data'!$B:$B = 12),"""")"),80299.0)</f>
        <v>80299</v>
      </c>
      <c r="I4" t="str">
        <f>IFERROR(__xludf.DUMMYFUNCTION("IFERROR(FILTER('Fund Investment Data'!$D:$D, 'Fund Investment Data'!$C:$C = $A4, 'Fund Investment Data'!$A:$A = I$1, 'Fund Investment Data'!$B:$B = 12),"""")"),"")</f>
        <v/>
      </c>
      <c r="J4">
        <f>IFERROR(__xludf.DUMMYFUNCTION("IFERROR(FILTER('Fund Investment Data'!$D:$D, 'Fund Investment Data'!$C:$C = $A4, 'Fund Investment Data'!$A:$A = J$1, 'Fund Investment Data'!$B:$B = 12),"""")"),22714.87)</f>
        <v>22714.87</v>
      </c>
      <c r="K4">
        <f>IFERROR(__xludf.DUMMYFUNCTION("IFERROR(FILTER('Fund Investment Data'!$D:$D, 'Fund Investment Data'!$C:$C = $A4, 'Fund Investment Data'!$A:$A = K$1, 'Fund Investment Data'!$B:$B = 12),"""")"),8100.0)</f>
        <v>8100</v>
      </c>
      <c r="L4">
        <f>IFERROR(__xludf.DUMMYFUNCTION("IFERROR(FILTER('Fund Investment Data'!$D:$D, 'Fund Investment Data'!$C:$C = $A4, 'Fund Investment Data'!$A:$A = L$1, 'Fund Investment Data'!$B:$B = 12),"""")"),20617.0)</f>
        <v>20617</v>
      </c>
      <c r="M4">
        <f>IFERROR(__xludf.DUMMYFUNCTION("IFERROR(FILTER('Fund Investment Data'!$D:$D, 'Fund Investment Data'!$C:$C = $A4, 'Fund Investment Data'!$A:$A = M$1, 'Fund Investment Data'!$B:$B = 12),"""")"),21805.53)</f>
        <v>21805.53</v>
      </c>
      <c r="N4">
        <f>IFERROR(__xludf.DUMMYFUNCTION("IFERROR(FILTER('Fund Investment Data'!$D:$D, 'Fund Investment Data'!$C:$C = $A4, 'Fund Investment Data'!$A:$A = N$1, 'Fund Investment Data'!$B:$B = 12),"""")"),16477.55)</f>
        <v>16477.55</v>
      </c>
      <c r="O4">
        <f>IFERROR(__xludf.DUMMYFUNCTION("IFERROR(FILTER('Fund Investment Data'!$D:$D, 'Fund Investment Data'!$C:$C = $A4, 'Fund Investment Data'!$A:$A = O$1, 'Fund Investment Data'!$B:$B = 12),"""")"),3000.0)</f>
        <v>3000</v>
      </c>
      <c r="P4">
        <f>IFERROR(__xludf.DUMMYFUNCTION("IFERROR(FILTER('Fund Investment Data'!$D:$D, 'Fund Investment Data'!$C:$C = $A4, 'Fund Investment Data'!$A:$A = P$1, 'Fund Investment Data'!$B:$B = 12),"""")"),9114.66)</f>
        <v>9114.66</v>
      </c>
      <c r="Q4">
        <f>IFERROR(__xludf.DUMMYFUNCTION("IFERROR(FILTER('Fund Investment Data'!$D:$D, 'Fund Investment Data'!$C:$C = $A4, 'Fund Investment Data'!$A:$A = Q$1, 'Fund Investment Data'!$B:$B = 12),"""")"),11101.0)</f>
        <v>11101</v>
      </c>
      <c r="R4">
        <f>IFERROR(__xludf.DUMMYFUNCTION("IFERROR(FILTER('Fund Investment Data'!$D:$D, 'Fund Investment Data'!$C:$C = $A4, 'Fund Investment Data'!$A:$A = R$1, 'Fund Investment Data'!$B:$B = 12),"""")"),74893.09)</f>
        <v>74893.09</v>
      </c>
      <c r="S4">
        <f>IFERROR(__xludf.DUMMYFUNCTION("IFERROR(FILTER('Fund Investment Data'!$D:$D, 'Fund Investment Data'!$C:$C = $A4, 'Fund Investment Data'!$A:$A = S$1, 'Fund Investment Data'!$B:$B = 12),"""")"),4842.0)</f>
        <v>4842</v>
      </c>
      <c r="T4">
        <f>IFERROR(__xludf.DUMMYFUNCTION("IFERROR(FILTER('Fund Investment Data'!$D:$D, 'Fund Investment Data'!$C:$C = $A4, 'Fund Investment Data'!$A:$A = T$1, 'Fund Investment Data'!$B:$B = 12),"""")"),999.0)</f>
        <v>999</v>
      </c>
      <c r="U4">
        <f>IFERROR(__xludf.DUMMYFUNCTION("IFERROR(FILTER('Fund Investment Data'!$D:$D, 'Fund Investment Data'!$C:$C = $A4, 'Fund Investment Data'!$A:$A = U$1, 'Fund Investment Data'!$B:$B = 12),"""")"),1000.0)</f>
        <v>1000</v>
      </c>
      <c r="V4">
        <f>IFERROR(__xludf.DUMMYFUNCTION("IFERROR(FILTER('Fund Investment Data'!$D:$D, 'Fund Investment Data'!$C:$C = $A4, 'Fund Investment Data'!$A:$A = V$1, 'Fund Investment Data'!$B:$B = 12),"""")"),750.0)</f>
        <v>750</v>
      </c>
      <c r="W4">
        <f>IFERROR(__xludf.DUMMYFUNCTION("IFERROR(FILTER('Fund Investment Data'!$D:$D, 'Fund Investment Data'!$C:$C = $A4, 'Fund Investment Data'!$A:$A = W$1, 'Fund Investment Data'!$B:$B = 12),"""")"),250.0)</f>
        <v>250</v>
      </c>
      <c r="X4">
        <f>IFERROR(__xludf.DUMMYFUNCTION("IFERROR(FILTER('Fund Investment Data'!$D:$D, 'Fund Investment Data'!$C:$C = $A4, 'Fund Investment Data'!$A:$A = X$1, 'Fund Investment Data'!$B:$B = 12),"""")"),250.0)</f>
        <v>250</v>
      </c>
      <c r="Y4" t="str">
        <f>IFERROR(__xludf.DUMMYFUNCTION("IFERROR(FILTER('Fund Investment Data'!$D:$D, 'Fund Investment Data'!$C:$C = $A4, 'Fund Investment Data'!$A:$A = Y$1, 'Fund Investment Data'!$B:$B = 12),"""")"),"")</f>
        <v/>
      </c>
      <c r="Z4" t="str">
        <f>IFERROR(__xludf.DUMMYFUNCTION("IFERROR(FILTER('Fund Investment Data'!$D:$D, 'Fund Investment Data'!$C:$C = $A4, 'Fund Investment Data'!$A:$A = Z$1, 'Fund Investment Data'!$B:$B = 12),"""")"),"")</f>
        <v/>
      </c>
      <c r="AA4" t="str">
        <f>IFERROR(__xludf.DUMMYFUNCTION("IFERROR(FILTER('Fund Investment Data'!$D:$D, 'Fund Investment Data'!$C:$C = $A4, 'Fund Investment Data'!$A:$A = AA$1, 'Fund Investment Data'!$B:$B = 12),"""")"),"")</f>
        <v/>
      </c>
      <c r="AB4" t="str">
        <f>IFERROR(__xludf.DUMMYFUNCTION("IFERROR(FILTER('Fund Investment Data'!$D:$D, 'Fund Investment Data'!$C:$C = $A4, 'Fund Investment Data'!$A:$A = AB$1, 'Fund Investment Data'!$B:$B = 12),"""")"),"")</f>
        <v/>
      </c>
      <c r="AC4" t="str">
        <f>IFERROR(__xludf.DUMMYFUNCTION("IFERROR(FILTER('Fund Investment Data'!$D:$D, 'Fund Investment Data'!$C:$C = $A4, 'Fund Investment Data'!$A:$A = AC$1, 'Fund Investment Data'!$B:$B = 12),"""")"),"")</f>
        <v/>
      </c>
      <c r="AD4" t="str">
        <f>IFERROR(__xludf.DUMMYFUNCTION("IFERROR(FILTER('Fund Investment Data'!$D:$D, 'Fund Investment Data'!$C:$C = $A4, 'Fund Investment Data'!$A:$A = AD$1, 'Fund Investment Data'!$B:$B = 12),"""")"),"")</f>
        <v/>
      </c>
      <c r="AE4">
        <f>IFERROR(__xludf.DUMMYFUNCTION("IFERROR(FILTER('Fund Investment Data'!$D:$D, 'Fund Investment Data'!$C:$C = $A4, 'Fund Investment Data'!$A:$A = AE$1, 'Fund Investment Data'!$B:$B = 12),"""")"),0.0)</f>
        <v>0</v>
      </c>
    </row>
    <row r="5">
      <c r="A5" s="151" t="str">
        <f>'Endowed Funds'!A:A</f>
        <v>C. Paul Johnson Family Fund</v>
      </c>
      <c r="B5" t="str">
        <f>IFERROR(__xludf.DUMMYFUNCTION("IFERROR(FILTER('Fund Investment Data'!$D:$D, 'Fund Investment Data'!$C:$C = $A5, 'Fund Investment Data'!$A:$A = B$1, 'Fund Investment Data'!$B:$B = 12),"""")"),"")</f>
        <v/>
      </c>
      <c r="C5" t="str">
        <f>IFERROR(__xludf.DUMMYFUNCTION("IFERROR(FILTER('Fund Investment Data'!$D:$D, 'Fund Investment Data'!$C:$C = $A5, 'Fund Investment Data'!$A:$A = C$1, 'Fund Investment Data'!$B:$B = 12),"""")"),"")</f>
        <v/>
      </c>
      <c r="D5" t="str">
        <f>IFERROR(__xludf.DUMMYFUNCTION("IFERROR(FILTER('Fund Investment Data'!$D:$D, 'Fund Investment Data'!$C:$C = $A5, 'Fund Investment Data'!$A:$A = D$1, 'Fund Investment Data'!$B:$B = 12),"""")"),"")</f>
        <v/>
      </c>
      <c r="E5" t="str">
        <f>IFERROR(__xludf.DUMMYFUNCTION("IFERROR(FILTER('Fund Investment Data'!$D:$D, 'Fund Investment Data'!$C:$C = $A5, 'Fund Investment Data'!$A:$A = E$1, 'Fund Investment Data'!$B:$B = 12),"""")"),"")</f>
        <v/>
      </c>
      <c r="F5" t="str">
        <f>IFERROR(__xludf.DUMMYFUNCTION("IFERROR(FILTER('Fund Investment Data'!$D:$D, 'Fund Investment Data'!$C:$C = $A5, 'Fund Investment Data'!$A:$A = F$1, 'Fund Investment Data'!$B:$B = 12),"""")"),"")</f>
        <v/>
      </c>
      <c r="G5" t="str">
        <f>IFERROR(__xludf.DUMMYFUNCTION("IFERROR(FILTER('Fund Investment Data'!$D:$D, 'Fund Investment Data'!$C:$C = $A5, 'Fund Investment Data'!$A:$A = G$1, 'Fund Investment Data'!$B:$B = 12),"""")"),"")</f>
        <v/>
      </c>
      <c r="H5" t="str">
        <f>IFERROR(__xludf.DUMMYFUNCTION("IFERROR(FILTER('Fund Investment Data'!$D:$D, 'Fund Investment Data'!$C:$C = $A5, 'Fund Investment Data'!$A:$A = H$1, 'Fund Investment Data'!$B:$B = 12),"""")"),"")</f>
        <v/>
      </c>
      <c r="I5" t="str">
        <f>IFERROR(__xludf.DUMMYFUNCTION("IFERROR(FILTER('Fund Investment Data'!$D:$D, 'Fund Investment Data'!$C:$C = $A5, 'Fund Investment Data'!$A:$A = I$1, 'Fund Investment Data'!$B:$B = 12),"""")"),"")</f>
        <v/>
      </c>
      <c r="J5" t="str">
        <f>IFERROR(__xludf.DUMMYFUNCTION("IFERROR(FILTER('Fund Investment Data'!$D:$D, 'Fund Investment Data'!$C:$C = $A5, 'Fund Investment Data'!$A:$A = J$1, 'Fund Investment Data'!$B:$B = 12),"""")"),"")</f>
        <v/>
      </c>
      <c r="K5" t="str">
        <f>IFERROR(__xludf.DUMMYFUNCTION("IFERROR(FILTER('Fund Investment Data'!$D:$D, 'Fund Investment Data'!$C:$C = $A5, 'Fund Investment Data'!$A:$A = K$1, 'Fund Investment Data'!$B:$B = 12),"""")"),"")</f>
        <v/>
      </c>
      <c r="L5">
        <f>IFERROR(__xludf.DUMMYFUNCTION("IFERROR(FILTER('Fund Investment Data'!$D:$D, 'Fund Investment Data'!$C:$C = $A5, 'Fund Investment Data'!$A:$A = L$1, 'Fund Investment Data'!$B:$B = 12),"""")"),174527.73)</f>
        <v>174527.73</v>
      </c>
      <c r="M5">
        <f>IFERROR(__xludf.DUMMYFUNCTION("IFERROR(FILTER('Fund Investment Data'!$D:$D, 'Fund Investment Data'!$C:$C = $A5, 'Fund Investment Data'!$A:$A = M$1, 'Fund Investment Data'!$B:$B = 12),"""")"),181319.5)</f>
        <v>181319.5</v>
      </c>
      <c r="N5">
        <f>IFERROR(__xludf.DUMMYFUNCTION("IFERROR(FILTER('Fund Investment Data'!$D:$D, 'Fund Investment Data'!$C:$C = $A5, 'Fund Investment Data'!$A:$A = N$1, 'Fund Investment Data'!$B:$B = 12),"""")"),300046.84)</f>
        <v>300046.84</v>
      </c>
      <c r="O5">
        <f>IFERROR(__xludf.DUMMYFUNCTION("IFERROR(FILTER('Fund Investment Data'!$D:$D, 'Fund Investment Data'!$C:$C = $A5, 'Fund Investment Data'!$A:$A = O$1, 'Fund Investment Data'!$B:$B = 12),"""")"),296089.0)</f>
        <v>296089</v>
      </c>
      <c r="P5">
        <f>IFERROR(__xludf.DUMMYFUNCTION("IFERROR(FILTER('Fund Investment Data'!$D:$D, 'Fund Investment Data'!$C:$C = $A5, 'Fund Investment Data'!$A:$A = P$1, 'Fund Investment Data'!$B:$B = 12),"""")"),509358.07)</f>
        <v>509358.07</v>
      </c>
      <c r="Q5" t="str">
        <f>IFERROR(__xludf.DUMMYFUNCTION("IFERROR(FILTER('Fund Investment Data'!$D:$D, 'Fund Investment Data'!$C:$C = $A5, 'Fund Investment Data'!$A:$A = Q$1, 'Fund Investment Data'!$B:$B = 12),"""")"),"")</f>
        <v/>
      </c>
      <c r="R5">
        <f>IFERROR(__xludf.DUMMYFUNCTION("IFERROR(FILTER('Fund Investment Data'!$D:$D, 'Fund Investment Data'!$C:$C = $A5, 'Fund Investment Data'!$A:$A = R$1, 'Fund Investment Data'!$B:$B = 12),"""")"),744697.59)</f>
        <v>744697.59</v>
      </c>
      <c r="S5">
        <f>IFERROR(__xludf.DUMMYFUNCTION("IFERROR(FILTER('Fund Investment Data'!$D:$D, 'Fund Investment Data'!$C:$C = $A5, 'Fund Investment Data'!$A:$A = S$1, 'Fund Investment Data'!$B:$B = 12),"""")"),451052.52)</f>
        <v>451052.52</v>
      </c>
      <c r="T5">
        <f>IFERROR(__xludf.DUMMYFUNCTION("IFERROR(FILTER('Fund Investment Data'!$D:$D, 'Fund Investment Data'!$C:$C = $A5, 'Fund Investment Data'!$A:$A = T$1, 'Fund Investment Data'!$B:$B = 12),"""")"),303000.0)</f>
        <v>303000</v>
      </c>
      <c r="U5" t="str">
        <f>IFERROR(__xludf.DUMMYFUNCTION("IFERROR(FILTER('Fund Investment Data'!$D:$D, 'Fund Investment Data'!$C:$C = $A5, 'Fund Investment Data'!$A:$A = U$1, 'Fund Investment Data'!$B:$B = 12),"""")"),"")</f>
        <v/>
      </c>
      <c r="V5" t="str">
        <f>IFERROR(__xludf.DUMMYFUNCTION("IFERROR(FILTER('Fund Investment Data'!$D:$D, 'Fund Investment Data'!$C:$C = $A5, 'Fund Investment Data'!$A:$A = V$1, 'Fund Investment Data'!$B:$B = 12),"""")"),"")</f>
        <v/>
      </c>
      <c r="W5" t="str">
        <f>IFERROR(__xludf.DUMMYFUNCTION("IFERROR(FILTER('Fund Investment Data'!$D:$D, 'Fund Investment Data'!$C:$C = $A5, 'Fund Investment Data'!$A:$A = W$1, 'Fund Investment Data'!$B:$B = 12),"""")"),"")</f>
        <v/>
      </c>
      <c r="X5" t="str">
        <f>IFERROR(__xludf.DUMMYFUNCTION("IFERROR(FILTER('Fund Investment Data'!$D:$D, 'Fund Investment Data'!$C:$C = $A5, 'Fund Investment Data'!$A:$A = X$1, 'Fund Investment Data'!$B:$B = 12),"""")"),"")</f>
        <v/>
      </c>
      <c r="Y5" t="str">
        <f>IFERROR(__xludf.DUMMYFUNCTION("IFERROR(FILTER('Fund Investment Data'!$D:$D, 'Fund Investment Data'!$C:$C = $A5, 'Fund Investment Data'!$A:$A = Y$1, 'Fund Investment Data'!$B:$B = 12),"""")"),"")</f>
        <v/>
      </c>
      <c r="Z5" t="str">
        <f>IFERROR(__xludf.DUMMYFUNCTION("IFERROR(FILTER('Fund Investment Data'!$D:$D, 'Fund Investment Data'!$C:$C = $A5, 'Fund Investment Data'!$A:$A = Z$1, 'Fund Investment Data'!$B:$B = 12),"""")"),"")</f>
        <v/>
      </c>
      <c r="AA5" t="str">
        <f>IFERROR(__xludf.DUMMYFUNCTION("IFERROR(FILTER('Fund Investment Data'!$D:$D, 'Fund Investment Data'!$C:$C = $A5, 'Fund Investment Data'!$A:$A = AA$1, 'Fund Investment Data'!$B:$B = 12),"""")"),"")</f>
        <v/>
      </c>
      <c r="AB5" t="str">
        <f>IFERROR(__xludf.DUMMYFUNCTION("IFERROR(FILTER('Fund Investment Data'!$D:$D, 'Fund Investment Data'!$C:$C = $A5, 'Fund Investment Data'!$A:$A = AB$1, 'Fund Investment Data'!$B:$B = 12),"""")"),"")</f>
        <v/>
      </c>
      <c r="AC5" t="str">
        <f>IFERROR(__xludf.DUMMYFUNCTION("IFERROR(FILTER('Fund Investment Data'!$D:$D, 'Fund Investment Data'!$C:$C = $A5, 'Fund Investment Data'!$A:$A = AC$1, 'Fund Investment Data'!$B:$B = 12),"""")"),"")</f>
        <v/>
      </c>
      <c r="AD5" t="str">
        <f>IFERROR(__xludf.DUMMYFUNCTION("IFERROR(FILTER('Fund Investment Data'!$D:$D, 'Fund Investment Data'!$C:$C = $A5, 'Fund Investment Data'!$A:$A = AD$1, 'Fund Investment Data'!$B:$B = 12),"""")"),"")</f>
        <v/>
      </c>
      <c r="AE5">
        <f>IFERROR(__xludf.DUMMYFUNCTION("IFERROR(FILTER('Fund Investment Data'!$D:$D, 'Fund Investment Data'!$C:$C = $A5, 'Fund Investment Data'!$A:$A = AE$1, 'Fund Investment Data'!$B:$B = 12),"""")"),0.0)</f>
        <v>0</v>
      </c>
    </row>
    <row r="6">
      <c r="A6" s="151" t="str">
        <f>'Endowed Funds'!A:A</f>
        <v>Flora W. Minium Memorial Fund</v>
      </c>
      <c r="B6" t="str">
        <f>IFERROR(__xludf.DUMMYFUNCTION("IFERROR(FILTER('Fund Investment Data'!$D:$D, 'Fund Investment Data'!$C:$C = $A6, 'Fund Investment Data'!$A:$A = B$1, 'Fund Investment Data'!$B:$B = 12),"""")"),"")</f>
        <v/>
      </c>
      <c r="C6" t="str">
        <f>IFERROR(__xludf.DUMMYFUNCTION("IFERROR(FILTER('Fund Investment Data'!$D:$D, 'Fund Investment Data'!$C:$C = $A6, 'Fund Investment Data'!$A:$A = C$1, 'Fund Investment Data'!$B:$B = 12),"""")"),"")</f>
        <v/>
      </c>
      <c r="D6" t="str">
        <f>IFERROR(__xludf.DUMMYFUNCTION("IFERROR(FILTER('Fund Investment Data'!$D:$D, 'Fund Investment Data'!$C:$C = $A6, 'Fund Investment Data'!$A:$A = D$1, 'Fund Investment Data'!$B:$B = 12),"""")"),"")</f>
        <v/>
      </c>
      <c r="E6" t="str">
        <f>IFERROR(__xludf.DUMMYFUNCTION("IFERROR(FILTER('Fund Investment Data'!$D:$D, 'Fund Investment Data'!$C:$C = $A6, 'Fund Investment Data'!$A:$A = E$1, 'Fund Investment Data'!$B:$B = 12),"""")"),"")</f>
        <v/>
      </c>
      <c r="F6" t="str">
        <f>IFERROR(__xludf.DUMMYFUNCTION("IFERROR(FILTER('Fund Investment Data'!$D:$D, 'Fund Investment Data'!$C:$C = $A6, 'Fund Investment Data'!$A:$A = F$1, 'Fund Investment Data'!$B:$B = 12),"""")"),"")</f>
        <v/>
      </c>
      <c r="G6" t="str">
        <f>IFERROR(__xludf.DUMMYFUNCTION("IFERROR(FILTER('Fund Investment Data'!$D:$D, 'Fund Investment Data'!$C:$C = $A6, 'Fund Investment Data'!$A:$A = G$1, 'Fund Investment Data'!$B:$B = 12),"""")"),"")</f>
        <v/>
      </c>
      <c r="H6" t="str">
        <f>IFERROR(__xludf.DUMMYFUNCTION("IFERROR(FILTER('Fund Investment Data'!$D:$D, 'Fund Investment Data'!$C:$C = $A6, 'Fund Investment Data'!$A:$A = H$1, 'Fund Investment Data'!$B:$B = 12),"""")"),"")</f>
        <v/>
      </c>
      <c r="I6" t="str">
        <f>IFERROR(__xludf.DUMMYFUNCTION("IFERROR(FILTER('Fund Investment Data'!$D:$D, 'Fund Investment Data'!$C:$C = $A6, 'Fund Investment Data'!$A:$A = I$1, 'Fund Investment Data'!$B:$B = 12),"""")"),"")</f>
        <v/>
      </c>
      <c r="J6">
        <f>IFERROR(__xludf.DUMMYFUNCTION("IFERROR(FILTER('Fund Investment Data'!$D:$D, 'Fund Investment Data'!$C:$C = $A6, 'Fund Investment Data'!$A:$A = J$1, 'Fund Investment Data'!$B:$B = 12),"""")"),50000.0)</f>
        <v>50000</v>
      </c>
      <c r="K6" t="str">
        <f>IFERROR(__xludf.DUMMYFUNCTION("IFERROR(FILTER('Fund Investment Data'!$D:$D, 'Fund Investment Data'!$C:$C = $A6, 'Fund Investment Data'!$A:$A = K$1, 'Fund Investment Data'!$B:$B = 12),"""")"),"")</f>
        <v/>
      </c>
      <c r="L6" t="str">
        <f>IFERROR(__xludf.DUMMYFUNCTION("IFERROR(FILTER('Fund Investment Data'!$D:$D, 'Fund Investment Data'!$C:$C = $A6, 'Fund Investment Data'!$A:$A = L$1, 'Fund Investment Data'!$B:$B = 12),"""")"),"")</f>
        <v/>
      </c>
      <c r="M6" t="str">
        <f>IFERROR(__xludf.DUMMYFUNCTION("IFERROR(FILTER('Fund Investment Data'!$D:$D, 'Fund Investment Data'!$C:$C = $A6, 'Fund Investment Data'!$A:$A = M$1, 'Fund Investment Data'!$B:$B = 12),"""")"),"")</f>
        <v/>
      </c>
      <c r="N6" t="str">
        <f>IFERROR(__xludf.DUMMYFUNCTION("IFERROR(FILTER('Fund Investment Data'!$D:$D, 'Fund Investment Data'!$C:$C = $A6, 'Fund Investment Data'!$A:$A = N$1, 'Fund Investment Data'!$B:$B = 12),"""")"),"")</f>
        <v/>
      </c>
      <c r="O6" t="str">
        <f>IFERROR(__xludf.DUMMYFUNCTION("IFERROR(FILTER('Fund Investment Data'!$D:$D, 'Fund Investment Data'!$C:$C = $A6, 'Fund Investment Data'!$A:$A = O$1, 'Fund Investment Data'!$B:$B = 12),"""")"),"")</f>
        <v/>
      </c>
      <c r="P6" t="str">
        <f>IFERROR(__xludf.DUMMYFUNCTION("IFERROR(FILTER('Fund Investment Data'!$D:$D, 'Fund Investment Data'!$C:$C = $A6, 'Fund Investment Data'!$A:$A = P$1, 'Fund Investment Data'!$B:$B = 12),"""")"),"")</f>
        <v/>
      </c>
      <c r="Q6" t="str">
        <f>IFERROR(__xludf.DUMMYFUNCTION("IFERROR(FILTER('Fund Investment Data'!$D:$D, 'Fund Investment Data'!$C:$C = $A6, 'Fund Investment Data'!$A:$A = Q$1, 'Fund Investment Data'!$B:$B = 12),"""")"),"")</f>
        <v/>
      </c>
      <c r="R6" t="str">
        <f>IFERROR(__xludf.DUMMYFUNCTION("IFERROR(FILTER('Fund Investment Data'!$D:$D, 'Fund Investment Data'!$C:$C = $A6, 'Fund Investment Data'!$A:$A = R$1, 'Fund Investment Data'!$B:$B = 12),"""")"),"")</f>
        <v/>
      </c>
      <c r="S6" t="str">
        <f>IFERROR(__xludf.DUMMYFUNCTION("IFERROR(FILTER('Fund Investment Data'!$D:$D, 'Fund Investment Data'!$C:$C = $A6, 'Fund Investment Data'!$A:$A = S$1, 'Fund Investment Data'!$B:$B = 12),"""")"),"")</f>
        <v/>
      </c>
      <c r="T6" t="str">
        <f>IFERROR(__xludf.DUMMYFUNCTION("IFERROR(FILTER('Fund Investment Data'!$D:$D, 'Fund Investment Data'!$C:$C = $A6, 'Fund Investment Data'!$A:$A = T$1, 'Fund Investment Data'!$B:$B = 12),"""")"),"")</f>
        <v/>
      </c>
      <c r="U6" t="str">
        <f>IFERROR(__xludf.DUMMYFUNCTION("IFERROR(FILTER('Fund Investment Data'!$D:$D, 'Fund Investment Data'!$C:$C = $A6, 'Fund Investment Data'!$A:$A = U$1, 'Fund Investment Data'!$B:$B = 12),"""")"),"")</f>
        <v/>
      </c>
      <c r="V6" t="str">
        <f>IFERROR(__xludf.DUMMYFUNCTION("IFERROR(FILTER('Fund Investment Data'!$D:$D, 'Fund Investment Data'!$C:$C = $A6, 'Fund Investment Data'!$A:$A = V$1, 'Fund Investment Data'!$B:$B = 12),"""")"),"")</f>
        <v/>
      </c>
      <c r="W6" t="str">
        <f>IFERROR(__xludf.DUMMYFUNCTION("IFERROR(FILTER('Fund Investment Data'!$D:$D, 'Fund Investment Data'!$C:$C = $A6, 'Fund Investment Data'!$A:$A = W$1, 'Fund Investment Data'!$B:$B = 12),"""")"),"")</f>
        <v/>
      </c>
      <c r="X6" t="str">
        <f>IFERROR(__xludf.DUMMYFUNCTION("IFERROR(FILTER('Fund Investment Data'!$D:$D, 'Fund Investment Data'!$C:$C = $A6, 'Fund Investment Data'!$A:$A = X$1, 'Fund Investment Data'!$B:$B = 12),"""")"),"")</f>
        <v/>
      </c>
      <c r="Y6" t="str">
        <f>IFERROR(__xludf.DUMMYFUNCTION("IFERROR(FILTER('Fund Investment Data'!$D:$D, 'Fund Investment Data'!$C:$C = $A6, 'Fund Investment Data'!$A:$A = Y$1, 'Fund Investment Data'!$B:$B = 12),"""")"),"")</f>
        <v/>
      </c>
      <c r="Z6" t="str">
        <f>IFERROR(__xludf.DUMMYFUNCTION("IFERROR(FILTER('Fund Investment Data'!$D:$D, 'Fund Investment Data'!$C:$C = $A6, 'Fund Investment Data'!$A:$A = Z$1, 'Fund Investment Data'!$B:$B = 12),"""")"),"")</f>
        <v/>
      </c>
      <c r="AA6" t="str">
        <f>IFERROR(__xludf.DUMMYFUNCTION("IFERROR(FILTER('Fund Investment Data'!$D:$D, 'Fund Investment Data'!$C:$C = $A6, 'Fund Investment Data'!$A:$A = AA$1, 'Fund Investment Data'!$B:$B = 12),"""")"),"")</f>
        <v/>
      </c>
      <c r="AB6" t="str">
        <f>IFERROR(__xludf.DUMMYFUNCTION("IFERROR(FILTER('Fund Investment Data'!$D:$D, 'Fund Investment Data'!$C:$C = $A6, 'Fund Investment Data'!$A:$A = AB$1, 'Fund Investment Data'!$B:$B = 12),"""")"),"")</f>
        <v/>
      </c>
      <c r="AC6" t="str">
        <f>IFERROR(__xludf.DUMMYFUNCTION("IFERROR(FILTER('Fund Investment Data'!$D:$D, 'Fund Investment Data'!$C:$C = $A6, 'Fund Investment Data'!$A:$A = AC$1, 'Fund Investment Data'!$B:$B = 12),"""")"),"")</f>
        <v/>
      </c>
      <c r="AD6" t="str">
        <f>IFERROR(__xludf.DUMMYFUNCTION("IFERROR(FILTER('Fund Investment Data'!$D:$D, 'Fund Investment Data'!$C:$C = $A6, 'Fund Investment Data'!$A:$A = AD$1, 'Fund Investment Data'!$B:$B = 12),"""")"),"")</f>
        <v/>
      </c>
      <c r="AE6">
        <f>IFERROR(__xludf.DUMMYFUNCTION("IFERROR(FILTER('Fund Investment Data'!$D:$D, 'Fund Investment Data'!$C:$C = $A6, 'Fund Investment Data'!$A:$A = AE$1, 'Fund Investment Data'!$B:$B = 12),"""")"),0.0)</f>
        <v>0</v>
      </c>
    </row>
    <row r="7">
      <c r="A7" s="151" t="str">
        <f>'Endowed Funds'!A:A</f>
        <v>Fred G. Myers Research Fellowship</v>
      </c>
      <c r="B7" t="str">
        <f>IFERROR(__xludf.DUMMYFUNCTION("IFERROR(FILTER('Fund Investment Data'!$D:$D, 'Fund Investment Data'!$C:$C = $A7, 'Fund Investment Data'!$A:$A = B$1, 'Fund Investment Data'!$B:$B = 12),"""")"),"")</f>
        <v/>
      </c>
      <c r="C7" t="str">
        <f>IFERROR(__xludf.DUMMYFUNCTION("IFERROR(FILTER('Fund Investment Data'!$D:$D, 'Fund Investment Data'!$C:$C = $A7, 'Fund Investment Data'!$A:$A = C$1, 'Fund Investment Data'!$B:$B = 12),"""")"),"")</f>
        <v/>
      </c>
      <c r="D7" t="str">
        <f>IFERROR(__xludf.DUMMYFUNCTION("IFERROR(FILTER('Fund Investment Data'!$D:$D, 'Fund Investment Data'!$C:$C = $A7, 'Fund Investment Data'!$A:$A = D$1, 'Fund Investment Data'!$B:$B = 12),"""")"),"")</f>
        <v/>
      </c>
      <c r="E7" t="str">
        <f>IFERROR(__xludf.DUMMYFUNCTION("IFERROR(FILTER('Fund Investment Data'!$D:$D, 'Fund Investment Data'!$C:$C = $A7, 'Fund Investment Data'!$A:$A = E$1, 'Fund Investment Data'!$B:$B = 12),"""")"),"")</f>
        <v/>
      </c>
      <c r="F7" t="str">
        <f>IFERROR(__xludf.DUMMYFUNCTION("IFERROR(FILTER('Fund Investment Data'!$D:$D, 'Fund Investment Data'!$C:$C = $A7, 'Fund Investment Data'!$A:$A = F$1, 'Fund Investment Data'!$B:$B = 12),"""")"),"")</f>
        <v/>
      </c>
      <c r="G7" t="str">
        <f>IFERROR(__xludf.DUMMYFUNCTION("IFERROR(FILTER('Fund Investment Data'!$D:$D, 'Fund Investment Data'!$C:$C = $A7, 'Fund Investment Data'!$A:$A = G$1, 'Fund Investment Data'!$B:$B = 12),"""")"),"")</f>
        <v/>
      </c>
      <c r="H7">
        <f>IFERROR(__xludf.DUMMYFUNCTION("IFERROR(FILTER('Fund Investment Data'!$D:$D, 'Fund Investment Data'!$C:$C = $A7, 'Fund Investment Data'!$A:$A = H$1, 'Fund Investment Data'!$B:$B = 12),"""")"),11540.75)</f>
        <v>11540.75</v>
      </c>
      <c r="I7" t="str">
        <f>IFERROR(__xludf.DUMMYFUNCTION("IFERROR(FILTER('Fund Investment Data'!$D:$D, 'Fund Investment Data'!$C:$C = $A7, 'Fund Investment Data'!$A:$A = I$1, 'Fund Investment Data'!$B:$B = 12),"""")"),"")</f>
        <v/>
      </c>
      <c r="J7" t="str">
        <f>IFERROR(__xludf.DUMMYFUNCTION("IFERROR(FILTER('Fund Investment Data'!$D:$D, 'Fund Investment Data'!$C:$C = $A7, 'Fund Investment Data'!$A:$A = J$1, 'Fund Investment Data'!$B:$B = 12),"""")"),"")</f>
        <v/>
      </c>
      <c r="K7" t="str">
        <f>IFERROR(__xludf.DUMMYFUNCTION("IFERROR(FILTER('Fund Investment Data'!$D:$D, 'Fund Investment Data'!$C:$C = $A7, 'Fund Investment Data'!$A:$A = K$1, 'Fund Investment Data'!$B:$B = 12),"""")"),"")</f>
        <v/>
      </c>
      <c r="L7" t="str">
        <f>IFERROR(__xludf.DUMMYFUNCTION("IFERROR(FILTER('Fund Investment Data'!$D:$D, 'Fund Investment Data'!$C:$C = $A7, 'Fund Investment Data'!$A:$A = L$1, 'Fund Investment Data'!$B:$B = 12),"""")"),"")</f>
        <v/>
      </c>
      <c r="M7" t="str">
        <f>IFERROR(__xludf.DUMMYFUNCTION("IFERROR(FILTER('Fund Investment Data'!$D:$D, 'Fund Investment Data'!$C:$C = $A7, 'Fund Investment Data'!$A:$A = M$1, 'Fund Investment Data'!$B:$B = 12),"""")"),"")</f>
        <v/>
      </c>
      <c r="N7" t="str">
        <f>IFERROR(__xludf.DUMMYFUNCTION("IFERROR(FILTER('Fund Investment Data'!$D:$D, 'Fund Investment Data'!$C:$C = $A7, 'Fund Investment Data'!$A:$A = N$1, 'Fund Investment Data'!$B:$B = 12),"""")"),"")</f>
        <v/>
      </c>
      <c r="O7" t="str">
        <f>IFERROR(__xludf.DUMMYFUNCTION("IFERROR(FILTER('Fund Investment Data'!$D:$D, 'Fund Investment Data'!$C:$C = $A7, 'Fund Investment Data'!$A:$A = O$1, 'Fund Investment Data'!$B:$B = 12),"""")"),"")</f>
        <v/>
      </c>
      <c r="P7" t="str">
        <f>IFERROR(__xludf.DUMMYFUNCTION("IFERROR(FILTER('Fund Investment Data'!$D:$D, 'Fund Investment Data'!$C:$C = $A7, 'Fund Investment Data'!$A:$A = P$1, 'Fund Investment Data'!$B:$B = 12),"""")"),"")</f>
        <v/>
      </c>
      <c r="Q7" t="str">
        <f>IFERROR(__xludf.DUMMYFUNCTION("IFERROR(FILTER('Fund Investment Data'!$D:$D, 'Fund Investment Data'!$C:$C = $A7, 'Fund Investment Data'!$A:$A = Q$1, 'Fund Investment Data'!$B:$B = 12),"""")"),"")</f>
        <v/>
      </c>
      <c r="R7" t="str">
        <f>IFERROR(__xludf.DUMMYFUNCTION("IFERROR(FILTER('Fund Investment Data'!$D:$D, 'Fund Investment Data'!$C:$C = $A7, 'Fund Investment Data'!$A:$A = R$1, 'Fund Investment Data'!$B:$B = 12),"""")"),"")</f>
        <v/>
      </c>
      <c r="S7" t="str">
        <f>IFERROR(__xludf.DUMMYFUNCTION("IFERROR(FILTER('Fund Investment Data'!$D:$D, 'Fund Investment Data'!$C:$C = $A7, 'Fund Investment Data'!$A:$A = S$1, 'Fund Investment Data'!$B:$B = 12),"""")"),"")</f>
        <v/>
      </c>
      <c r="T7" t="str">
        <f>IFERROR(__xludf.DUMMYFUNCTION("IFERROR(FILTER('Fund Investment Data'!$D:$D, 'Fund Investment Data'!$C:$C = $A7, 'Fund Investment Data'!$A:$A = T$1, 'Fund Investment Data'!$B:$B = 12),"""")"),"")</f>
        <v/>
      </c>
      <c r="U7" t="str">
        <f>IFERROR(__xludf.DUMMYFUNCTION("IFERROR(FILTER('Fund Investment Data'!$D:$D, 'Fund Investment Data'!$C:$C = $A7, 'Fund Investment Data'!$A:$A = U$1, 'Fund Investment Data'!$B:$B = 12),"""")"),"")</f>
        <v/>
      </c>
      <c r="V7" t="str">
        <f>IFERROR(__xludf.DUMMYFUNCTION("IFERROR(FILTER('Fund Investment Data'!$D:$D, 'Fund Investment Data'!$C:$C = $A7, 'Fund Investment Data'!$A:$A = V$1, 'Fund Investment Data'!$B:$B = 12),"""")"),"")</f>
        <v/>
      </c>
      <c r="W7" t="str">
        <f>IFERROR(__xludf.DUMMYFUNCTION("IFERROR(FILTER('Fund Investment Data'!$D:$D, 'Fund Investment Data'!$C:$C = $A7, 'Fund Investment Data'!$A:$A = W$1, 'Fund Investment Data'!$B:$B = 12),"""")"),"")</f>
        <v/>
      </c>
      <c r="X7" t="str">
        <f>IFERROR(__xludf.DUMMYFUNCTION("IFERROR(FILTER('Fund Investment Data'!$D:$D, 'Fund Investment Data'!$C:$C = $A7, 'Fund Investment Data'!$A:$A = X$1, 'Fund Investment Data'!$B:$B = 12),"""")"),"")</f>
        <v/>
      </c>
      <c r="Y7" t="str">
        <f>IFERROR(__xludf.DUMMYFUNCTION("IFERROR(FILTER('Fund Investment Data'!$D:$D, 'Fund Investment Data'!$C:$C = $A7, 'Fund Investment Data'!$A:$A = Y$1, 'Fund Investment Data'!$B:$B = 12),"""")"),"")</f>
        <v/>
      </c>
      <c r="Z7" t="str">
        <f>IFERROR(__xludf.DUMMYFUNCTION("IFERROR(FILTER('Fund Investment Data'!$D:$D, 'Fund Investment Data'!$C:$C = $A7, 'Fund Investment Data'!$A:$A = Z$1, 'Fund Investment Data'!$B:$B = 12),"""")"),"")</f>
        <v/>
      </c>
      <c r="AA7" t="str">
        <f>IFERROR(__xludf.DUMMYFUNCTION("IFERROR(FILTER('Fund Investment Data'!$D:$D, 'Fund Investment Data'!$C:$C = $A7, 'Fund Investment Data'!$A:$A = AA$1, 'Fund Investment Data'!$B:$B = 12),"""")"),"")</f>
        <v/>
      </c>
      <c r="AB7" t="str">
        <f>IFERROR(__xludf.DUMMYFUNCTION("IFERROR(FILTER('Fund Investment Data'!$D:$D, 'Fund Investment Data'!$C:$C = $A7, 'Fund Investment Data'!$A:$A = AB$1, 'Fund Investment Data'!$B:$B = 12),"""")"),"")</f>
        <v/>
      </c>
      <c r="AC7" t="str">
        <f>IFERROR(__xludf.DUMMYFUNCTION("IFERROR(FILTER('Fund Investment Data'!$D:$D, 'Fund Investment Data'!$C:$C = $A7, 'Fund Investment Data'!$A:$A = AC$1, 'Fund Investment Data'!$B:$B = 12),"""")"),"")</f>
        <v/>
      </c>
      <c r="AD7" t="str">
        <f>IFERROR(__xludf.DUMMYFUNCTION("IFERROR(FILTER('Fund Investment Data'!$D:$D, 'Fund Investment Data'!$C:$C = $A7, 'Fund Investment Data'!$A:$A = AD$1, 'Fund Investment Data'!$B:$B = 12),"""")"),"")</f>
        <v/>
      </c>
      <c r="AE7">
        <f>IFERROR(__xludf.DUMMYFUNCTION("IFERROR(FILTER('Fund Investment Data'!$D:$D, 'Fund Investment Data'!$C:$C = $A7, 'Fund Investment Data'!$A:$A = AE$1, 'Fund Investment Data'!$B:$B = 12),"""")"),0.0)</f>
        <v>0</v>
      </c>
    </row>
    <row r="8">
      <c r="A8" s="151" t="str">
        <f>'Endowed Funds'!A:A</f>
        <v>Gomer W. Walters Research Fund</v>
      </c>
      <c r="B8" t="str">
        <f>IFERROR(__xludf.DUMMYFUNCTION("IFERROR(FILTER('Fund Investment Data'!$D:$D, 'Fund Investment Data'!$C:$C = $A8, 'Fund Investment Data'!$A:$A = B$1, 'Fund Investment Data'!$B:$B = 12),"""")"),"")</f>
        <v/>
      </c>
      <c r="C8" t="str">
        <f>IFERROR(__xludf.DUMMYFUNCTION("IFERROR(FILTER('Fund Investment Data'!$D:$D, 'Fund Investment Data'!$C:$C = $A8, 'Fund Investment Data'!$A:$A = C$1, 'Fund Investment Data'!$B:$B = 12),"""")"),"")</f>
        <v/>
      </c>
      <c r="D8" t="str">
        <f>IFERROR(__xludf.DUMMYFUNCTION("IFERROR(FILTER('Fund Investment Data'!$D:$D, 'Fund Investment Data'!$C:$C = $A8, 'Fund Investment Data'!$A:$A = D$1, 'Fund Investment Data'!$B:$B = 12),"""")"),"")</f>
        <v/>
      </c>
      <c r="E8" t="str">
        <f>IFERROR(__xludf.DUMMYFUNCTION("IFERROR(FILTER('Fund Investment Data'!$D:$D, 'Fund Investment Data'!$C:$C = $A8, 'Fund Investment Data'!$A:$A = E$1, 'Fund Investment Data'!$B:$B = 12),"""")"),"")</f>
        <v/>
      </c>
      <c r="F8" t="str">
        <f>IFERROR(__xludf.DUMMYFUNCTION("IFERROR(FILTER('Fund Investment Data'!$D:$D, 'Fund Investment Data'!$C:$C = $A8, 'Fund Investment Data'!$A:$A = F$1, 'Fund Investment Data'!$B:$B = 12),"""")"),"")</f>
        <v/>
      </c>
      <c r="G8" t="str">
        <f>IFERROR(__xludf.DUMMYFUNCTION("IFERROR(FILTER('Fund Investment Data'!$D:$D, 'Fund Investment Data'!$C:$C = $A8, 'Fund Investment Data'!$A:$A = G$1, 'Fund Investment Data'!$B:$B = 12),"""")"),"")</f>
        <v/>
      </c>
      <c r="H8" t="str">
        <f>IFERROR(__xludf.DUMMYFUNCTION("IFERROR(FILTER('Fund Investment Data'!$D:$D, 'Fund Investment Data'!$C:$C = $A8, 'Fund Investment Data'!$A:$A = H$1, 'Fund Investment Data'!$B:$B = 12),"""")"),"")</f>
        <v/>
      </c>
      <c r="I8" t="str">
        <f>IFERROR(__xludf.DUMMYFUNCTION("IFERROR(FILTER('Fund Investment Data'!$D:$D, 'Fund Investment Data'!$C:$C = $A8, 'Fund Investment Data'!$A:$A = I$1, 'Fund Investment Data'!$B:$B = 12),"""")"),"")</f>
        <v/>
      </c>
      <c r="J8" t="str">
        <f>IFERROR(__xludf.DUMMYFUNCTION("IFERROR(FILTER('Fund Investment Data'!$D:$D, 'Fund Investment Data'!$C:$C = $A8, 'Fund Investment Data'!$A:$A = J$1, 'Fund Investment Data'!$B:$B = 12),"""")"),"")</f>
        <v/>
      </c>
      <c r="K8" t="str">
        <f>IFERROR(__xludf.DUMMYFUNCTION("IFERROR(FILTER('Fund Investment Data'!$D:$D, 'Fund Investment Data'!$C:$C = $A8, 'Fund Investment Data'!$A:$A = K$1, 'Fund Investment Data'!$B:$B = 12),"""")"),"")</f>
        <v/>
      </c>
      <c r="L8" t="str">
        <f>IFERROR(__xludf.DUMMYFUNCTION("IFERROR(FILTER('Fund Investment Data'!$D:$D, 'Fund Investment Data'!$C:$C = $A8, 'Fund Investment Data'!$A:$A = L$1, 'Fund Investment Data'!$B:$B = 12),"""")"),"")</f>
        <v/>
      </c>
      <c r="M8" t="str">
        <f>IFERROR(__xludf.DUMMYFUNCTION("IFERROR(FILTER('Fund Investment Data'!$D:$D, 'Fund Investment Data'!$C:$C = $A8, 'Fund Investment Data'!$A:$A = M$1, 'Fund Investment Data'!$B:$B = 12),"""")"),"")</f>
        <v/>
      </c>
      <c r="N8">
        <f>IFERROR(__xludf.DUMMYFUNCTION("IFERROR(FILTER('Fund Investment Data'!$D:$D, 'Fund Investment Data'!$C:$C = $A8, 'Fund Investment Data'!$A:$A = N$1, 'Fund Investment Data'!$B:$B = 12),"""")"),100000.0)</f>
        <v>100000</v>
      </c>
      <c r="O8" t="str">
        <f>IFERROR(__xludf.DUMMYFUNCTION("IFERROR(FILTER('Fund Investment Data'!$D:$D, 'Fund Investment Data'!$C:$C = $A8, 'Fund Investment Data'!$A:$A = O$1, 'Fund Investment Data'!$B:$B = 12),"""")"),"")</f>
        <v/>
      </c>
      <c r="P8">
        <f>IFERROR(__xludf.DUMMYFUNCTION("IFERROR(FILTER('Fund Investment Data'!$D:$D, 'Fund Investment Data'!$C:$C = $A8, 'Fund Investment Data'!$A:$A = P$1, 'Fund Investment Data'!$B:$B = 12),"""")"),800.0)</f>
        <v>800</v>
      </c>
      <c r="Q8">
        <f>IFERROR(__xludf.DUMMYFUNCTION("IFERROR(FILTER('Fund Investment Data'!$D:$D, 'Fund Investment Data'!$C:$C = $A8, 'Fund Investment Data'!$A:$A = Q$1, 'Fund Investment Data'!$B:$B = 12),"""")"),500.0)</f>
        <v>500</v>
      </c>
      <c r="R8">
        <f>IFERROR(__xludf.DUMMYFUNCTION("IFERROR(FILTER('Fund Investment Data'!$D:$D, 'Fund Investment Data'!$C:$C = $A8, 'Fund Investment Data'!$A:$A = R$1, 'Fund Investment Data'!$B:$B = 12),"""")"),46300.0)</f>
        <v>46300</v>
      </c>
      <c r="S8">
        <f>IFERROR(__xludf.DUMMYFUNCTION("IFERROR(FILTER('Fund Investment Data'!$D:$D, 'Fund Investment Data'!$C:$C = $A8, 'Fund Investment Data'!$A:$A = S$1, 'Fund Investment Data'!$B:$B = 12),"""")"),500.0)</f>
        <v>500</v>
      </c>
      <c r="T8">
        <f>IFERROR(__xludf.DUMMYFUNCTION("IFERROR(FILTER('Fund Investment Data'!$D:$D, 'Fund Investment Data'!$C:$C = $A8, 'Fund Investment Data'!$A:$A = T$1, 'Fund Investment Data'!$B:$B = 12),"""")"),500.0)</f>
        <v>500</v>
      </c>
      <c r="U8">
        <f>IFERROR(__xludf.DUMMYFUNCTION("IFERROR(FILTER('Fund Investment Data'!$D:$D, 'Fund Investment Data'!$C:$C = $A8, 'Fund Investment Data'!$A:$A = U$1, 'Fund Investment Data'!$B:$B = 12),"""")"),750.0)</f>
        <v>750</v>
      </c>
      <c r="V8">
        <f>IFERROR(__xludf.DUMMYFUNCTION("IFERROR(FILTER('Fund Investment Data'!$D:$D, 'Fund Investment Data'!$C:$C = $A8, 'Fund Investment Data'!$A:$A = V$1, 'Fund Investment Data'!$B:$B = 12),"""")"),1000.0)</f>
        <v>1000</v>
      </c>
      <c r="W8">
        <f>IFERROR(__xludf.DUMMYFUNCTION("IFERROR(FILTER('Fund Investment Data'!$D:$D, 'Fund Investment Data'!$C:$C = $A8, 'Fund Investment Data'!$A:$A = W$1, 'Fund Investment Data'!$B:$B = 12),"""")"),1000.0)</f>
        <v>1000</v>
      </c>
      <c r="X8">
        <f>IFERROR(__xludf.DUMMYFUNCTION("IFERROR(FILTER('Fund Investment Data'!$D:$D, 'Fund Investment Data'!$C:$C = $A8, 'Fund Investment Data'!$A:$A = X$1, 'Fund Investment Data'!$B:$B = 12),"""")"),1750.0)</f>
        <v>1750</v>
      </c>
      <c r="Y8">
        <f>IFERROR(__xludf.DUMMYFUNCTION("IFERROR(FILTER('Fund Investment Data'!$D:$D, 'Fund Investment Data'!$C:$C = $A8, 'Fund Investment Data'!$A:$A = Y$1, 'Fund Investment Data'!$B:$B = 12),"""")"),1000.0)</f>
        <v>1000</v>
      </c>
      <c r="Z8">
        <f>IFERROR(__xludf.DUMMYFUNCTION("IFERROR(FILTER('Fund Investment Data'!$D:$D, 'Fund Investment Data'!$C:$C = $A8, 'Fund Investment Data'!$A:$A = Z$1, 'Fund Investment Data'!$B:$B = 12),"""")"),1000.0)</f>
        <v>1000</v>
      </c>
      <c r="AA8" t="str">
        <f>IFERROR(__xludf.DUMMYFUNCTION("IFERROR(FILTER('Fund Investment Data'!$D:$D, 'Fund Investment Data'!$C:$C = $A8, 'Fund Investment Data'!$A:$A = AA$1, 'Fund Investment Data'!$B:$B = 12),"""")"),"")</f>
        <v/>
      </c>
      <c r="AB8">
        <f>IFERROR(__xludf.DUMMYFUNCTION("IFERROR(FILTER('Fund Investment Data'!$D:$D, 'Fund Investment Data'!$C:$C = $A8, 'Fund Investment Data'!$A:$A = AB$1, 'Fund Investment Data'!$B:$B = 12),"""")"),1750.0)</f>
        <v>1750</v>
      </c>
      <c r="AC8">
        <f>IFERROR(__xludf.DUMMYFUNCTION("IFERROR(FILTER('Fund Investment Data'!$D:$D, 'Fund Investment Data'!$C:$C = $A8, 'Fund Investment Data'!$A:$A = AC$1, 'Fund Investment Data'!$B:$B = 12),"""")"),1250.0)</f>
        <v>1250</v>
      </c>
      <c r="AD8" t="str">
        <f>IFERROR(__xludf.DUMMYFUNCTION("IFERROR(FILTER('Fund Investment Data'!$D:$D, 'Fund Investment Data'!$C:$C = $A8, 'Fund Investment Data'!$A:$A = AD$1, 'Fund Investment Data'!$B:$B = 12),"""")"),"")</f>
        <v/>
      </c>
      <c r="AE8">
        <f>IFERROR(__xludf.DUMMYFUNCTION("IFERROR(FILTER('Fund Investment Data'!$D:$D, 'Fund Investment Data'!$C:$C = $A8, 'Fund Investment Data'!$A:$A = AE$1, 'Fund Investment Data'!$B:$B = 12),"""")"),100.0)</f>
        <v>100</v>
      </c>
    </row>
    <row r="9">
      <c r="A9" s="151" t="str">
        <f>'Endowed Funds'!A:A</f>
        <v>Katherine Carhart Graduate Research Fellowship</v>
      </c>
      <c r="B9" t="str">
        <f>IFERROR(__xludf.DUMMYFUNCTION("IFERROR(FILTER('Fund Investment Data'!$D:$D, 'Fund Investment Data'!$C:$C = $A9, 'Fund Investment Data'!$A:$A = B$1, 'Fund Investment Data'!$B:$B = 12),"""")"),"")</f>
        <v/>
      </c>
      <c r="C9" t="str">
        <f>IFERROR(__xludf.DUMMYFUNCTION("IFERROR(FILTER('Fund Investment Data'!$D:$D, 'Fund Investment Data'!$C:$C = $A9, 'Fund Investment Data'!$A:$A = C$1, 'Fund Investment Data'!$B:$B = 12),"""")"),"")</f>
        <v/>
      </c>
      <c r="D9" t="str">
        <f>IFERROR(__xludf.DUMMYFUNCTION("IFERROR(FILTER('Fund Investment Data'!$D:$D, 'Fund Investment Data'!$C:$C = $A9, 'Fund Investment Data'!$A:$A = D$1, 'Fund Investment Data'!$B:$B = 12),"""")"),"")</f>
        <v/>
      </c>
      <c r="E9" t="str">
        <f>IFERROR(__xludf.DUMMYFUNCTION("IFERROR(FILTER('Fund Investment Data'!$D:$D, 'Fund Investment Data'!$C:$C = $A9, 'Fund Investment Data'!$A:$A = E$1, 'Fund Investment Data'!$B:$B = 12),"""")"),"")</f>
        <v/>
      </c>
      <c r="F9" t="str">
        <f>IFERROR(__xludf.DUMMYFUNCTION("IFERROR(FILTER('Fund Investment Data'!$D:$D, 'Fund Investment Data'!$C:$C = $A9, 'Fund Investment Data'!$A:$A = F$1, 'Fund Investment Data'!$B:$B = 12),"""")"),"")</f>
        <v/>
      </c>
      <c r="G9" t="str">
        <f>IFERROR(__xludf.DUMMYFUNCTION("IFERROR(FILTER('Fund Investment Data'!$D:$D, 'Fund Investment Data'!$C:$C = $A9, 'Fund Investment Data'!$A:$A = G$1, 'Fund Investment Data'!$B:$B = 12),"""")"),"")</f>
        <v/>
      </c>
      <c r="H9">
        <f>IFERROR(__xludf.DUMMYFUNCTION("IFERROR(FILTER('Fund Investment Data'!$D:$D, 'Fund Investment Data'!$C:$C = $A9, 'Fund Investment Data'!$A:$A = H$1, 'Fund Investment Data'!$B:$B = 12),"""")"),48839.04)</f>
        <v>48839.04</v>
      </c>
      <c r="I9">
        <f>IFERROR(__xludf.DUMMYFUNCTION("IFERROR(FILTER('Fund Investment Data'!$D:$D, 'Fund Investment Data'!$C:$C = $A9, 'Fund Investment Data'!$A:$A = I$1, 'Fund Investment Data'!$B:$B = 12),"""")"),610.0)</f>
        <v>610</v>
      </c>
      <c r="J9" t="str">
        <f>IFERROR(__xludf.DUMMYFUNCTION("IFERROR(FILTER('Fund Investment Data'!$D:$D, 'Fund Investment Data'!$C:$C = $A9, 'Fund Investment Data'!$A:$A = J$1, 'Fund Investment Data'!$B:$B = 12),"""")"),"")</f>
        <v/>
      </c>
      <c r="K9" t="str">
        <f>IFERROR(__xludf.DUMMYFUNCTION("IFERROR(FILTER('Fund Investment Data'!$D:$D, 'Fund Investment Data'!$C:$C = $A9, 'Fund Investment Data'!$A:$A = K$1, 'Fund Investment Data'!$B:$B = 12),"""")"),"")</f>
        <v/>
      </c>
      <c r="L9" t="str">
        <f>IFERROR(__xludf.DUMMYFUNCTION("IFERROR(FILTER('Fund Investment Data'!$D:$D, 'Fund Investment Data'!$C:$C = $A9, 'Fund Investment Data'!$A:$A = L$1, 'Fund Investment Data'!$B:$B = 12),"""")"),"")</f>
        <v/>
      </c>
      <c r="M9" t="str">
        <f>IFERROR(__xludf.DUMMYFUNCTION("IFERROR(FILTER('Fund Investment Data'!$D:$D, 'Fund Investment Data'!$C:$C = $A9, 'Fund Investment Data'!$A:$A = M$1, 'Fund Investment Data'!$B:$B = 12),"""")"),"")</f>
        <v/>
      </c>
      <c r="N9" t="str">
        <f>IFERROR(__xludf.DUMMYFUNCTION("IFERROR(FILTER('Fund Investment Data'!$D:$D, 'Fund Investment Data'!$C:$C = $A9, 'Fund Investment Data'!$A:$A = N$1, 'Fund Investment Data'!$B:$B = 12),"""")"),"")</f>
        <v/>
      </c>
      <c r="O9" t="str">
        <f>IFERROR(__xludf.DUMMYFUNCTION("IFERROR(FILTER('Fund Investment Data'!$D:$D, 'Fund Investment Data'!$C:$C = $A9, 'Fund Investment Data'!$A:$A = O$1, 'Fund Investment Data'!$B:$B = 12),"""")"),"")</f>
        <v/>
      </c>
      <c r="P9" t="str">
        <f>IFERROR(__xludf.DUMMYFUNCTION("IFERROR(FILTER('Fund Investment Data'!$D:$D, 'Fund Investment Data'!$C:$C = $A9, 'Fund Investment Data'!$A:$A = P$1, 'Fund Investment Data'!$B:$B = 12),"""")"),"")</f>
        <v/>
      </c>
      <c r="Q9" t="str">
        <f>IFERROR(__xludf.DUMMYFUNCTION("IFERROR(FILTER('Fund Investment Data'!$D:$D, 'Fund Investment Data'!$C:$C = $A9, 'Fund Investment Data'!$A:$A = Q$1, 'Fund Investment Data'!$B:$B = 12),"""")"),"")</f>
        <v/>
      </c>
      <c r="R9" t="str">
        <f>IFERROR(__xludf.DUMMYFUNCTION("IFERROR(FILTER('Fund Investment Data'!$D:$D, 'Fund Investment Data'!$C:$C = $A9, 'Fund Investment Data'!$A:$A = R$1, 'Fund Investment Data'!$B:$B = 12),"""")"),"")</f>
        <v/>
      </c>
      <c r="S9" t="str">
        <f>IFERROR(__xludf.DUMMYFUNCTION("IFERROR(FILTER('Fund Investment Data'!$D:$D, 'Fund Investment Data'!$C:$C = $A9, 'Fund Investment Data'!$A:$A = S$1, 'Fund Investment Data'!$B:$B = 12),"""")"),"")</f>
        <v/>
      </c>
      <c r="T9" t="str">
        <f>IFERROR(__xludf.DUMMYFUNCTION("IFERROR(FILTER('Fund Investment Data'!$D:$D, 'Fund Investment Data'!$C:$C = $A9, 'Fund Investment Data'!$A:$A = T$1, 'Fund Investment Data'!$B:$B = 12),"""")"),"")</f>
        <v/>
      </c>
      <c r="U9" t="str">
        <f>IFERROR(__xludf.DUMMYFUNCTION("IFERROR(FILTER('Fund Investment Data'!$D:$D, 'Fund Investment Data'!$C:$C = $A9, 'Fund Investment Data'!$A:$A = U$1, 'Fund Investment Data'!$B:$B = 12),"""")"),"")</f>
        <v/>
      </c>
      <c r="V9" t="str">
        <f>IFERROR(__xludf.DUMMYFUNCTION("IFERROR(FILTER('Fund Investment Data'!$D:$D, 'Fund Investment Data'!$C:$C = $A9, 'Fund Investment Data'!$A:$A = V$1, 'Fund Investment Data'!$B:$B = 12),"""")"),"")</f>
        <v/>
      </c>
      <c r="W9" t="str">
        <f>IFERROR(__xludf.DUMMYFUNCTION("IFERROR(FILTER('Fund Investment Data'!$D:$D, 'Fund Investment Data'!$C:$C = $A9, 'Fund Investment Data'!$A:$A = W$1, 'Fund Investment Data'!$B:$B = 12),"""")"),"")</f>
        <v/>
      </c>
      <c r="X9" t="str">
        <f>IFERROR(__xludf.DUMMYFUNCTION("IFERROR(FILTER('Fund Investment Data'!$D:$D, 'Fund Investment Data'!$C:$C = $A9, 'Fund Investment Data'!$A:$A = X$1, 'Fund Investment Data'!$B:$B = 12),"""")"),"")</f>
        <v/>
      </c>
      <c r="Y9" t="str">
        <f>IFERROR(__xludf.DUMMYFUNCTION("IFERROR(FILTER('Fund Investment Data'!$D:$D, 'Fund Investment Data'!$C:$C = $A9, 'Fund Investment Data'!$A:$A = Y$1, 'Fund Investment Data'!$B:$B = 12),"""")"),"")</f>
        <v/>
      </c>
      <c r="Z9" t="str">
        <f>IFERROR(__xludf.DUMMYFUNCTION("IFERROR(FILTER('Fund Investment Data'!$D:$D, 'Fund Investment Data'!$C:$C = $A9, 'Fund Investment Data'!$A:$A = Z$1, 'Fund Investment Data'!$B:$B = 12),"""")"),"")</f>
        <v/>
      </c>
      <c r="AA9" t="str">
        <f>IFERROR(__xludf.DUMMYFUNCTION("IFERROR(FILTER('Fund Investment Data'!$D:$D, 'Fund Investment Data'!$C:$C = $A9, 'Fund Investment Data'!$A:$A = AA$1, 'Fund Investment Data'!$B:$B = 12),"""")"),"")</f>
        <v/>
      </c>
      <c r="AB9" t="str">
        <f>IFERROR(__xludf.DUMMYFUNCTION("IFERROR(FILTER('Fund Investment Data'!$D:$D, 'Fund Investment Data'!$C:$C = $A9, 'Fund Investment Data'!$A:$A = AB$1, 'Fund Investment Data'!$B:$B = 12),"""")"),"")</f>
        <v/>
      </c>
      <c r="AC9" t="str">
        <f>IFERROR(__xludf.DUMMYFUNCTION("IFERROR(FILTER('Fund Investment Data'!$D:$D, 'Fund Investment Data'!$C:$C = $A9, 'Fund Investment Data'!$A:$A = AC$1, 'Fund Investment Data'!$B:$B = 12),"""")"),"")</f>
        <v/>
      </c>
      <c r="AD9" t="str">
        <f>IFERROR(__xludf.DUMMYFUNCTION("IFERROR(FILTER('Fund Investment Data'!$D:$D, 'Fund Investment Data'!$C:$C = $A9, 'Fund Investment Data'!$A:$A = AD$1, 'Fund Investment Data'!$B:$B = 12),"""")"),"")</f>
        <v/>
      </c>
      <c r="AE9">
        <f>IFERROR(__xludf.DUMMYFUNCTION("IFERROR(FILTER('Fund Investment Data'!$D:$D, 'Fund Investment Data'!$C:$C = $A9, 'Fund Investment Data'!$A:$A = AE$1, 'Fund Investment Data'!$B:$B = 12),"""")"),0.0)</f>
        <v>0</v>
      </c>
    </row>
    <row r="10">
      <c r="A10" s="151" t="str">
        <f>'Endowed Funds'!A:A</f>
        <v>Richard G. and Mary Lyn Ballantine Fund</v>
      </c>
      <c r="B10" t="str">
        <f>IFERROR(__xludf.DUMMYFUNCTION("IFERROR(FILTER('Fund Investment Data'!$D:$D, 'Fund Investment Data'!$C:$C = $A10, 'Fund Investment Data'!$A:$A = B$1, 'Fund Investment Data'!$B:$B = 12),"""")"),"")</f>
        <v/>
      </c>
      <c r="C10" t="str">
        <f>IFERROR(__xludf.DUMMYFUNCTION("IFERROR(FILTER('Fund Investment Data'!$D:$D, 'Fund Investment Data'!$C:$C = $A10, 'Fund Investment Data'!$A:$A = C$1, 'Fund Investment Data'!$B:$B = 12),"""")"),"")</f>
        <v/>
      </c>
      <c r="D10" t="str">
        <f>IFERROR(__xludf.DUMMYFUNCTION("IFERROR(FILTER('Fund Investment Data'!$D:$D, 'Fund Investment Data'!$C:$C = $A10, 'Fund Investment Data'!$A:$A = D$1, 'Fund Investment Data'!$B:$B = 12),"""")"),"")</f>
        <v/>
      </c>
      <c r="E10" t="str">
        <f>IFERROR(__xludf.DUMMYFUNCTION("IFERROR(FILTER('Fund Investment Data'!$D:$D, 'Fund Investment Data'!$C:$C = $A10, 'Fund Investment Data'!$A:$A = E$1, 'Fund Investment Data'!$B:$B = 12),"""")"),"")</f>
        <v/>
      </c>
      <c r="F10" t="str">
        <f>IFERROR(__xludf.DUMMYFUNCTION("IFERROR(FILTER('Fund Investment Data'!$D:$D, 'Fund Investment Data'!$C:$C = $A10, 'Fund Investment Data'!$A:$A = F$1, 'Fund Investment Data'!$B:$B = 12),"""")"),"")</f>
        <v/>
      </c>
      <c r="G10" t="str">
        <f>IFERROR(__xludf.DUMMYFUNCTION("IFERROR(FILTER('Fund Investment Data'!$D:$D, 'Fund Investment Data'!$C:$C = $A10, 'Fund Investment Data'!$A:$A = G$1, 'Fund Investment Data'!$B:$B = 12),"""")"),"")</f>
        <v/>
      </c>
      <c r="H10" t="str">
        <f>IFERROR(__xludf.DUMMYFUNCTION("IFERROR(FILTER('Fund Investment Data'!$D:$D, 'Fund Investment Data'!$C:$C = $A10, 'Fund Investment Data'!$A:$A = H$1, 'Fund Investment Data'!$B:$B = 12),"""")"),"")</f>
        <v/>
      </c>
      <c r="I10" t="str">
        <f>IFERROR(__xludf.DUMMYFUNCTION("IFERROR(FILTER('Fund Investment Data'!$D:$D, 'Fund Investment Data'!$C:$C = $A10, 'Fund Investment Data'!$A:$A = I$1, 'Fund Investment Data'!$B:$B = 12),"""")"),"")</f>
        <v/>
      </c>
      <c r="J10" t="str">
        <f>IFERROR(__xludf.DUMMYFUNCTION("IFERROR(FILTER('Fund Investment Data'!$D:$D, 'Fund Investment Data'!$C:$C = $A10, 'Fund Investment Data'!$A:$A = J$1, 'Fund Investment Data'!$B:$B = 12),"""")"),"")</f>
        <v/>
      </c>
      <c r="K10" t="str">
        <f>IFERROR(__xludf.DUMMYFUNCTION("IFERROR(FILTER('Fund Investment Data'!$D:$D, 'Fund Investment Data'!$C:$C = $A10, 'Fund Investment Data'!$A:$A = K$1, 'Fund Investment Data'!$B:$B = 12),"""")"),"")</f>
        <v/>
      </c>
      <c r="L10">
        <f>IFERROR(__xludf.DUMMYFUNCTION("IFERROR(FILTER('Fund Investment Data'!$D:$D, 'Fund Investment Data'!$C:$C = $A10, 'Fund Investment Data'!$A:$A = L$1, 'Fund Investment Data'!$B:$B = 12),"""")"),95409.84)</f>
        <v>95409.84</v>
      </c>
      <c r="M10">
        <f>IFERROR(__xludf.DUMMYFUNCTION("IFERROR(FILTER('Fund Investment Data'!$D:$D, 'Fund Investment Data'!$C:$C = $A10, 'Fund Investment Data'!$A:$A = M$1, 'Fund Investment Data'!$B:$B = 12),"""")"),191720.71)</f>
        <v>191720.71</v>
      </c>
      <c r="N10">
        <f>IFERROR(__xludf.DUMMYFUNCTION("IFERROR(FILTER('Fund Investment Data'!$D:$D, 'Fund Investment Data'!$C:$C = $A10, 'Fund Investment Data'!$A:$A = N$1, 'Fund Investment Data'!$B:$B = 12),"""")"),120067.76)</f>
        <v>120067.76</v>
      </c>
      <c r="O10">
        <f>IFERROR(__xludf.DUMMYFUNCTION("IFERROR(FILTER('Fund Investment Data'!$D:$D, 'Fund Investment Data'!$C:$C = $A10, 'Fund Investment Data'!$A:$A = O$1, 'Fund Investment Data'!$B:$B = 12),"""")"),120026.7)</f>
        <v>120026.7</v>
      </c>
      <c r="P10">
        <f>IFERROR(__xludf.DUMMYFUNCTION("IFERROR(FILTER('Fund Investment Data'!$D:$D, 'Fund Investment Data'!$C:$C = $A10, 'Fund Investment Data'!$A:$A = P$1, 'Fund Investment Data'!$B:$B = 12),"""")"),184063.45)</f>
        <v>184063.45</v>
      </c>
      <c r="Q10">
        <f>IFERROR(__xludf.DUMMYFUNCTION("IFERROR(FILTER('Fund Investment Data'!$D:$D, 'Fund Investment Data'!$C:$C = $A10, 'Fund Investment Data'!$A:$A = Q$1, 'Fund Investment Data'!$B:$B = 12),"""")"),138883.18)</f>
        <v>138883.18</v>
      </c>
      <c r="R10">
        <f>IFERROR(__xludf.DUMMYFUNCTION("IFERROR(FILTER('Fund Investment Data'!$D:$D, 'Fund Investment Data'!$C:$C = $A10, 'Fund Investment Data'!$A:$A = R$1, 'Fund Investment Data'!$B:$B = 12),"""")"),-524300.0)</f>
        <v>-524300</v>
      </c>
      <c r="S10" t="str">
        <f>IFERROR(__xludf.DUMMYFUNCTION("IFERROR(FILTER('Fund Investment Data'!$D:$D, 'Fund Investment Data'!$C:$C = $A10, 'Fund Investment Data'!$A:$A = S$1, 'Fund Investment Data'!$B:$B = 12),"""")"),"")</f>
        <v/>
      </c>
      <c r="T10" t="str">
        <f>IFERROR(__xludf.DUMMYFUNCTION("IFERROR(FILTER('Fund Investment Data'!$D:$D, 'Fund Investment Data'!$C:$C = $A10, 'Fund Investment Data'!$A:$A = T$1, 'Fund Investment Data'!$B:$B = 12),"""")"),"")</f>
        <v/>
      </c>
      <c r="U10" t="str">
        <f>IFERROR(__xludf.DUMMYFUNCTION("IFERROR(FILTER('Fund Investment Data'!$D:$D, 'Fund Investment Data'!$C:$C = $A10, 'Fund Investment Data'!$A:$A = U$1, 'Fund Investment Data'!$B:$B = 12),"""")"),"")</f>
        <v/>
      </c>
      <c r="V10" t="str">
        <f>IFERROR(__xludf.DUMMYFUNCTION("IFERROR(FILTER('Fund Investment Data'!$D:$D, 'Fund Investment Data'!$C:$C = $A10, 'Fund Investment Data'!$A:$A = V$1, 'Fund Investment Data'!$B:$B = 12),"""")"),"")</f>
        <v/>
      </c>
      <c r="W10" t="str">
        <f>IFERROR(__xludf.DUMMYFUNCTION("IFERROR(FILTER('Fund Investment Data'!$D:$D, 'Fund Investment Data'!$C:$C = $A10, 'Fund Investment Data'!$A:$A = W$1, 'Fund Investment Data'!$B:$B = 12),"""")"),"")</f>
        <v/>
      </c>
      <c r="X10" t="str">
        <f>IFERROR(__xludf.DUMMYFUNCTION("IFERROR(FILTER('Fund Investment Data'!$D:$D, 'Fund Investment Data'!$C:$C = $A10, 'Fund Investment Data'!$A:$A = X$1, 'Fund Investment Data'!$B:$B = 12),"""")"),"")</f>
        <v/>
      </c>
      <c r="Y10" t="str">
        <f>IFERROR(__xludf.DUMMYFUNCTION("IFERROR(FILTER('Fund Investment Data'!$D:$D, 'Fund Investment Data'!$C:$C = $A10, 'Fund Investment Data'!$A:$A = Y$1, 'Fund Investment Data'!$B:$B = 12),"""")"),"")</f>
        <v/>
      </c>
      <c r="Z10" t="str">
        <f>IFERROR(__xludf.DUMMYFUNCTION("IFERROR(FILTER('Fund Investment Data'!$D:$D, 'Fund Investment Data'!$C:$C = $A10, 'Fund Investment Data'!$A:$A = Z$1, 'Fund Investment Data'!$B:$B = 12),"""")"),"")</f>
        <v/>
      </c>
      <c r="AA10" t="str">
        <f>IFERROR(__xludf.DUMMYFUNCTION("IFERROR(FILTER('Fund Investment Data'!$D:$D, 'Fund Investment Data'!$C:$C = $A10, 'Fund Investment Data'!$A:$A = AA$1, 'Fund Investment Data'!$B:$B = 12),"""")"),"")</f>
        <v/>
      </c>
      <c r="AB10" t="str">
        <f>IFERROR(__xludf.DUMMYFUNCTION("IFERROR(FILTER('Fund Investment Data'!$D:$D, 'Fund Investment Data'!$C:$C = $A10, 'Fund Investment Data'!$A:$A = AB$1, 'Fund Investment Data'!$B:$B = 12),"""")"),"")</f>
        <v/>
      </c>
      <c r="AC10" t="str">
        <f>IFERROR(__xludf.DUMMYFUNCTION("IFERROR(FILTER('Fund Investment Data'!$D:$D, 'Fund Investment Data'!$C:$C = $A10, 'Fund Investment Data'!$A:$A = AC$1, 'Fund Investment Data'!$B:$B = 12),"""")"),"")</f>
        <v/>
      </c>
      <c r="AD10" t="str">
        <f>IFERROR(__xludf.DUMMYFUNCTION("IFERROR(FILTER('Fund Investment Data'!$D:$D, 'Fund Investment Data'!$C:$C = $A10, 'Fund Investment Data'!$A:$A = AD$1, 'Fund Investment Data'!$B:$B = 12),"""")"),"")</f>
        <v/>
      </c>
      <c r="AE10">
        <f>IFERROR(__xludf.DUMMYFUNCTION("IFERROR(FILTER('Fund Investment Data'!$D:$D, 'Fund Investment Data'!$C:$C = $A10, 'Fund Investment Data'!$A:$A = AE$1, 'Fund Investment Data'!$B:$B = 12),"""")"),0.0)</f>
        <v>0</v>
      </c>
    </row>
    <row r="11">
      <c r="A11" s="151" t="str">
        <f>'Endowed Funds'!A:A</f>
        <v>Robert &amp; Doris Haugen Research Fund</v>
      </c>
      <c r="B11" t="str">
        <f>IFERROR(__xludf.DUMMYFUNCTION("IFERROR(FILTER('Fund Investment Data'!$D:$D, 'Fund Investment Data'!$C:$C = $A11, 'Fund Investment Data'!$A:$A = B$1, 'Fund Investment Data'!$B:$B = 12),"""")"),"")</f>
        <v/>
      </c>
      <c r="C11" t="str">
        <f>IFERROR(__xludf.DUMMYFUNCTION("IFERROR(FILTER('Fund Investment Data'!$D:$D, 'Fund Investment Data'!$C:$C = $A11, 'Fund Investment Data'!$A:$A = C$1, 'Fund Investment Data'!$B:$B = 12),"""")"),"")</f>
        <v/>
      </c>
      <c r="D11" t="str">
        <f>IFERROR(__xludf.DUMMYFUNCTION("IFERROR(FILTER('Fund Investment Data'!$D:$D, 'Fund Investment Data'!$C:$C = $A11, 'Fund Investment Data'!$A:$A = D$1, 'Fund Investment Data'!$B:$B = 12),"""")"),"")</f>
        <v/>
      </c>
      <c r="E11" t="str">
        <f>IFERROR(__xludf.DUMMYFUNCTION("IFERROR(FILTER('Fund Investment Data'!$D:$D, 'Fund Investment Data'!$C:$C = $A11, 'Fund Investment Data'!$A:$A = E$1, 'Fund Investment Data'!$B:$B = 12),"""")"),"")</f>
        <v/>
      </c>
      <c r="F11" t="str">
        <f>IFERROR(__xludf.DUMMYFUNCTION("IFERROR(FILTER('Fund Investment Data'!$D:$D, 'Fund Investment Data'!$C:$C = $A11, 'Fund Investment Data'!$A:$A = F$1, 'Fund Investment Data'!$B:$B = 12),"""")"),"")</f>
        <v/>
      </c>
      <c r="G11" t="str">
        <f>IFERROR(__xludf.DUMMYFUNCTION("IFERROR(FILTER('Fund Investment Data'!$D:$D, 'Fund Investment Data'!$C:$C = $A11, 'Fund Investment Data'!$A:$A = G$1, 'Fund Investment Data'!$B:$B = 12),"""")"),"")</f>
        <v/>
      </c>
      <c r="H11" t="str">
        <f>IFERROR(__xludf.DUMMYFUNCTION("IFERROR(FILTER('Fund Investment Data'!$D:$D, 'Fund Investment Data'!$C:$C = $A11, 'Fund Investment Data'!$A:$A = H$1, 'Fund Investment Data'!$B:$B = 12),"""")"),"")</f>
        <v/>
      </c>
      <c r="I11" t="str">
        <f>IFERROR(__xludf.DUMMYFUNCTION("IFERROR(FILTER('Fund Investment Data'!$D:$D, 'Fund Investment Data'!$C:$C = $A11, 'Fund Investment Data'!$A:$A = I$1, 'Fund Investment Data'!$B:$B = 12),"""")"),"")</f>
        <v/>
      </c>
      <c r="J11" t="str">
        <f>IFERROR(__xludf.DUMMYFUNCTION("IFERROR(FILTER('Fund Investment Data'!$D:$D, 'Fund Investment Data'!$C:$C = $A11, 'Fund Investment Data'!$A:$A = J$1, 'Fund Investment Data'!$B:$B = 12),"""")"),"")</f>
        <v/>
      </c>
      <c r="K11" t="str">
        <f>IFERROR(__xludf.DUMMYFUNCTION("IFERROR(FILTER('Fund Investment Data'!$D:$D, 'Fund Investment Data'!$C:$C = $A11, 'Fund Investment Data'!$A:$A = K$1, 'Fund Investment Data'!$B:$B = 12),"""")"),"")</f>
        <v/>
      </c>
      <c r="L11" t="str">
        <f>IFERROR(__xludf.DUMMYFUNCTION("IFERROR(FILTER('Fund Investment Data'!$D:$D, 'Fund Investment Data'!$C:$C = $A11, 'Fund Investment Data'!$A:$A = L$1, 'Fund Investment Data'!$B:$B = 12),"""")"),"")</f>
        <v/>
      </c>
      <c r="M11" t="str">
        <f>IFERROR(__xludf.DUMMYFUNCTION("IFERROR(FILTER('Fund Investment Data'!$D:$D, 'Fund Investment Data'!$C:$C = $A11, 'Fund Investment Data'!$A:$A = M$1, 'Fund Investment Data'!$B:$B = 12),"""")"),"")</f>
        <v/>
      </c>
      <c r="N11" t="str">
        <f>IFERROR(__xludf.DUMMYFUNCTION("IFERROR(FILTER('Fund Investment Data'!$D:$D, 'Fund Investment Data'!$C:$C = $A11, 'Fund Investment Data'!$A:$A = N$1, 'Fund Investment Data'!$B:$B = 12),"""")"),"")</f>
        <v/>
      </c>
      <c r="O11" t="str">
        <f>IFERROR(__xludf.DUMMYFUNCTION("IFERROR(FILTER('Fund Investment Data'!$D:$D, 'Fund Investment Data'!$C:$C = $A11, 'Fund Investment Data'!$A:$A = O$1, 'Fund Investment Data'!$B:$B = 12),"""")"),"")</f>
        <v/>
      </c>
      <c r="P11" t="str">
        <f>IFERROR(__xludf.DUMMYFUNCTION("IFERROR(FILTER('Fund Investment Data'!$D:$D, 'Fund Investment Data'!$C:$C = $A11, 'Fund Investment Data'!$A:$A = P$1, 'Fund Investment Data'!$B:$B = 12),"""")"),"")</f>
        <v/>
      </c>
      <c r="Q11" t="str">
        <f>IFERROR(__xludf.DUMMYFUNCTION("IFERROR(FILTER('Fund Investment Data'!$D:$D, 'Fund Investment Data'!$C:$C = $A11, 'Fund Investment Data'!$A:$A = Q$1, 'Fund Investment Data'!$B:$B = 12),"""")"),"")</f>
        <v/>
      </c>
      <c r="R11" t="str">
        <f>IFERROR(__xludf.DUMMYFUNCTION("IFERROR(FILTER('Fund Investment Data'!$D:$D, 'Fund Investment Data'!$C:$C = $A11, 'Fund Investment Data'!$A:$A = R$1, 'Fund Investment Data'!$B:$B = 12),"""")"),"")</f>
        <v/>
      </c>
      <c r="S11" t="str">
        <f>IFERROR(__xludf.DUMMYFUNCTION("IFERROR(FILTER('Fund Investment Data'!$D:$D, 'Fund Investment Data'!$C:$C = $A11, 'Fund Investment Data'!$A:$A = S$1, 'Fund Investment Data'!$B:$B = 12),"""")"),"")</f>
        <v/>
      </c>
      <c r="T11" t="str">
        <f>IFERROR(__xludf.DUMMYFUNCTION("IFERROR(FILTER('Fund Investment Data'!$D:$D, 'Fund Investment Data'!$C:$C = $A11, 'Fund Investment Data'!$A:$A = T$1, 'Fund Investment Data'!$B:$B = 12),"""")"),"")</f>
        <v/>
      </c>
      <c r="U11" t="str">
        <f>IFERROR(__xludf.DUMMYFUNCTION("IFERROR(FILTER('Fund Investment Data'!$D:$D, 'Fund Investment Data'!$C:$C = $A11, 'Fund Investment Data'!$A:$A = U$1, 'Fund Investment Data'!$B:$B = 12),"""")"),"")</f>
        <v/>
      </c>
      <c r="V11" t="str">
        <f>IFERROR(__xludf.DUMMYFUNCTION("IFERROR(FILTER('Fund Investment Data'!$D:$D, 'Fund Investment Data'!$C:$C = $A11, 'Fund Investment Data'!$A:$A = V$1, 'Fund Investment Data'!$B:$B = 12),"""")"),"")</f>
        <v/>
      </c>
      <c r="W11" t="str">
        <f>IFERROR(__xludf.DUMMYFUNCTION("IFERROR(FILTER('Fund Investment Data'!$D:$D, 'Fund Investment Data'!$C:$C = $A11, 'Fund Investment Data'!$A:$A = W$1, 'Fund Investment Data'!$B:$B = 12),"""")"),"")</f>
        <v/>
      </c>
      <c r="X11">
        <f>IFERROR(__xludf.DUMMYFUNCTION("IFERROR(FILTER('Fund Investment Data'!$D:$D, 'Fund Investment Data'!$C:$C = $A11, 'Fund Investment Data'!$A:$A = X$1, 'Fund Investment Data'!$B:$B = 12),"""")"),100000.0)</f>
        <v>100000</v>
      </c>
      <c r="Y11" t="str">
        <f>IFERROR(__xludf.DUMMYFUNCTION("IFERROR(FILTER('Fund Investment Data'!$D:$D, 'Fund Investment Data'!$C:$C = $A11, 'Fund Investment Data'!$A:$A = Y$1, 'Fund Investment Data'!$B:$B = 12),"""")"),"")</f>
        <v/>
      </c>
      <c r="Z11">
        <f>IFERROR(__xludf.DUMMYFUNCTION("IFERROR(FILTER('Fund Investment Data'!$D:$D, 'Fund Investment Data'!$C:$C = $A11, 'Fund Investment Data'!$A:$A = Z$1, 'Fund Investment Data'!$B:$B = 12),"""")"),5000.0)</f>
        <v>5000</v>
      </c>
      <c r="AA11">
        <f>IFERROR(__xludf.DUMMYFUNCTION("IFERROR(FILTER('Fund Investment Data'!$D:$D, 'Fund Investment Data'!$C:$C = $A11, 'Fund Investment Data'!$A:$A = AA$1, 'Fund Investment Data'!$B:$B = 12),"""")"),5000.0)</f>
        <v>5000</v>
      </c>
      <c r="AB11">
        <f>IFERROR(__xludf.DUMMYFUNCTION("IFERROR(FILTER('Fund Investment Data'!$D:$D, 'Fund Investment Data'!$C:$C = $A11, 'Fund Investment Data'!$A:$A = AB$1, 'Fund Investment Data'!$B:$B = 12),"""")"),5000.0)</f>
        <v>5000</v>
      </c>
      <c r="AC11">
        <f>IFERROR(__xludf.DUMMYFUNCTION("IFERROR(FILTER('Fund Investment Data'!$D:$D, 'Fund Investment Data'!$C:$C = $A11, 'Fund Investment Data'!$A:$A = AC$1, 'Fund Investment Data'!$B:$B = 12),"""")"),5000.0)</f>
        <v>5000</v>
      </c>
      <c r="AD11">
        <f>IFERROR(__xludf.DUMMYFUNCTION("IFERROR(FILTER('Fund Investment Data'!$D:$D, 'Fund Investment Data'!$C:$C = $A11, 'Fund Investment Data'!$A:$A = AD$1, 'Fund Investment Data'!$B:$B = 12),"""")"),5000.0)</f>
        <v>5000</v>
      </c>
      <c r="AE11">
        <f>IFERROR(__xludf.DUMMYFUNCTION("IFERROR(FILTER('Fund Investment Data'!$D:$D, 'Fund Investment Data'!$C:$C = $A11, 'Fund Investment Data'!$A:$A = AE$1, 'Fund Investment Data'!$B:$B = 12),"""")"),0.0)</f>
        <v>0</v>
      </c>
    </row>
    <row r="12">
      <c r="A12" s="151" t="str">
        <f>'Endowed Funds'!A:A</f>
        <v>Stuart Struever Chair in Research</v>
      </c>
      <c r="B12" t="str">
        <f>IFERROR(__xludf.DUMMYFUNCTION("IFERROR(FILTER('Fund Investment Data'!$D:$D, 'Fund Investment Data'!$C:$C = $A12, 'Fund Investment Data'!$A:$A = B$1, 'Fund Investment Data'!$B:$B = 12),"""")"),"")</f>
        <v/>
      </c>
      <c r="C12" t="str">
        <f>IFERROR(__xludf.DUMMYFUNCTION("IFERROR(FILTER('Fund Investment Data'!$D:$D, 'Fund Investment Data'!$C:$C = $A12, 'Fund Investment Data'!$A:$A = C$1, 'Fund Investment Data'!$B:$B = 12),"""")"),"")</f>
        <v/>
      </c>
      <c r="D12">
        <f>IFERROR(__xludf.DUMMYFUNCTION("IFERROR(FILTER('Fund Investment Data'!$D:$D, 'Fund Investment Data'!$C:$C = $A12, 'Fund Investment Data'!$A:$A = D$1, 'Fund Investment Data'!$B:$B = 12),"""")"),250000.0)</f>
        <v>250000</v>
      </c>
      <c r="E12" t="str">
        <f>IFERROR(__xludf.DUMMYFUNCTION("IFERROR(FILTER('Fund Investment Data'!$D:$D, 'Fund Investment Data'!$C:$C = $A12, 'Fund Investment Data'!$A:$A = E$1, 'Fund Investment Data'!$B:$B = 12),"""")"),"")</f>
        <v/>
      </c>
      <c r="F12" t="str">
        <f>IFERROR(__xludf.DUMMYFUNCTION("IFERROR(FILTER('Fund Investment Data'!$D:$D, 'Fund Investment Data'!$C:$C = $A12, 'Fund Investment Data'!$A:$A = F$1, 'Fund Investment Data'!$B:$B = 12),"""")"),"")</f>
        <v/>
      </c>
      <c r="G12" t="str">
        <f>IFERROR(__xludf.DUMMYFUNCTION("IFERROR(FILTER('Fund Investment Data'!$D:$D, 'Fund Investment Data'!$C:$C = $A12, 'Fund Investment Data'!$A:$A = G$1, 'Fund Investment Data'!$B:$B = 12),"""")"),"")</f>
        <v/>
      </c>
      <c r="H12" t="str">
        <f>IFERROR(__xludf.DUMMYFUNCTION("IFERROR(FILTER('Fund Investment Data'!$D:$D, 'Fund Investment Data'!$C:$C = $A12, 'Fund Investment Data'!$A:$A = H$1, 'Fund Investment Data'!$B:$B = 12),"""")"),"")</f>
        <v/>
      </c>
      <c r="I12" t="str">
        <f>IFERROR(__xludf.DUMMYFUNCTION("IFERROR(FILTER('Fund Investment Data'!$D:$D, 'Fund Investment Data'!$C:$C = $A12, 'Fund Investment Data'!$A:$A = I$1, 'Fund Investment Data'!$B:$B = 12),"""")"),"")</f>
        <v/>
      </c>
      <c r="J12" t="str">
        <f>IFERROR(__xludf.DUMMYFUNCTION("IFERROR(FILTER('Fund Investment Data'!$D:$D, 'Fund Investment Data'!$C:$C = $A12, 'Fund Investment Data'!$A:$A = J$1, 'Fund Investment Data'!$B:$B = 12),"""")"),"")</f>
        <v/>
      </c>
      <c r="K12">
        <f>IFERROR(__xludf.DUMMYFUNCTION("IFERROR(FILTER('Fund Investment Data'!$D:$D, 'Fund Investment Data'!$C:$C = $A12, 'Fund Investment Data'!$A:$A = K$1, 'Fund Investment Data'!$B:$B = 12),"""")"),3375.0)</f>
        <v>3375</v>
      </c>
      <c r="L12" t="str">
        <f>IFERROR(__xludf.DUMMYFUNCTION("IFERROR(FILTER('Fund Investment Data'!$D:$D, 'Fund Investment Data'!$C:$C = $A12, 'Fund Investment Data'!$A:$A = L$1, 'Fund Investment Data'!$B:$B = 12),"""")"),"")</f>
        <v/>
      </c>
      <c r="M12">
        <f>IFERROR(__xludf.DUMMYFUNCTION("IFERROR(FILTER('Fund Investment Data'!$D:$D, 'Fund Investment Data'!$C:$C = $A12, 'Fund Investment Data'!$A:$A = M$1, 'Fund Investment Data'!$B:$B = 12),"""")"),150000.0)</f>
        <v>150000</v>
      </c>
      <c r="N12">
        <f>IFERROR(__xludf.DUMMYFUNCTION("IFERROR(FILTER('Fund Investment Data'!$D:$D, 'Fund Investment Data'!$C:$C = $A12, 'Fund Investment Data'!$A:$A = N$1, 'Fund Investment Data'!$B:$B = 12),"""")"),102000.0)</f>
        <v>102000</v>
      </c>
      <c r="O12">
        <f>IFERROR(__xludf.DUMMYFUNCTION("IFERROR(FILTER('Fund Investment Data'!$D:$D, 'Fund Investment Data'!$C:$C = $A12, 'Fund Investment Data'!$A:$A = O$1, 'Fund Investment Data'!$B:$B = 12),"""")"),132000.0)</f>
        <v>132000</v>
      </c>
      <c r="P12">
        <f>IFERROR(__xludf.DUMMYFUNCTION("IFERROR(FILTER('Fund Investment Data'!$D:$D, 'Fund Investment Data'!$C:$C = $A12, 'Fund Investment Data'!$A:$A = P$1, 'Fund Investment Data'!$B:$B = 12),"""")"),417000.0)</f>
        <v>417000</v>
      </c>
      <c r="Q12">
        <f>IFERROR(__xludf.DUMMYFUNCTION("IFERROR(FILTER('Fund Investment Data'!$D:$D, 'Fund Investment Data'!$C:$C = $A12, 'Fund Investment Data'!$A:$A = Q$1, 'Fund Investment Data'!$B:$B = 12),"""")"),4500.0)</f>
        <v>4500</v>
      </c>
      <c r="R12">
        <f>IFERROR(__xludf.DUMMYFUNCTION("IFERROR(FILTER('Fund Investment Data'!$D:$D, 'Fund Investment Data'!$C:$C = $A12, 'Fund Investment Data'!$A:$A = R$1, 'Fund Investment Data'!$B:$B = 12),"""")"),3750.0)</f>
        <v>3750</v>
      </c>
      <c r="S12">
        <f>IFERROR(__xludf.DUMMYFUNCTION("IFERROR(FILTER('Fund Investment Data'!$D:$D, 'Fund Investment Data'!$C:$C = $A12, 'Fund Investment Data'!$A:$A = S$1, 'Fund Investment Data'!$B:$B = 12),"""")"),3500.0)</f>
        <v>3500</v>
      </c>
      <c r="T12" t="str">
        <f>IFERROR(__xludf.DUMMYFUNCTION("IFERROR(FILTER('Fund Investment Data'!$D:$D, 'Fund Investment Data'!$C:$C = $A12, 'Fund Investment Data'!$A:$A = T$1, 'Fund Investment Data'!$B:$B = 12),"""")"),"")</f>
        <v/>
      </c>
      <c r="U12" t="str">
        <f>IFERROR(__xludf.DUMMYFUNCTION("IFERROR(FILTER('Fund Investment Data'!$D:$D, 'Fund Investment Data'!$C:$C = $A12, 'Fund Investment Data'!$A:$A = U$1, 'Fund Investment Data'!$B:$B = 12),"""")"),"")</f>
        <v/>
      </c>
      <c r="V12" t="str">
        <f>IFERROR(__xludf.DUMMYFUNCTION("IFERROR(FILTER('Fund Investment Data'!$D:$D, 'Fund Investment Data'!$C:$C = $A12, 'Fund Investment Data'!$A:$A = V$1, 'Fund Investment Data'!$B:$B = 12),"""")"),"")</f>
        <v/>
      </c>
      <c r="W12" t="str">
        <f>IFERROR(__xludf.DUMMYFUNCTION("IFERROR(FILTER('Fund Investment Data'!$D:$D, 'Fund Investment Data'!$C:$C = $A12, 'Fund Investment Data'!$A:$A = W$1, 'Fund Investment Data'!$B:$B = 12),"""")"),"")</f>
        <v/>
      </c>
      <c r="X12" t="str">
        <f>IFERROR(__xludf.DUMMYFUNCTION("IFERROR(FILTER('Fund Investment Data'!$D:$D, 'Fund Investment Data'!$C:$C = $A12, 'Fund Investment Data'!$A:$A = X$1, 'Fund Investment Data'!$B:$B = 12),"""")"),"")</f>
        <v/>
      </c>
      <c r="Y12">
        <f>IFERROR(__xludf.DUMMYFUNCTION("IFERROR(FILTER('Fund Investment Data'!$D:$D, 'Fund Investment Data'!$C:$C = $A12, 'Fund Investment Data'!$A:$A = Y$1, 'Fund Investment Data'!$B:$B = 12),"""")"),500.0)</f>
        <v>500</v>
      </c>
      <c r="Z12">
        <f>IFERROR(__xludf.DUMMYFUNCTION("IFERROR(FILTER('Fund Investment Data'!$D:$D, 'Fund Investment Data'!$C:$C = $A12, 'Fund Investment Data'!$A:$A = Z$1, 'Fund Investment Data'!$B:$B = 12),"""")"),15000.0)</f>
        <v>15000</v>
      </c>
      <c r="AA12">
        <f>IFERROR(__xludf.DUMMYFUNCTION("IFERROR(FILTER('Fund Investment Data'!$D:$D, 'Fund Investment Data'!$C:$C = $A12, 'Fund Investment Data'!$A:$A = AA$1, 'Fund Investment Data'!$B:$B = 12),"""")"),5000.0)</f>
        <v>5000</v>
      </c>
      <c r="AB12" t="str">
        <f>IFERROR(__xludf.DUMMYFUNCTION("IFERROR(FILTER('Fund Investment Data'!$D:$D, 'Fund Investment Data'!$C:$C = $A12, 'Fund Investment Data'!$A:$A = AB$1, 'Fund Investment Data'!$B:$B = 12),"""")"),"")</f>
        <v/>
      </c>
      <c r="AC12" t="str">
        <f>IFERROR(__xludf.DUMMYFUNCTION("IFERROR(FILTER('Fund Investment Data'!$D:$D, 'Fund Investment Data'!$C:$C = $A12, 'Fund Investment Data'!$A:$A = AC$1, 'Fund Investment Data'!$B:$B = 12),"""")"),"")</f>
        <v/>
      </c>
      <c r="AD12" t="str">
        <f>IFERROR(__xludf.DUMMYFUNCTION("IFERROR(FILTER('Fund Investment Data'!$D:$D, 'Fund Investment Data'!$C:$C = $A12, 'Fund Investment Data'!$A:$A = AD$1, 'Fund Investment Data'!$B:$B = 12),"""")"),"")</f>
        <v/>
      </c>
      <c r="AE12">
        <f>IFERROR(__xludf.DUMMYFUNCTION("IFERROR(FILTER('Fund Investment Data'!$D:$D, 'Fund Investment Data'!$C:$C = $A12, 'Fund Investment Data'!$A:$A = AE$1, 'Fund Investment Data'!$B:$B = 12),"""")"),0.0)</f>
        <v>0</v>
      </c>
    </row>
    <row r="13">
      <c r="A13" s="151" t="str">
        <f>'Endowed Funds'!A:A</f>
        <v>Education Endowment Fund</v>
      </c>
      <c r="B13" t="str">
        <f>IFERROR(__xludf.DUMMYFUNCTION("IFERROR(FILTER('Fund Investment Data'!$D:$D, 'Fund Investment Data'!$C:$C = $A13, 'Fund Investment Data'!$A:$A = B$1, 'Fund Investment Data'!$B:$B = 12),"""")"),"")</f>
        <v/>
      </c>
      <c r="C13" t="str">
        <f>IFERROR(__xludf.DUMMYFUNCTION("IFERROR(FILTER('Fund Investment Data'!$D:$D, 'Fund Investment Data'!$C:$C = $A13, 'Fund Investment Data'!$A:$A = C$1, 'Fund Investment Data'!$B:$B = 12),"""")"),"")</f>
        <v/>
      </c>
      <c r="D13" t="str">
        <f>IFERROR(__xludf.DUMMYFUNCTION("IFERROR(FILTER('Fund Investment Data'!$D:$D, 'Fund Investment Data'!$C:$C = $A13, 'Fund Investment Data'!$A:$A = D$1, 'Fund Investment Data'!$B:$B = 12),"""")"),"")</f>
        <v/>
      </c>
      <c r="E13" t="str">
        <f>IFERROR(__xludf.DUMMYFUNCTION("IFERROR(FILTER('Fund Investment Data'!$D:$D, 'Fund Investment Data'!$C:$C = $A13, 'Fund Investment Data'!$A:$A = E$1, 'Fund Investment Data'!$B:$B = 12),"""")"),"")</f>
        <v/>
      </c>
      <c r="F13" t="str">
        <f>IFERROR(__xludf.DUMMYFUNCTION("IFERROR(FILTER('Fund Investment Data'!$D:$D, 'Fund Investment Data'!$C:$C = $A13, 'Fund Investment Data'!$A:$A = F$1, 'Fund Investment Data'!$B:$B = 12),"""")"),"")</f>
        <v/>
      </c>
      <c r="G13" t="str">
        <f>IFERROR(__xludf.DUMMYFUNCTION("IFERROR(FILTER('Fund Investment Data'!$D:$D, 'Fund Investment Data'!$C:$C = $A13, 'Fund Investment Data'!$A:$A = G$1, 'Fund Investment Data'!$B:$B = 12),"""")"),"")</f>
        <v/>
      </c>
      <c r="H13">
        <f>IFERROR(__xludf.DUMMYFUNCTION("IFERROR(FILTER('Fund Investment Data'!$D:$D, 'Fund Investment Data'!$C:$C = $A13, 'Fund Investment Data'!$A:$A = H$1, 'Fund Investment Data'!$B:$B = 12),"""")"),268867.24)</f>
        <v>268867.24</v>
      </c>
      <c r="I13" t="str">
        <f>IFERROR(__xludf.DUMMYFUNCTION("IFERROR(FILTER('Fund Investment Data'!$D:$D, 'Fund Investment Data'!$C:$C = $A13, 'Fund Investment Data'!$A:$A = I$1, 'Fund Investment Data'!$B:$B = 12),"""")"),"")</f>
        <v/>
      </c>
      <c r="J13" t="str">
        <f>IFERROR(__xludf.DUMMYFUNCTION("IFERROR(FILTER('Fund Investment Data'!$D:$D, 'Fund Investment Data'!$C:$C = $A13, 'Fund Investment Data'!$A:$A = J$1, 'Fund Investment Data'!$B:$B = 12),"""")"),"")</f>
        <v/>
      </c>
      <c r="K13" t="str">
        <f>IFERROR(__xludf.DUMMYFUNCTION("IFERROR(FILTER('Fund Investment Data'!$D:$D, 'Fund Investment Data'!$C:$C = $A13, 'Fund Investment Data'!$A:$A = K$1, 'Fund Investment Data'!$B:$B = 12),"""")"),"")</f>
        <v/>
      </c>
      <c r="L13">
        <f>IFERROR(__xludf.DUMMYFUNCTION("IFERROR(FILTER('Fund Investment Data'!$D:$D, 'Fund Investment Data'!$C:$C = $A13, 'Fund Investment Data'!$A:$A = L$1, 'Fund Investment Data'!$B:$B = 12),"""")"),100.0)</f>
        <v>100</v>
      </c>
      <c r="M13">
        <f>IFERROR(__xludf.DUMMYFUNCTION("IFERROR(FILTER('Fund Investment Data'!$D:$D, 'Fund Investment Data'!$C:$C = $A13, 'Fund Investment Data'!$A:$A = M$1, 'Fund Investment Data'!$B:$B = 12),"""")"),10100.0)</f>
        <v>10100</v>
      </c>
      <c r="N13">
        <f>IFERROR(__xludf.DUMMYFUNCTION("IFERROR(FILTER('Fund Investment Data'!$D:$D, 'Fund Investment Data'!$C:$C = $A13, 'Fund Investment Data'!$A:$A = N$1, 'Fund Investment Data'!$B:$B = 12),"""")"),10000.0)</f>
        <v>10000</v>
      </c>
      <c r="O13">
        <f>IFERROR(__xludf.DUMMYFUNCTION("IFERROR(FILTER('Fund Investment Data'!$D:$D, 'Fund Investment Data'!$C:$C = $A13, 'Fund Investment Data'!$A:$A = O$1, 'Fund Investment Data'!$B:$B = 12),"""")"),10000.0)</f>
        <v>10000</v>
      </c>
      <c r="P13">
        <f>IFERROR(__xludf.DUMMYFUNCTION("IFERROR(FILTER('Fund Investment Data'!$D:$D, 'Fund Investment Data'!$C:$C = $A13, 'Fund Investment Data'!$A:$A = P$1, 'Fund Investment Data'!$B:$B = 12),"""")"),20000.0)</f>
        <v>20000</v>
      </c>
      <c r="Q13">
        <f>IFERROR(__xludf.DUMMYFUNCTION("IFERROR(FILTER('Fund Investment Data'!$D:$D, 'Fund Investment Data'!$C:$C = $A13, 'Fund Investment Data'!$A:$A = Q$1, 'Fund Investment Data'!$B:$B = 12),"""")"),30000.0)</f>
        <v>30000</v>
      </c>
      <c r="R13">
        <f>IFERROR(__xludf.DUMMYFUNCTION("IFERROR(FILTER('Fund Investment Data'!$D:$D, 'Fund Investment Data'!$C:$C = $A13, 'Fund Investment Data'!$A:$A = R$1, 'Fund Investment Data'!$B:$B = 12),"""")"),42000.0)</f>
        <v>42000</v>
      </c>
      <c r="S13">
        <f>IFERROR(__xludf.DUMMYFUNCTION("IFERROR(FILTER('Fund Investment Data'!$D:$D, 'Fund Investment Data'!$C:$C = $A13, 'Fund Investment Data'!$A:$A = S$1, 'Fund Investment Data'!$B:$B = 12),"""")"),20000.0)</f>
        <v>20000</v>
      </c>
      <c r="T13">
        <f>IFERROR(__xludf.DUMMYFUNCTION("IFERROR(FILTER('Fund Investment Data'!$D:$D, 'Fund Investment Data'!$C:$C = $A13, 'Fund Investment Data'!$A:$A = T$1, 'Fund Investment Data'!$B:$B = 12),"""")"),18000.0)</f>
        <v>18000</v>
      </c>
      <c r="U13" t="str">
        <f>IFERROR(__xludf.DUMMYFUNCTION("IFERROR(FILTER('Fund Investment Data'!$D:$D, 'Fund Investment Data'!$C:$C = $A13, 'Fund Investment Data'!$A:$A = U$1, 'Fund Investment Data'!$B:$B = 12),"""")"),"")</f>
        <v/>
      </c>
      <c r="V13" t="str">
        <f>IFERROR(__xludf.DUMMYFUNCTION("IFERROR(FILTER('Fund Investment Data'!$D:$D, 'Fund Investment Data'!$C:$C = $A13, 'Fund Investment Data'!$A:$A = V$1, 'Fund Investment Data'!$B:$B = 12),"""")"),"")</f>
        <v/>
      </c>
      <c r="W13" t="str">
        <f>IFERROR(__xludf.DUMMYFUNCTION("IFERROR(FILTER('Fund Investment Data'!$D:$D, 'Fund Investment Data'!$C:$C = $A13, 'Fund Investment Data'!$A:$A = W$1, 'Fund Investment Data'!$B:$B = 12),"""")"),"")</f>
        <v/>
      </c>
      <c r="X13" t="str">
        <f>IFERROR(__xludf.DUMMYFUNCTION("IFERROR(FILTER('Fund Investment Data'!$D:$D, 'Fund Investment Data'!$C:$C = $A13, 'Fund Investment Data'!$A:$A = X$1, 'Fund Investment Data'!$B:$B = 12),"""")"),"")</f>
        <v/>
      </c>
      <c r="Y13" t="str">
        <f>IFERROR(__xludf.DUMMYFUNCTION("IFERROR(FILTER('Fund Investment Data'!$D:$D, 'Fund Investment Data'!$C:$C = $A13, 'Fund Investment Data'!$A:$A = Y$1, 'Fund Investment Data'!$B:$B = 12),"""")"),"")</f>
        <v/>
      </c>
      <c r="Z13" t="str">
        <f>IFERROR(__xludf.DUMMYFUNCTION("IFERROR(FILTER('Fund Investment Data'!$D:$D, 'Fund Investment Data'!$C:$C = $A13, 'Fund Investment Data'!$A:$A = Z$1, 'Fund Investment Data'!$B:$B = 12),"""")"),"")</f>
        <v/>
      </c>
      <c r="AA13" t="str">
        <f>IFERROR(__xludf.DUMMYFUNCTION("IFERROR(FILTER('Fund Investment Data'!$D:$D, 'Fund Investment Data'!$C:$C = $A13, 'Fund Investment Data'!$A:$A = AA$1, 'Fund Investment Data'!$B:$B = 12),"""")"),"")</f>
        <v/>
      </c>
      <c r="AB13" t="str">
        <f>IFERROR(__xludf.DUMMYFUNCTION("IFERROR(FILTER('Fund Investment Data'!$D:$D, 'Fund Investment Data'!$C:$C = $A13, 'Fund Investment Data'!$A:$A = AB$1, 'Fund Investment Data'!$B:$B = 12),"""")"),"")</f>
        <v/>
      </c>
      <c r="AC13" t="str">
        <f>IFERROR(__xludf.DUMMYFUNCTION("IFERROR(FILTER('Fund Investment Data'!$D:$D, 'Fund Investment Data'!$C:$C = $A13, 'Fund Investment Data'!$A:$A = AC$1, 'Fund Investment Data'!$B:$B = 12),"""")"),"")</f>
        <v/>
      </c>
      <c r="AD13" t="str">
        <f>IFERROR(__xludf.DUMMYFUNCTION("IFERROR(FILTER('Fund Investment Data'!$D:$D, 'Fund Investment Data'!$C:$C = $A13, 'Fund Investment Data'!$A:$A = AD$1, 'Fund Investment Data'!$B:$B = 12),"""")"),"")</f>
        <v/>
      </c>
      <c r="AE13">
        <f>IFERROR(__xludf.DUMMYFUNCTION("IFERROR(FILTER('Fund Investment Data'!$D:$D, 'Fund Investment Data'!$C:$C = $A13, 'Fund Investment Data'!$A:$A = AE$1, 'Fund Investment Data'!$B:$B = 12),"""")"),0.0)</f>
        <v>0</v>
      </c>
    </row>
    <row r="14">
      <c r="A14" s="151" t="str">
        <f>'Endowed Funds'!A:A</f>
        <v>Eleanor &amp; Robert A. McClevey Jr., Chair in Education</v>
      </c>
      <c r="B14" t="str">
        <f>IFERROR(__xludf.DUMMYFUNCTION("IFERROR(FILTER('Fund Investment Data'!$D:$D, 'Fund Investment Data'!$C:$C = $A14, 'Fund Investment Data'!$A:$A = B$1, 'Fund Investment Data'!$B:$B = 12),"""")"),"")</f>
        <v/>
      </c>
      <c r="C14" t="str">
        <f>IFERROR(__xludf.DUMMYFUNCTION("IFERROR(FILTER('Fund Investment Data'!$D:$D, 'Fund Investment Data'!$C:$C = $A14, 'Fund Investment Data'!$A:$A = C$1, 'Fund Investment Data'!$B:$B = 12),"""")"),"")</f>
        <v/>
      </c>
      <c r="D14" t="str">
        <f>IFERROR(__xludf.DUMMYFUNCTION("IFERROR(FILTER('Fund Investment Data'!$D:$D, 'Fund Investment Data'!$C:$C = $A14, 'Fund Investment Data'!$A:$A = D$1, 'Fund Investment Data'!$B:$B = 12),"""")"),"")</f>
        <v/>
      </c>
      <c r="E14" t="str">
        <f>IFERROR(__xludf.DUMMYFUNCTION("IFERROR(FILTER('Fund Investment Data'!$D:$D, 'Fund Investment Data'!$C:$C = $A14, 'Fund Investment Data'!$A:$A = E$1, 'Fund Investment Data'!$B:$B = 12),"""")"),"")</f>
        <v/>
      </c>
      <c r="F14" t="str">
        <f>IFERROR(__xludf.DUMMYFUNCTION("IFERROR(FILTER('Fund Investment Data'!$D:$D, 'Fund Investment Data'!$C:$C = $A14, 'Fund Investment Data'!$A:$A = F$1, 'Fund Investment Data'!$B:$B = 12),"""")"),"")</f>
        <v/>
      </c>
      <c r="G14" t="str">
        <f>IFERROR(__xludf.DUMMYFUNCTION("IFERROR(FILTER('Fund Investment Data'!$D:$D, 'Fund Investment Data'!$C:$C = $A14, 'Fund Investment Data'!$A:$A = G$1, 'Fund Investment Data'!$B:$B = 12),"""")"),"")</f>
        <v/>
      </c>
      <c r="H14" t="str">
        <f>IFERROR(__xludf.DUMMYFUNCTION("IFERROR(FILTER('Fund Investment Data'!$D:$D, 'Fund Investment Data'!$C:$C = $A14, 'Fund Investment Data'!$A:$A = H$1, 'Fund Investment Data'!$B:$B = 12),"""")"),"")</f>
        <v/>
      </c>
      <c r="I14" t="str">
        <f>IFERROR(__xludf.DUMMYFUNCTION("IFERROR(FILTER('Fund Investment Data'!$D:$D, 'Fund Investment Data'!$C:$C = $A14, 'Fund Investment Data'!$A:$A = I$1, 'Fund Investment Data'!$B:$B = 12),"""")"),"")</f>
        <v/>
      </c>
      <c r="J14" t="str">
        <f>IFERROR(__xludf.DUMMYFUNCTION("IFERROR(FILTER('Fund Investment Data'!$D:$D, 'Fund Investment Data'!$C:$C = $A14, 'Fund Investment Data'!$A:$A = J$1, 'Fund Investment Data'!$B:$B = 12),"""")"),"")</f>
        <v/>
      </c>
      <c r="K14" t="str">
        <f>IFERROR(__xludf.DUMMYFUNCTION("IFERROR(FILTER('Fund Investment Data'!$D:$D, 'Fund Investment Data'!$C:$C = $A14, 'Fund Investment Data'!$A:$A = K$1, 'Fund Investment Data'!$B:$B = 12),"""")"),"")</f>
        <v/>
      </c>
      <c r="L14" t="str">
        <f>IFERROR(__xludf.DUMMYFUNCTION("IFERROR(FILTER('Fund Investment Data'!$D:$D, 'Fund Investment Data'!$C:$C = $A14, 'Fund Investment Data'!$A:$A = L$1, 'Fund Investment Data'!$B:$B = 12),"""")"),"")</f>
        <v/>
      </c>
      <c r="M14" t="str">
        <f>IFERROR(__xludf.DUMMYFUNCTION("IFERROR(FILTER('Fund Investment Data'!$D:$D, 'Fund Investment Data'!$C:$C = $A14, 'Fund Investment Data'!$A:$A = M$1, 'Fund Investment Data'!$B:$B = 12),"""")"),"")</f>
        <v/>
      </c>
      <c r="N14" t="str">
        <f>IFERROR(__xludf.DUMMYFUNCTION("IFERROR(FILTER('Fund Investment Data'!$D:$D, 'Fund Investment Data'!$C:$C = $A14, 'Fund Investment Data'!$A:$A = N$1, 'Fund Investment Data'!$B:$B = 12),"""")"),"")</f>
        <v/>
      </c>
      <c r="O14" t="str">
        <f>IFERROR(__xludf.DUMMYFUNCTION("IFERROR(FILTER('Fund Investment Data'!$D:$D, 'Fund Investment Data'!$C:$C = $A14, 'Fund Investment Data'!$A:$A = O$1, 'Fund Investment Data'!$B:$B = 12),"""")"),"")</f>
        <v/>
      </c>
      <c r="P14" t="str">
        <f>IFERROR(__xludf.DUMMYFUNCTION("IFERROR(FILTER('Fund Investment Data'!$D:$D, 'Fund Investment Data'!$C:$C = $A14, 'Fund Investment Data'!$A:$A = P$1, 'Fund Investment Data'!$B:$B = 12),"""")"),"")</f>
        <v/>
      </c>
      <c r="Q14" t="str">
        <f>IFERROR(__xludf.DUMMYFUNCTION("IFERROR(FILTER('Fund Investment Data'!$D:$D, 'Fund Investment Data'!$C:$C = $A14, 'Fund Investment Data'!$A:$A = Q$1, 'Fund Investment Data'!$B:$B = 12),"""")"),"")</f>
        <v/>
      </c>
      <c r="R14" t="str">
        <f>IFERROR(__xludf.DUMMYFUNCTION("IFERROR(FILTER('Fund Investment Data'!$D:$D, 'Fund Investment Data'!$C:$C = $A14, 'Fund Investment Data'!$A:$A = R$1, 'Fund Investment Data'!$B:$B = 12),"""")"),"")</f>
        <v/>
      </c>
      <c r="S14" t="str">
        <f>IFERROR(__xludf.DUMMYFUNCTION("IFERROR(FILTER('Fund Investment Data'!$D:$D, 'Fund Investment Data'!$C:$C = $A14, 'Fund Investment Data'!$A:$A = S$1, 'Fund Investment Data'!$B:$B = 12),"""")"),"")</f>
        <v/>
      </c>
      <c r="T14" t="str">
        <f>IFERROR(__xludf.DUMMYFUNCTION("IFERROR(FILTER('Fund Investment Data'!$D:$D, 'Fund Investment Data'!$C:$C = $A14, 'Fund Investment Data'!$A:$A = T$1, 'Fund Investment Data'!$B:$B = 12),"""")"),"")</f>
        <v/>
      </c>
      <c r="U14" t="str">
        <f>IFERROR(__xludf.DUMMYFUNCTION("IFERROR(FILTER('Fund Investment Data'!$D:$D, 'Fund Investment Data'!$C:$C = $A14, 'Fund Investment Data'!$A:$A = U$1, 'Fund Investment Data'!$B:$B = 12),"""")"),"")</f>
        <v/>
      </c>
      <c r="V14" t="str">
        <f>IFERROR(__xludf.DUMMYFUNCTION("IFERROR(FILTER('Fund Investment Data'!$D:$D, 'Fund Investment Data'!$C:$C = $A14, 'Fund Investment Data'!$A:$A = V$1, 'Fund Investment Data'!$B:$B = 12),"""")"),"")</f>
        <v/>
      </c>
      <c r="W14">
        <f>IFERROR(__xludf.DUMMYFUNCTION("IFERROR(FILTER('Fund Investment Data'!$D:$D, 'Fund Investment Data'!$C:$C = $A14, 'Fund Investment Data'!$A:$A = W$1, 'Fund Investment Data'!$B:$B = 12),"""")"),738137.86)</f>
        <v>738137.86</v>
      </c>
      <c r="X14" t="str">
        <f>IFERROR(__xludf.DUMMYFUNCTION("IFERROR(FILTER('Fund Investment Data'!$D:$D, 'Fund Investment Data'!$C:$C = $A14, 'Fund Investment Data'!$A:$A = X$1, 'Fund Investment Data'!$B:$B = 12),"""")"),"")</f>
        <v/>
      </c>
      <c r="Y14">
        <f>IFERROR(__xludf.DUMMYFUNCTION("IFERROR(FILTER('Fund Investment Data'!$D:$D, 'Fund Investment Data'!$C:$C = $A14, 'Fund Investment Data'!$A:$A = Y$1, 'Fund Investment Data'!$B:$B = 12),"""")"),20000.0)</f>
        <v>20000</v>
      </c>
      <c r="Z14" t="str">
        <f>IFERROR(__xludf.DUMMYFUNCTION("IFERROR(FILTER('Fund Investment Data'!$D:$D, 'Fund Investment Data'!$C:$C = $A14, 'Fund Investment Data'!$A:$A = Z$1, 'Fund Investment Data'!$B:$B = 12),"""")"),"")</f>
        <v/>
      </c>
      <c r="AA14" t="str">
        <f>IFERROR(__xludf.DUMMYFUNCTION("IFERROR(FILTER('Fund Investment Data'!$D:$D, 'Fund Investment Data'!$C:$C = $A14, 'Fund Investment Data'!$A:$A = AA$1, 'Fund Investment Data'!$B:$B = 12),"""")"),"")</f>
        <v/>
      </c>
      <c r="AB14" t="str">
        <f>IFERROR(__xludf.DUMMYFUNCTION("IFERROR(FILTER('Fund Investment Data'!$D:$D, 'Fund Investment Data'!$C:$C = $A14, 'Fund Investment Data'!$A:$A = AB$1, 'Fund Investment Data'!$B:$B = 12),"""")"),"")</f>
        <v/>
      </c>
      <c r="AC14" t="str">
        <f>IFERROR(__xludf.DUMMYFUNCTION("IFERROR(FILTER('Fund Investment Data'!$D:$D, 'Fund Investment Data'!$C:$C = $A14, 'Fund Investment Data'!$A:$A = AC$1, 'Fund Investment Data'!$B:$B = 12),"""")"),"")</f>
        <v/>
      </c>
      <c r="AD14" t="str">
        <f>IFERROR(__xludf.DUMMYFUNCTION("IFERROR(FILTER('Fund Investment Data'!$D:$D, 'Fund Investment Data'!$C:$C = $A14, 'Fund Investment Data'!$A:$A = AD$1, 'Fund Investment Data'!$B:$B = 12),"""")"),"")</f>
        <v/>
      </c>
      <c r="AE14">
        <f>IFERROR(__xludf.DUMMYFUNCTION("IFERROR(FILTER('Fund Investment Data'!$D:$D, 'Fund Investment Data'!$C:$C = $A14, 'Fund Investment Data'!$A:$A = AE$1, 'Fund Investment Data'!$B:$B = 12),"""")"),0.0)</f>
        <v>0</v>
      </c>
    </row>
    <row r="15">
      <c r="A15" s="151" t="str">
        <f>'Endowed Funds'!A:A</f>
        <v>Four Corners Children's Education Fund</v>
      </c>
      <c r="B15" t="str">
        <f>IFERROR(__xludf.DUMMYFUNCTION("IFERROR(FILTER('Fund Investment Data'!$D:$D, 'Fund Investment Data'!$C:$C = $A15, 'Fund Investment Data'!$A:$A = B$1, 'Fund Investment Data'!$B:$B = 12),"""")"),"")</f>
        <v/>
      </c>
      <c r="C15" t="str">
        <f>IFERROR(__xludf.DUMMYFUNCTION("IFERROR(FILTER('Fund Investment Data'!$D:$D, 'Fund Investment Data'!$C:$C = $A15, 'Fund Investment Data'!$A:$A = C$1, 'Fund Investment Data'!$B:$B = 12),"""")"),"")</f>
        <v/>
      </c>
      <c r="D15" t="str">
        <f>IFERROR(__xludf.DUMMYFUNCTION("IFERROR(FILTER('Fund Investment Data'!$D:$D, 'Fund Investment Data'!$C:$C = $A15, 'Fund Investment Data'!$A:$A = D$1, 'Fund Investment Data'!$B:$B = 12),"""")"),"")</f>
        <v/>
      </c>
      <c r="E15" t="str">
        <f>IFERROR(__xludf.DUMMYFUNCTION("IFERROR(FILTER('Fund Investment Data'!$D:$D, 'Fund Investment Data'!$C:$C = $A15, 'Fund Investment Data'!$A:$A = E$1, 'Fund Investment Data'!$B:$B = 12),"""")"),"")</f>
        <v/>
      </c>
      <c r="F15" t="str">
        <f>IFERROR(__xludf.DUMMYFUNCTION("IFERROR(FILTER('Fund Investment Data'!$D:$D, 'Fund Investment Data'!$C:$C = $A15, 'Fund Investment Data'!$A:$A = F$1, 'Fund Investment Data'!$B:$B = 12),"""")"),"")</f>
        <v/>
      </c>
      <c r="G15" t="str">
        <f>IFERROR(__xludf.DUMMYFUNCTION("IFERROR(FILTER('Fund Investment Data'!$D:$D, 'Fund Investment Data'!$C:$C = $A15, 'Fund Investment Data'!$A:$A = G$1, 'Fund Investment Data'!$B:$B = 12),"""")"),"")</f>
        <v/>
      </c>
      <c r="H15" t="str">
        <f>IFERROR(__xludf.DUMMYFUNCTION("IFERROR(FILTER('Fund Investment Data'!$D:$D, 'Fund Investment Data'!$C:$C = $A15, 'Fund Investment Data'!$A:$A = H$1, 'Fund Investment Data'!$B:$B = 12),"""")"),"")</f>
        <v/>
      </c>
      <c r="I15" t="str">
        <f>IFERROR(__xludf.DUMMYFUNCTION("IFERROR(FILTER('Fund Investment Data'!$D:$D, 'Fund Investment Data'!$C:$C = $A15, 'Fund Investment Data'!$A:$A = I$1, 'Fund Investment Data'!$B:$B = 12),"""")"),"")</f>
        <v/>
      </c>
      <c r="J15" t="str">
        <f>IFERROR(__xludf.DUMMYFUNCTION("IFERROR(FILTER('Fund Investment Data'!$D:$D, 'Fund Investment Data'!$C:$C = $A15, 'Fund Investment Data'!$A:$A = J$1, 'Fund Investment Data'!$B:$B = 12),"""")"),"")</f>
        <v/>
      </c>
      <c r="K15" t="str">
        <f>IFERROR(__xludf.DUMMYFUNCTION("IFERROR(FILTER('Fund Investment Data'!$D:$D, 'Fund Investment Data'!$C:$C = $A15, 'Fund Investment Data'!$A:$A = K$1, 'Fund Investment Data'!$B:$B = 12),"""")"),"")</f>
        <v/>
      </c>
      <c r="L15" t="str">
        <f>IFERROR(__xludf.DUMMYFUNCTION("IFERROR(FILTER('Fund Investment Data'!$D:$D, 'Fund Investment Data'!$C:$C = $A15, 'Fund Investment Data'!$A:$A = L$1, 'Fund Investment Data'!$B:$B = 12),"""")"),"")</f>
        <v/>
      </c>
      <c r="M15" t="str">
        <f>IFERROR(__xludf.DUMMYFUNCTION("IFERROR(FILTER('Fund Investment Data'!$D:$D, 'Fund Investment Data'!$C:$C = $A15, 'Fund Investment Data'!$A:$A = M$1, 'Fund Investment Data'!$B:$B = 12),"""")"),"")</f>
        <v/>
      </c>
      <c r="N15" t="str">
        <f>IFERROR(__xludf.DUMMYFUNCTION("IFERROR(FILTER('Fund Investment Data'!$D:$D, 'Fund Investment Data'!$C:$C = $A15, 'Fund Investment Data'!$A:$A = N$1, 'Fund Investment Data'!$B:$B = 12),"""")"),"")</f>
        <v/>
      </c>
      <c r="O15" t="str">
        <f>IFERROR(__xludf.DUMMYFUNCTION("IFERROR(FILTER('Fund Investment Data'!$D:$D, 'Fund Investment Data'!$C:$C = $A15, 'Fund Investment Data'!$A:$A = O$1, 'Fund Investment Data'!$B:$B = 12),"""")"),"")</f>
        <v/>
      </c>
      <c r="P15">
        <f>IFERROR(__xludf.DUMMYFUNCTION("IFERROR(FILTER('Fund Investment Data'!$D:$D, 'Fund Investment Data'!$C:$C = $A15, 'Fund Investment Data'!$A:$A = P$1, 'Fund Investment Data'!$B:$B = 12),"""")"),104901.77)</f>
        <v>104901.77</v>
      </c>
      <c r="Q15">
        <f>IFERROR(__xludf.DUMMYFUNCTION("IFERROR(FILTER('Fund Investment Data'!$D:$D, 'Fund Investment Data'!$C:$C = $A15, 'Fund Investment Data'!$A:$A = Q$1, 'Fund Investment Data'!$B:$B = 12),"""")"),119000.0)</f>
        <v>119000</v>
      </c>
      <c r="R15">
        <f>IFERROR(__xludf.DUMMYFUNCTION("IFERROR(FILTER('Fund Investment Data'!$D:$D, 'Fund Investment Data'!$C:$C = $A15, 'Fund Investment Data'!$A:$A = R$1, 'Fund Investment Data'!$B:$B = 12),"""")"),255446.45)</f>
        <v>255446.45</v>
      </c>
      <c r="S15">
        <f>IFERROR(__xludf.DUMMYFUNCTION("IFERROR(FILTER('Fund Investment Data'!$D:$D, 'Fund Investment Data'!$C:$C = $A15, 'Fund Investment Data'!$A:$A = S$1, 'Fund Investment Data'!$B:$B = 12),"""")"),45843.42)</f>
        <v>45843.42</v>
      </c>
      <c r="T15">
        <f>IFERROR(__xludf.DUMMYFUNCTION("IFERROR(FILTER('Fund Investment Data'!$D:$D, 'Fund Investment Data'!$C:$C = $A15, 'Fund Investment Data'!$A:$A = T$1, 'Fund Investment Data'!$B:$B = 12),"""")"),10000.0)</f>
        <v>10000</v>
      </c>
      <c r="U15">
        <f>IFERROR(__xludf.DUMMYFUNCTION("IFERROR(FILTER('Fund Investment Data'!$D:$D, 'Fund Investment Data'!$C:$C = $A15, 'Fund Investment Data'!$A:$A = U$1, 'Fund Investment Data'!$B:$B = 12),"""")"),5000.0)</f>
        <v>5000</v>
      </c>
      <c r="V15">
        <f>IFERROR(__xludf.DUMMYFUNCTION("IFERROR(FILTER('Fund Investment Data'!$D:$D, 'Fund Investment Data'!$C:$C = $A15, 'Fund Investment Data'!$A:$A = V$1, 'Fund Investment Data'!$B:$B = 12),"""")"),10000.0)</f>
        <v>10000</v>
      </c>
      <c r="W15">
        <f>IFERROR(__xludf.DUMMYFUNCTION("IFERROR(FILTER('Fund Investment Data'!$D:$D, 'Fund Investment Data'!$C:$C = $A15, 'Fund Investment Data'!$A:$A = W$1, 'Fund Investment Data'!$B:$B = 12),"""")"),2000.0)</f>
        <v>2000</v>
      </c>
      <c r="X15">
        <f>IFERROR(__xludf.DUMMYFUNCTION("IFERROR(FILTER('Fund Investment Data'!$D:$D, 'Fund Investment Data'!$C:$C = $A15, 'Fund Investment Data'!$A:$A = X$1, 'Fund Investment Data'!$B:$B = 12),"""")"),4410.0)</f>
        <v>4410</v>
      </c>
      <c r="Y15" t="str">
        <f>IFERROR(__xludf.DUMMYFUNCTION("IFERROR(FILTER('Fund Investment Data'!$D:$D, 'Fund Investment Data'!$C:$C = $A15, 'Fund Investment Data'!$A:$A = Y$1, 'Fund Investment Data'!$B:$B = 12),"""")"),"")</f>
        <v/>
      </c>
      <c r="Z15" t="str">
        <f>IFERROR(__xludf.DUMMYFUNCTION("IFERROR(FILTER('Fund Investment Data'!$D:$D, 'Fund Investment Data'!$C:$C = $A15, 'Fund Investment Data'!$A:$A = Z$1, 'Fund Investment Data'!$B:$B = 12),"""")"),"")</f>
        <v/>
      </c>
      <c r="AA15" t="str">
        <f>IFERROR(__xludf.DUMMYFUNCTION("IFERROR(FILTER('Fund Investment Data'!$D:$D, 'Fund Investment Data'!$C:$C = $A15, 'Fund Investment Data'!$A:$A = AA$1, 'Fund Investment Data'!$B:$B = 12),"""")"),"")</f>
        <v/>
      </c>
      <c r="AB15" t="str">
        <f>IFERROR(__xludf.DUMMYFUNCTION("IFERROR(FILTER('Fund Investment Data'!$D:$D, 'Fund Investment Data'!$C:$C = $A15, 'Fund Investment Data'!$A:$A = AB$1, 'Fund Investment Data'!$B:$B = 12),"""")"),"")</f>
        <v/>
      </c>
      <c r="AC15" t="str">
        <f>IFERROR(__xludf.DUMMYFUNCTION("IFERROR(FILTER('Fund Investment Data'!$D:$D, 'Fund Investment Data'!$C:$C = $A15, 'Fund Investment Data'!$A:$A = AC$1, 'Fund Investment Data'!$B:$B = 12),"""")"),"")</f>
        <v/>
      </c>
      <c r="AD15" t="str">
        <f>IFERROR(__xludf.DUMMYFUNCTION("IFERROR(FILTER('Fund Investment Data'!$D:$D, 'Fund Investment Data'!$C:$C = $A15, 'Fund Investment Data'!$A:$A = AD$1, 'Fund Investment Data'!$B:$B = 12),"""")"),"")</f>
        <v/>
      </c>
      <c r="AE15">
        <f>IFERROR(__xludf.DUMMYFUNCTION("IFERROR(FILTER('Fund Investment Data'!$D:$D, 'Fund Investment Data'!$C:$C = $A15, 'Fund Investment Data'!$A:$A = AE$1, 'Fund Investment Data'!$B:$B = 12),"""")"),0.0)</f>
        <v>0</v>
      </c>
    </row>
    <row r="16">
      <c r="A16" s="151" t="str">
        <f>'Endowed Funds'!A:A</f>
        <v>Grace M. and Thor E. Larsen Education Fund</v>
      </c>
      <c r="B16" t="str">
        <f>IFERROR(__xludf.DUMMYFUNCTION("IFERROR(FILTER('Fund Investment Data'!$D:$D, 'Fund Investment Data'!$C:$C = $A16, 'Fund Investment Data'!$A:$A = B$1, 'Fund Investment Data'!$B:$B = 12),"""")"),"")</f>
        <v/>
      </c>
      <c r="C16" t="str">
        <f>IFERROR(__xludf.DUMMYFUNCTION("IFERROR(FILTER('Fund Investment Data'!$D:$D, 'Fund Investment Data'!$C:$C = $A16, 'Fund Investment Data'!$A:$A = C$1, 'Fund Investment Data'!$B:$B = 12),"""")"),"")</f>
        <v/>
      </c>
      <c r="D16" t="str">
        <f>IFERROR(__xludf.DUMMYFUNCTION("IFERROR(FILTER('Fund Investment Data'!$D:$D, 'Fund Investment Data'!$C:$C = $A16, 'Fund Investment Data'!$A:$A = D$1, 'Fund Investment Data'!$B:$B = 12),"""")"),"")</f>
        <v/>
      </c>
      <c r="E16" t="str">
        <f>IFERROR(__xludf.DUMMYFUNCTION("IFERROR(FILTER('Fund Investment Data'!$D:$D, 'Fund Investment Data'!$C:$C = $A16, 'Fund Investment Data'!$A:$A = E$1, 'Fund Investment Data'!$B:$B = 12),"""")"),"")</f>
        <v/>
      </c>
      <c r="F16" t="str">
        <f>IFERROR(__xludf.DUMMYFUNCTION("IFERROR(FILTER('Fund Investment Data'!$D:$D, 'Fund Investment Data'!$C:$C = $A16, 'Fund Investment Data'!$A:$A = F$1, 'Fund Investment Data'!$B:$B = 12),"""")"),"")</f>
        <v/>
      </c>
      <c r="G16" t="str">
        <f>IFERROR(__xludf.DUMMYFUNCTION("IFERROR(FILTER('Fund Investment Data'!$D:$D, 'Fund Investment Data'!$C:$C = $A16, 'Fund Investment Data'!$A:$A = G$1, 'Fund Investment Data'!$B:$B = 12),"""")"),"")</f>
        <v/>
      </c>
      <c r="H16" t="str">
        <f>IFERROR(__xludf.DUMMYFUNCTION("IFERROR(FILTER('Fund Investment Data'!$D:$D, 'Fund Investment Data'!$C:$C = $A16, 'Fund Investment Data'!$A:$A = H$1, 'Fund Investment Data'!$B:$B = 12),"""")"),"")</f>
        <v/>
      </c>
      <c r="I16" t="str">
        <f>IFERROR(__xludf.DUMMYFUNCTION("IFERROR(FILTER('Fund Investment Data'!$D:$D, 'Fund Investment Data'!$C:$C = $A16, 'Fund Investment Data'!$A:$A = I$1, 'Fund Investment Data'!$B:$B = 12),"""")"),"")</f>
        <v/>
      </c>
      <c r="J16" t="str">
        <f>IFERROR(__xludf.DUMMYFUNCTION("IFERROR(FILTER('Fund Investment Data'!$D:$D, 'Fund Investment Data'!$C:$C = $A16, 'Fund Investment Data'!$A:$A = J$1, 'Fund Investment Data'!$B:$B = 12),"""")"),"")</f>
        <v/>
      </c>
      <c r="K16" t="str">
        <f>IFERROR(__xludf.DUMMYFUNCTION("IFERROR(FILTER('Fund Investment Data'!$D:$D, 'Fund Investment Data'!$C:$C = $A16, 'Fund Investment Data'!$A:$A = K$1, 'Fund Investment Data'!$B:$B = 12),"""")"),"")</f>
        <v/>
      </c>
      <c r="L16" t="str">
        <f>IFERROR(__xludf.DUMMYFUNCTION("IFERROR(FILTER('Fund Investment Data'!$D:$D, 'Fund Investment Data'!$C:$C = $A16, 'Fund Investment Data'!$A:$A = L$1, 'Fund Investment Data'!$B:$B = 12),"""")"),"")</f>
        <v/>
      </c>
      <c r="M16" t="str">
        <f>IFERROR(__xludf.DUMMYFUNCTION("IFERROR(FILTER('Fund Investment Data'!$D:$D, 'Fund Investment Data'!$C:$C = $A16, 'Fund Investment Data'!$A:$A = M$1, 'Fund Investment Data'!$B:$B = 12),"""")"),"")</f>
        <v/>
      </c>
      <c r="N16" t="str">
        <f>IFERROR(__xludf.DUMMYFUNCTION("IFERROR(FILTER('Fund Investment Data'!$D:$D, 'Fund Investment Data'!$C:$C = $A16, 'Fund Investment Data'!$A:$A = N$1, 'Fund Investment Data'!$B:$B = 12),"""")"),"")</f>
        <v/>
      </c>
      <c r="O16" t="str">
        <f>IFERROR(__xludf.DUMMYFUNCTION("IFERROR(FILTER('Fund Investment Data'!$D:$D, 'Fund Investment Data'!$C:$C = $A16, 'Fund Investment Data'!$A:$A = O$1, 'Fund Investment Data'!$B:$B = 12),"""")"),"")</f>
        <v/>
      </c>
      <c r="P16" t="str">
        <f>IFERROR(__xludf.DUMMYFUNCTION("IFERROR(FILTER('Fund Investment Data'!$D:$D, 'Fund Investment Data'!$C:$C = $A16, 'Fund Investment Data'!$A:$A = P$1, 'Fund Investment Data'!$B:$B = 12),"""")"),"")</f>
        <v/>
      </c>
      <c r="Q16" t="str">
        <f>IFERROR(__xludf.DUMMYFUNCTION("IFERROR(FILTER('Fund Investment Data'!$D:$D, 'Fund Investment Data'!$C:$C = $A16, 'Fund Investment Data'!$A:$A = Q$1, 'Fund Investment Data'!$B:$B = 12),"""")"),"")</f>
        <v/>
      </c>
      <c r="R16" t="str">
        <f>IFERROR(__xludf.DUMMYFUNCTION("IFERROR(FILTER('Fund Investment Data'!$D:$D, 'Fund Investment Data'!$C:$C = $A16, 'Fund Investment Data'!$A:$A = R$1, 'Fund Investment Data'!$B:$B = 12),"""")"),"")</f>
        <v/>
      </c>
      <c r="S16" t="str">
        <f>IFERROR(__xludf.DUMMYFUNCTION("IFERROR(FILTER('Fund Investment Data'!$D:$D, 'Fund Investment Data'!$C:$C = $A16, 'Fund Investment Data'!$A:$A = S$1, 'Fund Investment Data'!$B:$B = 12),"""")"),"")</f>
        <v/>
      </c>
      <c r="T16">
        <f>IFERROR(__xludf.DUMMYFUNCTION("IFERROR(FILTER('Fund Investment Data'!$D:$D, 'Fund Investment Data'!$C:$C = $A16, 'Fund Investment Data'!$A:$A = T$1, 'Fund Investment Data'!$B:$B = 12),"""")"),10000.0)</f>
        <v>10000</v>
      </c>
      <c r="U16">
        <f>IFERROR(__xludf.DUMMYFUNCTION("IFERROR(FILTER('Fund Investment Data'!$D:$D, 'Fund Investment Data'!$C:$C = $A16, 'Fund Investment Data'!$A:$A = U$1, 'Fund Investment Data'!$B:$B = 12),"""")"),10000.0)</f>
        <v>10000</v>
      </c>
      <c r="V16">
        <f>IFERROR(__xludf.DUMMYFUNCTION("IFERROR(FILTER('Fund Investment Data'!$D:$D, 'Fund Investment Data'!$C:$C = $A16, 'Fund Investment Data'!$A:$A = V$1, 'Fund Investment Data'!$B:$B = 12),"""")"),20000.0)</f>
        <v>20000</v>
      </c>
      <c r="W16">
        <f>IFERROR(__xludf.DUMMYFUNCTION("IFERROR(FILTER('Fund Investment Data'!$D:$D, 'Fund Investment Data'!$C:$C = $A16, 'Fund Investment Data'!$A:$A = W$1, 'Fund Investment Data'!$B:$B = 12),"""")"),20000.0)</f>
        <v>20000</v>
      </c>
      <c r="X16">
        <f>IFERROR(__xludf.DUMMYFUNCTION("IFERROR(FILTER('Fund Investment Data'!$D:$D, 'Fund Investment Data'!$C:$C = $A16, 'Fund Investment Data'!$A:$A = X$1, 'Fund Investment Data'!$B:$B = 12),"""")"),30000.0)</f>
        <v>30000</v>
      </c>
      <c r="Y16">
        <f>IFERROR(__xludf.DUMMYFUNCTION("IFERROR(FILTER('Fund Investment Data'!$D:$D, 'Fund Investment Data'!$C:$C = $A16, 'Fund Investment Data'!$A:$A = Y$1, 'Fund Investment Data'!$B:$B = 12),"""")"),10000.0)</f>
        <v>10000</v>
      </c>
      <c r="Z16">
        <f>IFERROR(__xludf.DUMMYFUNCTION("IFERROR(FILTER('Fund Investment Data'!$D:$D, 'Fund Investment Data'!$C:$C = $A16, 'Fund Investment Data'!$A:$A = Z$1, 'Fund Investment Data'!$B:$B = 12),"""")"),10000.0)</f>
        <v>10000</v>
      </c>
      <c r="AA16">
        <f>IFERROR(__xludf.DUMMYFUNCTION("IFERROR(FILTER('Fund Investment Data'!$D:$D, 'Fund Investment Data'!$C:$C = $A16, 'Fund Investment Data'!$A:$A = AA$1, 'Fund Investment Data'!$B:$B = 12),"""")"),15000.0)</f>
        <v>15000</v>
      </c>
      <c r="AB16">
        <f>IFERROR(__xludf.DUMMYFUNCTION("IFERROR(FILTER('Fund Investment Data'!$D:$D, 'Fund Investment Data'!$C:$C = $A16, 'Fund Investment Data'!$A:$A = AB$1, 'Fund Investment Data'!$B:$B = 12),"""")"),15000.0)</f>
        <v>15000</v>
      </c>
      <c r="AC16">
        <f>IFERROR(__xludf.DUMMYFUNCTION("IFERROR(FILTER('Fund Investment Data'!$D:$D, 'Fund Investment Data'!$C:$C = $A16, 'Fund Investment Data'!$A:$A = AC$1, 'Fund Investment Data'!$B:$B = 12),"""")"),15000.0)</f>
        <v>15000</v>
      </c>
      <c r="AD16">
        <f>IFERROR(__xludf.DUMMYFUNCTION("IFERROR(FILTER('Fund Investment Data'!$D:$D, 'Fund Investment Data'!$C:$C = $A16, 'Fund Investment Data'!$A:$A = AD$1, 'Fund Investment Data'!$B:$B = 12),"""")"),15000.0)</f>
        <v>15000</v>
      </c>
      <c r="AE16">
        <f>IFERROR(__xludf.DUMMYFUNCTION("IFERROR(FILTER('Fund Investment Data'!$D:$D, 'Fund Investment Data'!$C:$C = $A16, 'Fund Investment Data'!$A:$A = AE$1, 'Fund Investment Data'!$B:$B = 12),"""")"),15000.0)</f>
        <v>15000</v>
      </c>
    </row>
    <row r="17">
      <c r="A17" s="151" t="str">
        <f>'Endowed Funds'!A:A</f>
        <v>Lew Matis Education Fund</v>
      </c>
      <c r="B17" t="str">
        <f>IFERROR(__xludf.DUMMYFUNCTION("IFERROR(FILTER('Fund Investment Data'!$D:$D, 'Fund Investment Data'!$C:$C = $A17, 'Fund Investment Data'!$A:$A = B$1, 'Fund Investment Data'!$B:$B = 12),"""")"),"")</f>
        <v/>
      </c>
      <c r="C17" t="str">
        <f>IFERROR(__xludf.DUMMYFUNCTION("IFERROR(FILTER('Fund Investment Data'!$D:$D, 'Fund Investment Data'!$C:$C = $A17, 'Fund Investment Data'!$A:$A = C$1, 'Fund Investment Data'!$B:$B = 12),"""")"),"")</f>
        <v/>
      </c>
      <c r="D17" t="str">
        <f>IFERROR(__xludf.DUMMYFUNCTION("IFERROR(FILTER('Fund Investment Data'!$D:$D, 'Fund Investment Data'!$C:$C = $A17, 'Fund Investment Data'!$A:$A = D$1, 'Fund Investment Data'!$B:$B = 12),"""")"),"")</f>
        <v/>
      </c>
      <c r="E17" t="str">
        <f>IFERROR(__xludf.DUMMYFUNCTION("IFERROR(FILTER('Fund Investment Data'!$D:$D, 'Fund Investment Data'!$C:$C = $A17, 'Fund Investment Data'!$A:$A = E$1, 'Fund Investment Data'!$B:$B = 12),"""")"),"")</f>
        <v/>
      </c>
      <c r="F17" t="str">
        <f>IFERROR(__xludf.DUMMYFUNCTION("IFERROR(FILTER('Fund Investment Data'!$D:$D, 'Fund Investment Data'!$C:$C = $A17, 'Fund Investment Data'!$A:$A = F$1, 'Fund Investment Data'!$B:$B = 12),"""")"),"")</f>
        <v/>
      </c>
      <c r="G17" t="str">
        <f>IFERROR(__xludf.DUMMYFUNCTION("IFERROR(FILTER('Fund Investment Data'!$D:$D, 'Fund Investment Data'!$C:$C = $A17, 'Fund Investment Data'!$A:$A = G$1, 'Fund Investment Data'!$B:$B = 12),"""")"),"")</f>
        <v/>
      </c>
      <c r="H17" t="str">
        <f>IFERROR(__xludf.DUMMYFUNCTION("IFERROR(FILTER('Fund Investment Data'!$D:$D, 'Fund Investment Data'!$C:$C = $A17, 'Fund Investment Data'!$A:$A = H$1, 'Fund Investment Data'!$B:$B = 12),"""")"),"")</f>
        <v/>
      </c>
      <c r="I17" t="str">
        <f>IFERROR(__xludf.DUMMYFUNCTION("IFERROR(FILTER('Fund Investment Data'!$D:$D, 'Fund Investment Data'!$C:$C = $A17, 'Fund Investment Data'!$A:$A = I$1, 'Fund Investment Data'!$B:$B = 12),"""")"),"")</f>
        <v/>
      </c>
      <c r="J17" t="str">
        <f>IFERROR(__xludf.DUMMYFUNCTION("IFERROR(FILTER('Fund Investment Data'!$D:$D, 'Fund Investment Data'!$C:$C = $A17, 'Fund Investment Data'!$A:$A = J$1, 'Fund Investment Data'!$B:$B = 12),"""")"),"")</f>
        <v/>
      </c>
      <c r="K17" t="str">
        <f>IFERROR(__xludf.DUMMYFUNCTION("IFERROR(FILTER('Fund Investment Data'!$D:$D, 'Fund Investment Data'!$C:$C = $A17, 'Fund Investment Data'!$A:$A = K$1, 'Fund Investment Data'!$B:$B = 12),"""")"),"")</f>
        <v/>
      </c>
      <c r="L17" t="str">
        <f>IFERROR(__xludf.DUMMYFUNCTION("IFERROR(FILTER('Fund Investment Data'!$D:$D, 'Fund Investment Data'!$C:$C = $A17, 'Fund Investment Data'!$A:$A = L$1, 'Fund Investment Data'!$B:$B = 12),"""")"),"")</f>
        <v/>
      </c>
      <c r="M17" t="str">
        <f>IFERROR(__xludf.DUMMYFUNCTION("IFERROR(FILTER('Fund Investment Data'!$D:$D, 'Fund Investment Data'!$C:$C = $A17, 'Fund Investment Data'!$A:$A = M$1, 'Fund Investment Data'!$B:$B = 12),"""")"),"")</f>
        <v/>
      </c>
      <c r="N17" t="str">
        <f>IFERROR(__xludf.DUMMYFUNCTION("IFERROR(FILTER('Fund Investment Data'!$D:$D, 'Fund Investment Data'!$C:$C = $A17, 'Fund Investment Data'!$A:$A = N$1, 'Fund Investment Data'!$B:$B = 12),"""")"),"")</f>
        <v/>
      </c>
      <c r="O17" t="str">
        <f>IFERROR(__xludf.DUMMYFUNCTION("IFERROR(FILTER('Fund Investment Data'!$D:$D, 'Fund Investment Data'!$C:$C = $A17, 'Fund Investment Data'!$A:$A = O$1, 'Fund Investment Data'!$B:$B = 12),"""")"),"")</f>
        <v/>
      </c>
      <c r="P17" t="str">
        <f>IFERROR(__xludf.DUMMYFUNCTION("IFERROR(FILTER('Fund Investment Data'!$D:$D, 'Fund Investment Data'!$C:$C = $A17, 'Fund Investment Data'!$A:$A = P$1, 'Fund Investment Data'!$B:$B = 12),"""")"),"")</f>
        <v/>
      </c>
      <c r="Q17" t="str">
        <f>IFERROR(__xludf.DUMMYFUNCTION("IFERROR(FILTER('Fund Investment Data'!$D:$D, 'Fund Investment Data'!$C:$C = $A17, 'Fund Investment Data'!$A:$A = Q$1, 'Fund Investment Data'!$B:$B = 12),"""")"),"")</f>
        <v/>
      </c>
      <c r="R17">
        <f>IFERROR(__xludf.DUMMYFUNCTION("IFERROR(FILTER('Fund Investment Data'!$D:$D, 'Fund Investment Data'!$C:$C = $A17, 'Fund Investment Data'!$A:$A = R$1, 'Fund Investment Data'!$B:$B = 12),"""")"),125393.74)</f>
        <v>125393.74</v>
      </c>
      <c r="S17">
        <f>IFERROR(__xludf.DUMMYFUNCTION("IFERROR(FILTER('Fund Investment Data'!$D:$D, 'Fund Investment Data'!$C:$C = $A17, 'Fund Investment Data'!$A:$A = S$1, 'Fund Investment Data'!$B:$B = 12),"""")"),2850.0)</f>
        <v>2850</v>
      </c>
      <c r="T17">
        <f>IFERROR(__xludf.DUMMYFUNCTION("IFERROR(FILTER('Fund Investment Data'!$D:$D, 'Fund Investment Data'!$C:$C = $A17, 'Fund Investment Data'!$A:$A = T$1, 'Fund Investment Data'!$B:$B = 12),"""")"),400.0)</f>
        <v>400</v>
      </c>
      <c r="U17">
        <f>IFERROR(__xludf.DUMMYFUNCTION("IFERROR(FILTER('Fund Investment Data'!$D:$D, 'Fund Investment Data'!$C:$C = $A17, 'Fund Investment Data'!$A:$A = U$1, 'Fund Investment Data'!$B:$B = 12),"""")"),250.0)</f>
        <v>250</v>
      </c>
      <c r="V17">
        <f>IFERROR(__xludf.DUMMYFUNCTION("IFERROR(FILTER('Fund Investment Data'!$D:$D, 'Fund Investment Data'!$C:$C = $A17, 'Fund Investment Data'!$A:$A = V$1, 'Fund Investment Data'!$B:$B = 12),"""")"),250.0)</f>
        <v>250</v>
      </c>
      <c r="W17">
        <f>IFERROR(__xludf.DUMMYFUNCTION("IFERROR(FILTER('Fund Investment Data'!$D:$D, 'Fund Investment Data'!$C:$C = $A17, 'Fund Investment Data'!$A:$A = W$1, 'Fund Investment Data'!$B:$B = 12),"""")"),250.0)</f>
        <v>250</v>
      </c>
      <c r="X17">
        <f>IFERROR(__xludf.DUMMYFUNCTION("IFERROR(FILTER('Fund Investment Data'!$D:$D, 'Fund Investment Data'!$C:$C = $A17, 'Fund Investment Data'!$A:$A = X$1, 'Fund Investment Data'!$B:$B = 12),"""")"),310.0)</f>
        <v>310</v>
      </c>
      <c r="Y17" t="str">
        <f>IFERROR(__xludf.DUMMYFUNCTION("IFERROR(FILTER('Fund Investment Data'!$D:$D, 'Fund Investment Data'!$C:$C = $A17, 'Fund Investment Data'!$A:$A = Y$1, 'Fund Investment Data'!$B:$B = 12),"""")"),"")</f>
        <v/>
      </c>
      <c r="Z17" t="str">
        <f>IFERROR(__xludf.DUMMYFUNCTION("IFERROR(FILTER('Fund Investment Data'!$D:$D, 'Fund Investment Data'!$C:$C = $A17, 'Fund Investment Data'!$A:$A = Z$1, 'Fund Investment Data'!$B:$B = 12),"""")"),"")</f>
        <v/>
      </c>
      <c r="AA17" t="str">
        <f>IFERROR(__xludf.DUMMYFUNCTION("IFERROR(FILTER('Fund Investment Data'!$D:$D, 'Fund Investment Data'!$C:$C = $A17, 'Fund Investment Data'!$A:$A = AA$1, 'Fund Investment Data'!$B:$B = 12),"""")"),"")</f>
        <v/>
      </c>
      <c r="AB17" t="str">
        <f>IFERROR(__xludf.DUMMYFUNCTION("IFERROR(FILTER('Fund Investment Data'!$D:$D, 'Fund Investment Data'!$C:$C = $A17, 'Fund Investment Data'!$A:$A = AB$1, 'Fund Investment Data'!$B:$B = 12),"""")"),"")</f>
        <v/>
      </c>
      <c r="AC17" t="str">
        <f>IFERROR(__xludf.DUMMYFUNCTION("IFERROR(FILTER('Fund Investment Data'!$D:$D, 'Fund Investment Data'!$C:$C = $A17, 'Fund Investment Data'!$A:$A = AC$1, 'Fund Investment Data'!$B:$B = 12),"""")"),"")</f>
        <v/>
      </c>
      <c r="AD17" t="str">
        <f>IFERROR(__xludf.DUMMYFUNCTION("IFERROR(FILTER('Fund Investment Data'!$D:$D, 'Fund Investment Data'!$C:$C = $A17, 'Fund Investment Data'!$A:$A = AD$1, 'Fund Investment Data'!$B:$B = 12),"""")"),"")</f>
        <v/>
      </c>
      <c r="AE17">
        <f>IFERROR(__xludf.DUMMYFUNCTION("IFERROR(FILTER('Fund Investment Data'!$D:$D, 'Fund Investment Data'!$C:$C = $A17, 'Fund Investment Data'!$A:$A = AE$1, 'Fund Investment Data'!$B:$B = 12),"""")"),0.0)</f>
        <v>0</v>
      </c>
    </row>
    <row r="18">
      <c r="A18" s="151" t="str">
        <f>'Endowed Funds'!A:A</f>
        <v>National Youth Education Scholarship Fund</v>
      </c>
      <c r="B18" t="str">
        <f>IFERROR(__xludf.DUMMYFUNCTION("IFERROR(FILTER('Fund Investment Data'!$D:$D, 'Fund Investment Data'!$C:$C = $A18, 'Fund Investment Data'!$A:$A = B$1, 'Fund Investment Data'!$B:$B = 12),"""")"),"")</f>
        <v/>
      </c>
      <c r="C18" t="str">
        <f>IFERROR(__xludf.DUMMYFUNCTION("IFERROR(FILTER('Fund Investment Data'!$D:$D, 'Fund Investment Data'!$C:$C = $A18, 'Fund Investment Data'!$A:$A = C$1, 'Fund Investment Data'!$B:$B = 12),"""")"),"")</f>
        <v/>
      </c>
      <c r="D18" t="str">
        <f>IFERROR(__xludf.DUMMYFUNCTION("IFERROR(FILTER('Fund Investment Data'!$D:$D, 'Fund Investment Data'!$C:$C = $A18, 'Fund Investment Data'!$A:$A = D$1, 'Fund Investment Data'!$B:$B = 12),"""")"),"")</f>
        <v/>
      </c>
      <c r="E18" t="str">
        <f>IFERROR(__xludf.DUMMYFUNCTION("IFERROR(FILTER('Fund Investment Data'!$D:$D, 'Fund Investment Data'!$C:$C = $A18, 'Fund Investment Data'!$A:$A = E$1, 'Fund Investment Data'!$B:$B = 12),"""")"),"")</f>
        <v/>
      </c>
      <c r="F18" t="str">
        <f>IFERROR(__xludf.DUMMYFUNCTION("IFERROR(FILTER('Fund Investment Data'!$D:$D, 'Fund Investment Data'!$C:$C = $A18, 'Fund Investment Data'!$A:$A = F$1, 'Fund Investment Data'!$B:$B = 12),"""")"),"")</f>
        <v/>
      </c>
      <c r="G18" t="str">
        <f>IFERROR(__xludf.DUMMYFUNCTION("IFERROR(FILTER('Fund Investment Data'!$D:$D, 'Fund Investment Data'!$C:$C = $A18, 'Fund Investment Data'!$A:$A = G$1, 'Fund Investment Data'!$B:$B = 12),"""")"),"")</f>
        <v/>
      </c>
      <c r="H18" t="str">
        <f>IFERROR(__xludf.DUMMYFUNCTION("IFERROR(FILTER('Fund Investment Data'!$D:$D, 'Fund Investment Data'!$C:$C = $A18, 'Fund Investment Data'!$A:$A = H$1, 'Fund Investment Data'!$B:$B = 12),"""")"),"")</f>
        <v/>
      </c>
      <c r="I18" t="str">
        <f>IFERROR(__xludf.DUMMYFUNCTION("IFERROR(FILTER('Fund Investment Data'!$D:$D, 'Fund Investment Data'!$C:$C = $A18, 'Fund Investment Data'!$A:$A = I$1, 'Fund Investment Data'!$B:$B = 12),"""")"),"")</f>
        <v/>
      </c>
      <c r="J18" t="str">
        <f>IFERROR(__xludf.DUMMYFUNCTION("IFERROR(FILTER('Fund Investment Data'!$D:$D, 'Fund Investment Data'!$C:$C = $A18, 'Fund Investment Data'!$A:$A = J$1, 'Fund Investment Data'!$B:$B = 12),"""")"),"")</f>
        <v/>
      </c>
      <c r="K18">
        <f>IFERROR(__xludf.DUMMYFUNCTION("IFERROR(FILTER('Fund Investment Data'!$D:$D, 'Fund Investment Data'!$C:$C = $A18, 'Fund Investment Data'!$A:$A = K$1, 'Fund Investment Data'!$B:$B = 12),"""")"),35279.57)</f>
        <v>35279.57</v>
      </c>
      <c r="L18">
        <f>IFERROR(__xludf.DUMMYFUNCTION("IFERROR(FILTER('Fund Investment Data'!$D:$D, 'Fund Investment Data'!$C:$C = $A18, 'Fund Investment Data'!$A:$A = L$1, 'Fund Investment Data'!$B:$B = 12),"""")"),62811.82)</f>
        <v>62811.82</v>
      </c>
      <c r="M18">
        <f>IFERROR(__xludf.DUMMYFUNCTION("IFERROR(FILTER('Fund Investment Data'!$D:$D, 'Fund Investment Data'!$C:$C = $A18, 'Fund Investment Data'!$A:$A = M$1, 'Fund Investment Data'!$B:$B = 12),"""")"),31785.82)</f>
        <v>31785.82</v>
      </c>
      <c r="N18">
        <f>IFERROR(__xludf.DUMMYFUNCTION("IFERROR(FILTER('Fund Investment Data'!$D:$D, 'Fund Investment Data'!$C:$C = $A18, 'Fund Investment Data'!$A:$A = N$1, 'Fund Investment Data'!$B:$B = 12),"""")"),44837.72)</f>
        <v>44837.72</v>
      </c>
      <c r="O18">
        <f>IFERROR(__xludf.DUMMYFUNCTION("IFERROR(FILTER('Fund Investment Data'!$D:$D, 'Fund Investment Data'!$C:$C = $A18, 'Fund Investment Data'!$A:$A = O$1, 'Fund Investment Data'!$B:$B = 12),"""")"),20000.0)</f>
        <v>20000</v>
      </c>
      <c r="P18">
        <f>IFERROR(__xludf.DUMMYFUNCTION("IFERROR(FILTER('Fund Investment Data'!$D:$D, 'Fund Investment Data'!$C:$C = $A18, 'Fund Investment Data'!$A:$A = P$1, 'Fund Investment Data'!$B:$B = 12),"""")"),49841.93)</f>
        <v>49841.93</v>
      </c>
      <c r="Q18">
        <f>IFERROR(__xludf.DUMMYFUNCTION("IFERROR(FILTER('Fund Investment Data'!$D:$D, 'Fund Investment Data'!$C:$C = $A18, 'Fund Investment Data'!$A:$A = Q$1, 'Fund Investment Data'!$B:$B = 12),"""")"),159013.0)</f>
        <v>159013</v>
      </c>
      <c r="R18">
        <f>IFERROR(__xludf.DUMMYFUNCTION("IFERROR(FILTER('Fund Investment Data'!$D:$D, 'Fund Investment Data'!$C:$C = $A18, 'Fund Investment Data'!$A:$A = R$1, 'Fund Investment Data'!$B:$B = 12),"""")"),20186.0)</f>
        <v>20186</v>
      </c>
      <c r="S18">
        <f>IFERROR(__xludf.DUMMYFUNCTION("IFERROR(FILTER('Fund Investment Data'!$D:$D, 'Fund Investment Data'!$C:$C = $A18, 'Fund Investment Data'!$A:$A = S$1, 'Fund Investment Data'!$B:$B = 12),"""")"),10000.0)</f>
        <v>10000</v>
      </c>
      <c r="T18" t="str">
        <f>IFERROR(__xludf.DUMMYFUNCTION("IFERROR(FILTER('Fund Investment Data'!$D:$D, 'Fund Investment Data'!$C:$C = $A18, 'Fund Investment Data'!$A:$A = T$1, 'Fund Investment Data'!$B:$B = 12),"""")"),"")</f>
        <v/>
      </c>
      <c r="U18" t="str">
        <f>IFERROR(__xludf.DUMMYFUNCTION("IFERROR(FILTER('Fund Investment Data'!$D:$D, 'Fund Investment Data'!$C:$C = $A18, 'Fund Investment Data'!$A:$A = U$1, 'Fund Investment Data'!$B:$B = 12),"""")"),"")</f>
        <v/>
      </c>
      <c r="V18" t="str">
        <f>IFERROR(__xludf.DUMMYFUNCTION("IFERROR(FILTER('Fund Investment Data'!$D:$D, 'Fund Investment Data'!$C:$C = $A18, 'Fund Investment Data'!$A:$A = V$1, 'Fund Investment Data'!$B:$B = 12),"""")"),"")</f>
        <v/>
      </c>
      <c r="W18" t="str">
        <f>IFERROR(__xludf.DUMMYFUNCTION("IFERROR(FILTER('Fund Investment Data'!$D:$D, 'Fund Investment Data'!$C:$C = $A18, 'Fund Investment Data'!$A:$A = W$1, 'Fund Investment Data'!$B:$B = 12),"""")"),"")</f>
        <v/>
      </c>
      <c r="X18" t="str">
        <f>IFERROR(__xludf.DUMMYFUNCTION("IFERROR(FILTER('Fund Investment Data'!$D:$D, 'Fund Investment Data'!$C:$C = $A18, 'Fund Investment Data'!$A:$A = X$1, 'Fund Investment Data'!$B:$B = 12),"""")"),"")</f>
        <v/>
      </c>
      <c r="Y18" t="str">
        <f>IFERROR(__xludf.DUMMYFUNCTION("IFERROR(FILTER('Fund Investment Data'!$D:$D, 'Fund Investment Data'!$C:$C = $A18, 'Fund Investment Data'!$A:$A = Y$1, 'Fund Investment Data'!$B:$B = 12),"""")"),"")</f>
        <v/>
      </c>
      <c r="Z18" t="str">
        <f>IFERROR(__xludf.DUMMYFUNCTION("IFERROR(FILTER('Fund Investment Data'!$D:$D, 'Fund Investment Data'!$C:$C = $A18, 'Fund Investment Data'!$A:$A = Z$1, 'Fund Investment Data'!$B:$B = 12),"""")"),"")</f>
        <v/>
      </c>
      <c r="AA18" t="str">
        <f>IFERROR(__xludf.DUMMYFUNCTION("IFERROR(FILTER('Fund Investment Data'!$D:$D, 'Fund Investment Data'!$C:$C = $A18, 'Fund Investment Data'!$A:$A = AA$1, 'Fund Investment Data'!$B:$B = 12),"""")"),"")</f>
        <v/>
      </c>
      <c r="AB18" t="str">
        <f>IFERROR(__xludf.DUMMYFUNCTION("IFERROR(FILTER('Fund Investment Data'!$D:$D, 'Fund Investment Data'!$C:$C = $A18, 'Fund Investment Data'!$A:$A = AB$1, 'Fund Investment Data'!$B:$B = 12),"""")"),"")</f>
        <v/>
      </c>
      <c r="AC18" t="str">
        <f>IFERROR(__xludf.DUMMYFUNCTION("IFERROR(FILTER('Fund Investment Data'!$D:$D, 'Fund Investment Data'!$C:$C = $A18, 'Fund Investment Data'!$A:$A = AC$1, 'Fund Investment Data'!$B:$B = 12),"""")"),"")</f>
        <v/>
      </c>
      <c r="AD18" t="str">
        <f>IFERROR(__xludf.DUMMYFUNCTION("IFERROR(FILTER('Fund Investment Data'!$D:$D, 'Fund Investment Data'!$C:$C = $A18, 'Fund Investment Data'!$A:$A = AD$1, 'Fund Investment Data'!$B:$B = 12),"""")"),"")</f>
        <v/>
      </c>
      <c r="AE18">
        <f>IFERROR(__xludf.DUMMYFUNCTION("IFERROR(FILTER('Fund Investment Data'!$D:$D, 'Fund Investment Data'!$C:$C = $A18, 'Fund Investment Data'!$A:$A = AE$1, 'Fund Investment Data'!$B:$B = 12),"""")"),0.0)</f>
        <v>0</v>
      </c>
    </row>
    <row r="19">
      <c r="A19" s="151" t="str">
        <f>'Endowed Funds'!A:A</f>
        <v>Navajo Education Fund</v>
      </c>
      <c r="B19" t="str">
        <f>IFERROR(__xludf.DUMMYFUNCTION("IFERROR(FILTER('Fund Investment Data'!$D:$D, 'Fund Investment Data'!$C:$C = $A19, 'Fund Investment Data'!$A:$A = B$1, 'Fund Investment Data'!$B:$B = 12),"""")"),"")</f>
        <v/>
      </c>
      <c r="C19" t="str">
        <f>IFERROR(__xludf.DUMMYFUNCTION("IFERROR(FILTER('Fund Investment Data'!$D:$D, 'Fund Investment Data'!$C:$C = $A19, 'Fund Investment Data'!$A:$A = C$1, 'Fund Investment Data'!$B:$B = 12),"""")"),"")</f>
        <v/>
      </c>
      <c r="D19" t="str">
        <f>IFERROR(__xludf.DUMMYFUNCTION("IFERROR(FILTER('Fund Investment Data'!$D:$D, 'Fund Investment Data'!$C:$C = $A19, 'Fund Investment Data'!$A:$A = D$1, 'Fund Investment Data'!$B:$B = 12),"""")"),"")</f>
        <v/>
      </c>
      <c r="E19" t="str">
        <f>IFERROR(__xludf.DUMMYFUNCTION("IFERROR(FILTER('Fund Investment Data'!$D:$D, 'Fund Investment Data'!$C:$C = $A19, 'Fund Investment Data'!$A:$A = E$1, 'Fund Investment Data'!$B:$B = 12),"""")"),"")</f>
        <v/>
      </c>
      <c r="F19" t="str">
        <f>IFERROR(__xludf.DUMMYFUNCTION("IFERROR(FILTER('Fund Investment Data'!$D:$D, 'Fund Investment Data'!$C:$C = $A19, 'Fund Investment Data'!$A:$A = F$1, 'Fund Investment Data'!$B:$B = 12),"""")"),"")</f>
        <v/>
      </c>
      <c r="G19" t="str">
        <f>IFERROR(__xludf.DUMMYFUNCTION("IFERROR(FILTER('Fund Investment Data'!$D:$D, 'Fund Investment Data'!$C:$C = $A19, 'Fund Investment Data'!$A:$A = G$1, 'Fund Investment Data'!$B:$B = 12),"""")"),"")</f>
        <v/>
      </c>
      <c r="H19" t="str">
        <f>IFERROR(__xludf.DUMMYFUNCTION("IFERROR(FILTER('Fund Investment Data'!$D:$D, 'Fund Investment Data'!$C:$C = $A19, 'Fund Investment Data'!$A:$A = H$1, 'Fund Investment Data'!$B:$B = 12),"""")"),"")</f>
        <v/>
      </c>
      <c r="I19" t="str">
        <f>IFERROR(__xludf.DUMMYFUNCTION("IFERROR(FILTER('Fund Investment Data'!$D:$D, 'Fund Investment Data'!$C:$C = $A19, 'Fund Investment Data'!$A:$A = I$1, 'Fund Investment Data'!$B:$B = 12),"""")"),"")</f>
        <v/>
      </c>
      <c r="J19" t="str">
        <f>IFERROR(__xludf.DUMMYFUNCTION("IFERROR(FILTER('Fund Investment Data'!$D:$D, 'Fund Investment Data'!$C:$C = $A19, 'Fund Investment Data'!$A:$A = J$1, 'Fund Investment Data'!$B:$B = 12),"""")"),"")</f>
        <v/>
      </c>
      <c r="K19" t="str">
        <f>IFERROR(__xludf.DUMMYFUNCTION("IFERROR(FILTER('Fund Investment Data'!$D:$D, 'Fund Investment Data'!$C:$C = $A19, 'Fund Investment Data'!$A:$A = K$1, 'Fund Investment Data'!$B:$B = 12),"""")"),"")</f>
        <v/>
      </c>
      <c r="L19" t="str">
        <f>IFERROR(__xludf.DUMMYFUNCTION("IFERROR(FILTER('Fund Investment Data'!$D:$D, 'Fund Investment Data'!$C:$C = $A19, 'Fund Investment Data'!$A:$A = L$1, 'Fund Investment Data'!$B:$B = 12),"""")"),"")</f>
        <v/>
      </c>
      <c r="M19" t="str">
        <f>IFERROR(__xludf.DUMMYFUNCTION("IFERROR(FILTER('Fund Investment Data'!$D:$D, 'Fund Investment Data'!$C:$C = $A19, 'Fund Investment Data'!$A:$A = M$1, 'Fund Investment Data'!$B:$B = 12),"""")"),"")</f>
        <v/>
      </c>
      <c r="N19" t="str">
        <f>IFERROR(__xludf.DUMMYFUNCTION("IFERROR(FILTER('Fund Investment Data'!$D:$D, 'Fund Investment Data'!$C:$C = $A19, 'Fund Investment Data'!$A:$A = N$1, 'Fund Investment Data'!$B:$B = 12),"""")"),"")</f>
        <v/>
      </c>
      <c r="O19" t="str">
        <f>IFERROR(__xludf.DUMMYFUNCTION("IFERROR(FILTER('Fund Investment Data'!$D:$D, 'Fund Investment Data'!$C:$C = $A19, 'Fund Investment Data'!$A:$A = O$1, 'Fund Investment Data'!$B:$B = 12),"""")"),"")</f>
        <v/>
      </c>
      <c r="P19" t="str">
        <f>IFERROR(__xludf.DUMMYFUNCTION("IFERROR(FILTER('Fund Investment Data'!$D:$D, 'Fund Investment Data'!$C:$C = $A19, 'Fund Investment Data'!$A:$A = P$1, 'Fund Investment Data'!$B:$B = 12),"""")"),"")</f>
        <v/>
      </c>
      <c r="Q19" t="str">
        <f>IFERROR(__xludf.DUMMYFUNCTION("IFERROR(FILTER('Fund Investment Data'!$D:$D, 'Fund Investment Data'!$C:$C = $A19, 'Fund Investment Data'!$A:$A = Q$1, 'Fund Investment Data'!$B:$B = 12),"""")"),"")</f>
        <v/>
      </c>
      <c r="R19">
        <f>IFERROR(__xludf.DUMMYFUNCTION("IFERROR(FILTER('Fund Investment Data'!$D:$D, 'Fund Investment Data'!$C:$C = $A19, 'Fund Investment Data'!$A:$A = R$1, 'Fund Investment Data'!$B:$B = 12),"""")"),176475.0)</f>
        <v>176475</v>
      </c>
      <c r="S19">
        <f>IFERROR(__xludf.DUMMYFUNCTION("IFERROR(FILTER('Fund Investment Data'!$D:$D, 'Fund Investment Data'!$C:$C = $A19, 'Fund Investment Data'!$A:$A = S$1, 'Fund Investment Data'!$B:$B = 12),"""")"),7994.0)</f>
        <v>7994</v>
      </c>
      <c r="T19" t="str">
        <f>IFERROR(__xludf.DUMMYFUNCTION("IFERROR(FILTER('Fund Investment Data'!$D:$D, 'Fund Investment Data'!$C:$C = $A19, 'Fund Investment Data'!$A:$A = T$1, 'Fund Investment Data'!$B:$B = 12),"""")"),"")</f>
        <v/>
      </c>
      <c r="U19" t="str">
        <f>IFERROR(__xludf.DUMMYFUNCTION("IFERROR(FILTER('Fund Investment Data'!$D:$D, 'Fund Investment Data'!$C:$C = $A19, 'Fund Investment Data'!$A:$A = U$1, 'Fund Investment Data'!$B:$B = 12),"""")"),"")</f>
        <v/>
      </c>
      <c r="V19" t="str">
        <f>IFERROR(__xludf.DUMMYFUNCTION("IFERROR(FILTER('Fund Investment Data'!$D:$D, 'Fund Investment Data'!$C:$C = $A19, 'Fund Investment Data'!$A:$A = V$1, 'Fund Investment Data'!$B:$B = 12),"""")"),"")</f>
        <v/>
      </c>
      <c r="W19" t="str">
        <f>IFERROR(__xludf.DUMMYFUNCTION("IFERROR(FILTER('Fund Investment Data'!$D:$D, 'Fund Investment Data'!$C:$C = $A19, 'Fund Investment Data'!$A:$A = W$1, 'Fund Investment Data'!$B:$B = 12),"""")"),"")</f>
        <v/>
      </c>
      <c r="X19" t="str">
        <f>IFERROR(__xludf.DUMMYFUNCTION("IFERROR(FILTER('Fund Investment Data'!$D:$D, 'Fund Investment Data'!$C:$C = $A19, 'Fund Investment Data'!$A:$A = X$1, 'Fund Investment Data'!$B:$B = 12),"""")"),"")</f>
        <v/>
      </c>
      <c r="Y19" t="str">
        <f>IFERROR(__xludf.DUMMYFUNCTION("IFERROR(FILTER('Fund Investment Data'!$D:$D, 'Fund Investment Data'!$C:$C = $A19, 'Fund Investment Data'!$A:$A = Y$1, 'Fund Investment Data'!$B:$B = 12),"""")"),"")</f>
        <v/>
      </c>
      <c r="Z19">
        <f>IFERROR(__xludf.DUMMYFUNCTION("IFERROR(FILTER('Fund Investment Data'!$D:$D, 'Fund Investment Data'!$C:$C = $A19, 'Fund Investment Data'!$A:$A = Z$1, 'Fund Investment Data'!$B:$B = 12),"""")"),10000.0)</f>
        <v>10000</v>
      </c>
      <c r="AA19" t="str">
        <f>IFERROR(__xludf.DUMMYFUNCTION("IFERROR(FILTER('Fund Investment Data'!$D:$D, 'Fund Investment Data'!$C:$C = $A19, 'Fund Investment Data'!$A:$A = AA$1, 'Fund Investment Data'!$B:$B = 12),"""")"),"")</f>
        <v/>
      </c>
      <c r="AB19" t="str">
        <f>IFERROR(__xludf.DUMMYFUNCTION("IFERROR(FILTER('Fund Investment Data'!$D:$D, 'Fund Investment Data'!$C:$C = $A19, 'Fund Investment Data'!$A:$A = AB$1, 'Fund Investment Data'!$B:$B = 12),"""")"),"")</f>
        <v/>
      </c>
      <c r="AC19" t="str">
        <f>IFERROR(__xludf.DUMMYFUNCTION("IFERROR(FILTER('Fund Investment Data'!$D:$D, 'Fund Investment Data'!$C:$C = $A19, 'Fund Investment Data'!$A:$A = AC$1, 'Fund Investment Data'!$B:$B = 12),"""")"),"")</f>
        <v/>
      </c>
      <c r="AD19" t="str">
        <f>IFERROR(__xludf.DUMMYFUNCTION("IFERROR(FILTER('Fund Investment Data'!$D:$D, 'Fund Investment Data'!$C:$C = $A19, 'Fund Investment Data'!$A:$A = AD$1, 'Fund Investment Data'!$B:$B = 12),"""")"),"")</f>
        <v/>
      </c>
      <c r="AE19">
        <f>IFERROR(__xludf.DUMMYFUNCTION("IFERROR(FILTER('Fund Investment Data'!$D:$D, 'Fund Investment Data'!$C:$C = $A19, 'Fund Investment Data'!$A:$A = AE$1, 'Fund Investment Data'!$B:$B = 12),"""")"),0.0)</f>
        <v>0</v>
      </c>
    </row>
    <row r="20">
      <c r="A20" s="151" t="str">
        <f>'Endowed Funds'!A:A</f>
        <v>Pamela &amp; Michael Reese Education Fund</v>
      </c>
      <c r="B20" t="str">
        <f>IFERROR(__xludf.DUMMYFUNCTION("IFERROR(FILTER('Fund Investment Data'!$D:$D, 'Fund Investment Data'!$C:$C = $A20, 'Fund Investment Data'!$A:$A = B$1, 'Fund Investment Data'!$B:$B = 12),"""")"),"")</f>
        <v/>
      </c>
      <c r="C20" t="str">
        <f>IFERROR(__xludf.DUMMYFUNCTION("IFERROR(FILTER('Fund Investment Data'!$D:$D, 'Fund Investment Data'!$C:$C = $A20, 'Fund Investment Data'!$A:$A = C$1, 'Fund Investment Data'!$B:$B = 12),"""")"),"")</f>
        <v/>
      </c>
      <c r="D20" t="str">
        <f>IFERROR(__xludf.DUMMYFUNCTION("IFERROR(FILTER('Fund Investment Data'!$D:$D, 'Fund Investment Data'!$C:$C = $A20, 'Fund Investment Data'!$A:$A = D$1, 'Fund Investment Data'!$B:$B = 12),"""")"),"")</f>
        <v/>
      </c>
      <c r="E20" t="str">
        <f>IFERROR(__xludf.DUMMYFUNCTION("IFERROR(FILTER('Fund Investment Data'!$D:$D, 'Fund Investment Data'!$C:$C = $A20, 'Fund Investment Data'!$A:$A = E$1, 'Fund Investment Data'!$B:$B = 12),"""")"),"")</f>
        <v/>
      </c>
      <c r="F20" t="str">
        <f>IFERROR(__xludf.DUMMYFUNCTION("IFERROR(FILTER('Fund Investment Data'!$D:$D, 'Fund Investment Data'!$C:$C = $A20, 'Fund Investment Data'!$A:$A = F$1, 'Fund Investment Data'!$B:$B = 12),"""")"),"")</f>
        <v/>
      </c>
      <c r="G20" t="str">
        <f>IFERROR(__xludf.DUMMYFUNCTION("IFERROR(FILTER('Fund Investment Data'!$D:$D, 'Fund Investment Data'!$C:$C = $A20, 'Fund Investment Data'!$A:$A = G$1, 'Fund Investment Data'!$B:$B = 12),"""")"),"")</f>
        <v/>
      </c>
      <c r="H20" t="str">
        <f>IFERROR(__xludf.DUMMYFUNCTION("IFERROR(FILTER('Fund Investment Data'!$D:$D, 'Fund Investment Data'!$C:$C = $A20, 'Fund Investment Data'!$A:$A = H$1, 'Fund Investment Data'!$B:$B = 12),"""")"),"")</f>
        <v/>
      </c>
      <c r="I20" t="str">
        <f>IFERROR(__xludf.DUMMYFUNCTION("IFERROR(FILTER('Fund Investment Data'!$D:$D, 'Fund Investment Data'!$C:$C = $A20, 'Fund Investment Data'!$A:$A = I$1, 'Fund Investment Data'!$B:$B = 12),"""")"),"")</f>
        <v/>
      </c>
      <c r="J20" t="str">
        <f>IFERROR(__xludf.DUMMYFUNCTION("IFERROR(FILTER('Fund Investment Data'!$D:$D, 'Fund Investment Data'!$C:$C = $A20, 'Fund Investment Data'!$A:$A = J$1, 'Fund Investment Data'!$B:$B = 12),"""")"),"")</f>
        <v/>
      </c>
      <c r="K20" t="str">
        <f>IFERROR(__xludf.DUMMYFUNCTION("IFERROR(FILTER('Fund Investment Data'!$D:$D, 'Fund Investment Data'!$C:$C = $A20, 'Fund Investment Data'!$A:$A = K$1, 'Fund Investment Data'!$B:$B = 12),"""")"),"")</f>
        <v/>
      </c>
      <c r="L20" t="str">
        <f>IFERROR(__xludf.DUMMYFUNCTION("IFERROR(FILTER('Fund Investment Data'!$D:$D, 'Fund Investment Data'!$C:$C = $A20, 'Fund Investment Data'!$A:$A = L$1, 'Fund Investment Data'!$B:$B = 12),"""")"),"")</f>
        <v/>
      </c>
      <c r="M20" t="str">
        <f>IFERROR(__xludf.DUMMYFUNCTION("IFERROR(FILTER('Fund Investment Data'!$D:$D, 'Fund Investment Data'!$C:$C = $A20, 'Fund Investment Data'!$A:$A = M$1, 'Fund Investment Data'!$B:$B = 12),"""")"),"")</f>
        <v/>
      </c>
      <c r="N20" t="str">
        <f>IFERROR(__xludf.DUMMYFUNCTION("IFERROR(FILTER('Fund Investment Data'!$D:$D, 'Fund Investment Data'!$C:$C = $A20, 'Fund Investment Data'!$A:$A = N$1, 'Fund Investment Data'!$B:$B = 12),"""")"),"")</f>
        <v/>
      </c>
      <c r="O20">
        <f>IFERROR(__xludf.DUMMYFUNCTION("IFERROR(FILTER('Fund Investment Data'!$D:$D, 'Fund Investment Data'!$C:$C = $A20, 'Fund Investment Data'!$A:$A = O$1, 'Fund Investment Data'!$B:$B = 12),"""")"),25000.0)</f>
        <v>25000</v>
      </c>
      <c r="P20">
        <f>IFERROR(__xludf.DUMMYFUNCTION("IFERROR(FILTER('Fund Investment Data'!$D:$D, 'Fund Investment Data'!$C:$C = $A20, 'Fund Investment Data'!$A:$A = P$1, 'Fund Investment Data'!$B:$B = 12),"""")"),25000.0)</f>
        <v>25000</v>
      </c>
      <c r="Q20">
        <f>IFERROR(__xludf.DUMMYFUNCTION("IFERROR(FILTER('Fund Investment Data'!$D:$D, 'Fund Investment Data'!$C:$C = $A20, 'Fund Investment Data'!$A:$A = Q$1, 'Fund Investment Data'!$B:$B = 12),"""")"),25000.0)</f>
        <v>25000</v>
      </c>
      <c r="R20">
        <f>IFERROR(__xludf.DUMMYFUNCTION("IFERROR(FILTER('Fund Investment Data'!$D:$D, 'Fund Investment Data'!$C:$C = $A20, 'Fund Investment Data'!$A:$A = R$1, 'Fund Investment Data'!$B:$B = 12),"""")"),25000.0)</f>
        <v>25000</v>
      </c>
      <c r="S20" t="str">
        <f>IFERROR(__xludf.DUMMYFUNCTION("IFERROR(FILTER('Fund Investment Data'!$D:$D, 'Fund Investment Data'!$C:$C = $A20, 'Fund Investment Data'!$A:$A = S$1, 'Fund Investment Data'!$B:$B = 12),"""")"),"")</f>
        <v/>
      </c>
      <c r="T20" t="str">
        <f>IFERROR(__xludf.DUMMYFUNCTION("IFERROR(FILTER('Fund Investment Data'!$D:$D, 'Fund Investment Data'!$C:$C = $A20, 'Fund Investment Data'!$A:$A = T$1, 'Fund Investment Data'!$B:$B = 12),"""")"),"")</f>
        <v/>
      </c>
      <c r="U20" t="str">
        <f>IFERROR(__xludf.DUMMYFUNCTION("IFERROR(FILTER('Fund Investment Data'!$D:$D, 'Fund Investment Data'!$C:$C = $A20, 'Fund Investment Data'!$A:$A = U$1, 'Fund Investment Data'!$B:$B = 12),"""")"),"")</f>
        <v/>
      </c>
      <c r="V20" t="str">
        <f>IFERROR(__xludf.DUMMYFUNCTION("IFERROR(FILTER('Fund Investment Data'!$D:$D, 'Fund Investment Data'!$C:$C = $A20, 'Fund Investment Data'!$A:$A = V$1, 'Fund Investment Data'!$B:$B = 12),"""")"),"")</f>
        <v/>
      </c>
      <c r="W20" t="str">
        <f>IFERROR(__xludf.DUMMYFUNCTION("IFERROR(FILTER('Fund Investment Data'!$D:$D, 'Fund Investment Data'!$C:$C = $A20, 'Fund Investment Data'!$A:$A = W$1, 'Fund Investment Data'!$B:$B = 12),"""")"),"")</f>
        <v/>
      </c>
      <c r="X20" t="str">
        <f>IFERROR(__xludf.DUMMYFUNCTION("IFERROR(FILTER('Fund Investment Data'!$D:$D, 'Fund Investment Data'!$C:$C = $A20, 'Fund Investment Data'!$A:$A = X$1, 'Fund Investment Data'!$B:$B = 12),"""")"),"")</f>
        <v/>
      </c>
      <c r="Y20" t="str">
        <f>IFERROR(__xludf.DUMMYFUNCTION("IFERROR(FILTER('Fund Investment Data'!$D:$D, 'Fund Investment Data'!$C:$C = $A20, 'Fund Investment Data'!$A:$A = Y$1, 'Fund Investment Data'!$B:$B = 12),"""")"),"")</f>
        <v/>
      </c>
      <c r="Z20" t="str">
        <f>IFERROR(__xludf.DUMMYFUNCTION("IFERROR(FILTER('Fund Investment Data'!$D:$D, 'Fund Investment Data'!$C:$C = $A20, 'Fund Investment Data'!$A:$A = Z$1, 'Fund Investment Data'!$B:$B = 12),"""")"),"")</f>
        <v/>
      </c>
      <c r="AA20" t="str">
        <f>IFERROR(__xludf.DUMMYFUNCTION("IFERROR(FILTER('Fund Investment Data'!$D:$D, 'Fund Investment Data'!$C:$C = $A20, 'Fund Investment Data'!$A:$A = AA$1, 'Fund Investment Data'!$B:$B = 12),"""")"),"")</f>
        <v/>
      </c>
      <c r="AB20" t="str">
        <f>IFERROR(__xludf.DUMMYFUNCTION("IFERROR(FILTER('Fund Investment Data'!$D:$D, 'Fund Investment Data'!$C:$C = $A20, 'Fund Investment Data'!$A:$A = AB$1, 'Fund Investment Data'!$B:$B = 12),"""")"),"")</f>
        <v/>
      </c>
      <c r="AC20" t="str">
        <f>IFERROR(__xludf.DUMMYFUNCTION("IFERROR(FILTER('Fund Investment Data'!$D:$D, 'Fund Investment Data'!$C:$C = $A20, 'Fund Investment Data'!$A:$A = AC$1, 'Fund Investment Data'!$B:$B = 12),"""")"),"")</f>
        <v/>
      </c>
      <c r="AD20" t="str">
        <f>IFERROR(__xludf.DUMMYFUNCTION("IFERROR(FILTER('Fund Investment Data'!$D:$D, 'Fund Investment Data'!$C:$C = $A20, 'Fund Investment Data'!$A:$A = AD$1, 'Fund Investment Data'!$B:$B = 12),"""")"),"")</f>
        <v/>
      </c>
      <c r="AE20">
        <f>IFERROR(__xludf.DUMMYFUNCTION("IFERROR(FILTER('Fund Investment Data'!$D:$D, 'Fund Investment Data'!$C:$C = $A20, 'Fund Investment Data'!$A:$A = AE$1, 'Fund Investment Data'!$B:$B = 12),"""")"),0.0)</f>
        <v>0</v>
      </c>
    </row>
    <row r="21">
      <c r="A21" s="151" t="str">
        <f>'Endowed Funds'!A:A</f>
        <v>Shirley &amp; Reinhardt Jahn Education Fund</v>
      </c>
      <c r="B21" t="str">
        <f>IFERROR(__xludf.DUMMYFUNCTION("IFERROR(FILTER('Fund Investment Data'!$D:$D, 'Fund Investment Data'!$C:$C = $A21, 'Fund Investment Data'!$A:$A = B$1, 'Fund Investment Data'!$B:$B = 12),"""")"),"")</f>
        <v/>
      </c>
      <c r="C21" t="str">
        <f>IFERROR(__xludf.DUMMYFUNCTION("IFERROR(FILTER('Fund Investment Data'!$D:$D, 'Fund Investment Data'!$C:$C = $A21, 'Fund Investment Data'!$A:$A = C$1, 'Fund Investment Data'!$B:$B = 12),"""")"),"")</f>
        <v/>
      </c>
      <c r="D21" t="str">
        <f>IFERROR(__xludf.DUMMYFUNCTION("IFERROR(FILTER('Fund Investment Data'!$D:$D, 'Fund Investment Data'!$C:$C = $A21, 'Fund Investment Data'!$A:$A = D$1, 'Fund Investment Data'!$B:$B = 12),"""")"),"")</f>
        <v/>
      </c>
      <c r="E21" t="str">
        <f>IFERROR(__xludf.DUMMYFUNCTION("IFERROR(FILTER('Fund Investment Data'!$D:$D, 'Fund Investment Data'!$C:$C = $A21, 'Fund Investment Data'!$A:$A = E$1, 'Fund Investment Data'!$B:$B = 12),"""")"),"")</f>
        <v/>
      </c>
      <c r="F21" t="str">
        <f>IFERROR(__xludf.DUMMYFUNCTION("IFERROR(FILTER('Fund Investment Data'!$D:$D, 'Fund Investment Data'!$C:$C = $A21, 'Fund Investment Data'!$A:$A = F$1, 'Fund Investment Data'!$B:$B = 12),"""")"),"")</f>
        <v/>
      </c>
      <c r="G21" t="str">
        <f>IFERROR(__xludf.DUMMYFUNCTION("IFERROR(FILTER('Fund Investment Data'!$D:$D, 'Fund Investment Data'!$C:$C = $A21, 'Fund Investment Data'!$A:$A = G$1, 'Fund Investment Data'!$B:$B = 12),"""")"),"")</f>
        <v/>
      </c>
      <c r="H21" t="str">
        <f>IFERROR(__xludf.DUMMYFUNCTION("IFERROR(FILTER('Fund Investment Data'!$D:$D, 'Fund Investment Data'!$C:$C = $A21, 'Fund Investment Data'!$A:$A = H$1, 'Fund Investment Data'!$B:$B = 12),"""")"),"")</f>
        <v/>
      </c>
      <c r="I21" t="str">
        <f>IFERROR(__xludf.DUMMYFUNCTION("IFERROR(FILTER('Fund Investment Data'!$D:$D, 'Fund Investment Data'!$C:$C = $A21, 'Fund Investment Data'!$A:$A = I$1, 'Fund Investment Data'!$B:$B = 12),"""")"),"")</f>
        <v/>
      </c>
      <c r="J21" t="str">
        <f>IFERROR(__xludf.DUMMYFUNCTION("IFERROR(FILTER('Fund Investment Data'!$D:$D, 'Fund Investment Data'!$C:$C = $A21, 'Fund Investment Data'!$A:$A = J$1, 'Fund Investment Data'!$B:$B = 12),"""")"),"")</f>
        <v/>
      </c>
      <c r="K21" t="str">
        <f>IFERROR(__xludf.DUMMYFUNCTION("IFERROR(FILTER('Fund Investment Data'!$D:$D, 'Fund Investment Data'!$C:$C = $A21, 'Fund Investment Data'!$A:$A = K$1, 'Fund Investment Data'!$B:$B = 12),"""")"),"")</f>
        <v/>
      </c>
      <c r="L21" t="str">
        <f>IFERROR(__xludf.DUMMYFUNCTION("IFERROR(FILTER('Fund Investment Data'!$D:$D, 'Fund Investment Data'!$C:$C = $A21, 'Fund Investment Data'!$A:$A = L$1, 'Fund Investment Data'!$B:$B = 12),"""")"),"")</f>
        <v/>
      </c>
      <c r="M21" t="str">
        <f>IFERROR(__xludf.DUMMYFUNCTION("IFERROR(FILTER('Fund Investment Data'!$D:$D, 'Fund Investment Data'!$C:$C = $A21, 'Fund Investment Data'!$A:$A = M$1, 'Fund Investment Data'!$B:$B = 12),"""")"),"")</f>
        <v/>
      </c>
      <c r="N21" t="str">
        <f>IFERROR(__xludf.DUMMYFUNCTION("IFERROR(FILTER('Fund Investment Data'!$D:$D, 'Fund Investment Data'!$C:$C = $A21, 'Fund Investment Data'!$A:$A = N$1, 'Fund Investment Data'!$B:$B = 12),"""")"),"")</f>
        <v/>
      </c>
      <c r="O21" t="str">
        <f>IFERROR(__xludf.DUMMYFUNCTION("IFERROR(FILTER('Fund Investment Data'!$D:$D, 'Fund Investment Data'!$C:$C = $A21, 'Fund Investment Data'!$A:$A = O$1, 'Fund Investment Data'!$B:$B = 12),"""")"),"")</f>
        <v/>
      </c>
      <c r="P21" t="str">
        <f>IFERROR(__xludf.DUMMYFUNCTION("IFERROR(FILTER('Fund Investment Data'!$D:$D, 'Fund Investment Data'!$C:$C = $A21, 'Fund Investment Data'!$A:$A = P$1, 'Fund Investment Data'!$B:$B = 12),"""")"),"")</f>
        <v/>
      </c>
      <c r="Q21">
        <f>IFERROR(__xludf.DUMMYFUNCTION("IFERROR(FILTER('Fund Investment Data'!$D:$D, 'Fund Investment Data'!$C:$C = $A21, 'Fund Investment Data'!$A:$A = Q$1, 'Fund Investment Data'!$B:$B = 12),"""")"),250000.0)</f>
        <v>250000</v>
      </c>
      <c r="R21" t="str">
        <f>IFERROR(__xludf.DUMMYFUNCTION("IFERROR(FILTER('Fund Investment Data'!$D:$D, 'Fund Investment Data'!$C:$C = $A21, 'Fund Investment Data'!$A:$A = R$1, 'Fund Investment Data'!$B:$B = 12),"""")"),"")</f>
        <v/>
      </c>
      <c r="S21" t="str">
        <f>IFERROR(__xludf.DUMMYFUNCTION("IFERROR(FILTER('Fund Investment Data'!$D:$D, 'Fund Investment Data'!$C:$C = $A21, 'Fund Investment Data'!$A:$A = S$1, 'Fund Investment Data'!$B:$B = 12),"""")"),"")</f>
        <v/>
      </c>
      <c r="T21" t="str">
        <f>IFERROR(__xludf.DUMMYFUNCTION("IFERROR(FILTER('Fund Investment Data'!$D:$D, 'Fund Investment Data'!$C:$C = $A21, 'Fund Investment Data'!$A:$A = T$1, 'Fund Investment Data'!$B:$B = 12),"""")"),"")</f>
        <v/>
      </c>
      <c r="U21" t="str">
        <f>IFERROR(__xludf.DUMMYFUNCTION("IFERROR(FILTER('Fund Investment Data'!$D:$D, 'Fund Investment Data'!$C:$C = $A21, 'Fund Investment Data'!$A:$A = U$1, 'Fund Investment Data'!$B:$B = 12),"""")"),"")</f>
        <v/>
      </c>
      <c r="V21" t="str">
        <f>IFERROR(__xludf.DUMMYFUNCTION("IFERROR(FILTER('Fund Investment Data'!$D:$D, 'Fund Investment Data'!$C:$C = $A21, 'Fund Investment Data'!$A:$A = V$1, 'Fund Investment Data'!$B:$B = 12),"""")"),"")</f>
        <v/>
      </c>
      <c r="W21" t="str">
        <f>IFERROR(__xludf.DUMMYFUNCTION("IFERROR(FILTER('Fund Investment Data'!$D:$D, 'Fund Investment Data'!$C:$C = $A21, 'Fund Investment Data'!$A:$A = W$1, 'Fund Investment Data'!$B:$B = 12),"""")"),"")</f>
        <v/>
      </c>
      <c r="X21" t="str">
        <f>IFERROR(__xludf.DUMMYFUNCTION("IFERROR(FILTER('Fund Investment Data'!$D:$D, 'Fund Investment Data'!$C:$C = $A21, 'Fund Investment Data'!$A:$A = X$1, 'Fund Investment Data'!$B:$B = 12),"""")"),"")</f>
        <v/>
      </c>
      <c r="Y21" t="str">
        <f>IFERROR(__xludf.DUMMYFUNCTION("IFERROR(FILTER('Fund Investment Data'!$D:$D, 'Fund Investment Data'!$C:$C = $A21, 'Fund Investment Data'!$A:$A = Y$1, 'Fund Investment Data'!$B:$B = 12),"""")"),"")</f>
        <v/>
      </c>
      <c r="Z21" t="str">
        <f>IFERROR(__xludf.DUMMYFUNCTION("IFERROR(FILTER('Fund Investment Data'!$D:$D, 'Fund Investment Data'!$C:$C = $A21, 'Fund Investment Data'!$A:$A = Z$1, 'Fund Investment Data'!$B:$B = 12),"""")"),"")</f>
        <v/>
      </c>
      <c r="AA21" t="str">
        <f>IFERROR(__xludf.DUMMYFUNCTION("IFERROR(FILTER('Fund Investment Data'!$D:$D, 'Fund Investment Data'!$C:$C = $A21, 'Fund Investment Data'!$A:$A = AA$1, 'Fund Investment Data'!$B:$B = 12),"""")"),"")</f>
        <v/>
      </c>
      <c r="AB21" t="str">
        <f>IFERROR(__xludf.DUMMYFUNCTION("IFERROR(FILTER('Fund Investment Data'!$D:$D, 'Fund Investment Data'!$C:$C = $A21, 'Fund Investment Data'!$A:$A = AB$1, 'Fund Investment Data'!$B:$B = 12),"""")"),"")</f>
        <v/>
      </c>
      <c r="AC21" t="str">
        <f>IFERROR(__xludf.DUMMYFUNCTION("IFERROR(FILTER('Fund Investment Data'!$D:$D, 'Fund Investment Data'!$C:$C = $A21, 'Fund Investment Data'!$A:$A = AC$1, 'Fund Investment Data'!$B:$B = 12),"""")"),"")</f>
        <v/>
      </c>
      <c r="AD21" t="str">
        <f>IFERROR(__xludf.DUMMYFUNCTION("IFERROR(FILTER('Fund Investment Data'!$D:$D, 'Fund Investment Data'!$C:$C = $A21, 'Fund Investment Data'!$A:$A = AD$1, 'Fund Investment Data'!$B:$B = 12),"""")"),"")</f>
        <v/>
      </c>
      <c r="AE21">
        <f>IFERROR(__xludf.DUMMYFUNCTION("IFERROR(FILTER('Fund Investment Data'!$D:$D, 'Fund Investment Data'!$C:$C = $A21, 'Fund Investment Data'!$A:$A = AE$1, 'Fund Investment Data'!$B:$B = 12),"""")"),0.0)</f>
        <v>0</v>
      </c>
    </row>
    <row r="22">
      <c r="A22" s="151" t="str">
        <f>'Endowed Funds'!A:A</f>
        <v>Sidney &amp; Iris Taylor Education Fund</v>
      </c>
      <c r="B22" t="str">
        <f>IFERROR(__xludf.DUMMYFUNCTION("IFERROR(FILTER('Fund Investment Data'!$D:$D, 'Fund Investment Data'!$C:$C = $A22, 'Fund Investment Data'!$A:$A = B$1, 'Fund Investment Data'!$B:$B = 12),"""")"),"")</f>
        <v/>
      </c>
      <c r="C22" t="str">
        <f>IFERROR(__xludf.DUMMYFUNCTION("IFERROR(FILTER('Fund Investment Data'!$D:$D, 'Fund Investment Data'!$C:$C = $A22, 'Fund Investment Data'!$A:$A = C$1, 'Fund Investment Data'!$B:$B = 12),"""")"),"")</f>
        <v/>
      </c>
      <c r="D22" t="str">
        <f>IFERROR(__xludf.DUMMYFUNCTION("IFERROR(FILTER('Fund Investment Data'!$D:$D, 'Fund Investment Data'!$C:$C = $A22, 'Fund Investment Data'!$A:$A = D$1, 'Fund Investment Data'!$B:$B = 12),"""")"),"")</f>
        <v/>
      </c>
      <c r="E22" t="str">
        <f>IFERROR(__xludf.DUMMYFUNCTION("IFERROR(FILTER('Fund Investment Data'!$D:$D, 'Fund Investment Data'!$C:$C = $A22, 'Fund Investment Data'!$A:$A = E$1, 'Fund Investment Data'!$B:$B = 12),"""")"),"")</f>
        <v/>
      </c>
      <c r="F22" t="str">
        <f>IFERROR(__xludf.DUMMYFUNCTION("IFERROR(FILTER('Fund Investment Data'!$D:$D, 'Fund Investment Data'!$C:$C = $A22, 'Fund Investment Data'!$A:$A = F$1, 'Fund Investment Data'!$B:$B = 12),"""")"),"")</f>
        <v/>
      </c>
      <c r="G22" t="str">
        <f>IFERROR(__xludf.DUMMYFUNCTION("IFERROR(FILTER('Fund Investment Data'!$D:$D, 'Fund Investment Data'!$C:$C = $A22, 'Fund Investment Data'!$A:$A = G$1, 'Fund Investment Data'!$B:$B = 12),"""")"),"")</f>
        <v/>
      </c>
      <c r="H22" t="str">
        <f>IFERROR(__xludf.DUMMYFUNCTION("IFERROR(FILTER('Fund Investment Data'!$D:$D, 'Fund Investment Data'!$C:$C = $A22, 'Fund Investment Data'!$A:$A = H$1, 'Fund Investment Data'!$B:$B = 12),"""")"),"")</f>
        <v/>
      </c>
      <c r="I22" t="str">
        <f>IFERROR(__xludf.DUMMYFUNCTION("IFERROR(FILTER('Fund Investment Data'!$D:$D, 'Fund Investment Data'!$C:$C = $A22, 'Fund Investment Data'!$A:$A = I$1, 'Fund Investment Data'!$B:$B = 12),"""")"),"")</f>
        <v/>
      </c>
      <c r="J22" t="str">
        <f>IFERROR(__xludf.DUMMYFUNCTION("IFERROR(FILTER('Fund Investment Data'!$D:$D, 'Fund Investment Data'!$C:$C = $A22, 'Fund Investment Data'!$A:$A = J$1, 'Fund Investment Data'!$B:$B = 12),"""")"),"")</f>
        <v/>
      </c>
      <c r="K22" t="str">
        <f>IFERROR(__xludf.DUMMYFUNCTION("IFERROR(FILTER('Fund Investment Data'!$D:$D, 'Fund Investment Data'!$C:$C = $A22, 'Fund Investment Data'!$A:$A = K$1, 'Fund Investment Data'!$B:$B = 12),"""")"),"")</f>
        <v/>
      </c>
      <c r="L22" t="str">
        <f>IFERROR(__xludf.DUMMYFUNCTION("IFERROR(FILTER('Fund Investment Data'!$D:$D, 'Fund Investment Data'!$C:$C = $A22, 'Fund Investment Data'!$A:$A = L$1, 'Fund Investment Data'!$B:$B = 12),"""")"),"")</f>
        <v/>
      </c>
      <c r="M22" t="str">
        <f>IFERROR(__xludf.DUMMYFUNCTION("IFERROR(FILTER('Fund Investment Data'!$D:$D, 'Fund Investment Data'!$C:$C = $A22, 'Fund Investment Data'!$A:$A = M$1, 'Fund Investment Data'!$B:$B = 12),"""")"),"")</f>
        <v/>
      </c>
      <c r="N22" t="str">
        <f>IFERROR(__xludf.DUMMYFUNCTION("IFERROR(FILTER('Fund Investment Data'!$D:$D, 'Fund Investment Data'!$C:$C = $A22, 'Fund Investment Data'!$A:$A = N$1, 'Fund Investment Data'!$B:$B = 12),"""")"),"")</f>
        <v/>
      </c>
      <c r="O22" t="str">
        <f>IFERROR(__xludf.DUMMYFUNCTION("IFERROR(FILTER('Fund Investment Data'!$D:$D, 'Fund Investment Data'!$C:$C = $A22, 'Fund Investment Data'!$A:$A = O$1, 'Fund Investment Data'!$B:$B = 12),"""")"),"")</f>
        <v/>
      </c>
      <c r="P22" t="str">
        <f>IFERROR(__xludf.DUMMYFUNCTION("IFERROR(FILTER('Fund Investment Data'!$D:$D, 'Fund Investment Data'!$C:$C = $A22, 'Fund Investment Data'!$A:$A = P$1, 'Fund Investment Data'!$B:$B = 12),"""")"),"")</f>
        <v/>
      </c>
      <c r="Q22">
        <f>IFERROR(__xludf.DUMMYFUNCTION("IFERROR(FILTER('Fund Investment Data'!$D:$D, 'Fund Investment Data'!$C:$C = $A22, 'Fund Investment Data'!$A:$A = Q$1, 'Fund Investment Data'!$B:$B = 12),"""")"),20000.0)</f>
        <v>20000</v>
      </c>
      <c r="R22">
        <f>IFERROR(__xludf.DUMMYFUNCTION("IFERROR(FILTER('Fund Investment Data'!$D:$D, 'Fund Investment Data'!$C:$C = $A22, 'Fund Investment Data'!$A:$A = R$1, 'Fund Investment Data'!$B:$B = 12),"""")"),20000.0)</f>
        <v>20000</v>
      </c>
      <c r="S22">
        <f>IFERROR(__xludf.DUMMYFUNCTION("IFERROR(FILTER('Fund Investment Data'!$D:$D, 'Fund Investment Data'!$C:$C = $A22, 'Fund Investment Data'!$A:$A = S$1, 'Fund Investment Data'!$B:$B = 12),"""")"),20000.0)</f>
        <v>20000</v>
      </c>
      <c r="T22">
        <f>IFERROR(__xludf.DUMMYFUNCTION("IFERROR(FILTER('Fund Investment Data'!$D:$D, 'Fund Investment Data'!$C:$C = $A22, 'Fund Investment Data'!$A:$A = T$1, 'Fund Investment Data'!$B:$B = 12),"""")"),20000.0)</f>
        <v>20000</v>
      </c>
      <c r="U22" t="str">
        <f>IFERROR(__xludf.DUMMYFUNCTION("IFERROR(FILTER('Fund Investment Data'!$D:$D, 'Fund Investment Data'!$C:$C = $A22, 'Fund Investment Data'!$A:$A = U$1, 'Fund Investment Data'!$B:$B = 12),"""")"),"")</f>
        <v/>
      </c>
      <c r="V22">
        <f>IFERROR(__xludf.DUMMYFUNCTION("IFERROR(FILTER('Fund Investment Data'!$D:$D, 'Fund Investment Data'!$C:$C = $A22, 'Fund Investment Data'!$A:$A = V$1, 'Fund Investment Data'!$B:$B = 12),"""")"),20000.0)</f>
        <v>20000</v>
      </c>
      <c r="W22" t="str">
        <f>IFERROR(__xludf.DUMMYFUNCTION("IFERROR(FILTER('Fund Investment Data'!$D:$D, 'Fund Investment Data'!$C:$C = $A22, 'Fund Investment Data'!$A:$A = W$1, 'Fund Investment Data'!$B:$B = 12),"""")"),"")</f>
        <v/>
      </c>
      <c r="X22" t="str">
        <f>IFERROR(__xludf.DUMMYFUNCTION("IFERROR(FILTER('Fund Investment Data'!$D:$D, 'Fund Investment Data'!$C:$C = $A22, 'Fund Investment Data'!$A:$A = X$1, 'Fund Investment Data'!$B:$B = 12),"""")"),"")</f>
        <v/>
      </c>
      <c r="Y22" t="str">
        <f>IFERROR(__xludf.DUMMYFUNCTION("IFERROR(FILTER('Fund Investment Data'!$D:$D, 'Fund Investment Data'!$C:$C = $A22, 'Fund Investment Data'!$A:$A = Y$1, 'Fund Investment Data'!$B:$B = 12),"""")"),"")</f>
        <v/>
      </c>
      <c r="Z22" t="str">
        <f>IFERROR(__xludf.DUMMYFUNCTION("IFERROR(FILTER('Fund Investment Data'!$D:$D, 'Fund Investment Data'!$C:$C = $A22, 'Fund Investment Data'!$A:$A = Z$1, 'Fund Investment Data'!$B:$B = 12),"""")"),"")</f>
        <v/>
      </c>
      <c r="AA22" t="str">
        <f>IFERROR(__xludf.DUMMYFUNCTION("IFERROR(FILTER('Fund Investment Data'!$D:$D, 'Fund Investment Data'!$C:$C = $A22, 'Fund Investment Data'!$A:$A = AA$1, 'Fund Investment Data'!$B:$B = 12),"""")"),"")</f>
        <v/>
      </c>
      <c r="AB22" t="str">
        <f>IFERROR(__xludf.DUMMYFUNCTION("IFERROR(FILTER('Fund Investment Data'!$D:$D, 'Fund Investment Data'!$C:$C = $A22, 'Fund Investment Data'!$A:$A = AB$1, 'Fund Investment Data'!$B:$B = 12),"""")"),"")</f>
        <v/>
      </c>
      <c r="AC22" t="str">
        <f>IFERROR(__xludf.DUMMYFUNCTION("IFERROR(FILTER('Fund Investment Data'!$D:$D, 'Fund Investment Data'!$C:$C = $A22, 'Fund Investment Data'!$A:$A = AC$1, 'Fund Investment Data'!$B:$B = 12),"""")"),"")</f>
        <v/>
      </c>
      <c r="AD22" t="str">
        <f>IFERROR(__xludf.DUMMYFUNCTION("IFERROR(FILTER('Fund Investment Data'!$D:$D, 'Fund Investment Data'!$C:$C = $A22, 'Fund Investment Data'!$A:$A = AD$1, 'Fund Investment Data'!$B:$B = 12),"""")"),"")</f>
        <v/>
      </c>
      <c r="AE22">
        <f>IFERROR(__xludf.DUMMYFUNCTION("IFERROR(FILTER('Fund Investment Data'!$D:$D, 'Fund Investment Data'!$C:$C = $A22, 'Fund Investment Data'!$A:$A = AE$1, 'Fund Investment Data'!$B:$B = 12),"""")"),0.0)</f>
        <v>0</v>
      </c>
    </row>
    <row r="23">
      <c r="A23" s="151" t="str">
        <f>'Endowed Funds'!A:A</f>
        <v>Dorothy Warner McEachren Memorial Fund</v>
      </c>
      <c r="B23" t="str">
        <f>IFERROR(__xludf.DUMMYFUNCTION("IFERROR(FILTER('Fund Investment Data'!$D:$D, 'Fund Investment Data'!$C:$C = $A23, 'Fund Investment Data'!$A:$A = B$1, 'Fund Investment Data'!$B:$B = 12),"""")"),"")</f>
        <v/>
      </c>
      <c r="C23" t="str">
        <f>IFERROR(__xludf.DUMMYFUNCTION("IFERROR(FILTER('Fund Investment Data'!$D:$D, 'Fund Investment Data'!$C:$C = $A23, 'Fund Investment Data'!$A:$A = C$1, 'Fund Investment Data'!$B:$B = 12),"""")"),"")</f>
        <v/>
      </c>
      <c r="D23" t="str">
        <f>IFERROR(__xludf.DUMMYFUNCTION("IFERROR(FILTER('Fund Investment Data'!$D:$D, 'Fund Investment Data'!$C:$C = $A23, 'Fund Investment Data'!$A:$A = D$1, 'Fund Investment Data'!$B:$B = 12),"""")"),"")</f>
        <v/>
      </c>
      <c r="E23" t="str">
        <f>IFERROR(__xludf.DUMMYFUNCTION("IFERROR(FILTER('Fund Investment Data'!$D:$D, 'Fund Investment Data'!$C:$C = $A23, 'Fund Investment Data'!$A:$A = E$1, 'Fund Investment Data'!$B:$B = 12),"""")"),"")</f>
        <v/>
      </c>
      <c r="F23" t="str">
        <f>IFERROR(__xludf.DUMMYFUNCTION("IFERROR(FILTER('Fund Investment Data'!$D:$D, 'Fund Investment Data'!$C:$C = $A23, 'Fund Investment Data'!$A:$A = F$1, 'Fund Investment Data'!$B:$B = 12),"""")"),"")</f>
        <v/>
      </c>
      <c r="G23" t="str">
        <f>IFERROR(__xludf.DUMMYFUNCTION("IFERROR(FILTER('Fund Investment Data'!$D:$D, 'Fund Investment Data'!$C:$C = $A23, 'Fund Investment Data'!$A:$A = G$1, 'Fund Investment Data'!$B:$B = 12),"""")"),"")</f>
        <v/>
      </c>
      <c r="H23" t="str">
        <f>IFERROR(__xludf.DUMMYFUNCTION("IFERROR(FILTER('Fund Investment Data'!$D:$D, 'Fund Investment Data'!$C:$C = $A23, 'Fund Investment Data'!$A:$A = H$1, 'Fund Investment Data'!$B:$B = 12),"""")"),"")</f>
        <v/>
      </c>
      <c r="I23" t="str">
        <f>IFERROR(__xludf.DUMMYFUNCTION("IFERROR(FILTER('Fund Investment Data'!$D:$D, 'Fund Investment Data'!$C:$C = $A23, 'Fund Investment Data'!$A:$A = I$1, 'Fund Investment Data'!$B:$B = 12),"""")"),"")</f>
        <v/>
      </c>
      <c r="J23" t="str">
        <f>IFERROR(__xludf.DUMMYFUNCTION("IFERROR(FILTER('Fund Investment Data'!$D:$D, 'Fund Investment Data'!$C:$C = $A23, 'Fund Investment Data'!$A:$A = J$1, 'Fund Investment Data'!$B:$B = 12),"""")"),"")</f>
        <v/>
      </c>
      <c r="K23" t="str">
        <f>IFERROR(__xludf.DUMMYFUNCTION("IFERROR(FILTER('Fund Investment Data'!$D:$D, 'Fund Investment Data'!$C:$C = $A23, 'Fund Investment Data'!$A:$A = K$1, 'Fund Investment Data'!$B:$B = 12),"""")"),"")</f>
        <v/>
      </c>
      <c r="L23" t="str">
        <f>IFERROR(__xludf.DUMMYFUNCTION("IFERROR(FILTER('Fund Investment Data'!$D:$D, 'Fund Investment Data'!$C:$C = $A23, 'Fund Investment Data'!$A:$A = L$1, 'Fund Investment Data'!$B:$B = 12),"""")"),"")</f>
        <v/>
      </c>
      <c r="M23" t="str">
        <f>IFERROR(__xludf.DUMMYFUNCTION("IFERROR(FILTER('Fund Investment Data'!$D:$D, 'Fund Investment Data'!$C:$C = $A23, 'Fund Investment Data'!$A:$A = M$1, 'Fund Investment Data'!$B:$B = 12),"""")"),"")</f>
        <v/>
      </c>
      <c r="N23" t="str">
        <f>IFERROR(__xludf.DUMMYFUNCTION("IFERROR(FILTER('Fund Investment Data'!$D:$D, 'Fund Investment Data'!$C:$C = $A23, 'Fund Investment Data'!$A:$A = N$1, 'Fund Investment Data'!$B:$B = 12),"""")"),"")</f>
        <v/>
      </c>
      <c r="O23" t="str">
        <f>IFERROR(__xludf.DUMMYFUNCTION("IFERROR(FILTER('Fund Investment Data'!$D:$D, 'Fund Investment Data'!$C:$C = $A23, 'Fund Investment Data'!$A:$A = O$1, 'Fund Investment Data'!$B:$B = 12),"""")"),"")</f>
        <v/>
      </c>
      <c r="P23" t="str">
        <f>IFERROR(__xludf.DUMMYFUNCTION("IFERROR(FILTER('Fund Investment Data'!$D:$D, 'Fund Investment Data'!$C:$C = $A23, 'Fund Investment Data'!$A:$A = P$1, 'Fund Investment Data'!$B:$B = 12),"""")"),"")</f>
        <v/>
      </c>
      <c r="Q23" t="str">
        <f>IFERROR(__xludf.DUMMYFUNCTION("IFERROR(FILTER('Fund Investment Data'!$D:$D, 'Fund Investment Data'!$C:$C = $A23, 'Fund Investment Data'!$A:$A = Q$1, 'Fund Investment Data'!$B:$B = 12),"""")"),"")</f>
        <v/>
      </c>
      <c r="R23">
        <f>IFERROR(__xludf.DUMMYFUNCTION("IFERROR(FILTER('Fund Investment Data'!$D:$D, 'Fund Investment Data'!$C:$C = $A23, 'Fund Investment Data'!$A:$A = R$1, 'Fund Investment Data'!$B:$B = 12),"""")"),366400.0)</f>
        <v>366400</v>
      </c>
      <c r="S23" t="str">
        <f>IFERROR(__xludf.DUMMYFUNCTION("IFERROR(FILTER('Fund Investment Data'!$D:$D, 'Fund Investment Data'!$C:$C = $A23, 'Fund Investment Data'!$A:$A = S$1, 'Fund Investment Data'!$B:$B = 12),"""")"),"")</f>
        <v/>
      </c>
      <c r="T23" t="str">
        <f>IFERROR(__xludf.DUMMYFUNCTION("IFERROR(FILTER('Fund Investment Data'!$D:$D, 'Fund Investment Data'!$C:$C = $A23, 'Fund Investment Data'!$A:$A = T$1, 'Fund Investment Data'!$B:$B = 12),"""")"),"")</f>
        <v/>
      </c>
      <c r="U23" t="str">
        <f>IFERROR(__xludf.DUMMYFUNCTION("IFERROR(FILTER('Fund Investment Data'!$D:$D, 'Fund Investment Data'!$C:$C = $A23, 'Fund Investment Data'!$A:$A = U$1, 'Fund Investment Data'!$B:$B = 12),"""")"),"")</f>
        <v/>
      </c>
      <c r="V23" t="str">
        <f>IFERROR(__xludf.DUMMYFUNCTION("IFERROR(FILTER('Fund Investment Data'!$D:$D, 'Fund Investment Data'!$C:$C = $A23, 'Fund Investment Data'!$A:$A = V$1, 'Fund Investment Data'!$B:$B = 12),"""")"),"")</f>
        <v/>
      </c>
      <c r="W23" t="str">
        <f>IFERROR(__xludf.DUMMYFUNCTION("IFERROR(FILTER('Fund Investment Data'!$D:$D, 'Fund Investment Data'!$C:$C = $A23, 'Fund Investment Data'!$A:$A = W$1, 'Fund Investment Data'!$B:$B = 12),"""")"),"")</f>
        <v/>
      </c>
      <c r="X23" t="str">
        <f>IFERROR(__xludf.DUMMYFUNCTION("IFERROR(FILTER('Fund Investment Data'!$D:$D, 'Fund Investment Data'!$C:$C = $A23, 'Fund Investment Data'!$A:$A = X$1, 'Fund Investment Data'!$B:$B = 12),"""")"),"")</f>
        <v/>
      </c>
      <c r="Y23" t="str">
        <f>IFERROR(__xludf.DUMMYFUNCTION("IFERROR(FILTER('Fund Investment Data'!$D:$D, 'Fund Investment Data'!$C:$C = $A23, 'Fund Investment Data'!$A:$A = Y$1, 'Fund Investment Data'!$B:$B = 12),"""")"),"")</f>
        <v/>
      </c>
      <c r="Z23" t="str">
        <f>IFERROR(__xludf.DUMMYFUNCTION("IFERROR(FILTER('Fund Investment Data'!$D:$D, 'Fund Investment Data'!$C:$C = $A23, 'Fund Investment Data'!$A:$A = Z$1, 'Fund Investment Data'!$B:$B = 12),"""")"),"")</f>
        <v/>
      </c>
      <c r="AA23" t="str">
        <f>IFERROR(__xludf.DUMMYFUNCTION("IFERROR(FILTER('Fund Investment Data'!$D:$D, 'Fund Investment Data'!$C:$C = $A23, 'Fund Investment Data'!$A:$A = AA$1, 'Fund Investment Data'!$B:$B = 12),"""")"),"")</f>
        <v/>
      </c>
      <c r="AB23" t="str">
        <f>IFERROR(__xludf.DUMMYFUNCTION("IFERROR(FILTER('Fund Investment Data'!$D:$D, 'Fund Investment Data'!$C:$C = $A23, 'Fund Investment Data'!$A:$A = AB$1, 'Fund Investment Data'!$B:$B = 12),"""")"),"")</f>
        <v/>
      </c>
      <c r="AC23" t="str">
        <f>IFERROR(__xludf.DUMMYFUNCTION("IFERROR(FILTER('Fund Investment Data'!$D:$D, 'Fund Investment Data'!$C:$C = $A23, 'Fund Investment Data'!$A:$A = AC$1, 'Fund Investment Data'!$B:$B = 12),"""")"),"")</f>
        <v/>
      </c>
      <c r="AD23" t="str">
        <f>IFERROR(__xludf.DUMMYFUNCTION("IFERROR(FILTER('Fund Investment Data'!$D:$D, 'Fund Investment Data'!$C:$C = $A23, 'Fund Investment Data'!$A:$A = AD$1, 'Fund Investment Data'!$B:$B = 12),"""")"),"")</f>
        <v/>
      </c>
      <c r="AE23">
        <f>IFERROR(__xludf.DUMMYFUNCTION("IFERROR(FILTER('Fund Investment Data'!$D:$D, 'Fund Investment Data'!$C:$C = $A23, 'Fund Investment Data'!$A:$A = AE$1, 'Fund Investment Data'!$B:$B = 12),"""")"),0.0)</f>
        <v>0</v>
      </c>
    </row>
    <row r="24">
      <c r="A24" s="151" t="str">
        <f>'Endowed Funds'!A:A</f>
        <v>General Endowment</v>
      </c>
      <c r="B24" t="str">
        <f>IFERROR(__xludf.DUMMYFUNCTION("IFERROR(FILTER('Fund Investment Data'!$D:$D, 'Fund Investment Data'!$C:$C = $A24, 'Fund Investment Data'!$A:$A = B$1, 'Fund Investment Data'!$B:$B = 12),"""")"),"")</f>
        <v/>
      </c>
      <c r="C24" t="str">
        <f>IFERROR(__xludf.DUMMYFUNCTION("IFERROR(FILTER('Fund Investment Data'!$D:$D, 'Fund Investment Data'!$C:$C = $A24, 'Fund Investment Data'!$A:$A = C$1, 'Fund Investment Data'!$B:$B = 12),"""")"),"")</f>
        <v/>
      </c>
      <c r="D24" t="str">
        <f>IFERROR(__xludf.DUMMYFUNCTION("IFERROR(FILTER('Fund Investment Data'!$D:$D, 'Fund Investment Data'!$C:$C = $A24, 'Fund Investment Data'!$A:$A = D$1, 'Fund Investment Data'!$B:$B = 12),"""")"),"")</f>
        <v/>
      </c>
      <c r="E24" t="str">
        <f>IFERROR(__xludf.DUMMYFUNCTION("IFERROR(FILTER('Fund Investment Data'!$D:$D, 'Fund Investment Data'!$C:$C = $A24, 'Fund Investment Data'!$A:$A = E$1, 'Fund Investment Data'!$B:$B = 12),"""")"),"")</f>
        <v/>
      </c>
      <c r="F24" t="str">
        <f>IFERROR(__xludf.DUMMYFUNCTION("IFERROR(FILTER('Fund Investment Data'!$D:$D, 'Fund Investment Data'!$C:$C = $A24, 'Fund Investment Data'!$A:$A = F$1, 'Fund Investment Data'!$B:$B = 12),"""")"),"")</f>
        <v/>
      </c>
      <c r="G24" t="str">
        <f>IFERROR(__xludf.DUMMYFUNCTION("IFERROR(FILTER('Fund Investment Data'!$D:$D, 'Fund Investment Data'!$C:$C = $A24, 'Fund Investment Data'!$A:$A = G$1, 'Fund Investment Data'!$B:$B = 12),"""")"),"")</f>
        <v/>
      </c>
      <c r="H24" t="str">
        <f>IFERROR(__xludf.DUMMYFUNCTION("IFERROR(FILTER('Fund Investment Data'!$D:$D, 'Fund Investment Data'!$C:$C = $A24, 'Fund Investment Data'!$A:$A = H$1, 'Fund Investment Data'!$B:$B = 12),"""")"),"")</f>
        <v/>
      </c>
      <c r="I24" t="str">
        <f>IFERROR(__xludf.DUMMYFUNCTION("IFERROR(FILTER('Fund Investment Data'!$D:$D, 'Fund Investment Data'!$C:$C = $A24, 'Fund Investment Data'!$A:$A = I$1, 'Fund Investment Data'!$B:$B = 12),"""")"),"")</f>
        <v/>
      </c>
      <c r="J24" t="str">
        <f>IFERROR(__xludf.DUMMYFUNCTION("IFERROR(FILTER('Fund Investment Data'!$D:$D, 'Fund Investment Data'!$C:$C = $A24, 'Fund Investment Data'!$A:$A = J$1, 'Fund Investment Data'!$B:$B = 12),"""")"),"")</f>
        <v/>
      </c>
      <c r="K24">
        <f>IFERROR(__xludf.DUMMYFUNCTION("IFERROR(FILTER('Fund Investment Data'!$D:$D, 'Fund Investment Data'!$C:$C = $A24, 'Fund Investment Data'!$A:$A = K$1, 'Fund Investment Data'!$B:$B = 12),"""")"),55000.0)</f>
        <v>55000</v>
      </c>
      <c r="L24">
        <f>IFERROR(__xludf.DUMMYFUNCTION("IFERROR(FILTER('Fund Investment Data'!$D:$D, 'Fund Investment Data'!$C:$C = $A24, 'Fund Investment Data'!$A:$A = L$1, 'Fund Investment Data'!$B:$B = 12),"""")"),149960.64)</f>
        <v>149960.64</v>
      </c>
      <c r="M24">
        <f>IFERROR(__xludf.DUMMYFUNCTION("IFERROR(FILTER('Fund Investment Data'!$D:$D, 'Fund Investment Data'!$C:$C = $A24, 'Fund Investment Data'!$A:$A = M$1, 'Fund Investment Data'!$B:$B = 12),"""")"),276485.17)</f>
        <v>276485.17</v>
      </c>
      <c r="N24">
        <f>IFERROR(__xludf.DUMMYFUNCTION("IFERROR(FILTER('Fund Investment Data'!$D:$D, 'Fund Investment Data'!$C:$C = $A24, 'Fund Investment Data'!$A:$A = N$1, 'Fund Investment Data'!$B:$B = 12),"""")"),304321.65)</f>
        <v>304321.65</v>
      </c>
      <c r="O24">
        <f>IFERROR(__xludf.DUMMYFUNCTION("IFERROR(FILTER('Fund Investment Data'!$D:$D, 'Fund Investment Data'!$C:$C = $A24, 'Fund Investment Data'!$A:$A = O$1, 'Fund Investment Data'!$B:$B = 12),"""")"),230000.0)</f>
        <v>230000</v>
      </c>
      <c r="P24">
        <f>IFERROR(__xludf.DUMMYFUNCTION("IFERROR(FILTER('Fund Investment Data'!$D:$D, 'Fund Investment Data'!$C:$C = $A24, 'Fund Investment Data'!$A:$A = P$1, 'Fund Investment Data'!$B:$B = 12),"""")"),240000.0)</f>
        <v>240000</v>
      </c>
      <c r="Q24">
        <f>IFERROR(__xludf.DUMMYFUNCTION("IFERROR(FILTER('Fund Investment Data'!$D:$D, 'Fund Investment Data'!$C:$C = $A24, 'Fund Investment Data'!$A:$A = Q$1, 'Fund Investment Data'!$B:$B = 12),"""")"),36000.0)</f>
        <v>36000</v>
      </c>
      <c r="R24">
        <f>IFERROR(__xludf.DUMMYFUNCTION("IFERROR(FILTER('Fund Investment Data'!$D:$D, 'Fund Investment Data'!$C:$C = $A24, 'Fund Investment Data'!$A:$A = R$1, 'Fund Investment Data'!$B:$B = 12),"""")"),76100.0)</f>
        <v>76100</v>
      </c>
      <c r="S24">
        <f>IFERROR(__xludf.DUMMYFUNCTION("IFERROR(FILTER('Fund Investment Data'!$D:$D, 'Fund Investment Data'!$C:$C = $A24, 'Fund Investment Data'!$A:$A = S$1, 'Fund Investment Data'!$B:$B = 12),"""")"),78500.0)</f>
        <v>78500</v>
      </c>
      <c r="T24" t="str">
        <f>IFERROR(__xludf.DUMMYFUNCTION("IFERROR(FILTER('Fund Investment Data'!$D:$D, 'Fund Investment Data'!$C:$C = $A24, 'Fund Investment Data'!$A:$A = T$1, 'Fund Investment Data'!$B:$B = 12),"""")"),"")</f>
        <v/>
      </c>
      <c r="U24" t="str">
        <f>IFERROR(__xludf.DUMMYFUNCTION("IFERROR(FILTER('Fund Investment Data'!$D:$D, 'Fund Investment Data'!$C:$C = $A24, 'Fund Investment Data'!$A:$A = U$1, 'Fund Investment Data'!$B:$B = 12),"""")"),"")</f>
        <v/>
      </c>
      <c r="V24" t="str">
        <f>IFERROR(__xludf.DUMMYFUNCTION("IFERROR(FILTER('Fund Investment Data'!$D:$D, 'Fund Investment Data'!$C:$C = $A24, 'Fund Investment Data'!$A:$A = V$1, 'Fund Investment Data'!$B:$B = 12),"""")"),"")</f>
        <v/>
      </c>
      <c r="W24" t="str">
        <f>IFERROR(__xludf.DUMMYFUNCTION("IFERROR(FILTER('Fund Investment Data'!$D:$D, 'Fund Investment Data'!$C:$C = $A24, 'Fund Investment Data'!$A:$A = W$1, 'Fund Investment Data'!$B:$B = 12),"""")"),"")</f>
        <v/>
      </c>
      <c r="X24" t="str">
        <f>IFERROR(__xludf.DUMMYFUNCTION("IFERROR(FILTER('Fund Investment Data'!$D:$D, 'Fund Investment Data'!$C:$C = $A24, 'Fund Investment Data'!$A:$A = X$1, 'Fund Investment Data'!$B:$B = 12),"""")"),"")</f>
        <v/>
      </c>
      <c r="Y24" t="str">
        <f>IFERROR(__xludf.DUMMYFUNCTION("IFERROR(FILTER('Fund Investment Data'!$D:$D, 'Fund Investment Data'!$C:$C = $A24, 'Fund Investment Data'!$A:$A = Y$1, 'Fund Investment Data'!$B:$B = 12),"""")"),"")</f>
        <v/>
      </c>
      <c r="Z24" t="str">
        <f>IFERROR(__xludf.DUMMYFUNCTION("IFERROR(FILTER('Fund Investment Data'!$D:$D, 'Fund Investment Data'!$C:$C = $A24, 'Fund Investment Data'!$A:$A = Z$1, 'Fund Investment Data'!$B:$B = 12),"""")"),"")</f>
        <v/>
      </c>
      <c r="AA24" t="str">
        <f>IFERROR(__xludf.DUMMYFUNCTION("IFERROR(FILTER('Fund Investment Data'!$D:$D, 'Fund Investment Data'!$C:$C = $A24, 'Fund Investment Data'!$A:$A = AA$1, 'Fund Investment Data'!$B:$B = 12),"""")"),"")</f>
        <v/>
      </c>
      <c r="AB24" t="str">
        <f>IFERROR(__xludf.DUMMYFUNCTION("IFERROR(FILTER('Fund Investment Data'!$D:$D, 'Fund Investment Data'!$C:$C = $A24, 'Fund Investment Data'!$A:$A = AB$1, 'Fund Investment Data'!$B:$B = 12),"""")"),"")</f>
        <v/>
      </c>
      <c r="AC24">
        <f>IFERROR(__xludf.DUMMYFUNCTION("IFERROR(FILTER('Fund Investment Data'!$D:$D, 'Fund Investment Data'!$C:$C = $A24, 'Fund Investment Data'!$A:$A = AC$1, 'Fund Investment Data'!$B:$B = 12),"""")"),10000.0)</f>
        <v>10000</v>
      </c>
      <c r="AD24" t="str">
        <f>IFERROR(__xludf.DUMMYFUNCTION("IFERROR(FILTER('Fund Investment Data'!$D:$D, 'Fund Investment Data'!$C:$C = $A24, 'Fund Investment Data'!$A:$A = AD$1, 'Fund Investment Data'!$B:$B = 12),"""")"),"")</f>
        <v/>
      </c>
      <c r="AE24">
        <f>IFERROR(__xludf.DUMMYFUNCTION("IFERROR(FILTER('Fund Investment Data'!$D:$D, 'Fund Investment Data'!$C:$C = $A24, 'Fund Investment Data'!$A:$A = AE$1, 'Fund Investment Data'!$B:$B = 12),"""")"),0.0)</f>
        <v>0</v>
      </c>
    </row>
    <row r="25">
      <c r="A25" s="151" t="str">
        <f>'Endowed Funds'!A:A</f>
        <v>National Endowment for the Humanities I</v>
      </c>
      <c r="B25" t="str">
        <f>IFERROR(__xludf.DUMMYFUNCTION("IFERROR(FILTER('Fund Investment Data'!$D:$D, 'Fund Investment Data'!$C:$C = $A25, 'Fund Investment Data'!$A:$A = B$1, 'Fund Investment Data'!$B:$B = 12),"""")"),"")</f>
        <v/>
      </c>
      <c r="C25" t="str">
        <f>IFERROR(__xludf.DUMMYFUNCTION("IFERROR(FILTER('Fund Investment Data'!$D:$D, 'Fund Investment Data'!$C:$C = $A25, 'Fund Investment Data'!$A:$A = C$1, 'Fund Investment Data'!$B:$B = 12),"""")"),"")</f>
        <v/>
      </c>
      <c r="D25" t="str">
        <f>IFERROR(__xludf.DUMMYFUNCTION("IFERROR(FILTER('Fund Investment Data'!$D:$D, 'Fund Investment Data'!$C:$C = $A25, 'Fund Investment Data'!$A:$A = D$1, 'Fund Investment Data'!$B:$B = 12),"""")"),"")</f>
        <v/>
      </c>
      <c r="E25" t="str">
        <f>IFERROR(__xludf.DUMMYFUNCTION("IFERROR(FILTER('Fund Investment Data'!$D:$D, 'Fund Investment Data'!$C:$C = $A25, 'Fund Investment Data'!$A:$A = E$1, 'Fund Investment Data'!$B:$B = 12),"""")"),"")</f>
        <v/>
      </c>
      <c r="F25" t="str">
        <f>IFERROR(__xludf.DUMMYFUNCTION("IFERROR(FILTER('Fund Investment Data'!$D:$D, 'Fund Investment Data'!$C:$C = $A25, 'Fund Investment Data'!$A:$A = F$1, 'Fund Investment Data'!$B:$B = 12),"""")"),"")</f>
        <v/>
      </c>
      <c r="G25" t="str">
        <f>IFERROR(__xludf.DUMMYFUNCTION("IFERROR(FILTER('Fund Investment Data'!$D:$D, 'Fund Investment Data'!$C:$C = $A25, 'Fund Investment Data'!$A:$A = G$1, 'Fund Investment Data'!$B:$B = 12),"""")"),"")</f>
        <v/>
      </c>
      <c r="H25">
        <f>IFERROR(__xludf.DUMMYFUNCTION("IFERROR(FILTER('Fund Investment Data'!$D:$D, 'Fund Investment Data'!$C:$C = $A25, 'Fund Investment Data'!$A:$A = H$1, 'Fund Investment Data'!$B:$B = 12),"""")"),1183929.39)</f>
        <v>1183929.39</v>
      </c>
      <c r="I25" t="str">
        <f>IFERROR(__xludf.DUMMYFUNCTION("IFERROR(FILTER('Fund Investment Data'!$D:$D, 'Fund Investment Data'!$C:$C = $A25, 'Fund Investment Data'!$A:$A = I$1, 'Fund Investment Data'!$B:$B = 12),"""")"),"")</f>
        <v/>
      </c>
      <c r="J25" t="str">
        <f>IFERROR(__xludf.DUMMYFUNCTION("IFERROR(FILTER('Fund Investment Data'!$D:$D, 'Fund Investment Data'!$C:$C = $A25, 'Fund Investment Data'!$A:$A = J$1, 'Fund Investment Data'!$B:$B = 12),"""")"),"")</f>
        <v/>
      </c>
      <c r="K25" t="str">
        <f>IFERROR(__xludf.DUMMYFUNCTION("IFERROR(FILTER('Fund Investment Data'!$D:$D, 'Fund Investment Data'!$C:$C = $A25, 'Fund Investment Data'!$A:$A = K$1, 'Fund Investment Data'!$B:$B = 12),"""")"),"")</f>
        <v/>
      </c>
      <c r="L25" t="str">
        <f>IFERROR(__xludf.DUMMYFUNCTION("IFERROR(FILTER('Fund Investment Data'!$D:$D, 'Fund Investment Data'!$C:$C = $A25, 'Fund Investment Data'!$A:$A = L$1, 'Fund Investment Data'!$B:$B = 12),"""")"),"")</f>
        <v/>
      </c>
      <c r="M25" t="str">
        <f>IFERROR(__xludf.DUMMYFUNCTION("IFERROR(FILTER('Fund Investment Data'!$D:$D, 'Fund Investment Data'!$C:$C = $A25, 'Fund Investment Data'!$A:$A = M$1, 'Fund Investment Data'!$B:$B = 12),"""")"),"")</f>
        <v/>
      </c>
      <c r="N25" t="str">
        <f>IFERROR(__xludf.DUMMYFUNCTION("IFERROR(FILTER('Fund Investment Data'!$D:$D, 'Fund Investment Data'!$C:$C = $A25, 'Fund Investment Data'!$A:$A = N$1, 'Fund Investment Data'!$B:$B = 12),"""")"),"")</f>
        <v/>
      </c>
      <c r="O25" t="str">
        <f>IFERROR(__xludf.DUMMYFUNCTION("IFERROR(FILTER('Fund Investment Data'!$D:$D, 'Fund Investment Data'!$C:$C = $A25, 'Fund Investment Data'!$A:$A = O$1, 'Fund Investment Data'!$B:$B = 12),"""")"),"")</f>
        <v/>
      </c>
      <c r="P25" t="str">
        <f>IFERROR(__xludf.DUMMYFUNCTION("IFERROR(FILTER('Fund Investment Data'!$D:$D, 'Fund Investment Data'!$C:$C = $A25, 'Fund Investment Data'!$A:$A = P$1, 'Fund Investment Data'!$B:$B = 12),"""")"),"")</f>
        <v/>
      </c>
      <c r="Q25" t="str">
        <f>IFERROR(__xludf.DUMMYFUNCTION("IFERROR(FILTER('Fund Investment Data'!$D:$D, 'Fund Investment Data'!$C:$C = $A25, 'Fund Investment Data'!$A:$A = Q$1, 'Fund Investment Data'!$B:$B = 12),"""")"),"")</f>
        <v/>
      </c>
      <c r="R25" t="str">
        <f>IFERROR(__xludf.DUMMYFUNCTION("IFERROR(FILTER('Fund Investment Data'!$D:$D, 'Fund Investment Data'!$C:$C = $A25, 'Fund Investment Data'!$A:$A = R$1, 'Fund Investment Data'!$B:$B = 12),"""")"),"")</f>
        <v/>
      </c>
      <c r="S25" t="str">
        <f>IFERROR(__xludf.DUMMYFUNCTION("IFERROR(FILTER('Fund Investment Data'!$D:$D, 'Fund Investment Data'!$C:$C = $A25, 'Fund Investment Data'!$A:$A = S$1, 'Fund Investment Data'!$B:$B = 12),"""")"),"")</f>
        <v/>
      </c>
      <c r="T25" t="str">
        <f>IFERROR(__xludf.DUMMYFUNCTION("IFERROR(FILTER('Fund Investment Data'!$D:$D, 'Fund Investment Data'!$C:$C = $A25, 'Fund Investment Data'!$A:$A = T$1, 'Fund Investment Data'!$B:$B = 12),"""")"),"")</f>
        <v/>
      </c>
      <c r="U25" t="str">
        <f>IFERROR(__xludf.DUMMYFUNCTION("IFERROR(FILTER('Fund Investment Data'!$D:$D, 'Fund Investment Data'!$C:$C = $A25, 'Fund Investment Data'!$A:$A = U$1, 'Fund Investment Data'!$B:$B = 12),"""")"),"")</f>
        <v/>
      </c>
      <c r="V25" t="str">
        <f>IFERROR(__xludf.DUMMYFUNCTION("IFERROR(FILTER('Fund Investment Data'!$D:$D, 'Fund Investment Data'!$C:$C = $A25, 'Fund Investment Data'!$A:$A = V$1, 'Fund Investment Data'!$B:$B = 12),"""")"),"")</f>
        <v/>
      </c>
      <c r="W25" t="str">
        <f>IFERROR(__xludf.DUMMYFUNCTION("IFERROR(FILTER('Fund Investment Data'!$D:$D, 'Fund Investment Data'!$C:$C = $A25, 'Fund Investment Data'!$A:$A = W$1, 'Fund Investment Data'!$B:$B = 12),"""")"),"")</f>
        <v/>
      </c>
      <c r="X25" t="str">
        <f>IFERROR(__xludf.DUMMYFUNCTION("IFERROR(FILTER('Fund Investment Data'!$D:$D, 'Fund Investment Data'!$C:$C = $A25, 'Fund Investment Data'!$A:$A = X$1, 'Fund Investment Data'!$B:$B = 12),"""")"),"")</f>
        <v/>
      </c>
      <c r="Y25" t="str">
        <f>IFERROR(__xludf.DUMMYFUNCTION("IFERROR(FILTER('Fund Investment Data'!$D:$D, 'Fund Investment Data'!$C:$C = $A25, 'Fund Investment Data'!$A:$A = Y$1, 'Fund Investment Data'!$B:$B = 12),"""")"),"")</f>
        <v/>
      </c>
      <c r="Z25" t="str">
        <f>IFERROR(__xludf.DUMMYFUNCTION("IFERROR(FILTER('Fund Investment Data'!$D:$D, 'Fund Investment Data'!$C:$C = $A25, 'Fund Investment Data'!$A:$A = Z$1, 'Fund Investment Data'!$B:$B = 12),"""")"),"")</f>
        <v/>
      </c>
      <c r="AA25" t="str">
        <f>IFERROR(__xludf.DUMMYFUNCTION("IFERROR(FILTER('Fund Investment Data'!$D:$D, 'Fund Investment Data'!$C:$C = $A25, 'Fund Investment Data'!$A:$A = AA$1, 'Fund Investment Data'!$B:$B = 12),"""")"),"")</f>
        <v/>
      </c>
      <c r="AB25" t="str">
        <f>IFERROR(__xludf.DUMMYFUNCTION("IFERROR(FILTER('Fund Investment Data'!$D:$D, 'Fund Investment Data'!$C:$C = $A25, 'Fund Investment Data'!$A:$A = AB$1, 'Fund Investment Data'!$B:$B = 12),"""")"),"")</f>
        <v/>
      </c>
      <c r="AC25" t="str">
        <f>IFERROR(__xludf.DUMMYFUNCTION("IFERROR(FILTER('Fund Investment Data'!$D:$D, 'Fund Investment Data'!$C:$C = $A25, 'Fund Investment Data'!$A:$A = AC$1, 'Fund Investment Data'!$B:$B = 12),"""")"),"")</f>
        <v/>
      </c>
      <c r="AD25" t="str">
        <f>IFERROR(__xludf.DUMMYFUNCTION("IFERROR(FILTER('Fund Investment Data'!$D:$D, 'Fund Investment Data'!$C:$C = $A25, 'Fund Investment Data'!$A:$A = AD$1, 'Fund Investment Data'!$B:$B = 12),"""")"),"")</f>
        <v/>
      </c>
      <c r="AE25">
        <f>IFERROR(__xludf.DUMMYFUNCTION("IFERROR(FILTER('Fund Investment Data'!$D:$D, 'Fund Investment Data'!$C:$C = $A25, 'Fund Investment Data'!$A:$A = AE$1, 'Fund Investment Data'!$B:$B = 12),"""")"),0.0)</f>
        <v>0</v>
      </c>
    </row>
    <row r="26">
      <c r="A26" s="151" t="str">
        <f>'Endowed Funds'!A:A</f>
        <v>National Endowment for the Humanities II</v>
      </c>
      <c r="B26" t="str">
        <f>IFERROR(__xludf.DUMMYFUNCTION("IFERROR(FILTER('Fund Investment Data'!$D:$D, 'Fund Investment Data'!$C:$C = $A26, 'Fund Investment Data'!$A:$A = B$1, 'Fund Investment Data'!$B:$B = 12),"""")"),"")</f>
        <v/>
      </c>
      <c r="C26" t="str">
        <f>IFERROR(__xludf.DUMMYFUNCTION("IFERROR(FILTER('Fund Investment Data'!$D:$D, 'Fund Investment Data'!$C:$C = $A26, 'Fund Investment Data'!$A:$A = C$1, 'Fund Investment Data'!$B:$B = 12),"""")"),"")</f>
        <v/>
      </c>
      <c r="D26" t="str">
        <f>IFERROR(__xludf.DUMMYFUNCTION("IFERROR(FILTER('Fund Investment Data'!$D:$D, 'Fund Investment Data'!$C:$C = $A26, 'Fund Investment Data'!$A:$A = D$1, 'Fund Investment Data'!$B:$B = 12),"""")"),"")</f>
        <v/>
      </c>
      <c r="E26" t="str">
        <f>IFERROR(__xludf.DUMMYFUNCTION("IFERROR(FILTER('Fund Investment Data'!$D:$D, 'Fund Investment Data'!$C:$C = $A26, 'Fund Investment Data'!$A:$A = E$1, 'Fund Investment Data'!$B:$B = 12),"""")"),"")</f>
        <v/>
      </c>
      <c r="F26" t="str">
        <f>IFERROR(__xludf.DUMMYFUNCTION("IFERROR(FILTER('Fund Investment Data'!$D:$D, 'Fund Investment Data'!$C:$C = $A26, 'Fund Investment Data'!$A:$A = F$1, 'Fund Investment Data'!$B:$B = 12),"""")"),"")</f>
        <v/>
      </c>
      <c r="G26" t="str">
        <f>IFERROR(__xludf.DUMMYFUNCTION("IFERROR(FILTER('Fund Investment Data'!$D:$D, 'Fund Investment Data'!$C:$C = $A26, 'Fund Investment Data'!$A:$A = G$1, 'Fund Investment Data'!$B:$B = 12),"""")"),"")</f>
        <v/>
      </c>
      <c r="H26" t="str">
        <f>IFERROR(__xludf.DUMMYFUNCTION("IFERROR(FILTER('Fund Investment Data'!$D:$D, 'Fund Investment Data'!$C:$C = $A26, 'Fund Investment Data'!$A:$A = H$1, 'Fund Investment Data'!$B:$B = 12),"""")"),"")</f>
        <v/>
      </c>
      <c r="I26" t="str">
        <f>IFERROR(__xludf.DUMMYFUNCTION("IFERROR(FILTER('Fund Investment Data'!$D:$D, 'Fund Investment Data'!$C:$C = $A26, 'Fund Investment Data'!$A:$A = I$1, 'Fund Investment Data'!$B:$B = 12),"""")"),"")</f>
        <v/>
      </c>
      <c r="J26" t="str">
        <f>IFERROR(__xludf.DUMMYFUNCTION("IFERROR(FILTER('Fund Investment Data'!$D:$D, 'Fund Investment Data'!$C:$C = $A26, 'Fund Investment Data'!$A:$A = J$1, 'Fund Investment Data'!$B:$B = 12),"""")"),"")</f>
        <v/>
      </c>
      <c r="K26" t="str">
        <f>IFERROR(__xludf.DUMMYFUNCTION("IFERROR(FILTER('Fund Investment Data'!$D:$D, 'Fund Investment Data'!$C:$C = $A26, 'Fund Investment Data'!$A:$A = K$1, 'Fund Investment Data'!$B:$B = 12),"""")"),"")</f>
        <v/>
      </c>
      <c r="L26" t="str">
        <f>IFERROR(__xludf.DUMMYFUNCTION("IFERROR(FILTER('Fund Investment Data'!$D:$D, 'Fund Investment Data'!$C:$C = $A26, 'Fund Investment Data'!$A:$A = L$1, 'Fund Investment Data'!$B:$B = 12),"""")"),"")</f>
        <v/>
      </c>
      <c r="M26">
        <f>IFERROR(__xludf.DUMMYFUNCTION("IFERROR(FILTER('Fund Investment Data'!$D:$D, 'Fund Investment Data'!$C:$C = $A26, 'Fund Investment Data'!$A:$A = M$1, 'Fund Investment Data'!$B:$B = 12),"""")"),350000.0)</f>
        <v>350000</v>
      </c>
      <c r="N26" t="str">
        <f>IFERROR(__xludf.DUMMYFUNCTION("IFERROR(FILTER('Fund Investment Data'!$D:$D, 'Fund Investment Data'!$C:$C = $A26, 'Fund Investment Data'!$A:$A = N$1, 'Fund Investment Data'!$B:$B = 12),"""")"),"")</f>
        <v/>
      </c>
      <c r="O26">
        <f>IFERROR(__xludf.DUMMYFUNCTION("IFERROR(FILTER('Fund Investment Data'!$D:$D, 'Fund Investment Data'!$C:$C = $A26, 'Fund Investment Data'!$A:$A = O$1, 'Fund Investment Data'!$B:$B = 12),"""")"),150000.0)</f>
        <v>150000</v>
      </c>
      <c r="P26" t="str">
        <f>IFERROR(__xludf.DUMMYFUNCTION("IFERROR(FILTER('Fund Investment Data'!$D:$D, 'Fund Investment Data'!$C:$C = $A26, 'Fund Investment Data'!$A:$A = P$1, 'Fund Investment Data'!$B:$B = 12),"""")"),"")</f>
        <v/>
      </c>
      <c r="Q26" t="str">
        <f>IFERROR(__xludf.DUMMYFUNCTION("IFERROR(FILTER('Fund Investment Data'!$D:$D, 'Fund Investment Data'!$C:$C = $A26, 'Fund Investment Data'!$A:$A = Q$1, 'Fund Investment Data'!$B:$B = 12),"""")"),"")</f>
        <v/>
      </c>
      <c r="R26" t="str">
        <f>IFERROR(__xludf.DUMMYFUNCTION("IFERROR(FILTER('Fund Investment Data'!$D:$D, 'Fund Investment Data'!$C:$C = $A26, 'Fund Investment Data'!$A:$A = R$1, 'Fund Investment Data'!$B:$B = 12),"""")"),"")</f>
        <v/>
      </c>
      <c r="S26" t="str">
        <f>IFERROR(__xludf.DUMMYFUNCTION("IFERROR(FILTER('Fund Investment Data'!$D:$D, 'Fund Investment Data'!$C:$C = $A26, 'Fund Investment Data'!$A:$A = S$1, 'Fund Investment Data'!$B:$B = 12),"""")"),"")</f>
        <v/>
      </c>
      <c r="T26" t="str">
        <f>IFERROR(__xludf.DUMMYFUNCTION("IFERROR(FILTER('Fund Investment Data'!$D:$D, 'Fund Investment Data'!$C:$C = $A26, 'Fund Investment Data'!$A:$A = T$1, 'Fund Investment Data'!$B:$B = 12),"""")"),"")</f>
        <v/>
      </c>
      <c r="U26" t="str">
        <f>IFERROR(__xludf.DUMMYFUNCTION("IFERROR(FILTER('Fund Investment Data'!$D:$D, 'Fund Investment Data'!$C:$C = $A26, 'Fund Investment Data'!$A:$A = U$1, 'Fund Investment Data'!$B:$B = 12),"""")"),"")</f>
        <v/>
      </c>
      <c r="V26" t="str">
        <f>IFERROR(__xludf.DUMMYFUNCTION("IFERROR(FILTER('Fund Investment Data'!$D:$D, 'Fund Investment Data'!$C:$C = $A26, 'Fund Investment Data'!$A:$A = V$1, 'Fund Investment Data'!$B:$B = 12),"""")"),"")</f>
        <v/>
      </c>
      <c r="W26" t="str">
        <f>IFERROR(__xludf.DUMMYFUNCTION("IFERROR(FILTER('Fund Investment Data'!$D:$D, 'Fund Investment Data'!$C:$C = $A26, 'Fund Investment Data'!$A:$A = W$1, 'Fund Investment Data'!$B:$B = 12),"""")"),"")</f>
        <v/>
      </c>
      <c r="X26" t="str">
        <f>IFERROR(__xludf.DUMMYFUNCTION("IFERROR(FILTER('Fund Investment Data'!$D:$D, 'Fund Investment Data'!$C:$C = $A26, 'Fund Investment Data'!$A:$A = X$1, 'Fund Investment Data'!$B:$B = 12),"""")"),"")</f>
        <v/>
      </c>
      <c r="Y26" t="str">
        <f>IFERROR(__xludf.DUMMYFUNCTION("IFERROR(FILTER('Fund Investment Data'!$D:$D, 'Fund Investment Data'!$C:$C = $A26, 'Fund Investment Data'!$A:$A = Y$1, 'Fund Investment Data'!$B:$B = 12),"""")"),"")</f>
        <v/>
      </c>
      <c r="Z26" t="str">
        <f>IFERROR(__xludf.DUMMYFUNCTION("IFERROR(FILTER('Fund Investment Data'!$D:$D, 'Fund Investment Data'!$C:$C = $A26, 'Fund Investment Data'!$A:$A = Z$1, 'Fund Investment Data'!$B:$B = 12),"""")"),"")</f>
        <v/>
      </c>
      <c r="AA26" t="str">
        <f>IFERROR(__xludf.DUMMYFUNCTION("IFERROR(FILTER('Fund Investment Data'!$D:$D, 'Fund Investment Data'!$C:$C = $A26, 'Fund Investment Data'!$A:$A = AA$1, 'Fund Investment Data'!$B:$B = 12),"""")"),"")</f>
        <v/>
      </c>
      <c r="AB26" t="str">
        <f>IFERROR(__xludf.DUMMYFUNCTION("IFERROR(FILTER('Fund Investment Data'!$D:$D, 'Fund Investment Data'!$C:$C = $A26, 'Fund Investment Data'!$A:$A = AB$1, 'Fund Investment Data'!$B:$B = 12),"""")"),"")</f>
        <v/>
      </c>
      <c r="AC26" t="str">
        <f>IFERROR(__xludf.DUMMYFUNCTION("IFERROR(FILTER('Fund Investment Data'!$D:$D, 'Fund Investment Data'!$C:$C = $A26, 'Fund Investment Data'!$A:$A = AC$1, 'Fund Investment Data'!$B:$B = 12),"""")"),"")</f>
        <v/>
      </c>
      <c r="AD26" t="str">
        <f>IFERROR(__xludf.DUMMYFUNCTION("IFERROR(FILTER('Fund Investment Data'!$D:$D, 'Fund Investment Data'!$C:$C = $A26, 'Fund Investment Data'!$A:$A = AD$1, 'Fund Investment Data'!$B:$B = 12),"""")"),"")</f>
        <v/>
      </c>
      <c r="AE26">
        <f>IFERROR(__xludf.DUMMYFUNCTION("IFERROR(FILTER('Fund Investment Data'!$D:$D, 'Fund Investment Data'!$C:$C = $A26, 'Fund Investment Data'!$A:$A = AE$1, 'Fund Investment Data'!$B:$B = 12),"""")"),0.0)</f>
        <v>0</v>
      </c>
    </row>
    <row r="27">
      <c r="A27" s="151" t="str">
        <f>'Endowed Funds'!A:A</f>
        <v>Jan and Frank Cicero Research Fund</v>
      </c>
      <c r="B27" t="str">
        <f>IFERROR(__xludf.DUMMYFUNCTION("IFERROR(FILTER('Fund Investment Data'!$D:$D, 'Fund Investment Data'!$C:$C = $A27, 'Fund Investment Data'!$A:$A = B$1, 'Fund Investment Data'!$B:$B = 12),"""")"),"")</f>
        <v/>
      </c>
      <c r="C27" t="str">
        <f>IFERROR(__xludf.DUMMYFUNCTION("IFERROR(FILTER('Fund Investment Data'!$D:$D, 'Fund Investment Data'!$C:$C = $A27, 'Fund Investment Data'!$A:$A = C$1, 'Fund Investment Data'!$B:$B = 12),"""")"),"")</f>
        <v/>
      </c>
      <c r="D27" t="str">
        <f>IFERROR(__xludf.DUMMYFUNCTION("IFERROR(FILTER('Fund Investment Data'!$D:$D, 'Fund Investment Data'!$C:$C = $A27, 'Fund Investment Data'!$A:$A = D$1, 'Fund Investment Data'!$B:$B = 12),"""")"),"")</f>
        <v/>
      </c>
      <c r="E27" t="str">
        <f>IFERROR(__xludf.DUMMYFUNCTION("IFERROR(FILTER('Fund Investment Data'!$D:$D, 'Fund Investment Data'!$C:$C = $A27, 'Fund Investment Data'!$A:$A = E$1, 'Fund Investment Data'!$B:$B = 12),"""")"),"")</f>
        <v/>
      </c>
      <c r="F27" t="str">
        <f>IFERROR(__xludf.DUMMYFUNCTION("IFERROR(FILTER('Fund Investment Data'!$D:$D, 'Fund Investment Data'!$C:$C = $A27, 'Fund Investment Data'!$A:$A = F$1, 'Fund Investment Data'!$B:$B = 12),"""")"),"")</f>
        <v/>
      </c>
      <c r="G27" t="str">
        <f>IFERROR(__xludf.DUMMYFUNCTION("IFERROR(FILTER('Fund Investment Data'!$D:$D, 'Fund Investment Data'!$C:$C = $A27, 'Fund Investment Data'!$A:$A = G$1, 'Fund Investment Data'!$B:$B = 12),"""")"),"")</f>
        <v/>
      </c>
      <c r="H27" t="str">
        <f>IFERROR(__xludf.DUMMYFUNCTION("IFERROR(FILTER('Fund Investment Data'!$D:$D, 'Fund Investment Data'!$C:$C = $A27, 'Fund Investment Data'!$A:$A = H$1, 'Fund Investment Data'!$B:$B = 12),"""")"),"")</f>
        <v/>
      </c>
      <c r="I27" t="str">
        <f>IFERROR(__xludf.DUMMYFUNCTION("IFERROR(FILTER('Fund Investment Data'!$D:$D, 'Fund Investment Data'!$C:$C = $A27, 'Fund Investment Data'!$A:$A = I$1, 'Fund Investment Data'!$B:$B = 12),"""")"),"")</f>
        <v/>
      </c>
      <c r="J27" t="str">
        <f>IFERROR(__xludf.DUMMYFUNCTION("IFERROR(FILTER('Fund Investment Data'!$D:$D, 'Fund Investment Data'!$C:$C = $A27, 'Fund Investment Data'!$A:$A = J$1, 'Fund Investment Data'!$B:$B = 12),"""")"),"")</f>
        <v/>
      </c>
      <c r="K27" t="str">
        <f>IFERROR(__xludf.DUMMYFUNCTION("IFERROR(FILTER('Fund Investment Data'!$D:$D, 'Fund Investment Data'!$C:$C = $A27, 'Fund Investment Data'!$A:$A = K$1, 'Fund Investment Data'!$B:$B = 12),"""")"),"")</f>
        <v/>
      </c>
      <c r="L27" t="str">
        <f>IFERROR(__xludf.DUMMYFUNCTION("IFERROR(FILTER('Fund Investment Data'!$D:$D, 'Fund Investment Data'!$C:$C = $A27, 'Fund Investment Data'!$A:$A = L$1, 'Fund Investment Data'!$B:$B = 12),"""")"),"")</f>
        <v/>
      </c>
      <c r="M27" t="str">
        <f>IFERROR(__xludf.DUMMYFUNCTION("IFERROR(FILTER('Fund Investment Data'!$D:$D, 'Fund Investment Data'!$C:$C = $A27, 'Fund Investment Data'!$A:$A = M$1, 'Fund Investment Data'!$B:$B = 12),"""")"),"")</f>
        <v/>
      </c>
      <c r="N27" t="str">
        <f>IFERROR(__xludf.DUMMYFUNCTION("IFERROR(FILTER('Fund Investment Data'!$D:$D, 'Fund Investment Data'!$C:$C = $A27, 'Fund Investment Data'!$A:$A = N$1, 'Fund Investment Data'!$B:$B = 12),"""")"),"")</f>
        <v/>
      </c>
      <c r="O27" t="str">
        <f>IFERROR(__xludf.DUMMYFUNCTION("IFERROR(FILTER('Fund Investment Data'!$D:$D, 'Fund Investment Data'!$C:$C = $A27, 'Fund Investment Data'!$A:$A = O$1, 'Fund Investment Data'!$B:$B = 12),"""")"),"")</f>
        <v/>
      </c>
      <c r="P27">
        <f>IFERROR(__xludf.DUMMYFUNCTION("IFERROR(FILTER('Fund Investment Data'!$D:$D, 'Fund Investment Data'!$C:$C = $A27, 'Fund Investment Data'!$A:$A = P$1, 'Fund Investment Data'!$B:$B = 12),"""")"),19055.26)</f>
        <v>19055.26</v>
      </c>
      <c r="Q27">
        <f>IFERROR(__xludf.DUMMYFUNCTION("IFERROR(FILTER('Fund Investment Data'!$D:$D, 'Fund Investment Data'!$C:$C = $A27, 'Fund Investment Data'!$A:$A = Q$1, 'Fund Investment Data'!$B:$B = 12),"""")"),22129.0)</f>
        <v>22129</v>
      </c>
      <c r="R27">
        <f>IFERROR(__xludf.DUMMYFUNCTION("IFERROR(FILTER('Fund Investment Data'!$D:$D, 'Fund Investment Data'!$C:$C = $A27, 'Fund Investment Data'!$A:$A = R$1, 'Fund Investment Data'!$B:$B = 12),"""")"),34005.3)</f>
        <v>34005.3</v>
      </c>
      <c r="S27">
        <f>IFERROR(__xludf.DUMMYFUNCTION("IFERROR(FILTER('Fund Investment Data'!$D:$D, 'Fund Investment Data'!$C:$C = $A27, 'Fund Investment Data'!$A:$A = S$1, 'Fund Investment Data'!$B:$B = 12),"""")"),20000.0)</f>
        <v>20000</v>
      </c>
      <c r="T27">
        <f>IFERROR(__xludf.DUMMYFUNCTION("IFERROR(FILTER('Fund Investment Data'!$D:$D, 'Fund Investment Data'!$C:$C = $A27, 'Fund Investment Data'!$A:$A = T$1, 'Fund Investment Data'!$B:$B = 12),"""")"),10000.0)</f>
        <v>10000</v>
      </c>
      <c r="U27">
        <f>IFERROR(__xludf.DUMMYFUNCTION("IFERROR(FILTER('Fund Investment Data'!$D:$D, 'Fund Investment Data'!$C:$C = $A27, 'Fund Investment Data'!$A:$A = U$1, 'Fund Investment Data'!$B:$B = 12),"""")"),5000.0)</f>
        <v>5000</v>
      </c>
      <c r="V27" t="str">
        <f>IFERROR(__xludf.DUMMYFUNCTION("IFERROR(FILTER('Fund Investment Data'!$D:$D, 'Fund Investment Data'!$C:$C = $A27, 'Fund Investment Data'!$A:$A = V$1, 'Fund Investment Data'!$B:$B = 12),"""")"),"")</f>
        <v/>
      </c>
      <c r="W27" t="str">
        <f>IFERROR(__xludf.DUMMYFUNCTION("IFERROR(FILTER('Fund Investment Data'!$D:$D, 'Fund Investment Data'!$C:$C = $A27, 'Fund Investment Data'!$A:$A = W$1, 'Fund Investment Data'!$B:$B = 12),"""")"),"")</f>
        <v/>
      </c>
      <c r="X27">
        <f>IFERROR(__xludf.DUMMYFUNCTION("IFERROR(FILTER('Fund Investment Data'!$D:$D, 'Fund Investment Data'!$C:$C = $A27, 'Fund Investment Data'!$A:$A = X$1, 'Fund Investment Data'!$B:$B = 12),"""")"),15000.0)</f>
        <v>15000</v>
      </c>
      <c r="Y27" t="str">
        <f>IFERROR(__xludf.DUMMYFUNCTION("IFERROR(FILTER('Fund Investment Data'!$D:$D, 'Fund Investment Data'!$C:$C = $A27, 'Fund Investment Data'!$A:$A = Y$1, 'Fund Investment Data'!$B:$B = 12),"""")"),"")</f>
        <v/>
      </c>
      <c r="Z27">
        <f>IFERROR(__xludf.DUMMYFUNCTION("IFERROR(FILTER('Fund Investment Data'!$D:$D, 'Fund Investment Data'!$C:$C = $A27, 'Fund Investment Data'!$A:$A = Z$1, 'Fund Investment Data'!$B:$B = 12),"""")"),20000.0)</f>
        <v>20000</v>
      </c>
      <c r="AA27">
        <f>IFERROR(__xludf.DUMMYFUNCTION("IFERROR(FILTER('Fund Investment Data'!$D:$D, 'Fund Investment Data'!$C:$C = $A27, 'Fund Investment Data'!$A:$A = AA$1, 'Fund Investment Data'!$B:$B = 12),"""")"),20000.0)</f>
        <v>20000</v>
      </c>
      <c r="AB27">
        <f>IFERROR(__xludf.DUMMYFUNCTION("IFERROR(FILTER('Fund Investment Data'!$D:$D, 'Fund Investment Data'!$C:$C = $A27, 'Fund Investment Data'!$A:$A = AB$1, 'Fund Investment Data'!$B:$B = 12),"""")"),20000.0)</f>
        <v>20000</v>
      </c>
      <c r="AC27" t="str">
        <f>IFERROR(__xludf.DUMMYFUNCTION("IFERROR(FILTER('Fund Investment Data'!$D:$D, 'Fund Investment Data'!$C:$C = $A27, 'Fund Investment Data'!$A:$A = AC$1, 'Fund Investment Data'!$B:$B = 12),"""")"),"")</f>
        <v/>
      </c>
      <c r="AD27" t="str">
        <f>IFERROR(__xludf.DUMMYFUNCTION("IFERROR(FILTER('Fund Investment Data'!$D:$D, 'Fund Investment Data'!$C:$C = $A27, 'Fund Investment Data'!$A:$A = AD$1, 'Fund Investment Data'!$B:$B = 12),"""")"),"")</f>
        <v/>
      </c>
      <c r="AE27">
        <f>IFERROR(__xludf.DUMMYFUNCTION("IFERROR(FILTER('Fund Investment Data'!$D:$D, 'Fund Investment Data'!$C:$C = $A27, 'Fund Investment Data'!$A:$A = AE$1, 'Fund Investment Data'!$B:$B = 12),"""")"),0.0)</f>
        <v>0</v>
      </c>
    </row>
    <row r="28">
      <c r="A28" s="151" t="str">
        <f>'Endowed Funds'!A:A</f>
        <v>Mark D. Varien Endowment for Research</v>
      </c>
      <c r="B28" t="str">
        <f>IFERROR(__xludf.DUMMYFUNCTION("IFERROR(FILTER('Fund Investment Data'!$D:$D, 'Fund Investment Data'!$C:$C = $A28, 'Fund Investment Data'!$A:$A = B$1, 'Fund Investment Data'!$B:$B = 12),"""")"),"")</f>
        <v/>
      </c>
      <c r="C28" t="str">
        <f>IFERROR(__xludf.DUMMYFUNCTION("IFERROR(FILTER('Fund Investment Data'!$D:$D, 'Fund Investment Data'!$C:$C = $A28, 'Fund Investment Data'!$A:$A = C$1, 'Fund Investment Data'!$B:$B = 12),"""")"),"")</f>
        <v/>
      </c>
      <c r="D28" t="str">
        <f>IFERROR(__xludf.DUMMYFUNCTION("IFERROR(FILTER('Fund Investment Data'!$D:$D, 'Fund Investment Data'!$C:$C = $A28, 'Fund Investment Data'!$A:$A = D$1, 'Fund Investment Data'!$B:$B = 12),"""")"),"")</f>
        <v/>
      </c>
      <c r="E28" t="str">
        <f>IFERROR(__xludf.DUMMYFUNCTION("IFERROR(FILTER('Fund Investment Data'!$D:$D, 'Fund Investment Data'!$C:$C = $A28, 'Fund Investment Data'!$A:$A = E$1, 'Fund Investment Data'!$B:$B = 12),"""")"),"")</f>
        <v/>
      </c>
      <c r="F28" t="str">
        <f>IFERROR(__xludf.DUMMYFUNCTION("IFERROR(FILTER('Fund Investment Data'!$D:$D, 'Fund Investment Data'!$C:$C = $A28, 'Fund Investment Data'!$A:$A = F$1, 'Fund Investment Data'!$B:$B = 12),"""")"),"")</f>
        <v/>
      </c>
      <c r="G28" t="str">
        <f>IFERROR(__xludf.DUMMYFUNCTION("IFERROR(FILTER('Fund Investment Data'!$D:$D, 'Fund Investment Data'!$C:$C = $A28, 'Fund Investment Data'!$A:$A = G$1, 'Fund Investment Data'!$B:$B = 12),"""")"),"")</f>
        <v/>
      </c>
      <c r="H28" t="str">
        <f>IFERROR(__xludf.DUMMYFUNCTION("IFERROR(FILTER('Fund Investment Data'!$D:$D, 'Fund Investment Data'!$C:$C = $A28, 'Fund Investment Data'!$A:$A = H$1, 'Fund Investment Data'!$B:$B = 12),"""")"),"")</f>
        <v/>
      </c>
      <c r="I28" t="str">
        <f>IFERROR(__xludf.DUMMYFUNCTION("IFERROR(FILTER('Fund Investment Data'!$D:$D, 'Fund Investment Data'!$C:$C = $A28, 'Fund Investment Data'!$A:$A = I$1, 'Fund Investment Data'!$B:$B = 12),"""")"),"")</f>
        <v/>
      </c>
      <c r="J28" t="str">
        <f>IFERROR(__xludf.DUMMYFUNCTION("IFERROR(FILTER('Fund Investment Data'!$D:$D, 'Fund Investment Data'!$C:$C = $A28, 'Fund Investment Data'!$A:$A = J$1, 'Fund Investment Data'!$B:$B = 12),"""")"),"")</f>
        <v/>
      </c>
      <c r="K28" t="str">
        <f>IFERROR(__xludf.DUMMYFUNCTION("IFERROR(FILTER('Fund Investment Data'!$D:$D, 'Fund Investment Data'!$C:$C = $A28, 'Fund Investment Data'!$A:$A = K$1, 'Fund Investment Data'!$B:$B = 12),"""")"),"")</f>
        <v/>
      </c>
      <c r="L28" t="str">
        <f>IFERROR(__xludf.DUMMYFUNCTION("IFERROR(FILTER('Fund Investment Data'!$D:$D, 'Fund Investment Data'!$C:$C = $A28, 'Fund Investment Data'!$A:$A = L$1, 'Fund Investment Data'!$B:$B = 12),"""")"),"")</f>
        <v/>
      </c>
      <c r="M28" t="str">
        <f>IFERROR(__xludf.DUMMYFUNCTION("IFERROR(FILTER('Fund Investment Data'!$D:$D, 'Fund Investment Data'!$C:$C = $A28, 'Fund Investment Data'!$A:$A = M$1, 'Fund Investment Data'!$B:$B = 12),"""")"),"")</f>
        <v/>
      </c>
      <c r="N28" t="str">
        <f>IFERROR(__xludf.DUMMYFUNCTION("IFERROR(FILTER('Fund Investment Data'!$D:$D, 'Fund Investment Data'!$C:$C = $A28, 'Fund Investment Data'!$A:$A = N$1, 'Fund Investment Data'!$B:$B = 12),"""")"),"")</f>
        <v/>
      </c>
      <c r="O28" t="str">
        <f>IFERROR(__xludf.DUMMYFUNCTION("IFERROR(FILTER('Fund Investment Data'!$D:$D, 'Fund Investment Data'!$C:$C = $A28, 'Fund Investment Data'!$A:$A = O$1, 'Fund Investment Data'!$B:$B = 12),"""")"),"")</f>
        <v/>
      </c>
      <c r="P28" t="str">
        <f>IFERROR(__xludf.DUMMYFUNCTION("IFERROR(FILTER('Fund Investment Data'!$D:$D, 'Fund Investment Data'!$C:$C = $A28, 'Fund Investment Data'!$A:$A = P$1, 'Fund Investment Data'!$B:$B = 12),"""")"),"")</f>
        <v/>
      </c>
      <c r="Q28" t="str">
        <f>IFERROR(__xludf.DUMMYFUNCTION("IFERROR(FILTER('Fund Investment Data'!$D:$D, 'Fund Investment Data'!$C:$C = $A28, 'Fund Investment Data'!$A:$A = Q$1, 'Fund Investment Data'!$B:$B = 12),"""")"),"")</f>
        <v/>
      </c>
      <c r="R28" t="str">
        <f>IFERROR(__xludf.DUMMYFUNCTION("IFERROR(FILTER('Fund Investment Data'!$D:$D, 'Fund Investment Data'!$C:$C = $A28, 'Fund Investment Data'!$A:$A = R$1, 'Fund Investment Data'!$B:$B = 12),"""")"),"")</f>
        <v/>
      </c>
      <c r="S28" t="str">
        <f>IFERROR(__xludf.DUMMYFUNCTION("IFERROR(FILTER('Fund Investment Data'!$D:$D, 'Fund Investment Data'!$C:$C = $A28, 'Fund Investment Data'!$A:$A = S$1, 'Fund Investment Data'!$B:$B = 12),"""")"),"")</f>
        <v/>
      </c>
      <c r="T28" t="str">
        <f>IFERROR(__xludf.DUMMYFUNCTION("IFERROR(FILTER('Fund Investment Data'!$D:$D, 'Fund Investment Data'!$C:$C = $A28, 'Fund Investment Data'!$A:$A = T$1, 'Fund Investment Data'!$B:$B = 12),"""")"),"")</f>
        <v/>
      </c>
      <c r="U28" t="str">
        <f>IFERROR(__xludf.DUMMYFUNCTION("IFERROR(FILTER('Fund Investment Data'!$D:$D, 'Fund Investment Data'!$C:$C = $A28, 'Fund Investment Data'!$A:$A = U$1, 'Fund Investment Data'!$B:$B = 12),"""")"),"")</f>
        <v/>
      </c>
      <c r="V28" t="str">
        <f>IFERROR(__xludf.DUMMYFUNCTION("IFERROR(FILTER('Fund Investment Data'!$D:$D, 'Fund Investment Data'!$C:$C = $A28, 'Fund Investment Data'!$A:$A = V$1, 'Fund Investment Data'!$B:$B = 12),"""")"),"")</f>
        <v/>
      </c>
      <c r="W28" t="str">
        <f>IFERROR(__xludf.DUMMYFUNCTION("IFERROR(FILTER('Fund Investment Data'!$D:$D, 'Fund Investment Data'!$C:$C = $A28, 'Fund Investment Data'!$A:$A = W$1, 'Fund Investment Data'!$B:$B = 12),"""")"),"")</f>
        <v/>
      </c>
      <c r="X28" t="str">
        <f>IFERROR(__xludf.DUMMYFUNCTION("IFERROR(FILTER('Fund Investment Data'!$D:$D, 'Fund Investment Data'!$C:$C = $A28, 'Fund Investment Data'!$A:$A = X$1, 'Fund Investment Data'!$B:$B = 12),"""")"),"")</f>
        <v/>
      </c>
      <c r="Y28">
        <f>IFERROR(__xludf.DUMMYFUNCTION("IFERROR(FILTER('Fund Investment Data'!$D:$D, 'Fund Investment Data'!$C:$C = $A28, 'Fund Investment Data'!$A:$A = Y$1, 'Fund Investment Data'!$B:$B = 12),"""")"),405623.55)</f>
        <v>405623.55</v>
      </c>
      <c r="Z28">
        <f>IFERROR(__xludf.DUMMYFUNCTION("IFERROR(FILTER('Fund Investment Data'!$D:$D, 'Fund Investment Data'!$C:$C = $A28, 'Fund Investment Data'!$A:$A = Z$1, 'Fund Investment Data'!$B:$B = 12),"""")"),2500.0)</f>
        <v>2500</v>
      </c>
      <c r="AA28">
        <f>IFERROR(__xludf.DUMMYFUNCTION("IFERROR(FILTER('Fund Investment Data'!$D:$D, 'Fund Investment Data'!$C:$C = $A28, 'Fund Investment Data'!$A:$A = AA$1, 'Fund Investment Data'!$B:$B = 12),"""")"),2500.0)</f>
        <v>2500</v>
      </c>
      <c r="AB28">
        <f>IFERROR(__xludf.DUMMYFUNCTION("IFERROR(FILTER('Fund Investment Data'!$D:$D, 'Fund Investment Data'!$C:$C = $A28, 'Fund Investment Data'!$A:$A = AB$1, 'Fund Investment Data'!$B:$B = 12),"""")"),2500.0)</f>
        <v>2500</v>
      </c>
      <c r="AC28">
        <f>IFERROR(__xludf.DUMMYFUNCTION("IFERROR(FILTER('Fund Investment Data'!$D:$D, 'Fund Investment Data'!$C:$C = $A28, 'Fund Investment Data'!$A:$A = AC$1, 'Fund Investment Data'!$B:$B = 12),"""")"),3300.0)</f>
        <v>3300</v>
      </c>
      <c r="AD28">
        <f>IFERROR(__xludf.DUMMYFUNCTION("IFERROR(FILTER('Fund Investment Data'!$D:$D, 'Fund Investment Data'!$C:$C = $A28, 'Fund Investment Data'!$A:$A = AD$1, 'Fund Investment Data'!$B:$B = 12),"""")"),2650.0)</f>
        <v>2650</v>
      </c>
      <c r="AE28">
        <f>IFERROR(__xludf.DUMMYFUNCTION("IFERROR(FILTER('Fund Investment Data'!$D:$D, 'Fund Investment Data'!$C:$C = $A28, 'Fund Investment Data'!$A:$A = AE$1, 'Fund Investment Data'!$B:$B = 12),"""")"),1000.0)</f>
        <v>1000</v>
      </c>
    </row>
    <row r="29">
      <c r="A29" s="151" t="str">
        <f>'Endowed Funds'!A:A</f>
        <v>Research Institute Endowment Fund</v>
      </c>
      <c r="B29" t="str">
        <f>IFERROR(__xludf.DUMMYFUNCTION("IFERROR(FILTER('Fund Investment Data'!$D:$D, 'Fund Investment Data'!$C:$C = $A29, 'Fund Investment Data'!$A:$A = B$1, 'Fund Investment Data'!$B:$B = 12),"""")"),"")</f>
        <v/>
      </c>
      <c r="C29" t="str">
        <f>IFERROR(__xludf.DUMMYFUNCTION("IFERROR(FILTER('Fund Investment Data'!$D:$D, 'Fund Investment Data'!$C:$C = $A29, 'Fund Investment Data'!$A:$A = C$1, 'Fund Investment Data'!$B:$B = 12),"""")"),"")</f>
        <v/>
      </c>
      <c r="D29" t="str">
        <f>IFERROR(__xludf.DUMMYFUNCTION("IFERROR(FILTER('Fund Investment Data'!$D:$D, 'Fund Investment Data'!$C:$C = $A29, 'Fund Investment Data'!$A:$A = D$1, 'Fund Investment Data'!$B:$B = 12),"""")"),"")</f>
        <v/>
      </c>
      <c r="E29" t="str">
        <f>IFERROR(__xludf.DUMMYFUNCTION("IFERROR(FILTER('Fund Investment Data'!$D:$D, 'Fund Investment Data'!$C:$C = $A29, 'Fund Investment Data'!$A:$A = E$1, 'Fund Investment Data'!$B:$B = 12),"""")"),"")</f>
        <v/>
      </c>
      <c r="F29" t="str">
        <f>IFERROR(__xludf.DUMMYFUNCTION("IFERROR(FILTER('Fund Investment Data'!$D:$D, 'Fund Investment Data'!$C:$C = $A29, 'Fund Investment Data'!$A:$A = F$1, 'Fund Investment Data'!$B:$B = 12),"""")"),"")</f>
        <v/>
      </c>
      <c r="G29" t="str">
        <f>IFERROR(__xludf.DUMMYFUNCTION("IFERROR(FILTER('Fund Investment Data'!$D:$D, 'Fund Investment Data'!$C:$C = $A29, 'Fund Investment Data'!$A:$A = G$1, 'Fund Investment Data'!$B:$B = 12),"""")"),"")</f>
        <v/>
      </c>
      <c r="H29" t="str">
        <f>IFERROR(__xludf.DUMMYFUNCTION("IFERROR(FILTER('Fund Investment Data'!$D:$D, 'Fund Investment Data'!$C:$C = $A29, 'Fund Investment Data'!$A:$A = H$1, 'Fund Investment Data'!$B:$B = 12),"""")"),"")</f>
        <v/>
      </c>
      <c r="I29" t="str">
        <f>IFERROR(__xludf.DUMMYFUNCTION("IFERROR(FILTER('Fund Investment Data'!$D:$D, 'Fund Investment Data'!$C:$C = $A29, 'Fund Investment Data'!$A:$A = I$1, 'Fund Investment Data'!$B:$B = 12),"""")"),"")</f>
        <v/>
      </c>
      <c r="J29" t="str">
        <f>IFERROR(__xludf.DUMMYFUNCTION("IFERROR(FILTER('Fund Investment Data'!$D:$D, 'Fund Investment Data'!$C:$C = $A29, 'Fund Investment Data'!$A:$A = J$1, 'Fund Investment Data'!$B:$B = 12),"""")"),"")</f>
        <v/>
      </c>
      <c r="K29" t="str">
        <f>IFERROR(__xludf.DUMMYFUNCTION("IFERROR(FILTER('Fund Investment Data'!$D:$D, 'Fund Investment Data'!$C:$C = $A29, 'Fund Investment Data'!$A:$A = K$1, 'Fund Investment Data'!$B:$B = 12),"""")"),"")</f>
        <v/>
      </c>
      <c r="L29" t="str">
        <f>IFERROR(__xludf.DUMMYFUNCTION("IFERROR(FILTER('Fund Investment Data'!$D:$D, 'Fund Investment Data'!$C:$C = $A29, 'Fund Investment Data'!$A:$A = L$1, 'Fund Investment Data'!$B:$B = 12),"""")"),"")</f>
        <v/>
      </c>
      <c r="M29" t="str">
        <f>IFERROR(__xludf.DUMMYFUNCTION("IFERROR(FILTER('Fund Investment Data'!$D:$D, 'Fund Investment Data'!$C:$C = $A29, 'Fund Investment Data'!$A:$A = M$1, 'Fund Investment Data'!$B:$B = 12),"""")"),"")</f>
        <v/>
      </c>
      <c r="N29" t="str">
        <f>IFERROR(__xludf.DUMMYFUNCTION("IFERROR(FILTER('Fund Investment Data'!$D:$D, 'Fund Investment Data'!$C:$C = $A29, 'Fund Investment Data'!$A:$A = N$1, 'Fund Investment Data'!$B:$B = 12),"""")"),"")</f>
        <v/>
      </c>
      <c r="O29" t="str">
        <f>IFERROR(__xludf.DUMMYFUNCTION("IFERROR(FILTER('Fund Investment Data'!$D:$D, 'Fund Investment Data'!$C:$C = $A29, 'Fund Investment Data'!$A:$A = O$1, 'Fund Investment Data'!$B:$B = 12),"""")"),"")</f>
        <v/>
      </c>
      <c r="P29" t="str">
        <f>IFERROR(__xludf.DUMMYFUNCTION("IFERROR(FILTER('Fund Investment Data'!$D:$D, 'Fund Investment Data'!$C:$C = $A29, 'Fund Investment Data'!$A:$A = P$1, 'Fund Investment Data'!$B:$B = 12),"""")"),"")</f>
        <v/>
      </c>
      <c r="Q29" t="str">
        <f>IFERROR(__xludf.DUMMYFUNCTION("IFERROR(FILTER('Fund Investment Data'!$D:$D, 'Fund Investment Data'!$C:$C = $A29, 'Fund Investment Data'!$A:$A = Q$1, 'Fund Investment Data'!$B:$B = 12),"""")"),"")</f>
        <v/>
      </c>
      <c r="R29" t="str">
        <f>IFERROR(__xludf.DUMMYFUNCTION("IFERROR(FILTER('Fund Investment Data'!$D:$D, 'Fund Investment Data'!$C:$C = $A29, 'Fund Investment Data'!$A:$A = R$1, 'Fund Investment Data'!$B:$B = 12),"""")"),"")</f>
        <v/>
      </c>
      <c r="S29" t="str">
        <f>IFERROR(__xludf.DUMMYFUNCTION("IFERROR(FILTER('Fund Investment Data'!$D:$D, 'Fund Investment Data'!$C:$C = $A29, 'Fund Investment Data'!$A:$A = S$1, 'Fund Investment Data'!$B:$B = 12),"""")"),"")</f>
        <v/>
      </c>
      <c r="T29" t="str">
        <f>IFERROR(__xludf.DUMMYFUNCTION("IFERROR(FILTER('Fund Investment Data'!$D:$D, 'Fund Investment Data'!$C:$C = $A29, 'Fund Investment Data'!$A:$A = T$1, 'Fund Investment Data'!$B:$B = 12),"""")"),"")</f>
        <v/>
      </c>
      <c r="U29" t="str">
        <f>IFERROR(__xludf.DUMMYFUNCTION("IFERROR(FILTER('Fund Investment Data'!$D:$D, 'Fund Investment Data'!$C:$C = $A29, 'Fund Investment Data'!$A:$A = U$1, 'Fund Investment Data'!$B:$B = 12),"""")"),"")</f>
        <v/>
      </c>
      <c r="V29" t="str">
        <f>IFERROR(__xludf.DUMMYFUNCTION("IFERROR(FILTER('Fund Investment Data'!$D:$D, 'Fund Investment Data'!$C:$C = $A29, 'Fund Investment Data'!$A:$A = V$1, 'Fund Investment Data'!$B:$B = 12),"""")"),"")</f>
        <v/>
      </c>
      <c r="W29" t="str">
        <f>IFERROR(__xludf.DUMMYFUNCTION("IFERROR(FILTER('Fund Investment Data'!$D:$D, 'Fund Investment Data'!$C:$C = $A29, 'Fund Investment Data'!$A:$A = W$1, 'Fund Investment Data'!$B:$B = 12),"""")"),"")</f>
        <v/>
      </c>
      <c r="X29" t="str">
        <f>IFERROR(__xludf.DUMMYFUNCTION("IFERROR(FILTER('Fund Investment Data'!$D:$D, 'Fund Investment Data'!$C:$C = $A29, 'Fund Investment Data'!$A:$A = X$1, 'Fund Investment Data'!$B:$B = 12),"""")"),"")</f>
        <v/>
      </c>
      <c r="Y29">
        <f>IFERROR(__xludf.DUMMYFUNCTION("IFERROR(FILTER('Fund Investment Data'!$D:$D, 'Fund Investment Data'!$C:$C = $A29, 'Fund Investment Data'!$A:$A = Y$1, 'Fund Investment Data'!$B:$B = 12),"""")"),498636.0)</f>
        <v>498636</v>
      </c>
      <c r="Z29">
        <f>IFERROR(__xludf.DUMMYFUNCTION("IFERROR(FILTER('Fund Investment Data'!$D:$D, 'Fund Investment Data'!$C:$C = $A29, 'Fund Investment Data'!$A:$A = Z$1, 'Fund Investment Data'!$B:$B = 12),"""")"),1000.0)</f>
        <v>1000</v>
      </c>
      <c r="AA29">
        <f>IFERROR(__xludf.DUMMYFUNCTION("IFERROR(FILTER('Fund Investment Data'!$D:$D, 'Fund Investment Data'!$C:$C = $A29, 'Fund Investment Data'!$A:$A = AA$1, 'Fund Investment Data'!$B:$B = 12),"""")"),501000.0)</f>
        <v>501000</v>
      </c>
      <c r="AB29">
        <f>IFERROR(__xludf.DUMMYFUNCTION("IFERROR(FILTER('Fund Investment Data'!$D:$D, 'Fund Investment Data'!$C:$C = $A29, 'Fund Investment Data'!$A:$A = AB$1, 'Fund Investment Data'!$B:$B = 12),"""")"),1000.0)</f>
        <v>1000</v>
      </c>
      <c r="AC29">
        <f>IFERROR(__xludf.DUMMYFUNCTION("IFERROR(FILTER('Fund Investment Data'!$D:$D, 'Fund Investment Data'!$C:$C = $A29, 'Fund Investment Data'!$A:$A = AC$1, 'Fund Investment Data'!$B:$B = 12),"""")"),3500.0)</f>
        <v>3500</v>
      </c>
      <c r="AD29">
        <f>IFERROR(__xludf.DUMMYFUNCTION("IFERROR(FILTER('Fund Investment Data'!$D:$D, 'Fund Investment Data'!$C:$C = $A29, 'Fund Investment Data'!$A:$A = AD$1, 'Fund Investment Data'!$B:$B = 12),"""")"),75000.0)</f>
        <v>75000</v>
      </c>
      <c r="AE29">
        <f>IFERROR(__xludf.DUMMYFUNCTION("IFERROR(FILTER('Fund Investment Data'!$D:$D, 'Fund Investment Data'!$C:$C = $A29, 'Fund Investment Data'!$A:$A = AE$1, 'Fund Investment Data'!$B:$B = 12),"""")"),1000.0)</f>
        <v>1000</v>
      </c>
    </row>
    <row r="30">
      <c r="A30" s="151" t="str">
        <f>'Endowed Funds'!A:A</f>
        <v>Ricky R. Lightfoot Chair for Research</v>
      </c>
      <c r="B30" t="str">
        <f>IFERROR(__xludf.DUMMYFUNCTION("IFERROR(FILTER('Fund Investment Data'!$D:$D, 'Fund Investment Data'!$C:$C = $A30, 'Fund Investment Data'!$A:$A = B$1, 'Fund Investment Data'!$B:$B = 12),"""")"),"")</f>
        <v/>
      </c>
      <c r="C30" t="str">
        <f>IFERROR(__xludf.DUMMYFUNCTION("IFERROR(FILTER('Fund Investment Data'!$D:$D, 'Fund Investment Data'!$C:$C = $A30, 'Fund Investment Data'!$A:$A = C$1, 'Fund Investment Data'!$B:$B = 12),"""")"),"")</f>
        <v/>
      </c>
      <c r="D30" t="str">
        <f>IFERROR(__xludf.DUMMYFUNCTION("IFERROR(FILTER('Fund Investment Data'!$D:$D, 'Fund Investment Data'!$C:$C = $A30, 'Fund Investment Data'!$A:$A = D$1, 'Fund Investment Data'!$B:$B = 12),"""")"),"")</f>
        <v/>
      </c>
      <c r="E30" t="str">
        <f>IFERROR(__xludf.DUMMYFUNCTION("IFERROR(FILTER('Fund Investment Data'!$D:$D, 'Fund Investment Data'!$C:$C = $A30, 'Fund Investment Data'!$A:$A = E$1, 'Fund Investment Data'!$B:$B = 12),"""")"),"")</f>
        <v/>
      </c>
      <c r="F30" t="str">
        <f>IFERROR(__xludf.DUMMYFUNCTION("IFERROR(FILTER('Fund Investment Data'!$D:$D, 'Fund Investment Data'!$C:$C = $A30, 'Fund Investment Data'!$A:$A = F$1, 'Fund Investment Data'!$B:$B = 12),"""")"),"")</f>
        <v/>
      </c>
      <c r="G30" t="str">
        <f>IFERROR(__xludf.DUMMYFUNCTION("IFERROR(FILTER('Fund Investment Data'!$D:$D, 'Fund Investment Data'!$C:$C = $A30, 'Fund Investment Data'!$A:$A = G$1, 'Fund Investment Data'!$B:$B = 12),"""")"),"")</f>
        <v/>
      </c>
      <c r="H30" t="str">
        <f>IFERROR(__xludf.DUMMYFUNCTION("IFERROR(FILTER('Fund Investment Data'!$D:$D, 'Fund Investment Data'!$C:$C = $A30, 'Fund Investment Data'!$A:$A = H$1, 'Fund Investment Data'!$B:$B = 12),"""")"),"")</f>
        <v/>
      </c>
      <c r="I30" t="str">
        <f>IFERROR(__xludf.DUMMYFUNCTION("IFERROR(FILTER('Fund Investment Data'!$D:$D, 'Fund Investment Data'!$C:$C = $A30, 'Fund Investment Data'!$A:$A = I$1, 'Fund Investment Data'!$B:$B = 12),"""")"),"")</f>
        <v/>
      </c>
      <c r="J30" t="str">
        <f>IFERROR(__xludf.DUMMYFUNCTION("IFERROR(FILTER('Fund Investment Data'!$D:$D, 'Fund Investment Data'!$C:$C = $A30, 'Fund Investment Data'!$A:$A = J$1, 'Fund Investment Data'!$B:$B = 12),"""")"),"")</f>
        <v/>
      </c>
      <c r="K30" t="str">
        <f>IFERROR(__xludf.DUMMYFUNCTION("IFERROR(FILTER('Fund Investment Data'!$D:$D, 'Fund Investment Data'!$C:$C = $A30, 'Fund Investment Data'!$A:$A = K$1, 'Fund Investment Data'!$B:$B = 12),"""")"),"")</f>
        <v/>
      </c>
      <c r="L30" t="str">
        <f>IFERROR(__xludf.DUMMYFUNCTION("IFERROR(FILTER('Fund Investment Data'!$D:$D, 'Fund Investment Data'!$C:$C = $A30, 'Fund Investment Data'!$A:$A = L$1, 'Fund Investment Data'!$B:$B = 12),"""")"),"")</f>
        <v/>
      </c>
      <c r="M30" t="str">
        <f>IFERROR(__xludf.DUMMYFUNCTION("IFERROR(FILTER('Fund Investment Data'!$D:$D, 'Fund Investment Data'!$C:$C = $A30, 'Fund Investment Data'!$A:$A = M$1, 'Fund Investment Data'!$B:$B = 12),"""")"),"")</f>
        <v/>
      </c>
      <c r="N30" t="str">
        <f>IFERROR(__xludf.DUMMYFUNCTION("IFERROR(FILTER('Fund Investment Data'!$D:$D, 'Fund Investment Data'!$C:$C = $A30, 'Fund Investment Data'!$A:$A = N$1, 'Fund Investment Data'!$B:$B = 12),"""")"),"")</f>
        <v/>
      </c>
      <c r="O30" t="str">
        <f>IFERROR(__xludf.DUMMYFUNCTION("IFERROR(FILTER('Fund Investment Data'!$D:$D, 'Fund Investment Data'!$C:$C = $A30, 'Fund Investment Data'!$A:$A = O$1, 'Fund Investment Data'!$B:$B = 12),"""")"),"")</f>
        <v/>
      </c>
      <c r="P30" t="str">
        <f>IFERROR(__xludf.DUMMYFUNCTION("IFERROR(FILTER('Fund Investment Data'!$D:$D, 'Fund Investment Data'!$C:$C = $A30, 'Fund Investment Data'!$A:$A = P$1, 'Fund Investment Data'!$B:$B = 12),"""")"),"")</f>
        <v/>
      </c>
      <c r="Q30" t="str">
        <f>IFERROR(__xludf.DUMMYFUNCTION("IFERROR(FILTER('Fund Investment Data'!$D:$D, 'Fund Investment Data'!$C:$C = $A30, 'Fund Investment Data'!$A:$A = Q$1, 'Fund Investment Data'!$B:$B = 12),"""")"),"")</f>
        <v/>
      </c>
      <c r="R30" t="str">
        <f>IFERROR(__xludf.DUMMYFUNCTION("IFERROR(FILTER('Fund Investment Data'!$D:$D, 'Fund Investment Data'!$C:$C = $A30, 'Fund Investment Data'!$A:$A = R$1, 'Fund Investment Data'!$B:$B = 12),"""")"),"")</f>
        <v/>
      </c>
      <c r="S30" t="str">
        <f>IFERROR(__xludf.DUMMYFUNCTION("IFERROR(FILTER('Fund Investment Data'!$D:$D, 'Fund Investment Data'!$C:$C = $A30, 'Fund Investment Data'!$A:$A = S$1, 'Fund Investment Data'!$B:$B = 12),"""")"),"")</f>
        <v/>
      </c>
      <c r="T30" t="str">
        <f>IFERROR(__xludf.DUMMYFUNCTION("IFERROR(FILTER('Fund Investment Data'!$D:$D, 'Fund Investment Data'!$C:$C = $A30, 'Fund Investment Data'!$A:$A = T$1, 'Fund Investment Data'!$B:$B = 12),"""")"),"")</f>
        <v/>
      </c>
      <c r="U30">
        <f>IFERROR(__xludf.DUMMYFUNCTION("IFERROR(FILTER('Fund Investment Data'!$D:$D, 'Fund Investment Data'!$C:$C = $A30, 'Fund Investment Data'!$A:$A = U$1, 'Fund Investment Data'!$B:$B = 12),"""")"),300000.0)</f>
        <v>300000</v>
      </c>
      <c r="V30">
        <f>IFERROR(__xludf.DUMMYFUNCTION("IFERROR(FILTER('Fund Investment Data'!$D:$D, 'Fund Investment Data'!$C:$C = $A30, 'Fund Investment Data'!$A:$A = V$1, 'Fund Investment Data'!$B:$B = 12),"""")"),205500.0)</f>
        <v>205500</v>
      </c>
      <c r="W30">
        <f>IFERROR(__xludf.DUMMYFUNCTION("IFERROR(FILTER('Fund Investment Data'!$D:$D, 'Fund Investment Data'!$C:$C = $A30, 'Fund Investment Data'!$A:$A = W$1, 'Fund Investment Data'!$B:$B = 12),"""")"),500000.0)</f>
        <v>500000</v>
      </c>
      <c r="X30">
        <f>IFERROR(__xludf.DUMMYFUNCTION("IFERROR(FILTER('Fund Investment Data'!$D:$D, 'Fund Investment Data'!$C:$C = $A30, 'Fund Investment Data'!$A:$A = X$1, 'Fund Investment Data'!$B:$B = 12),"""")"),50000.0)</f>
        <v>50000</v>
      </c>
      <c r="Y30">
        <f>IFERROR(__xludf.DUMMYFUNCTION("IFERROR(FILTER('Fund Investment Data'!$D:$D, 'Fund Investment Data'!$C:$C = $A30, 'Fund Investment Data'!$A:$A = Y$1, 'Fund Investment Data'!$B:$B = 12),"""")"),950000.0)</f>
        <v>950000</v>
      </c>
      <c r="Z30" t="str">
        <f>IFERROR(__xludf.DUMMYFUNCTION("IFERROR(FILTER('Fund Investment Data'!$D:$D, 'Fund Investment Data'!$C:$C = $A30, 'Fund Investment Data'!$A:$A = Z$1, 'Fund Investment Data'!$B:$B = 12),"""")"),"")</f>
        <v/>
      </c>
      <c r="AA30" t="str">
        <f>IFERROR(__xludf.DUMMYFUNCTION("IFERROR(FILTER('Fund Investment Data'!$D:$D, 'Fund Investment Data'!$C:$C = $A30, 'Fund Investment Data'!$A:$A = AA$1, 'Fund Investment Data'!$B:$B = 12),"""")"),"")</f>
        <v/>
      </c>
      <c r="AB30" t="str">
        <f>IFERROR(__xludf.DUMMYFUNCTION("IFERROR(FILTER('Fund Investment Data'!$D:$D, 'Fund Investment Data'!$C:$C = $A30, 'Fund Investment Data'!$A:$A = AB$1, 'Fund Investment Data'!$B:$B = 12),"""")"),"")</f>
        <v/>
      </c>
      <c r="AC30" t="str">
        <f>IFERROR(__xludf.DUMMYFUNCTION("IFERROR(FILTER('Fund Investment Data'!$D:$D, 'Fund Investment Data'!$C:$C = $A30, 'Fund Investment Data'!$A:$A = AC$1, 'Fund Investment Data'!$B:$B = 12),"""")"),"")</f>
        <v/>
      </c>
      <c r="AD30" t="str">
        <f>IFERROR(__xludf.DUMMYFUNCTION("IFERROR(FILTER('Fund Investment Data'!$D:$D, 'Fund Investment Data'!$C:$C = $A30, 'Fund Investment Data'!$A:$A = AD$1, 'Fund Investment Data'!$B:$B = 12),"""")"),"")</f>
        <v/>
      </c>
      <c r="AE30">
        <f>IFERROR(__xludf.DUMMYFUNCTION("IFERROR(FILTER('Fund Investment Data'!$D:$D, 'Fund Investment Data'!$C:$C = $A30, 'Fund Investment Data'!$A:$A = AE$1, 'Fund Investment Data'!$B:$B = 12),"""")"),0.0)</f>
        <v>0</v>
      </c>
    </row>
    <row r="31">
      <c r="A31" s="151" t="str">
        <f>'Endowed Funds'!A:A</f>
        <v>Robert H. Lister Memorial Fund</v>
      </c>
      <c r="B31" t="str">
        <f>IFERROR(__xludf.DUMMYFUNCTION("IFERROR(FILTER('Fund Investment Data'!$D:$D, 'Fund Investment Data'!$C:$C = $A31, 'Fund Investment Data'!$A:$A = B$1, 'Fund Investment Data'!$B:$B = 12),"""")"),"")</f>
        <v/>
      </c>
      <c r="C31" t="str">
        <f>IFERROR(__xludf.DUMMYFUNCTION("IFERROR(FILTER('Fund Investment Data'!$D:$D, 'Fund Investment Data'!$C:$C = $A31, 'Fund Investment Data'!$A:$A = C$1, 'Fund Investment Data'!$B:$B = 12),"""")"),"")</f>
        <v/>
      </c>
      <c r="D31" t="str">
        <f>IFERROR(__xludf.DUMMYFUNCTION("IFERROR(FILTER('Fund Investment Data'!$D:$D, 'Fund Investment Data'!$C:$C = $A31, 'Fund Investment Data'!$A:$A = D$1, 'Fund Investment Data'!$B:$B = 12),"""")"),"")</f>
        <v/>
      </c>
      <c r="E31" t="str">
        <f>IFERROR(__xludf.DUMMYFUNCTION("IFERROR(FILTER('Fund Investment Data'!$D:$D, 'Fund Investment Data'!$C:$C = $A31, 'Fund Investment Data'!$A:$A = E$1, 'Fund Investment Data'!$B:$B = 12),"""")"),"")</f>
        <v/>
      </c>
      <c r="F31" t="str">
        <f>IFERROR(__xludf.DUMMYFUNCTION("IFERROR(FILTER('Fund Investment Data'!$D:$D, 'Fund Investment Data'!$C:$C = $A31, 'Fund Investment Data'!$A:$A = F$1, 'Fund Investment Data'!$B:$B = 12),"""")"),"")</f>
        <v/>
      </c>
      <c r="G31" t="str">
        <f>IFERROR(__xludf.DUMMYFUNCTION("IFERROR(FILTER('Fund Investment Data'!$D:$D, 'Fund Investment Data'!$C:$C = $A31, 'Fund Investment Data'!$A:$A = G$1, 'Fund Investment Data'!$B:$B = 12),"""")"),"")</f>
        <v/>
      </c>
      <c r="H31">
        <f>IFERROR(__xludf.DUMMYFUNCTION("IFERROR(FILTER('Fund Investment Data'!$D:$D, 'Fund Investment Data'!$C:$C = $A31, 'Fund Investment Data'!$A:$A = H$1, 'Fund Investment Data'!$B:$B = 12),"""")"),38360.45)</f>
        <v>38360.45</v>
      </c>
      <c r="I31">
        <f>IFERROR(__xludf.DUMMYFUNCTION("IFERROR(FILTER('Fund Investment Data'!$D:$D, 'Fund Investment Data'!$C:$C = $A31, 'Fund Investment Data'!$A:$A = I$1, 'Fund Investment Data'!$B:$B = 12),"""")"),8355.0)</f>
        <v>8355</v>
      </c>
      <c r="J31">
        <f>IFERROR(__xludf.DUMMYFUNCTION("IFERROR(FILTER('Fund Investment Data'!$D:$D, 'Fund Investment Data'!$C:$C = $A31, 'Fund Investment Data'!$A:$A = J$1, 'Fund Investment Data'!$B:$B = 12),"""")"),336.0)</f>
        <v>336</v>
      </c>
      <c r="K31">
        <f>IFERROR(__xludf.DUMMYFUNCTION("IFERROR(FILTER('Fund Investment Data'!$D:$D, 'Fund Investment Data'!$C:$C = $A31, 'Fund Investment Data'!$A:$A = K$1, 'Fund Investment Data'!$B:$B = 12),"""")"),1775.0)</f>
        <v>1775</v>
      </c>
      <c r="L31">
        <f>IFERROR(__xludf.DUMMYFUNCTION("IFERROR(FILTER('Fund Investment Data'!$D:$D, 'Fund Investment Data'!$C:$C = $A31, 'Fund Investment Data'!$A:$A = L$1, 'Fund Investment Data'!$B:$B = 12),"""")"),2750.0)</f>
        <v>2750</v>
      </c>
      <c r="M31">
        <f>IFERROR(__xludf.DUMMYFUNCTION("IFERROR(FILTER('Fund Investment Data'!$D:$D, 'Fund Investment Data'!$C:$C = $A31, 'Fund Investment Data'!$A:$A = M$1, 'Fund Investment Data'!$B:$B = 12),"""")"),1300.0)</f>
        <v>1300</v>
      </c>
      <c r="N31">
        <f>IFERROR(__xludf.DUMMYFUNCTION("IFERROR(FILTER('Fund Investment Data'!$D:$D, 'Fund Investment Data'!$C:$C = $A31, 'Fund Investment Data'!$A:$A = N$1, 'Fund Investment Data'!$B:$B = 12),"""")"),2250.0)</f>
        <v>2250</v>
      </c>
      <c r="O31">
        <f>IFERROR(__xludf.DUMMYFUNCTION("IFERROR(FILTER('Fund Investment Data'!$D:$D, 'Fund Investment Data'!$C:$C = $A31, 'Fund Investment Data'!$A:$A = O$1, 'Fund Investment Data'!$B:$B = 12),"""")"),5200.0)</f>
        <v>5200</v>
      </c>
      <c r="P31">
        <f>IFERROR(__xludf.DUMMYFUNCTION("IFERROR(FILTER('Fund Investment Data'!$D:$D, 'Fund Investment Data'!$C:$C = $A31, 'Fund Investment Data'!$A:$A = P$1, 'Fund Investment Data'!$B:$B = 12),"""")"),1950.0)</f>
        <v>1950</v>
      </c>
      <c r="Q31">
        <f>IFERROR(__xludf.DUMMYFUNCTION("IFERROR(FILTER('Fund Investment Data'!$D:$D, 'Fund Investment Data'!$C:$C = $A31, 'Fund Investment Data'!$A:$A = Q$1, 'Fund Investment Data'!$B:$B = 12),"""")"),2809.0)</f>
        <v>2809</v>
      </c>
      <c r="R31">
        <f>IFERROR(__xludf.DUMMYFUNCTION("IFERROR(FILTER('Fund Investment Data'!$D:$D, 'Fund Investment Data'!$C:$C = $A31, 'Fund Investment Data'!$A:$A = R$1, 'Fund Investment Data'!$B:$B = 12),"""")"),23933.0)</f>
        <v>23933</v>
      </c>
      <c r="S31">
        <f>IFERROR(__xludf.DUMMYFUNCTION("IFERROR(FILTER('Fund Investment Data'!$D:$D, 'Fund Investment Data'!$C:$C = $A31, 'Fund Investment Data'!$A:$A = S$1, 'Fund Investment Data'!$B:$B = 12),"""")"),1042.62)</f>
        <v>1042.62</v>
      </c>
      <c r="T31">
        <f>IFERROR(__xludf.DUMMYFUNCTION("IFERROR(FILTER('Fund Investment Data'!$D:$D, 'Fund Investment Data'!$C:$C = $A31, 'Fund Investment Data'!$A:$A = T$1, 'Fund Investment Data'!$B:$B = 12),"""")"),1185.04)</f>
        <v>1185.04</v>
      </c>
      <c r="U31">
        <f>IFERROR(__xludf.DUMMYFUNCTION("IFERROR(FILTER('Fund Investment Data'!$D:$D, 'Fund Investment Data'!$C:$C = $A31, 'Fund Investment Data'!$A:$A = U$1, 'Fund Investment Data'!$B:$B = 12),"""")"),1084.0)</f>
        <v>1084</v>
      </c>
      <c r="V31">
        <f>IFERROR(__xludf.DUMMYFUNCTION("IFERROR(FILTER('Fund Investment Data'!$D:$D, 'Fund Investment Data'!$C:$C = $A31, 'Fund Investment Data'!$A:$A = V$1, 'Fund Investment Data'!$B:$B = 12),"""")"),2510.0)</f>
        <v>2510</v>
      </c>
      <c r="W31">
        <f>IFERROR(__xludf.DUMMYFUNCTION("IFERROR(FILTER('Fund Investment Data'!$D:$D, 'Fund Investment Data'!$C:$C = $A31, 'Fund Investment Data'!$A:$A = W$1, 'Fund Investment Data'!$B:$B = 12),"""")"),450.0)</f>
        <v>450</v>
      </c>
      <c r="X31">
        <f>IFERROR(__xludf.DUMMYFUNCTION("IFERROR(FILTER('Fund Investment Data'!$D:$D, 'Fund Investment Data'!$C:$C = $A31, 'Fund Investment Data'!$A:$A = X$1, 'Fund Investment Data'!$B:$B = 12),"""")"),1000.0)</f>
        <v>1000</v>
      </c>
      <c r="Y31">
        <f>IFERROR(__xludf.DUMMYFUNCTION("IFERROR(FILTER('Fund Investment Data'!$D:$D, 'Fund Investment Data'!$C:$C = $A31, 'Fund Investment Data'!$A:$A = Y$1, 'Fund Investment Data'!$B:$B = 12),"""")"),500.0)</f>
        <v>500</v>
      </c>
      <c r="Z31">
        <f>IFERROR(__xludf.DUMMYFUNCTION("IFERROR(FILTER('Fund Investment Data'!$D:$D, 'Fund Investment Data'!$C:$C = $A31, 'Fund Investment Data'!$A:$A = Z$1, 'Fund Investment Data'!$B:$B = 12),"""")"),200.0)</f>
        <v>200</v>
      </c>
      <c r="AA31">
        <f>IFERROR(__xludf.DUMMYFUNCTION("IFERROR(FILTER('Fund Investment Data'!$D:$D, 'Fund Investment Data'!$C:$C = $A31, 'Fund Investment Data'!$A:$A = AA$1, 'Fund Investment Data'!$B:$B = 12),"""")"),1361.0)</f>
        <v>1361</v>
      </c>
      <c r="AB31">
        <f>IFERROR(__xludf.DUMMYFUNCTION("IFERROR(FILTER('Fund Investment Data'!$D:$D, 'Fund Investment Data'!$C:$C = $A31, 'Fund Investment Data'!$A:$A = AB$1, 'Fund Investment Data'!$B:$B = 12),"""")"),12994.0)</f>
        <v>12994</v>
      </c>
      <c r="AC31">
        <f>IFERROR(__xludf.DUMMYFUNCTION("IFERROR(FILTER('Fund Investment Data'!$D:$D, 'Fund Investment Data'!$C:$C = $A31, 'Fund Investment Data'!$A:$A = AC$1, 'Fund Investment Data'!$B:$B = 12),"""")"),1087.0)</f>
        <v>1087</v>
      </c>
      <c r="AD31">
        <f>IFERROR(__xludf.DUMMYFUNCTION("IFERROR(FILTER('Fund Investment Data'!$D:$D, 'Fund Investment Data'!$C:$C = $A31, 'Fund Investment Data'!$A:$A = AD$1, 'Fund Investment Data'!$B:$B = 12),"""")"),35.0)</f>
        <v>35</v>
      </c>
      <c r="AE31">
        <f>IFERROR(__xludf.DUMMYFUNCTION("IFERROR(FILTER('Fund Investment Data'!$D:$D, 'Fund Investment Data'!$C:$C = $A31, 'Fund Investment Data'!$A:$A = AE$1, 'Fund Investment Data'!$B:$B = 12),"""")"),508.04)</f>
        <v>508.04</v>
      </c>
    </row>
    <row r="32">
      <c r="A32" s="151" t="str">
        <f>'Endowed Funds'!A:A</f>
        <v>Segal Family Foundation</v>
      </c>
      <c r="B32" t="str">
        <f>IFERROR(__xludf.DUMMYFUNCTION("IFERROR(FILTER('Fund Investment Data'!$D:$D, 'Fund Investment Data'!$C:$C = $A32, 'Fund Investment Data'!$A:$A = B$1, 'Fund Investment Data'!$B:$B = 12),"""")"),"")</f>
        <v/>
      </c>
      <c r="C32" t="str">
        <f>IFERROR(__xludf.DUMMYFUNCTION("IFERROR(FILTER('Fund Investment Data'!$D:$D, 'Fund Investment Data'!$C:$C = $A32, 'Fund Investment Data'!$A:$A = C$1, 'Fund Investment Data'!$B:$B = 12),"""")"),"")</f>
        <v/>
      </c>
      <c r="D32" t="str">
        <f>IFERROR(__xludf.DUMMYFUNCTION("IFERROR(FILTER('Fund Investment Data'!$D:$D, 'Fund Investment Data'!$C:$C = $A32, 'Fund Investment Data'!$A:$A = D$1, 'Fund Investment Data'!$B:$B = 12),"""")"),"")</f>
        <v/>
      </c>
      <c r="E32" t="str">
        <f>IFERROR(__xludf.DUMMYFUNCTION("IFERROR(FILTER('Fund Investment Data'!$D:$D, 'Fund Investment Data'!$C:$C = $A32, 'Fund Investment Data'!$A:$A = E$1, 'Fund Investment Data'!$B:$B = 12),"""")"),"")</f>
        <v/>
      </c>
      <c r="F32" t="str">
        <f>IFERROR(__xludf.DUMMYFUNCTION("IFERROR(FILTER('Fund Investment Data'!$D:$D, 'Fund Investment Data'!$C:$C = $A32, 'Fund Investment Data'!$A:$A = F$1, 'Fund Investment Data'!$B:$B = 12),"""")"),"")</f>
        <v/>
      </c>
      <c r="G32" t="str">
        <f>IFERROR(__xludf.DUMMYFUNCTION("IFERROR(FILTER('Fund Investment Data'!$D:$D, 'Fund Investment Data'!$C:$C = $A32, 'Fund Investment Data'!$A:$A = G$1, 'Fund Investment Data'!$B:$B = 12),"""")"),"")</f>
        <v/>
      </c>
      <c r="H32" t="str">
        <f>IFERROR(__xludf.DUMMYFUNCTION("IFERROR(FILTER('Fund Investment Data'!$D:$D, 'Fund Investment Data'!$C:$C = $A32, 'Fund Investment Data'!$A:$A = H$1, 'Fund Investment Data'!$B:$B = 12),"""")"),"")</f>
        <v/>
      </c>
      <c r="I32" t="str">
        <f>IFERROR(__xludf.DUMMYFUNCTION("IFERROR(FILTER('Fund Investment Data'!$D:$D, 'Fund Investment Data'!$C:$C = $A32, 'Fund Investment Data'!$A:$A = I$1, 'Fund Investment Data'!$B:$B = 12),"""")"),"")</f>
        <v/>
      </c>
      <c r="J32" t="str">
        <f>IFERROR(__xludf.DUMMYFUNCTION("IFERROR(FILTER('Fund Investment Data'!$D:$D, 'Fund Investment Data'!$C:$C = $A32, 'Fund Investment Data'!$A:$A = J$1, 'Fund Investment Data'!$B:$B = 12),"""")"),"")</f>
        <v/>
      </c>
      <c r="K32" t="str">
        <f>IFERROR(__xludf.DUMMYFUNCTION("IFERROR(FILTER('Fund Investment Data'!$D:$D, 'Fund Investment Data'!$C:$C = $A32, 'Fund Investment Data'!$A:$A = K$1, 'Fund Investment Data'!$B:$B = 12),"""")"),"")</f>
        <v/>
      </c>
      <c r="L32" t="str">
        <f>IFERROR(__xludf.DUMMYFUNCTION("IFERROR(FILTER('Fund Investment Data'!$D:$D, 'Fund Investment Data'!$C:$C = $A32, 'Fund Investment Data'!$A:$A = L$1, 'Fund Investment Data'!$B:$B = 12),"""")"),"")</f>
        <v/>
      </c>
      <c r="M32" t="str">
        <f>IFERROR(__xludf.DUMMYFUNCTION("IFERROR(FILTER('Fund Investment Data'!$D:$D, 'Fund Investment Data'!$C:$C = $A32, 'Fund Investment Data'!$A:$A = M$1, 'Fund Investment Data'!$B:$B = 12),"""")"),"")</f>
        <v/>
      </c>
      <c r="N32" t="str">
        <f>IFERROR(__xludf.DUMMYFUNCTION("IFERROR(FILTER('Fund Investment Data'!$D:$D, 'Fund Investment Data'!$C:$C = $A32, 'Fund Investment Data'!$A:$A = N$1, 'Fund Investment Data'!$B:$B = 12),"""")"),"")</f>
        <v/>
      </c>
      <c r="O32" t="str">
        <f>IFERROR(__xludf.DUMMYFUNCTION("IFERROR(FILTER('Fund Investment Data'!$D:$D, 'Fund Investment Data'!$C:$C = $A32, 'Fund Investment Data'!$A:$A = O$1, 'Fund Investment Data'!$B:$B = 12),"""")"),"")</f>
        <v/>
      </c>
      <c r="P32" t="str">
        <f>IFERROR(__xludf.DUMMYFUNCTION("IFERROR(FILTER('Fund Investment Data'!$D:$D, 'Fund Investment Data'!$C:$C = $A32, 'Fund Investment Data'!$A:$A = P$1, 'Fund Investment Data'!$B:$B = 12),"""")"),"")</f>
        <v/>
      </c>
      <c r="Q32" t="str">
        <f>IFERROR(__xludf.DUMMYFUNCTION("IFERROR(FILTER('Fund Investment Data'!$D:$D, 'Fund Investment Data'!$C:$C = $A32, 'Fund Investment Data'!$A:$A = Q$1, 'Fund Investment Data'!$B:$B = 12),"""")"),"")</f>
        <v/>
      </c>
      <c r="R32" t="str">
        <f>IFERROR(__xludf.DUMMYFUNCTION("IFERROR(FILTER('Fund Investment Data'!$D:$D, 'Fund Investment Data'!$C:$C = $A32, 'Fund Investment Data'!$A:$A = R$1, 'Fund Investment Data'!$B:$B = 12),"""")"),"")</f>
        <v/>
      </c>
      <c r="S32" t="str">
        <f>IFERROR(__xludf.DUMMYFUNCTION("IFERROR(FILTER('Fund Investment Data'!$D:$D, 'Fund Investment Data'!$C:$C = $A32, 'Fund Investment Data'!$A:$A = S$1, 'Fund Investment Data'!$B:$B = 12),"""")"),"")</f>
        <v/>
      </c>
      <c r="T32" t="str">
        <f>IFERROR(__xludf.DUMMYFUNCTION("IFERROR(FILTER('Fund Investment Data'!$D:$D, 'Fund Investment Data'!$C:$C = $A32, 'Fund Investment Data'!$A:$A = T$1, 'Fund Investment Data'!$B:$B = 12),"""")"),"")</f>
        <v/>
      </c>
      <c r="U32" t="str">
        <f>IFERROR(__xludf.DUMMYFUNCTION("IFERROR(FILTER('Fund Investment Data'!$D:$D, 'Fund Investment Data'!$C:$C = $A32, 'Fund Investment Data'!$A:$A = U$1, 'Fund Investment Data'!$B:$B = 12),"""")"),"")</f>
        <v/>
      </c>
      <c r="V32" t="str">
        <f>IFERROR(__xludf.DUMMYFUNCTION("IFERROR(FILTER('Fund Investment Data'!$D:$D, 'Fund Investment Data'!$C:$C = $A32, 'Fund Investment Data'!$A:$A = V$1, 'Fund Investment Data'!$B:$B = 12),"""")"),"")</f>
        <v/>
      </c>
      <c r="W32" t="str">
        <f>IFERROR(__xludf.DUMMYFUNCTION("IFERROR(FILTER('Fund Investment Data'!$D:$D, 'Fund Investment Data'!$C:$C = $A32, 'Fund Investment Data'!$A:$A = W$1, 'Fund Investment Data'!$B:$B = 12),"""")"),"")</f>
        <v/>
      </c>
      <c r="X32" t="str">
        <f>IFERROR(__xludf.DUMMYFUNCTION("IFERROR(FILTER('Fund Investment Data'!$D:$D, 'Fund Investment Data'!$C:$C = $A32, 'Fund Investment Data'!$A:$A = X$1, 'Fund Investment Data'!$B:$B = 12),"""")"),"")</f>
        <v/>
      </c>
      <c r="Y32" t="str">
        <f>IFERROR(__xludf.DUMMYFUNCTION("IFERROR(FILTER('Fund Investment Data'!$D:$D, 'Fund Investment Data'!$C:$C = $A32, 'Fund Investment Data'!$A:$A = Y$1, 'Fund Investment Data'!$B:$B = 12),"""")"),"")</f>
        <v/>
      </c>
      <c r="Z32" t="str">
        <f>IFERROR(__xludf.DUMMYFUNCTION("IFERROR(FILTER('Fund Investment Data'!$D:$D, 'Fund Investment Data'!$C:$C = $A32, 'Fund Investment Data'!$A:$A = Z$1, 'Fund Investment Data'!$B:$B = 12),"""")"),"")</f>
        <v/>
      </c>
      <c r="AA32">
        <f>IFERROR(__xludf.DUMMYFUNCTION("IFERROR(FILTER('Fund Investment Data'!$D:$D, 'Fund Investment Data'!$C:$C = $A32, 'Fund Investment Data'!$A:$A = AA$1, 'Fund Investment Data'!$B:$B = 12),"""")"),70000.0)</f>
        <v>70000</v>
      </c>
      <c r="AB32">
        <f>IFERROR(__xludf.DUMMYFUNCTION("IFERROR(FILTER('Fund Investment Data'!$D:$D, 'Fund Investment Data'!$C:$C = $A32, 'Fund Investment Data'!$A:$A = AB$1, 'Fund Investment Data'!$B:$B = 12),"""")"),70000.0)</f>
        <v>70000</v>
      </c>
      <c r="AC32">
        <f>IFERROR(__xludf.DUMMYFUNCTION("IFERROR(FILTER('Fund Investment Data'!$D:$D, 'Fund Investment Data'!$C:$C = $A32, 'Fund Investment Data'!$A:$A = AC$1, 'Fund Investment Data'!$B:$B = 12),"""")"),70000.0)</f>
        <v>70000</v>
      </c>
      <c r="AD32">
        <f>IFERROR(__xludf.DUMMYFUNCTION("IFERROR(FILTER('Fund Investment Data'!$D:$D, 'Fund Investment Data'!$C:$C = $A32, 'Fund Investment Data'!$A:$A = AD$1, 'Fund Investment Data'!$B:$B = 12),"""")"),70000.0)</f>
        <v>70000</v>
      </c>
      <c r="AE32">
        <f>IFERROR(__xludf.DUMMYFUNCTION("IFERROR(FILTER('Fund Investment Data'!$D:$D, 'Fund Investment Data'!$C:$C = $A32, 'Fund Investment Data'!$A:$A = AE$1, 'Fund Investment Data'!$B:$B = 12),"""")"),70000.0)</f>
        <v>70000</v>
      </c>
    </row>
    <row r="33">
      <c r="A33" s="151" t="str">
        <f>'Endowed Funds'!A:A</f>
        <v>Sue Anschutz-Rodgers Research Fund</v>
      </c>
      <c r="B33" t="str">
        <f>IFERROR(__xludf.DUMMYFUNCTION("IFERROR(FILTER('Fund Investment Data'!$D:$D, 'Fund Investment Data'!$C:$C = $A33, 'Fund Investment Data'!$A:$A = B$1, 'Fund Investment Data'!$B:$B = 12),"""")"),"")</f>
        <v/>
      </c>
      <c r="C33" t="str">
        <f>IFERROR(__xludf.DUMMYFUNCTION("IFERROR(FILTER('Fund Investment Data'!$D:$D, 'Fund Investment Data'!$C:$C = $A33, 'Fund Investment Data'!$A:$A = C$1, 'Fund Investment Data'!$B:$B = 12),"""")"),"")</f>
        <v/>
      </c>
      <c r="D33" t="str">
        <f>IFERROR(__xludf.DUMMYFUNCTION("IFERROR(FILTER('Fund Investment Data'!$D:$D, 'Fund Investment Data'!$C:$C = $A33, 'Fund Investment Data'!$A:$A = D$1, 'Fund Investment Data'!$B:$B = 12),"""")"),"")</f>
        <v/>
      </c>
      <c r="E33" t="str">
        <f>IFERROR(__xludf.DUMMYFUNCTION("IFERROR(FILTER('Fund Investment Data'!$D:$D, 'Fund Investment Data'!$C:$C = $A33, 'Fund Investment Data'!$A:$A = E$1, 'Fund Investment Data'!$B:$B = 12),"""")"),"")</f>
        <v/>
      </c>
      <c r="F33" t="str">
        <f>IFERROR(__xludf.DUMMYFUNCTION("IFERROR(FILTER('Fund Investment Data'!$D:$D, 'Fund Investment Data'!$C:$C = $A33, 'Fund Investment Data'!$A:$A = F$1, 'Fund Investment Data'!$B:$B = 12),"""")"),"")</f>
        <v/>
      </c>
      <c r="G33" t="str">
        <f>IFERROR(__xludf.DUMMYFUNCTION("IFERROR(FILTER('Fund Investment Data'!$D:$D, 'Fund Investment Data'!$C:$C = $A33, 'Fund Investment Data'!$A:$A = G$1, 'Fund Investment Data'!$B:$B = 12),"""")"),"")</f>
        <v/>
      </c>
      <c r="H33" t="str">
        <f>IFERROR(__xludf.DUMMYFUNCTION("IFERROR(FILTER('Fund Investment Data'!$D:$D, 'Fund Investment Data'!$C:$C = $A33, 'Fund Investment Data'!$A:$A = H$1, 'Fund Investment Data'!$B:$B = 12),"""")"),"")</f>
        <v/>
      </c>
      <c r="I33" t="str">
        <f>IFERROR(__xludf.DUMMYFUNCTION("IFERROR(FILTER('Fund Investment Data'!$D:$D, 'Fund Investment Data'!$C:$C = $A33, 'Fund Investment Data'!$A:$A = I$1, 'Fund Investment Data'!$B:$B = 12),"""")"),"")</f>
        <v/>
      </c>
      <c r="J33" t="str">
        <f>IFERROR(__xludf.DUMMYFUNCTION("IFERROR(FILTER('Fund Investment Data'!$D:$D, 'Fund Investment Data'!$C:$C = $A33, 'Fund Investment Data'!$A:$A = J$1, 'Fund Investment Data'!$B:$B = 12),"""")"),"")</f>
        <v/>
      </c>
      <c r="K33" t="str">
        <f>IFERROR(__xludf.DUMMYFUNCTION("IFERROR(FILTER('Fund Investment Data'!$D:$D, 'Fund Investment Data'!$C:$C = $A33, 'Fund Investment Data'!$A:$A = K$1, 'Fund Investment Data'!$B:$B = 12),"""")"),"")</f>
        <v/>
      </c>
      <c r="L33" t="str">
        <f>IFERROR(__xludf.DUMMYFUNCTION("IFERROR(FILTER('Fund Investment Data'!$D:$D, 'Fund Investment Data'!$C:$C = $A33, 'Fund Investment Data'!$A:$A = L$1, 'Fund Investment Data'!$B:$B = 12),"""")"),"")</f>
        <v/>
      </c>
      <c r="M33" t="str">
        <f>IFERROR(__xludf.DUMMYFUNCTION("IFERROR(FILTER('Fund Investment Data'!$D:$D, 'Fund Investment Data'!$C:$C = $A33, 'Fund Investment Data'!$A:$A = M$1, 'Fund Investment Data'!$B:$B = 12),"""")"),"")</f>
        <v/>
      </c>
      <c r="N33" t="str">
        <f>IFERROR(__xludf.DUMMYFUNCTION("IFERROR(FILTER('Fund Investment Data'!$D:$D, 'Fund Investment Data'!$C:$C = $A33, 'Fund Investment Data'!$A:$A = N$1, 'Fund Investment Data'!$B:$B = 12),"""")"),"")</f>
        <v/>
      </c>
      <c r="O33" t="str">
        <f>IFERROR(__xludf.DUMMYFUNCTION("IFERROR(FILTER('Fund Investment Data'!$D:$D, 'Fund Investment Data'!$C:$C = $A33, 'Fund Investment Data'!$A:$A = O$1, 'Fund Investment Data'!$B:$B = 12),"""")"),"")</f>
        <v/>
      </c>
      <c r="P33" t="str">
        <f>IFERROR(__xludf.DUMMYFUNCTION("IFERROR(FILTER('Fund Investment Data'!$D:$D, 'Fund Investment Data'!$C:$C = $A33, 'Fund Investment Data'!$A:$A = P$1, 'Fund Investment Data'!$B:$B = 12),"""")"),"")</f>
        <v/>
      </c>
      <c r="Q33" t="str">
        <f>IFERROR(__xludf.DUMMYFUNCTION("IFERROR(FILTER('Fund Investment Data'!$D:$D, 'Fund Investment Data'!$C:$C = $A33, 'Fund Investment Data'!$A:$A = Q$1, 'Fund Investment Data'!$B:$B = 12),"""")"),"")</f>
        <v/>
      </c>
      <c r="R33" t="str">
        <f>IFERROR(__xludf.DUMMYFUNCTION("IFERROR(FILTER('Fund Investment Data'!$D:$D, 'Fund Investment Data'!$C:$C = $A33, 'Fund Investment Data'!$A:$A = R$1, 'Fund Investment Data'!$B:$B = 12),"""")"),"")</f>
        <v/>
      </c>
      <c r="S33" t="str">
        <f>IFERROR(__xludf.DUMMYFUNCTION("IFERROR(FILTER('Fund Investment Data'!$D:$D, 'Fund Investment Data'!$C:$C = $A33, 'Fund Investment Data'!$A:$A = S$1, 'Fund Investment Data'!$B:$B = 12),"""")"),"")</f>
        <v/>
      </c>
      <c r="T33" t="str">
        <f>IFERROR(__xludf.DUMMYFUNCTION("IFERROR(FILTER('Fund Investment Data'!$D:$D, 'Fund Investment Data'!$C:$C = $A33, 'Fund Investment Data'!$A:$A = T$1, 'Fund Investment Data'!$B:$B = 12),"""")"),"")</f>
        <v/>
      </c>
      <c r="U33" t="str">
        <f>IFERROR(__xludf.DUMMYFUNCTION("IFERROR(FILTER('Fund Investment Data'!$D:$D, 'Fund Investment Data'!$C:$C = $A33, 'Fund Investment Data'!$A:$A = U$1, 'Fund Investment Data'!$B:$B = 12),"""")"),"")</f>
        <v/>
      </c>
      <c r="V33" t="str">
        <f>IFERROR(__xludf.DUMMYFUNCTION("IFERROR(FILTER('Fund Investment Data'!$D:$D, 'Fund Investment Data'!$C:$C = $A33, 'Fund Investment Data'!$A:$A = V$1, 'Fund Investment Data'!$B:$B = 12),"""")"),"")</f>
        <v/>
      </c>
      <c r="W33" t="str">
        <f>IFERROR(__xludf.DUMMYFUNCTION("IFERROR(FILTER('Fund Investment Data'!$D:$D, 'Fund Investment Data'!$C:$C = $A33, 'Fund Investment Data'!$A:$A = W$1, 'Fund Investment Data'!$B:$B = 12),"""")"),"")</f>
        <v/>
      </c>
      <c r="X33" t="str">
        <f>IFERROR(__xludf.DUMMYFUNCTION("IFERROR(FILTER('Fund Investment Data'!$D:$D, 'Fund Investment Data'!$C:$C = $A33, 'Fund Investment Data'!$A:$A = X$1, 'Fund Investment Data'!$B:$B = 12),"""")"),"")</f>
        <v/>
      </c>
      <c r="Y33" t="str">
        <f>IFERROR(__xludf.DUMMYFUNCTION("IFERROR(FILTER('Fund Investment Data'!$D:$D, 'Fund Investment Data'!$C:$C = $A33, 'Fund Investment Data'!$A:$A = Y$1, 'Fund Investment Data'!$B:$B = 12),"""")"),"")</f>
        <v/>
      </c>
      <c r="Z33">
        <f>IFERROR(__xludf.DUMMYFUNCTION("IFERROR(FILTER('Fund Investment Data'!$D:$D, 'Fund Investment Data'!$C:$C = $A33, 'Fund Investment Data'!$A:$A = Z$1, 'Fund Investment Data'!$B:$B = 12),"""")"),1000000.0)</f>
        <v>1000000</v>
      </c>
      <c r="AA33" t="str">
        <f>IFERROR(__xludf.DUMMYFUNCTION("IFERROR(FILTER('Fund Investment Data'!$D:$D, 'Fund Investment Data'!$C:$C = $A33, 'Fund Investment Data'!$A:$A = AA$1, 'Fund Investment Data'!$B:$B = 12),"""")"),"")</f>
        <v/>
      </c>
      <c r="AB33" t="str">
        <f>IFERROR(__xludf.DUMMYFUNCTION("IFERROR(FILTER('Fund Investment Data'!$D:$D, 'Fund Investment Data'!$C:$C = $A33, 'Fund Investment Data'!$A:$A = AB$1, 'Fund Investment Data'!$B:$B = 12),"""")"),"")</f>
        <v/>
      </c>
      <c r="AC33" t="str">
        <f>IFERROR(__xludf.DUMMYFUNCTION("IFERROR(FILTER('Fund Investment Data'!$D:$D, 'Fund Investment Data'!$C:$C = $A33, 'Fund Investment Data'!$A:$A = AC$1, 'Fund Investment Data'!$B:$B = 12),"""")"),"")</f>
        <v/>
      </c>
      <c r="AD33" t="str">
        <f>IFERROR(__xludf.DUMMYFUNCTION("IFERROR(FILTER('Fund Investment Data'!$D:$D, 'Fund Investment Data'!$C:$C = $A33, 'Fund Investment Data'!$A:$A = AD$1, 'Fund Investment Data'!$B:$B = 12),"""")"),"")</f>
        <v/>
      </c>
      <c r="AE33">
        <f>IFERROR(__xludf.DUMMYFUNCTION("IFERROR(FILTER('Fund Investment Data'!$D:$D, 'Fund Investment Data'!$C:$C = $A33, 'Fund Investment Data'!$A:$A = AE$1, 'Fund Investment Data'!$B:$B = 12),"""")"),0.0)</f>
        <v>0</v>
      </c>
    </row>
    <row r="34">
      <c r="A34" s="151" t="str">
        <f>'Endowed Funds'!A:A</f>
        <v>William D. Lipe Advances in Research Endowment Fund</v>
      </c>
      <c r="B34" t="str">
        <f>IFERROR(__xludf.DUMMYFUNCTION("IFERROR(FILTER('Fund Investment Data'!$D:$D, 'Fund Investment Data'!$C:$C = $A34, 'Fund Investment Data'!$A:$A = B$1, 'Fund Investment Data'!$B:$B = 12),"""")"),"")</f>
        <v/>
      </c>
      <c r="C34" t="str">
        <f>IFERROR(__xludf.DUMMYFUNCTION("IFERROR(FILTER('Fund Investment Data'!$D:$D, 'Fund Investment Data'!$C:$C = $A34, 'Fund Investment Data'!$A:$A = C$1, 'Fund Investment Data'!$B:$B = 12),"""")"),"")</f>
        <v/>
      </c>
      <c r="D34" t="str">
        <f>IFERROR(__xludf.DUMMYFUNCTION("IFERROR(FILTER('Fund Investment Data'!$D:$D, 'Fund Investment Data'!$C:$C = $A34, 'Fund Investment Data'!$A:$A = D$1, 'Fund Investment Data'!$B:$B = 12),"""")"),"")</f>
        <v/>
      </c>
      <c r="E34" t="str">
        <f>IFERROR(__xludf.DUMMYFUNCTION("IFERROR(FILTER('Fund Investment Data'!$D:$D, 'Fund Investment Data'!$C:$C = $A34, 'Fund Investment Data'!$A:$A = E$1, 'Fund Investment Data'!$B:$B = 12),"""")"),"")</f>
        <v/>
      </c>
      <c r="F34" t="str">
        <f>IFERROR(__xludf.DUMMYFUNCTION("IFERROR(FILTER('Fund Investment Data'!$D:$D, 'Fund Investment Data'!$C:$C = $A34, 'Fund Investment Data'!$A:$A = F$1, 'Fund Investment Data'!$B:$B = 12),"""")"),"")</f>
        <v/>
      </c>
      <c r="G34" t="str">
        <f>IFERROR(__xludf.DUMMYFUNCTION("IFERROR(FILTER('Fund Investment Data'!$D:$D, 'Fund Investment Data'!$C:$C = $A34, 'Fund Investment Data'!$A:$A = G$1, 'Fund Investment Data'!$B:$B = 12),"""")"),"")</f>
        <v/>
      </c>
      <c r="H34" t="str">
        <f>IFERROR(__xludf.DUMMYFUNCTION("IFERROR(FILTER('Fund Investment Data'!$D:$D, 'Fund Investment Data'!$C:$C = $A34, 'Fund Investment Data'!$A:$A = H$1, 'Fund Investment Data'!$B:$B = 12),"""")"),"")</f>
        <v/>
      </c>
      <c r="I34" t="str">
        <f>IFERROR(__xludf.DUMMYFUNCTION("IFERROR(FILTER('Fund Investment Data'!$D:$D, 'Fund Investment Data'!$C:$C = $A34, 'Fund Investment Data'!$A:$A = I$1, 'Fund Investment Data'!$B:$B = 12),"""")"),"")</f>
        <v/>
      </c>
      <c r="J34" t="str">
        <f>IFERROR(__xludf.DUMMYFUNCTION("IFERROR(FILTER('Fund Investment Data'!$D:$D, 'Fund Investment Data'!$C:$C = $A34, 'Fund Investment Data'!$A:$A = J$1, 'Fund Investment Data'!$B:$B = 12),"""")"),"")</f>
        <v/>
      </c>
      <c r="K34" t="str">
        <f>IFERROR(__xludf.DUMMYFUNCTION("IFERROR(FILTER('Fund Investment Data'!$D:$D, 'Fund Investment Data'!$C:$C = $A34, 'Fund Investment Data'!$A:$A = K$1, 'Fund Investment Data'!$B:$B = 12),"""")"),"")</f>
        <v/>
      </c>
      <c r="L34" t="str">
        <f>IFERROR(__xludf.DUMMYFUNCTION("IFERROR(FILTER('Fund Investment Data'!$D:$D, 'Fund Investment Data'!$C:$C = $A34, 'Fund Investment Data'!$A:$A = L$1, 'Fund Investment Data'!$B:$B = 12),"""")"),"")</f>
        <v/>
      </c>
      <c r="M34" t="str">
        <f>IFERROR(__xludf.DUMMYFUNCTION("IFERROR(FILTER('Fund Investment Data'!$D:$D, 'Fund Investment Data'!$C:$C = $A34, 'Fund Investment Data'!$A:$A = M$1, 'Fund Investment Data'!$B:$B = 12),"""")"),"")</f>
        <v/>
      </c>
      <c r="N34" t="str">
        <f>IFERROR(__xludf.DUMMYFUNCTION("IFERROR(FILTER('Fund Investment Data'!$D:$D, 'Fund Investment Data'!$C:$C = $A34, 'Fund Investment Data'!$A:$A = N$1, 'Fund Investment Data'!$B:$B = 12),"""")"),"")</f>
        <v/>
      </c>
      <c r="O34" t="str">
        <f>IFERROR(__xludf.DUMMYFUNCTION("IFERROR(FILTER('Fund Investment Data'!$D:$D, 'Fund Investment Data'!$C:$C = $A34, 'Fund Investment Data'!$A:$A = O$1, 'Fund Investment Data'!$B:$B = 12),"""")"),"")</f>
        <v/>
      </c>
      <c r="P34" t="str">
        <f>IFERROR(__xludf.DUMMYFUNCTION("IFERROR(FILTER('Fund Investment Data'!$D:$D, 'Fund Investment Data'!$C:$C = $A34, 'Fund Investment Data'!$A:$A = P$1, 'Fund Investment Data'!$B:$B = 12),"""")"),"")</f>
        <v/>
      </c>
      <c r="Q34" t="str">
        <f>IFERROR(__xludf.DUMMYFUNCTION("IFERROR(FILTER('Fund Investment Data'!$D:$D, 'Fund Investment Data'!$C:$C = $A34, 'Fund Investment Data'!$A:$A = Q$1, 'Fund Investment Data'!$B:$B = 12),"""")"),"")</f>
        <v/>
      </c>
      <c r="R34" t="str">
        <f>IFERROR(__xludf.DUMMYFUNCTION("IFERROR(FILTER('Fund Investment Data'!$D:$D, 'Fund Investment Data'!$C:$C = $A34, 'Fund Investment Data'!$A:$A = R$1, 'Fund Investment Data'!$B:$B = 12),"""")"),"")</f>
        <v/>
      </c>
      <c r="S34" t="str">
        <f>IFERROR(__xludf.DUMMYFUNCTION("IFERROR(FILTER('Fund Investment Data'!$D:$D, 'Fund Investment Data'!$C:$C = $A34, 'Fund Investment Data'!$A:$A = S$1, 'Fund Investment Data'!$B:$B = 12),"""")"),"")</f>
        <v/>
      </c>
      <c r="T34" t="str">
        <f>IFERROR(__xludf.DUMMYFUNCTION("IFERROR(FILTER('Fund Investment Data'!$D:$D, 'Fund Investment Data'!$C:$C = $A34, 'Fund Investment Data'!$A:$A = T$1, 'Fund Investment Data'!$B:$B = 12),"""")"),"")</f>
        <v/>
      </c>
      <c r="U34" t="str">
        <f>IFERROR(__xludf.DUMMYFUNCTION("IFERROR(FILTER('Fund Investment Data'!$D:$D, 'Fund Investment Data'!$C:$C = $A34, 'Fund Investment Data'!$A:$A = U$1, 'Fund Investment Data'!$B:$B = 12),"""")"),"")</f>
        <v/>
      </c>
      <c r="V34" t="str">
        <f>IFERROR(__xludf.DUMMYFUNCTION("IFERROR(FILTER('Fund Investment Data'!$D:$D, 'Fund Investment Data'!$C:$C = $A34, 'Fund Investment Data'!$A:$A = V$1, 'Fund Investment Data'!$B:$B = 12),"""")"),"")</f>
        <v/>
      </c>
      <c r="W34" t="str">
        <f>IFERROR(__xludf.DUMMYFUNCTION("IFERROR(FILTER('Fund Investment Data'!$D:$D, 'Fund Investment Data'!$C:$C = $A34, 'Fund Investment Data'!$A:$A = W$1, 'Fund Investment Data'!$B:$B = 12),"""")"),"")</f>
        <v/>
      </c>
      <c r="X34" t="str">
        <f>IFERROR(__xludf.DUMMYFUNCTION("IFERROR(FILTER('Fund Investment Data'!$D:$D, 'Fund Investment Data'!$C:$C = $A34, 'Fund Investment Data'!$A:$A = X$1, 'Fund Investment Data'!$B:$B = 12),"""")"),"")</f>
        <v/>
      </c>
      <c r="Y34" t="str">
        <f>IFERROR(__xludf.DUMMYFUNCTION("IFERROR(FILTER('Fund Investment Data'!$D:$D, 'Fund Investment Data'!$C:$C = $A34, 'Fund Investment Data'!$A:$A = Y$1, 'Fund Investment Data'!$B:$B = 12),"""")"),"")</f>
        <v/>
      </c>
      <c r="Z34" t="str">
        <f>IFERROR(__xludf.DUMMYFUNCTION("IFERROR(FILTER('Fund Investment Data'!$D:$D, 'Fund Investment Data'!$C:$C = $A34, 'Fund Investment Data'!$A:$A = Z$1, 'Fund Investment Data'!$B:$B = 12),"""")"),"")</f>
        <v/>
      </c>
      <c r="AA34" t="str">
        <f>IFERROR(__xludf.DUMMYFUNCTION("IFERROR(FILTER('Fund Investment Data'!$D:$D, 'Fund Investment Data'!$C:$C = $A34, 'Fund Investment Data'!$A:$A = AA$1, 'Fund Investment Data'!$B:$B = 12),"""")"),"")</f>
        <v/>
      </c>
      <c r="AB34" t="str">
        <f>IFERROR(__xludf.DUMMYFUNCTION("IFERROR(FILTER('Fund Investment Data'!$D:$D, 'Fund Investment Data'!$C:$C = $A34, 'Fund Investment Data'!$A:$A = AB$1, 'Fund Investment Data'!$B:$B = 12),"""")"),"")</f>
        <v/>
      </c>
      <c r="AC34">
        <f>IFERROR(__xludf.DUMMYFUNCTION("IFERROR(FILTER('Fund Investment Data'!$D:$D, 'Fund Investment Data'!$C:$C = $A34, 'Fund Investment Data'!$A:$A = AC$1, 'Fund Investment Data'!$B:$B = 12),"""")"),2000000.0)</f>
        <v>2000000</v>
      </c>
      <c r="AD34" t="str">
        <f>IFERROR(__xludf.DUMMYFUNCTION("IFERROR(FILTER('Fund Investment Data'!$D:$D, 'Fund Investment Data'!$C:$C = $A34, 'Fund Investment Data'!$A:$A = AD$1, 'Fund Investment Data'!$B:$B = 12),"""")"),"")</f>
        <v/>
      </c>
      <c r="AE34">
        <f>IFERROR(__xludf.DUMMYFUNCTION("IFERROR(FILTER('Fund Investment Data'!$D:$D, 'Fund Investment Data'!$C:$C = $A34, 'Fund Investment Data'!$A:$A = AE$1, 'Fund Investment Data'!$B:$B = 12),"""")"),0.0)</f>
        <v>0</v>
      </c>
    </row>
    <row r="35">
      <c r="A35" s="151" t="str">
        <f>'Endowed Funds'!A:A</f>
        <v>William D. Lipe Chair in Research Endowment Fund</v>
      </c>
      <c r="B35" t="str">
        <f>IFERROR(__xludf.DUMMYFUNCTION("IFERROR(FILTER('Fund Investment Data'!$D:$D, 'Fund Investment Data'!$C:$C = $A35, 'Fund Investment Data'!$A:$A = B$1, 'Fund Investment Data'!$B:$B = 12),"""")"),"")</f>
        <v/>
      </c>
      <c r="C35" t="str">
        <f>IFERROR(__xludf.DUMMYFUNCTION("IFERROR(FILTER('Fund Investment Data'!$D:$D, 'Fund Investment Data'!$C:$C = $A35, 'Fund Investment Data'!$A:$A = C$1, 'Fund Investment Data'!$B:$B = 12),"""")"),"")</f>
        <v/>
      </c>
      <c r="D35" t="str">
        <f>IFERROR(__xludf.DUMMYFUNCTION("IFERROR(FILTER('Fund Investment Data'!$D:$D, 'Fund Investment Data'!$C:$C = $A35, 'Fund Investment Data'!$A:$A = D$1, 'Fund Investment Data'!$B:$B = 12),"""")"),"")</f>
        <v/>
      </c>
      <c r="E35" t="str">
        <f>IFERROR(__xludf.DUMMYFUNCTION("IFERROR(FILTER('Fund Investment Data'!$D:$D, 'Fund Investment Data'!$C:$C = $A35, 'Fund Investment Data'!$A:$A = E$1, 'Fund Investment Data'!$B:$B = 12),"""")"),"")</f>
        <v/>
      </c>
      <c r="F35" t="str">
        <f>IFERROR(__xludf.DUMMYFUNCTION("IFERROR(FILTER('Fund Investment Data'!$D:$D, 'Fund Investment Data'!$C:$C = $A35, 'Fund Investment Data'!$A:$A = F$1, 'Fund Investment Data'!$B:$B = 12),"""")"),"")</f>
        <v/>
      </c>
      <c r="G35" t="str">
        <f>IFERROR(__xludf.DUMMYFUNCTION("IFERROR(FILTER('Fund Investment Data'!$D:$D, 'Fund Investment Data'!$C:$C = $A35, 'Fund Investment Data'!$A:$A = G$1, 'Fund Investment Data'!$B:$B = 12),"""")"),"")</f>
        <v/>
      </c>
      <c r="H35" t="str">
        <f>IFERROR(__xludf.DUMMYFUNCTION("IFERROR(FILTER('Fund Investment Data'!$D:$D, 'Fund Investment Data'!$C:$C = $A35, 'Fund Investment Data'!$A:$A = H$1, 'Fund Investment Data'!$B:$B = 12),"""")"),"")</f>
        <v/>
      </c>
      <c r="I35" t="str">
        <f>IFERROR(__xludf.DUMMYFUNCTION("IFERROR(FILTER('Fund Investment Data'!$D:$D, 'Fund Investment Data'!$C:$C = $A35, 'Fund Investment Data'!$A:$A = I$1, 'Fund Investment Data'!$B:$B = 12),"""")"),"")</f>
        <v/>
      </c>
      <c r="J35" t="str">
        <f>IFERROR(__xludf.DUMMYFUNCTION("IFERROR(FILTER('Fund Investment Data'!$D:$D, 'Fund Investment Data'!$C:$C = $A35, 'Fund Investment Data'!$A:$A = J$1, 'Fund Investment Data'!$B:$B = 12),"""")"),"")</f>
        <v/>
      </c>
      <c r="K35" t="str">
        <f>IFERROR(__xludf.DUMMYFUNCTION("IFERROR(FILTER('Fund Investment Data'!$D:$D, 'Fund Investment Data'!$C:$C = $A35, 'Fund Investment Data'!$A:$A = K$1, 'Fund Investment Data'!$B:$B = 12),"""")"),"")</f>
        <v/>
      </c>
      <c r="L35" t="str">
        <f>IFERROR(__xludf.DUMMYFUNCTION("IFERROR(FILTER('Fund Investment Data'!$D:$D, 'Fund Investment Data'!$C:$C = $A35, 'Fund Investment Data'!$A:$A = L$1, 'Fund Investment Data'!$B:$B = 12),"""")"),"")</f>
        <v/>
      </c>
      <c r="M35" t="str">
        <f>IFERROR(__xludf.DUMMYFUNCTION("IFERROR(FILTER('Fund Investment Data'!$D:$D, 'Fund Investment Data'!$C:$C = $A35, 'Fund Investment Data'!$A:$A = M$1, 'Fund Investment Data'!$B:$B = 12),"""")"),"")</f>
        <v/>
      </c>
      <c r="N35" t="str">
        <f>IFERROR(__xludf.DUMMYFUNCTION("IFERROR(FILTER('Fund Investment Data'!$D:$D, 'Fund Investment Data'!$C:$C = $A35, 'Fund Investment Data'!$A:$A = N$1, 'Fund Investment Data'!$B:$B = 12),"""")"),"")</f>
        <v/>
      </c>
      <c r="O35" t="str">
        <f>IFERROR(__xludf.DUMMYFUNCTION("IFERROR(FILTER('Fund Investment Data'!$D:$D, 'Fund Investment Data'!$C:$C = $A35, 'Fund Investment Data'!$A:$A = O$1, 'Fund Investment Data'!$B:$B = 12),"""")"),"")</f>
        <v/>
      </c>
      <c r="P35" t="str">
        <f>IFERROR(__xludf.DUMMYFUNCTION("IFERROR(FILTER('Fund Investment Data'!$D:$D, 'Fund Investment Data'!$C:$C = $A35, 'Fund Investment Data'!$A:$A = P$1, 'Fund Investment Data'!$B:$B = 12),"""")"),"")</f>
        <v/>
      </c>
      <c r="Q35" t="str">
        <f>IFERROR(__xludf.DUMMYFUNCTION("IFERROR(FILTER('Fund Investment Data'!$D:$D, 'Fund Investment Data'!$C:$C = $A35, 'Fund Investment Data'!$A:$A = Q$1, 'Fund Investment Data'!$B:$B = 12),"""")"),"")</f>
        <v/>
      </c>
      <c r="R35" t="str">
        <f>IFERROR(__xludf.DUMMYFUNCTION("IFERROR(FILTER('Fund Investment Data'!$D:$D, 'Fund Investment Data'!$C:$C = $A35, 'Fund Investment Data'!$A:$A = R$1, 'Fund Investment Data'!$B:$B = 12),"""")"),"")</f>
        <v/>
      </c>
      <c r="S35" t="str">
        <f>IFERROR(__xludf.DUMMYFUNCTION("IFERROR(FILTER('Fund Investment Data'!$D:$D, 'Fund Investment Data'!$C:$C = $A35, 'Fund Investment Data'!$A:$A = S$1, 'Fund Investment Data'!$B:$B = 12),"""")"),"")</f>
        <v/>
      </c>
      <c r="T35" t="str">
        <f>IFERROR(__xludf.DUMMYFUNCTION("IFERROR(FILTER('Fund Investment Data'!$D:$D, 'Fund Investment Data'!$C:$C = $A35, 'Fund Investment Data'!$A:$A = T$1, 'Fund Investment Data'!$B:$B = 12),"""")"),"")</f>
        <v/>
      </c>
      <c r="U35" t="str">
        <f>IFERROR(__xludf.DUMMYFUNCTION("IFERROR(FILTER('Fund Investment Data'!$D:$D, 'Fund Investment Data'!$C:$C = $A35, 'Fund Investment Data'!$A:$A = U$1, 'Fund Investment Data'!$B:$B = 12),"""")"),"")</f>
        <v/>
      </c>
      <c r="V35" t="str">
        <f>IFERROR(__xludf.DUMMYFUNCTION("IFERROR(FILTER('Fund Investment Data'!$D:$D, 'Fund Investment Data'!$C:$C = $A35, 'Fund Investment Data'!$A:$A = V$1, 'Fund Investment Data'!$B:$B = 12),"""")"),"")</f>
        <v/>
      </c>
      <c r="W35" t="str">
        <f>IFERROR(__xludf.DUMMYFUNCTION("IFERROR(FILTER('Fund Investment Data'!$D:$D, 'Fund Investment Data'!$C:$C = $A35, 'Fund Investment Data'!$A:$A = W$1, 'Fund Investment Data'!$B:$B = 12),"""")"),"")</f>
        <v/>
      </c>
      <c r="X35" t="str">
        <f>IFERROR(__xludf.DUMMYFUNCTION("IFERROR(FILTER('Fund Investment Data'!$D:$D, 'Fund Investment Data'!$C:$C = $A35, 'Fund Investment Data'!$A:$A = X$1, 'Fund Investment Data'!$B:$B = 12),"""")"),"")</f>
        <v/>
      </c>
      <c r="Y35" t="str">
        <f>IFERROR(__xludf.DUMMYFUNCTION("IFERROR(FILTER('Fund Investment Data'!$D:$D, 'Fund Investment Data'!$C:$C = $A35, 'Fund Investment Data'!$A:$A = Y$1, 'Fund Investment Data'!$B:$B = 12),"""")"),"")</f>
        <v/>
      </c>
      <c r="Z35" t="str">
        <f>IFERROR(__xludf.DUMMYFUNCTION("IFERROR(FILTER('Fund Investment Data'!$D:$D, 'Fund Investment Data'!$C:$C = $A35, 'Fund Investment Data'!$A:$A = Z$1, 'Fund Investment Data'!$B:$B = 12),"""")"),"")</f>
        <v/>
      </c>
      <c r="AA35" t="str">
        <f>IFERROR(__xludf.DUMMYFUNCTION("IFERROR(FILTER('Fund Investment Data'!$D:$D, 'Fund Investment Data'!$C:$C = $A35, 'Fund Investment Data'!$A:$A = AA$1, 'Fund Investment Data'!$B:$B = 12),"""")"),"")</f>
        <v/>
      </c>
      <c r="AB35" t="str">
        <f>IFERROR(__xludf.DUMMYFUNCTION("IFERROR(FILTER('Fund Investment Data'!$D:$D, 'Fund Investment Data'!$C:$C = $A35, 'Fund Investment Data'!$A:$A = AB$1, 'Fund Investment Data'!$B:$B = 12),"""")"),"")</f>
        <v/>
      </c>
      <c r="AC35">
        <f>IFERROR(__xludf.DUMMYFUNCTION("IFERROR(FILTER('Fund Investment Data'!$D:$D, 'Fund Investment Data'!$C:$C = $A35, 'Fund Investment Data'!$A:$A = AC$1, 'Fund Investment Data'!$B:$B = 12),"""")"),2000000.0)</f>
        <v>2000000</v>
      </c>
      <c r="AD35" t="str">
        <f>IFERROR(__xludf.DUMMYFUNCTION("IFERROR(FILTER('Fund Investment Data'!$D:$D, 'Fund Investment Data'!$C:$C = $A35, 'Fund Investment Data'!$A:$A = AD$1, 'Fund Investment Data'!$B:$B = 12),"""")"),"")</f>
        <v/>
      </c>
      <c r="AE35">
        <f>IFERROR(__xludf.DUMMYFUNCTION("IFERROR(FILTER('Fund Investment Data'!$D:$D, 'Fund Investment Data'!$C:$C = $A35, 'Fund Investment Data'!$A:$A = AE$1, 'Fund Investment Data'!$B:$B = 12),"""")"),0.0)</f>
        <v>0</v>
      </c>
    </row>
    <row r="65">
      <c r="A65" s="150" t="str">
        <f>'Endowed Funds'!A:A</f>
        <v/>
      </c>
      <c r="B65" t="str">
        <f>IFERROR(__xludf.DUMMYFUNCTION("IFERROR(FILTER('Fund Investment Data'!$D:$D, 'Fund Investment Data'!$C:$C = $A65, 'Fund Investment Data'!$A:$A = B$1, 'Fund Investment Data'!$B:$B = 12),"""")"),"")</f>
        <v/>
      </c>
      <c r="C65" t="str">
        <f>IFERROR(__xludf.DUMMYFUNCTION("IFERROR(FILTER('Fund Investment Data'!$D:$D, 'Fund Investment Data'!$C:$C = $A65, 'Fund Investment Data'!$A:$A = C$1, 'Fund Investment Data'!$B:$B = 12),"""")"),"")</f>
        <v/>
      </c>
      <c r="D65" t="str">
        <f>IFERROR(__xludf.DUMMYFUNCTION("IFERROR(FILTER('Fund Investment Data'!$D:$D, 'Fund Investment Data'!$C:$C = $A65, 'Fund Investment Data'!$A:$A = D$1, 'Fund Investment Data'!$B:$B = 12),"""")"),"")</f>
        <v/>
      </c>
      <c r="E65" t="str">
        <f>IFERROR(__xludf.DUMMYFUNCTION("IFERROR(FILTER('Fund Investment Data'!$D:$D, 'Fund Investment Data'!$C:$C = $A65, 'Fund Investment Data'!$A:$A = E$1, 'Fund Investment Data'!$B:$B = 12),"""")"),"")</f>
        <v/>
      </c>
      <c r="F65" t="str">
        <f>IFERROR(__xludf.DUMMYFUNCTION("IFERROR(FILTER('Fund Investment Data'!$D:$D, 'Fund Investment Data'!$C:$C = $A65, 'Fund Investment Data'!$A:$A = F$1, 'Fund Investment Data'!$B:$B = 12),"""")"),"")</f>
        <v/>
      </c>
      <c r="G65" t="str">
        <f>IFERROR(__xludf.DUMMYFUNCTION("IFERROR(FILTER('Fund Investment Data'!$D:$D, 'Fund Investment Data'!$C:$C = $A65, 'Fund Investment Data'!$A:$A = G$1, 'Fund Investment Data'!$B:$B = 12),"""")"),"")</f>
        <v/>
      </c>
      <c r="H65" t="str">
        <f>IFERROR(__xludf.DUMMYFUNCTION("IFERROR(FILTER('Fund Investment Data'!$D:$D, 'Fund Investment Data'!$C:$C = $A65, 'Fund Investment Data'!$A:$A = H$1, 'Fund Investment Data'!$B:$B = 12),"""")"),"")</f>
        <v/>
      </c>
      <c r="I65" t="str">
        <f>IFERROR(__xludf.DUMMYFUNCTION("IFERROR(FILTER('Fund Investment Data'!$D:$D, 'Fund Investment Data'!$C:$C = $A65, 'Fund Investment Data'!$A:$A = I$1, 'Fund Investment Data'!$B:$B = 12),"""")"),"")</f>
        <v/>
      </c>
      <c r="J65" t="str">
        <f>IFERROR(__xludf.DUMMYFUNCTION("IFERROR(FILTER('Fund Investment Data'!$D:$D, 'Fund Investment Data'!$C:$C = $A65, 'Fund Investment Data'!$A:$A = J$1, 'Fund Investment Data'!$B:$B = 12),"""")"),"")</f>
        <v/>
      </c>
      <c r="K65" t="str">
        <f>IFERROR(__xludf.DUMMYFUNCTION("IFERROR(FILTER('Fund Investment Data'!$D:$D, 'Fund Investment Data'!$C:$C = $A65, 'Fund Investment Data'!$A:$A = K$1, 'Fund Investment Data'!$B:$B = 12),"""")"),"")</f>
        <v/>
      </c>
      <c r="L65" t="str">
        <f>IFERROR(__xludf.DUMMYFUNCTION("IFERROR(FILTER('Fund Investment Data'!$D:$D, 'Fund Investment Data'!$C:$C = $A65, 'Fund Investment Data'!$A:$A = L$1, 'Fund Investment Data'!$B:$B = 12),"""")"),"")</f>
        <v/>
      </c>
      <c r="M65" t="str">
        <f>IFERROR(__xludf.DUMMYFUNCTION("IFERROR(FILTER('Fund Investment Data'!$D:$D, 'Fund Investment Data'!$C:$C = $A65, 'Fund Investment Data'!$A:$A = M$1, 'Fund Investment Data'!$B:$B = 12),"""")"),"")</f>
        <v/>
      </c>
      <c r="N65" t="str">
        <f>IFERROR(__xludf.DUMMYFUNCTION("IFERROR(FILTER('Fund Investment Data'!$D:$D, 'Fund Investment Data'!$C:$C = $A65, 'Fund Investment Data'!$A:$A = N$1, 'Fund Investment Data'!$B:$B = 12),"""")"),"")</f>
        <v/>
      </c>
      <c r="O65" t="str">
        <f>IFERROR(__xludf.DUMMYFUNCTION("IFERROR(FILTER('Fund Investment Data'!$D:$D, 'Fund Investment Data'!$C:$C = $A65, 'Fund Investment Data'!$A:$A = O$1, 'Fund Investment Data'!$B:$B = 12),"""")"),"")</f>
        <v/>
      </c>
      <c r="P65" t="str">
        <f>IFERROR(__xludf.DUMMYFUNCTION("IFERROR(FILTER('Fund Investment Data'!$D:$D, 'Fund Investment Data'!$C:$C = $A65, 'Fund Investment Data'!$A:$A = P$1, 'Fund Investment Data'!$B:$B = 12),"""")"),"")</f>
        <v/>
      </c>
      <c r="Q65" t="str">
        <f>IFERROR(__xludf.DUMMYFUNCTION("IFERROR(FILTER('Fund Investment Data'!$D:$D, 'Fund Investment Data'!$C:$C = $A65, 'Fund Investment Data'!$A:$A = Q$1, 'Fund Investment Data'!$B:$B = 12),"""")"),"")</f>
        <v/>
      </c>
      <c r="R65" t="str">
        <f>IFERROR(__xludf.DUMMYFUNCTION("IFERROR(FILTER('Fund Investment Data'!$D:$D, 'Fund Investment Data'!$C:$C = $A65, 'Fund Investment Data'!$A:$A = R$1, 'Fund Investment Data'!$B:$B = 12),"""")"),"")</f>
        <v/>
      </c>
      <c r="S65" t="str">
        <f>IFERROR(__xludf.DUMMYFUNCTION("IFERROR(FILTER('Fund Investment Data'!$D:$D, 'Fund Investment Data'!$C:$C = $A65, 'Fund Investment Data'!$A:$A = S$1, 'Fund Investment Data'!$B:$B = 12),"""")"),"")</f>
        <v/>
      </c>
      <c r="T65" t="str">
        <f>IFERROR(__xludf.DUMMYFUNCTION("IFERROR(FILTER('Fund Investment Data'!$D:$D, 'Fund Investment Data'!$C:$C = $A65, 'Fund Investment Data'!$A:$A = T$1, 'Fund Investment Data'!$B:$B = 12),"""")"),"")</f>
        <v/>
      </c>
      <c r="U65" t="str">
        <f>IFERROR(__xludf.DUMMYFUNCTION("IFERROR(FILTER('Fund Investment Data'!$D:$D, 'Fund Investment Data'!$C:$C = $A65, 'Fund Investment Data'!$A:$A = U$1, 'Fund Investment Data'!$B:$B = 12),"""")"),"")</f>
        <v/>
      </c>
      <c r="V65" t="str">
        <f>IFERROR(__xludf.DUMMYFUNCTION("IFERROR(FILTER('Fund Investment Data'!$D:$D, 'Fund Investment Data'!$C:$C = $A65, 'Fund Investment Data'!$A:$A = V$1, 'Fund Investment Data'!$B:$B = 12),"""")"),"")</f>
        <v/>
      </c>
      <c r="W65" t="str">
        <f>IFERROR(__xludf.DUMMYFUNCTION("IFERROR(FILTER('Fund Investment Data'!$D:$D, 'Fund Investment Data'!$C:$C = $A65, 'Fund Investment Data'!$A:$A = W$1, 'Fund Investment Data'!$B:$B = 12),"""")"),"")</f>
        <v/>
      </c>
      <c r="X65" t="str">
        <f>IFERROR(__xludf.DUMMYFUNCTION("IFERROR(FILTER('Fund Investment Data'!$D:$D, 'Fund Investment Data'!$C:$C = $A65, 'Fund Investment Data'!$A:$A = X$1, 'Fund Investment Data'!$B:$B = 12),"""")"),"")</f>
        <v/>
      </c>
      <c r="Y65" t="str">
        <f>IFERROR(__xludf.DUMMYFUNCTION("IFERROR(FILTER('Fund Investment Data'!$D:$D, 'Fund Investment Data'!$C:$C = $A65, 'Fund Investment Data'!$A:$A = Y$1, 'Fund Investment Data'!$B:$B = 12),"""")"),"")</f>
        <v/>
      </c>
      <c r="Z65" t="str">
        <f>IFERROR(__xludf.DUMMYFUNCTION("IFERROR(FILTER('Fund Investment Data'!$D:$D, 'Fund Investment Data'!$C:$C = $A65, 'Fund Investment Data'!$A:$A = Z$1, 'Fund Investment Data'!$B:$B = 12),"""")"),"")</f>
        <v/>
      </c>
      <c r="AA65" t="str">
        <f>IFERROR(__xludf.DUMMYFUNCTION("IFERROR(FILTER('Fund Investment Data'!$D:$D, 'Fund Investment Data'!$C:$C = $A65, 'Fund Investment Data'!$A:$A = AA$1, 'Fund Investment Data'!$B:$B = 12),"""")"),"")</f>
        <v/>
      </c>
      <c r="AB65" t="str">
        <f>IFERROR(__xludf.DUMMYFUNCTION("IFERROR(FILTER('Fund Investment Data'!$D:$D, 'Fund Investment Data'!$C:$C = $A65, 'Fund Investment Data'!$A:$A = AB$1, 'Fund Investment Data'!$B:$B = 12),"""")"),"")</f>
        <v/>
      </c>
      <c r="AC65" t="str">
        <f>IFERROR(__xludf.DUMMYFUNCTION("IFERROR(FILTER('Fund Investment Data'!$D:$D, 'Fund Investment Data'!$C:$C = $A65, 'Fund Investment Data'!$A:$A = AC$1, 'Fund Investment Data'!$B:$B = 12),"""")"),"")</f>
        <v/>
      </c>
      <c r="AD65" t="str">
        <f>IFERROR(__xludf.DUMMYFUNCTION("IFERROR(FILTER('Fund Investment Data'!$D:$D, 'Fund Investment Data'!$C:$C = $A65, 'Fund Investment Data'!$A:$A = AD$1, 'Fund Investment Data'!$B:$B = 12),"""")"),"")</f>
        <v/>
      </c>
      <c r="AE65" t="str">
        <f>IFERROR(__xludf.DUMMYFUNCTION("IFERROR(FILTER('Fund Investment Data'!$D:$D, 'Fund Investment Data'!$C:$C = $A65, 'Fund Investment Data'!$A:$A = AE$1, 'Fund Investment Data'!$B:$B = 12),"""")"),"")</f>
        <v/>
      </c>
    </row>
    <row r="66">
      <c r="A66" s="150" t="str">
        <f>'Endowed Funds'!A:A</f>
        <v/>
      </c>
      <c r="B66" t="str">
        <f>IFERROR(__xludf.DUMMYFUNCTION("IFERROR(FILTER('Fund Investment Data'!$D:$D, 'Fund Investment Data'!$C:$C = $A66, 'Fund Investment Data'!$A:$A = B$1, 'Fund Investment Data'!$B:$B = 12),"""")"),"")</f>
        <v/>
      </c>
      <c r="C66" t="str">
        <f>IFERROR(__xludf.DUMMYFUNCTION("IFERROR(FILTER('Fund Investment Data'!$D:$D, 'Fund Investment Data'!$C:$C = $A66, 'Fund Investment Data'!$A:$A = C$1, 'Fund Investment Data'!$B:$B = 12),"""")"),"")</f>
        <v/>
      </c>
      <c r="D66" t="str">
        <f>IFERROR(__xludf.DUMMYFUNCTION("IFERROR(FILTER('Fund Investment Data'!$D:$D, 'Fund Investment Data'!$C:$C = $A66, 'Fund Investment Data'!$A:$A = D$1, 'Fund Investment Data'!$B:$B = 12),"""")"),"")</f>
        <v/>
      </c>
      <c r="E66" t="str">
        <f>IFERROR(__xludf.DUMMYFUNCTION("IFERROR(FILTER('Fund Investment Data'!$D:$D, 'Fund Investment Data'!$C:$C = $A66, 'Fund Investment Data'!$A:$A = E$1, 'Fund Investment Data'!$B:$B = 12),"""")"),"")</f>
        <v/>
      </c>
      <c r="F66" t="str">
        <f>IFERROR(__xludf.DUMMYFUNCTION("IFERROR(FILTER('Fund Investment Data'!$D:$D, 'Fund Investment Data'!$C:$C = $A66, 'Fund Investment Data'!$A:$A = F$1, 'Fund Investment Data'!$B:$B = 12),"""")"),"")</f>
        <v/>
      </c>
      <c r="G66" t="str">
        <f>IFERROR(__xludf.DUMMYFUNCTION("IFERROR(FILTER('Fund Investment Data'!$D:$D, 'Fund Investment Data'!$C:$C = $A66, 'Fund Investment Data'!$A:$A = G$1, 'Fund Investment Data'!$B:$B = 12),"""")"),"")</f>
        <v/>
      </c>
      <c r="H66" t="str">
        <f>IFERROR(__xludf.DUMMYFUNCTION("IFERROR(FILTER('Fund Investment Data'!$D:$D, 'Fund Investment Data'!$C:$C = $A66, 'Fund Investment Data'!$A:$A = H$1, 'Fund Investment Data'!$B:$B = 12),"""")"),"")</f>
        <v/>
      </c>
      <c r="I66" t="str">
        <f>IFERROR(__xludf.DUMMYFUNCTION("IFERROR(FILTER('Fund Investment Data'!$D:$D, 'Fund Investment Data'!$C:$C = $A66, 'Fund Investment Data'!$A:$A = I$1, 'Fund Investment Data'!$B:$B = 12),"""")"),"")</f>
        <v/>
      </c>
      <c r="J66" t="str">
        <f>IFERROR(__xludf.DUMMYFUNCTION("IFERROR(FILTER('Fund Investment Data'!$D:$D, 'Fund Investment Data'!$C:$C = $A66, 'Fund Investment Data'!$A:$A = J$1, 'Fund Investment Data'!$B:$B = 12),"""")"),"")</f>
        <v/>
      </c>
      <c r="K66" t="str">
        <f>IFERROR(__xludf.DUMMYFUNCTION("IFERROR(FILTER('Fund Investment Data'!$D:$D, 'Fund Investment Data'!$C:$C = $A66, 'Fund Investment Data'!$A:$A = K$1, 'Fund Investment Data'!$B:$B = 12),"""")"),"")</f>
        <v/>
      </c>
      <c r="L66" t="str">
        <f>IFERROR(__xludf.DUMMYFUNCTION("IFERROR(FILTER('Fund Investment Data'!$D:$D, 'Fund Investment Data'!$C:$C = $A66, 'Fund Investment Data'!$A:$A = L$1, 'Fund Investment Data'!$B:$B = 12),"""")"),"")</f>
        <v/>
      </c>
      <c r="M66" t="str">
        <f>IFERROR(__xludf.DUMMYFUNCTION("IFERROR(FILTER('Fund Investment Data'!$D:$D, 'Fund Investment Data'!$C:$C = $A66, 'Fund Investment Data'!$A:$A = M$1, 'Fund Investment Data'!$B:$B = 12),"""")"),"")</f>
        <v/>
      </c>
      <c r="N66" t="str">
        <f>IFERROR(__xludf.DUMMYFUNCTION("IFERROR(FILTER('Fund Investment Data'!$D:$D, 'Fund Investment Data'!$C:$C = $A66, 'Fund Investment Data'!$A:$A = N$1, 'Fund Investment Data'!$B:$B = 12),"""")"),"")</f>
        <v/>
      </c>
      <c r="O66" t="str">
        <f>IFERROR(__xludf.DUMMYFUNCTION("IFERROR(FILTER('Fund Investment Data'!$D:$D, 'Fund Investment Data'!$C:$C = $A66, 'Fund Investment Data'!$A:$A = O$1, 'Fund Investment Data'!$B:$B = 12),"""")"),"")</f>
        <v/>
      </c>
      <c r="P66" t="str">
        <f>IFERROR(__xludf.DUMMYFUNCTION("IFERROR(FILTER('Fund Investment Data'!$D:$D, 'Fund Investment Data'!$C:$C = $A66, 'Fund Investment Data'!$A:$A = P$1, 'Fund Investment Data'!$B:$B = 12),"""")"),"")</f>
        <v/>
      </c>
      <c r="Q66" t="str">
        <f>IFERROR(__xludf.DUMMYFUNCTION("IFERROR(FILTER('Fund Investment Data'!$D:$D, 'Fund Investment Data'!$C:$C = $A66, 'Fund Investment Data'!$A:$A = Q$1, 'Fund Investment Data'!$B:$B = 12),"""")"),"")</f>
        <v/>
      </c>
      <c r="R66" t="str">
        <f>IFERROR(__xludf.DUMMYFUNCTION("IFERROR(FILTER('Fund Investment Data'!$D:$D, 'Fund Investment Data'!$C:$C = $A66, 'Fund Investment Data'!$A:$A = R$1, 'Fund Investment Data'!$B:$B = 12),"""")"),"")</f>
        <v/>
      </c>
      <c r="S66" t="str">
        <f>IFERROR(__xludf.DUMMYFUNCTION("IFERROR(FILTER('Fund Investment Data'!$D:$D, 'Fund Investment Data'!$C:$C = $A66, 'Fund Investment Data'!$A:$A = S$1, 'Fund Investment Data'!$B:$B = 12),"""")"),"")</f>
        <v/>
      </c>
      <c r="T66" t="str">
        <f>IFERROR(__xludf.DUMMYFUNCTION("IFERROR(FILTER('Fund Investment Data'!$D:$D, 'Fund Investment Data'!$C:$C = $A66, 'Fund Investment Data'!$A:$A = T$1, 'Fund Investment Data'!$B:$B = 12),"""")"),"")</f>
        <v/>
      </c>
      <c r="U66" t="str">
        <f>IFERROR(__xludf.DUMMYFUNCTION("IFERROR(FILTER('Fund Investment Data'!$D:$D, 'Fund Investment Data'!$C:$C = $A66, 'Fund Investment Data'!$A:$A = U$1, 'Fund Investment Data'!$B:$B = 12),"""")"),"")</f>
        <v/>
      </c>
      <c r="V66" t="str">
        <f>IFERROR(__xludf.DUMMYFUNCTION("IFERROR(FILTER('Fund Investment Data'!$D:$D, 'Fund Investment Data'!$C:$C = $A66, 'Fund Investment Data'!$A:$A = V$1, 'Fund Investment Data'!$B:$B = 12),"""")"),"")</f>
        <v/>
      </c>
      <c r="W66" t="str">
        <f>IFERROR(__xludf.DUMMYFUNCTION("IFERROR(FILTER('Fund Investment Data'!$D:$D, 'Fund Investment Data'!$C:$C = $A66, 'Fund Investment Data'!$A:$A = W$1, 'Fund Investment Data'!$B:$B = 12),"""")"),"")</f>
        <v/>
      </c>
      <c r="X66" t="str">
        <f>IFERROR(__xludf.DUMMYFUNCTION("IFERROR(FILTER('Fund Investment Data'!$D:$D, 'Fund Investment Data'!$C:$C = $A66, 'Fund Investment Data'!$A:$A = X$1, 'Fund Investment Data'!$B:$B = 12),"""")"),"")</f>
        <v/>
      </c>
      <c r="Y66" t="str">
        <f>IFERROR(__xludf.DUMMYFUNCTION("IFERROR(FILTER('Fund Investment Data'!$D:$D, 'Fund Investment Data'!$C:$C = $A66, 'Fund Investment Data'!$A:$A = Y$1, 'Fund Investment Data'!$B:$B = 12),"""")"),"")</f>
        <v/>
      </c>
      <c r="Z66" t="str">
        <f>IFERROR(__xludf.DUMMYFUNCTION("IFERROR(FILTER('Fund Investment Data'!$D:$D, 'Fund Investment Data'!$C:$C = $A66, 'Fund Investment Data'!$A:$A = Z$1, 'Fund Investment Data'!$B:$B = 12),"""")"),"")</f>
        <v/>
      </c>
      <c r="AA66" t="str">
        <f>IFERROR(__xludf.DUMMYFUNCTION("IFERROR(FILTER('Fund Investment Data'!$D:$D, 'Fund Investment Data'!$C:$C = $A66, 'Fund Investment Data'!$A:$A = AA$1, 'Fund Investment Data'!$B:$B = 12),"""")"),"")</f>
        <v/>
      </c>
      <c r="AB66" t="str">
        <f>IFERROR(__xludf.DUMMYFUNCTION("IFERROR(FILTER('Fund Investment Data'!$D:$D, 'Fund Investment Data'!$C:$C = $A66, 'Fund Investment Data'!$A:$A = AB$1, 'Fund Investment Data'!$B:$B = 12),"""")"),"")</f>
        <v/>
      </c>
      <c r="AC66" t="str">
        <f>IFERROR(__xludf.DUMMYFUNCTION("IFERROR(FILTER('Fund Investment Data'!$D:$D, 'Fund Investment Data'!$C:$C = $A66, 'Fund Investment Data'!$A:$A = AC$1, 'Fund Investment Data'!$B:$B = 12),"""")"),"")</f>
        <v/>
      </c>
      <c r="AD66" t="str">
        <f>IFERROR(__xludf.DUMMYFUNCTION("IFERROR(FILTER('Fund Investment Data'!$D:$D, 'Fund Investment Data'!$C:$C = $A66, 'Fund Investment Data'!$A:$A = AD$1, 'Fund Investment Data'!$B:$B = 12),"""")"),"")</f>
        <v/>
      </c>
      <c r="AE66" t="str">
        <f>IFERROR(__xludf.DUMMYFUNCTION("IFERROR(FILTER('Fund Investment Data'!$D:$D, 'Fund Investment Data'!$C:$C = $A66, 'Fund Investment Data'!$A:$A = AE$1, 'Fund Investment Data'!$B:$B = 12),"""")"),"")</f>
        <v/>
      </c>
    </row>
    <row r="67">
      <c r="A67" s="150" t="str">
        <f>'Endowed Funds'!A:A</f>
        <v/>
      </c>
      <c r="B67" t="str">
        <f>IFERROR(__xludf.DUMMYFUNCTION("IFERROR(FILTER('Fund Investment Data'!$D:$D, 'Fund Investment Data'!$C:$C = $A67, 'Fund Investment Data'!$A:$A = B$1, 'Fund Investment Data'!$B:$B = 12),"""")"),"")</f>
        <v/>
      </c>
      <c r="C67" t="str">
        <f>IFERROR(__xludf.DUMMYFUNCTION("IFERROR(FILTER('Fund Investment Data'!$D:$D, 'Fund Investment Data'!$C:$C = $A67, 'Fund Investment Data'!$A:$A = C$1, 'Fund Investment Data'!$B:$B = 12),"""")"),"")</f>
        <v/>
      </c>
      <c r="D67" t="str">
        <f>IFERROR(__xludf.DUMMYFUNCTION("IFERROR(FILTER('Fund Investment Data'!$D:$D, 'Fund Investment Data'!$C:$C = $A67, 'Fund Investment Data'!$A:$A = D$1, 'Fund Investment Data'!$B:$B = 12),"""")"),"")</f>
        <v/>
      </c>
      <c r="E67" t="str">
        <f>IFERROR(__xludf.DUMMYFUNCTION("IFERROR(FILTER('Fund Investment Data'!$D:$D, 'Fund Investment Data'!$C:$C = $A67, 'Fund Investment Data'!$A:$A = E$1, 'Fund Investment Data'!$B:$B = 12),"""")"),"")</f>
        <v/>
      </c>
      <c r="F67" t="str">
        <f>IFERROR(__xludf.DUMMYFUNCTION("IFERROR(FILTER('Fund Investment Data'!$D:$D, 'Fund Investment Data'!$C:$C = $A67, 'Fund Investment Data'!$A:$A = F$1, 'Fund Investment Data'!$B:$B = 12),"""")"),"")</f>
        <v/>
      </c>
      <c r="G67" t="str">
        <f>IFERROR(__xludf.DUMMYFUNCTION("IFERROR(FILTER('Fund Investment Data'!$D:$D, 'Fund Investment Data'!$C:$C = $A67, 'Fund Investment Data'!$A:$A = G$1, 'Fund Investment Data'!$B:$B = 12),"""")"),"")</f>
        <v/>
      </c>
      <c r="H67" t="str">
        <f>IFERROR(__xludf.DUMMYFUNCTION("IFERROR(FILTER('Fund Investment Data'!$D:$D, 'Fund Investment Data'!$C:$C = $A67, 'Fund Investment Data'!$A:$A = H$1, 'Fund Investment Data'!$B:$B = 12),"""")"),"")</f>
        <v/>
      </c>
      <c r="I67" t="str">
        <f>IFERROR(__xludf.DUMMYFUNCTION("IFERROR(FILTER('Fund Investment Data'!$D:$D, 'Fund Investment Data'!$C:$C = $A67, 'Fund Investment Data'!$A:$A = I$1, 'Fund Investment Data'!$B:$B = 12),"""")"),"")</f>
        <v/>
      </c>
      <c r="J67" t="str">
        <f>IFERROR(__xludf.DUMMYFUNCTION("IFERROR(FILTER('Fund Investment Data'!$D:$D, 'Fund Investment Data'!$C:$C = $A67, 'Fund Investment Data'!$A:$A = J$1, 'Fund Investment Data'!$B:$B = 12),"""")"),"")</f>
        <v/>
      </c>
      <c r="K67" t="str">
        <f>IFERROR(__xludf.DUMMYFUNCTION("IFERROR(FILTER('Fund Investment Data'!$D:$D, 'Fund Investment Data'!$C:$C = $A67, 'Fund Investment Data'!$A:$A = K$1, 'Fund Investment Data'!$B:$B = 12),"""")"),"")</f>
        <v/>
      </c>
      <c r="L67" t="str">
        <f>IFERROR(__xludf.DUMMYFUNCTION("IFERROR(FILTER('Fund Investment Data'!$D:$D, 'Fund Investment Data'!$C:$C = $A67, 'Fund Investment Data'!$A:$A = L$1, 'Fund Investment Data'!$B:$B = 12),"""")"),"")</f>
        <v/>
      </c>
      <c r="M67" t="str">
        <f>IFERROR(__xludf.DUMMYFUNCTION("IFERROR(FILTER('Fund Investment Data'!$D:$D, 'Fund Investment Data'!$C:$C = $A67, 'Fund Investment Data'!$A:$A = M$1, 'Fund Investment Data'!$B:$B = 12),"""")"),"")</f>
        <v/>
      </c>
      <c r="N67" t="str">
        <f>IFERROR(__xludf.DUMMYFUNCTION("IFERROR(FILTER('Fund Investment Data'!$D:$D, 'Fund Investment Data'!$C:$C = $A67, 'Fund Investment Data'!$A:$A = N$1, 'Fund Investment Data'!$B:$B = 12),"""")"),"")</f>
        <v/>
      </c>
      <c r="O67" t="str">
        <f>IFERROR(__xludf.DUMMYFUNCTION("IFERROR(FILTER('Fund Investment Data'!$D:$D, 'Fund Investment Data'!$C:$C = $A67, 'Fund Investment Data'!$A:$A = O$1, 'Fund Investment Data'!$B:$B = 12),"""")"),"")</f>
        <v/>
      </c>
      <c r="P67" t="str">
        <f>IFERROR(__xludf.DUMMYFUNCTION("IFERROR(FILTER('Fund Investment Data'!$D:$D, 'Fund Investment Data'!$C:$C = $A67, 'Fund Investment Data'!$A:$A = P$1, 'Fund Investment Data'!$B:$B = 12),"""")"),"")</f>
        <v/>
      </c>
      <c r="Q67" t="str">
        <f>IFERROR(__xludf.DUMMYFUNCTION("IFERROR(FILTER('Fund Investment Data'!$D:$D, 'Fund Investment Data'!$C:$C = $A67, 'Fund Investment Data'!$A:$A = Q$1, 'Fund Investment Data'!$B:$B = 12),"""")"),"")</f>
        <v/>
      </c>
      <c r="R67" t="str">
        <f>IFERROR(__xludf.DUMMYFUNCTION("IFERROR(FILTER('Fund Investment Data'!$D:$D, 'Fund Investment Data'!$C:$C = $A67, 'Fund Investment Data'!$A:$A = R$1, 'Fund Investment Data'!$B:$B = 12),"""")"),"")</f>
        <v/>
      </c>
      <c r="S67" t="str">
        <f>IFERROR(__xludf.DUMMYFUNCTION("IFERROR(FILTER('Fund Investment Data'!$D:$D, 'Fund Investment Data'!$C:$C = $A67, 'Fund Investment Data'!$A:$A = S$1, 'Fund Investment Data'!$B:$B = 12),"""")"),"")</f>
        <v/>
      </c>
      <c r="T67" t="str">
        <f>IFERROR(__xludf.DUMMYFUNCTION("IFERROR(FILTER('Fund Investment Data'!$D:$D, 'Fund Investment Data'!$C:$C = $A67, 'Fund Investment Data'!$A:$A = T$1, 'Fund Investment Data'!$B:$B = 12),"""")"),"")</f>
        <v/>
      </c>
      <c r="U67" t="str">
        <f>IFERROR(__xludf.DUMMYFUNCTION("IFERROR(FILTER('Fund Investment Data'!$D:$D, 'Fund Investment Data'!$C:$C = $A67, 'Fund Investment Data'!$A:$A = U$1, 'Fund Investment Data'!$B:$B = 12),"""")"),"")</f>
        <v/>
      </c>
      <c r="V67" t="str">
        <f>IFERROR(__xludf.DUMMYFUNCTION("IFERROR(FILTER('Fund Investment Data'!$D:$D, 'Fund Investment Data'!$C:$C = $A67, 'Fund Investment Data'!$A:$A = V$1, 'Fund Investment Data'!$B:$B = 12),"""")"),"")</f>
        <v/>
      </c>
      <c r="W67" t="str">
        <f>IFERROR(__xludf.DUMMYFUNCTION("IFERROR(FILTER('Fund Investment Data'!$D:$D, 'Fund Investment Data'!$C:$C = $A67, 'Fund Investment Data'!$A:$A = W$1, 'Fund Investment Data'!$B:$B = 12),"""")"),"")</f>
        <v/>
      </c>
      <c r="X67" t="str">
        <f>IFERROR(__xludf.DUMMYFUNCTION("IFERROR(FILTER('Fund Investment Data'!$D:$D, 'Fund Investment Data'!$C:$C = $A67, 'Fund Investment Data'!$A:$A = X$1, 'Fund Investment Data'!$B:$B = 12),"""")"),"")</f>
        <v/>
      </c>
      <c r="Y67" t="str">
        <f>IFERROR(__xludf.DUMMYFUNCTION("IFERROR(FILTER('Fund Investment Data'!$D:$D, 'Fund Investment Data'!$C:$C = $A67, 'Fund Investment Data'!$A:$A = Y$1, 'Fund Investment Data'!$B:$B = 12),"""")"),"")</f>
        <v/>
      </c>
      <c r="Z67" t="str">
        <f>IFERROR(__xludf.DUMMYFUNCTION("IFERROR(FILTER('Fund Investment Data'!$D:$D, 'Fund Investment Data'!$C:$C = $A67, 'Fund Investment Data'!$A:$A = Z$1, 'Fund Investment Data'!$B:$B = 12),"""")"),"")</f>
        <v/>
      </c>
      <c r="AA67" t="str">
        <f>IFERROR(__xludf.DUMMYFUNCTION("IFERROR(FILTER('Fund Investment Data'!$D:$D, 'Fund Investment Data'!$C:$C = $A67, 'Fund Investment Data'!$A:$A = AA$1, 'Fund Investment Data'!$B:$B = 12),"""")"),"")</f>
        <v/>
      </c>
      <c r="AB67" t="str">
        <f>IFERROR(__xludf.DUMMYFUNCTION("IFERROR(FILTER('Fund Investment Data'!$D:$D, 'Fund Investment Data'!$C:$C = $A67, 'Fund Investment Data'!$A:$A = AB$1, 'Fund Investment Data'!$B:$B = 12),"""")"),"")</f>
        <v/>
      </c>
      <c r="AC67" t="str">
        <f>IFERROR(__xludf.DUMMYFUNCTION("IFERROR(FILTER('Fund Investment Data'!$D:$D, 'Fund Investment Data'!$C:$C = $A67, 'Fund Investment Data'!$A:$A = AC$1, 'Fund Investment Data'!$B:$B = 12),"""")"),"")</f>
        <v/>
      </c>
      <c r="AD67" t="str">
        <f>IFERROR(__xludf.DUMMYFUNCTION("IFERROR(FILTER('Fund Investment Data'!$D:$D, 'Fund Investment Data'!$C:$C = $A67, 'Fund Investment Data'!$A:$A = AD$1, 'Fund Investment Data'!$B:$B = 12),"""")"),"")</f>
        <v/>
      </c>
      <c r="AE67" t="str">
        <f>IFERROR(__xludf.DUMMYFUNCTION("IFERROR(FILTER('Fund Investment Data'!$D:$D, 'Fund Investment Data'!$C:$C = $A67, 'Fund Investment Data'!$A:$A = AE$1, 'Fund Investment Data'!$B:$B = 12),"""")"),"")</f>
        <v/>
      </c>
    </row>
    <row r="68">
      <c r="A68" s="150" t="str">
        <f>'Endowed Funds'!A:A</f>
        <v/>
      </c>
      <c r="B68" t="str">
        <f>IFERROR(__xludf.DUMMYFUNCTION("IFERROR(FILTER('Fund Investment Data'!$D:$D, 'Fund Investment Data'!$C:$C = $A68, 'Fund Investment Data'!$A:$A = B$1, 'Fund Investment Data'!$B:$B = 12),"""")"),"")</f>
        <v/>
      </c>
      <c r="C68" t="str">
        <f>IFERROR(__xludf.DUMMYFUNCTION("IFERROR(FILTER('Fund Investment Data'!$D:$D, 'Fund Investment Data'!$C:$C = $A68, 'Fund Investment Data'!$A:$A = C$1, 'Fund Investment Data'!$B:$B = 12),"""")"),"")</f>
        <v/>
      </c>
      <c r="D68" t="str">
        <f>IFERROR(__xludf.DUMMYFUNCTION("IFERROR(FILTER('Fund Investment Data'!$D:$D, 'Fund Investment Data'!$C:$C = $A68, 'Fund Investment Data'!$A:$A = D$1, 'Fund Investment Data'!$B:$B = 12),"""")"),"")</f>
        <v/>
      </c>
      <c r="E68" t="str">
        <f>IFERROR(__xludf.DUMMYFUNCTION("IFERROR(FILTER('Fund Investment Data'!$D:$D, 'Fund Investment Data'!$C:$C = $A68, 'Fund Investment Data'!$A:$A = E$1, 'Fund Investment Data'!$B:$B = 12),"""")"),"")</f>
        <v/>
      </c>
      <c r="F68" t="str">
        <f>IFERROR(__xludf.DUMMYFUNCTION("IFERROR(FILTER('Fund Investment Data'!$D:$D, 'Fund Investment Data'!$C:$C = $A68, 'Fund Investment Data'!$A:$A = F$1, 'Fund Investment Data'!$B:$B = 12),"""")"),"")</f>
        <v/>
      </c>
      <c r="G68" t="str">
        <f>IFERROR(__xludf.DUMMYFUNCTION("IFERROR(FILTER('Fund Investment Data'!$D:$D, 'Fund Investment Data'!$C:$C = $A68, 'Fund Investment Data'!$A:$A = G$1, 'Fund Investment Data'!$B:$B = 12),"""")"),"")</f>
        <v/>
      </c>
      <c r="H68" t="str">
        <f>IFERROR(__xludf.DUMMYFUNCTION("IFERROR(FILTER('Fund Investment Data'!$D:$D, 'Fund Investment Data'!$C:$C = $A68, 'Fund Investment Data'!$A:$A = H$1, 'Fund Investment Data'!$B:$B = 12),"""")"),"")</f>
        <v/>
      </c>
      <c r="I68" t="str">
        <f>IFERROR(__xludf.DUMMYFUNCTION("IFERROR(FILTER('Fund Investment Data'!$D:$D, 'Fund Investment Data'!$C:$C = $A68, 'Fund Investment Data'!$A:$A = I$1, 'Fund Investment Data'!$B:$B = 12),"""")"),"")</f>
        <v/>
      </c>
      <c r="J68" t="str">
        <f>IFERROR(__xludf.DUMMYFUNCTION("IFERROR(FILTER('Fund Investment Data'!$D:$D, 'Fund Investment Data'!$C:$C = $A68, 'Fund Investment Data'!$A:$A = J$1, 'Fund Investment Data'!$B:$B = 12),"""")"),"")</f>
        <v/>
      </c>
      <c r="K68" t="str">
        <f>IFERROR(__xludf.DUMMYFUNCTION("IFERROR(FILTER('Fund Investment Data'!$D:$D, 'Fund Investment Data'!$C:$C = $A68, 'Fund Investment Data'!$A:$A = K$1, 'Fund Investment Data'!$B:$B = 12),"""")"),"")</f>
        <v/>
      </c>
      <c r="L68" t="str">
        <f>IFERROR(__xludf.DUMMYFUNCTION("IFERROR(FILTER('Fund Investment Data'!$D:$D, 'Fund Investment Data'!$C:$C = $A68, 'Fund Investment Data'!$A:$A = L$1, 'Fund Investment Data'!$B:$B = 12),"""")"),"")</f>
        <v/>
      </c>
      <c r="M68" t="str">
        <f>IFERROR(__xludf.DUMMYFUNCTION("IFERROR(FILTER('Fund Investment Data'!$D:$D, 'Fund Investment Data'!$C:$C = $A68, 'Fund Investment Data'!$A:$A = M$1, 'Fund Investment Data'!$B:$B = 12),"""")"),"")</f>
        <v/>
      </c>
      <c r="N68" t="str">
        <f>IFERROR(__xludf.DUMMYFUNCTION("IFERROR(FILTER('Fund Investment Data'!$D:$D, 'Fund Investment Data'!$C:$C = $A68, 'Fund Investment Data'!$A:$A = N$1, 'Fund Investment Data'!$B:$B = 12),"""")"),"")</f>
        <v/>
      </c>
      <c r="O68" t="str">
        <f>IFERROR(__xludf.DUMMYFUNCTION("IFERROR(FILTER('Fund Investment Data'!$D:$D, 'Fund Investment Data'!$C:$C = $A68, 'Fund Investment Data'!$A:$A = O$1, 'Fund Investment Data'!$B:$B = 12),"""")"),"")</f>
        <v/>
      </c>
      <c r="P68" t="str">
        <f>IFERROR(__xludf.DUMMYFUNCTION("IFERROR(FILTER('Fund Investment Data'!$D:$D, 'Fund Investment Data'!$C:$C = $A68, 'Fund Investment Data'!$A:$A = P$1, 'Fund Investment Data'!$B:$B = 12),"""")"),"")</f>
        <v/>
      </c>
      <c r="Q68" t="str">
        <f>IFERROR(__xludf.DUMMYFUNCTION("IFERROR(FILTER('Fund Investment Data'!$D:$D, 'Fund Investment Data'!$C:$C = $A68, 'Fund Investment Data'!$A:$A = Q$1, 'Fund Investment Data'!$B:$B = 12),"""")"),"")</f>
        <v/>
      </c>
      <c r="R68" t="str">
        <f>IFERROR(__xludf.DUMMYFUNCTION("IFERROR(FILTER('Fund Investment Data'!$D:$D, 'Fund Investment Data'!$C:$C = $A68, 'Fund Investment Data'!$A:$A = R$1, 'Fund Investment Data'!$B:$B = 12),"""")"),"")</f>
        <v/>
      </c>
      <c r="S68" t="str">
        <f>IFERROR(__xludf.DUMMYFUNCTION("IFERROR(FILTER('Fund Investment Data'!$D:$D, 'Fund Investment Data'!$C:$C = $A68, 'Fund Investment Data'!$A:$A = S$1, 'Fund Investment Data'!$B:$B = 12),"""")"),"")</f>
        <v/>
      </c>
      <c r="T68" t="str">
        <f>IFERROR(__xludf.DUMMYFUNCTION("IFERROR(FILTER('Fund Investment Data'!$D:$D, 'Fund Investment Data'!$C:$C = $A68, 'Fund Investment Data'!$A:$A = T$1, 'Fund Investment Data'!$B:$B = 12),"""")"),"")</f>
        <v/>
      </c>
      <c r="U68" t="str">
        <f>IFERROR(__xludf.DUMMYFUNCTION("IFERROR(FILTER('Fund Investment Data'!$D:$D, 'Fund Investment Data'!$C:$C = $A68, 'Fund Investment Data'!$A:$A = U$1, 'Fund Investment Data'!$B:$B = 12),"""")"),"")</f>
        <v/>
      </c>
      <c r="V68" t="str">
        <f>IFERROR(__xludf.DUMMYFUNCTION("IFERROR(FILTER('Fund Investment Data'!$D:$D, 'Fund Investment Data'!$C:$C = $A68, 'Fund Investment Data'!$A:$A = V$1, 'Fund Investment Data'!$B:$B = 12),"""")"),"")</f>
        <v/>
      </c>
      <c r="W68" t="str">
        <f>IFERROR(__xludf.DUMMYFUNCTION("IFERROR(FILTER('Fund Investment Data'!$D:$D, 'Fund Investment Data'!$C:$C = $A68, 'Fund Investment Data'!$A:$A = W$1, 'Fund Investment Data'!$B:$B = 12),"""")"),"")</f>
        <v/>
      </c>
      <c r="X68" t="str">
        <f>IFERROR(__xludf.DUMMYFUNCTION("IFERROR(FILTER('Fund Investment Data'!$D:$D, 'Fund Investment Data'!$C:$C = $A68, 'Fund Investment Data'!$A:$A = X$1, 'Fund Investment Data'!$B:$B = 12),"""")"),"")</f>
        <v/>
      </c>
      <c r="Y68" t="str">
        <f>IFERROR(__xludf.DUMMYFUNCTION("IFERROR(FILTER('Fund Investment Data'!$D:$D, 'Fund Investment Data'!$C:$C = $A68, 'Fund Investment Data'!$A:$A = Y$1, 'Fund Investment Data'!$B:$B = 12),"""")"),"")</f>
        <v/>
      </c>
      <c r="Z68" t="str">
        <f>IFERROR(__xludf.DUMMYFUNCTION("IFERROR(FILTER('Fund Investment Data'!$D:$D, 'Fund Investment Data'!$C:$C = $A68, 'Fund Investment Data'!$A:$A = Z$1, 'Fund Investment Data'!$B:$B = 12),"""")"),"")</f>
        <v/>
      </c>
      <c r="AA68" t="str">
        <f>IFERROR(__xludf.DUMMYFUNCTION("IFERROR(FILTER('Fund Investment Data'!$D:$D, 'Fund Investment Data'!$C:$C = $A68, 'Fund Investment Data'!$A:$A = AA$1, 'Fund Investment Data'!$B:$B = 12),"""")"),"")</f>
        <v/>
      </c>
      <c r="AB68" t="str">
        <f>IFERROR(__xludf.DUMMYFUNCTION("IFERROR(FILTER('Fund Investment Data'!$D:$D, 'Fund Investment Data'!$C:$C = $A68, 'Fund Investment Data'!$A:$A = AB$1, 'Fund Investment Data'!$B:$B = 12),"""")"),"")</f>
        <v/>
      </c>
      <c r="AC68" t="str">
        <f>IFERROR(__xludf.DUMMYFUNCTION("IFERROR(FILTER('Fund Investment Data'!$D:$D, 'Fund Investment Data'!$C:$C = $A68, 'Fund Investment Data'!$A:$A = AC$1, 'Fund Investment Data'!$B:$B = 12),"""")"),"")</f>
        <v/>
      </c>
      <c r="AD68" t="str">
        <f>IFERROR(__xludf.DUMMYFUNCTION("IFERROR(FILTER('Fund Investment Data'!$D:$D, 'Fund Investment Data'!$C:$C = $A68, 'Fund Investment Data'!$A:$A = AD$1, 'Fund Investment Data'!$B:$B = 12),"""")"),"")</f>
        <v/>
      </c>
      <c r="AE68" t="str">
        <f>IFERROR(__xludf.DUMMYFUNCTION("IFERROR(FILTER('Fund Investment Data'!$D:$D, 'Fund Investment Data'!$C:$C = $A68, 'Fund Investment Data'!$A:$A = AE$1, 'Fund Investment Data'!$B:$B = 12),"""")"),"")</f>
        <v/>
      </c>
    </row>
    <row r="69">
      <c r="A69" s="150" t="str">
        <f>'Endowed Funds'!A:A</f>
        <v/>
      </c>
      <c r="B69" t="str">
        <f>IFERROR(__xludf.DUMMYFUNCTION("IFERROR(FILTER('Fund Investment Data'!$D:$D, 'Fund Investment Data'!$C:$C = $A69, 'Fund Investment Data'!$A:$A = B$1, 'Fund Investment Data'!$B:$B = 12),"""")"),"")</f>
        <v/>
      </c>
      <c r="C69" t="str">
        <f>IFERROR(__xludf.DUMMYFUNCTION("IFERROR(FILTER('Fund Investment Data'!$D:$D, 'Fund Investment Data'!$C:$C = $A69, 'Fund Investment Data'!$A:$A = C$1, 'Fund Investment Data'!$B:$B = 12),"""")"),"")</f>
        <v/>
      </c>
      <c r="D69" t="str">
        <f>IFERROR(__xludf.DUMMYFUNCTION("IFERROR(FILTER('Fund Investment Data'!$D:$D, 'Fund Investment Data'!$C:$C = $A69, 'Fund Investment Data'!$A:$A = D$1, 'Fund Investment Data'!$B:$B = 12),"""")"),"")</f>
        <v/>
      </c>
      <c r="E69" t="str">
        <f>IFERROR(__xludf.DUMMYFUNCTION("IFERROR(FILTER('Fund Investment Data'!$D:$D, 'Fund Investment Data'!$C:$C = $A69, 'Fund Investment Data'!$A:$A = E$1, 'Fund Investment Data'!$B:$B = 12),"""")"),"")</f>
        <v/>
      </c>
      <c r="F69" t="str">
        <f>IFERROR(__xludf.DUMMYFUNCTION("IFERROR(FILTER('Fund Investment Data'!$D:$D, 'Fund Investment Data'!$C:$C = $A69, 'Fund Investment Data'!$A:$A = F$1, 'Fund Investment Data'!$B:$B = 12),"""")"),"")</f>
        <v/>
      </c>
      <c r="G69" t="str">
        <f>IFERROR(__xludf.DUMMYFUNCTION("IFERROR(FILTER('Fund Investment Data'!$D:$D, 'Fund Investment Data'!$C:$C = $A69, 'Fund Investment Data'!$A:$A = G$1, 'Fund Investment Data'!$B:$B = 12),"""")"),"")</f>
        <v/>
      </c>
      <c r="H69" t="str">
        <f>IFERROR(__xludf.DUMMYFUNCTION("IFERROR(FILTER('Fund Investment Data'!$D:$D, 'Fund Investment Data'!$C:$C = $A69, 'Fund Investment Data'!$A:$A = H$1, 'Fund Investment Data'!$B:$B = 12),"""")"),"")</f>
        <v/>
      </c>
      <c r="I69" t="str">
        <f>IFERROR(__xludf.DUMMYFUNCTION("IFERROR(FILTER('Fund Investment Data'!$D:$D, 'Fund Investment Data'!$C:$C = $A69, 'Fund Investment Data'!$A:$A = I$1, 'Fund Investment Data'!$B:$B = 12),"""")"),"")</f>
        <v/>
      </c>
      <c r="J69" t="str">
        <f>IFERROR(__xludf.DUMMYFUNCTION("IFERROR(FILTER('Fund Investment Data'!$D:$D, 'Fund Investment Data'!$C:$C = $A69, 'Fund Investment Data'!$A:$A = J$1, 'Fund Investment Data'!$B:$B = 12),"""")"),"")</f>
        <v/>
      </c>
      <c r="K69" t="str">
        <f>IFERROR(__xludf.DUMMYFUNCTION("IFERROR(FILTER('Fund Investment Data'!$D:$D, 'Fund Investment Data'!$C:$C = $A69, 'Fund Investment Data'!$A:$A = K$1, 'Fund Investment Data'!$B:$B = 12),"""")"),"")</f>
        <v/>
      </c>
      <c r="L69" t="str">
        <f>IFERROR(__xludf.DUMMYFUNCTION("IFERROR(FILTER('Fund Investment Data'!$D:$D, 'Fund Investment Data'!$C:$C = $A69, 'Fund Investment Data'!$A:$A = L$1, 'Fund Investment Data'!$B:$B = 12),"""")"),"")</f>
        <v/>
      </c>
      <c r="M69" t="str">
        <f>IFERROR(__xludf.DUMMYFUNCTION("IFERROR(FILTER('Fund Investment Data'!$D:$D, 'Fund Investment Data'!$C:$C = $A69, 'Fund Investment Data'!$A:$A = M$1, 'Fund Investment Data'!$B:$B = 12),"""")"),"")</f>
        <v/>
      </c>
      <c r="N69" t="str">
        <f>IFERROR(__xludf.DUMMYFUNCTION("IFERROR(FILTER('Fund Investment Data'!$D:$D, 'Fund Investment Data'!$C:$C = $A69, 'Fund Investment Data'!$A:$A = N$1, 'Fund Investment Data'!$B:$B = 12),"""")"),"")</f>
        <v/>
      </c>
      <c r="O69" t="str">
        <f>IFERROR(__xludf.DUMMYFUNCTION("IFERROR(FILTER('Fund Investment Data'!$D:$D, 'Fund Investment Data'!$C:$C = $A69, 'Fund Investment Data'!$A:$A = O$1, 'Fund Investment Data'!$B:$B = 12),"""")"),"")</f>
        <v/>
      </c>
      <c r="P69" t="str">
        <f>IFERROR(__xludf.DUMMYFUNCTION("IFERROR(FILTER('Fund Investment Data'!$D:$D, 'Fund Investment Data'!$C:$C = $A69, 'Fund Investment Data'!$A:$A = P$1, 'Fund Investment Data'!$B:$B = 12),"""")"),"")</f>
        <v/>
      </c>
      <c r="Q69" t="str">
        <f>IFERROR(__xludf.DUMMYFUNCTION("IFERROR(FILTER('Fund Investment Data'!$D:$D, 'Fund Investment Data'!$C:$C = $A69, 'Fund Investment Data'!$A:$A = Q$1, 'Fund Investment Data'!$B:$B = 12),"""")"),"")</f>
        <v/>
      </c>
      <c r="R69" t="str">
        <f>IFERROR(__xludf.DUMMYFUNCTION("IFERROR(FILTER('Fund Investment Data'!$D:$D, 'Fund Investment Data'!$C:$C = $A69, 'Fund Investment Data'!$A:$A = R$1, 'Fund Investment Data'!$B:$B = 12),"""")"),"")</f>
        <v/>
      </c>
      <c r="S69" t="str">
        <f>IFERROR(__xludf.DUMMYFUNCTION("IFERROR(FILTER('Fund Investment Data'!$D:$D, 'Fund Investment Data'!$C:$C = $A69, 'Fund Investment Data'!$A:$A = S$1, 'Fund Investment Data'!$B:$B = 12),"""")"),"")</f>
        <v/>
      </c>
      <c r="T69" t="str">
        <f>IFERROR(__xludf.DUMMYFUNCTION("IFERROR(FILTER('Fund Investment Data'!$D:$D, 'Fund Investment Data'!$C:$C = $A69, 'Fund Investment Data'!$A:$A = T$1, 'Fund Investment Data'!$B:$B = 12),"""")"),"")</f>
        <v/>
      </c>
      <c r="U69" t="str">
        <f>IFERROR(__xludf.DUMMYFUNCTION("IFERROR(FILTER('Fund Investment Data'!$D:$D, 'Fund Investment Data'!$C:$C = $A69, 'Fund Investment Data'!$A:$A = U$1, 'Fund Investment Data'!$B:$B = 12),"""")"),"")</f>
        <v/>
      </c>
      <c r="V69" t="str">
        <f>IFERROR(__xludf.DUMMYFUNCTION("IFERROR(FILTER('Fund Investment Data'!$D:$D, 'Fund Investment Data'!$C:$C = $A69, 'Fund Investment Data'!$A:$A = V$1, 'Fund Investment Data'!$B:$B = 12),"""")"),"")</f>
        <v/>
      </c>
      <c r="W69" t="str">
        <f>IFERROR(__xludf.DUMMYFUNCTION("IFERROR(FILTER('Fund Investment Data'!$D:$D, 'Fund Investment Data'!$C:$C = $A69, 'Fund Investment Data'!$A:$A = W$1, 'Fund Investment Data'!$B:$B = 12),"""")"),"")</f>
        <v/>
      </c>
      <c r="X69" t="str">
        <f>IFERROR(__xludf.DUMMYFUNCTION("IFERROR(FILTER('Fund Investment Data'!$D:$D, 'Fund Investment Data'!$C:$C = $A69, 'Fund Investment Data'!$A:$A = X$1, 'Fund Investment Data'!$B:$B = 12),"""")"),"")</f>
        <v/>
      </c>
      <c r="Y69" t="str">
        <f>IFERROR(__xludf.DUMMYFUNCTION("IFERROR(FILTER('Fund Investment Data'!$D:$D, 'Fund Investment Data'!$C:$C = $A69, 'Fund Investment Data'!$A:$A = Y$1, 'Fund Investment Data'!$B:$B = 12),"""")"),"")</f>
        <v/>
      </c>
      <c r="Z69" t="str">
        <f>IFERROR(__xludf.DUMMYFUNCTION("IFERROR(FILTER('Fund Investment Data'!$D:$D, 'Fund Investment Data'!$C:$C = $A69, 'Fund Investment Data'!$A:$A = Z$1, 'Fund Investment Data'!$B:$B = 12),"""")"),"")</f>
        <v/>
      </c>
      <c r="AA69" t="str">
        <f>IFERROR(__xludf.DUMMYFUNCTION("IFERROR(FILTER('Fund Investment Data'!$D:$D, 'Fund Investment Data'!$C:$C = $A69, 'Fund Investment Data'!$A:$A = AA$1, 'Fund Investment Data'!$B:$B = 12),"""")"),"")</f>
        <v/>
      </c>
      <c r="AB69" t="str">
        <f>IFERROR(__xludf.DUMMYFUNCTION("IFERROR(FILTER('Fund Investment Data'!$D:$D, 'Fund Investment Data'!$C:$C = $A69, 'Fund Investment Data'!$A:$A = AB$1, 'Fund Investment Data'!$B:$B = 12),"""")"),"")</f>
        <v/>
      </c>
      <c r="AC69" t="str">
        <f>IFERROR(__xludf.DUMMYFUNCTION("IFERROR(FILTER('Fund Investment Data'!$D:$D, 'Fund Investment Data'!$C:$C = $A69, 'Fund Investment Data'!$A:$A = AC$1, 'Fund Investment Data'!$B:$B = 12),"""")"),"")</f>
        <v/>
      </c>
      <c r="AD69" t="str">
        <f>IFERROR(__xludf.DUMMYFUNCTION("IFERROR(FILTER('Fund Investment Data'!$D:$D, 'Fund Investment Data'!$C:$C = $A69, 'Fund Investment Data'!$A:$A = AD$1, 'Fund Investment Data'!$B:$B = 12),"""")"),"")</f>
        <v/>
      </c>
      <c r="AE69" t="str">
        <f>IFERROR(__xludf.DUMMYFUNCTION("IFERROR(FILTER('Fund Investment Data'!$D:$D, 'Fund Investment Data'!$C:$C = $A69, 'Fund Investment Data'!$A:$A = AE$1, 'Fund Investment Data'!$B:$B = 12),"""")"),"")</f>
        <v/>
      </c>
    </row>
    <row r="70">
      <c r="A70" s="150" t="str">
        <f>'Endowed Funds'!A:A</f>
        <v/>
      </c>
      <c r="B70" t="str">
        <f>IFERROR(__xludf.DUMMYFUNCTION("IFERROR(FILTER('Fund Investment Data'!$D:$D, 'Fund Investment Data'!$C:$C = $A70, 'Fund Investment Data'!$A:$A = B$1, 'Fund Investment Data'!$B:$B = 12),"""")"),"")</f>
        <v/>
      </c>
      <c r="C70" t="str">
        <f>IFERROR(__xludf.DUMMYFUNCTION("IFERROR(FILTER('Fund Investment Data'!$D:$D, 'Fund Investment Data'!$C:$C = $A70, 'Fund Investment Data'!$A:$A = C$1, 'Fund Investment Data'!$B:$B = 12),"""")"),"")</f>
        <v/>
      </c>
      <c r="D70" t="str">
        <f>IFERROR(__xludf.DUMMYFUNCTION("IFERROR(FILTER('Fund Investment Data'!$D:$D, 'Fund Investment Data'!$C:$C = $A70, 'Fund Investment Data'!$A:$A = D$1, 'Fund Investment Data'!$B:$B = 12),"""")"),"")</f>
        <v/>
      </c>
      <c r="E70" t="str">
        <f>IFERROR(__xludf.DUMMYFUNCTION("IFERROR(FILTER('Fund Investment Data'!$D:$D, 'Fund Investment Data'!$C:$C = $A70, 'Fund Investment Data'!$A:$A = E$1, 'Fund Investment Data'!$B:$B = 12),"""")"),"")</f>
        <v/>
      </c>
      <c r="F70" t="str">
        <f>IFERROR(__xludf.DUMMYFUNCTION("IFERROR(FILTER('Fund Investment Data'!$D:$D, 'Fund Investment Data'!$C:$C = $A70, 'Fund Investment Data'!$A:$A = F$1, 'Fund Investment Data'!$B:$B = 12),"""")"),"")</f>
        <v/>
      </c>
      <c r="G70" t="str">
        <f>IFERROR(__xludf.DUMMYFUNCTION("IFERROR(FILTER('Fund Investment Data'!$D:$D, 'Fund Investment Data'!$C:$C = $A70, 'Fund Investment Data'!$A:$A = G$1, 'Fund Investment Data'!$B:$B = 12),"""")"),"")</f>
        <v/>
      </c>
      <c r="H70" t="str">
        <f>IFERROR(__xludf.DUMMYFUNCTION("IFERROR(FILTER('Fund Investment Data'!$D:$D, 'Fund Investment Data'!$C:$C = $A70, 'Fund Investment Data'!$A:$A = H$1, 'Fund Investment Data'!$B:$B = 12),"""")"),"")</f>
        <v/>
      </c>
      <c r="I70" t="str">
        <f>IFERROR(__xludf.DUMMYFUNCTION("IFERROR(FILTER('Fund Investment Data'!$D:$D, 'Fund Investment Data'!$C:$C = $A70, 'Fund Investment Data'!$A:$A = I$1, 'Fund Investment Data'!$B:$B = 12),"""")"),"")</f>
        <v/>
      </c>
      <c r="J70" t="str">
        <f>IFERROR(__xludf.DUMMYFUNCTION("IFERROR(FILTER('Fund Investment Data'!$D:$D, 'Fund Investment Data'!$C:$C = $A70, 'Fund Investment Data'!$A:$A = J$1, 'Fund Investment Data'!$B:$B = 12),"""")"),"")</f>
        <v/>
      </c>
      <c r="K70" t="str">
        <f>IFERROR(__xludf.DUMMYFUNCTION("IFERROR(FILTER('Fund Investment Data'!$D:$D, 'Fund Investment Data'!$C:$C = $A70, 'Fund Investment Data'!$A:$A = K$1, 'Fund Investment Data'!$B:$B = 12),"""")"),"")</f>
        <v/>
      </c>
      <c r="L70" t="str">
        <f>IFERROR(__xludf.DUMMYFUNCTION("IFERROR(FILTER('Fund Investment Data'!$D:$D, 'Fund Investment Data'!$C:$C = $A70, 'Fund Investment Data'!$A:$A = L$1, 'Fund Investment Data'!$B:$B = 12),"""")"),"")</f>
        <v/>
      </c>
      <c r="M70" t="str">
        <f>IFERROR(__xludf.DUMMYFUNCTION("IFERROR(FILTER('Fund Investment Data'!$D:$D, 'Fund Investment Data'!$C:$C = $A70, 'Fund Investment Data'!$A:$A = M$1, 'Fund Investment Data'!$B:$B = 12),"""")"),"")</f>
        <v/>
      </c>
      <c r="N70" t="str">
        <f>IFERROR(__xludf.DUMMYFUNCTION("IFERROR(FILTER('Fund Investment Data'!$D:$D, 'Fund Investment Data'!$C:$C = $A70, 'Fund Investment Data'!$A:$A = N$1, 'Fund Investment Data'!$B:$B = 12),"""")"),"")</f>
        <v/>
      </c>
      <c r="O70" t="str">
        <f>IFERROR(__xludf.DUMMYFUNCTION("IFERROR(FILTER('Fund Investment Data'!$D:$D, 'Fund Investment Data'!$C:$C = $A70, 'Fund Investment Data'!$A:$A = O$1, 'Fund Investment Data'!$B:$B = 12),"""")"),"")</f>
        <v/>
      </c>
      <c r="P70" t="str">
        <f>IFERROR(__xludf.DUMMYFUNCTION("IFERROR(FILTER('Fund Investment Data'!$D:$D, 'Fund Investment Data'!$C:$C = $A70, 'Fund Investment Data'!$A:$A = P$1, 'Fund Investment Data'!$B:$B = 12),"""")"),"")</f>
        <v/>
      </c>
      <c r="Q70" t="str">
        <f>IFERROR(__xludf.DUMMYFUNCTION("IFERROR(FILTER('Fund Investment Data'!$D:$D, 'Fund Investment Data'!$C:$C = $A70, 'Fund Investment Data'!$A:$A = Q$1, 'Fund Investment Data'!$B:$B = 12),"""")"),"")</f>
        <v/>
      </c>
      <c r="R70" t="str">
        <f>IFERROR(__xludf.DUMMYFUNCTION("IFERROR(FILTER('Fund Investment Data'!$D:$D, 'Fund Investment Data'!$C:$C = $A70, 'Fund Investment Data'!$A:$A = R$1, 'Fund Investment Data'!$B:$B = 12),"""")"),"")</f>
        <v/>
      </c>
      <c r="S70" t="str">
        <f>IFERROR(__xludf.DUMMYFUNCTION("IFERROR(FILTER('Fund Investment Data'!$D:$D, 'Fund Investment Data'!$C:$C = $A70, 'Fund Investment Data'!$A:$A = S$1, 'Fund Investment Data'!$B:$B = 12),"""")"),"")</f>
        <v/>
      </c>
      <c r="T70" t="str">
        <f>IFERROR(__xludf.DUMMYFUNCTION("IFERROR(FILTER('Fund Investment Data'!$D:$D, 'Fund Investment Data'!$C:$C = $A70, 'Fund Investment Data'!$A:$A = T$1, 'Fund Investment Data'!$B:$B = 12),"""")"),"")</f>
        <v/>
      </c>
      <c r="U70" t="str">
        <f>IFERROR(__xludf.DUMMYFUNCTION("IFERROR(FILTER('Fund Investment Data'!$D:$D, 'Fund Investment Data'!$C:$C = $A70, 'Fund Investment Data'!$A:$A = U$1, 'Fund Investment Data'!$B:$B = 12),"""")"),"")</f>
        <v/>
      </c>
      <c r="V70" t="str">
        <f>IFERROR(__xludf.DUMMYFUNCTION("IFERROR(FILTER('Fund Investment Data'!$D:$D, 'Fund Investment Data'!$C:$C = $A70, 'Fund Investment Data'!$A:$A = V$1, 'Fund Investment Data'!$B:$B = 12),"""")"),"")</f>
        <v/>
      </c>
      <c r="W70" t="str">
        <f>IFERROR(__xludf.DUMMYFUNCTION("IFERROR(FILTER('Fund Investment Data'!$D:$D, 'Fund Investment Data'!$C:$C = $A70, 'Fund Investment Data'!$A:$A = W$1, 'Fund Investment Data'!$B:$B = 12),"""")"),"")</f>
        <v/>
      </c>
      <c r="X70" t="str">
        <f>IFERROR(__xludf.DUMMYFUNCTION("IFERROR(FILTER('Fund Investment Data'!$D:$D, 'Fund Investment Data'!$C:$C = $A70, 'Fund Investment Data'!$A:$A = X$1, 'Fund Investment Data'!$B:$B = 12),"""")"),"")</f>
        <v/>
      </c>
      <c r="Y70" t="str">
        <f>IFERROR(__xludf.DUMMYFUNCTION("IFERROR(FILTER('Fund Investment Data'!$D:$D, 'Fund Investment Data'!$C:$C = $A70, 'Fund Investment Data'!$A:$A = Y$1, 'Fund Investment Data'!$B:$B = 12),"""")"),"")</f>
        <v/>
      </c>
      <c r="Z70" t="str">
        <f>IFERROR(__xludf.DUMMYFUNCTION("IFERROR(FILTER('Fund Investment Data'!$D:$D, 'Fund Investment Data'!$C:$C = $A70, 'Fund Investment Data'!$A:$A = Z$1, 'Fund Investment Data'!$B:$B = 12),"""")"),"")</f>
        <v/>
      </c>
      <c r="AA70" t="str">
        <f>IFERROR(__xludf.DUMMYFUNCTION("IFERROR(FILTER('Fund Investment Data'!$D:$D, 'Fund Investment Data'!$C:$C = $A70, 'Fund Investment Data'!$A:$A = AA$1, 'Fund Investment Data'!$B:$B = 12),"""")"),"")</f>
        <v/>
      </c>
      <c r="AB70" t="str">
        <f>IFERROR(__xludf.DUMMYFUNCTION("IFERROR(FILTER('Fund Investment Data'!$D:$D, 'Fund Investment Data'!$C:$C = $A70, 'Fund Investment Data'!$A:$A = AB$1, 'Fund Investment Data'!$B:$B = 12),"""")"),"")</f>
        <v/>
      </c>
      <c r="AC70" t="str">
        <f>IFERROR(__xludf.DUMMYFUNCTION("IFERROR(FILTER('Fund Investment Data'!$D:$D, 'Fund Investment Data'!$C:$C = $A70, 'Fund Investment Data'!$A:$A = AC$1, 'Fund Investment Data'!$B:$B = 12),"""")"),"")</f>
        <v/>
      </c>
      <c r="AD70" t="str">
        <f>IFERROR(__xludf.DUMMYFUNCTION("IFERROR(FILTER('Fund Investment Data'!$D:$D, 'Fund Investment Data'!$C:$C = $A70, 'Fund Investment Data'!$A:$A = AD$1, 'Fund Investment Data'!$B:$B = 12),"""")"),"")</f>
        <v/>
      </c>
      <c r="AE70" t="str">
        <f>IFERROR(__xludf.DUMMYFUNCTION("IFERROR(FILTER('Fund Investment Data'!$D:$D, 'Fund Investment Data'!$C:$C = $A70, 'Fund Investment Data'!$A:$A = AE$1, 'Fund Investment Data'!$B:$B = 12),"""")"),"")</f>
        <v/>
      </c>
    </row>
    <row r="71">
      <c r="A71" s="150" t="str">
        <f>'Endowed Funds'!A:A</f>
        <v/>
      </c>
      <c r="B71" t="str">
        <f>IFERROR(__xludf.DUMMYFUNCTION("IFERROR(FILTER('Fund Investment Data'!$D:$D, 'Fund Investment Data'!$C:$C = $A71, 'Fund Investment Data'!$A:$A = B$1, 'Fund Investment Data'!$B:$B = 12),"""")"),"")</f>
        <v/>
      </c>
      <c r="C71" t="str">
        <f>IFERROR(__xludf.DUMMYFUNCTION("IFERROR(FILTER('Fund Investment Data'!$D:$D, 'Fund Investment Data'!$C:$C = $A71, 'Fund Investment Data'!$A:$A = C$1, 'Fund Investment Data'!$B:$B = 12),"""")"),"")</f>
        <v/>
      </c>
      <c r="D71" t="str">
        <f>IFERROR(__xludf.DUMMYFUNCTION("IFERROR(FILTER('Fund Investment Data'!$D:$D, 'Fund Investment Data'!$C:$C = $A71, 'Fund Investment Data'!$A:$A = D$1, 'Fund Investment Data'!$B:$B = 12),"""")"),"")</f>
        <v/>
      </c>
      <c r="E71" t="str">
        <f>IFERROR(__xludf.DUMMYFUNCTION("IFERROR(FILTER('Fund Investment Data'!$D:$D, 'Fund Investment Data'!$C:$C = $A71, 'Fund Investment Data'!$A:$A = E$1, 'Fund Investment Data'!$B:$B = 12),"""")"),"")</f>
        <v/>
      </c>
      <c r="F71" t="str">
        <f>IFERROR(__xludf.DUMMYFUNCTION("IFERROR(FILTER('Fund Investment Data'!$D:$D, 'Fund Investment Data'!$C:$C = $A71, 'Fund Investment Data'!$A:$A = F$1, 'Fund Investment Data'!$B:$B = 12),"""")"),"")</f>
        <v/>
      </c>
      <c r="G71" t="str">
        <f>IFERROR(__xludf.DUMMYFUNCTION("IFERROR(FILTER('Fund Investment Data'!$D:$D, 'Fund Investment Data'!$C:$C = $A71, 'Fund Investment Data'!$A:$A = G$1, 'Fund Investment Data'!$B:$B = 12),"""")"),"")</f>
        <v/>
      </c>
      <c r="H71" t="str">
        <f>IFERROR(__xludf.DUMMYFUNCTION("IFERROR(FILTER('Fund Investment Data'!$D:$D, 'Fund Investment Data'!$C:$C = $A71, 'Fund Investment Data'!$A:$A = H$1, 'Fund Investment Data'!$B:$B = 12),"""")"),"")</f>
        <v/>
      </c>
      <c r="I71" t="str">
        <f>IFERROR(__xludf.DUMMYFUNCTION("IFERROR(FILTER('Fund Investment Data'!$D:$D, 'Fund Investment Data'!$C:$C = $A71, 'Fund Investment Data'!$A:$A = I$1, 'Fund Investment Data'!$B:$B = 12),"""")"),"")</f>
        <v/>
      </c>
      <c r="J71" t="str">
        <f>IFERROR(__xludf.DUMMYFUNCTION("IFERROR(FILTER('Fund Investment Data'!$D:$D, 'Fund Investment Data'!$C:$C = $A71, 'Fund Investment Data'!$A:$A = J$1, 'Fund Investment Data'!$B:$B = 12),"""")"),"")</f>
        <v/>
      </c>
      <c r="K71" t="str">
        <f>IFERROR(__xludf.DUMMYFUNCTION("IFERROR(FILTER('Fund Investment Data'!$D:$D, 'Fund Investment Data'!$C:$C = $A71, 'Fund Investment Data'!$A:$A = K$1, 'Fund Investment Data'!$B:$B = 12),"""")"),"")</f>
        <v/>
      </c>
      <c r="L71" t="str">
        <f>IFERROR(__xludf.DUMMYFUNCTION("IFERROR(FILTER('Fund Investment Data'!$D:$D, 'Fund Investment Data'!$C:$C = $A71, 'Fund Investment Data'!$A:$A = L$1, 'Fund Investment Data'!$B:$B = 12),"""")"),"")</f>
        <v/>
      </c>
      <c r="M71" t="str">
        <f>IFERROR(__xludf.DUMMYFUNCTION("IFERROR(FILTER('Fund Investment Data'!$D:$D, 'Fund Investment Data'!$C:$C = $A71, 'Fund Investment Data'!$A:$A = M$1, 'Fund Investment Data'!$B:$B = 12),"""")"),"")</f>
        <v/>
      </c>
      <c r="N71" t="str">
        <f>IFERROR(__xludf.DUMMYFUNCTION("IFERROR(FILTER('Fund Investment Data'!$D:$D, 'Fund Investment Data'!$C:$C = $A71, 'Fund Investment Data'!$A:$A = N$1, 'Fund Investment Data'!$B:$B = 12),"""")"),"")</f>
        <v/>
      </c>
      <c r="O71" t="str">
        <f>IFERROR(__xludf.DUMMYFUNCTION("IFERROR(FILTER('Fund Investment Data'!$D:$D, 'Fund Investment Data'!$C:$C = $A71, 'Fund Investment Data'!$A:$A = O$1, 'Fund Investment Data'!$B:$B = 12),"""")"),"")</f>
        <v/>
      </c>
      <c r="P71" t="str">
        <f>IFERROR(__xludf.DUMMYFUNCTION("IFERROR(FILTER('Fund Investment Data'!$D:$D, 'Fund Investment Data'!$C:$C = $A71, 'Fund Investment Data'!$A:$A = P$1, 'Fund Investment Data'!$B:$B = 12),"""")"),"")</f>
        <v/>
      </c>
      <c r="Q71" t="str">
        <f>IFERROR(__xludf.DUMMYFUNCTION("IFERROR(FILTER('Fund Investment Data'!$D:$D, 'Fund Investment Data'!$C:$C = $A71, 'Fund Investment Data'!$A:$A = Q$1, 'Fund Investment Data'!$B:$B = 12),"""")"),"")</f>
        <v/>
      </c>
      <c r="R71" t="str">
        <f>IFERROR(__xludf.DUMMYFUNCTION("IFERROR(FILTER('Fund Investment Data'!$D:$D, 'Fund Investment Data'!$C:$C = $A71, 'Fund Investment Data'!$A:$A = R$1, 'Fund Investment Data'!$B:$B = 12),"""")"),"")</f>
        <v/>
      </c>
      <c r="S71" t="str">
        <f>IFERROR(__xludf.DUMMYFUNCTION("IFERROR(FILTER('Fund Investment Data'!$D:$D, 'Fund Investment Data'!$C:$C = $A71, 'Fund Investment Data'!$A:$A = S$1, 'Fund Investment Data'!$B:$B = 12),"""")"),"")</f>
        <v/>
      </c>
      <c r="T71" t="str">
        <f>IFERROR(__xludf.DUMMYFUNCTION("IFERROR(FILTER('Fund Investment Data'!$D:$D, 'Fund Investment Data'!$C:$C = $A71, 'Fund Investment Data'!$A:$A = T$1, 'Fund Investment Data'!$B:$B = 12),"""")"),"")</f>
        <v/>
      </c>
      <c r="U71" t="str">
        <f>IFERROR(__xludf.DUMMYFUNCTION("IFERROR(FILTER('Fund Investment Data'!$D:$D, 'Fund Investment Data'!$C:$C = $A71, 'Fund Investment Data'!$A:$A = U$1, 'Fund Investment Data'!$B:$B = 12),"""")"),"")</f>
        <v/>
      </c>
      <c r="V71" t="str">
        <f>IFERROR(__xludf.DUMMYFUNCTION("IFERROR(FILTER('Fund Investment Data'!$D:$D, 'Fund Investment Data'!$C:$C = $A71, 'Fund Investment Data'!$A:$A = V$1, 'Fund Investment Data'!$B:$B = 12),"""")"),"")</f>
        <v/>
      </c>
      <c r="W71" t="str">
        <f>IFERROR(__xludf.DUMMYFUNCTION("IFERROR(FILTER('Fund Investment Data'!$D:$D, 'Fund Investment Data'!$C:$C = $A71, 'Fund Investment Data'!$A:$A = W$1, 'Fund Investment Data'!$B:$B = 12),"""")"),"")</f>
        <v/>
      </c>
      <c r="X71" t="str">
        <f>IFERROR(__xludf.DUMMYFUNCTION("IFERROR(FILTER('Fund Investment Data'!$D:$D, 'Fund Investment Data'!$C:$C = $A71, 'Fund Investment Data'!$A:$A = X$1, 'Fund Investment Data'!$B:$B = 12),"""")"),"")</f>
        <v/>
      </c>
      <c r="Y71" t="str">
        <f>IFERROR(__xludf.DUMMYFUNCTION("IFERROR(FILTER('Fund Investment Data'!$D:$D, 'Fund Investment Data'!$C:$C = $A71, 'Fund Investment Data'!$A:$A = Y$1, 'Fund Investment Data'!$B:$B = 12),"""")"),"")</f>
        <v/>
      </c>
      <c r="Z71" t="str">
        <f>IFERROR(__xludf.DUMMYFUNCTION("IFERROR(FILTER('Fund Investment Data'!$D:$D, 'Fund Investment Data'!$C:$C = $A71, 'Fund Investment Data'!$A:$A = Z$1, 'Fund Investment Data'!$B:$B = 12),"""")"),"")</f>
        <v/>
      </c>
      <c r="AA71" t="str">
        <f>IFERROR(__xludf.DUMMYFUNCTION("IFERROR(FILTER('Fund Investment Data'!$D:$D, 'Fund Investment Data'!$C:$C = $A71, 'Fund Investment Data'!$A:$A = AA$1, 'Fund Investment Data'!$B:$B = 12),"""")"),"")</f>
        <v/>
      </c>
      <c r="AB71" t="str">
        <f>IFERROR(__xludf.DUMMYFUNCTION("IFERROR(FILTER('Fund Investment Data'!$D:$D, 'Fund Investment Data'!$C:$C = $A71, 'Fund Investment Data'!$A:$A = AB$1, 'Fund Investment Data'!$B:$B = 12),"""")"),"")</f>
        <v/>
      </c>
      <c r="AC71" t="str">
        <f>IFERROR(__xludf.DUMMYFUNCTION("IFERROR(FILTER('Fund Investment Data'!$D:$D, 'Fund Investment Data'!$C:$C = $A71, 'Fund Investment Data'!$A:$A = AC$1, 'Fund Investment Data'!$B:$B = 12),"""")"),"")</f>
        <v/>
      </c>
      <c r="AD71" t="str">
        <f>IFERROR(__xludf.DUMMYFUNCTION("IFERROR(FILTER('Fund Investment Data'!$D:$D, 'Fund Investment Data'!$C:$C = $A71, 'Fund Investment Data'!$A:$A = AD$1, 'Fund Investment Data'!$B:$B = 12),"""")"),"")</f>
        <v/>
      </c>
      <c r="AE71" t="str">
        <f>IFERROR(__xludf.DUMMYFUNCTION("IFERROR(FILTER('Fund Investment Data'!$D:$D, 'Fund Investment Data'!$C:$C = $A71, 'Fund Investment Data'!$A:$A = AE$1, 'Fund Investment Data'!$B:$B = 12),"""")"),"")</f>
        <v/>
      </c>
    </row>
    <row r="72">
      <c r="A72" s="150" t="str">
        <f>'Endowed Funds'!A:A</f>
        <v/>
      </c>
      <c r="B72" t="str">
        <f>IFERROR(__xludf.DUMMYFUNCTION("IFERROR(FILTER('Fund Investment Data'!$D:$D, 'Fund Investment Data'!$C:$C = $A72, 'Fund Investment Data'!$A:$A = B$1, 'Fund Investment Data'!$B:$B = 12),"""")"),"")</f>
        <v/>
      </c>
      <c r="C72" t="str">
        <f>IFERROR(__xludf.DUMMYFUNCTION("IFERROR(FILTER('Fund Investment Data'!$D:$D, 'Fund Investment Data'!$C:$C = $A72, 'Fund Investment Data'!$A:$A = C$1, 'Fund Investment Data'!$B:$B = 12),"""")"),"")</f>
        <v/>
      </c>
      <c r="D72" t="str">
        <f>IFERROR(__xludf.DUMMYFUNCTION("IFERROR(FILTER('Fund Investment Data'!$D:$D, 'Fund Investment Data'!$C:$C = $A72, 'Fund Investment Data'!$A:$A = D$1, 'Fund Investment Data'!$B:$B = 12),"""")"),"")</f>
        <v/>
      </c>
      <c r="E72" t="str">
        <f>IFERROR(__xludf.DUMMYFUNCTION("IFERROR(FILTER('Fund Investment Data'!$D:$D, 'Fund Investment Data'!$C:$C = $A72, 'Fund Investment Data'!$A:$A = E$1, 'Fund Investment Data'!$B:$B = 12),"""")"),"")</f>
        <v/>
      </c>
      <c r="F72" t="str">
        <f>IFERROR(__xludf.DUMMYFUNCTION("IFERROR(FILTER('Fund Investment Data'!$D:$D, 'Fund Investment Data'!$C:$C = $A72, 'Fund Investment Data'!$A:$A = F$1, 'Fund Investment Data'!$B:$B = 12),"""")"),"")</f>
        <v/>
      </c>
      <c r="G72" t="str">
        <f>IFERROR(__xludf.DUMMYFUNCTION("IFERROR(FILTER('Fund Investment Data'!$D:$D, 'Fund Investment Data'!$C:$C = $A72, 'Fund Investment Data'!$A:$A = G$1, 'Fund Investment Data'!$B:$B = 12),"""")"),"")</f>
        <v/>
      </c>
      <c r="H72" t="str">
        <f>IFERROR(__xludf.DUMMYFUNCTION("IFERROR(FILTER('Fund Investment Data'!$D:$D, 'Fund Investment Data'!$C:$C = $A72, 'Fund Investment Data'!$A:$A = H$1, 'Fund Investment Data'!$B:$B = 12),"""")"),"")</f>
        <v/>
      </c>
      <c r="I72" t="str">
        <f>IFERROR(__xludf.DUMMYFUNCTION("IFERROR(FILTER('Fund Investment Data'!$D:$D, 'Fund Investment Data'!$C:$C = $A72, 'Fund Investment Data'!$A:$A = I$1, 'Fund Investment Data'!$B:$B = 12),"""")"),"")</f>
        <v/>
      </c>
      <c r="J72" t="str">
        <f>IFERROR(__xludf.DUMMYFUNCTION("IFERROR(FILTER('Fund Investment Data'!$D:$D, 'Fund Investment Data'!$C:$C = $A72, 'Fund Investment Data'!$A:$A = J$1, 'Fund Investment Data'!$B:$B = 12),"""")"),"")</f>
        <v/>
      </c>
      <c r="K72" t="str">
        <f>IFERROR(__xludf.DUMMYFUNCTION("IFERROR(FILTER('Fund Investment Data'!$D:$D, 'Fund Investment Data'!$C:$C = $A72, 'Fund Investment Data'!$A:$A = K$1, 'Fund Investment Data'!$B:$B = 12),"""")"),"")</f>
        <v/>
      </c>
      <c r="L72" t="str">
        <f>IFERROR(__xludf.DUMMYFUNCTION("IFERROR(FILTER('Fund Investment Data'!$D:$D, 'Fund Investment Data'!$C:$C = $A72, 'Fund Investment Data'!$A:$A = L$1, 'Fund Investment Data'!$B:$B = 12),"""")"),"")</f>
        <v/>
      </c>
      <c r="M72" t="str">
        <f>IFERROR(__xludf.DUMMYFUNCTION("IFERROR(FILTER('Fund Investment Data'!$D:$D, 'Fund Investment Data'!$C:$C = $A72, 'Fund Investment Data'!$A:$A = M$1, 'Fund Investment Data'!$B:$B = 12),"""")"),"")</f>
        <v/>
      </c>
      <c r="N72" t="str">
        <f>IFERROR(__xludf.DUMMYFUNCTION("IFERROR(FILTER('Fund Investment Data'!$D:$D, 'Fund Investment Data'!$C:$C = $A72, 'Fund Investment Data'!$A:$A = N$1, 'Fund Investment Data'!$B:$B = 12),"""")"),"")</f>
        <v/>
      </c>
      <c r="O72" t="str">
        <f>IFERROR(__xludf.DUMMYFUNCTION("IFERROR(FILTER('Fund Investment Data'!$D:$D, 'Fund Investment Data'!$C:$C = $A72, 'Fund Investment Data'!$A:$A = O$1, 'Fund Investment Data'!$B:$B = 12),"""")"),"")</f>
        <v/>
      </c>
      <c r="P72" t="str">
        <f>IFERROR(__xludf.DUMMYFUNCTION("IFERROR(FILTER('Fund Investment Data'!$D:$D, 'Fund Investment Data'!$C:$C = $A72, 'Fund Investment Data'!$A:$A = P$1, 'Fund Investment Data'!$B:$B = 12),"""")"),"")</f>
        <v/>
      </c>
      <c r="Q72" t="str">
        <f>IFERROR(__xludf.DUMMYFUNCTION("IFERROR(FILTER('Fund Investment Data'!$D:$D, 'Fund Investment Data'!$C:$C = $A72, 'Fund Investment Data'!$A:$A = Q$1, 'Fund Investment Data'!$B:$B = 12),"""")"),"")</f>
        <v/>
      </c>
      <c r="R72" t="str">
        <f>IFERROR(__xludf.DUMMYFUNCTION("IFERROR(FILTER('Fund Investment Data'!$D:$D, 'Fund Investment Data'!$C:$C = $A72, 'Fund Investment Data'!$A:$A = R$1, 'Fund Investment Data'!$B:$B = 12),"""")"),"")</f>
        <v/>
      </c>
      <c r="S72" t="str">
        <f>IFERROR(__xludf.DUMMYFUNCTION("IFERROR(FILTER('Fund Investment Data'!$D:$D, 'Fund Investment Data'!$C:$C = $A72, 'Fund Investment Data'!$A:$A = S$1, 'Fund Investment Data'!$B:$B = 12),"""")"),"")</f>
        <v/>
      </c>
      <c r="T72" t="str">
        <f>IFERROR(__xludf.DUMMYFUNCTION("IFERROR(FILTER('Fund Investment Data'!$D:$D, 'Fund Investment Data'!$C:$C = $A72, 'Fund Investment Data'!$A:$A = T$1, 'Fund Investment Data'!$B:$B = 12),"""")"),"")</f>
        <v/>
      </c>
      <c r="U72" t="str">
        <f>IFERROR(__xludf.DUMMYFUNCTION("IFERROR(FILTER('Fund Investment Data'!$D:$D, 'Fund Investment Data'!$C:$C = $A72, 'Fund Investment Data'!$A:$A = U$1, 'Fund Investment Data'!$B:$B = 12),"""")"),"")</f>
        <v/>
      </c>
      <c r="V72" t="str">
        <f>IFERROR(__xludf.DUMMYFUNCTION("IFERROR(FILTER('Fund Investment Data'!$D:$D, 'Fund Investment Data'!$C:$C = $A72, 'Fund Investment Data'!$A:$A = V$1, 'Fund Investment Data'!$B:$B = 12),"""")"),"")</f>
        <v/>
      </c>
      <c r="W72" t="str">
        <f>IFERROR(__xludf.DUMMYFUNCTION("IFERROR(FILTER('Fund Investment Data'!$D:$D, 'Fund Investment Data'!$C:$C = $A72, 'Fund Investment Data'!$A:$A = W$1, 'Fund Investment Data'!$B:$B = 12),"""")"),"")</f>
        <v/>
      </c>
      <c r="X72" t="str">
        <f>IFERROR(__xludf.DUMMYFUNCTION("IFERROR(FILTER('Fund Investment Data'!$D:$D, 'Fund Investment Data'!$C:$C = $A72, 'Fund Investment Data'!$A:$A = X$1, 'Fund Investment Data'!$B:$B = 12),"""")"),"")</f>
        <v/>
      </c>
      <c r="Y72" t="str">
        <f>IFERROR(__xludf.DUMMYFUNCTION("IFERROR(FILTER('Fund Investment Data'!$D:$D, 'Fund Investment Data'!$C:$C = $A72, 'Fund Investment Data'!$A:$A = Y$1, 'Fund Investment Data'!$B:$B = 12),"""")"),"")</f>
        <v/>
      </c>
      <c r="Z72" t="str">
        <f>IFERROR(__xludf.DUMMYFUNCTION("IFERROR(FILTER('Fund Investment Data'!$D:$D, 'Fund Investment Data'!$C:$C = $A72, 'Fund Investment Data'!$A:$A = Z$1, 'Fund Investment Data'!$B:$B = 12),"""")"),"")</f>
        <v/>
      </c>
      <c r="AA72" t="str">
        <f>IFERROR(__xludf.DUMMYFUNCTION("IFERROR(FILTER('Fund Investment Data'!$D:$D, 'Fund Investment Data'!$C:$C = $A72, 'Fund Investment Data'!$A:$A = AA$1, 'Fund Investment Data'!$B:$B = 12),"""")"),"")</f>
        <v/>
      </c>
      <c r="AB72" t="str">
        <f>IFERROR(__xludf.DUMMYFUNCTION("IFERROR(FILTER('Fund Investment Data'!$D:$D, 'Fund Investment Data'!$C:$C = $A72, 'Fund Investment Data'!$A:$A = AB$1, 'Fund Investment Data'!$B:$B = 12),"""")"),"")</f>
        <v/>
      </c>
      <c r="AC72" t="str">
        <f>IFERROR(__xludf.DUMMYFUNCTION("IFERROR(FILTER('Fund Investment Data'!$D:$D, 'Fund Investment Data'!$C:$C = $A72, 'Fund Investment Data'!$A:$A = AC$1, 'Fund Investment Data'!$B:$B = 12),"""")"),"")</f>
        <v/>
      </c>
      <c r="AD72" t="str">
        <f>IFERROR(__xludf.DUMMYFUNCTION("IFERROR(FILTER('Fund Investment Data'!$D:$D, 'Fund Investment Data'!$C:$C = $A72, 'Fund Investment Data'!$A:$A = AD$1, 'Fund Investment Data'!$B:$B = 12),"""")"),"")</f>
        <v/>
      </c>
      <c r="AE72" t="str">
        <f>IFERROR(__xludf.DUMMYFUNCTION("IFERROR(FILTER('Fund Investment Data'!$D:$D, 'Fund Investment Data'!$C:$C = $A72, 'Fund Investment Data'!$A:$A = AE$1, 'Fund Investment Data'!$B:$B = 12),"""")"),"")</f>
        <v/>
      </c>
    </row>
    <row r="73">
      <c r="A73" s="150" t="str">
        <f>'Endowed Funds'!A:A</f>
        <v/>
      </c>
      <c r="B73" t="str">
        <f>IFERROR(__xludf.DUMMYFUNCTION("IFERROR(FILTER('Fund Investment Data'!$D:$D, 'Fund Investment Data'!$C:$C = $A73, 'Fund Investment Data'!$A:$A = B$1, 'Fund Investment Data'!$B:$B = 12),"""")"),"")</f>
        <v/>
      </c>
      <c r="C73" t="str">
        <f>IFERROR(__xludf.DUMMYFUNCTION("IFERROR(FILTER('Fund Investment Data'!$D:$D, 'Fund Investment Data'!$C:$C = $A73, 'Fund Investment Data'!$A:$A = C$1, 'Fund Investment Data'!$B:$B = 12),"""")"),"")</f>
        <v/>
      </c>
      <c r="D73" t="str">
        <f>IFERROR(__xludf.DUMMYFUNCTION("IFERROR(FILTER('Fund Investment Data'!$D:$D, 'Fund Investment Data'!$C:$C = $A73, 'Fund Investment Data'!$A:$A = D$1, 'Fund Investment Data'!$B:$B = 12),"""")"),"")</f>
        <v/>
      </c>
      <c r="E73" t="str">
        <f>IFERROR(__xludf.DUMMYFUNCTION("IFERROR(FILTER('Fund Investment Data'!$D:$D, 'Fund Investment Data'!$C:$C = $A73, 'Fund Investment Data'!$A:$A = E$1, 'Fund Investment Data'!$B:$B = 12),"""")"),"")</f>
        <v/>
      </c>
      <c r="F73" t="str">
        <f>IFERROR(__xludf.DUMMYFUNCTION("IFERROR(FILTER('Fund Investment Data'!$D:$D, 'Fund Investment Data'!$C:$C = $A73, 'Fund Investment Data'!$A:$A = F$1, 'Fund Investment Data'!$B:$B = 12),"""")"),"")</f>
        <v/>
      </c>
      <c r="G73" t="str">
        <f>IFERROR(__xludf.DUMMYFUNCTION("IFERROR(FILTER('Fund Investment Data'!$D:$D, 'Fund Investment Data'!$C:$C = $A73, 'Fund Investment Data'!$A:$A = G$1, 'Fund Investment Data'!$B:$B = 12),"""")"),"")</f>
        <v/>
      </c>
      <c r="H73" t="str">
        <f>IFERROR(__xludf.DUMMYFUNCTION("IFERROR(FILTER('Fund Investment Data'!$D:$D, 'Fund Investment Data'!$C:$C = $A73, 'Fund Investment Data'!$A:$A = H$1, 'Fund Investment Data'!$B:$B = 12),"""")"),"")</f>
        <v/>
      </c>
      <c r="I73" t="str">
        <f>IFERROR(__xludf.DUMMYFUNCTION("IFERROR(FILTER('Fund Investment Data'!$D:$D, 'Fund Investment Data'!$C:$C = $A73, 'Fund Investment Data'!$A:$A = I$1, 'Fund Investment Data'!$B:$B = 12),"""")"),"")</f>
        <v/>
      </c>
      <c r="J73" t="str">
        <f>IFERROR(__xludf.DUMMYFUNCTION("IFERROR(FILTER('Fund Investment Data'!$D:$D, 'Fund Investment Data'!$C:$C = $A73, 'Fund Investment Data'!$A:$A = J$1, 'Fund Investment Data'!$B:$B = 12),"""")"),"")</f>
        <v/>
      </c>
      <c r="K73" t="str">
        <f>IFERROR(__xludf.DUMMYFUNCTION("IFERROR(FILTER('Fund Investment Data'!$D:$D, 'Fund Investment Data'!$C:$C = $A73, 'Fund Investment Data'!$A:$A = K$1, 'Fund Investment Data'!$B:$B = 12),"""")"),"")</f>
        <v/>
      </c>
      <c r="L73" t="str">
        <f>IFERROR(__xludf.DUMMYFUNCTION("IFERROR(FILTER('Fund Investment Data'!$D:$D, 'Fund Investment Data'!$C:$C = $A73, 'Fund Investment Data'!$A:$A = L$1, 'Fund Investment Data'!$B:$B = 12),"""")"),"")</f>
        <v/>
      </c>
      <c r="M73" t="str">
        <f>IFERROR(__xludf.DUMMYFUNCTION("IFERROR(FILTER('Fund Investment Data'!$D:$D, 'Fund Investment Data'!$C:$C = $A73, 'Fund Investment Data'!$A:$A = M$1, 'Fund Investment Data'!$B:$B = 12),"""")"),"")</f>
        <v/>
      </c>
      <c r="N73" t="str">
        <f>IFERROR(__xludf.DUMMYFUNCTION("IFERROR(FILTER('Fund Investment Data'!$D:$D, 'Fund Investment Data'!$C:$C = $A73, 'Fund Investment Data'!$A:$A = N$1, 'Fund Investment Data'!$B:$B = 12),"""")"),"")</f>
        <v/>
      </c>
      <c r="O73" t="str">
        <f>IFERROR(__xludf.DUMMYFUNCTION("IFERROR(FILTER('Fund Investment Data'!$D:$D, 'Fund Investment Data'!$C:$C = $A73, 'Fund Investment Data'!$A:$A = O$1, 'Fund Investment Data'!$B:$B = 12),"""")"),"")</f>
        <v/>
      </c>
      <c r="P73" t="str">
        <f>IFERROR(__xludf.DUMMYFUNCTION("IFERROR(FILTER('Fund Investment Data'!$D:$D, 'Fund Investment Data'!$C:$C = $A73, 'Fund Investment Data'!$A:$A = P$1, 'Fund Investment Data'!$B:$B = 12),"""")"),"")</f>
        <v/>
      </c>
      <c r="Q73" t="str">
        <f>IFERROR(__xludf.DUMMYFUNCTION("IFERROR(FILTER('Fund Investment Data'!$D:$D, 'Fund Investment Data'!$C:$C = $A73, 'Fund Investment Data'!$A:$A = Q$1, 'Fund Investment Data'!$B:$B = 12),"""")"),"")</f>
        <v/>
      </c>
      <c r="R73" t="str">
        <f>IFERROR(__xludf.DUMMYFUNCTION("IFERROR(FILTER('Fund Investment Data'!$D:$D, 'Fund Investment Data'!$C:$C = $A73, 'Fund Investment Data'!$A:$A = R$1, 'Fund Investment Data'!$B:$B = 12),"""")"),"")</f>
        <v/>
      </c>
      <c r="S73" t="str">
        <f>IFERROR(__xludf.DUMMYFUNCTION("IFERROR(FILTER('Fund Investment Data'!$D:$D, 'Fund Investment Data'!$C:$C = $A73, 'Fund Investment Data'!$A:$A = S$1, 'Fund Investment Data'!$B:$B = 12),"""")"),"")</f>
        <v/>
      </c>
      <c r="T73" t="str">
        <f>IFERROR(__xludf.DUMMYFUNCTION("IFERROR(FILTER('Fund Investment Data'!$D:$D, 'Fund Investment Data'!$C:$C = $A73, 'Fund Investment Data'!$A:$A = T$1, 'Fund Investment Data'!$B:$B = 12),"""")"),"")</f>
        <v/>
      </c>
      <c r="U73" t="str">
        <f>IFERROR(__xludf.DUMMYFUNCTION("IFERROR(FILTER('Fund Investment Data'!$D:$D, 'Fund Investment Data'!$C:$C = $A73, 'Fund Investment Data'!$A:$A = U$1, 'Fund Investment Data'!$B:$B = 12),"""")"),"")</f>
        <v/>
      </c>
      <c r="V73" t="str">
        <f>IFERROR(__xludf.DUMMYFUNCTION("IFERROR(FILTER('Fund Investment Data'!$D:$D, 'Fund Investment Data'!$C:$C = $A73, 'Fund Investment Data'!$A:$A = V$1, 'Fund Investment Data'!$B:$B = 12),"""")"),"")</f>
        <v/>
      </c>
      <c r="W73" t="str">
        <f>IFERROR(__xludf.DUMMYFUNCTION("IFERROR(FILTER('Fund Investment Data'!$D:$D, 'Fund Investment Data'!$C:$C = $A73, 'Fund Investment Data'!$A:$A = W$1, 'Fund Investment Data'!$B:$B = 12),"""")"),"")</f>
        <v/>
      </c>
      <c r="X73" t="str">
        <f>IFERROR(__xludf.DUMMYFUNCTION("IFERROR(FILTER('Fund Investment Data'!$D:$D, 'Fund Investment Data'!$C:$C = $A73, 'Fund Investment Data'!$A:$A = X$1, 'Fund Investment Data'!$B:$B = 12),"""")"),"")</f>
        <v/>
      </c>
      <c r="Y73" t="str">
        <f>IFERROR(__xludf.DUMMYFUNCTION("IFERROR(FILTER('Fund Investment Data'!$D:$D, 'Fund Investment Data'!$C:$C = $A73, 'Fund Investment Data'!$A:$A = Y$1, 'Fund Investment Data'!$B:$B = 12),"""")"),"")</f>
        <v/>
      </c>
      <c r="Z73" t="str">
        <f>IFERROR(__xludf.DUMMYFUNCTION("IFERROR(FILTER('Fund Investment Data'!$D:$D, 'Fund Investment Data'!$C:$C = $A73, 'Fund Investment Data'!$A:$A = Z$1, 'Fund Investment Data'!$B:$B = 12),"""")"),"")</f>
        <v/>
      </c>
      <c r="AA73" t="str">
        <f>IFERROR(__xludf.DUMMYFUNCTION("IFERROR(FILTER('Fund Investment Data'!$D:$D, 'Fund Investment Data'!$C:$C = $A73, 'Fund Investment Data'!$A:$A = AA$1, 'Fund Investment Data'!$B:$B = 12),"""")"),"")</f>
        <v/>
      </c>
      <c r="AB73" t="str">
        <f>IFERROR(__xludf.DUMMYFUNCTION("IFERROR(FILTER('Fund Investment Data'!$D:$D, 'Fund Investment Data'!$C:$C = $A73, 'Fund Investment Data'!$A:$A = AB$1, 'Fund Investment Data'!$B:$B = 12),"""")"),"")</f>
        <v/>
      </c>
      <c r="AC73" t="str">
        <f>IFERROR(__xludf.DUMMYFUNCTION("IFERROR(FILTER('Fund Investment Data'!$D:$D, 'Fund Investment Data'!$C:$C = $A73, 'Fund Investment Data'!$A:$A = AC$1, 'Fund Investment Data'!$B:$B = 12),"""")"),"")</f>
        <v/>
      </c>
      <c r="AD73" t="str">
        <f>IFERROR(__xludf.DUMMYFUNCTION("IFERROR(FILTER('Fund Investment Data'!$D:$D, 'Fund Investment Data'!$C:$C = $A73, 'Fund Investment Data'!$A:$A = AD$1, 'Fund Investment Data'!$B:$B = 12),"""")"),"")</f>
        <v/>
      </c>
      <c r="AE73" t="str">
        <f>IFERROR(__xludf.DUMMYFUNCTION("IFERROR(FILTER('Fund Investment Data'!$D:$D, 'Fund Investment Data'!$C:$C = $A73, 'Fund Investment Data'!$A:$A = AE$1, 'Fund Investment Data'!$B:$B = 12),"""")"),"")</f>
        <v/>
      </c>
    </row>
    <row r="74">
      <c r="A74" s="150" t="str">
        <f>'Endowed Funds'!A:A</f>
        <v/>
      </c>
      <c r="B74" t="str">
        <f>IFERROR(__xludf.DUMMYFUNCTION("IFERROR(FILTER('Fund Investment Data'!$D:$D, 'Fund Investment Data'!$C:$C = $A74, 'Fund Investment Data'!$A:$A = B$1, 'Fund Investment Data'!$B:$B = 12),"""")"),"")</f>
        <v/>
      </c>
      <c r="C74" t="str">
        <f>IFERROR(__xludf.DUMMYFUNCTION("IFERROR(FILTER('Fund Investment Data'!$D:$D, 'Fund Investment Data'!$C:$C = $A74, 'Fund Investment Data'!$A:$A = C$1, 'Fund Investment Data'!$B:$B = 12),"""")"),"")</f>
        <v/>
      </c>
      <c r="D74" t="str">
        <f>IFERROR(__xludf.DUMMYFUNCTION("IFERROR(FILTER('Fund Investment Data'!$D:$D, 'Fund Investment Data'!$C:$C = $A74, 'Fund Investment Data'!$A:$A = D$1, 'Fund Investment Data'!$B:$B = 12),"""")"),"")</f>
        <v/>
      </c>
      <c r="E74" t="str">
        <f>IFERROR(__xludf.DUMMYFUNCTION("IFERROR(FILTER('Fund Investment Data'!$D:$D, 'Fund Investment Data'!$C:$C = $A74, 'Fund Investment Data'!$A:$A = E$1, 'Fund Investment Data'!$B:$B = 12),"""")"),"")</f>
        <v/>
      </c>
      <c r="F74" t="str">
        <f>IFERROR(__xludf.DUMMYFUNCTION("IFERROR(FILTER('Fund Investment Data'!$D:$D, 'Fund Investment Data'!$C:$C = $A74, 'Fund Investment Data'!$A:$A = F$1, 'Fund Investment Data'!$B:$B = 12),"""")"),"")</f>
        <v/>
      </c>
      <c r="G74" t="str">
        <f>IFERROR(__xludf.DUMMYFUNCTION("IFERROR(FILTER('Fund Investment Data'!$D:$D, 'Fund Investment Data'!$C:$C = $A74, 'Fund Investment Data'!$A:$A = G$1, 'Fund Investment Data'!$B:$B = 12),"""")"),"")</f>
        <v/>
      </c>
      <c r="H74" t="str">
        <f>IFERROR(__xludf.DUMMYFUNCTION("IFERROR(FILTER('Fund Investment Data'!$D:$D, 'Fund Investment Data'!$C:$C = $A74, 'Fund Investment Data'!$A:$A = H$1, 'Fund Investment Data'!$B:$B = 12),"""")"),"")</f>
        <v/>
      </c>
      <c r="I74" t="str">
        <f>IFERROR(__xludf.DUMMYFUNCTION("IFERROR(FILTER('Fund Investment Data'!$D:$D, 'Fund Investment Data'!$C:$C = $A74, 'Fund Investment Data'!$A:$A = I$1, 'Fund Investment Data'!$B:$B = 12),"""")"),"")</f>
        <v/>
      </c>
      <c r="J74" t="str">
        <f>IFERROR(__xludf.DUMMYFUNCTION("IFERROR(FILTER('Fund Investment Data'!$D:$D, 'Fund Investment Data'!$C:$C = $A74, 'Fund Investment Data'!$A:$A = J$1, 'Fund Investment Data'!$B:$B = 12),"""")"),"")</f>
        <v/>
      </c>
      <c r="K74" t="str">
        <f>IFERROR(__xludf.DUMMYFUNCTION("IFERROR(FILTER('Fund Investment Data'!$D:$D, 'Fund Investment Data'!$C:$C = $A74, 'Fund Investment Data'!$A:$A = K$1, 'Fund Investment Data'!$B:$B = 12),"""")"),"")</f>
        <v/>
      </c>
      <c r="L74" t="str">
        <f>IFERROR(__xludf.DUMMYFUNCTION("IFERROR(FILTER('Fund Investment Data'!$D:$D, 'Fund Investment Data'!$C:$C = $A74, 'Fund Investment Data'!$A:$A = L$1, 'Fund Investment Data'!$B:$B = 12),"""")"),"")</f>
        <v/>
      </c>
      <c r="M74" t="str">
        <f>IFERROR(__xludf.DUMMYFUNCTION("IFERROR(FILTER('Fund Investment Data'!$D:$D, 'Fund Investment Data'!$C:$C = $A74, 'Fund Investment Data'!$A:$A = M$1, 'Fund Investment Data'!$B:$B = 12),"""")"),"")</f>
        <v/>
      </c>
      <c r="N74" t="str">
        <f>IFERROR(__xludf.DUMMYFUNCTION("IFERROR(FILTER('Fund Investment Data'!$D:$D, 'Fund Investment Data'!$C:$C = $A74, 'Fund Investment Data'!$A:$A = N$1, 'Fund Investment Data'!$B:$B = 12),"""")"),"")</f>
        <v/>
      </c>
      <c r="O74" t="str">
        <f>IFERROR(__xludf.DUMMYFUNCTION("IFERROR(FILTER('Fund Investment Data'!$D:$D, 'Fund Investment Data'!$C:$C = $A74, 'Fund Investment Data'!$A:$A = O$1, 'Fund Investment Data'!$B:$B = 12),"""")"),"")</f>
        <v/>
      </c>
      <c r="P74" t="str">
        <f>IFERROR(__xludf.DUMMYFUNCTION("IFERROR(FILTER('Fund Investment Data'!$D:$D, 'Fund Investment Data'!$C:$C = $A74, 'Fund Investment Data'!$A:$A = P$1, 'Fund Investment Data'!$B:$B = 12),"""")"),"")</f>
        <v/>
      </c>
      <c r="Q74" t="str">
        <f>IFERROR(__xludf.DUMMYFUNCTION("IFERROR(FILTER('Fund Investment Data'!$D:$D, 'Fund Investment Data'!$C:$C = $A74, 'Fund Investment Data'!$A:$A = Q$1, 'Fund Investment Data'!$B:$B = 12),"""")"),"")</f>
        <v/>
      </c>
      <c r="R74" t="str">
        <f>IFERROR(__xludf.DUMMYFUNCTION("IFERROR(FILTER('Fund Investment Data'!$D:$D, 'Fund Investment Data'!$C:$C = $A74, 'Fund Investment Data'!$A:$A = R$1, 'Fund Investment Data'!$B:$B = 12),"""")"),"")</f>
        <v/>
      </c>
      <c r="S74" t="str">
        <f>IFERROR(__xludf.DUMMYFUNCTION("IFERROR(FILTER('Fund Investment Data'!$D:$D, 'Fund Investment Data'!$C:$C = $A74, 'Fund Investment Data'!$A:$A = S$1, 'Fund Investment Data'!$B:$B = 12),"""")"),"")</f>
        <v/>
      </c>
      <c r="T74" t="str">
        <f>IFERROR(__xludf.DUMMYFUNCTION("IFERROR(FILTER('Fund Investment Data'!$D:$D, 'Fund Investment Data'!$C:$C = $A74, 'Fund Investment Data'!$A:$A = T$1, 'Fund Investment Data'!$B:$B = 12),"""")"),"")</f>
        <v/>
      </c>
      <c r="U74" t="str">
        <f>IFERROR(__xludf.DUMMYFUNCTION("IFERROR(FILTER('Fund Investment Data'!$D:$D, 'Fund Investment Data'!$C:$C = $A74, 'Fund Investment Data'!$A:$A = U$1, 'Fund Investment Data'!$B:$B = 12),"""")"),"")</f>
        <v/>
      </c>
      <c r="V74" t="str">
        <f>IFERROR(__xludf.DUMMYFUNCTION("IFERROR(FILTER('Fund Investment Data'!$D:$D, 'Fund Investment Data'!$C:$C = $A74, 'Fund Investment Data'!$A:$A = V$1, 'Fund Investment Data'!$B:$B = 12),"""")"),"")</f>
        <v/>
      </c>
      <c r="W74" t="str">
        <f>IFERROR(__xludf.DUMMYFUNCTION("IFERROR(FILTER('Fund Investment Data'!$D:$D, 'Fund Investment Data'!$C:$C = $A74, 'Fund Investment Data'!$A:$A = W$1, 'Fund Investment Data'!$B:$B = 12),"""")"),"")</f>
        <v/>
      </c>
      <c r="X74" t="str">
        <f>IFERROR(__xludf.DUMMYFUNCTION("IFERROR(FILTER('Fund Investment Data'!$D:$D, 'Fund Investment Data'!$C:$C = $A74, 'Fund Investment Data'!$A:$A = X$1, 'Fund Investment Data'!$B:$B = 12),"""")"),"")</f>
        <v/>
      </c>
      <c r="Y74" t="str">
        <f>IFERROR(__xludf.DUMMYFUNCTION("IFERROR(FILTER('Fund Investment Data'!$D:$D, 'Fund Investment Data'!$C:$C = $A74, 'Fund Investment Data'!$A:$A = Y$1, 'Fund Investment Data'!$B:$B = 12),"""")"),"")</f>
        <v/>
      </c>
      <c r="Z74" t="str">
        <f>IFERROR(__xludf.DUMMYFUNCTION("IFERROR(FILTER('Fund Investment Data'!$D:$D, 'Fund Investment Data'!$C:$C = $A74, 'Fund Investment Data'!$A:$A = Z$1, 'Fund Investment Data'!$B:$B = 12),"""")"),"")</f>
        <v/>
      </c>
      <c r="AA74" t="str">
        <f>IFERROR(__xludf.DUMMYFUNCTION("IFERROR(FILTER('Fund Investment Data'!$D:$D, 'Fund Investment Data'!$C:$C = $A74, 'Fund Investment Data'!$A:$A = AA$1, 'Fund Investment Data'!$B:$B = 12),"""")"),"")</f>
        <v/>
      </c>
      <c r="AB74" t="str">
        <f>IFERROR(__xludf.DUMMYFUNCTION("IFERROR(FILTER('Fund Investment Data'!$D:$D, 'Fund Investment Data'!$C:$C = $A74, 'Fund Investment Data'!$A:$A = AB$1, 'Fund Investment Data'!$B:$B = 12),"""")"),"")</f>
        <v/>
      </c>
      <c r="AC74" t="str">
        <f>IFERROR(__xludf.DUMMYFUNCTION("IFERROR(FILTER('Fund Investment Data'!$D:$D, 'Fund Investment Data'!$C:$C = $A74, 'Fund Investment Data'!$A:$A = AC$1, 'Fund Investment Data'!$B:$B = 12),"""")"),"")</f>
        <v/>
      </c>
      <c r="AD74" t="str">
        <f>IFERROR(__xludf.DUMMYFUNCTION("IFERROR(FILTER('Fund Investment Data'!$D:$D, 'Fund Investment Data'!$C:$C = $A74, 'Fund Investment Data'!$A:$A = AD$1, 'Fund Investment Data'!$B:$B = 12),"""")"),"")</f>
        <v/>
      </c>
      <c r="AE74" t="str">
        <f>IFERROR(__xludf.DUMMYFUNCTION("IFERROR(FILTER('Fund Investment Data'!$D:$D, 'Fund Investment Data'!$C:$C = $A74, 'Fund Investment Data'!$A:$A = AE$1, 'Fund Investment Data'!$B:$B = 12),"""")"),"")</f>
        <v/>
      </c>
    </row>
    <row r="75">
      <c r="A75" s="150" t="str">
        <f>'Endowed Funds'!A:A</f>
        <v/>
      </c>
      <c r="B75" t="str">
        <f>IFERROR(__xludf.DUMMYFUNCTION("IFERROR(FILTER('Fund Investment Data'!$D:$D, 'Fund Investment Data'!$C:$C = $A75, 'Fund Investment Data'!$A:$A = B$1, 'Fund Investment Data'!$B:$B = 12),"""")"),"")</f>
        <v/>
      </c>
      <c r="C75" t="str">
        <f>IFERROR(__xludf.DUMMYFUNCTION("IFERROR(FILTER('Fund Investment Data'!$D:$D, 'Fund Investment Data'!$C:$C = $A75, 'Fund Investment Data'!$A:$A = C$1, 'Fund Investment Data'!$B:$B = 12),"""")"),"")</f>
        <v/>
      </c>
      <c r="D75" t="str">
        <f>IFERROR(__xludf.DUMMYFUNCTION("IFERROR(FILTER('Fund Investment Data'!$D:$D, 'Fund Investment Data'!$C:$C = $A75, 'Fund Investment Data'!$A:$A = D$1, 'Fund Investment Data'!$B:$B = 12),"""")"),"")</f>
        <v/>
      </c>
      <c r="E75" t="str">
        <f>IFERROR(__xludf.DUMMYFUNCTION("IFERROR(FILTER('Fund Investment Data'!$D:$D, 'Fund Investment Data'!$C:$C = $A75, 'Fund Investment Data'!$A:$A = E$1, 'Fund Investment Data'!$B:$B = 12),"""")"),"")</f>
        <v/>
      </c>
      <c r="F75" t="str">
        <f>IFERROR(__xludf.DUMMYFUNCTION("IFERROR(FILTER('Fund Investment Data'!$D:$D, 'Fund Investment Data'!$C:$C = $A75, 'Fund Investment Data'!$A:$A = F$1, 'Fund Investment Data'!$B:$B = 12),"""")"),"")</f>
        <v/>
      </c>
      <c r="G75" t="str">
        <f>IFERROR(__xludf.DUMMYFUNCTION("IFERROR(FILTER('Fund Investment Data'!$D:$D, 'Fund Investment Data'!$C:$C = $A75, 'Fund Investment Data'!$A:$A = G$1, 'Fund Investment Data'!$B:$B = 12),"""")"),"")</f>
        <v/>
      </c>
      <c r="H75" t="str">
        <f>IFERROR(__xludf.DUMMYFUNCTION("IFERROR(FILTER('Fund Investment Data'!$D:$D, 'Fund Investment Data'!$C:$C = $A75, 'Fund Investment Data'!$A:$A = H$1, 'Fund Investment Data'!$B:$B = 12),"""")"),"")</f>
        <v/>
      </c>
      <c r="I75" t="str">
        <f>IFERROR(__xludf.DUMMYFUNCTION("IFERROR(FILTER('Fund Investment Data'!$D:$D, 'Fund Investment Data'!$C:$C = $A75, 'Fund Investment Data'!$A:$A = I$1, 'Fund Investment Data'!$B:$B = 12),"""")"),"")</f>
        <v/>
      </c>
      <c r="J75" t="str">
        <f>IFERROR(__xludf.DUMMYFUNCTION("IFERROR(FILTER('Fund Investment Data'!$D:$D, 'Fund Investment Data'!$C:$C = $A75, 'Fund Investment Data'!$A:$A = J$1, 'Fund Investment Data'!$B:$B = 12),"""")"),"")</f>
        <v/>
      </c>
      <c r="K75" t="str">
        <f>IFERROR(__xludf.DUMMYFUNCTION("IFERROR(FILTER('Fund Investment Data'!$D:$D, 'Fund Investment Data'!$C:$C = $A75, 'Fund Investment Data'!$A:$A = K$1, 'Fund Investment Data'!$B:$B = 12),"""")"),"")</f>
        <v/>
      </c>
      <c r="L75" t="str">
        <f>IFERROR(__xludf.DUMMYFUNCTION("IFERROR(FILTER('Fund Investment Data'!$D:$D, 'Fund Investment Data'!$C:$C = $A75, 'Fund Investment Data'!$A:$A = L$1, 'Fund Investment Data'!$B:$B = 12),"""")"),"")</f>
        <v/>
      </c>
      <c r="M75" t="str">
        <f>IFERROR(__xludf.DUMMYFUNCTION("IFERROR(FILTER('Fund Investment Data'!$D:$D, 'Fund Investment Data'!$C:$C = $A75, 'Fund Investment Data'!$A:$A = M$1, 'Fund Investment Data'!$B:$B = 12),"""")"),"")</f>
        <v/>
      </c>
      <c r="N75" t="str">
        <f>IFERROR(__xludf.DUMMYFUNCTION("IFERROR(FILTER('Fund Investment Data'!$D:$D, 'Fund Investment Data'!$C:$C = $A75, 'Fund Investment Data'!$A:$A = N$1, 'Fund Investment Data'!$B:$B = 12),"""")"),"")</f>
        <v/>
      </c>
      <c r="O75" t="str">
        <f>IFERROR(__xludf.DUMMYFUNCTION("IFERROR(FILTER('Fund Investment Data'!$D:$D, 'Fund Investment Data'!$C:$C = $A75, 'Fund Investment Data'!$A:$A = O$1, 'Fund Investment Data'!$B:$B = 12),"""")"),"")</f>
        <v/>
      </c>
      <c r="P75" t="str">
        <f>IFERROR(__xludf.DUMMYFUNCTION("IFERROR(FILTER('Fund Investment Data'!$D:$D, 'Fund Investment Data'!$C:$C = $A75, 'Fund Investment Data'!$A:$A = P$1, 'Fund Investment Data'!$B:$B = 12),"""")"),"")</f>
        <v/>
      </c>
      <c r="Q75" t="str">
        <f>IFERROR(__xludf.DUMMYFUNCTION("IFERROR(FILTER('Fund Investment Data'!$D:$D, 'Fund Investment Data'!$C:$C = $A75, 'Fund Investment Data'!$A:$A = Q$1, 'Fund Investment Data'!$B:$B = 12),"""")"),"")</f>
        <v/>
      </c>
      <c r="R75" t="str">
        <f>IFERROR(__xludf.DUMMYFUNCTION("IFERROR(FILTER('Fund Investment Data'!$D:$D, 'Fund Investment Data'!$C:$C = $A75, 'Fund Investment Data'!$A:$A = R$1, 'Fund Investment Data'!$B:$B = 12),"""")"),"")</f>
        <v/>
      </c>
      <c r="S75" t="str">
        <f>IFERROR(__xludf.DUMMYFUNCTION("IFERROR(FILTER('Fund Investment Data'!$D:$D, 'Fund Investment Data'!$C:$C = $A75, 'Fund Investment Data'!$A:$A = S$1, 'Fund Investment Data'!$B:$B = 12),"""")"),"")</f>
        <v/>
      </c>
      <c r="T75" t="str">
        <f>IFERROR(__xludf.DUMMYFUNCTION("IFERROR(FILTER('Fund Investment Data'!$D:$D, 'Fund Investment Data'!$C:$C = $A75, 'Fund Investment Data'!$A:$A = T$1, 'Fund Investment Data'!$B:$B = 12),"""")"),"")</f>
        <v/>
      </c>
      <c r="U75" t="str">
        <f>IFERROR(__xludf.DUMMYFUNCTION("IFERROR(FILTER('Fund Investment Data'!$D:$D, 'Fund Investment Data'!$C:$C = $A75, 'Fund Investment Data'!$A:$A = U$1, 'Fund Investment Data'!$B:$B = 12),"""")"),"")</f>
        <v/>
      </c>
      <c r="V75" t="str">
        <f>IFERROR(__xludf.DUMMYFUNCTION("IFERROR(FILTER('Fund Investment Data'!$D:$D, 'Fund Investment Data'!$C:$C = $A75, 'Fund Investment Data'!$A:$A = V$1, 'Fund Investment Data'!$B:$B = 12),"""")"),"")</f>
        <v/>
      </c>
      <c r="W75" t="str">
        <f>IFERROR(__xludf.DUMMYFUNCTION("IFERROR(FILTER('Fund Investment Data'!$D:$D, 'Fund Investment Data'!$C:$C = $A75, 'Fund Investment Data'!$A:$A = W$1, 'Fund Investment Data'!$B:$B = 12),"""")"),"")</f>
        <v/>
      </c>
      <c r="X75" t="str">
        <f>IFERROR(__xludf.DUMMYFUNCTION("IFERROR(FILTER('Fund Investment Data'!$D:$D, 'Fund Investment Data'!$C:$C = $A75, 'Fund Investment Data'!$A:$A = X$1, 'Fund Investment Data'!$B:$B = 12),"""")"),"")</f>
        <v/>
      </c>
      <c r="Y75" t="str">
        <f>IFERROR(__xludf.DUMMYFUNCTION("IFERROR(FILTER('Fund Investment Data'!$D:$D, 'Fund Investment Data'!$C:$C = $A75, 'Fund Investment Data'!$A:$A = Y$1, 'Fund Investment Data'!$B:$B = 12),"""")"),"")</f>
        <v/>
      </c>
      <c r="Z75" t="str">
        <f>IFERROR(__xludf.DUMMYFUNCTION("IFERROR(FILTER('Fund Investment Data'!$D:$D, 'Fund Investment Data'!$C:$C = $A75, 'Fund Investment Data'!$A:$A = Z$1, 'Fund Investment Data'!$B:$B = 12),"""")"),"")</f>
        <v/>
      </c>
      <c r="AA75" t="str">
        <f>IFERROR(__xludf.DUMMYFUNCTION("IFERROR(FILTER('Fund Investment Data'!$D:$D, 'Fund Investment Data'!$C:$C = $A75, 'Fund Investment Data'!$A:$A = AA$1, 'Fund Investment Data'!$B:$B = 12),"""")"),"")</f>
        <v/>
      </c>
      <c r="AB75" t="str">
        <f>IFERROR(__xludf.DUMMYFUNCTION("IFERROR(FILTER('Fund Investment Data'!$D:$D, 'Fund Investment Data'!$C:$C = $A75, 'Fund Investment Data'!$A:$A = AB$1, 'Fund Investment Data'!$B:$B = 12),"""")"),"")</f>
        <v/>
      </c>
      <c r="AC75" t="str">
        <f>IFERROR(__xludf.DUMMYFUNCTION("IFERROR(FILTER('Fund Investment Data'!$D:$D, 'Fund Investment Data'!$C:$C = $A75, 'Fund Investment Data'!$A:$A = AC$1, 'Fund Investment Data'!$B:$B = 12),"""")"),"")</f>
        <v/>
      </c>
      <c r="AD75" t="str">
        <f>IFERROR(__xludf.DUMMYFUNCTION("IFERROR(FILTER('Fund Investment Data'!$D:$D, 'Fund Investment Data'!$C:$C = $A75, 'Fund Investment Data'!$A:$A = AD$1, 'Fund Investment Data'!$B:$B = 12),"""")"),"")</f>
        <v/>
      </c>
      <c r="AE75" t="str">
        <f>IFERROR(__xludf.DUMMYFUNCTION("IFERROR(FILTER('Fund Investment Data'!$D:$D, 'Fund Investment Data'!$C:$C = $A75, 'Fund Investment Data'!$A:$A = AE$1, 'Fund Investment Data'!$B:$B = 12),"""")"),"")</f>
        <v/>
      </c>
    </row>
    <row r="76">
      <c r="A76" s="150" t="str">
        <f>'Endowed Funds'!A:A</f>
        <v/>
      </c>
      <c r="B76" t="str">
        <f>IFERROR(__xludf.DUMMYFUNCTION("IFERROR(FILTER('Fund Investment Data'!$D:$D, 'Fund Investment Data'!$C:$C = $A76, 'Fund Investment Data'!$A:$A = B$1, 'Fund Investment Data'!$B:$B = 12),"""")"),"")</f>
        <v/>
      </c>
      <c r="C76" t="str">
        <f>IFERROR(__xludf.DUMMYFUNCTION("IFERROR(FILTER('Fund Investment Data'!$D:$D, 'Fund Investment Data'!$C:$C = $A76, 'Fund Investment Data'!$A:$A = C$1, 'Fund Investment Data'!$B:$B = 12),"""")"),"")</f>
        <v/>
      </c>
      <c r="D76" t="str">
        <f>IFERROR(__xludf.DUMMYFUNCTION("IFERROR(FILTER('Fund Investment Data'!$D:$D, 'Fund Investment Data'!$C:$C = $A76, 'Fund Investment Data'!$A:$A = D$1, 'Fund Investment Data'!$B:$B = 12),"""")"),"")</f>
        <v/>
      </c>
      <c r="E76" t="str">
        <f>IFERROR(__xludf.DUMMYFUNCTION("IFERROR(FILTER('Fund Investment Data'!$D:$D, 'Fund Investment Data'!$C:$C = $A76, 'Fund Investment Data'!$A:$A = E$1, 'Fund Investment Data'!$B:$B = 12),"""")"),"")</f>
        <v/>
      </c>
      <c r="F76" t="str">
        <f>IFERROR(__xludf.DUMMYFUNCTION("IFERROR(FILTER('Fund Investment Data'!$D:$D, 'Fund Investment Data'!$C:$C = $A76, 'Fund Investment Data'!$A:$A = F$1, 'Fund Investment Data'!$B:$B = 12),"""")"),"")</f>
        <v/>
      </c>
      <c r="G76" t="str">
        <f>IFERROR(__xludf.DUMMYFUNCTION("IFERROR(FILTER('Fund Investment Data'!$D:$D, 'Fund Investment Data'!$C:$C = $A76, 'Fund Investment Data'!$A:$A = G$1, 'Fund Investment Data'!$B:$B = 12),"""")"),"")</f>
        <v/>
      </c>
      <c r="H76" t="str">
        <f>IFERROR(__xludf.DUMMYFUNCTION("IFERROR(FILTER('Fund Investment Data'!$D:$D, 'Fund Investment Data'!$C:$C = $A76, 'Fund Investment Data'!$A:$A = H$1, 'Fund Investment Data'!$B:$B = 12),"""")"),"")</f>
        <v/>
      </c>
      <c r="I76" t="str">
        <f>IFERROR(__xludf.DUMMYFUNCTION("IFERROR(FILTER('Fund Investment Data'!$D:$D, 'Fund Investment Data'!$C:$C = $A76, 'Fund Investment Data'!$A:$A = I$1, 'Fund Investment Data'!$B:$B = 12),"""")"),"")</f>
        <v/>
      </c>
      <c r="J76" t="str">
        <f>IFERROR(__xludf.DUMMYFUNCTION("IFERROR(FILTER('Fund Investment Data'!$D:$D, 'Fund Investment Data'!$C:$C = $A76, 'Fund Investment Data'!$A:$A = J$1, 'Fund Investment Data'!$B:$B = 12),"""")"),"")</f>
        <v/>
      </c>
      <c r="K76" t="str">
        <f>IFERROR(__xludf.DUMMYFUNCTION("IFERROR(FILTER('Fund Investment Data'!$D:$D, 'Fund Investment Data'!$C:$C = $A76, 'Fund Investment Data'!$A:$A = K$1, 'Fund Investment Data'!$B:$B = 12),"""")"),"")</f>
        <v/>
      </c>
      <c r="L76" t="str">
        <f>IFERROR(__xludf.DUMMYFUNCTION("IFERROR(FILTER('Fund Investment Data'!$D:$D, 'Fund Investment Data'!$C:$C = $A76, 'Fund Investment Data'!$A:$A = L$1, 'Fund Investment Data'!$B:$B = 12),"""")"),"")</f>
        <v/>
      </c>
      <c r="M76" t="str">
        <f>IFERROR(__xludf.DUMMYFUNCTION("IFERROR(FILTER('Fund Investment Data'!$D:$D, 'Fund Investment Data'!$C:$C = $A76, 'Fund Investment Data'!$A:$A = M$1, 'Fund Investment Data'!$B:$B = 12),"""")"),"")</f>
        <v/>
      </c>
      <c r="N76" t="str">
        <f>IFERROR(__xludf.DUMMYFUNCTION("IFERROR(FILTER('Fund Investment Data'!$D:$D, 'Fund Investment Data'!$C:$C = $A76, 'Fund Investment Data'!$A:$A = N$1, 'Fund Investment Data'!$B:$B = 12),"""")"),"")</f>
        <v/>
      </c>
      <c r="O76" t="str">
        <f>IFERROR(__xludf.DUMMYFUNCTION("IFERROR(FILTER('Fund Investment Data'!$D:$D, 'Fund Investment Data'!$C:$C = $A76, 'Fund Investment Data'!$A:$A = O$1, 'Fund Investment Data'!$B:$B = 12),"""")"),"")</f>
        <v/>
      </c>
      <c r="P76" t="str">
        <f>IFERROR(__xludf.DUMMYFUNCTION("IFERROR(FILTER('Fund Investment Data'!$D:$D, 'Fund Investment Data'!$C:$C = $A76, 'Fund Investment Data'!$A:$A = P$1, 'Fund Investment Data'!$B:$B = 12),"""")"),"")</f>
        <v/>
      </c>
      <c r="Q76" t="str">
        <f>IFERROR(__xludf.DUMMYFUNCTION("IFERROR(FILTER('Fund Investment Data'!$D:$D, 'Fund Investment Data'!$C:$C = $A76, 'Fund Investment Data'!$A:$A = Q$1, 'Fund Investment Data'!$B:$B = 12),"""")"),"")</f>
        <v/>
      </c>
      <c r="R76" t="str">
        <f>IFERROR(__xludf.DUMMYFUNCTION("IFERROR(FILTER('Fund Investment Data'!$D:$D, 'Fund Investment Data'!$C:$C = $A76, 'Fund Investment Data'!$A:$A = R$1, 'Fund Investment Data'!$B:$B = 12),"""")"),"")</f>
        <v/>
      </c>
      <c r="S76" t="str">
        <f>IFERROR(__xludf.DUMMYFUNCTION("IFERROR(FILTER('Fund Investment Data'!$D:$D, 'Fund Investment Data'!$C:$C = $A76, 'Fund Investment Data'!$A:$A = S$1, 'Fund Investment Data'!$B:$B = 12),"""")"),"")</f>
        <v/>
      </c>
      <c r="T76" t="str">
        <f>IFERROR(__xludf.DUMMYFUNCTION("IFERROR(FILTER('Fund Investment Data'!$D:$D, 'Fund Investment Data'!$C:$C = $A76, 'Fund Investment Data'!$A:$A = T$1, 'Fund Investment Data'!$B:$B = 12),"""")"),"")</f>
        <v/>
      </c>
      <c r="U76" t="str">
        <f>IFERROR(__xludf.DUMMYFUNCTION("IFERROR(FILTER('Fund Investment Data'!$D:$D, 'Fund Investment Data'!$C:$C = $A76, 'Fund Investment Data'!$A:$A = U$1, 'Fund Investment Data'!$B:$B = 12),"""")"),"")</f>
        <v/>
      </c>
      <c r="V76" t="str">
        <f>IFERROR(__xludf.DUMMYFUNCTION("IFERROR(FILTER('Fund Investment Data'!$D:$D, 'Fund Investment Data'!$C:$C = $A76, 'Fund Investment Data'!$A:$A = V$1, 'Fund Investment Data'!$B:$B = 12),"""")"),"")</f>
        <v/>
      </c>
      <c r="W76" t="str">
        <f>IFERROR(__xludf.DUMMYFUNCTION("IFERROR(FILTER('Fund Investment Data'!$D:$D, 'Fund Investment Data'!$C:$C = $A76, 'Fund Investment Data'!$A:$A = W$1, 'Fund Investment Data'!$B:$B = 12),"""")"),"")</f>
        <v/>
      </c>
      <c r="X76" t="str">
        <f>IFERROR(__xludf.DUMMYFUNCTION("IFERROR(FILTER('Fund Investment Data'!$D:$D, 'Fund Investment Data'!$C:$C = $A76, 'Fund Investment Data'!$A:$A = X$1, 'Fund Investment Data'!$B:$B = 12),"""")"),"")</f>
        <v/>
      </c>
      <c r="Y76" t="str">
        <f>IFERROR(__xludf.DUMMYFUNCTION("IFERROR(FILTER('Fund Investment Data'!$D:$D, 'Fund Investment Data'!$C:$C = $A76, 'Fund Investment Data'!$A:$A = Y$1, 'Fund Investment Data'!$B:$B = 12),"""")"),"")</f>
        <v/>
      </c>
      <c r="Z76" t="str">
        <f>IFERROR(__xludf.DUMMYFUNCTION("IFERROR(FILTER('Fund Investment Data'!$D:$D, 'Fund Investment Data'!$C:$C = $A76, 'Fund Investment Data'!$A:$A = Z$1, 'Fund Investment Data'!$B:$B = 12),"""")"),"")</f>
        <v/>
      </c>
      <c r="AA76" t="str">
        <f>IFERROR(__xludf.DUMMYFUNCTION("IFERROR(FILTER('Fund Investment Data'!$D:$D, 'Fund Investment Data'!$C:$C = $A76, 'Fund Investment Data'!$A:$A = AA$1, 'Fund Investment Data'!$B:$B = 12),"""")"),"")</f>
        <v/>
      </c>
      <c r="AB76" t="str">
        <f>IFERROR(__xludf.DUMMYFUNCTION("IFERROR(FILTER('Fund Investment Data'!$D:$D, 'Fund Investment Data'!$C:$C = $A76, 'Fund Investment Data'!$A:$A = AB$1, 'Fund Investment Data'!$B:$B = 12),"""")"),"")</f>
        <v/>
      </c>
      <c r="AC76" t="str">
        <f>IFERROR(__xludf.DUMMYFUNCTION("IFERROR(FILTER('Fund Investment Data'!$D:$D, 'Fund Investment Data'!$C:$C = $A76, 'Fund Investment Data'!$A:$A = AC$1, 'Fund Investment Data'!$B:$B = 12),"""")"),"")</f>
        <v/>
      </c>
      <c r="AD76" t="str">
        <f>IFERROR(__xludf.DUMMYFUNCTION("IFERROR(FILTER('Fund Investment Data'!$D:$D, 'Fund Investment Data'!$C:$C = $A76, 'Fund Investment Data'!$A:$A = AD$1, 'Fund Investment Data'!$B:$B = 12),"""")"),"")</f>
        <v/>
      </c>
      <c r="AE76" t="str">
        <f>IFERROR(__xludf.DUMMYFUNCTION("IFERROR(FILTER('Fund Investment Data'!$D:$D, 'Fund Investment Data'!$C:$C = $A76, 'Fund Investment Data'!$A:$A = AE$1, 'Fund Investment Data'!$B:$B = 12),"""")"),"")</f>
        <v/>
      </c>
    </row>
    <row r="77">
      <c r="A77" s="150" t="str">
        <f>'Endowed Funds'!A:A</f>
        <v/>
      </c>
      <c r="B77" t="str">
        <f>IFERROR(__xludf.DUMMYFUNCTION("IFERROR(FILTER('Fund Investment Data'!$D:$D, 'Fund Investment Data'!$C:$C = $A77, 'Fund Investment Data'!$A:$A = B$1, 'Fund Investment Data'!$B:$B = 12),"""")"),"")</f>
        <v/>
      </c>
      <c r="C77" t="str">
        <f>IFERROR(__xludf.DUMMYFUNCTION("IFERROR(FILTER('Fund Investment Data'!$D:$D, 'Fund Investment Data'!$C:$C = $A77, 'Fund Investment Data'!$A:$A = C$1, 'Fund Investment Data'!$B:$B = 12),"""")"),"")</f>
        <v/>
      </c>
      <c r="D77" t="str">
        <f>IFERROR(__xludf.DUMMYFUNCTION("IFERROR(FILTER('Fund Investment Data'!$D:$D, 'Fund Investment Data'!$C:$C = $A77, 'Fund Investment Data'!$A:$A = D$1, 'Fund Investment Data'!$B:$B = 12),"""")"),"")</f>
        <v/>
      </c>
      <c r="E77" t="str">
        <f>IFERROR(__xludf.DUMMYFUNCTION("IFERROR(FILTER('Fund Investment Data'!$D:$D, 'Fund Investment Data'!$C:$C = $A77, 'Fund Investment Data'!$A:$A = E$1, 'Fund Investment Data'!$B:$B = 12),"""")"),"")</f>
        <v/>
      </c>
      <c r="F77" t="str">
        <f>IFERROR(__xludf.DUMMYFUNCTION("IFERROR(FILTER('Fund Investment Data'!$D:$D, 'Fund Investment Data'!$C:$C = $A77, 'Fund Investment Data'!$A:$A = F$1, 'Fund Investment Data'!$B:$B = 12),"""")"),"")</f>
        <v/>
      </c>
      <c r="G77" t="str">
        <f>IFERROR(__xludf.DUMMYFUNCTION("IFERROR(FILTER('Fund Investment Data'!$D:$D, 'Fund Investment Data'!$C:$C = $A77, 'Fund Investment Data'!$A:$A = G$1, 'Fund Investment Data'!$B:$B = 12),"""")"),"")</f>
        <v/>
      </c>
      <c r="H77" t="str">
        <f>IFERROR(__xludf.DUMMYFUNCTION("IFERROR(FILTER('Fund Investment Data'!$D:$D, 'Fund Investment Data'!$C:$C = $A77, 'Fund Investment Data'!$A:$A = H$1, 'Fund Investment Data'!$B:$B = 12),"""")"),"")</f>
        <v/>
      </c>
      <c r="I77" t="str">
        <f>IFERROR(__xludf.DUMMYFUNCTION("IFERROR(FILTER('Fund Investment Data'!$D:$D, 'Fund Investment Data'!$C:$C = $A77, 'Fund Investment Data'!$A:$A = I$1, 'Fund Investment Data'!$B:$B = 12),"""")"),"")</f>
        <v/>
      </c>
      <c r="J77" t="str">
        <f>IFERROR(__xludf.DUMMYFUNCTION("IFERROR(FILTER('Fund Investment Data'!$D:$D, 'Fund Investment Data'!$C:$C = $A77, 'Fund Investment Data'!$A:$A = J$1, 'Fund Investment Data'!$B:$B = 12),"""")"),"")</f>
        <v/>
      </c>
      <c r="K77" t="str">
        <f>IFERROR(__xludf.DUMMYFUNCTION("IFERROR(FILTER('Fund Investment Data'!$D:$D, 'Fund Investment Data'!$C:$C = $A77, 'Fund Investment Data'!$A:$A = K$1, 'Fund Investment Data'!$B:$B = 12),"""")"),"")</f>
        <v/>
      </c>
      <c r="L77" t="str">
        <f>IFERROR(__xludf.DUMMYFUNCTION("IFERROR(FILTER('Fund Investment Data'!$D:$D, 'Fund Investment Data'!$C:$C = $A77, 'Fund Investment Data'!$A:$A = L$1, 'Fund Investment Data'!$B:$B = 12),"""")"),"")</f>
        <v/>
      </c>
      <c r="M77" t="str">
        <f>IFERROR(__xludf.DUMMYFUNCTION("IFERROR(FILTER('Fund Investment Data'!$D:$D, 'Fund Investment Data'!$C:$C = $A77, 'Fund Investment Data'!$A:$A = M$1, 'Fund Investment Data'!$B:$B = 12),"""")"),"")</f>
        <v/>
      </c>
      <c r="N77" t="str">
        <f>IFERROR(__xludf.DUMMYFUNCTION("IFERROR(FILTER('Fund Investment Data'!$D:$D, 'Fund Investment Data'!$C:$C = $A77, 'Fund Investment Data'!$A:$A = N$1, 'Fund Investment Data'!$B:$B = 12),"""")"),"")</f>
        <v/>
      </c>
      <c r="O77" t="str">
        <f>IFERROR(__xludf.DUMMYFUNCTION("IFERROR(FILTER('Fund Investment Data'!$D:$D, 'Fund Investment Data'!$C:$C = $A77, 'Fund Investment Data'!$A:$A = O$1, 'Fund Investment Data'!$B:$B = 12),"""")"),"")</f>
        <v/>
      </c>
      <c r="P77" t="str">
        <f>IFERROR(__xludf.DUMMYFUNCTION("IFERROR(FILTER('Fund Investment Data'!$D:$D, 'Fund Investment Data'!$C:$C = $A77, 'Fund Investment Data'!$A:$A = P$1, 'Fund Investment Data'!$B:$B = 12),"""")"),"")</f>
        <v/>
      </c>
      <c r="Q77" t="str">
        <f>IFERROR(__xludf.DUMMYFUNCTION("IFERROR(FILTER('Fund Investment Data'!$D:$D, 'Fund Investment Data'!$C:$C = $A77, 'Fund Investment Data'!$A:$A = Q$1, 'Fund Investment Data'!$B:$B = 12),"""")"),"")</f>
        <v/>
      </c>
      <c r="R77" t="str">
        <f>IFERROR(__xludf.DUMMYFUNCTION("IFERROR(FILTER('Fund Investment Data'!$D:$D, 'Fund Investment Data'!$C:$C = $A77, 'Fund Investment Data'!$A:$A = R$1, 'Fund Investment Data'!$B:$B = 12),"""")"),"")</f>
        <v/>
      </c>
      <c r="S77" t="str">
        <f>IFERROR(__xludf.DUMMYFUNCTION("IFERROR(FILTER('Fund Investment Data'!$D:$D, 'Fund Investment Data'!$C:$C = $A77, 'Fund Investment Data'!$A:$A = S$1, 'Fund Investment Data'!$B:$B = 12),"""")"),"")</f>
        <v/>
      </c>
      <c r="T77" t="str">
        <f>IFERROR(__xludf.DUMMYFUNCTION("IFERROR(FILTER('Fund Investment Data'!$D:$D, 'Fund Investment Data'!$C:$C = $A77, 'Fund Investment Data'!$A:$A = T$1, 'Fund Investment Data'!$B:$B = 12),"""")"),"")</f>
        <v/>
      </c>
      <c r="U77" t="str">
        <f>IFERROR(__xludf.DUMMYFUNCTION("IFERROR(FILTER('Fund Investment Data'!$D:$D, 'Fund Investment Data'!$C:$C = $A77, 'Fund Investment Data'!$A:$A = U$1, 'Fund Investment Data'!$B:$B = 12),"""")"),"")</f>
        <v/>
      </c>
      <c r="V77" t="str">
        <f>IFERROR(__xludf.DUMMYFUNCTION("IFERROR(FILTER('Fund Investment Data'!$D:$D, 'Fund Investment Data'!$C:$C = $A77, 'Fund Investment Data'!$A:$A = V$1, 'Fund Investment Data'!$B:$B = 12),"""")"),"")</f>
        <v/>
      </c>
      <c r="W77" t="str">
        <f>IFERROR(__xludf.DUMMYFUNCTION("IFERROR(FILTER('Fund Investment Data'!$D:$D, 'Fund Investment Data'!$C:$C = $A77, 'Fund Investment Data'!$A:$A = W$1, 'Fund Investment Data'!$B:$B = 12),"""")"),"")</f>
        <v/>
      </c>
      <c r="X77" t="str">
        <f>IFERROR(__xludf.DUMMYFUNCTION("IFERROR(FILTER('Fund Investment Data'!$D:$D, 'Fund Investment Data'!$C:$C = $A77, 'Fund Investment Data'!$A:$A = X$1, 'Fund Investment Data'!$B:$B = 12),"""")"),"")</f>
        <v/>
      </c>
      <c r="Y77" t="str">
        <f>IFERROR(__xludf.DUMMYFUNCTION("IFERROR(FILTER('Fund Investment Data'!$D:$D, 'Fund Investment Data'!$C:$C = $A77, 'Fund Investment Data'!$A:$A = Y$1, 'Fund Investment Data'!$B:$B = 12),"""")"),"")</f>
        <v/>
      </c>
      <c r="Z77" t="str">
        <f>IFERROR(__xludf.DUMMYFUNCTION("IFERROR(FILTER('Fund Investment Data'!$D:$D, 'Fund Investment Data'!$C:$C = $A77, 'Fund Investment Data'!$A:$A = Z$1, 'Fund Investment Data'!$B:$B = 12),"""")"),"")</f>
        <v/>
      </c>
      <c r="AA77" t="str">
        <f>IFERROR(__xludf.DUMMYFUNCTION("IFERROR(FILTER('Fund Investment Data'!$D:$D, 'Fund Investment Data'!$C:$C = $A77, 'Fund Investment Data'!$A:$A = AA$1, 'Fund Investment Data'!$B:$B = 12),"""")"),"")</f>
        <v/>
      </c>
      <c r="AB77" t="str">
        <f>IFERROR(__xludf.DUMMYFUNCTION("IFERROR(FILTER('Fund Investment Data'!$D:$D, 'Fund Investment Data'!$C:$C = $A77, 'Fund Investment Data'!$A:$A = AB$1, 'Fund Investment Data'!$B:$B = 12),"""")"),"")</f>
        <v/>
      </c>
      <c r="AC77" t="str">
        <f>IFERROR(__xludf.DUMMYFUNCTION("IFERROR(FILTER('Fund Investment Data'!$D:$D, 'Fund Investment Data'!$C:$C = $A77, 'Fund Investment Data'!$A:$A = AC$1, 'Fund Investment Data'!$B:$B = 12),"""")"),"")</f>
        <v/>
      </c>
      <c r="AD77" t="str">
        <f>IFERROR(__xludf.DUMMYFUNCTION("IFERROR(FILTER('Fund Investment Data'!$D:$D, 'Fund Investment Data'!$C:$C = $A77, 'Fund Investment Data'!$A:$A = AD$1, 'Fund Investment Data'!$B:$B = 12),"""")"),"")</f>
        <v/>
      </c>
      <c r="AE77" t="str">
        <f>IFERROR(__xludf.DUMMYFUNCTION("IFERROR(FILTER('Fund Investment Data'!$D:$D, 'Fund Investment Data'!$C:$C = $A77, 'Fund Investment Data'!$A:$A = AE$1, 'Fund Investment Data'!$B:$B = 12),"""")"),"")</f>
        <v/>
      </c>
    </row>
    <row r="78">
      <c r="A78" s="150" t="str">
        <f>'Endowed Funds'!A:A</f>
        <v/>
      </c>
      <c r="B78" t="str">
        <f>IFERROR(__xludf.DUMMYFUNCTION("IFERROR(FILTER('Fund Investment Data'!$D:$D, 'Fund Investment Data'!$C:$C = $A78, 'Fund Investment Data'!$A:$A = B$1, 'Fund Investment Data'!$B:$B = 12),"""")"),"")</f>
        <v/>
      </c>
      <c r="C78" t="str">
        <f>IFERROR(__xludf.DUMMYFUNCTION("IFERROR(FILTER('Fund Investment Data'!$D:$D, 'Fund Investment Data'!$C:$C = $A78, 'Fund Investment Data'!$A:$A = C$1, 'Fund Investment Data'!$B:$B = 12),"""")"),"")</f>
        <v/>
      </c>
      <c r="D78" t="str">
        <f>IFERROR(__xludf.DUMMYFUNCTION("IFERROR(FILTER('Fund Investment Data'!$D:$D, 'Fund Investment Data'!$C:$C = $A78, 'Fund Investment Data'!$A:$A = D$1, 'Fund Investment Data'!$B:$B = 12),"""")"),"")</f>
        <v/>
      </c>
      <c r="E78" t="str">
        <f>IFERROR(__xludf.DUMMYFUNCTION("IFERROR(FILTER('Fund Investment Data'!$D:$D, 'Fund Investment Data'!$C:$C = $A78, 'Fund Investment Data'!$A:$A = E$1, 'Fund Investment Data'!$B:$B = 12),"""")"),"")</f>
        <v/>
      </c>
      <c r="F78" t="str">
        <f>IFERROR(__xludf.DUMMYFUNCTION("IFERROR(FILTER('Fund Investment Data'!$D:$D, 'Fund Investment Data'!$C:$C = $A78, 'Fund Investment Data'!$A:$A = F$1, 'Fund Investment Data'!$B:$B = 12),"""")"),"")</f>
        <v/>
      </c>
      <c r="G78" t="str">
        <f>IFERROR(__xludf.DUMMYFUNCTION("IFERROR(FILTER('Fund Investment Data'!$D:$D, 'Fund Investment Data'!$C:$C = $A78, 'Fund Investment Data'!$A:$A = G$1, 'Fund Investment Data'!$B:$B = 12),"""")"),"")</f>
        <v/>
      </c>
      <c r="H78" t="str">
        <f>IFERROR(__xludf.DUMMYFUNCTION("IFERROR(FILTER('Fund Investment Data'!$D:$D, 'Fund Investment Data'!$C:$C = $A78, 'Fund Investment Data'!$A:$A = H$1, 'Fund Investment Data'!$B:$B = 12),"""")"),"")</f>
        <v/>
      </c>
      <c r="I78" t="str">
        <f>IFERROR(__xludf.DUMMYFUNCTION("IFERROR(FILTER('Fund Investment Data'!$D:$D, 'Fund Investment Data'!$C:$C = $A78, 'Fund Investment Data'!$A:$A = I$1, 'Fund Investment Data'!$B:$B = 12),"""")"),"")</f>
        <v/>
      </c>
      <c r="J78" t="str">
        <f>IFERROR(__xludf.DUMMYFUNCTION("IFERROR(FILTER('Fund Investment Data'!$D:$D, 'Fund Investment Data'!$C:$C = $A78, 'Fund Investment Data'!$A:$A = J$1, 'Fund Investment Data'!$B:$B = 12),"""")"),"")</f>
        <v/>
      </c>
      <c r="K78" t="str">
        <f>IFERROR(__xludf.DUMMYFUNCTION("IFERROR(FILTER('Fund Investment Data'!$D:$D, 'Fund Investment Data'!$C:$C = $A78, 'Fund Investment Data'!$A:$A = K$1, 'Fund Investment Data'!$B:$B = 12),"""")"),"")</f>
        <v/>
      </c>
      <c r="L78" t="str">
        <f>IFERROR(__xludf.DUMMYFUNCTION("IFERROR(FILTER('Fund Investment Data'!$D:$D, 'Fund Investment Data'!$C:$C = $A78, 'Fund Investment Data'!$A:$A = L$1, 'Fund Investment Data'!$B:$B = 12),"""")"),"")</f>
        <v/>
      </c>
      <c r="M78" t="str">
        <f>IFERROR(__xludf.DUMMYFUNCTION("IFERROR(FILTER('Fund Investment Data'!$D:$D, 'Fund Investment Data'!$C:$C = $A78, 'Fund Investment Data'!$A:$A = M$1, 'Fund Investment Data'!$B:$B = 12),"""")"),"")</f>
        <v/>
      </c>
      <c r="N78" t="str">
        <f>IFERROR(__xludf.DUMMYFUNCTION("IFERROR(FILTER('Fund Investment Data'!$D:$D, 'Fund Investment Data'!$C:$C = $A78, 'Fund Investment Data'!$A:$A = N$1, 'Fund Investment Data'!$B:$B = 12),"""")"),"")</f>
        <v/>
      </c>
      <c r="O78" t="str">
        <f>IFERROR(__xludf.DUMMYFUNCTION("IFERROR(FILTER('Fund Investment Data'!$D:$D, 'Fund Investment Data'!$C:$C = $A78, 'Fund Investment Data'!$A:$A = O$1, 'Fund Investment Data'!$B:$B = 12),"""")"),"")</f>
        <v/>
      </c>
      <c r="P78" t="str">
        <f>IFERROR(__xludf.DUMMYFUNCTION("IFERROR(FILTER('Fund Investment Data'!$D:$D, 'Fund Investment Data'!$C:$C = $A78, 'Fund Investment Data'!$A:$A = P$1, 'Fund Investment Data'!$B:$B = 12),"""")"),"")</f>
        <v/>
      </c>
      <c r="Q78" t="str">
        <f>IFERROR(__xludf.DUMMYFUNCTION("IFERROR(FILTER('Fund Investment Data'!$D:$D, 'Fund Investment Data'!$C:$C = $A78, 'Fund Investment Data'!$A:$A = Q$1, 'Fund Investment Data'!$B:$B = 12),"""")"),"")</f>
        <v/>
      </c>
      <c r="R78" t="str">
        <f>IFERROR(__xludf.DUMMYFUNCTION("IFERROR(FILTER('Fund Investment Data'!$D:$D, 'Fund Investment Data'!$C:$C = $A78, 'Fund Investment Data'!$A:$A = R$1, 'Fund Investment Data'!$B:$B = 12),"""")"),"")</f>
        <v/>
      </c>
      <c r="S78" t="str">
        <f>IFERROR(__xludf.DUMMYFUNCTION("IFERROR(FILTER('Fund Investment Data'!$D:$D, 'Fund Investment Data'!$C:$C = $A78, 'Fund Investment Data'!$A:$A = S$1, 'Fund Investment Data'!$B:$B = 12),"""")"),"")</f>
        <v/>
      </c>
      <c r="T78" t="str">
        <f>IFERROR(__xludf.DUMMYFUNCTION("IFERROR(FILTER('Fund Investment Data'!$D:$D, 'Fund Investment Data'!$C:$C = $A78, 'Fund Investment Data'!$A:$A = T$1, 'Fund Investment Data'!$B:$B = 12),"""")"),"")</f>
        <v/>
      </c>
      <c r="U78" t="str">
        <f>IFERROR(__xludf.DUMMYFUNCTION("IFERROR(FILTER('Fund Investment Data'!$D:$D, 'Fund Investment Data'!$C:$C = $A78, 'Fund Investment Data'!$A:$A = U$1, 'Fund Investment Data'!$B:$B = 12),"""")"),"")</f>
        <v/>
      </c>
      <c r="V78" t="str">
        <f>IFERROR(__xludf.DUMMYFUNCTION("IFERROR(FILTER('Fund Investment Data'!$D:$D, 'Fund Investment Data'!$C:$C = $A78, 'Fund Investment Data'!$A:$A = V$1, 'Fund Investment Data'!$B:$B = 12),"""")"),"")</f>
        <v/>
      </c>
      <c r="W78" t="str">
        <f>IFERROR(__xludf.DUMMYFUNCTION("IFERROR(FILTER('Fund Investment Data'!$D:$D, 'Fund Investment Data'!$C:$C = $A78, 'Fund Investment Data'!$A:$A = W$1, 'Fund Investment Data'!$B:$B = 12),"""")"),"")</f>
        <v/>
      </c>
      <c r="X78" t="str">
        <f>IFERROR(__xludf.DUMMYFUNCTION("IFERROR(FILTER('Fund Investment Data'!$D:$D, 'Fund Investment Data'!$C:$C = $A78, 'Fund Investment Data'!$A:$A = X$1, 'Fund Investment Data'!$B:$B = 12),"""")"),"")</f>
        <v/>
      </c>
      <c r="Y78" t="str">
        <f>IFERROR(__xludf.DUMMYFUNCTION("IFERROR(FILTER('Fund Investment Data'!$D:$D, 'Fund Investment Data'!$C:$C = $A78, 'Fund Investment Data'!$A:$A = Y$1, 'Fund Investment Data'!$B:$B = 12),"""")"),"")</f>
        <v/>
      </c>
      <c r="Z78" t="str">
        <f>IFERROR(__xludf.DUMMYFUNCTION("IFERROR(FILTER('Fund Investment Data'!$D:$D, 'Fund Investment Data'!$C:$C = $A78, 'Fund Investment Data'!$A:$A = Z$1, 'Fund Investment Data'!$B:$B = 12),"""")"),"")</f>
        <v/>
      </c>
      <c r="AA78" t="str">
        <f>IFERROR(__xludf.DUMMYFUNCTION("IFERROR(FILTER('Fund Investment Data'!$D:$D, 'Fund Investment Data'!$C:$C = $A78, 'Fund Investment Data'!$A:$A = AA$1, 'Fund Investment Data'!$B:$B = 12),"""")"),"")</f>
        <v/>
      </c>
      <c r="AB78" t="str">
        <f>IFERROR(__xludf.DUMMYFUNCTION("IFERROR(FILTER('Fund Investment Data'!$D:$D, 'Fund Investment Data'!$C:$C = $A78, 'Fund Investment Data'!$A:$A = AB$1, 'Fund Investment Data'!$B:$B = 12),"""")"),"")</f>
        <v/>
      </c>
      <c r="AC78" t="str">
        <f>IFERROR(__xludf.DUMMYFUNCTION("IFERROR(FILTER('Fund Investment Data'!$D:$D, 'Fund Investment Data'!$C:$C = $A78, 'Fund Investment Data'!$A:$A = AC$1, 'Fund Investment Data'!$B:$B = 12),"""")"),"")</f>
        <v/>
      </c>
      <c r="AD78" t="str">
        <f>IFERROR(__xludf.DUMMYFUNCTION("IFERROR(FILTER('Fund Investment Data'!$D:$D, 'Fund Investment Data'!$C:$C = $A78, 'Fund Investment Data'!$A:$A = AD$1, 'Fund Investment Data'!$B:$B = 12),"""")"),"")</f>
        <v/>
      </c>
      <c r="AE78" t="str">
        <f>IFERROR(__xludf.DUMMYFUNCTION("IFERROR(FILTER('Fund Investment Data'!$D:$D, 'Fund Investment Data'!$C:$C = $A78, 'Fund Investment Data'!$A:$A = AE$1, 'Fund Investment Data'!$B:$B = 12),"""")"),"")</f>
        <v/>
      </c>
    </row>
    <row r="79">
      <c r="A79" s="150" t="str">
        <f>'Endowed Funds'!A:A</f>
        <v/>
      </c>
      <c r="B79" t="str">
        <f>IFERROR(__xludf.DUMMYFUNCTION("IFERROR(FILTER('Fund Investment Data'!$D:$D, 'Fund Investment Data'!$C:$C = $A79, 'Fund Investment Data'!$A:$A = B$1, 'Fund Investment Data'!$B:$B = 12),"""")"),"")</f>
        <v/>
      </c>
      <c r="C79" t="str">
        <f>IFERROR(__xludf.DUMMYFUNCTION("IFERROR(FILTER('Fund Investment Data'!$D:$D, 'Fund Investment Data'!$C:$C = $A79, 'Fund Investment Data'!$A:$A = C$1, 'Fund Investment Data'!$B:$B = 12),"""")"),"")</f>
        <v/>
      </c>
      <c r="D79" t="str">
        <f>IFERROR(__xludf.DUMMYFUNCTION("IFERROR(FILTER('Fund Investment Data'!$D:$D, 'Fund Investment Data'!$C:$C = $A79, 'Fund Investment Data'!$A:$A = D$1, 'Fund Investment Data'!$B:$B = 12),"""")"),"")</f>
        <v/>
      </c>
      <c r="E79" t="str">
        <f>IFERROR(__xludf.DUMMYFUNCTION("IFERROR(FILTER('Fund Investment Data'!$D:$D, 'Fund Investment Data'!$C:$C = $A79, 'Fund Investment Data'!$A:$A = E$1, 'Fund Investment Data'!$B:$B = 12),"""")"),"")</f>
        <v/>
      </c>
      <c r="F79" t="str">
        <f>IFERROR(__xludf.DUMMYFUNCTION("IFERROR(FILTER('Fund Investment Data'!$D:$D, 'Fund Investment Data'!$C:$C = $A79, 'Fund Investment Data'!$A:$A = F$1, 'Fund Investment Data'!$B:$B = 12),"""")"),"")</f>
        <v/>
      </c>
      <c r="G79" t="str">
        <f>IFERROR(__xludf.DUMMYFUNCTION("IFERROR(FILTER('Fund Investment Data'!$D:$D, 'Fund Investment Data'!$C:$C = $A79, 'Fund Investment Data'!$A:$A = G$1, 'Fund Investment Data'!$B:$B = 12),"""")"),"")</f>
        <v/>
      </c>
      <c r="H79" t="str">
        <f>IFERROR(__xludf.DUMMYFUNCTION("IFERROR(FILTER('Fund Investment Data'!$D:$D, 'Fund Investment Data'!$C:$C = $A79, 'Fund Investment Data'!$A:$A = H$1, 'Fund Investment Data'!$B:$B = 12),"""")"),"")</f>
        <v/>
      </c>
      <c r="I79" t="str">
        <f>IFERROR(__xludf.DUMMYFUNCTION("IFERROR(FILTER('Fund Investment Data'!$D:$D, 'Fund Investment Data'!$C:$C = $A79, 'Fund Investment Data'!$A:$A = I$1, 'Fund Investment Data'!$B:$B = 12),"""")"),"")</f>
        <v/>
      </c>
      <c r="J79" t="str">
        <f>IFERROR(__xludf.DUMMYFUNCTION("IFERROR(FILTER('Fund Investment Data'!$D:$D, 'Fund Investment Data'!$C:$C = $A79, 'Fund Investment Data'!$A:$A = J$1, 'Fund Investment Data'!$B:$B = 12),"""")"),"")</f>
        <v/>
      </c>
      <c r="K79" t="str">
        <f>IFERROR(__xludf.DUMMYFUNCTION("IFERROR(FILTER('Fund Investment Data'!$D:$D, 'Fund Investment Data'!$C:$C = $A79, 'Fund Investment Data'!$A:$A = K$1, 'Fund Investment Data'!$B:$B = 12),"""")"),"")</f>
        <v/>
      </c>
      <c r="L79" t="str">
        <f>IFERROR(__xludf.DUMMYFUNCTION("IFERROR(FILTER('Fund Investment Data'!$D:$D, 'Fund Investment Data'!$C:$C = $A79, 'Fund Investment Data'!$A:$A = L$1, 'Fund Investment Data'!$B:$B = 12),"""")"),"")</f>
        <v/>
      </c>
      <c r="M79" t="str">
        <f>IFERROR(__xludf.DUMMYFUNCTION("IFERROR(FILTER('Fund Investment Data'!$D:$D, 'Fund Investment Data'!$C:$C = $A79, 'Fund Investment Data'!$A:$A = M$1, 'Fund Investment Data'!$B:$B = 12),"""")"),"")</f>
        <v/>
      </c>
      <c r="N79" t="str">
        <f>IFERROR(__xludf.DUMMYFUNCTION("IFERROR(FILTER('Fund Investment Data'!$D:$D, 'Fund Investment Data'!$C:$C = $A79, 'Fund Investment Data'!$A:$A = N$1, 'Fund Investment Data'!$B:$B = 12),"""")"),"")</f>
        <v/>
      </c>
      <c r="O79" t="str">
        <f>IFERROR(__xludf.DUMMYFUNCTION("IFERROR(FILTER('Fund Investment Data'!$D:$D, 'Fund Investment Data'!$C:$C = $A79, 'Fund Investment Data'!$A:$A = O$1, 'Fund Investment Data'!$B:$B = 12),"""")"),"")</f>
        <v/>
      </c>
      <c r="P79" t="str">
        <f>IFERROR(__xludf.DUMMYFUNCTION("IFERROR(FILTER('Fund Investment Data'!$D:$D, 'Fund Investment Data'!$C:$C = $A79, 'Fund Investment Data'!$A:$A = P$1, 'Fund Investment Data'!$B:$B = 12),"""")"),"")</f>
        <v/>
      </c>
      <c r="Q79" t="str">
        <f>IFERROR(__xludf.DUMMYFUNCTION("IFERROR(FILTER('Fund Investment Data'!$D:$D, 'Fund Investment Data'!$C:$C = $A79, 'Fund Investment Data'!$A:$A = Q$1, 'Fund Investment Data'!$B:$B = 12),"""")"),"")</f>
        <v/>
      </c>
      <c r="R79" t="str">
        <f>IFERROR(__xludf.DUMMYFUNCTION("IFERROR(FILTER('Fund Investment Data'!$D:$D, 'Fund Investment Data'!$C:$C = $A79, 'Fund Investment Data'!$A:$A = R$1, 'Fund Investment Data'!$B:$B = 12),"""")"),"")</f>
        <v/>
      </c>
      <c r="S79" t="str">
        <f>IFERROR(__xludf.DUMMYFUNCTION("IFERROR(FILTER('Fund Investment Data'!$D:$D, 'Fund Investment Data'!$C:$C = $A79, 'Fund Investment Data'!$A:$A = S$1, 'Fund Investment Data'!$B:$B = 12),"""")"),"")</f>
        <v/>
      </c>
      <c r="T79" t="str">
        <f>IFERROR(__xludf.DUMMYFUNCTION("IFERROR(FILTER('Fund Investment Data'!$D:$D, 'Fund Investment Data'!$C:$C = $A79, 'Fund Investment Data'!$A:$A = T$1, 'Fund Investment Data'!$B:$B = 12),"""")"),"")</f>
        <v/>
      </c>
      <c r="U79" t="str">
        <f>IFERROR(__xludf.DUMMYFUNCTION("IFERROR(FILTER('Fund Investment Data'!$D:$D, 'Fund Investment Data'!$C:$C = $A79, 'Fund Investment Data'!$A:$A = U$1, 'Fund Investment Data'!$B:$B = 12),"""")"),"")</f>
        <v/>
      </c>
      <c r="V79" t="str">
        <f>IFERROR(__xludf.DUMMYFUNCTION("IFERROR(FILTER('Fund Investment Data'!$D:$D, 'Fund Investment Data'!$C:$C = $A79, 'Fund Investment Data'!$A:$A = V$1, 'Fund Investment Data'!$B:$B = 12),"""")"),"")</f>
        <v/>
      </c>
      <c r="W79" t="str">
        <f>IFERROR(__xludf.DUMMYFUNCTION("IFERROR(FILTER('Fund Investment Data'!$D:$D, 'Fund Investment Data'!$C:$C = $A79, 'Fund Investment Data'!$A:$A = W$1, 'Fund Investment Data'!$B:$B = 12),"""")"),"")</f>
        <v/>
      </c>
      <c r="X79" t="str">
        <f>IFERROR(__xludf.DUMMYFUNCTION("IFERROR(FILTER('Fund Investment Data'!$D:$D, 'Fund Investment Data'!$C:$C = $A79, 'Fund Investment Data'!$A:$A = X$1, 'Fund Investment Data'!$B:$B = 12),"""")"),"")</f>
        <v/>
      </c>
      <c r="Y79" t="str">
        <f>IFERROR(__xludf.DUMMYFUNCTION("IFERROR(FILTER('Fund Investment Data'!$D:$D, 'Fund Investment Data'!$C:$C = $A79, 'Fund Investment Data'!$A:$A = Y$1, 'Fund Investment Data'!$B:$B = 12),"""")"),"")</f>
        <v/>
      </c>
      <c r="Z79" t="str">
        <f>IFERROR(__xludf.DUMMYFUNCTION("IFERROR(FILTER('Fund Investment Data'!$D:$D, 'Fund Investment Data'!$C:$C = $A79, 'Fund Investment Data'!$A:$A = Z$1, 'Fund Investment Data'!$B:$B = 12),"""")"),"")</f>
        <v/>
      </c>
      <c r="AA79" t="str">
        <f>IFERROR(__xludf.DUMMYFUNCTION("IFERROR(FILTER('Fund Investment Data'!$D:$D, 'Fund Investment Data'!$C:$C = $A79, 'Fund Investment Data'!$A:$A = AA$1, 'Fund Investment Data'!$B:$B = 12),"""")"),"")</f>
        <v/>
      </c>
      <c r="AB79" t="str">
        <f>IFERROR(__xludf.DUMMYFUNCTION("IFERROR(FILTER('Fund Investment Data'!$D:$D, 'Fund Investment Data'!$C:$C = $A79, 'Fund Investment Data'!$A:$A = AB$1, 'Fund Investment Data'!$B:$B = 12),"""")"),"")</f>
        <v/>
      </c>
      <c r="AC79" t="str">
        <f>IFERROR(__xludf.DUMMYFUNCTION("IFERROR(FILTER('Fund Investment Data'!$D:$D, 'Fund Investment Data'!$C:$C = $A79, 'Fund Investment Data'!$A:$A = AC$1, 'Fund Investment Data'!$B:$B = 12),"""")"),"")</f>
        <v/>
      </c>
      <c r="AD79" t="str">
        <f>IFERROR(__xludf.DUMMYFUNCTION("IFERROR(FILTER('Fund Investment Data'!$D:$D, 'Fund Investment Data'!$C:$C = $A79, 'Fund Investment Data'!$A:$A = AD$1, 'Fund Investment Data'!$B:$B = 12),"""")"),"")</f>
        <v/>
      </c>
      <c r="AE79" t="str">
        <f>IFERROR(__xludf.DUMMYFUNCTION("IFERROR(FILTER('Fund Investment Data'!$D:$D, 'Fund Investment Data'!$C:$C = $A79, 'Fund Investment Data'!$A:$A = AE$1, 'Fund Investment Data'!$B:$B = 12),"""")"),"")</f>
        <v/>
      </c>
    </row>
    <row r="80">
      <c r="A80" s="150" t="str">
        <f>'Endowed Funds'!A:A</f>
        <v/>
      </c>
      <c r="B80" t="str">
        <f>IFERROR(__xludf.DUMMYFUNCTION("IFERROR(FILTER('Fund Investment Data'!$D:$D, 'Fund Investment Data'!$C:$C = $A80, 'Fund Investment Data'!$A:$A = B$1, 'Fund Investment Data'!$B:$B = 12),"""")"),"")</f>
        <v/>
      </c>
      <c r="C80" t="str">
        <f>IFERROR(__xludf.DUMMYFUNCTION("IFERROR(FILTER('Fund Investment Data'!$D:$D, 'Fund Investment Data'!$C:$C = $A80, 'Fund Investment Data'!$A:$A = C$1, 'Fund Investment Data'!$B:$B = 12),"""")"),"")</f>
        <v/>
      </c>
      <c r="D80" t="str">
        <f>IFERROR(__xludf.DUMMYFUNCTION("IFERROR(FILTER('Fund Investment Data'!$D:$D, 'Fund Investment Data'!$C:$C = $A80, 'Fund Investment Data'!$A:$A = D$1, 'Fund Investment Data'!$B:$B = 12),"""")"),"")</f>
        <v/>
      </c>
      <c r="E80" t="str">
        <f>IFERROR(__xludf.DUMMYFUNCTION("IFERROR(FILTER('Fund Investment Data'!$D:$D, 'Fund Investment Data'!$C:$C = $A80, 'Fund Investment Data'!$A:$A = E$1, 'Fund Investment Data'!$B:$B = 12),"""")"),"")</f>
        <v/>
      </c>
      <c r="F80" t="str">
        <f>IFERROR(__xludf.DUMMYFUNCTION("IFERROR(FILTER('Fund Investment Data'!$D:$D, 'Fund Investment Data'!$C:$C = $A80, 'Fund Investment Data'!$A:$A = F$1, 'Fund Investment Data'!$B:$B = 12),"""")"),"")</f>
        <v/>
      </c>
      <c r="G80" t="str">
        <f>IFERROR(__xludf.DUMMYFUNCTION("IFERROR(FILTER('Fund Investment Data'!$D:$D, 'Fund Investment Data'!$C:$C = $A80, 'Fund Investment Data'!$A:$A = G$1, 'Fund Investment Data'!$B:$B = 12),"""")"),"")</f>
        <v/>
      </c>
      <c r="H80" t="str">
        <f>IFERROR(__xludf.DUMMYFUNCTION("IFERROR(FILTER('Fund Investment Data'!$D:$D, 'Fund Investment Data'!$C:$C = $A80, 'Fund Investment Data'!$A:$A = H$1, 'Fund Investment Data'!$B:$B = 12),"""")"),"")</f>
        <v/>
      </c>
      <c r="I80" t="str">
        <f>IFERROR(__xludf.DUMMYFUNCTION("IFERROR(FILTER('Fund Investment Data'!$D:$D, 'Fund Investment Data'!$C:$C = $A80, 'Fund Investment Data'!$A:$A = I$1, 'Fund Investment Data'!$B:$B = 12),"""")"),"")</f>
        <v/>
      </c>
      <c r="J80" t="str">
        <f>IFERROR(__xludf.DUMMYFUNCTION("IFERROR(FILTER('Fund Investment Data'!$D:$D, 'Fund Investment Data'!$C:$C = $A80, 'Fund Investment Data'!$A:$A = J$1, 'Fund Investment Data'!$B:$B = 12),"""")"),"")</f>
        <v/>
      </c>
      <c r="K80" t="str">
        <f>IFERROR(__xludf.DUMMYFUNCTION("IFERROR(FILTER('Fund Investment Data'!$D:$D, 'Fund Investment Data'!$C:$C = $A80, 'Fund Investment Data'!$A:$A = K$1, 'Fund Investment Data'!$B:$B = 12),"""")"),"")</f>
        <v/>
      </c>
      <c r="L80" t="str">
        <f>IFERROR(__xludf.DUMMYFUNCTION("IFERROR(FILTER('Fund Investment Data'!$D:$D, 'Fund Investment Data'!$C:$C = $A80, 'Fund Investment Data'!$A:$A = L$1, 'Fund Investment Data'!$B:$B = 12),"""")"),"")</f>
        <v/>
      </c>
      <c r="M80" t="str">
        <f>IFERROR(__xludf.DUMMYFUNCTION("IFERROR(FILTER('Fund Investment Data'!$D:$D, 'Fund Investment Data'!$C:$C = $A80, 'Fund Investment Data'!$A:$A = M$1, 'Fund Investment Data'!$B:$B = 12),"""")"),"")</f>
        <v/>
      </c>
      <c r="N80" t="str">
        <f>IFERROR(__xludf.DUMMYFUNCTION("IFERROR(FILTER('Fund Investment Data'!$D:$D, 'Fund Investment Data'!$C:$C = $A80, 'Fund Investment Data'!$A:$A = N$1, 'Fund Investment Data'!$B:$B = 12),"""")"),"")</f>
        <v/>
      </c>
      <c r="O80" t="str">
        <f>IFERROR(__xludf.DUMMYFUNCTION("IFERROR(FILTER('Fund Investment Data'!$D:$D, 'Fund Investment Data'!$C:$C = $A80, 'Fund Investment Data'!$A:$A = O$1, 'Fund Investment Data'!$B:$B = 12),"""")"),"")</f>
        <v/>
      </c>
      <c r="P80" t="str">
        <f>IFERROR(__xludf.DUMMYFUNCTION("IFERROR(FILTER('Fund Investment Data'!$D:$D, 'Fund Investment Data'!$C:$C = $A80, 'Fund Investment Data'!$A:$A = P$1, 'Fund Investment Data'!$B:$B = 12),"""")"),"")</f>
        <v/>
      </c>
      <c r="Q80" t="str">
        <f>IFERROR(__xludf.DUMMYFUNCTION("IFERROR(FILTER('Fund Investment Data'!$D:$D, 'Fund Investment Data'!$C:$C = $A80, 'Fund Investment Data'!$A:$A = Q$1, 'Fund Investment Data'!$B:$B = 12),"""")"),"")</f>
        <v/>
      </c>
      <c r="R80" t="str">
        <f>IFERROR(__xludf.DUMMYFUNCTION("IFERROR(FILTER('Fund Investment Data'!$D:$D, 'Fund Investment Data'!$C:$C = $A80, 'Fund Investment Data'!$A:$A = R$1, 'Fund Investment Data'!$B:$B = 12),"""")"),"")</f>
        <v/>
      </c>
      <c r="S80" t="str">
        <f>IFERROR(__xludf.DUMMYFUNCTION("IFERROR(FILTER('Fund Investment Data'!$D:$D, 'Fund Investment Data'!$C:$C = $A80, 'Fund Investment Data'!$A:$A = S$1, 'Fund Investment Data'!$B:$B = 12),"""")"),"")</f>
        <v/>
      </c>
      <c r="T80" t="str">
        <f>IFERROR(__xludf.DUMMYFUNCTION("IFERROR(FILTER('Fund Investment Data'!$D:$D, 'Fund Investment Data'!$C:$C = $A80, 'Fund Investment Data'!$A:$A = T$1, 'Fund Investment Data'!$B:$B = 12),"""")"),"")</f>
        <v/>
      </c>
      <c r="U80" t="str">
        <f>IFERROR(__xludf.DUMMYFUNCTION("IFERROR(FILTER('Fund Investment Data'!$D:$D, 'Fund Investment Data'!$C:$C = $A80, 'Fund Investment Data'!$A:$A = U$1, 'Fund Investment Data'!$B:$B = 12),"""")"),"")</f>
        <v/>
      </c>
      <c r="V80" t="str">
        <f>IFERROR(__xludf.DUMMYFUNCTION("IFERROR(FILTER('Fund Investment Data'!$D:$D, 'Fund Investment Data'!$C:$C = $A80, 'Fund Investment Data'!$A:$A = V$1, 'Fund Investment Data'!$B:$B = 12),"""")"),"")</f>
        <v/>
      </c>
      <c r="W80" t="str">
        <f>IFERROR(__xludf.DUMMYFUNCTION("IFERROR(FILTER('Fund Investment Data'!$D:$D, 'Fund Investment Data'!$C:$C = $A80, 'Fund Investment Data'!$A:$A = W$1, 'Fund Investment Data'!$B:$B = 12),"""")"),"")</f>
        <v/>
      </c>
      <c r="X80" t="str">
        <f>IFERROR(__xludf.DUMMYFUNCTION("IFERROR(FILTER('Fund Investment Data'!$D:$D, 'Fund Investment Data'!$C:$C = $A80, 'Fund Investment Data'!$A:$A = X$1, 'Fund Investment Data'!$B:$B = 12),"""")"),"")</f>
        <v/>
      </c>
      <c r="Y80" t="str">
        <f>IFERROR(__xludf.DUMMYFUNCTION("IFERROR(FILTER('Fund Investment Data'!$D:$D, 'Fund Investment Data'!$C:$C = $A80, 'Fund Investment Data'!$A:$A = Y$1, 'Fund Investment Data'!$B:$B = 12),"""")"),"")</f>
        <v/>
      </c>
      <c r="Z80" t="str">
        <f>IFERROR(__xludf.DUMMYFUNCTION("IFERROR(FILTER('Fund Investment Data'!$D:$D, 'Fund Investment Data'!$C:$C = $A80, 'Fund Investment Data'!$A:$A = Z$1, 'Fund Investment Data'!$B:$B = 12),"""")"),"")</f>
        <v/>
      </c>
      <c r="AA80" t="str">
        <f>IFERROR(__xludf.DUMMYFUNCTION("IFERROR(FILTER('Fund Investment Data'!$D:$D, 'Fund Investment Data'!$C:$C = $A80, 'Fund Investment Data'!$A:$A = AA$1, 'Fund Investment Data'!$B:$B = 12),"""")"),"")</f>
        <v/>
      </c>
      <c r="AB80" t="str">
        <f>IFERROR(__xludf.DUMMYFUNCTION("IFERROR(FILTER('Fund Investment Data'!$D:$D, 'Fund Investment Data'!$C:$C = $A80, 'Fund Investment Data'!$A:$A = AB$1, 'Fund Investment Data'!$B:$B = 12),"""")"),"")</f>
        <v/>
      </c>
      <c r="AC80" t="str">
        <f>IFERROR(__xludf.DUMMYFUNCTION("IFERROR(FILTER('Fund Investment Data'!$D:$D, 'Fund Investment Data'!$C:$C = $A80, 'Fund Investment Data'!$A:$A = AC$1, 'Fund Investment Data'!$B:$B = 12),"""")"),"")</f>
        <v/>
      </c>
      <c r="AD80" t="str">
        <f>IFERROR(__xludf.DUMMYFUNCTION("IFERROR(FILTER('Fund Investment Data'!$D:$D, 'Fund Investment Data'!$C:$C = $A80, 'Fund Investment Data'!$A:$A = AD$1, 'Fund Investment Data'!$B:$B = 12),"""")"),"")</f>
        <v/>
      </c>
      <c r="AE80" t="str">
        <f>IFERROR(__xludf.DUMMYFUNCTION("IFERROR(FILTER('Fund Investment Data'!$D:$D, 'Fund Investment Data'!$C:$C = $A80, 'Fund Investment Data'!$A:$A = AE$1, 'Fund Investment Data'!$B:$B = 12),"""")"),"")</f>
        <v/>
      </c>
    </row>
    <row r="81">
      <c r="A81" s="150" t="str">
        <f>'Endowed Funds'!A:A</f>
        <v/>
      </c>
      <c r="B81" t="str">
        <f>IFERROR(__xludf.DUMMYFUNCTION("IFERROR(FILTER('Fund Investment Data'!$D:$D, 'Fund Investment Data'!$C:$C = $A81, 'Fund Investment Data'!$A:$A = B$1, 'Fund Investment Data'!$B:$B = 12),"""")"),"")</f>
        <v/>
      </c>
      <c r="C81" t="str">
        <f>IFERROR(__xludf.DUMMYFUNCTION("IFERROR(FILTER('Fund Investment Data'!$D:$D, 'Fund Investment Data'!$C:$C = $A81, 'Fund Investment Data'!$A:$A = C$1, 'Fund Investment Data'!$B:$B = 12),"""")"),"")</f>
        <v/>
      </c>
      <c r="D81" t="str">
        <f>IFERROR(__xludf.DUMMYFUNCTION("IFERROR(FILTER('Fund Investment Data'!$D:$D, 'Fund Investment Data'!$C:$C = $A81, 'Fund Investment Data'!$A:$A = D$1, 'Fund Investment Data'!$B:$B = 12),"""")"),"")</f>
        <v/>
      </c>
      <c r="E81" t="str">
        <f>IFERROR(__xludf.DUMMYFUNCTION("IFERROR(FILTER('Fund Investment Data'!$D:$D, 'Fund Investment Data'!$C:$C = $A81, 'Fund Investment Data'!$A:$A = E$1, 'Fund Investment Data'!$B:$B = 12),"""")"),"")</f>
        <v/>
      </c>
      <c r="F81" t="str">
        <f>IFERROR(__xludf.DUMMYFUNCTION("IFERROR(FILTER('Fund Investment Data'!$D:$D, 'Fund Investment Data'!$C:$C = $A81, 'Fund Investment Data'!$A:$A = F$1, 'Fund Investment Data'!$B:$B = 12),"""")"),"")</f>
        <v/>
      </c>
      <c r="G81" t="str">
        <f>IFERROR(__xludf.DUMMYFUNCTION("IFERROR(FILTER('Fund Investment Data'!$D:$D, 'Fund Investment Data'!$C:$C = $A81, 'Fund Investment Data'!$A:$A = G$1, 'Fund Investment Data'!$B:$B = 12),"""")"),"")</f>
        <v/>
      </c>
      <c r="H81" t="str">
        <f>IFERROR(__xludf.DUMMYFUNCTION("IFERROR(FILTER('Fund Investment Data'!$D:$D, 'Fund Investment Data'!$C:$C = $A81, 'Fund Investment Data'!$A:$A = H$1, 'Fund Investment Data'!$B:$B = 12),"""")"),"")</f>
        <v/>
      </c>
      <c r="I81" t="str">
        <f>IFERROR(__xludf.DUMMYFUNCTION("IFERROR(FILTER('Fund Investment Data'!$D:$D, 'Fund Investment Data'!$C:$C = $A81, 'Fund Investment Data'!$A:$A = I$1, 'Fund Investment Data'!$B:$B = 12),"""")"),"")</f>
        <v/>
      </c>
      <c r="J81" t="str">
        <f>IFERROR(__xludf.DUMMYFUNCTION("IFERROR(FILTER('Fund Investment Data'!$D:$D, 'Fund Investment Data'!$C:$C = $A81, 'Fund Investment Data'!$A:$A = J$1, 'Fund Investment Data'!$B:$B = 12),"""")"),"")</f>
        <v/>
      </c>
      <c r="K81" t="str">
        <f>IFERROR(__xludf.DUMMYFUNCTION("IFERROR(FILTER('Fund Investment Data'!$D:$D, 'Fund Investment Data'!$C:$C = $A81, 'Fund Investment Data'!$A:$A = K$1, 'Fund Investment Data'!$B:$B = 12),"""")"),"")</f>
        <v/>
      </c>
      <c r="L81" t="str">
        <f>IFERROR(__xludf.DUMMYFUNCTION("IFERROR(FILTER('Fund Investment Data'!$D:$D, 'Fund Investment Data'!$C:$C = $A81, 'Fund Investment Data'!$A:$A = L$1, 'Fund Investment Data'!$B:$B = 12),"""")"),"")</f>
        <v/>
      </c>
      <c r="M81" t="str">
        <f>IFERROR(__xludf.DUMMYFUNCTION("IFERROR(FILTER('Fund Investment Data'!$D:$D, 'Fund Investment Data'!$C:$C = $A81, 'Fund Investment Data'!$A:$A = M$1, 'Fund Investment Data'!$B:$B = 12),"""")"),"")</f>
        <v/>
      </c>
      <c r="N81" t="str">
        <f>IFERROR(__xludf.DUMMYFUNCTION("IFERROR(FILTER('Fund Investment Data'!$D:$D, 'Fund Investment Data'!$C:$C = $A81, 'Fund Investment Data'!$A:$A = N$1, 'Fund Investment Data'!$B:$B = 12),"""")"),"")</f>
        <v/>
      </c>
      <c r="O81" t="str">
        <f>IFERROR(__xludf.DUMMYFUNCTION("IFERROR(FILTER('Fund Investment Data'!$D:$D, 'Fund Investment Data'!$C:$C = $A81, 'Fund Investment Data'!$A:$A = O$1, 'Fund Investment Data'!$B:$B = 12),"""")"),"")</f>
        <v/>
      </c>
      <c r="P81" t="str">
        <f>IFERROR(__xludf.DUMMYFUNCTION("IFERROR(FILTER('Fund Investment Data'!$D:$D, 'Fund Investment Data'!$C:$C = $A81, 'Fund Investment Data'!$A:$A = P$1, 'Fund Investment Data'!$B:$B = 12),"""")"),"")</f>
        <v/>
      </c>
      <c r="Q81" t="str">
        <f>IFERROR(__xludf.DUMMYFUNCTION("IFERROR(FILTER('Fund Investment Data'!$D:$D, 'Fund Investment Data'!$C:$C = $A81, 'Fund Investment Data'!$A:$A = Q$1, 'Fund Investment Data'!$B:$B = 12),"""")"),"")</f>
        <v/>
      </c>
      <c r="R81" t="str">
        <f>IFERROR(__xludf.DUMMYFUNCTION("IFERROR(FILTER('Fund Investment Data'!$D:$D, 'Fund Investment Data'!$C:$C = $A81, 'Fund Investment Data'!$A:$A = R$1, 'Fund Investment Data'!$B:$B = 12),"""")"),"")</f>
        <v/>
      </c>
      <c r="S81" t="str">
        <f>IFERROR(__xludf.DUMMYFUNCTION("IFERROR(FILTER('Fund Investment Data'!$D:$D, 'Fund Investment Data'!$C:$C = $A81, 'Fund Investment Data'!$A:$A = S$1, 'Fund Investment Data'!$B:$B = 12),"""")"),"")</f>
        <v/>
      </c>
      <c r="T81" t="str">
        <f>IFERROR(__xludf.DUMMYFUNCTION("IFERROR(FILTER('Fund Investment Data'!$D:$D, 'Fund Investment Data'!$C:$C = $A81, 'Fund Investment Data'!$A:$A = T$1, 'Fund Investment Data'!$B:$B = 12),"""")"),"")</f>
        <v/>
      </c>
      <c r="U81" t="str">
        <f>IFERROR(__xludf.DUMMYFUNCTION("IFERROR(FILTER('Fund Investment Data'!$D:$D, 'Fund Investment Data'!$C:$C = $A81, 'Fund Investment Data'!$A:$A = U$1, 'Fund Investment Data'!$B:$B = 12),"""")"),"")</f>
        <v/>
      </c>
      <c r="V81" t="str">
        <f>IFERROR(__xludf.DUMMYFUNCTION("IFERROR(FILTER('Fund Investment Data'!$D:$D, 'Fund Investment Data'!$C:$C = $A81, 'Fund Investment Data'!$A:$A = V$1, 'Fund Investment Data'!$B:$B = 12),"""")"),"")</f>
        <v/>
      </c>
      <c r="W81" t="str">
        <f>IFERROR(__xludf.DUMMYFUNCTION("IFERROR(FILTER('Fund Investment Data'!$D:$D, 'Fund Investment Data'!$C:$C = $A81, 'Fund Investment Data'!$A:$A = W$1, 'Fund Investment Data'!$B:$B = 12),"""")"),"")</f>
        <v/>
      </c>
      <c r="X81" t="str">
        <f>IFERROR(__xludf.DUMMYFUNCTION("IFERROR(FILTER('Fund Investment Data'!$D:$D, 'Fund Investment Data'!$C:$C = $A81, 'Fund Investment Data'!$A:$A = X$1, 'Fund Investment Data'!$B:$B = 12),"""")"),"")</f>
        <v/>
      </c>
      <c r="Y81" t="str">
        <f>IFERROR(__xludf.DUMMYFUNCTION("IFERROR(FILTER('Fund Investment Data'!$D:$D, 'Fund Investment Data'!$C:$C = $A81, 'Fund Investment Data'!$A:$A = Y$1, 'Fund Investment Data'!$B:$B = 12),"""")"),"")</f>
        <v/>
      </c>
      <c r="Z81" t="str">
        <f>IFERROR(__xludf.DUMMYFUNCTION("IFERROR(FILTER('Fund Investment Data'!$D:$D, 'Fund Investment Data'!$C:$C = $A81, 'Fund Investment Data'!$A:$A = Z$1, 'Fund Investment Data'!$B:$B = 12),"""")"),"")</f>
        <v/>
      </c>
      <c r="AA81" t="str">
        <f>IFERROR(__xludf.DUMMYFUNCTION("IFERROR(FILTER('Fund Investment Data'!$D:$D, 'Fund Investment Data'!$C:$C = $A81, 'Fund Investment Data'!$A:$A = AA$1, 'Fund Investment Data'!$B:$B = 12),"""")"),"")</f>
        <v/>
      </c>
      <c r="AB81" t="str">
        <f>IFERROR(__xludf.DUMMYFUNCTION("IFERROR(FILTER('Fund Investment Data'!$D:$D, 'Fund Investment Data'!$C:$C = $A81, 'Fund Investment Data'!$A:$A = AB$1, 'Fund Investment Data'!$B:$B = 12),"""")"),"")</f>
        <v/>
      </c>
      <c r="AC81" t="str">
        <f>IFERROR(__xludf.DUMMYFUNCTION("IFERROR(FILTER('Fund Investment Data'!$D:$D, 'Fund Investment Data'!$C:$C = $A81, 'Fund Investment Data'!$A:$A = AC$1, 'Fund Investment Data'!$B:$B = 12),"""")"),"")</f>
        <v/>
      </c>
      <c r="AD81" t="str">
        <f>IFERROR(__xludf.DUMMYFUNCTION("IFERROR(FILTER('Fund Investment Data'!$D:$D, 'Fund Investment Data'!$C:$C = $A81, 'Fund Investment Data'!$A:$A = AD$1, 'Fund Investment Data'!$B:$B = 12),"""")"),"")</f>
        <v/>
      </c>
      <c r="AE81" t="str">
        <f>IFERROR(__xludf.DUMMYFUNCTION("IFERROR(FILTER('Fund Investment Data'!$D:$D, 'Fund Investment Data'!$C:$C = $A81, 'Fund Investment Data'!$A:$A = AE$1, 'Fund Investment Data'!$B:$B = 12),"""")"),"")</f>
        <v/>
      </c>
    </row>
    <row r="82">
      <c r="A82" s="150" t="str">
        <f>'Endowed Funds'!A:A</f>
        <v/>
      </c>
      <c r="B82" t="str">
        <f>IFERROR(__xludf.DUMMYFUNCTION("IFERROR(FILTER('Fund Investment Data'!$D:$D, 'Fund Investment Data'!$C:$C = $A82, 'Fund Investment Data'!$A:$A = B$1, 'Fund Investment Data'!$B:$B = 12),"""")"),"")</f>
        <v/>
      </c>
      <c r="C82" t="str">
        <f>IFERROR(__xludf.DUMMYFUNCTION("IFERROR(FILTER('Fund Investment Data'!$D:$D, 'Fund Investment Data'!$C:$C = $A82, 'Fund Investment Data'!$A:$A = C$1, 'Fund Investment Data'!$B:$B = 12),"""")"),"")</f>
        <v/>
      </c>
      <c r="D82" t="str">
        <f>IFERROR(__xludf.DUMMYFUNCTION("IFERROR(FILTER('Fund Investment Data'!$D:$D, 'Fund Investment Data'!$C:$C = $A82, 'Fund Investment Data'!$A:$A = D$1, 'Fund Investment Data'!$B:$B = 12),"""")"),"")</f>
        <v/>
      </c>
      <c r="E82" t="str">
        <f>IFERROR(__xludf.DUMMYFUNCTION("IFERROR(FILTER('Fund Investment Data'!$D:$D, 'Fund Investment Data'!$C:$C = $A82, 'Fund Investment Data'!$A:$A = E$1, 'Fund Investment Data'!$B:$B = 12),"""")"),"")</f>
        <v/>
      </c>
      <c r="F82" t="str">
        <f>IFERROR(__xludf.DUMMYFUNCTION("IFERROR(FILTER('Fund Investment Data'!$D:$D, 'Fund Investment Data'!$C:$C = $A82, 'Fund Investment Data'!$A:$A = F$1, 'Fund Investment Data'!$B:$B = 12),"""")"),"")</f>
        <v/>
      </c>
      <c r="G82" t="str">
        <f>IFERROR(__xludf.DUMMYFUNCTION("IFERROR(FILTER('Fund Investment Data'!$D:$D, 'Fund Investment Data'!$C:$C = $A82, 'Fund Investment Data'!$A:$A = G$1, 'Fund Investment Data'!$B:$B = 12),"""")"),"")</f>
        <v/>
      </c>
      <c r="H82" t="str">
        <f>IFERROR(__xludf.DUMMYFUNCTION("IFERROR(FILTER('Fund Investment Data'!$D:$D, 'Fund Investment Data'!$C:$C = $A82, 'Fund Investment Data'!$A:$A = H$1, 'Fund Investment Data'!$B:$B = 12),"""")"),"")</f>
        <v/>
      </c>
      <c r="I82" t="str">
        <f>IFERROR(__xludf.DUMMYFUNCTION("IFERROR(FILTER('Fund Investment Data'!$D:$D, 'Fund Investment Data'!$C:$C = $A82, 'Fund Investment Data'!$A:$A = I$1, 'Fund Investment Data'!$B:$B = 12),"""")"),"")</f>
        <v/>
      </c>
      <c r="J82" t="str">
        <f>IFERROR(__xludf.DUMMYFUNCTION("IFERROR(FILTER('Fund Investment Data'!$D:$D, 'Fund Investment Data'!$C:$C = $A82, 'Fund Investment Data'!$A:$A = J$1, 'Fund Investment Data'!$B:$B = 12),"""")"),"")</f>
        <v/>
      </c>
      <c r="K82" t="str">
        <f>IFERROR(__xludf.DUMMYFUNCTION("IFERROR(FILTER('Fund Investment Data'!$D:$D, 'Fund Investment Data'!$C:$C = $A82, 'Fund Investment Data'!$A:$A = K$1, 'Fund Investment Data'!$B:$B = 12),"""")"),"")</f>
        <v/>
      </c>
      <c r="L82" t="str">
        <f>IFERROR(__xludf.DUMMYFUNCTION("IFERROR(FILTER('Fund Investment Data'!$D:$D, 'Fund Investment Data'!$C:$C = $A82, 'Fund Investment Data'!$A:$A = L$1, 'Fund Investment Data'!$B:$B = 12),"""")"),"")</f>
        <v/>
      </c>
      <c r="M82" t="str">
        <f>IFERROR(__xludf.DUMMYFUNCTION("IFERROR(FILTER('Fund Investment Data'!$D:$D, 'Fund Investment Data'!$C:$C = $A82, 'Fund Investment Data'!$A:$A = M$1, 'Fund Investment Data'!$B:$B = 12),"""")"),"")</f>
        <v/>
      </c>
      <c r="N82" t="str">
        <f>IFERROR(__xludf.DUMMYFUNCTION("IFERROR(FILTER('Fund Investment Data'!$D:$D, 'Fund Investment Data'!$C:$C = $A82, 'Fund Investment Data'!$A:$A = N$1, 'Fund Investment Data'!$B:$B = 12),"""")"),"")</f>
        <v/>
      </c>
      <c r="O82" t="str">
        <f>IFERROR(__xludf.DUMMYFUNCTION("IFERROR(FILTER('Fund Investment Data'!$D:$D, 'Fund Investment Data'!$C:$C = $A82, 'Fund Investment Data'!$A:$A = O$1, 'Fund Investment Data'!$B:$B = 12),"""")"),"")</f>
        <v/>
      </c>
      <c r="P82" t="str">
        <f>IFERROR(__xludf.DUMMYFUNCTION("IFERROR(FILTER('Fund Investment Data'!$D:$D, 'Fund Investment Data'!$C:$C = $A82, 'Fund Investment Data'!$A:$A = P$1, 'Fund Investment Data'!$B:$B = 12),"""")"),"")</f>
        <v/>
      </c>
      <c r="Q82" t="str">
        <f>IFERROR(__xludf.DUMMYFUNCTION("IFERROR(FILTER('Fund Investment Data'!$D:$D, 'Fund Investment Data'!$C:$C = $A82, 'Fund Investment Data'!$A:$A = Q$1, 'Fund Investment Data'!$B:$B = 12),"""")"),"")</f>
        <v/>
      </c>
      <c r="R82" t="str">
        <f>IFERROR(__xludf.DUMMYFUNCTION("IFERROR(FILTER('Fund Investment Data'!$D:$D, 'Fund Investment Data'!$C:$C = $A82, 'Fund Investment Data'!$A:$A = R$1, 'Fund Investment Data'!$B:$B = 12),"""")"),"")</f>
        <v/>
      </c>
      <c r="S82" t="str">
        <f>IFERROR(__xludf.DUMMYFUNCTION("IFERROR(FILTER('Fund Investment Data'!$D:$D, 'Fund Investment Data'!$C:$C = $A82, 'Fund Investment Data'!$A:$A = S$1, 'Fund Investment Data'!$B:$B = 12),"""")"),"")</f>
        <v/>
      </c>
      <c r="T82" t="str">
        <f>IFERROR(__xludf.DUMMYFUNCTION("IFERROR(FILTER('Fund Investment Data'!$D:$D, 'Fund Investment Data'!$C:$C = $A82, 'Fund Investment Data'!$A:$A = T$1, 'Fund Investment Data'!$B:$B = 12),"""")"),"")</f>
        <v/>
      </c>
      <c r="U82" t="str">
        <f>IFERROR(__xludf.DUMMYFUNCTION("IFERROR(FILTER('Fund Investment Data'!$D:$D, 'Fund Investment Data'!$C:$C = $A82, 'Fund Investment Data'!$A:$A = U$1, 'Fund Investment Data'!$B:$B = 12),"""")"),"")</f>
        <v/>
      </c>
      <c r="V82" t="str">
        <f>IFERROR(__xludf.DUMMYFUNCTION("IFERROR(FILTER('Fund Investment Data'!$D:$D, 'Fund Investment Data'!$C:$C = $A82, 'Fund Investment Data'!$A:$A = V$1, 'Fund Investment Data'!$B:$B = 12),"""")"),"")</f>
        <v/>
      </c>
      <c r="W82" t="str">
        <f>IFERROR(__xludf.DUMMYFUNCTION("IFERROR(FILTER('Fund Investment Data'!$D:$D, 'Fund Investment Data'!$C:$C = $A82, 'Fund Investment Data'!$A:$A = W$1, 'Fund Investment Data'!$B:$B = 12),"""")"),"")</f>
        <v/>
      </c>
      <c r="X82" t="str">
        <f>IFERROR(__xludf.DUMMYFUNCTION("IFERROR(FILTER('Fund Investment Data'!$D:$D, 'Fund Investment Data'!$C:$C = $A82, 'Fund Investment Data'!$A:$A = X$1, 'Fund Investment Data'!$B:$B = 12),"""")"),"")</f>
        <v/>
      </c>
      <c r="Y82" t="str">
        <f>IFERROR(__xludf.DUMMYFUNCTION("IFERROR(FILTER('Fund Investment Data'!$D:$D, 'Fund Investment Data'!$C:$C = $A82, 'Fund Investment Data'!$A:$A = Y$1, 'Fund Investment Data'!$B:$B = 12),"""")"),"")</f>
        <v/>
      </c>
      <c r="Z82" t="str">
        <f>IFERROR(__xludf.DUMMYFUNCTION("IFERROR(FILTER('Fund Investment Data'!$D:$D, 'Fund Investment Data'!$C:$C = $A82, 'Fund Investment Data'!$A:$A = Z$1, 'Fund Investment Data'!$B:$B = 12),"""")"),"")</f>
        <v/>
      </c>
      <c r="AA82" t="str">
        <f>IFERROR(__xludf.DUMMYFUNCTION("IFERROR(FILTER('Fund Investment Data'!$D:$D, 'Fund Investment Data'!$C:$C = $A82, 'Fund Investment Data'!$A:$A = AA$1, 'Fund Investment Data'!$B:$B = 12),"""")"),"")</f>
        <v/>
      </c>
      <c r="AB82" t="str">
        <f>IFERROR(__xludf.DUMMYFUNCTION("IFERROR(FILTER('Fund Investment Data'!$D:$D, 'Fund Investment Data'!$C:$C = $A82, 'Fund Investment Data'!$A:$A = AB$1, 'Fund Investment Data'!$B:$B = 12),"""")"),"")</f>
        <v/>
      </c>
      <c r="AC82" t="str">
        <f>IFERROR(__xludf.DUMMYFUNCTION("IFERROR(FILTER('Fund Investment Data'!$D:$D, 'Fund Investment Data'!$C:$C = $A82, 'Fund Investment Data'!$A:$A = AC$1, 'Fund Investment Data'!$B:$B = 12),"""")"),"")</f>
        <v/>
      </c>
      <c r="AD82" t="str">
        <f>IFERROR(__xludf.DUMMYFUNCTION("IFERROR(FILTER('Fund Investment Data'!$D:$D, 'Fund Investment Data'!$C:$C = $A82, 'Fund Investment Data'!$A:$A = AD$1, 'Fund Investment Data'!$B:$B = 12),"""")"),"")</f>
        <v/>
      </c>
      <c r="AE82" t="str">
        <f>IFERROR(__xludf.DUMMYFUNCTION("IFERROR(FILTER('Fund Investment Data'!$D:$D, 'Fund Investment Data'!$C:$C = $A82, 'Fund Investment Data'!$A:$A = AE$1, 'Fund Investment Data'!$B:$B = 12),"""")"),"")</f>
        <v/>
      </c>
    </row>
    <row r="83">
      <c r="A83" s="150" t="str">
        <f>'Endowed Funds'!A:A</f>
        <v/>
      </c>
      <c r="B83" t="str">
        <f>IFERROR(__xludf.DUMMYFUNCTION("IFERROR(FILTER('Fund Investment Data'!$D:$D, 'Fund Investment Data'!$C:$C = $A83, 'Fund Investment Data'!$A:$A = B$1, 'Fund Investment Data'!$B:$B = 12),"""")"),"")</f>
        <v/>
      </c>
      <c r="C83" t="str">
        <f>IFERROR(__xludf.DUMMYFUNCTION("IFERROR(FILTER('Fund Investment Data'!$D:$D, 'Fund Investment Data'!$C:$C = $A83, 'Fund Investment Data'!$A:$A = C$1, 'Fund Investment Data'!$B:$B = 12),"""")"),"")</f>
        <v/>
      </c>
      <c r="D83" t="str">
        <f>IFERROR(__xludf.DUMMYFUNCTION("IFERROR(FILTER('Fund Investment Data'!$D:$D, 'Fund Investment Data'!$C:$C = $A83, 'Fund Investment Data'!$A:$A = D$1, 'Fund Investment Data'!$B:$B = 12),"""")"),"")</f>
        <v/>
      </c>
      <c r="E83" t="str">
        <f>IFERROR(__xludf.DUMMYFUNCTION("IFERROR(FILTER('Fund Investment Data'!$D:$D, 'Fund Investment Data'!$C:$C = $A83, 'Fund Investment Data'!$A:$A = E$1, 'Fund Investment Data'!$B:$B = 12),"""")"),"")</f>
        <v/>
      </c>
      <c r="F83" t="str">
        <f>IFERROR(__xludf.DUMMYFUNCTION("IFERROR(FILTER('Fund Investment Data'!$D:$D, 'Fund Investment Data'!$C:$C = $A83, 'Fund Investment Data'!$A:$A = F$1, 'Fund Investment Data'!$B:$B = 12),"""")"),"")</f>
        <v/>
      </c>
      <c r="G83" t="str">
        <f>IFERROR(__xludf.DUMMYFUNCTION("IFERROR(FILTER('Fund Investment Data'!$D:$D, 'Fund Investment Data'!$C:$C = $A83, 'Fund Investment Data'!$A:$A = G$1, 'Fund Investment Data'!$B:$B = 12),"""")"),"")</f>
        <v/>
      </c>
      <c r="H83" t="str">
        <f>IFERROR(__xludf.DUMMYFUNCTION("IFERROR(FILTER('Fund Investment Data'!$D:$D, 'Fund Investment Data'!$C:$C = $A83, 'Fund Investment Data'!$A:$A = H$1, 'Fund Investment Data'!$B:$B = 12),"""")"),"")</f>
        <v/>
      </c>
      <c r="I83" t="str">
        <f>IFERROR(__xludf.DUMMYFUNCTION("IFERROR(FILTER('Fund Investment Data'!$D:$D, 'Fund Investment Data'!$C:$C = $A83, 'Fund Investment Data'!$A:$A = I$1, 'Fund Investment Data'!$B:$B = 12),"""")"),"")</f>
        <v/>
      </c>
      <c r="J83" t="str">
        <f>IFERROR(__xludf.DUMMYFUNCTION("IFERROR(FILTER('Fund Investment Data'!$D:$D, 'Fund Investment Data'!$C:$C = $A83, 'Fund Investment Data'!$A:$A = J$1, 'Fund Investment Data'!$B:$B = 12),"""")"),"")</f>
        <v/>
      </c>
      <c r="K83" t="str">
        <f>IFERROR(__xludf.DUMMYFUNCTION("IFERROR(FILTER('Fund Investment Data'!$D:$D, 'Fund Investment Data'!$C:$C = $A83, 'Fund Investment Data'!$A:$A = K$1, 'Fund Investment Data'!$B:$B = 12),"""")"),"")</f>
        <v/>
      </c>
      <c r="L83" t="str">
        <f>IFERROR(__xludf.DUMMYFUNCTION("IFERROR(FILTER('Fund Investment Data'!$D:$D, 'Fund Investment Data'!$C:$C = $A83, 'Fund Investment Data'!$A:$A = L$1, 'Fund Investment Data'!$B:$B = 12),"""")"),"")</f>
        <v/>
      </c>
      <c r="M83" t="str">
        <f>IFERROR(__xludf.DUMMYFUNCTION("IFERROR(FILTER('Fund Investment Data'!$D:$D, 'Fund Investment Data'!$C:$C = $A83, 'Fund Investment Data'!$A:$A = M$1, 'Fund Investment Data'!$B:$B = 12),"""")"),"")</f>
        <v/>
      </c>
      <c r="N83" t="str">
        <f>IFERROR(__xludf.DUMMYFUNCTION("IFERROR(FILTER('Fund Investment Data'!$D:$D, 'Fund Investment Data'!$C:$C = $A83, 'Fund Investment Data'!$A:$A = N$1, 'Fund Investment Data'!$B:$B = 12),"""")"),"")</f>
        <v/>
      </c>
      <c r="O83" t="str">
        <f>IFERROR(__xludf.DUMMYFUNCTION("IFERROR(FILTER('Fund Investment Data'!$D:$D, 'Fund Investment Data'!$C:$C = $A83, 'Fund Investment Data'!$A:$A = O$1, 'Fund Investment Data'!$B:$B = 12),"""")"),"")</f>
        <v/>
      </c>
      <c r="P83" t="str">
        <f>IFERROR(__xludf.DUMMYFUNCTION("IFERROR(FILTER('Fund Investment Data'!$D:$D, 'Fund Investment Data'!$C:$C = $A83, 'Fund Investment Data'!$A:$A = P$1, 'Fund Investment Data'!$B:$B = 12),"""")"),"")</f>
        <v/>
      </c>
      <c r="Q83" t="str">
        <f>IFERROR(__xludf.DUMMYFUNCTION("IFERROR(FILTER('Fund Investment Data'!$D:$D, 'Fund Investment Data'!$C:$C = $A83, 'Fund Investment Data'!$A:$A = Q$1, 'Fund Investment Data'!$B:$B = 12),"""")"),"")</f>
        <v/>
      </c>
      <c r="R83" t="str">
        <f>IFERROR(__xludf.DUMMYFUNCTION("IFERROR(FILTER('Fund Investment Data'!$D:$D, 'Fund Investment Data'!$C:$C = $A83, 'Fund Investment Data'!$A:$A = R$1, 'Fund Investment Data'!$B:$B = 12),"""")"),"")</f>
        <v/>
      </c>
      <c r="S83" t="str">
        <f>IFERROR(__xludf.DUMMYFUNCTION("IFERROR(FILTER('Fund Investment Data'!$D:$D, 'Fund Investment Data'!$C:$C = $A83, 'Fund Investment Data'!$A:$A = S$1, 'Fund Investment Data'!$B:$B = 12),"""")"),"")</f>
        <v/>
      </c>
      <c r="T83" t="str">
        <f>IFERROR(__xludf.DUMMYFUNCTION("IFERROR(FILTER('Fund Investment Data'!$D:$D, 'Fund Investment Data'!$C:$C = $A83, 'Fund Investment Data'!$A:$A = T$1, 'Fund Investment Data'!$B:$B = 12),"""")"),"")</f>
        <v/>
      </c>
      <c r="U83" t="str">
        <f>IFERROR(__xludf.DUMMYFUNCTION("IFERROR(FILTER('Fund Investment Data'!$D:$D, 'Fund Investment Data'!$C:$C = $A83, 'Fund Investment Data'!$A:$A = U$1, 'Fund Investment Data'!$B:$B = 12),"""")"),"")</f>
        <v/>
      </c>
      <c r="V83" t="str">
        <f>IFERROR(__xludf.DUMMYFUNCTION("IFERROR(FILTER('Fund Investment Data'!$D:$D, 'Fund Investment Data'!$C:$C = $A83, 'Fund Investment Data'!$A:$A = V$1, 'Fund Investment Data'!$B:$B = 12),"""")"),"")</f>
        <v/>
      </c>
      <c r="W83" t="str">
        <f>IFERROR(__xludf.DUMMYFUNCTION("IFERROR(FILTER('Fund Investment Data'!$D:$D, 'Fund Investment Data'!$C:$C = $A83, 'Fund Investment Data'!$A:$A = W$1, 'Fund Investment Data'!$B:$B = 12),"""")"),"")</f>
        <v/>
      </c>
      <c r="X83" t="str">
        <f>IFERROR(__xludf.DUMMYFUNCTION("IFERROR(FILTER('Fund Investment Data'!$D:$D, 'Fund Investment Data'!$C:$C = $A83, 'Fund Investment Data'!$A:$A = X$1, 'Fund Investment Data'!$B:$B = 12),"""")"),"")</f>
        <v/>
      </c>
      <c r="Y83" t="str">
        <f>IFERROR(__xludf.DUMMYFUNCTION("IFERROR(FILTER('Fund Investment Data'!$D:$D, 'Fund Investment Data'!$C:$C = $A83, 'Fund Investment Data'!$A:$A = Y$1, 'Fund Investment Data'!$B:$B = 12),"""")"),"")</f>
        <v/>
      </c>
      <c r="Z83" t="str">
        <f>IFERROR(__xludf.DUMMYFUNCTION("IFERROR(FILTER('Fund Investment Data'!$D:$D, 'Fund Investment Data'!$C:$C = $A83, 'Fund Investment Data'!$A:$A = Z$1, 'Fund Investment Data'!$B:$B = 12),"""")"),"")</f>
        <v/>
      </c>
      <c r="AA83" t="str">
        <f>IFERROR(__xludf.DUMMYFUNCTION("IFERROR(FILTER('Fund Investment Data'!$D:$D, 'Fund Investment Data'!$C:$C = $A83, 'Fund Investment Data'!$A:$A = AA$1, 'Fund Investment Data'!$B:$B = 12),"""")"),"")</f>
        <v/>
      </c>
      <c r="AB83" t="str">
        <f>IFERROR(__xludf.DUMMYFUNCTION("IFERROR(FILTER('Fund Investment Data'!$D:$D, 'Fund Investment Data'!$C:$C = $A83, 'Fund Investment Data'!$A:$A = AB$1, 'Fund Investment Data'!$B:$B = 12),"""")"),"")</f>
        <v/>
      </c>
      <c r="AC83" t="str">
        <f>IFERROR(__xludf.DUMMYFUNCTION("IFERROR(FILTER('Fund Investment Data'!$D:$D, 'Fund Investment Data'!$C:$C = $A83, 'Fund Investment Data'!$A:$A = AC$1, 'Fund Investment Data'!$B:$B = 12),"""")"),"")</f>
        <v/>
      </c>
      <c r="AD83" t="str">
        <f>IFERROR(__xludf.DUMMYFUNCTION("IFERROR(FILTER('Fund Investment Data'!$D:$D, 'Fund Investment Data'!$C:$C = $A83, 'Fund Investment Data'!$A:$A = AD$1, 'Fund Investment Data'!$B:$B = 12),"""")"),"")</f>
        <v/>
      </c>
      <c r="AE83" t="str">
        <f>IFERROR(__xludf.DUMMYFUNCTION("IFERROR(FILTER('Fund Investment Data'!$D:$D, 'Fund Investment Data'!$C:$C = $A83, 'Fund Investment Data'!$A:$A = AE$1, 'Fund Investment Data'!$B:$B = 12),"""")"),"")</f>
        <v/>
      </c>
    </row>
    <row r="84">
      <c r="A84" s="150" t="str">
        <f>'Endowed Funds'!A:A</f>
        <v/>
      </c>
      <c r="B84" t="str">
        <f>IFERROR(__xludf.DUMMYFUNCTION("IFERROR(FILTER('Fund Investment Data'!$D:$D, 'Fund Investment Data'!$C:$C = $A84, 'Fund Investment Data'!$A:$A = B$1, 'Fund Investment Data'!$B:$B = 12),"""")"),"")</f>
        <v/>
      </c>
      <c r="C84" t="str">
        <f>IFERROR(__xludf.DUMMYFUNCTION("IFERROR(FILTER('Fund Investment Data'!$D:$D, 'Fund Investment Data'!$C:$C = $A84, 'Fund Investment Data'!$A:$A = C$1, 'Fund Investment Data'!$B:$B = 12),"""")"),"")</f>
        <v/>
      </c>
      <c r="D84" t="str">
        <f>IFERROR(__xludf.DUMMYFUNCTION("IFERROR(FILTER('Fund Investment Data'!$D:$D, 'Fund Investment Data'!$C:$C = $A84, 'Fund Investment Data'!$A:$A = D$1, 'Fund Investment Data'!$B:$B = 12),"""")"),"")</f>
        <v/>
      </c>
      <c r="E84" t="str">
        <f>IFERROR(__xludf.DUMMYFUNCTION("IFERROR(FILTER('Fund Investment Data'!$D:$D, 'Fund Investment Data'!$C:$C = $A84, 'Fund Investment Data'!$A:$A = E$1, 'Fund Investment Data'!$B:$B = 12),"""")"),"")</f>
        <v/>
      </c>
      <c r="F84" t="str">
        <f>IFERROR(__xludf.DUMMYFUNCTION("IFERROR(FILTER('Fund Investment Data'!$D:$D, 'Fund Investment Data'!$C:$C = $A84, 'Fund Investment Data'!$A:$A = F$1, 'Fund Investment Data'!$B:$B = 12),"""")"),"")</f>
        <v/>
      </c>
      <c r="G84" t="str">
        <f>IFERROR(__xludf.DUMMYFUNCTION("IFERROR(FILTER('Fund Investment Data'!$D:$D, 'Fund Investment Data'!$C:$C = $A84, 'Fund Investment Data'!$A:$A = G$1, 'Fund Investment Data'!$B:$B = 12),"""")"),"")</f>
        <v/>
      </c>
      <c r="H84" t="str">
        <f>IFERROR(__xludf.DUMMYFUNCTION("IFERROR(FILTER('Fund Investment Data'!$D:$D, 'Fund Investment Data'!$C:$C = $A84, 'Fund Investment Data'!$A:$A = H$1, 'Fund Investment Data'!$B:$B = 12),"""")"),"")</f>
        <v/>
      </c>
      <c r="I84" t="str">
        <f>IFERROR(__xludf.DUMMYFUNCTION("IFERROR(FILTER('Fund Investment Data'!$D:$D, 'Fund Investment Data'!$C:$C = $A84, 'Fund Investment Data'!$A:$A = I$1, 'Fund Investment Data'!$B:$B = 12),"""")"),"")</f>
        <v/>
      </c>
      <c r="J84" t="str">
        <f>IFERROR(__xludf.DUMMYFUNCTION("IFERROR(FILTER('Fund Investment Data'!$D:$D, 'Fund Investment Data'!$C:$C = $A84, 'Fund Investment Data'!$A:$A = J$1, 'Fund Investment Data'!$B:$B = 12),"""")"),"")</f>
        <v/>
      </c>
      <c r="K84" t="str">
        <f>IFERROR(__xludf.DUMMYFUNCTION("IFERROR(FILTER('Fund Investment Data'!$D:$D, 'Fund Investment Data'!$C:$C = $A84, 'Fund Investment Data'!$A:$A = K$1, 'Fund Investment Data'!$B:$B = 12),"""")"),"")</f>
        <v/>
      </c>
      <c r="L84" t="str">
        <f>IFERROR(__xludf.DUMMYFUNCTION("IFERROR(FILTER('Fund Investment Data'!$D:$D, 'Fund Investment Data'!$C:$C = $A84, 'Fund Investment Data'!$A:$A = L$1, 'Fund Investment Data'!$B:$B = 12),"""")"),"")</f>
        <v/>
      </c>
      <c r="M84" t="str">
        <f>IFERROR(__xludf.DUMMYFUNCTION("IFERROR(FILTER('Fund Investment Data'!$D:$D, 'Fund Investment Data'!$C:$C = $A84, 'Fund Investment Data'!$A:$A = M$1, 'Fund Investment Data'!$B:$B = 12),"""")"),"")</f>
        <v/>
      </c>
      <c r="N84" t="str">
        <f>IFERROR(__xludf.DUMMYFUNCTION("IFERROR(FILTER('Fund Investment Data'!$D:$D, 'Fund Investment Data'!$C:$C = $A84, 'Fund Investment Data'!$A:$A = N$1, 'Fund Investment Data'!$B:$B = 12),"""")"),"")</f>
        <v/>
      </c>
      <c r="O84" t="str">
        <f>IFERROR(__xludf.DUMMYFUNCTION("IFERROR(FILTER('Fund Investment Data'!$D:$D, 'Fund Investment Data'!$C:$C = $A84, 'Fund Investment Data'!$A:$A = O$1, 'Fund Investment Data'!$B:$B = 12),"""")"),"")</f>
        <v/>
      </c>
      <c r="P84" t="str">
        <f>IFERROR(__xludf.DUMMYFUNCTION("IFERROR(FILTER('Fund Investment Data'!$D:$D, 'Fund Investment Data'!$C:$C = $A84, 'Fund Investment Data'!$A:$A = P$1, 'Fund Investment Data'!$B:$B = 12),"""")"),"")</f>
        <v/>
      </c>
      <c r="Q84" t="str">
        <f>IFERROR(__xludf.DUMMYFUNCTION("IFERROR(FILTER('Fund Investment Data'!$D:$D, 'Fund Investment Data'!$C:$C = $A84, 'Fund Investment Data'!$A:$A = Q$1, 'Fund Investment Data'!$B:$B = 12),"""")"),"")</f>
        <v/>
      </c>
      <c r="R84" t="str">
        <f>IFERROR(__xludf.DUMMYFUNCTION("IFERROR(FILTER('Fund Investment Data'!$D:$D, 'Fund Investment Data'!$C:$C = $A84, 'Fund Investment Data'!$A:$A = R$1, 'Fund Investment Data'!$B:$B = 12),"""")"),"")</f>
        <v/>
      </c>
      <c r="S84" t="str">
        <f>IFERROR(__xludf.DUMMYFUNCTION("IFERROR(FILTER('Fund Investment Data'!$D:$D, 'Fund Investment Data'!$C:$C = $A84, 'Fund Investment Data'!$A:$A = S$1, 'Fund Investment Data'!$B:$B = 12),"""")"),"")</f>
        <v/>
      </c>
      <c r="T84" t="str">
        <f>IFERROR(__xludf.DUMMYFUNCTION("IFERROR(FILTER('Fund Investment Data'!$D:$D, 'Fund Investment Data'!$C:$C = $A84, 'Fund Investment Data'!$A:$A = T$1, 'Fund Investment Data'!$B:$B = 12),"""")"),"")</f>
        <v/>
      </c>
      <c r="U84" t="str">
        <f>IFERROR(__xludf.DUMMYFUNCTION("IFERROR(FILTER('Fund Investment Data'!$D:$D, 'Fund Investment Data'!$C:$C = $A84, 'Fund Investment Data'!$A:$A = U$1, 'Fund Investment Data'!$B:$B = 12),"""")"),"")</f>
        <v/>
      </c>
      <c r="V84" t="str">
        <f>IFERROR(__xludf.DUMMYFUNCTION("IFERROR(FILTER('Fund Investment Data'!$D:$D, 'Fund Investment Data'!$C:$C = $A84, 'Fund Investment Data'!$A:$A = V$1, 'Fund Investment Data'!$B:$B = 12),"""")"),"")</f>
        <v/>
      </c>
      <c r="W84" t="str">
        <f>IFERROR(__xludf.DUMMYFUNCTION("IFERROR(FILTER('Fund Investment Data'!$D:$D, 'Fund Investment Data'!$C:$C = $A84, 'Fund Investment Data'!$A:$A = W$1, 'Fund Investment Data'!$B:$B = 12),"""")"),"")</f>
        <v/>
      </c>
      <c r="X84" t="str">
        <f>IFERROR(__xludf.DUMMYFUNCTION("IFERROR(FILTER('Fund Investment Data'!$D:$D, 'Fund Investment Data'!$C:$C = $A84, 'Fund Investment Data'!$A:$A = X$1, 'Fund Investment Data'!$B:$B = 12),"""")"),"")</f>
        <v/>
      </c>
      <c r="Y84" t="str">
        <f>IFERROR(__xludf.DUMMYFUNCTION("IFERROR(FILTER('Fund Investment Data'!$D:$D, 'Fund Investment Data'!$C:$C = $A84, 'Fund Investment Data'!$A:$A = Y$1, 'Fund Investment Data'!$B:$B = 12),"""")"),"")</f>
        <v/>
      </c>
      <c r="Z84" t="str">
        <f>IFERROR(__xludf.DUMMYFUNCTION("IFERROR(FILTER('Fund Investment Data'!$D:$D, 'Fund Investment Data'!$C:$C = $A84, 'Fund Investment Data'!$A:$A = Z$1, 'Fund Investment Data'!$B:$B = 12),"""")"),"")</f>
        <v/>
      </c>
      <c r="AA84" t="str">
        <f>IFERROR(__xludf.DUMMYFUNCTION("IFERROR(FILTER('Fund Investment Data'!$D:$D, 'Fund Investment Data'!$C:$C = $A84, 'Fund Investment Data'!$A:$A = AA$1, 'Fund Investment Data'!$B:$B = 12),"""")"),"")</f>
        <v/>
      </c>
      <c r="AB84" t="str">
        <f>IFERROR(__xludf.DUMMYFUNCTION("IFERROR(FILTER('Fund Investment Data'!$D:$D, 'Fund Investment Data'!$C:$C = $A84, 'Fund Investment Data'!$A:$A = AB$1, 'Fund Investment Data'!$B:$B = 12),"""")"),"")</f>
        <v/>
      </c>
      <c r="AC84" t="str">
        <f>IFERROR(__xludf.DUMMYFUNCTION("IFERROR(FILTER('Fund Investment Data'!$D:$D, 'Fund Investment Data'!$C:$C = $A84, 'Fund Investment Data'!$A:$A = AC$1, 'Fund Investment Data'!$B:$B = 12),"""")"),"")</f>
        <v/>
      </c>
      <c r="AD84" t="str">
        <f>IFERROR(__xludf.DUMMYFUNCTION("IFERROR(FILTER('Fund Investment Data'!$D:$D, 'Fund Investment Data'!$C:$C = $A84, 'Fund Investment Data'!$A:$A = AD$1, 'Fund Investment Data'!$B:$B = 12),"""")"),"")</f>
        <v/>
      </c>
      <c r="AE84" t="str">
        <f>IFERROR(__xludf.DUMMYFUNCTION("IFERROR(FILTER('Fund Investment Data'!$D:$D, 'Fund Investment Data'!$C:$C = $A84, 'Fund Investment Data'!$A:$A = AE$1, 'Fund Investment Data'!$B:$B = 12),"""")"),"")</f>
        <v/>
      </c>
    </row>
    <row r="85">
      <c r="A85" s="150" t="str">
        <f>'Endowed Funds'!A:A</f>
        <v/>
      </c>
      <c r="B85" t="str">
        <f>IFERROR(__xludf.DUMMYFUNCTION("IFERROR(FILTER('Fund Investment Data'!$D:$D, 'Fund Investment Data'!$C:$C = $A85, 'Fund Investment Data'!$A:$A = B$1, 'Fund Investment Data'!$B:$B = 12),"""")"),"")</f>
        <v/>
      </c>
      <c r="C85" t="str">
        <f>IFERROR(__xludf.DUMMYFUNCTION("IFERROR(FILTER('Fund Investment Data'!$D:$D, 'Fund Investment Data'!$C:$C = $A85, 'Fund Investment Data'!$A:$A = C$1, 'Fund Investment Data'!$B:$B = 12),"""")"),"")</f>
        <v/>
      </c>
      <c r="D85" t="str">
        <f>IFERROR(__xludf.DUMMYFUNCTION("IFERROR(FILTER('Fund Investment Data'!$D:$D, 'Fund Investment Data'!$C:$C = $A85, 'Fund Investment Data'!$A:$A = D$1, 'Fund Investment Data'!$B:$B = 12),"""")"),"")</f>
        <v/>
      </c>
      <c r="E85" t="str">
        <f>IFERROR(__xludf.DUMMYFUNCTION("IFERROR(FILTER('Fund Investment Data'!$D:$D, 'Fund Investment Data'!$C:$C = $A85, 'Fund Investment Data'!$A:$A = E$1, 'Fund Investment Data'!$B:$B = 12),"""")"),"")</f>
        <v/>
      </c>
      <c r="F85" t="str">
        <f>IFERROR(__xludf.DUMMYFUNCTION("IFERROR(FILTER('Fund Investment Data'!$D:$D, 'Fund Investment Data'!$C:$C = $A85, 'Fund Investment Data'!$A:$A = F$1, 'Fund Investment Data'!$B:$B = 12),"""")"),"")</f>
        <v/>
      </c>
      <c r="G85" t="str">
        <f>IFERROR(__xludf.DUMMYFUNCTION("IFERROR(FILTER('Fund Investment Data'!$D:$D, 'Fund Investment Data'!$C:$C = $A85, 'Fund Investment Data'!$A:$A = G$1, 'Fund Investment Data'!$B:$B = 12),"""")"),"")</f>
        <v/>
      </c>
      <c r="H85" t="str">
        <f>IFERROR(__xludf.DUMMYFUNCTION("IFERROR(FILTER('Fund Investment Data'!$D:$D, 'Fund Investment Data'!$C:$C = $A85, 'Fund Investment Data'!$A:$A = H$1, 'Fund Investment Data'!$B:$B = 12),"""")"),"")</f>
        <v/>
      </c>
      <c r="I85" t="str">
        <f>IFERROR(__xludf.DUMMYFUNCTION("IFERROR(FILTER('Fund Investment Data'!$D:$D, 'Fund Investment Data'!$C:$C = $A85, 'Fund Investment Data'!$A:$A = I$1, 'Fund Investment Data'!$B:$B = 12),"""")"),"")</f>
        <v/>
      </c>
      <c r="J85" t="str">
        <f>IFERROR(__xludf.DUMMYFUNCTION("IFERROR(FILTER('Fund Investment Data'!$D:$D, 'Fund Investment Data'!$C:$C = $A85, 'Fund Investment Data'!$A:$A = J$1, 'Fund Investment Data'!$B:$B = 12),"""")"),"")</f>
        <v/>
      </c>
      <c r="K85" t="str">
        <f>IFERROR(__xludf.DUMMYFUNCTION("IFERROR(FILTER('Fund Investment Data'!$D:$D, 'Fund Investment Data'!$C:$C = $A85, 'Fund Investment Data'!$A:$A = K$1, 'Fund Investment Data'!$B:$B = 12),"""")"),"")</f>
        <v/>
      </c>
      <c r="L85" t="str">
        <f>IFERROR(__xludf.DUMMYFUNCTION("IFERROR(FILTER('Fund Investment Data'!$D:$D, 'Fund Investment Data'!$C:$C = $A85, 'Fund Investment Data'!$A:$A = L$1, 'Fund Investment Data'!$B:$B = 12),"""")"),"")</f>
        <v/>
      </c>
      <c r="M85" t="str">
        <f>IFERROR(__xludf.DUMMYFUNCTION("IFERROR(FILTER('Fund Investment Data'!$D:$D, 'Fund Investment Data'!$C:$C = $A85, 'Fund Investment Data'!$A:$A = M$1, 'Fund Investment Data'!$B:$B = 12),"""")"),"")</f>
        <v/>
      </c>
      <c r="N85" t="str">
        <f>IFERROR(__xludf.DUMMYFUNCTION("IFERROR(FILTER('Fund Investment Data'!$D:$D, 'Fund Investment Data'!$C:$C = $A85, 'Fund Investment Data'!$A:$A = N$1, 'Fund Investment Data'!$B:$B = 12),"""")"),"")</f>
        <v/>
      </c>
      <c r="O85" t="str">
        <f>IFERROR(__xludf.DUMMYFUNCTION("IFERROR(FILTER('Fund Investment Data'!$D:$D, 'Fund Investment Data'!$C:$C = $A85, 'Fund Investment Data'!$A:$A = O$1, 'Fund Investment Data'!$B:$B = 12),"""")"),"")</f>
        <v/>
      </c>
      <c r="P85" t="str">
        <f>IFERROR(__xludf.DUMMYFUNCTION("IFERROR(FILTER('Fund Investment Data'!$D:$D, 'Fund Investment Data'!$C:$C = $A85, 'Fund Investment Data'!$A:$A = P$1, 'Fund Investment Data'!$B:$B = 12),"""")"),"")</f>
        <v/>
      </c>
      <c r="Q85" t="str">
        <f>IFERROR(__xludf.DUMMYFUNCTION("IFERROR(FILTER('Fund Investment Data'!$D:$D, 'Fund Investment Data'!$C:$C = $A85, 'Fund Investment Data'!$A:$A = Q$1, 'Fund Investment Data'!$B:$B = 12),"""")"),"")</f>
        <v/>
      </c>
      <c r="R85" t="str">
        <f>IFERROR(__xludf.DUMMYFUNCTION("IFERROR(FILTER('Fund Investment Data'!$D:$D, 'Fund Investment Data'!$C:$C = $A85, 'Fund Investment Data'!$A:$A = R$1, 'Fund Investment Data'!$B:$B = 12),"""")"),"")</f>
        <v/>
      </c>
      <c r="S85" t="str">
        <f>IFERROR(__xludf.DUMMYFUNCTION("IFERROR(FILTER('Fund Investment Data'!$D:$D, 'Fund Investment Data'!$C:$C = $A85, 'Fund Investment Data'!$A:$A = S$1, 'Fund Investment Data'!$B:$B = 12),"""")"),"")</f>
        <v/>
      </c>
      <c r="T85" t="str">
        <f>IFERROR(__xludf.DUMMYFUNCTION("IFERROR(FILTER('Fund Investment Data'!$D:$D, 'Fund Investment Data'!$C:$C = $A85, 'Fund Investment Data'!$A:$A = T$1, 'Fund Investment Data'!$B:$B = 12),"""")"),"")</f>
        <v/>
      </c>
      <c r="U85" t="str">
        <f>IFERROR(__xludf.DUMMYFUNCTION("IFERROR(FILTER('Fund Investment Data'!$D:$D, 'Fund Investment Data'!$C:$C = $A85, 'Fund Investment Data'!$A:$A = U$1, 'Fund Investment Data'!$B:$B = 12),"""")"),"")</f>
        <v/>
      </c>
      <c r="V85" t="str">
        <f>IFERROR(__xludf.DUMMYFUNCTION("IFERROR(FILTER('Fund Investment Data'!$D:$D, 'Fund Investment Data'!$C:$C = $A85, 'Fund Investment Data'!$A:$A = V$1, 'Fund Investment Data'!$B:$B = 12),"""")"),"")</f>
        <v/>
      </c>
      <c r="W85" t="str">
        <f>IFERROR(__xludf.DUMMYFUNCTION("IFERROR(FILTER('Fund Investment Data'!$D:$D, 'Fund Investment Data'!$C:$C = $A85, 'Fund Investment Data'!$A:$A = W$1, 'Fund Investment Data'!$B:$B = 12),"""")"),"")</f>
        <v/>
      </c>
      <c r="X85" t="str">
        <f>IFERROR(__xludf.DUMMYFUNCTION("IFERROR(FILTER('Fund Investment Data'!$D:$D, 'Fund Investment Data'!$C:$C = $A85, 'Fund Investment Data'!$A:$A = X$1, 'Fund Investment Data'!$B:$B = 12),"""")"),"")</f>
        <v/>
      </c>
      <c r="Y85" t="str">
        <f>IFERROR(__xludf.DUMMYFUNCTION("IFERROR(FILTER('Fund Investment Data'!$D:$D, 'Fund Investment Data'!$C:$C = $A85, 'Fund Investment Data'!$A:$A = Y$1, 'Fund Investment Data'!$B:$B = 12),"""")"),"")</f>
        <v/>
      </c>
      <c r="Z85" t="str">
        <f>IFERROR(__xludf.DUMMYFUNCTION("IFERROR(FILTER('Fund Investment Data'!$D:$D, 'Fund Investment Data'!$C:$C = $A85, 'Fund Investment Data'!$A:$A = Z$1, 'Fund Investment Data'!$B:$B = 12),"""")"),"")</f>
        <v/>
      </c>
      <c r="AA85" t="str">
        <f>IFERROR(__xludf.DUMMYFUNCTION("IFERROR(FILTER('Fund Investment Data'!$D:$D, 'Fund Investment Data'!$C:$C = $A85, 'Fund Investment Data'!$A:$A = AA$1, 'Fund Investment Data'!$B:$B = 12),"""")"),"")</f>
        <v/>
      </c>
      <c r="AB85" t="str">
        <f>IFERROR(__xludf.DUMMYFUNCTION("IFERROR(FILTER('Fund Investment Data'!$D:$D, 'Fund Investment Data'!$C:$C = $A85, 'Fund Investment Data'!$A:$A = AB$1, 'Fund Investment Data'!$B:$B = 12),"""")"),"")</f>
        <v/>
      </c>
      <c r="AC85" t="str">
        <f>IFERROR(__xludf.DUMMYFUNCTION("IFERROR(FILTER('Fund Investment Data'!$D:$D, 'Fund Investment Data'!$C:$C = $A85, 'Fund Investment Data'!$A:$A = AC$1, 'Fund Investment Data'!$B:$B = 12),"""")"),"")</f>
        <v/>
      </c>
      <c r="AD85" t="str">
        <f>IFERROR(__xludf.DUMMYFUNCTION("IFERROR(FILTER('Fund Investment Data'!$D:$D, 'Fund Investment Data'!$C:$C = $A85, 'Fund Investment Data'!$A:$A = AD$1, 'Fund Investment Data'!$B:$B = 12),"""")"),"")</f>
        <v/>
      </c>
      <c r="AE85" t="str">
        <f>IFERROR(__xludf.DUMMYFUNCTION("IFERROR(FILTER('Fund Investment Data'!$D:$D, 'Fund Investment Data'!$C:$C = $A85, 'Fund Investment Data'!$A:$A = AE$1, 'Fund Investment Data'!$B:$B = 12),"""")"),"")</f>
        <v/>
      </c>
    </row>
    <row r="86">
      <c r="A86" s="150" t="str">
        <f>'Endowed Funds'!A:A</f>
        <v/>
      </c>
      <c r="B86" t="str">
        <f>IFERROR(__xludf.DUMMYFUNCTION("IFERROR(FILTER('Fund Investment Data'!$D:$D, 'Fund Investment Data'!$C:$C = $A86, 'Fund Investment Data'!$A:$A = B$1, 'Fund Investment Data'!$B:$B = 12),"""")"),"")</f>
        <v/>
      </c>
      <c r="C86" t="str">
        <f>IFERROR(__xludf.DUMMYFUNCTION("IFERROR(FILTER('Fund Investment Data'!$D:$D, 'Fund Investment Data'!$C:$C = $A86, 'Fund Investment Data'!$A:$A = C$1, 'Fund Investment Data'!$B:$B = 12),"""")"),"")</f>
        <v/>
      </c>
      <c r="D86" t="str">
        <f>IFERROR(__xludf.DUMMYFUNCTION("IFERROR(FILTER('Fund Investment Data'!$D:$D, 'Fund Investment Data'!$C:$C = $A86, 'Fund Investment Data'!$A:$A = D$1, 'Fund Investment Data'!$B:$B = 12),"""")"),"")</f>
        <v/>
      </c>
      <c r="E86" t="str">
        <f>IFERROR(__xludf.DUMMYFUNCTION("IFERROR(FILTER('Fund Investment Data'!$D:$D, 'Fund Investment Data'!$C:$C = $A86, 'Fund Investment Data'!$A:$A = E$1, 'Fund Investment Data'!$B:$B = 12),"""")"),"")</f>
        <v/>
      </c>
      <c r="F86" t="str">
        <f>IFERROR(__xludf.DUMMYFUNCTION("IFERROR(FILTER('Fund Investment Data'!$D:$D, 'Fund Investment Data'!$C:$C = $A86, 'Fund Investment Data'!$A:$A = F$1, 'Fund Investment Data'!$B:$B = 12),"""")"),"")</f>
        <v/>
      </c>
      <c r="G86" t="str">
        <f>IFERROR(__xludf.DUMMYFUNCTION("IFERROR(FILTER('Fund Investment Data'!$D:$D, 'Fund Investment Data'!$C:$C = $A86, 'Fund Investment Data'!$A:$A = G$1, 'Fund Investment Data'!$B:$B = 12),"""")"),"")</f>
        <v/>
      </c>
      <c r="H86" t="str">
        <f>IFERROR(__xludf.DUMMYFUNCTION("IFERROR(FILTER('Fund Investment Data'!$D:$D, 'Fund Investment Data'!$C:$C = $A86, 'Fund Investment Data'!$A:$A = H$1, 'Fund Investment Data'!$B:$B = 12),"""")"),"")</f>
        <v/>
      </c>
      <c r="I86" t="str">
        <f>IFERROR(__xludf.DUMMYFUNCTION("IFERROR(FILTER('Fund Investment Data'!$D:$D, 'Fund Investment Data'!$C:$C = $A86, 'Fund Investment Data'!$A:$A = I$1, 'Fund Investment Data'!$B:$B = 12),"""")"),"")</f>
        <v/>
      </c>
      <c r="J86" t="str">
        <f>IFERROR(__xludf.DUMMYFUNCTION("IFERROR(FILTER('Fund Investment Data'!$D:$D, 'Fund Investment Data'!$C:$C = $A86, 'Fund Investment Data'!$A:$A = J$1, 'Fund Investment Data'!$B:$B = 12),"""")"),"")</f>
        <v/>
      </c>
      <c r="K86" t="str">
        <f>IFERROR(__xludf.DUMMYFUNCTION("IFERROR(FILTER('Fund Investment Data'!$D:$D, 'Fund Investment Data'!$C:$C = $A86, 'Fund Investment Data'!$A:$A = K$1, 'Fund Investment Data'!$B:$B = 12),"""")"),"")</f>
        <v/>
      </c>
      <c r="L86" t="str">
        <f>IFERROR(__xludf.DUMMYFUNCTION("IFERROR(FILTER('Fund Investment Data'!$D:$D, 'Fund Investment Data'!$C:$C = $A86, 'Fund Investment Data'!$A:$A = L$1, 'Fund Investment Data'!$B:$B = 12),"""")"),"")</f>
        <v/>
      </c>
      <c r="M86" t="str">
        <f>IFERROR(__xludf.DUMMYFUNCTION("IFERROR(FILTER('Fund Investment Data'!$D:$D, 'Fund Investment Data'!$C:$C = $A86, 'Fund Investment Data'!$A:$A = M$1, 'Fund Investment Data'!$B:$B = 12),"""")"),"")</f>
        <v/>
      </c>
      <c r="N86" t="str">
        <f>IFERROR(__xludf.DUMMYFUNCTION("IFERROR(FILTER('Fund Investment Data'!$D:$D, 'Fund Investment Data'!$C:$C = $A86, 'Fund Investment Data'!$A:$A = N$1, 'Fund Investment Data'!$B:$B = 12),"""")"),"")</f>
        <v/>
      </c>
      <c r="O86" t="str">
        <f>IFERROR(__xludf.DUMMYFUNCTION("IFERROR(FILTER('Fund Investment Data'!$D:$D, 'Fund Investment Data'!$C:$C = $A86, 'Fund Investment Data'!$A:$A = O$1, 'Fund Investment Data'!$B:$B = 12),"""")"),"")</f>
        <v/>
      </c>
      <c r="P86" t="str">
        <f>IFERROR(__xludf.DUMMYFUNCTION("IFERROR(FILTER('Fund Investment Data'!$D:$D, 'Fund Investment Data'!$C:$C = $A86, 'Fund Investment Data'!$A:$A = P$1, 'Fund Investment Data'!$B:$B = 12),"""")"),"")</f>
        <v/>
      </c>
      <c r="Q86" t="str">
        <f>IFERROR(__xludf.DUMMYFUNCTION("IFERROR(FILTER('Fund Investment Data'!$D:$D, 'Fund Investment Data'!$C:$C = $A86, 'Fund Investment Data'!$A:$A = Q$1, 'Fund Investment Data'!$B:$B = 12),"""")"),"")</f>
        <v/>
      </c>
      <c r="R86" t="str">
        <f>IFERROR(__xludf.DUMMYFUNCTION("IFERROR(FILTER('Fund Investment Data'!$D:$D, 'Fund Investment Data'!$C:$C = $A86, 'Fund Investment Data'!$A:$A = R$1, 'Fund Investment Data'!$B:$B = 12),"""")"),"")</f>
        <v/>
      </c>
      <c r="S86" t="str">
        <f>IFERROR(__xludf.DUMMYFUNCTION("IFERROR(FILTER('Fund Investment Data'!$D:$D, 'Fund Investment Data'!$C:$C = $A86, 'Fund Investment Data'!$A:$A = S$1, 'Fund Investment Data'!$B:$B = 12),"""")"),"")</f>
        <v/>
      </c>
      <c r="T86" t="str">
        <f>IFERROR(__xludf.DUMMYFUNCTION("IFERROR(FILTER('Fund Investment Data'!$D:$D, 'Fund Investment Data'!$C:$C = $A86, 'Fund Investment Data'!$A:$A = T$1, 'Fund Investment Data'!$B:$B = 12),"""")"),"")</f>
        <v/>
      </c>
      <c r="U86" t="str">
        <f>IFERROR(__xludf.DUMMYFUNCTION("IFERROR(FILTER('Fund Investment Data'!$D:$D, 'Fund Investment Data'!$C:$C = $A86, 'Fund Investment Data'!$A:$A = U$1, 'Fund Investment Data'!$B:$B = 12),"""")"),"")</f>
        <v/>
      </c>
      <c r="V86" t="str">
        <f>IFERROR(__xludf.DUMMYFUNCTION("IFERROR(FILTER('Fund Investment Data'!$D:$D, 'Fund Investment Data'!$C:$C = $A86, 'Fund Investment Data'!$A:$A = V$1, 'Fund Investment Data'!$B:$B = 12),"""")"),"")</f>
        <v/>
      </c>
      <c r="W86" t="str">
        <f>IFERROR(__xludf.DUMMYFUNCTION("IFERROR(FILTER('Fund Investment Data'!$D:$D, 'Fund Investment Data'!$C:$C = $A86, 'Fund Investment Data'!$A:$A = W$1, 'Fund Investment Data'!$B:$B = 12),"""")"),"")</f>
        <v/>
      </c>
      <c r="X86" t="str">
        <f>IFERROR(__xludf.DUMMYFUNCTION("IFERROR(FILTER('Fund Investment Data'!$D:$D, 'Fund Investment Data'!$C:$C = $A86, 'Fund Investment Data'!$A:$A = X$1, 'Fund Investment Data'!$B:$B = 12),"""")"),"")</f>
        <v/>
      </c>
      <c r="Y86" t="str">
        <f>IFERROR(__xludf.DUMMYFUNCTION("IFERROR(FILTER('Fund Investment Data'!$D:$D, 'Fund Investment Data'!$C:$C = $A86, 'Fund Investment Data'!$A:$A = Y$1, 'Fund Investment Data'!$B:$B = 12),"""")"),"")</f>
        <v/>
      </c>
      <c r="Z86" t="str">
        <f>IFERROR(__xludf.DUMMYFUNCTION("IFERROR(FILTER('Fund Investment Data'!$D:$D, 'Fund Investment Data'!$C:$C = $A86, 'Fund Investment Data'!$A:$A = Z$1, 'Fund Investment Data'!$B:$B = 12),"""")"),"")</f>
        <v/>
      </c>
      <c r="AA86" t="str">
        <f>IFERROR(__xludf.DUMMYFUNCTION("IFERROR(FILTER('Fund Investment Data'!$D:$D, 'Fund Investment Data'!$C:$C = $A86, 'Fund Investment Data'!$A:$A = AA$1, 'Fund Investment Data'!$B:$B = 12),"""")"),"")</f>
        <v/>
      </c>
      <c r="AB86" t="str">
        <f>IFERROR(__xludf.DUMMYFUNCTION("IFERROR(FILTER('Fund Investment Data'!$D:$D, 'Fund Investment Data'!$C:$C = $A86, 'Fund Investment Data'!$A:$A = AB$1, 'Fund Investment Data'!$B:$B = 12),"""")"),"")</f>
        <v/>
      </c>
      <c r="AC86" t="str">
        <f>IFERROR(__xludf.DUMMYFUNCTION("IFERROR(FILTER('Fund Investment Data'!$D:$D, 'Fund Investment Data'!$C:$C = $A86, 'Fund Investment Data'!$A:$A = AC$1, 'Fund Investment Data'!$B:$B = 12),"""")"),"")</f>
        <v/>
      </c>
      <c r="AD86" t="str">
        <f>IFERROR(__xludf.DUMMYFUNCTION("IFERROR(FILTER('Fund Investment Data'!$D:$D, 'Fund Investment Data'!$C:$C = $A86, 'Fund Investment Data'!$A:$A = AD$1, 'Fund Investment Data'!$B:$B = 12),"""")"),"")</f>
        <v/>
      </c>
      <c r="AE86" t="str">
        <f>IFERROR(__xludf.DUMMYFUNCTION("IFERROR(FILTER('Fund Investment Data'!$D:$D, 'Fund Investment Data'!$C:$C = $A86, 'Fund Investment Data'!$A:$A = AE$1, 'Fund Investment Data'!$B:$B = 12),"""")"),"")</f>
        <v/>
      </c>
    </row>
    <row r="87">
      <c r="A87" s="150" t="str">
        <f>'Endowed Funds'!A:A</f>
        <v/>
      </c>
      <c r="B87" t="str">
        <f>IFERROR(__xludf.DUMMYFUNCTION("IFERROR(FILTER('Fund Investment Data'!$D:$D, 'Fund Investment Data'!$C:$C = $A87, 'Fund Investment Data'!$A:$A = B$1, 'Fund Investment Data'!$B:$B = 12),"""")"),"")</f>
        <v/>
      </c>
      <c r="C87" t="str">
        <f>IFERROR(__xludf.DUMMYFUNCTION("IFERROR(FILTER('Fund Investment Data'!$D:$D, 'Fund Investment Data'!$C:$C = $A87, 'Fund Investment Data'!$A:$A = C$1, 'Fund Investment Data'!$B:$B = 12),"""")"),"")</f>
        <v/>
      </c>
      <c r="D87" t="str">
        <f>IFERROR(__xludf.DUMMYFUNCTION("IFERROR(FILTER('Fund Investment Data'!$D:$D, 'Fund Investment Data'!$C:$C = $A87, 'Fund Investment Data'!$A:$A = D$1, 'Fund Investment Data'!$B:$B = 12),"""")"),"")</f>
        <v/>
      </c>
      <c r="E87" t="str">
        <f>IFERROR(__xludf.DUMMYFUNCTION("IFERROR(FILTER('Fund Investment Data'!$D:$D, 'Fund Investment Data'!$C:$C = $A87, 'Fund Investment Data'!$A:$A = E$1, 'Fund Investment Data'!$B:$B = 12),"""")"),"")</f>
        <v/>
      </c>
      <c r="F87" t="str">
        <f>IFERROR(__xludf.DUMMYFUNCTION("IFERROR(FILTER('Fund Investment Data'!$D:$D, 'Fund Investment Data'!$C:$C = $A87, 'Fund Investment Data'!$A:$A = F$1, 'Fund Investment Data'!$B:$B = 12),"""")"),"")</f>
        <v/>
      </c>
      <c r="G87" t="str">
        <f>IFERROR(__xludf.DUMMYFUNCTION("IFERROR(FILTER('Fund Investment Data'!$D:$D, 'Fund Investment Data'!$C:$C = $A87, 'Fund Investment Data'!$A:$A = G$1, 'Fund Investment Data'!$B:$B = 12),"""")"),"")</f>
        <v/>
      </c>
      <c r="H87" t="str">
        <f>IFERROR(__xludf.DUMMYFUNCTION("IFERROR(FILTER('Fund Investment Data'!$D:$D, 'Fund Investment Data'!$C:$C = $A87, 'Fund Investment Data'!$A:$A = H$1, 'Fund Investment Data'!$B:$B = 12),"""")"),"")</f>
        <v/>
      </c>
      <c r="I87" t="str">
        <f>IFERROR(__xludf.DUMMYFUNCTION("IFERROR(FILTER('Fund Investment Data'!$D:$D, 'Fund Investment Data'!$C:$C = $A87, 'Fund Investment Data'!$A:$A = I$1, 'Fund Investment Data'!$B:$B = 12),"""")"),"")</f>
        <v/>
      </c>
      <c r="J87" t="str">
        <f>IFERROR(__xludf.DUMMYFUNCTION("IFERROR(FILTER('Fund Investment Data'!$D:$D, 'Fund Investment Data'!$C:$C = $A87, 'Fund Investment Data'!$A:$A = J$1, 'Fund Investment Data'!$B:$B = 12),"""")"),"")</f>
        <v/>
      </c>
      <c r="K87" t="str">
        <f>IFERROR(__xludf.DUMMYFUNCTION("IFERROR(FILTER('Fund Investment Data'!$D:$D, 'Fund Investment Data'!$C:$C = $A87, 'Fund Investment Data'!$A:$A = K$1, 'Fund Investment Data'!$B:$B = 12),"""")"),"")</f>
        <v/>
      </c>
      <c r="L87" t="str">
        <f>IFERROR(__xludf.DUMMYFUNCTION("IFERROR(FILTER('Fund Investment Data'!$D:$D, 'Fund Investment Data'!$C:$C = $A87, 'Fund Investment Data'!$A:$A = L$1, 'Fund Investment Data'!$B:$B = 12),"""")"),"")</f>
        <v/>
      </c>
      <c r="M87" t="str">
        <f>IFERROR(__xludf.DUMMYFUNCTION("IFERROR(FILTER('Fund Investment Data'!$D:$D, 'Fund Investment Data'!$C:$C = $A87, 'Fund Investment Data'!$A:$A = M$1, 'Fund Investment Data'!$B:$B = 12),"""")"),"")</f>
        <v/>
      </c>
      <c r="N87" t="str">
        <f>IFERROR(__xludf.DUMMYFUNCTION("IFERROR(FILTER('Fund Investment Data'!$D:$D, 'Fund Investment Data'!$C:$C = $A87, 'Fund Investment Data'!$A:$A = N$1, 'Fund Investment Data'!$B:$B = 12),"""")"),"")</f>
        <v/>
      </c>
      <c r="O87" t="str">
        <f>IFERROR(__xludf.DUMMYFUNCTION("IFERROR(FILTER('Fund Investment Data'!$D:$D, 'Fund Investment Data'!$C:$C = $A87, 'Fund Investment Data'!$A:$A = O$1, 'Fund Investment Data'!$B:$B = 12),"""")"),"")</f>
        <v/>
      </c>
      <c r="P87" t="str">
        <f>IFERROR(__xludf.DUMMYFUNCTION("IFERROR(FILTER('Fund Investment Data'!$D:$D, 'Fund Investment Data'!$C:$C = $A87, 'Fund Investment Data'!$A:$A = P$1, 'Fund Investment Data'!$B:$B = 12),"""")"),"")</f>
        <v/>
      </c>
      <c r="Q87" t="str">
        <f>IFERROR(__xludf.DUMMYFUNCTION("IFERROR(FILTER('Fund Investment Data'!$D:$D, 'Fund Investment Data'!$C:$C = $A87, 'Fund Investment Data'!$A:$A = Q$1, 'Fund Investment Data'!$B:$B = 12),"""")"),"")</f>
        <v/>
      </c>
      <c r="R87" t="str">
        <f>IFERROR(__xludf.DUMMYFUNCTION("IFERROR(FILTER('Fund Investment Data'!$D:$D, 'Fund Investment Data'!$C:$C = $A87, 'Fund Investment Data'!$A:$A = R$1, 'Fund Investment Data'!$B:$B = 12),"""")"),"")</f>
        <v/>
      </c>
      <c r="S87" t="str">
        <f>IFERROR(__xludf.DUMMYFUNCTION("IFERROR(FILTER('Fund Investment Data'!$D:$D, 'Fund Investment Data'!$C:$C = $A87, 'Fund Investment Data'!$A:$A = S$1, 'Fund Investment Data'!$B:$B = 12),"""")"),"")</f>
        <v/>
      </c>
      <c r="T87" t="str">
        <f>IFERROR(__xludf.DUMMYFUNCTION("IFERROR(FILTER('Fund Investment Data'!$D:$D, 'Fund Investment Data'!$C:$C = $A87, 'Fund Investment Data'!$A:$A = T$1, 'Fund Investment Data'!$B:$B = 12),"""")"),"")</f>
        <v/>
      </c>
      <c r="U87" t="str">
        <f>IFERROR(__xludf.DUMMYFUNCTION("IFERROR(FILTER('Fund Investment Data'!$D:$D, 'Fund Investment Data'!$C:$C = $A87, 'Fund Investment Data'!$A:$A = U$1, 'Fund Investment Data'!$B:$B = 12),"""")"),"")</f>
        <v/>
      </c>
      <c r="V87" t="str">
        <f>IFERROR(__xludf.DUMMYFUNCTION("IFERROR(FILTER('Fund Investment Data'!$D:$D, 'Fund Investment Data'!$C:$C = $A87, 'Fund Investment Data'!$A:$A = V$1, 'Fund Investment Data'!$B:$B = 12),"""")"),"")</f>
        <v/>
      </c>
      <c r="W87" t="str">
        <f>IFERROR(__xludf.DUMMYFUNCTION("IFERROR(FILTER('Fund Investment Data'!$D:$D, 'Fund Investment Data'!$C:$C = $A87, 'Fund Investment Data'!$A:$A = W$1, 'Fund Investment Data'!$B:$B = 12),"""")"),"")</f>
        <v/>
      </c>
      <c r="X87" t="str">
        <f>IFERROR(__xludf.DUMMYFUNCTION("IFERROR(FILTER('Fund Investment Data'!$D:$D, 'Fund Investment Data'!$C:$C = $A87, 'Fund Investment Data'!$A:$A = X$1, 'Fund Investment Data'!$B:$B = 12),"""")"),"")</f>
        <v/>
      </c>
      <c r="Y87" t="str">
        <f>IFERROR(__xludf.DUMMYFUNCTION("IFERROR(FILTER('Fund Investment Data'!$D:$D, 'Fund Investment Data'!$C:$C = $A87, 'Fund Investment Data'!$A:$A = Y$1, 'Fund Investment Data'!$B:$B = 12),"""")"),"")</f>
        <v/>
      </c>
      <c r="Z87" t="str">
        <f>IFERROR(__xludf.DUMMYFUNCTION("IFERROR(FILTER('Fund Investment Data'!$D:$D, 'Fund Investment Data'!$C:$C = $A87, 'Fund Investment Data'!$A:$A = Z$1, 'Fund Investment Data'!$B:$B = 12),"""")"),"")</f>
        <v/>
      </c>
      <c r="AA87" t="str">
        <f>IFERROR(__xludf.DUMMYFUNCTION("IFERROR(FILTER('Fund Investment Data'!$D:$D, 'Fund Investment Data'!$C:$C = $A87, 'Fund Investment Data'!$A:$A = AA$1, 'Fund Investment Data'!$B:$B = 12),"""")"),"")</f>
        <v/>
      </c>
      <c r="AB87" t="str">
        <f>IFERROR(__xludf.DUMMYFUNCTION("IFERROR(FILTER('Fund Investment Data'!$D:$D, 'Fund Investment Data'!$C:$C = $A87, 'Fund Investment Data'!$A:$A = AB$1, 'Fund Investment Data'!$B:$B = 12),"""")"),"")</f>
        <v/>
      </c>
      <c r="AC87" t="str">
        <f>IFERROR(__xludf.DUMMYFUNCTION("IFERROR(FILTER('Fund Investment Data'!$D:$D, 'Fund Investment Data'!$C:$C = $A87, 'Fund Investment Data'!$A:$A = AC$1, 'Fund Investment Data'!$B:$B = 12),"""")"),"")</f>
        <v/>
      </c>
      <c r="AD87" t="str">
        <f>IFERROR(__xludf.DUMMYFUNCTION("IFERROR(FILTER('Fund Investment Data'!$D:$D, 'Fund Investment Data'!$C:$C = $A87, 'Fund Investment Data'!$A:$A = AD$1, 'Fund Investment Data'!$B:$B = 12),"""")"),"")</f>
        <v/>
      </c>
      <c r="AE87" t="str">
        <f>IFERROR(__xludf.DUMMYFUNCTION("IFERROR(FILTER('Fund Investment Data'!$D:$D, 'Fund Investment Data'!$C:$C = $A87, 'Fund Investment Data'!$A:$A = AE$1, 'Fund Investment Data'!$B:$B = 12),"""")"),"")</f>
        <v/>
      </c>
    </row>
    <row r="88">
      <c r="A88" s="150" t="str">
        <f>'Endowed Funds'!A:A</f>
        <v/>
      </c>
      <c r="B88" t="str">
        <f>IFERROR(__xludf.DUMMYFUNCTION("IFERROR(FILTER('Fund Investment Data'!$D:$D, 'Fund Investment Data'!$C:$C = $A88, 'Fund Investment Data'!$A:$A = B$1, 'Fund Investment Data'!$B:$B = 12),"""")"),"")</f>
        <v/>
      </c>
      <c r="C88" t="str">
        <f>IFERROR(__xludf.DUMMYFUNCTION("IFERROR(FILTER('Fund Investment Data'!$D:$D, 'Fund Investment Data'!$C:$C = $A88, 'Fund Investment Data'!$A:$A = C$1, 'Fund Investment Data'!$B:$B = 12),"""")"),"")</f>
        <v/>
      </c>
      <c r="D88" t="str">
        <f>IFERROR(__xludf.DUMMYFUNCTION("IFERROR(FILTER('Fund Investment Data'!$D:$D, 'Fund Investment Data'!$C:$C = $A88, 'Fund Investment Data'!$A:$A = D$1, 'Fund Investment Data'!$B:$B = 12),"""")"),"")</f>
        <v/>
      </c>
      <c r="E88" t="str">
        <f>IFERROR(__xludf.DUMMYFUNCTION("IFERROR(FILTER('Fund Investment Data'!$D:$D, 'Fund Investment Data'!$C:$C = $A88, 'Fund Investment Data'!$A:$A = E$1, 'Fund Investment Data'!$B:$B = 12),"""")"),"")</f>
        <v/>
      </c>
      <c r="F88" t="str">
        <f>IFERROR(__xludf.DUMMYFUNCTION("IFERROR(FILTER('Fund Investment Data'!$D:$D, 'Fund Investment Data'!$C:$C = $A88, 'Fund Investment Data'!$A:$A = F$1, 'Fund Investment Data'!$B:$B = 12),"""")"),"")</f>
        <v/>
      </c>
      <c r="G88" t="str">
        <f>IFERROR(__xludf.DUMMYFUNCTION("IFERROR(FILTER('Fund Investment Data'!$D:$D, 'Fund Investment Data'!$C:$C = $A88, 'Fund Investment Data'!$A:$A = G$1, 'Fund Investment Data'!$B:$B = 12),"""")"),"")</f>
        <v/>
      </c>
      <c r="H88" t="str">
        <f>IFERROR(__xludf.DUMMYFUNCTION("IFERROR(FILTER('Fund Investment Data'!$D:$D, 'Fund Investment Data'!$C:$C = $A88, 'Fund Investment Data'!$A:$A = H$1, 'Fund Investment Data'!$B:$B = 12),"""")"),"")</f>
        <v/>
      </c>
      <c r="I88" t="str">
        <f>IFERROR(__xludf.DUMMYFUNCTION("IFERROR(FILTER('Fund Investment Data'!$D:$D, 'Fund Investment Data'!$C:$C = $A88, 'Fund Investment Data'!$A:$A = I$1, 'Fund Investment Data'!$B:$B = 12),"""")"),"")</f>
        <v/>
      </c>
      <c r="J88" t="str">
        <f>IFERROR(__xludf.DUMMYFUNCTION("IFERROR(FILTER('Fund Investment Data'!$D:$D, 'Fund Investment Data'!$C:$C = $A88, 'Fund Investment Data'!$A:$A = J$1, 'Fund Investment Data'!$B:$B = 12),"""")"),"")</f>
        <v/>
      </c>
      <c r="K88" t="str">
        <f>IFERROR(__xludf.DUMMYFUNCTION("IFERROR(FILTER('Fund Investment Data'!$D:$D, 'Fund Investment Data'!$C:$C = $A88, 'Fund Investment Data'!$A:$A = K$1, 'Fund Investment Data'!$B:$B = 12),"""")"),"")</f>
        <v/>
      </c>
      <c r="L88" t="str">
        <f>IFERROR(__xludf.DUMMYFUNCTION("IFERROR(FILTER('Fund Investment Data'!$D:$D, 'Fund Investment Data'!$C:$C = $A88, 'Fund Investment Data'!$A:$A = L$1, 'Fund Investment Data'!$B:$B = 12),"""")"),"")</f>
        <v/>
      </c>
      <c r="M88" t="str">
        <f>IFERROR(__xludf.DUMMYFUNCTION("IFERROR(FILTER('Fund Investment Data'!$D:$D, 'Fund Investment Data'!$C:$C = $A88, 'Fund Investment Data'!$A:$A = M$1, 'Fund Investment Data'!$B:$B = 12),"""")"),"")</f>
        <v/>
      </c>
      <c r="N88" t="str">
        <f>IFERROR(__xludf.DUMMYFUNCTION("IFERROR(FILTER('Fund Investment Data'!$D:$D, 'Fund Investment Data'!$C:$C = $A88, 'Fund Investment Data'!$A:$A = N$1, 'Fund Investment Data'!$B:$B = 12),"""")"),"")</f>
        <v/>
      </c>
      <c r="O88" t="str">
        <f>IFERROR(__xludf.DUMMYFUNCTION("IFERROR(FILTER('Fund Investment Data'!$D:$D, 'Fund Investment Data'!$C:$C = $A88, 'Fund Investment Data'!$A:$A = O$1, 'Fund Investment Data'!$B:$B = 12),"""")"),"")</f>
        <v/>
      </c>
      <c r="P88" t="str">
        <f>IFERROR(__xludf.DUMMYFUNCTION("IFERROR(FILTER('Fund Investment Data'!$D:$D, 'Fund Investment Data'!$C:$C = $A88, 'Fund Investment Data'!$A:$A = P$1, 'Fund Investment Data'!$B:$B = 12),"""")"),"")</f>
        <v/>
      </c>
      <c r="Q88" t="str">
        <f>IFERROR(__xludf.DUMMYFUNCTION("IFERROR(FILTER('Fund Investment Data'!$D:$D, 'Fund Investment Data'!$C:$C = $A88, 'Fund Investment Data'!$A:$A = Q$1, 'Fund Investment Data'!$B:$B = 12),"""")"),"")</f>
        <v/>
      </c>
      <c r="R88" t="str">
        <f>IFERROR(__xludf.DUMMYFUNCTION("IFERROR(FILTER('Fund Investment Data'!$D:$D, 'Fund Investment Data'!$C:$C = $A88, 'Fund Investment Data'!$A:$A = R$1, 'Fund Investment Data'!$B:$B = 12),"""")"),"")</f>
        <v/>
      </c>
      <c r="S88" t="str">
        <f>IFERROR(__xludf.DUMMYFUNCTION("IFERROR(FILTER('Fund Investment Data'!$D:$D, 'Fund Investment Data'!$C:$C = $A88, 'Fund Investment Data'!$A:$A = S$1, 'Fund Investment Data'!$B:$B = 12),"""")"),"")</f>
        <v/>
      </c>
      <c r="T88" t="str">
        <f>IFERROR(__xludf.DUMMYFUNCTION("IFERROR(FILTER('Fund Investment Data'!$D:$D, 'Fund Investment Data'!$C:$C = $A88, 'Fund Investment Data'!$A:$A = T$1, 'Fund Investment Data'!$B:$B = 12),"""")"),"")</f>
        <v/>
      </c>
      <c r="U88" t="str">
        <f>IFERROR(__xludf.DUMMYFUNCTION("IFERROR(FILTER('Fund Investment Data'!$D:$D, 'Fund Investment Data'!$C:$C = $A88, 'Fund Investment Data'!$A:$A = U$1, 'Fund Investment Data'!$B:$B = 12),"""")"),"")</f>
        <v/>
      </c>
      <c r="V88" t="str">
        <f>IFERROR(__xludf.DUMMYFUNCTION("IFERROR(FILTER('Fund Investment Data'!$D:$D, 'Fund Investment Data'!$C:$C = $A88, 'Fund Investment Data'!$A:$A = V$1, 'Fund Investment Data'!$B:$B = 12),"""")"),"")</f>
        <v/>
      </c>
      <c r="W88" t="str">
        <f>IFERROR(__xludf.DUMMYFUNCTION("IFERROR(FILTER('Fund Investment Data'!$D:$D, 'Fund Investment Data'!$C:$C = $A88, 'Fund Investment Data'!$A:$A = W$1, 'Fund Investment Data'!$B:$B = 12),"""")"),"")</f>
        <v/>
      </c>
      <c r="X88" t="str">
        <f>IFERROR(__xludf.DUMMYFUNCTION("IFERROR(FILTER('Fund Investment Data'!$D:$D, 'Fund Investment Data'!$C:$C = $A88, 'Fund Investment Data'!$A:$A = X$1, 'Fund Investment Data'!$B:$B = 12),"""")"),"")</f>
        <v/>
      </c>
      <c r="Y88" t="str">
        <f>IFERROR(__xludf.DUMMYFUNCTION("IFERROR(FILTER('Fund Investment Data'!$D:$D, 'Fund Investment Data'!$C:$C = $A88, 'Fund Investment Data'!$A:$A = Y$1, 'Fund Investment Data'!$B:$B = 12),"""")"),"")</f>
        <v/>
      </c>
      <c r="Z88" t="str">
        <f>IFERROR(__xludf.DUMMYFUNCTION("IFERROR(FILTER('Fund Investment Data'!$D:$D, 'Fund Investment Data'!$C:$C = $A88, 'Fund Investment Data'!$A:$A = Z$1, 'Fund Investment Data'!$B:$B = 12),"""")"),"")</f>
        <v/>
      </c>
      <c r="AA88" t="str">
        <f>IFERROR(__xludf.DUMMYFUNCTION("IFERROR(FILTER('Fund Investment Data'!$D:$D, 'Fund Investment Data'!$C:$C = $A88, 'Fund Investment Data'!$A:$A = AA$1, 'Fund Investment Data'!$B:$B = 12),"""")"),"")</f>
        <v/>
      </c>
      <c r="AB88" t="str">
        <f>IFERROR(__xludf.DUMMYFUNCTION("IFERROR(FILTER('Fund Investment Data'!$D:$D, 'Fund Investment Data'!$C:$C = $A88, 'Fund Investment Data'!$A:$A = AB$1, 'Fund Investment Data'!$B:$B = 12),"""")"),"")</f>
        <v/>
      </c>
      <c r="AC88" t="str">
        <f>IFERROR(__xludf.DUMMYFUNCTION("IFERROR(FILTER('Fund Investment Data'!$D:$D, 'Fund Investment Data'!$C:$C = $A88, 'Fund Investment Data'!$A:$A = AC$1, 'Fund Investment Data'!$B:$B = 12),"""")"),"")</f>
        <v/>
      </c>
      <c r="AD88" t="str">
        <f>IFERROR(__xludf.DUMMYFUNCTION("IFERROR(FILTER('Fund Investment Data'!$D:$D, 'Fund Investment Data'!$C:$C = $A88, 'Fund Investment Data'!$A:$A = AD$1, 'Fund Investment Data'!$B:$B = 12),"""")"),"")</f>
        <v/>
      </c>
      <c r="AE88" t="str">
        <f>IFERROR(__xludf.DUMMYFUNCTION("IFERROR(FILTER('Fund Investment Data'!$D:$D, 'Fund Investment Data'!$C:$C = $A88, 'Fund Investment Data'!$A:$A = AE$1, 'Fund Investment Data'!$B:$B = 12),"""")"),"")</f>
        <v/>
      </c>
    </row>
    <row r="89">
      <c r="A89" s="150" t="str">
        <f>'Endowed Funds'!A:A</f>
        <v/>
      </c>
      <c r="B89" t="str">
        <f>IFERROR(__xludf.DUMMYFUNCTION("IFERROR(FILTER('Fund Investment Data'!$D:$D, 'Fund Investment Data'!$C:$C = $A89, 'Fund Investment Data'!$A:$A = B$1, 'Fund Investment Data'!$B:$B = 12),"""")"),"")</f>
        <v/>
      </c>
      <c r="C89" t="str">
        <f>IFERROR(__xludf.DUMMYFUNCTION("IFERROR(FILTER('Fund Investment Data'!$D:$D, 'Fund Investment Data'!$C:$C = $A89, 'Fund Investment Data'!$A:$A = C$1, 'Fund Investment Data'!$B:$B = 12),"""")"),"")</f>
        <v/>
      </c>
      <c r="D89" t="str">
        <f>IFERROR(__xludf.DUMMYFUNCTION("IFERROR(FILTER('Fund Investment Data'!$D:$D, 'Fund Investment Data'!$C:$C = $A89, 'Fund Investment Data'!$A:$A = D$1, 'Fund Investment Data'!$B:$B = 12),"""")"),"")</f>
        <v/>
      </c>
      <c r="E89" t="str">
        <f>IFERROR(__xludf.DUMMYFUNCTION("IFERROR(FILTER('Fund Investment Data'!$D:$D, 'Fund Investment Data'!$C:$C = $A89, 'Fund Investment Data'!$A:$A = E$1, 'Fund Investment Data'!$B:$B = 12),"""")"),"")</f>
        <v/>
      </c>
      <c r="F89" t="str">
        <f>IFERROR(__xludf.DUMMYFUNCTION("IFERROR(FILTER('Fund Investment Data'!$D:$D, 'Fund Investment Data'!$C:$C = $A89, 'Fund Investment Data'!$A:$A = F$1, 'Fund Investment Data'!$B:$B = 12),"""")"),"")</f>
        <v/>
      </c>
      <c r="G89" t="str">
        <f>IFERROR(__xludf.DUMMYFUNCTION("IFERROR(FILTER('Fund Investment Data'!$D:$D, 'Fund Investment Data'!$C:$C = $A89, 'Fund Investment Data'!$A:$A = G$1, 'Fund Investment Data'!$B:$B = 12),"""")"),"")</f>
        <v/>
      </c>
      <c r="H89" t="str">
        <f>IFERROR(__xludf.DUMMYFUNCTION("IFERROR(FILTER('Fund Investment Data'!$D:$D, 'Fund Investment Data'!$C:$C = $A89, 'Fund Investment Data'!$A:$A = H$1, 'Fund Investment Data'!$B:$B = 12),"""")"),"")</f>
        <v/>
      </c>
      <c r="I89" t="str">
        <f>IFERROR(__xludf.DUMMYFUNCTION("IFERROR(FILTER('Fund Investment Data'!$D:$D, 'Fund Investment Data'!$C:$C = $A89, 'Fund Investment Data'!$A:$A = I$1, 'Fund Investment Data'!$B:$B = 12),"""")"),"")</f>
        <v/>
      </c>
      <c r="J89" t="str">
        <f>IFERROR(__xludf.DUMMYFUNCTION("IFERROR(FILTER('Fund Investment Data'!$D:$D, 'Fund Investment Data'!$C:$C = $A89, 'Fund Investment Data'!$A:$A = J$1, 'Fund Investment Data'!$B:$B = 12),"""")"),"")</f>
        <v/>
      </c>
      <c r="K89" t="str">
        <f>IFERROR(__xludf.DUMMYFUNCTION("IFERROR(FILTER('Fund Investment Data'!$D:$D, 'Fund Investment Data'!$C:$C = $A89, 'Fund Investment Data'!$A:$A = K$1, 'Fund Investment Data'!$B:$B = 12),"""")"),"")</f>
        <v/>
      </c>
      <c r="L89" t="str">
        <f>IFERROR(__xludf.DUMMYFUNCTION("IFERROR(FILTER('Fund Investment Data'!$D:$D, 'Fund Investment Data'!$C:$C = $A89, 'Fund Investment Data'!$A:$A = L$1, 'Fund Investment Data'!$B:$B = 12),"""")"),"")</f>
        <v/>
      </c>
      <c r="M89" t="str">
        <f>IFERROR(__xludf.DUMMYFUNCTION("IFERROR(FILTER('Fund Investment Data'!$D:$D, 'Fund Investment Data'!$C:$C = $A89, 'Fund Investment Data'!$A:$A = M$1, 'Fund Investment Data'!$B:$B = 12),"""")"),"")</f>
        <v/>
      </c>
      <c r="N89" t="str">
        <f>IFERROR(__xludf.DUMMYFUNCTION("IFERROR(FILTER('Fund Investment Data'!$D:$D, 'Fund Investment Data'!$C:$C = $A89, 'Fund Investment Data'!$A:$A = N$1, 'Fund Investment Data'!$B:$B = 12),"""")"),"")</f>
        <v/>
      </c>
      <c r="O89" t="str">
        <f>IFERROR(__xludf.DUMMYFUNCTION("IFERROR(FILTER('Fund Investment Data'!$D:$D, 'Fund Investment Data'!$C:$C = $A89, 'Fund Investment Data'!$A:$A = O$1, 'Fund Investment Data'!$B:$B = 12),"""")"),"")</f>
        <v/>
      </c>
      <c r="P89" t="str">
        <f>IFERROR(__xludf.DUMMYFUNCTION("IFERROR(FILTER('Fund Investment Data'!$D:$D, 'Fund Investment Data'!$C:$C = $A89, 'Fund Investment Data'!$A:$A = P$1, 'Fund Investment Data'!$B:$B = 12),"""")"),"")</f>
        <v/>
      </c>
      <c r="Q89" t="str">
        <f>IFERROR(__xludf.DUMMYFUNCTION("IFERROR(FILTER('Fund Investment Data'!$D:$D, 'Fund Investment Data'!$C:$C = $A89, 'Fund Investment Data'!$A:$A = Q$1, 'Fund Investment Data'!$B:$B = 12),"""")"),"")</f>
        <v/>
      </c>
      <c r="R89" t="str">
        <f>IFERROR(__xludf.DUMMYFUNCTION("IFERROR(FILTER('Fund Investment Data'!$D:$D, 'Fund Investment Data'!$C:$C = $A89, 'Fund Investment Data'!$A:$A = R$1, 'Fund Investment Data'!$B:$B = 12),"""")"),"")</f>
        <v/>
      </c>
      <c r="S89" t="str">
        <f>IFERROR(__xludf.DUMMYFUNCTION("IFERROR(FILTER('Fund Investment Data'!$D:$D, 'Fund Investment Data'!$C:$C = $A89, 'Fund Investment Data'!$A:$A = S$1, 'Fund Investment Data'!$B:$B = 12),"""")"),"")</f>
        <v/>
      </c>
      <c r="T89" t="str">
        <f>IFERROR(__xludf.DUMMYFUNCTION("IFERROR(FILTER('Fund Investment Data'!$D:$D, 'Fund Investment Data'!$C:$C = $A89, 'Fund Investment Data'!$A:$A = T$1, 'Fund Investment Data'!$B:$B = 12),"""")"),"")</f>
        <v/>
      </c>
      <c r="U89" t="str">
        <f>IFERROR(__xludf.DUMMYFUNCTION("IFERROR(FILTER('Fund Investment Data'!$D:$D, 'Fund Investment Data'!$C:$C = $A89, 'Fund Investment Data'!$A:$A = U$1, 'Fund Investment Data'!$B:$B = 12),"""")"),"")</f>
        <v/>
      </c>
      <c r="V89" t="str">
        <f>IFERROR(__xludf.DUMMYFUNCTION("IFERROR(FILTER('Fund Investment Data'!$D:$D, 'Fund Investment Data'!$C:$C = $A89, 'Fund Investment Data'!$A:$A = V$1, 'Fund Investment Data'!$B:$B = 12),"""")"),"")</f>
        <v/>
      </c>
      <c r="W89" t="str">
        <f>IFERROR(__xludf.DUMMYFUNCTION("IFERROR(FILTER('Fund Investment Data'!$D:$D, 'Fund Investment Data'!$C:$C = $A89, 'Fund Investment Data'!$A:$A = W$1, 'Fund Investment Data'!$B:$B = 12),"""")"),"")</f>
        <v/>
      </c>
      <c r="X89" t="str">
        <f>IFERROR(__xludf.DUMMYFUNCTION("IFERROR(FILTER('Fund Investment Data'!$D:$D, 'Fund Investment Data'!$C:$C = $A89, 'Fund Investment Data'!$A:$A = X$1, 'Fund Investment Data'!$B:$B = 12),"""")"),"")</f>
        <v/>
      </c>
      <c r="Y89" t="str">
        <f>IFERROR(__xludf.DUMMYFUNCTION("IFERROR(FILTER('Fund Investment Data'!$D:$D, 'Fund Investment Data'!$C:$C = $A89, 'Fund Investment Data'!$A:$A = Y$1, 'Fund Investment Data'!$B:$B = 12),"""")"),"")</f>
        <v/>
      </c>
      <c r="Z89" t="str">
        <f>IFERROR(__xludf.DUMMYFUNCTION("IFERROR(FILTER('Fund Investment Data'!$D:$D, 'Fund Investment Data'!$C:$C = $A89, 'Fund Investment Data'!$A:$A = Z$1, 'Fund Investment Data'!$B:$B = 12),"""")"),"")</f>
        <v/>
      </c>
      <c r="AA89" t="str">
        <f>IFERROR(__xludf.DUMMYFUNCTION("IFERROR(FILTER('Fund Investment Data'!$D:$D, 'Fund Investment Data'!$C:$C = $A89, 'Fund Investment Data'!$A:$A = AA$1, 'Fund Investment Data'!$B:$B = 12),"""")"),"")</f>
        <v/>
      </c>
      <c r="AB89" t="str">
        <f>IFERROR(__xludf.DUMMYFUNCTION("IFERROR(FILTER('Fund Investment Data'!$D:$D, 'Fund Investment Data'!$C:$C = $A89, 'Fund Investment Data'!$A:$A = AB$1, 'Fund Investment Data'!$B:$B = 12),"""")"),"")</f>
        <v/>
      </c>
      <c r="AC89" t="str">
        <f>IFERROR(__xludf.DUMMYFUNCTION("IFERROR(FILTER('Fund Investment Data'!$D:$D, 'Fund Investment Data'!$C:$C = $A89, 'Fund Investment Data'!$A:$A = AC$1, 'Fund Investment Data'!$B:$B = 12),"""")"),"")</f>
        <v/>
      </c>
      <c r="AD89" t="str">
        <f>IFERROR(__xludf.DUMMYFUNCTION("IFERROR(FILTER('Fund Investment Data'!$D:$D, 'Fund Investment Data'!$C:$C = $A89, 'Fund Investment Data'!$A:$A = AD$1, 'Fund Investment Data'!$B:$B = 12),"""")"),"")</f>
        <v/>
      </c>
      <c r="AE89" t="str">
        <f>IFERROR(__xludf.DUMMYFUNCTION("IFERROR(FILTER('Fund Investment Data'!$D:$D, 'Fund Investment Data'!$C:$C = $A89, 'Fund Investment Data'!$A:$A = AE$1, 'Fund Investment Data'!$B:$B = 12),"""")"),"")</f>
        <v/>
      </c>
    </row>
    <row r="90">
      <c r="A90" s="150" t="str">
        <f>'Endowed Funds'!A:A</f>
        <v/>
      </c>
      <c r="B90" t="str">
        <f>IFERROR(__xludf.DUMMYFUNCTION("IFERROR(FILTER('Fund Investment Data'!$D:$D, 'Fund Investment Data'!$C:$C = $A90, 'Fund Investment Data'!$A:$A = B$1, 'Fund Investment Data'!$B:$B = 12),"""")"),"")</f>
        <v/>
      </c>
      <c r="C90" t="str">
        <f>IFERROR(__xludf.DUMMYFUNCTION("IFERROR(FILTER('Fund Investment Data'!$D:$D, 'Fund Investment Data'!$C:$C = $A90, 'Fund Investment Data'!$A:$A = C$1, 'Fund Investment Data'!$B:$B = 12),"""")"),"")</f>
        <v/>
      </c>
      <c r="D90" t="str">
        <f>IFERROR(__xludf.DUMMYFUNCTION("IFERROR(FILTER('Fund Investment Data'!$D:$D, 'Fund Investment Data'!$C:$C = $A90, 'Fund Investment Data'!$A:$A = D$1, 'Fund Investment Data'!$B:$B = 12),"""")"),"")</f>
        <v/>
      </c>
      <c r="E90" t="str">
        <f>IFERROR(__xludf.DUMMYFUNCTION("IFERROR(FILTER('Fund Investment Data'!$D:$D, 'Fund Investment Data'!$C:$C = $A90, 'Fund Investment Data'!$A:$A = E$1, 'Fund Investment Data'!$B:$B = 12),"""")"),"")</f>
        <v/>
      </c>
      <c r="F90" t="str">
        <f>IFERROR(__xludf.DUMMYFUNCTION("IFERROR(FILTER('Fund Investment Data'!$D:$D, 'Fund Investment Data'!$C:$C = $A90, 'Fund Investment Data'!$A:$A = F$1, 'Fund Investment Data'!$B:$B = 12),"""")"),"")</f>
        <v/>
      </c>
      <c r="G90" t="str">
        <f>IFERROR(__xludf.DUMMYFUNCTION("IFERROR(FILTER('Fund Investment Data'!$D:$D, 'Fund Investment Data'!$C:$C = $A90, 'Fund Investment Data'!$A:$A = G$1, 'Fund Investment Data'!$B:$B = 12),"""")"),"")</f>
        <v/>
      </c>
      <c r="H90" t="str">
        <f>IFERROR(__xludf.DUMMYFUNCTION("IFERROR(FILTER('Fund Investment Data'!$D:$D, 'Fund Investment Data'!$C:$C = $A90, 'Fund Investment Data'!$A:$A = H$1, 'Fund Investment Data'!$B:$B = 12),"""")"),"")</f>
        <v/>
      </c>
      <c r="I90" t="str">
        <f>IFERROR(__xludf.DUMMYFUNCTION("IFERROR(FILTER('Fund Investment Data'!$D:$D, 'Fund Investment Data'!$C:$C = $A90, 'Fund Investment Data'!$A:$A = I$1, 'Fund Investment Data'!$B:$B = 12),"""")"),"")</f>
        <v/>
      </c>
      <c r="J90" t="str">
        <f>IFERROR(__xludf.DUMMYFUNCTION("IFERROR(FILTER('Fund Investment Data'!$D:$D, 'Fund Investment Data'!$C:$C = $A90, 'Fund Investment Data'!$A:$A = J$1, 'Fund Investment Data'!$B:$B = 12),"""")"),"")</f>
        <v/>
      </c>
      <c r="K90" t="str">
        <f>IFERROR(__xludf.DUMMYFUNCTION("IFERROR(FILTER('Fund Investment Data'!$D:$D, 'Fund Investment Data'!$C:$C = $A90, 'Fund Investment Data'!$A:$A = K$1, 'Fund Investment Data'!$B:$B = 12),"""")"),"")</f>
        <v/>
      </c>
      <c r="L90" t="str">
        <f>IFERROR(__xludf.DUMMYFUNCTION("IFERROR(FILTER('Fund Investment Data'!$D:$D, 'Fund Investment Data'!$C:$C = $A90, 'Fund Investment Data'!$A:$A = L$1, 'Fund Investment Data'!$B:$B = 12),"""")"),"")</f>
        <v/>
      </c>
      <c r="M90" t="str">
        <f>IFERROR(__xludf.DUMMYFUNCTION("IFERROR(FILTER('Fund Investment Data'!$D:$D, 'Fund Investment Data'!$C:$C = $A90, 'Fund Investment Data'!$A:$A = M$1, 'Fund Investment Data'!$B:$B = 12),"""")"),"")</f>
        <v/>
      </c>
      <c r="N90" t="str">
        <f>IFERROR(__xludf.DUMMYFUNCTION("IFERROR(FILTER('Fund Investment Data'!$D:$D, 'Fund Investment Data'!$C:$C = $A90, 'Fund Investment Data'!$A:$A = N$1, 'Fund Investment Data'!$B:$B = 12),"""")"),"")</f>
        <v/>
      </c>
      <c r="O90" t="str">
        <f>IFERROR(__xludf.DUMMYFUNCTION("IFERROR(FILTER('Fund Investment Data'!$D:$D, 'Fund Investment Data'!$C:$C = $A90, 'Fund Investment Data'!$A:$A = O$1, 'Fund Investment Data'!$B:$B = 12),"""")"),"")</f>
        <v/>
      </c>
      <c r="P90" t="str">
        <f>IFERROR(__xludf.DUMMYFUNCTION("IFERROR(FILTER('Fund Investment Data'!$D:$D, 'Fund Investment Data'!$C:$C = $A90, 'Fund Investment Data'!$A:$A = P$1, 'Fund Investment Data'!$B:$B = 12),"""")"),"")</f>
        <v/>
      </c>
      <c r="Q90" t="str">
        <f>IFERROR(__xludf.DUMMYFUNCTION("IFERROR(FILTER('Fund Investment Data'!$D:$D, 'Fund Investment Data'!$C:$C = $A90, 'Fund Investment Data'!$A:$A = Q$1, 'Fund Investment Data'!$B:$B = 12),"""")"),"")</f>
        <v/>
      </c>
      <c r="R90" t="str">
        <f>IFERROR(__xludf.DUMMYFUNCTION("IFERROR(FILTER('Fund Investment Data'!$D:$D, 'Fund Investment Data'!$C:$C = $A90, 'Fund Investment Data'!$A:$A = R$1, 'Fund Investment Data'!$B:$B = 12),"""")"),"")</f>
        <v/>
      </c>
      <c r="S90" t="str">
        <f>IFERROR(__xludf.DUMMYFUNCTION("IFERROR(FILTER('Fund Investment Data'!$D:$D, 'Fund Investment Data'!$C:$C = $A90, 'Fund Investment Data'!$A:$A = S$1, 'Fund Investment Data'!$B:$B = 12),"""")"),"")</f>
        <v/>
      </c>
      <c r="T90" t="str">
        <f>IFERROR(__xludf.DUMMYFUNCTION("IFERROR(FILTER('Fund Investment Data'!$D:$D, 'Fund Investment Data'!$C:$C = $A90, 'Fund Investment Data'!$A:$A = T$1, 'Fund Investment Data'!$B:$B = 12),"""")"),"")</f>
        <v/>
      </c>
      <c r="U90" t="str">
        <f>IFERROR(__xludf.DUMMYFUNCTION("IFERROR(FILTER('Fund Investment Data'!$D:$D, 'Fund Investment Data'!$C:$C = $A90, 'Fund Investment Data'!$A:$A = U$1, 'Fund Investment Data'!$B:$B = 12),"""")"),"")</f>
        <v/>
      </c>
      <c r="V90" t="str">
        <f>IFERROR(__xludf.DUMMYFUNCTION("IFERROR(FILTER('Fund Investment Data'!$D:$D, 'Fund Investment Data'!$C:$C = $A90, 'Fund Investment Data'!$A:$A = V$1, 'Fund Investment Data'!$B:$B = 12),"""")"),"")</f>
        <v/>
      </c>
      <c r="W90" t="str">
        <f>IFERROR(__xludf.DUMMYFUNCTION("IFERROR(FILTER('Fund Investment Data'!$D:$D, 'Fund Investment Data'!$C:$C = $A90, 'Fund Investment Data'!$A:$A = W$1, 'Fund Investment Data'!$B:$B = 12),"""")"),"")</f>
        <v/>
      </c>
      <c r="X90" t="str">
        <f>IFERROR(__xludf.DUMMYFUNCTION("IFERROR(FILTER('Fund Investment Data'!$D:$D, 'Fund Investment Data'!$C:$C = $A90, 'Fund Investment Data'!$A:$A = X$1, 'Fund Investment Data'!$B:$B = 12),"""")"),"")</f>
        <v/>
      </c>
      <c r="Y90" t="str">
        <f>IFERROR(__xludf.DUMMYFUNCTION("IFERROR(FILTER('Fund Investment Data'!$D:$D, 'Fund Investment Data'!$C:$C = $A90, 'Fund Investment Data'!$A:$A = Y$1, 'Fund Investment Data'!$B:$B = 12),"""")"),"")</f>
        <v/>
      </c>
      <c r="Z90" t="str">
        <f>IFERROR(__xludf.DUMMYFUNCTION("IFERROR(FILTER('Fund Investment Data'!$D:$D, 'Fund Investment Data'!$C:$C = $A90, 'Fund Investment Data'!$A:$A = Z$1, 'Fund Investment Data'!$B:$B = 12),"""")"),"")</f>
        <v/>
      </c>
      <c r="AA90" t="str">
        <f>IFERROR(__xludf.DUMMYFUNCTION("IFERROR(FILTER('Fund Investment Data'!$D:$D, 'Fund Investment Data'!$C:$C = $A90, 'Fund Investment Data'!$A:$A = AA$1, 'Fund Investment Data'!$B:$B = 12),"""")"),"")</f>
        <v/>
      </c>
      <c r="AB90" t="str">
        <f>IFERROR(__xludf.DUMMYFUNCTION("IFERROR(FILTER('Fund Investment Data'!$D:$D, 'Fund Investment Data'!$C:$C = $A90, 'Fund Investment Data'!$A:$A = AB$1, 'Fund Investment Data'!$B:$B = 12),"""")"),"")</f>
        <v/>
      </c>
      <c r="AC90" t="str">
        <f>IFERROR(__xludf.DUMMYFUNCTION("IFERROR(FILTER('Fund Investment Data'!$D:$D, 'Fund Investment Data'!$C:$C = $A90, 'Fund Investment Data'!$A:$A = AC$1, 'Fund Investment Data'!$B:$B = 12),"""")"),"")</f>
        <v/>
      </c>
      <c r="AD90" t="str">
        <f>IFERROR(__xludf.DUMMYFUNCTION("IFERROR(FILTER('Fund Investment Data'!$D:$D, 'Fund Investment Data'!$C:$C = $A90, 'Fund Investment Data'!$A:$A = AD$1, 'Fund Investment Data'!$B:$B = 12),"""")"),"")</f>
        <v/>
      </c>
      <c r="AE90" t="str">
        <f>IFERROR(__xludf.DUMMYFUNCTION("IFERROR(FILTER('Fund Investment Data'!$D:$D, 'Fund Investment Data'!$C:$C = $A90, 'Fund Investment Data'!$A:$A = AE$1, 'Fund Investment Data'!$B:$B = 12),"""")"),"")</f>
        <v/>
      </c>
    </row>
    <row r="91">
      <c r="A91" s="150" t="str">
        <f>'Endowed Funds'!A:A</f>
        <v/>
      </c>
      <c r="B91" t="str">
        <f>IFERROR(__xludf.DUMMYFUNCTION("IFERROR(FILTER('Fund Investment Data'!$D:$D, 'Fund Investment Data'!$C:$C = $A91, 'Fund Investment Data'!$A:$A = B$1, 'Fund Investment Data'!$B:$B = 12),"""")"),"")</f>
        <v/>
      </c>
      <c r="C91" t="str">
        <f>IFERROR(__xludf.DUMMYFUNCTION("IFERROR(FILTER('Fund Investment Data'!$D:$D, 'Fund Investment Data'!$C:$C = $A91, 'Fund Investment Data'!$A:$A = C$1, 'Fund Investment Data'!$B:$B = 12),"""")"),"")</f>
        <v/>
      </c>
      <c r="D91" t="str">
        <f>IFERROR(__xludf.DUMMYFUNCTION("IFERROR(FILTER('Fund Investment Data'!$D:$D, 'Fund Investment Data'!$C:$C = $A91, 'Fund Investment Data'!$A:$A = D$1, 'Fund Investment Data'!$B:$B = 12),"""")"),"")</f>
        <v/>
      </c>
      <c r="E91" t="str">
        <f>IFERROR(__xludf.DUMMYFUNCTION("IFERROR(FILTER('Fund Investment Data'!$D:$D, 'Fund Investment Data'!$C:$C = $A91, 'Fund Investment Data'!$A:$A = E$1, 'Fund Investment Data'!$B:$B = 12),"""")"),"")</f>
        <v/>
      </c>
      <c r="F91" t="str">
        <f>IFERROR(__xludf.DUMMYFUNCTION("IFERROR(FILTER('Fund Investment Data'!$D:$D, 'Fund Investment Data'!$C:$C = $A91, 'Fund Investment Data'!$A:$A = F$1, 'Fund Investment Data'!$B:$B = 12),"""")"),"")</f>
        <v/>
      </c>
      <c r="G91" t="str">
        <f>IFERROR(__xludf.DUMMYFUNCTION("IFERROR(FILTER('Fund Investment Data'!$D:$D, 'Fund Investment Data'!$C:$C = $A91, 'Fund Investment Data'!$A:$A = G$1, 'Fund Investment Data'!$B:$B = 12),"""")"),"")</f>
        <v/>
      </c>
      <c r="H91" t="str">
        <f>IFERROR(__xludf.DUMMYFUNCTION("IFERROR(FILTER('Fund Investment Data'!$D:$D, 'Fund Investment Data'!$C:$C = $A91, 'Fund Investment Data'!$A:$A = H$1, 'Fund Investment Data'!$B:$B = 12),"""")"),"")</f>
        <v/>
      </c>
      <c r="I91" t="str">
        <f>IFERROR(__xludf.DUMMYFUNCTION("IFERROR(FILTER('Fund Investment Data'!$D:$D, 'Fund Investment Data'!$C:$C = $A91, 'Fund Investment Data'!$A:$A = I$1, 'Fund Investment Data'!$B:$B = 12),"""")"),"")</f>
        <v/>
      </c>
      <c r="J91" t="str">
        <f>IFERROR(__xludf.DUMMYFUNCTION("IFERROR(FILTER('Fund Investment Data'!$D:$D, 'Fund Investment Data'!$C:$C = $A91, 'Fund Investment Data'!$A:$A = J$1, 'Fund Investment Data'!$B:$B = 12),"""")"),"")</f>
        <v/>
      </c>
      <c r="K91" t="str">
        <f>IFERROR(__xludf.DUMMYFUNCTION("IFERROR(FILTER('Fund Investment Data'!$D:$D, 'Fund Investment Data'!$C:$C = $A91, 'Fund Investment Data'!$A:$A = K$1, 'Fund Investment Data'!$B:$B = 12),"""")"),"")</f>
        <v/>
      </c>
      <c r="L91" t="str">
        <f>IFERROR(__xludf.DUMMYFUNCTION("IFERROR(FILTER('Fund Investment Data'!$D:$D, 'Fund Investment Data'!$C:$C = $A91, 'Fund Investment Data'!$A:$A = L$1, 'Fund Investment Data'!$B:$B = 12),"""")"),"")</f>
        <v/>
      </c>
      <c r="M91" t="str">
        <f>IFERROR(__xludf.DUMMYFUNCTION("IFERROR(FILTER('Fund Investment Data'!$D:$D, 'Fund Investment Data'!$C:$C = $A91, 'Fund Investment Data'!$A:$A = M$1, 'Fund Investment Data'!$B:$B = 12),"""")"),"")</f>
        <v/>
      </c>
      <c r="N91" t="str">
        <f>IFERROR(__xludf.DUMMYFUNCTION("IFERROR(FILTER('Fund Investment Data'!$D:$D, 'Fund Investment Data'!$C:$C = $A91, 'Fund Investment Data'!$A:$A = N$1, 'Fund Investment Data'!$B:$B = 12),"""")"),"")</f>
        <v/>
      </c>
      <c r="O91" t="str">
        <f>IFERROR(__xludf.DUMMYFUNCTION("IFERROR(FILTER('Fund Investment Data'!$D:$D, 'Fund Investment Data'!$C:$C = $A91, 'Fund Investment Data'!$A:$A = O$1, 'Fund Investment Data'!$B:$B = 12),"""")"),"")</f>
        <v/>
      </c>
      <c r="P91" t="str">
        <f>IFERROR(__xludf.DUMMYFUNCTION("IFERROR(FILTER('Fund Investment Data'!$D:$D, 'Fund Investment Data'!$C:$C = $A91, 'Fund Investment Data'!$A:$A = P$1, 'Fund Investment Data'!$B:$B = 12),"""")"),"")</f>
        <v/>
      </c>
      <c r="Q91" t="str">
        <f>IFERROR(__xludf.DUMMYFUNCTION("IFERROR(FILTER('Fund Investment Data'!$D:$D, 'Fund Investment Data'!$C:$C = $A91, 'Fund Investment Data'!$A:$A = Q$1, 'Fund Investment Data'!$B:$B = 12),"""")"),"")</f>
        <v/>
      </c>
      <c r="R91" t="str">
        <f>IFERROR(__xludf.DUMMYFUNCTION("IFERROR(FILTER('Fund Investment Data'!$D:$D, 'Fund Investment Data'!$C:$C = $A91, 'Fund Investment Data'!$A:$A = R$1, 'Fund Investment Data'!$B:$B = 12),"""")"),"")</f>
        <v/>
      </c>
      <c r="S91" t="str">
        <f>IFERROR(__xludf.DUMMYFUNCTION("IFERROR(FILTER('Fund Investment Data'!$D:$D, 'Fund Investment Data'!$C:$C = $A91, 'Fund Investment Data'!$A:$A = S$1, 'Fund Investment Data'!$B:$B = 12),"""")"),"")</f>
        <v/>
      </c>
      <c r="T91" t="str">
        <f>IFERROR(__xludf.DUMMYFUNCTION("IFERROR(FILTER('Fund Investment Data'!$D:$D, 'Fund Investment Data'!$C:$C = $A91, 'Fund Investment Data'!$A:$A = T$1, 'Fund Investment Data'!$B:$B = 12),"""")"),"")</f>
        <v/>
      </c>
      <c r="U91" t="str">
        <f>IFERROR(__xludf.DUMMYFUNCTION("IFERROR(FILTER('Fund Investment Data'!$D:$D, 'Fund Investment Data'!$C:$C = $A91, 'Fund Investment Data'!$A:$A = U$1, 'Fund Investment Data'!$B:$B = 12),"""")"),"")</f>
        <v/>
      </c>
      <c r="V91" t="str">
        <f>IFERROR(__xludf.DUMMYFUNCTION("IFERROR(FILTER('Fund Investment Data'!$D:$D, 'Fund Investment Data'!$C:$C = $A91, 'Fund Investment Data'!$A:$A = V$1, 'Fund Investment Data'!$B:$B = 12),"""")"),"")</f>
        <v/>
      </c>
      <c r="W91" t="str">
        <f>IFERROR(__xludf.DUMMYFUNCTION("IFERROR(FILTER('Fund Investment Data'!$D:$D, 'Fund Investment Data'!$C:$C = $A91, 'Fund Investment Data'!$A:$A = W$1, 'Fund Investment Data'!$B:$B = 12),"""")"),"")</f>
        <v/>
      </c>
      <c r="X91" t="str">
        <f>IFERROR(__xludf.DUMMYFUNCTION("IFERROR(FILTER('Fund Investment Data'!$D:$D, 'Fund Investment Data'!$C:$C = $A91, 'Fund Investment Data'!$A:$A = X$1, 'Fund Investment Data'!$B:$B = 12),"""")"),"")</f>
        <v/>
      </c>
      <c r="Y91" t="str">
        <f>IFERROR(__xludf.DUMMYFUNCTION("IFERROR(FILTER('Fund Investment Data'!$D:$D, 'Fund Investment Data'!$C:$C = $A91, 'Fund Investment Data'!$A:$A = Y$1, 'Fund Investment Data'!$B:$B = 12),"""")"),"")</f>
        <v/>
      </c>
      <c r="Z91" t="str">
        <f>IFERROR(__xludf.DUMMYFUNCTION("IFERROR(FILTER('Fund Investment Data'!$D:$D, 'Fund Investment Data'!$C:$C = $A91, 'Fund Investment Data'!$A:$A = Z$1, 'Fund Investment Data'!$B:$B = 12),"""")"),"")</f>
        <v/>
      </c>
      <c r="AA91" t="str">
        <f>IFERROR(__xludf.DUMMYFUNCTION("IFERROR(FILTER('Fund Investment Data'!$D:$D, 'Fund Investment Data'!$C:$C = $A91, 'Fund Investment Data'!$A:$A = AA$1, 'Fund Investment Data'!$B:$B = 12),"""")"),"")</f>
        <v/>
      </c>
      <c r="AB91" t="str">
        <f>IFERROR(__xludf.DUMMYFUNCTION("IFERROR(FILTER('Fund Investment Data'!$D:$D, 'Fund Investment Data'!$C:$C = $A91, 'Fund Investment Data'!$A:$A = AB$1, 'Fund Investment Data'!$B:$B = 12),"""")"),"")</f>
        <v/>
      </c>
      <c r="AC91" t="str">
        <f>IFERROR(__xludf.DUMMYFUNCTION("IFERROR(FILTER('Fund Investment Data'!$D:$D, 'Fund Investment Data'!$C:$C = $A91, 'Fund Investment Data'!$A:$A = AC$1, 'Fund Investment Data'!$B:$B = 12),"""")"),"")</f>
        <v/>
      </c>
      <c r="AD91" t="str">
        <f>IFERROR(__xludf.DUMMYFUNCTION("IFERROR(FILTER('Fund Investment Data'!$D:$D, 'Fund Investment Data'!$C:$C = $A91, 'Fund Investment Data'!$A:$A = AD$1, 'Fund Investment Data'!$B:$B = 12),"""")"),"")</f>
        <v/>
      </c>
      <c r="AE91" t="str">
        <f>IFERROR(__xludf.DUMMYFUNCTION("IFERROR(FILTER('Fund Investment Data'!$D:$D, 'Fund Investment Data'!$C:$C = $A91, 'Fund Investment Data'!$A:$A = AE$1, 'Fund Investment Data'!$B:$B = 12),"""")"),"")</f>
        <v/>
      </c>
    </row>
    <row r="92">
      <c r="A92" s="150" t="str">
        <f>'Endowed Funds'!A:A</f>
        <v/>
      </c>
      <c r="B92" t="str">
        <f>IFERROR(__xludf.DUMMYFUNCTION("IFERROR(FILTER('Fund Investment Data'!$D:$D, 'Fund Investment Data'!$C:$C = $A92, 'Fund Investment Data'!$A:$A = B$1, 'Fund Investment Data'!$B:$B = 12),"""")"),"")</f>
        <v/>
      </c>
      <c r="C92" t="str">
        <f>IFERROR(__xludf.DUMMYFUNCTION("IFERROR(FILTER('Fund Investment Data'!$D:$D, 'Fund Investment Data'!$C:$C = $A92, 'Fund Investment Data'!$A:$A = C$1, 'Fund Investment Data'!$B:$B = 12),"""")"),"")</f>
        <v/>
      </c>
      <c r="D92" t="str">
        <f>IFERROR(__xludf.DUMMYFUNCTION("IFERROR(FILTER('Fund Investment Data'!$D:$D, 'Fund Investment Data'!$C:$C = $A92, 'Fund Investment Data'!$A:$A = D$1, 'Fund Investment Data'!$B:$B = 12),"""")"),"")</f>
        <v/>
      </c>
      <c r="E92" t="str">
        <f>IFERROR(__xludf.DUMMYFUNCTION("IFERROR(FILTER('Fund Investment Data'!$D:$D, 'Fund Investment Data'!$C:$C = $A92, 'Fund Investment Data'!$A:$A = E$1, 'Fund Investment Data'!$B:$B = 12),"""")"),"")</f>
        <v/>
      </c>
      <c r="F92" t="str">
        <f>IFERROR(__xludf.DUMMYFUNCTION("IFERROR(FILTER('Fund Investment Data'!$D:$D, 'Fund Investment Data'!$C:$C = $A92, 'Fund Investment Data'!$A:$A = F$1, 'Fund Investment Data'!$B:$B = 12),"""")"),"")</f>
        <v/>
      </c>
      <c r="G92" t="str">
        <f>IFERROR(__xludf.DUMMYFUNCTION("IFERROR(FILTER('Fund Investment Data'!$D:$D, 'Fund Investment Data'!$C:$C = $A92, 'Fund Investment Data'!$A:$A = G$1, 'Fund Investment Data'!$B:$B = 12),"""")"),"")</f>
        <v/>
      </c>
      <c r="H92" t="str">
        <f>IFERROR(__xludf.DUMMYFUNCTION("IFERROR(FILTER('Fund Investment Data'!$D:$D, 'Fund Investment Data'!$C:$C = $A92, 'Fund Investment Data'!$A:$A = H$1, 'Fund Investment Data'!$B:$B = 12),"""")"),"")</f>
        <v/>
      </c>
      <c r="I92" t="str">
        <f>IFERROR(__xludf.DUMMYFUNCTION("IFERROR(FILTER('Fund Investment Data'!$D:$D, 'Fund Investment Data'!$C:$C = $A92, 'Fund Investment Data'!$A:$A = I$1, 'Fund Investment Data'!$B:$B = 12),"""")"),"")</f>
        <v/>
      </c>
      <c r="J92" t="str">
        <f>IFERROR(__xludf.DUMMYFUNCTION("IFERROR(FILTER('Fund Investment Data'!$D:$D, 'Fund Investment Data'!$C:$C = $A92, 'Fund Investment Data'!$A:$A = J$1, 'Fund Investment Data'!$B:$B = 12),"""")"),"")</f>
        <v/>
      </c>
      <c r="K92" t="str">
        <f>IFERROR(__xludf.DUMMYFUNCTION("IFERROR(FILTER('Fund Investment Data'!$D:$D, 'Fund Investment Data'!$C:$C = $A92, 'Fund Investment Data'!$A:$A = K$1, 'Fund Investment Data'!$B:$B = 12),"""")"),"")</f>
        <v/>
      </c>
      <c r="L92" t="str">
        <f>IFERROR(__xludf.DUMMYFUNCTION("IFERROR(FILTER('Fund Investment Data'!$D:$D, 'Fund Investment Data'!$C:$C = $A92, 'Fund Investment Data'!$A:$A = L$1, 'Fund Investment Data'!$B:$B = 12),"""")"),"")</f>
        <v/>
      </c>
      <c r="M92" t="str">
        <f>IFERROR(__xludf.DUMMYFUNCTION("IFERROR(FILTER('Fund Investment Data'!$D:$D, 'Fund Investment Data'!$C:$C = $A92, 'Fund Investment Data'!$A:$A = M$1, 'Fund Investment Data'!$B:$B = 12),"""")"),"")</f>
        <v/>
      </c>
      <c r="N92" t="str">
        <f>IFERROR(__xludf.DUMMYFUNCTION("IFERROR(FILTER('Fund Investment Data'!$D:$D, 'Fund Investment Data'!$C:$C = $A92, 'Fund Investment Data'!$A:$A = N$1, 'Fund Investment Data'!$B:$B = 12),"""")"),"")</f>
        <v/>
      </c>
      <c r="O92" t="str">
        <f>IFERROR(__xludf.DUMMYFUNCTION("IFERROR(FILTER('Fund Investment Data'!$D:$D, 'Fund Investment Data'!$C:$C = $A92, 'Fund Investment Data'!$A:$A = O$1, 'Fund Investment Data'!$B:$B = 12),"""")"),"")</f>
        <v/>
      </c>
      <c r="P92" t="str">
        <f>IFERROR(__xludf.DUMMYFUNCTION("IFERROR(FILTER('Fund Investment Data'!$D:$D, 'Fund Investment Data'!$C:$C = $A92, 'Fund Investment Data'!$A:$A = P$1, 'Fund Investment Data'!$B:$B = 12),"""")"),"")</f>
        <v/>
      </c>
      <c r="Q92" t="str">
        <f>IFERROR(__xludf.DUMMYFUNCTION("IFERROR(FILTER('Fund Investment Data'!$D:$D, 'Fund Investment Data'!$C:$C = $A92, 'Fund Investment Data'!$A:$A = Q$1, 'Fund Investment Data'!$B:$B = 12),"""")"),"")</f>
        <v/>
      </c>
      <c r="R92" t="str">
        <f>IFERROR(__xludf.DUMMYFUNCTION("IFERROR(FILTER('Fund Investment Data'!$D:$D, 'Fund Investment Data'!$C:$C = $A92, 'Fund Investment Data'!$A:$A = R$1, 'Fund Investment Data'!$B:$B = 12),"""")"),"")</f>
        <v/>
      </c>
      <c r="S92" t="str">
        <f>IFERROR(__xludf.DUMMYFUNCTION("IFERROR(FILTER('Fund Investment Data'!$D:$D, 'Fund Investment Data'!$C:$C = $A92, 'Fund Investment Data'!$A:$A = S$1, 'Fund Investment Data'!$B:$B = 12),"""")"),"")</f>
        <v/>
      </c>
      <c r="T92" t="str">
        <f>IFERROR(__xludf.DUMMYFUNCTION("IFERROR(FILTER('Fund Investment Data'!$D:$D, 'Fund Investment Data'!$C:$C = $A92, 'Fund Investment Data'!$A:$A = T$1, 'Fund Investment Data'!$B:$B = 12),"""")"),"")</f>
        <v/>
      </c>
      <c r="U92" t="str">
        <f>IFERROR(__xludf.DUMMYFUNCTION("IFERROR(FILTER('Fund Investment Data'!$D:$D, 'Fund Investment Data'!$C:$C = $A92, 'Fund Investment Data'!$A:$A = U$1, 'Fund Investment Data'!$B:$B = 12),"""")"),"")</f>
        <v/>
      </c>
      <c r="V92" t="str">
        <f>IFERROR(__xludf.DUMMYFUNCTION("IFERROR(FILTER('Fund Investment Data'!$D:$D, 'Fund Investment Data'!$C:$C = $A92, 'Fund Investment Data'!$A:$A = V$1, 'Fund Investment Data'!$B:$B = 12),"""")"),"")</f>
        <v/>
      </c>
      <c r="W92" t="str">
        <f>IFERROR(__xludf.DUMMYFUNCTION("IFERROR(FILTER('Fund Investment Data'!$D:$D, 'Fund Investment Data'!$C:$C = $A92, 'Fund Investment Data'!$A:$A = W$1, 'Fund Investment Data'!$B:$B = 12),"""")"),"")</f>
        <v/>
      </c>
      <c r="X92" t="str">
        <f>IFERROR(__xludf.DUMMYFUNCTION("IFERROR(FILTER('Fund Investment Data'!$D:$D, 'Fund Investment Data'!$C:$C = $A92, 'Fund Investment Data'!$A:$A = X$1, 'Fund Investment Data'!$B:$B = 12),"""")"),"")</f>
        <v/>
      </c>
      <c r="Y92" t="str">
        <f>IFERROR(__xludf.DUMMYFUNCTION("IFERROR(FILTER('Fund Investment Data'!$D:$D, 'Fund Investment Data'!$C:$C = $A92, 'Fund Investment Data'!$A:$A = Y$1, 'Fund Investment Data'!$B:$B = 12),"""")"),"")</f>
        <v/>
      </c>
      <c r="Z92" t="str">
        <f>IFERROR(__xludf.DUMMYFUNCTION("IFERROR(FILTER('Fund Investment Data'!$D:$D, 'Fund Investment Data'!$C:$C = $A92, 'Fund Investment Data'!$A:$A = Z$1, 'Fund Investment Data'!$B:$B = 12),"""")"),"")</f>
        <v/>
      </c>
      <c r="AA92" t="str">
        <f>IFERROR(__xludf.DUMMYFUNCTION("IFERROR(FILTER('Fund Investment Data'!$D:$D, 'Fund Investment Data'!$C:$C = $A92, 'Fund Investment Data'!$A:$A = AA$1, 'Fund Investment Data'!$B:$B = 12),"""")"),"")</f>
        <v/>
      </c>
      <c r="AB92" t="str">
        <f>IFERROR(__xludf.DUMMYFUNCTION("IFERROR(FILTER('Fund Investment Data'!$D:$D, 'Fund Investment Data'!$C:$C = $A92, 'Fund Investment Data'!$A:$A = AB$1, 'Fund Investment Data'!$B:$B = 12),"""")"),"")</f>
        <v/>
      </c>
      <c r="AC92" t="str">
        <f>IFERROR(__xludf.DUMMYFUNCTION("IFERROR(FILTER('Fund Investment Data'!$D:$D, 'Fund Investment Data'!$C:$C = $A92, 'Fund Investment Data'!$A:$A = AC$1, 'Fund Investment Data'!$B:$B = 12),"""")"),"")</f>
        <v/>
      </c>
      <c r="AD92" t="str">
        <f>IFERROR(__xludf.DUMMYFUNCTION("IFERROR(FILTER('Fund Investment Data'!$D:$D, 'Fund Investment Data'!$C:$C = $A92, 'Fund Investment Data'!$A:$A = AD$1, 'Fund Investment Data'!$B:$B = 12),"""")"),"")</f>
        <v/>
      </c>
      <c r="AE92" t="str">
        <f>IFERROR(__xludf.DUMMYFUNCTION("IFERROR(FILTER('Fund Investment Data'!$D:$D, 'Fund Investment Data'!$C:$C = $A92, 'Fund Investment Data'!$A:$A = AE$1, 'Fund Investment Data'!$B:$B = 12),"""")"),"")</f>
        <v/>
      </c>
    </row>
    <row r="93">
      <c r="A93" s="150" t="str">
        <f>'Endowed Funds'!A:A</f>
        <v/>
      </c>
      <c r="B93" t="str">
        <f>IFERROR(__xludf.DUMMYFUNCTION("IFERROR(FILTER('Fund Investment Data'!$D:$D, 'Fund Investment Data'!$C:$C = $A93, 'Fund Investment Data'!$A:$A = B$1, 'Fund Investment Data'!$B:$B = 12),"""")"),"")</f>
        <v/>
      </c>
      <c r="C93" t="str">
        <f>IFERROR(__xludf.DUMMYFUNCTION("IFERROR(FILTER('Fund Investment Data'!$D:$D, 'Fund Investment Data'!$C:$C = $A93, 'Fund Investment Data'!$A:$A = C$1, 'Fund Investment Data'!$B:$B = 12),"""")"),"")</f>
        <v/>
      </c>
      <c r="D93" t="str">
        <f>IFERROR(__xludf.DUMMYFUNCTION("IFERROR(FILTER('Fund Investment Data'!$D:$D, 'Fund Investment Data'!$C:$C = $A93, 'Fund Investment Data'!$A:$A = D$1, 'Fund Investment Data'!$B:$B = 12),"""")"),"")</f>
        <v/>
      </c>
      <c r="E93" t="str">
        <f>IFERROR(__xludf.DUMMYFUNCTION("IFERROR(FILTER('Fund Investment Data'!$D:$D, 'Fund Investment Data'!$C:$C = $A93, 'Fund Investment Data'!$A:$A = E$1, 'Fund Investment Data'!$B:$B = 12),"""")"),"")</f>
        <v/>
      </c>
      <c r="F93" t="str">
        <f>IFERROR(__xludf.DUMMYFUNCTION("IFERROR(FILTER('Fund Investment Data'!$D:$D, 'Fund Investment Data'!$C:$C = $A93, 'Fund Investment Data'!$A:$A = F$1, 'Fund Investment Data'!$B:$B = 12),"""")"),"")</f>
        <v/>
      </c>
      <c r="G93" t="str">
        <f>IFERROR(__xludf.DUMMYFUNCTION("IFERROR(FILTER('Fund Investment Data'!$D:$D, 'Fund Investment Data'!$C:$C = $A93, 'Fund Investment Data'!$A:$A = G$1, 'Fund Investment Data'!$B:$B = 12),"""")"),"")</f>
        <v/>
      </c>
      <c r="H93" t="str">
        <f>IFERROR(__xludf.DUMMYFUNCTION("IFERROR(FILTER('Fund Investment Data'!$D:$D, 'Fund Investment Data'!$C:$C = $A93, 'Fund Investment Data'!$A:$A = H$1, 'Fund Investment Data'!$B:$B = 12),"""")"),"")</f>
        <v/>
      </c>
      <c r="I93" t="str">
        <f>IFERROR(__xludf.DUMMYFUNCTION("IFERROR(FILTER('Fund Investment Data'!$D:$D, 'Fund Investment Data'!$C:$C = $A93, 'Fund Investment Data'!$A:$A = I$1, 'Fund Investment Data'!$B:$B = 12),"""")"),"")</f>
        <v/>
      </c>
      <c r="J93" t="str">
        <f>IFERROR(__xludf.DUMMYFUNCTION("IFERROR(FILTER('Fund Investment Data'!$D:$D, 'Fund Investment Data'!$C:$C = $A93, 'Fund Investment Data'!$A:$A = J$1, 'Fund Investment Data'!$B:$B = 12),"""")"),"")</f>
        <v/>
      </c>
      <c r="K93" t="str">
        <f>IFERROR(__xludf.DUMMYFUNCTION("IFERROR(FILTER('Fund Investment Data'!$D:$D, 'Fund Investment Data'!$C:$C = $A93, 'Fund Investment Data'!$A:$A = K$1, 'Fund Investment Data'!$B:$B = 12),"""")"),"")</f>
        <v/>
      </c>
      <c r="L93" t="str">
        <f>IFERROR(__xludf.DUMMYFUNCTION("IFERROR(FILTER('Fund Investment Data'!$D:$D, 'Fund Investment Data'!$C:$C = $A93, 'Fund Investment Data'!$A:$A = L$1, 'Fund Investment Data'!$B:$B = 12),"""")"),"")</f>
        <v/>
      </c>
      <c r="M93" t="str">
        <f>IFERROR(__xludf.DUMMYFUNCTION("IFERROR(FILTER('Fund Investment Data'!$D:$D, 'Fund Investment Data'!$C:$C = $A93, 'Fund Investment Data'!$A:$A = M$1, 'Fund Investment Data'!$B:$B = 12),"""")"),"")</f>
        <v/>
      </c>
      <c r="N93" t="str">
        <f>IFERROR(__xludf.DUMMYFUNCTION("IFERROR(FILTER('Fund Investment Data'!$D:$D, 'Fund Investment Data'!$C:$C = $A93, 'Fund Investment Data'!$A:$A = N$1, 'Fund Investment Data'!$B:$B = 12),"""")"),"")</f>
        <v/>
      </c>
      <c r="O93" t="str">
        <f>IFERROR(__xludf.DUMMYFUNCTION("IFERROR(FILTER('Fund Investment Data'!$D:$D, 'Fund Investment Data'!$C:$C = $A93, 'Fund Investment Data'!$A:$A = O$1, 'Fund Investment Data'!$B:$B = 12),"""")"),"")</f>
        <v/>
      </c>
      <c r="P93" t="str">
        <f>IFERROR(__xludf.DUMMYFUNCTION("IFERROR(FILTER('Fund Investment Data'!$D:$D, 'Fund Investment Data'!$C:$C = $A93, 'Fund Investment Data'!$A:$A = P$1, 'Fund Investment Data'!$B:$B = 12),"""")"),"")</f>
        <v/>
      </c>
      <c r="Q93" t="str">
        <f>IFERROR(__xludf.DUMMYFUNCTION("IFERROR(FILTER('Fund Investment Data'!$D:$D, 'Fund Investment Data'!$C:$C = $A93, 'Fund Investment Data'!$A:$A = Q$1, 'Fund Investment Data'!$B:$B = 12),"""")"),"")</f>
        <v/>
      </c>
      <c r="R93" t="str">
        <f>IFERROR(__xludf.DUMMYFUNCTION("IFERROR(FILTER('Fund Investment Data'!$D:$D, 'Fund Investment Data'!$C:$C = $A93, 'Fund Investment Data'!$A:$A = R$1, 'Fund Investment Data'!$B:$B = 12),"""")"),"")</f>
        <v/>
      </c>
      <c r="S93" t="str">
        <f>IFERROR(__xludf.DUMMYFUNCTION("IFERROR(FILTER('Fund Investment Data'!$D:$D, 'Fund Investment Data'!$C:$C = $A93, 'Fund Investment Data'!$A:$A = S$1, 'Fund Investment Data'!$B:$B = 12),"""")"),"")</f>
        <v/>
      </c>
      <c r="T93" t="str">
        <f>IFERROR(__xludf.DUMMYFUNCTION("IFERROR(FILTER('Fund Investment Data'!$D:$D, 'Fund Investment Data'!$C:$C = $A93, 'Fund Investment Data'!$A:$A = T$1, 'Fund Investment Data'!$B:$B = 12),"""")"),"")</f>
        <v/>
      </c>
      <c r="U93" t="str">
        <f>IFERROR(__xludf.DUMMYFUNCTION("IFERROR(FILTER('Fund Investment Data'!$D:$D, 'Fund Investment Data'!$C:$C = $A93, 'Fund Investment Data'!$A:$A = U$1, 'Fund Investment Data'!$B:$B = 12),"""")"),"")</f>
        <v/>
      </c>
      <c r="V93" t="str">
        <f>IFERROR(__xludf.DUMMYFUNCTION("IFERROR(FILTER('Fund Investment Data'!$D:$D, 'Fund Investment Data'!$C:$C = $A93, 'Fund Investment Data'!$A:$A = V$1, 'Fund Investment Data'!$B:$B = 12),"""")"),"")</f>
        <v/>
      </c>
      <c r="W93" t="str">
        <f>IFERROR(__xludf.DUMMYFUNCTION("IFERROR(FILTER('Fund Investment Data'!$D:$D, 'Fund Investment Data'!$C:$C = $A93, 'Fund Investment Data'!$A:$A = W$1, 'Fund Investment Data'!$B:$B = 12),"""")"),"")</f>
        <v/>
      </c>
      <c r="X93" t="str">
        <f>IFERROR(__xludf.DUMMYFUNCTION("IFERROR(FILTER('Fund Investment Data'!$D:$D, 'Fund Investment Data'!$C:$C = $A93, 'Fund Investment Data'!$A:$A = X$1, 'Fund Investment Data'!$B:$B = 12),"""")"),"")</f>
        <v/>
      </c>
      <c r="Y93" t="str">
        <f>IFERROR(__xludf.DUMMYFUNCTION("IFERROR(FILTER('Fund Investment Data'!$D:$D, 'Fund Investment Data'!$C:$C = $A93, 'Fund Investment Data'!$A:$A = Y$1, 'Fund Investment Data'!$B:$B = 12),"""")"),"")</f>
        <v/>
      </c>
      <c r="Z93" t="str">
        <f>IFERROR(__xludf.DUMMYFUNCTION("IFERROR(FILTER('Fund Investment Data'!$D:$D, 'Fund Investment Data'!$C:$C = $A93, 'Fund Investment Data'!$A:$A = Z$1, 'Fund Investment Data'!$B:$B = 12),"""")"),"")</f>
        <v/>
      </c>
      <c r="AA93" t="str">
        <f>IFERROR(__xludf.DUMMYFUNCTION("IFERROR(FILTER('Fund Investment Data'!$D:$D, 'Fund Investment Data'!$C:$C = $A93, 'Fund Investment Data'!$A:$A = AA$1, 'Fund Investment Data'!$B:$B = 12),"""")"),"")</f>
        <v/>
      </c>
      <c r="AB93" t="str">
        <f>IFERROR(__xludf.DUMMYFUNCTION("IFERROR(FILTER('Fund Investment Data'!$D:$D, 'Fund Investment Data'!$C:$C = $A93, 'Fund Investment Data'!$A:$A = AB$1, 'Fund Investment Data'!$B:$B = 12),"""")"),"")</f>
        <v/>
      </c>
      <c r="AC93" t="str">
        <f>IFERROR(__xludf.DUMMYFUNCTION("IFERROR(FILTER('Fund Investment Data'!$D:$D, 'Fund Investment Data'!$C:$C = $A93, 'Fund Investment Data'!$A:$A = AC$1, 'Fund Investment Data'!$B:$B = 12),"""")"),"")</f>
        <v/>
      </c>
      <c r="AD93" t="str">
        <f>IFERROR(__xludf.DUMMYFUNCTION("IFERROR(FILTER('Fund Investment Data'!$D:$D, 'Fund Investment Data'!$C:$C = $A93, 'Fund Investment Data'!$A:$A = AD$1, 'Fund Investment Data'!$B:$B = 12),"""")"),"")</f>
        <v/>
      </c>
      <c r="AE93" t="str">
        <f>IFERROR(__xludf.DUMMYFUNCTION("IFERROR(FILTER('Fund Investment Data'!$D:$D, 'Fund Investment Data'!$C:$C = $A93, 'Fund Investment Data'!$A:$A = AE$1, 'Fund Investment Data'!$B:$B = 12),"""")"),"")</f>
        <v/>
      </c>
    </row>
    <row r="94">
      <c r="A94" s="150" t="str">
        <f>'Endowed Funds'!A:A</f>
        <v/>
      </c>
      <c r="B94" t="str">
        <f>IFERROR(__xludf.DUMMYFUNCTION("IFERROR(FILTER('Fund Investment Data'!$D:$D, 'Fund Investment Data'!$C:$C = $A94, 'Fund Investment Data'!$A:$A = B$1, 'Fund Investment Data'!$B:$B = 12),"""")"),"")</f>
        <v/>
      </c>
      <c r="C94" t="str">
        <f>IFERROR(__xludf.DUMMYFUNCTION("IFERROR(FILTER('Fund Investment Data'!$D:$D, 'Fund Investment Data'!$C:$C = $A94, 'Fund Investment Data'!$A:$A = C$1, 'Fund Investment Data'!$B:$B = 12),"""")"),"")</f>
        <v/>
      </c>
      <c r="D94" t="str">
        <f>IFERROR(__xludf.DUMMYFUNCTION("IFERROR(FILTER('Fund Investment Data'!$D:$D, 'Fund Investment Data'!$C:$C = $A94, 'Fund Investment Data'!$A:$A = D$1, 'Fund Investment Data'!$B:$B = 12),"""")"),"")</f>
        <v/>
      </c>
      <c r="E94" t="str">
        <f>IFERROR(__xludf.DUMMYFUNCTION("IFERROR(FILTER('Fund Investment Data'!$D:$D, 'Fund Investment Data'!$C:$C = $A94, 'Fund Investment Data'!$A:$A = E$1, 'Fund Investment Data'!$B:$B = 12),"""")"),"")</f>
        <v/>
      </c>
      <c r="F94" t="str">
        <f>IFERROR(__xludf.DUMMYFUNCTION("IFERROR(FILTER('Fund Investment Data'!$D:$D, 'Fund Investment Data'!$C:$C = $A94, 'Fund Investment Data'!$A:$A = F$1, 'Fund Investment Data'!$B:$B = 12),"""")"),"")</f>
        <v/>
      </c>
      <c r="G94" t="str">
        <f>IFERROR(__xludf.DUMMYFUNCTION("IFERROR(FILTER('Fund Investment Data'!$D:$D, 'Fund Investment Data'!$C:$C = $A94, 'Fund Investment Data'!$A:$A = G$1, 'Fund Investment Data'!$B:$B = 12),"""")"),"")</f>
        <v/>
      </c>
      <c r="H94" t="str">
        <f>IFERROR(__xludf.DUMMYFUNCTION("IFERROR(FILTER('Fund Investment Data'!$D:$D, 'Fund Investment Data'!$C:$C = $A94, 'Fund Investment Data'!$A:$A = H$1, 'Fund Investment Data'!$B:$B = 12),"""")"),"")</f>
        <v/>
      </c>
      <c r="I94" t="str">
        <f>IFERROR(__xludf.DUMMYFUNCTION("IFERROR(FILTER('Fund Investment Data'!$D:$D, 'Fund Investment Data'!$C:$C = $A94, 'Fund Investment Data'!$A:$A = I$1, 'Fund Investment Data'!$B:$B = 12),"""")"),"")</f>
        <v/>
      </c>
      <c r="J94" t="str">
        <f>IFERROR(__xludf.DUMMYFUNCTION("IFERROR(FILTER('Fund Investment Data'!$D:$D, 'Fund Investment Data'!$C:$C = $A94, 'Fund Investment Data'!$A:$A = J$1, 'Fund Investment Data'!$B:$B = 12),"""")"),"")</f>
        <v/>
      </c>
      <c r="K94" t="str">
        <f>IFERROR(__xludf.DUMMYFUNCTION("IFERROR(FILTER('Fund Investment Data'!$D:$D, 'Fund Investment Data'!$C:$C = $A94, 'Fund Investment Data'!$A:$A = K$1, 'Fund Investment Data'!$B:$B = 12),"""")"),"")</f>
        <v/>
      </c>
      <c r="L94" t="str">
        <f>IFERROR(__xludf.DUMMYFUNCTION("IFERROR(FILTER('Fund Investment Data'!$D:$D, 'Fund Investment Data'!$C:$C = $A94, 'Fund Investment Data'!$A:$A = L$1, 'Fund Investment Data'!$B:$B = 12),"""")"),"")</f>
        <v/>
      </c>
      <c r="M94" t="str">
        <f>IFERROR(__xludf.DUMMYFUNCTION("IFERROR(FILTER('Fund Investment Data'!$D:$D, 'Fund Investment Data'!$C:$C = $A94, 'Fund Investment Data'!$A:$A = M$1, 'Fund Investment Data'!$B:$B = 12),"""")"),"")</f>
        <v/>
      </c>
      <c r="N94" t="str">
        <f>IFERROR(__xludf.DUMMYFUNCTION("IFERROR(FILTER('Fund Investment Data'!$D:$D, 'Fund Investment Data'!$C:$C = $A94, 'Fund Investment Data'!$A:$A = N$1, 'Fund Investment Data'!$B:$B = 12),"""")"),"")</f>
        <v/>
      </c>
      <c r="O94" t="str">
        <f>IFERROR(__xludf.DUMMYFUNCTION("IFERROR(FILTER('Fund Investment Data'!$D:$D, 'Fund Investment Data'!$C:$C = $A94, 'Fund Investment Data'!$A:$A = O$1, 'Fund Investment Data'!$B:$B = 12),"""")"),"")</f>
        <v/>
      </c>
      <c r="P94" t="str">
        <f>IFERROR(__xludf.DUMMYFUNCTION("IFERROR(FILTER('Fund Investment Data'!$D:$D, 'Fund Investment Data'!$C:$C = $A94, 'Fund Investment Data'!$A:$A = P$1, 'Fund Investment Data'!$B:$B = 12),"""")"),"")</f>
        <v/>
      </c>
      <c r="Q94" t="str">
        <f>IFERROR(__xludf.DUMMYFUNCTION("IFERROR(FILTER('Fund Investment Data'!$D:$D, 'Fund Investment Data'!$C:$C = $A94, 'Fund Investment Data'!$A:$A = Q$1, 'Fund Investment Data'!$B:$B = 12),"""")"),"")</f>
        <v/>
      </c>
      <c r="R94" t="str">
        <f>IFERROR(__xludf.DUMMYFUNCTION("IFERROR(FILTER('Fund Investment Data'!$D:$D, 'Fund Investment Data'!$C:$C = $A94, 'Fund Investment Data'!$A:$A = R$1, 'Fund Investment Data'!$B:$B = 12),"""")"),"")</f>
        <v/>
      </c>
      <c r="S94" t="str">
        <f>IFERROR(__xludf.DUMMYFUNCTION("IFERROR(FILTER('Fund Investment Data'!$D:$D, 'Fund Investment Data'!$C:$C = $A94, 'Fund Investment Data'!$A:$A = S$1, 'Fund Investment Data'!$B:$B = 12),"""")"),"")</f>
        <v/>
      </c>
      <c r="T94" t="str">
        <f>IFERROR(__xludf.DUMMYFUNCTION("IFERROR(FILTER('Fund Investment Data'!$D:$D, 'Fund Investment Data'!$C:$C = $A94, 'Fund Investment Data'!$A:$A = T$1, 'Fund Investment Data'!$B:$B = 12),"""")"),"")</f>
        <v/>
      </c>
      <c r="U94" t="str">
        <f>IFERROR(__xludf.DUMMYFUNCTION("IFERROR(FILTER('Fund Investment Data'!$D:$D, 'Fund Investment Data'!$C:$C = $A94, 'Fund Investment Data'!$A:$A = U$1, 'Fund Investment Data'!$B:$B = 12),"""")"),"")</f>
        <v/>
      </c>
      <c r="V94" t="str">
        <f>IFERROR(__xludf.DUMMYFUNCTION("IFERROR(FILTER('Fund Investment Data'!$D:$D, 'Fund Investment Data'!$C:$C = $A94, 'Fund Investment Data'!$A:$A = V$1, 'Fund Investment Data'!$B:$B = 12),"""")"),"")</f>
        <v/>
      </c>
      <c r="W94" t="str">
        <f>IFERROR(__xludf.DUMMYFUNCTION("IFERROR(FILTER('Fund Investment Data'!$D:$D, 'Fund Investment Data'!$C:$C = $A94, 'Fund Investment Data'!$A:$A = W$1, 'Fund Investment Data'!$B:$B = 12),"""")"),"")</f>
        <v/>
      </c>
      <c r="X94" t="str">
        <f>IFERROR(__xludf.DUMMYFUNCTION("IFERROR(FILTER('Fund Investment Data'!$D:$D, 'Fund Investment Data'!$C:$C = $A94, 'Fund Investment Data'!$A:$A = X$1, 'Fund Investment Data'!$B:$B = 12),"""")"),"")</f>
        <v/>
      </c>
      <c r="Y94" t="str">
        <f>IFERROR(__xludf.DUMMYFUNCTION("IFERROR(FILTER('Fund Investment Data'!$D:$D, 'Fund Investment Data'!$C:$C = $A94, 'Fund Investment Data'!$A:$A = Y$1, 'Fund Investment Data'!$B:$B = 12),"""")"),"")</f>
        <v/>
      </c>
      <c r="Z94" t="str">
        <f>IFERROR(__xludf.DUMMYFUNCTION("IFERROR(FILTER('Fund Investment Data'!$D:$D, 'Fund Investment Data'!$C:$C = $A94, 'Fund Investment Data'!$A:$A = Z$1, 'Fund Investment Data'!$B:$B = 12),"""")"),"")</f>
        <v/>
      </c>
      <c r="AA94" t="str">
        <f>IFERROR(__xludf.DUMMYFUNCTION("IFERROR(FILTER('Fund Investment Data'!$D:$D, 'Fund Investment Data'!$C:$C = $A94, 'Fund Investment Data'!$A:$A = AA$1, 'Fund Investment Data'!$B:$B = 12),"""")"),"")</f>
        <v/>
      </c>
      <c r="AB94" t="str">
        <f>IFERROR(__xludf.DUMMYFUNCTION("IFERROR(FILTER('Fund Investment Data'!$D:$D, 'Fund Investment Data'!$C:$C = $A94, 'Fund Investment Data'!$A:$A = AB$1, 'Fund Investment Data'!$B:$B = 12),"""")"),"")</f>
        <v/>
      </c>
      <c r="AC94" t="str">
        <f>IFERROR(__xludf.DUMMYFUNCTION("IFERROR(FILTER('Fund Investment Data'!$D:$D, 'Fund Investment Data'!$C:$C = $A94, 'Fund Investment Data'!$A:$A = AC$1, 'Fund Investment Data'!$B:$B = 12),"""")"),"")</f>
        <v/>
      </c>
      <c r="AD94" t="str">
        <f>IFERROR(__xludf.DUMMYFUNCTION("IFERROR(FILTER('Fund Investment Data'!$D:$D, 'Fund Investment Data'!$C:$C = $A94, 'Fund Investment Data'!$A:$A = AD$1, 'Fund Investment Data'!$B:$B = 12),"""")"),"")</f>
        <v/>
      </c>
      <c r="AE94" t="str">
        <f>IFERROR(__xludf.DUMMYFUNCTION("IFERROR(FILTER('Fund Investment Data'!$D:$D, 'Fund Investment Data'!$C:$C = $A94, 'Fund Investment Data'!$A:$A = AE$1, 'Fund Investment Data'!$B:$B = 12),"""")"),"")</f>
        <v/>
      </c>
    </row>
    <row r="95">
      <c r="A95" s="150" t="str">
        <f>'Endowed Funds'!A:A</f>
        <v/>
      </c>
      <c r="B95" t="str">
        <f>IFERROR(__xludf.DUMMYFUNCTION("IFERROR(FILTER('Fund Investment Data'!$D:$D, 'Fund Investment Data'!$C:$C = $A95, 'Fund Investment Data'!$A:$A = B$1, 'Fund Investment Data'!$B:$B = 12),"""")"),"")</f>
        <v/>
      </c>
      <c r="C95" t="str">
        <f>IFERROR(__xludf.DUMMYFUNCTION("IFERROR(FILTER('Fund Investment Data'!$D:$D, 'Fund Investment Data'!$C:$C = $A95, 'Fund Investment Data'!$A:$A = C$1, 'Fund Investment Data'!$B:$B = 12),"""")"),"")</f>
        <v/>
      </c>
      <c r="D95" t="str">
        <f>IFERROR(__xludf.DUMMYFUNCTION("IFERROR(FILTER('Fund Investment Data'!$D:$D, 'Fund Investment Data'!$C:$C = $A95, 'Fund Investment Data'!$A:$A = D$1, 'Fund Investment Data'!$B:$B = 12),"""")"),"")</f>
        <v/>
      </c>
      <c r="E95" t="str">
        <f>IFERROR(__xludf.DUMMYFUNCTION("IFERROR(FILTER('Fund Investment Data'!$D:$D, 'Fund Investment Data'!$C:$C = $A95, 'Fund Investment Data'!$A:$A = E$1, 'Fund Investment Data'!$B:$B = 12),"""")"),"")</f>
        <v/>
      </c>
      <c r="F95" t="str">
        <f>IFERROR(__xludf.DUMMYFUNCTION("IFERROR(FILTER('Fund Investment Data'!$D:$D, 'Fund Investment Data'!$C:$C = $A95, 'Fund Investment Data'!$A:$A = F$1, 'Fund Investment Data'!$B:$B = 12),"""")"),"")</f>
        <v/>
      </c>
      <c r="G95" t="str">
        <f>IFERROR(__xludf.DUMMYFUNCTION("IFERROR(FILTER('Fund Investment Data'!$D:$D, 'Fund Investment Data'!$C:$C = $A95, 'Fund Investment Data'!$A:$A = G$1, 'Fund Investment Data'!$B:$B = 12),"""")"),"")</f>
        <v/>
      </c>
      <c r="H95" t="str">
        <f>IFERROR(__xludf.DUMMYFUNCTION("IFERROR(FILTER('Fund Investment Data'!$D:$D, 'Fund Investment Data'!$C:$C = $A95, 'Fund Investment Data'!$A:$A = H$1, 'Fund Investment Data'!$B:$B = 12),"""")"),"")</f>
        <v/>
      </c>
      <c r="I95" t="str">
        <f>IFERROR(__xludf.DUMMYFUNCTION("IFERROR(FILTER('Fund Investment Data'!$D:$D, 'Fund Investment Data'!$C:$C = $A95, 'Fund Investment Data'!$A:$A = I$1, 'Fund Investment Data'!$B:$B = 12),"""")"),"")</f>
        <v/>
      </c>
      <c r="J95" t="str">
        <f>IFERROR(__xludf.DUMMYFUNCTION("IFERROR(FILTER('Fund Investment Data'!$D:$D, 'Fund Investment Data'!$C:$C = $A95, 'Fund Investment Data'!$A:$A = J$1, 'Fund Investment Data'!$B:$B = 12),"""")"),"")</f>
        <v/>
      </c>
      <c r="K95" t="str">
        <f>IFERROR(__xludf.DUMMYFUNCTION("IFERROR(FILTER('Fund Investment Data'!$D:$D, 'Fund Investment Data'!$C:$C = $A95, 'Fund Investment Data'!$A:$A = K$1, 'Fund Investment Data'!$B:$B = 12),"""")"),"")</f>
        <v/>
      </c>
      <c r="L95" t="str">
        <f>IFERROR(__xludf.DUMMYFUNCTION("IFERROR(FILTER('Fund Investment Data'!$D:$D, 'Fund Investment Data'!$C:$C = $A95, 'Fund Investment Data'!$A:$A = L$1, 'Fund Investment Data'!$B:$B = 12),"""")"),"")</f>
        <v/>
      </c>
      <c r="M95" t="str">
        <f>IFERROR(__xludf.DUMMYFUNCTION("IFERROR(FILTER('Fund Investment Data'!$D:$D, 'Fund Investment Data'!$C:$C = $A95, 'Fund Investment Data'!$A:$A = M$1, 'Fund Investment Data'!$B:$B = 12),"""")"),"")</f>
        <v/>
      </c>
      <c r="N95" t="str">
        <f>IFERROR(__xludf.DUMMYFUNCTION("IFERROR(FILTER('Fund Investment Data'!$D:$D, 'Fund Investment Data'!$C:$C = $A95, 'Fund Investment Data'!$A:$A = N$1, 'Fund Investment Data'!$B:$B = 12),"""")"),"")</f>
        <v/>
      </c>
      <c r="O95" t="str">
        <f>IFERROR(__xludf.DUMMYFUNCTION("IFERROR(FILTER('Fund Investment Data'!$D:$D, 'Fund Investment Data'!$C:$C = $A95, 'Fund Investment Data'!$A:$A = O$1, 'Fund Investment Data'!$B:$B = 12),"""")"),"")</f>
        <v/>
      </c>
      <c r="P95" t="str">
        <f>IFERROR(__xludf.DUMMYFUNCTION("IFERROR(FILTER('Fund Investment Data'!$D:$D, 'Fund Investment Data'!$C:$C = $A95, 'Fund Investment Data'!$A:$A = P$1, 'Fund Investment Data'!$B:$B = 12),"""")"),"")</f>
        <v/>
      </c>
      <c r="Q95" t="str">
        <f>IFERROR(__xludf.DUMMYFUNCTION("IFERROR(FILTER('Fund Investment Data'!$D:$D, 'Fund Investment Data'!$C:$C = $A95, 'Fund Investment Data'!$A:$A = Q$1, 'Fund Investment Data'!$B:$B = 12),"""")"),"")</f>
        <v/>
      </c>
      <c r="R95" t="str">
        <f>IFERROR(__xludf.DUMMYFUNCTION("IFERROR(FILTER('Fund Investment Data'!$D:$D, 'Fund Investment Data'!$C:$C = $A95, 'Fund Investment Data'!$A:$A = R$1, 'Fund Investment Data'!$B:$B = 12),"""")"),"")</f>
        <v/>
      </c>
      <c r="S95" t="str">
        <f>IFERROR(__xludf.DUMMYFUNCTION("IFERROR(FILTER('Fund Investment Data'!$D:$D, 'Fund Investment Data'!$C:$C = $A95, 'Fund Investment Data'!$A:$A = S$1, 'Fund Investment Data'!$B:$B = 12),"""")"),"")</f>
        <v/>
      </c>
      <c r="T95" t="str">
        <f>IFERROR(__xludf.DUMMYFUNCTION("IFERROR(FILTER('Fund Investment Data'!$D:$D, 'Fund Investment Data'!$C:$C = $A95, 'Fund Investment Data'!$A:$A = T$1, 'Fund Investment Data'!$B:$B = 12),"""")"),"")</f>
        <v/>
      </c>
      <c r="U95" t="str">
        <f>IFERROR(__xludf.DUMMYFUNCTION("IFERROR(FILTER('Fund Investment Data'!$D:$D, 'Fund Investment Data'!$C:$C = $A95, 'Fund Investment Data'!$A:$A = U$1, 'Fund Investment Data'!$B:$B = 12),"""")"),"")</f>
        <v/>
      </c>
      <c r="V95" t="str">
        <f>IFERROR(__xludf.DUMMYFUNCTION("IFERROR(FILTER('Fund Investment Data'!$D:$D, 'Fund Investment Data'!$C:$C = $A95, 'Fund Investment Data'!$A:$A = V$1, 'Fund Investment Data'!$B:$B = 12),"""")"),"")</f>
        <v/>
      </c>
      <c r="W95" t="str">
        <f>IFERROR(__xludf.DUMMYFUNCTION("IFERROR(FILTER('Fund Investment Data'!$D:$D, 'Fund Investment Data'!$C:$C = $A95, 'Fund Investment Data'!$A:$A = W$1, 'Fund Investment Data'!$B:$B = 12),"""")"),"")</f>
        <v/>
      </c>
      <c r="X95" t="str">
        <f>IFERROR(__xludf.DUMMYFUNCTION("IFERROR(FILTER('Fund Investment Data'!$D:$D, 'Fund Investment Data'!$C:$C = $A95, 'Fund Investment Data'!$A:$A = X$1, 'Fund Investment Data'!$B:$B = 12),"""")"),"")</f>
        <v/>
      </c>
      <c r="Y95" t="str">
        <f>IFERROR(__xludf.DUMMYFUNCTION("IFERROR(FILTER('Fund Investment Data'!$D:$D, 'Fund Investment Data'!$C:$C = $A95, 'Fund Investment Data'!$A:$A = Y$1, 'Fund Investment Data'!$B:$B = 12),"""")"),"")</f>
        <v/>
      </c>
      <c r="Z95" t="str">
        <f>IFERROR(__xludf.DUMMYFUNCTION("IFERROR(FILTER('Fund Investment Data'!$D:$D, 'Fund Investment Data'!$C:$C = $A95, 'Fund Investment Data'!$A:$A = Z$1, 'Fund Investment Data'!$B:$B = 12),"""")"),"")</f>
        <v/>
      </c>
      <c r="AA95" t="str">
        <f>IFERROR(__xludf.DUMMYFUNCTION("IFERROR(FILTER('Fund Investment Data'!$D:$D, 'Fund Investment Data'!$C:$C = $A95, 'Fund Investment Data'!$A:$A = AA$1, 'Fund Investment Data'!$B:$B = 12),"""")"),"")</f>
        <v/>
      </c>
      <c r="AB95" t="str">
        <f>IFERROR(__xludf.DUMMYFUNCTION("IFERROR(FILTER('Fund Investment Data'!$D:$D, 'Fund Investment Data'!$C:$C = $A95, 'Fund Investment Data'!$A:$A = AB$1, 'Fund Investment Data'!$B:$B = 12),"""")"),"")</f>
        <v/>
      </c>
      <c r="AC95" t="str">
        <f>IFERROR(__xludf.DUMMYFUNCTION("IFERROR(FILTER('Fund Investment Data'!$D:$D, 'Fund Investment Data'!$C:$C = $A95, 'Fund Investment Data'!$A:$A = AC$1, 'Fund Investment Data'!$B:$B = 12),"""")"),"")</f>
        <v/>
      </c>
      <c r="AD95" t="str">
        <f>IFERROR(__xludf.DUMMYFUNCTION("IFERROR(FILTER('Fund Investment Data'!$D:$D, 'Fund Investment Data'!$C:$C = $A95, 'Fund Investment Data'!$A:$A = AD$1, 'Fund Investment Data'!$B:$B = 12),"""")"),"")</f>
        <v/>
      </c>
      <c r="AE95" t="str">
        <f>IFERROR(__xludf.DUMMYFUNCTION("IFERROR(FILTER('Fund Investment Data'!$D:$D, 'Fund Investment Data'!$C:$C = $A95, 'Fund Investment Data'!$A:$A = AE$1, 'Fund Investment Data'!$B:$B = 12),"""")"),"")</f>
        <v/>
      </c>
    </row>
    <row r="96">
      <c r="A96" s="150" t="str">
        <f>'Endowed Funds'!A:A</f>
        <v/>
      </c>
      <c r="B96" t="str">
        <f>IFERROR(__xludf.DUMMYFUNCTION("IFERROR(FILTER('Fund Investment Data'!$D:$D, 'Fund Investment Data'!$C:$C = $A96, 'Fund Investment Data'!$A:$A = B$1, 'Fund Investment Data'!$B:$B = 12),"""")"),"")</f>
        <v/>
      </c>
      <c r="C96" t="str">
        <f>IFERROR(__xludf.DUMMYFUNCTION("IFERROR(FILTER('Fund Investment Data'!$D:$D, 'Fund Investment Data'!$C:$C = $A96, 'Fund Investment Data'!$A:$A = C$1, 'Fund Investment Data'!$B:$B = 12),"""")"),"")</f>
        <v/>
      </c>
      <c r="D96" t="str">
        <f>IFERROR(__xludf.DUMMYFUNCTION("IFERROR(FILTER('Fund Investment Data'!$D:$D, 'Fund Investment Data'!$C:$C = $A96, 'Fund Investment Data'!$A:$A = D$1, 'Fund Investment Data'!$B:$B = 12),"""")"),"")</f>
        <v/>
      </c>
      <c r="E96" t="str">
        <f>IFERROR(__xludf.DUMMYFUNCTION("IFERROR(FILTER('Fund Investment Data'!$D:$D, 'Fund Investment Data'!$C:$C = $A96, 'Fund Investment Data'!$A:$A = E$1, 'Fund Investment Data'!$B:$B = 12),"""")"),"")</f>
        <v/>
      </c>
      <c r="F96" t="str">
        <f>IFERROR(__xludf.DUMMYFUNCTION("IFERROR(FILTER('Fund Investment Data'!$D:$D, 'Fund Investment Data'!$C:$C = $A96, 'Fund Investment Data'!$A:$A = F$1, 'Fund Investment Data'!$B:$B = 12),"""")"),"")</f>
        <v/>
      </c>
      <c r="G96" t="str">
        <f>IFERROR(__xludf.DUMMYFUNCTION("IFERROR(FILTER('Fund Investment Data'!$D:$D, 'Fund Investment Data'!$C:$C = $A96, 'Fund Investment Data'!$A:$A = G$1, 'Fund Investment Data'!$B:$B = 12),"""")"),"")</f>
        <v/>
      </c>
      <c r="H96" t="str">
        <f>IFERROR(__xludf.DUMMYFUNCTION("IFERROR(FILTER('Fund Investment Data'!$D:$D, 'Fund Investment Data'!$C:$C = $A96, 'Fund Investment Data'!$A:$A = H$1, 'Fund Investment Data'!$B:$B = 12),"""")"),"")</f>
        <v/>
      </c>
      <c r="I96" t="str">
        <f>IFERROR(__xludf.DUMMYFUNCTION("IFERROR(FILTER('Fund Investment Data'!$D:$D, 'Fund Investment Data'!$C:$C = $A96, 'Fund Investment Data'!$A:$A = I$1, 'Fund Investment Data'!$B:$B = 12),"""")"),"")</f>
        <v/>
      </c>
      <c r="J96" t="str">
        <f>IFERROR(__xludf.DUMMYFUNCTION("IFERROR(FILTER('Fund Investment Data'!$D:$D, 'Fund Investment Data'!$C:$C = $A96, 'Fund Investment Data'!$A:$A = J$1, 'Fund Investment Data'!$B:$B = 12),"""")"),"")</f>
        <v/>
      </c>
      <c r="K96" t="str">
        <f>IFERROR(__xludf.DUMMYFUNCTION("IFERROR(FILTER('Fund Investment Data'!$D:$D, 'Fund Investment Data'!$C:$C = $A96, 'Fund Investment Data'!$A:$A = K$1, 'Fund Investment Data'!$B:$B = 12),"""")"),"")</f>
        <v/>
      </c>
      <c r="L96" t="str">
        <f>IFERROR(__xludf.DUMMYFUNCTION("IFERROR(FILTER('Fund Investment Data'!$D:$D, 'Fund Investment Data'!$C:$C = $A96, 'Fund Investment Data'!$A:$A = L$1, 'Fund Investment Data'!$B:$B = 12),"""")"),"")</f>
        <v/>
      </c>
      <c r="M96" t="str">
        <f>IFERROR(__xludf.DUMMYFUNCTION("IFERROR(FILTER('Fund Investment Data'!$D:$D, 'Fund Investment Data'!$C:$C = $A96, 'Fund Investment Data'!$A:$A = M$1, 'Fund Investment Data'!$B:$B = 12),"""")"),"")</f>
        <v/>
      </c>
      <c r="N96" t="str">
        <f>IFERROR(__xludf.DUMMYFUNCTION("IFERROR(FILTER('Fund Investment Data'!$D:$D, 'Fund Investment Data'!$C:$C = $A96, 'Fund Investment Data'!$A:$A = N$1, 'Fund Investment Data'!$B:$B = 12),"""")"),"")</f>
        <v/>
      </c>
      <c r="O96" t="str">
        <f>IFERROR(__xludf.DUMMYFUNCTION("IFERROR(FILTER('Fund Investment Data'!$D:$D, 'Fund Investment Data'!$C:$C = $A96, 'Fund Investment Data'!$A:$A = O$1, 'Fund Investment Data'!$B:$B = 12),"""")"),"")</f>
        <v/>
      </c>
      <c r="P96" t="str">
        <f>IFERROR(__xludf.DUMMYFUNCTION("IFERROR(FILTER('Fund Investment Data'!$D:$D, 'Fund Investment Data'!$C:$C = $A96, 'Fund Investment Data'!$A:$A = P$1, 'Fund Investment Data'!$B:$B = 12),"""")"),"")</f>
        <v/>
      </c>
      <c r="Q96" t="str">
        <f>IFERROR(__xludf.DUMMYFUNCTION("IFERROR(FILTER('Fund Investment Data'!$D:$D, 'Fund Investment Data'!$C:$C = $A96, 'Fund Investment Data'!$A:$A = Q$1, 'Fund Investment Data'!$B:$B = 12),"""")"),"")</f>
        <v/>
      </c>
      <c r="R96" t="str">
        <f>IFERROR(__xludf.DUMMYFUNCTION("IFERROR(FILTER('Fund Investment Data'!$D:$D, 'Fund Investment Data'!$C:$C = $A96, 'Fund Investment Data'!$A:$A = R$1, 'Fund Investment Data'!$B:$B = 12),"""")"),"")</f>
        <v/>
      </c>
      <c r="S96" t="str">
        <f>IFERROR(__xludf.DUMMYFUNCTION("IFERROR(FILTER('Fund Investment Data'!$D:$D, 'Fund Investment Data'!$C:$C = $A96, 'Fund Investment Data'!$A:$A = S$1, 'Fund Investment Data'!$B:$B = 12),"""")"),"")</f>
        <v/>
      </c>
      <c r="T96" t="str">
        <f>IFERROR(__xludf.DUMMYFUNCTION("IFERROR(FILTER('Fund Investment Data'!$D:$D, 'Fund Investment Data'!$C:$C = $A96, 'Fund Investment Data'!$A:$A = T$1, 'Fund Investment Data'!$B:$B = 12),"""")"),"")</f>
        <v/>
      </c>
      <c r="U96" t="str">
        <f>IFERROR(__xludf.DUMMYFUNCTION("IFERROR(FILTER('Fund Investment Data'!$D:$D, 'Fund Investment Data'!$C:$C = $A96, 'Fund Investment Data'!$A:$A = U$1, 'Fund Investment Data'!$B:$B = 12),"""")"),"")</f>
        <v/>
      </c>
      <c r="V96" t="str">
        <f>IFERROR(__xludf.DUMMYFUNCTION("IFERROR(FILTER('Fund Investment Data'!$D:$D, 'Fund Investment Data'!$C:$C = $A96, 'Fund Investment Data'!$A:$A = V$1, 'Fund Investment Data'!$B:$B = 12),"""")"),"")</f>
        <v/>
      </c>
      <c r="W96" t="str">
        <f>IFERROR(__xludf.DUMMYFUNCTION("IFERROR(FILTER('Fund Investment Data'!$D:$D, 'Fund Investment Data'!$C:$C = $A96, 'Fund Investment Data'!$A:$A = W$1, 'Fund Investment Data'!$B:$B = 12),"""")"),"")</f>
        <v/>
      </c>
      <c r="X96" t="str">
        <f>IFERROR(__xludf.DUMMYFUNCTION("IFERROR(FILTER('Fund Investment Data'!$D:$D, 'Fund Investment Data'!$C:$C = $A96, 'Fund Investment Data'!$A:$A = X$1, 'Fund Investment Data'!$B:$B = 12),"""")"),"")</f>
        <v/>
      </c>
      <c r="Y96" t="str">
        <f>IFERROR(__xludf.DUMMYFUNCTION("IFERROR(FILTER('Fund Investment Data'!$D:$D, 'Fund Investment Data'!$C:$C = $A96, 'Fund Investment Data'!$A:$A = Y$1, 'Fund Investment Data'!$B:$B = 12),"""")"),"")</f>
        <v/>
      </c>
      <c r="Z96" t="str">
        <f>IFERROR(__xludf.DUMMYFUNCTION("IFERROR(FILTER('Fund Investment Data'!$D:$D, 'Fund Investment Data'!$C:$C = $A96, 'Fund Investment Data'!$A:$A = Z$1, 'Fund Investment Data'!$B:$B = 12),"""")"),"")</f>
        <v/>
      </c>
      <c r="AA96" t="str">
        <f>IFERROR(__xludf.DUMMYFUNCTION("IFERROR(FILTER('Fund Investment Data'!$D:$D, 'Fund Investment Data'!$C:$C = $A96, 'Fund Investment Data'!$A:$A = AA$1, 'Fund Investment Data'!$B:$B = 12),"""")"),"")</f>
        <v/>
      </c>
      <c r="AB96" t="str">
        <f>IFERROR(__xludf.DUMMYFUNCTION("IFERROR(FILTER('Fund Investment Data'!$D:$D, 'Fund Investment Data'!$C:$C = $A96, 'Fund Investment Data'!$A:$A = AB$1, 'Fund Investment Data'!$B:$B = 12),"""")"),"")</f>
        <v/>
      </c>
      <c r="AC96" t="str">
        <f>IFERROR(__xludf.DUMMYFUNCTION("IFERROR(FILTER('Fund Investment Data'!$D:$D, 'Fund Investment Data'!$C:$C = $A96, 'Fund Investment Data'!$A:$A = AC$1, 'Fund Investment Data'!$B:$B = 12),"""")"),"")</f>
        <v/>
      </c>
      <c r="AD96" t="str">
        <f>IFERROR(__xludf.DUMMYFUNCTION("IFERROR(FILTER('Fund Investment Data'!$D:$D, 'Fund Investment Data'!$C:$C = $A96, 'Fund Investment Data'!$A:$A = AD$1, 'Fund Investment Data'!$B:$B = 12),"""")"),"")</f>
        <v/>
      </c>
      <c r="AE96" t="str">
        <f>IFERROR(__xludf.DUMMYFUNCTION("IFERROR(FILTER('Fund Investment Data'!$D:$D, 'Fund Investment Data'!$C:$C = $A96, 'Fund Investment Data'!$A:$A = AE$1, 'Fund Investment Data'!$B:$B = 12),"""")"),"")</f>
        <v/>
      </c>
    </row>
    <row r="97">
      <c r="A97" s="150" t="str">
        <f>'Endowed Funds'!A:A</f>
        <v/>
      </c>
      <c r="B97" t="str">
        <f>IFERROR(__xludf.DUMMYFUNCTION("IFERROR(FILTER('Fund Investment Data'!$D:$D, 'Fund Investment Data'!$C:$C = $A97, 'Fund Investment Data'!$A:$A = B$1, 'Fund Investment Data'!$B:$B = 12),"""")"),"")</f>
        <v/>
      </c>
      <c r="C97" t="str">
        <f>IFERROR(__xludf.DUMMYFUNCTION("IFERROR(FILTER('Fund Investment Data'!$D:$D, 'Fund Investment Data'!$C:$C = $A97, 'Fund Investment Data'!$A:$A = C$1, 'Fund Investment Data'!$B:$B = 12),"""")"),"")</f>
        <v/>
      </c>
      <c r="D97" t="str">
        <f>IFERROR(__xludf.DUMMYFUNCTION("IFERROR(FILTER('Fund Investment Data'!$D:$D, 'Fund Investment Data'!$C:$C = $A97, 'Fund Investment Data'!$A:$A = D$1, 'Fund Investment Data'!$B:$B = 12),"""")"),"")</f>
        <v/>
      </c>
      <c r="E97" t="str">
        <f>IFERROR(__xludf.DUMMYFUNCTION("IFERROR(FILTER('Fund Investment Data'!$D:$D, 'Fund Investment Data'!$C:$C = $A97, 'Fund Investment Data'!$A:$A = E$1, 'Fund Investment Data'!$B:$B = 12),"""")"),"")</f>
        <v/>
      </c>
      <c r="F97" t="str">
        <f>IFERROR(__xludf.DUMMYFUNCTION("IFERROR(FILTER('Fund Investment Data'!$D:$D, 'Fund Investment Data'!$C:$C = $A97, 'Fund Investment Data'!$A:$A = F$1, 'Fund Investment Data'!$B:$B = 12),"""")"),"")</f>
        <v/>
      </c>
      <c r="G97" t="str">
        <f>IFERROR(__xludf.DUMMYFUNCTION("IFERROR(FILTER('Fund Investment Data'!$D:$D, 'Fund Investment Data'!$C:$C = $A97, 'Fund Investment Data'!$A:$A = G$1, 'Fund Investment Data'!$B:$B = 12),"""")"),"")</f>
        <v/>
      </c>
      <c r="H97" t="str">
        <f>IFERROR(__xludf.DUMMYFUNCTION("IFERROR(FILTER('Fund Investment Data'!$D:$D, 'Fund Investment Data'!$C:$C = $A97, 'Fund Investment Data'!$A:$A = H$1, 'Fund Investment Data'!$B:$B = 12),"""")"),"")</f>
        <v/>
      </c>
      <c r="I97" t="str">
        <f>IFERROR(__xludf.DUMMYFUNCTION("IFERROR(FILTER('Fund Investment Data'!$D:$D, 'Fund Investment Data'!$C:$C = $A97, 'Fund Investment Data'!$A:$A = I$1, 'Fund Investment Data'!$B:$B = 12),"""")"),"")</f>
        <v/>
      </c>
      <c r="J97" t="str">
        <f>IFERROR(__xludf.DUMMYFUNCTION("IFERROR(FILTER('Fund Investment Data'!$D:$D, 'Fund Investment Data'!$C:$C = $A97, 'Fund Investment Data'!$A:$A = J$1, 'Fund Investment Data'!$B:$B = 12),"""")"),"")</f>
        <v/>
      </c>
      <c r="K97" t="str">
        <f>IFERROR(__xludf.DUMMYFUNCTION("IFERROR(FILTER('Fund Investment Data'!$D:$D, 'Fund Investment Data'!$C:$C = $A97, 'Fund Investment Data'!$A:$A = K$1, 'Fund Investment Data'!$B:$B = 12),"""")"),"")</f>
        <v/>
      </c>
      <c r="L97" t="str">
        <f>IFERROR(__xludf.DUMMYFUNCTION("IFERROR(FILTER('Fund Investment Data'!$D:$D, 'Fund Investment Data'!$C:$C = $A97, 'Fund Investment Data'!$A:$A = L$1, 'Fund Investment Data'!$B:$B = 12),"""")"),"")</f>
        <v/>
      </c>
      <c r="M97" t="str">
        <f>IFERROR(__xludf.DUMMYFUNCTION("IFERROR(FILTER('Fund Investment Data'!$D:$D, 'Fund Investment Data'!$C:$C = $A97, 'Fund Investment Data'!$A:$A = M$1, 'Fund Investment Data'!$B:$B = 12),"""")"),"")</f>
        <v/>
      </c>
      <c r="N97" t="str">
        <f>IFERROR(__xludf.DUMMYFUNCTION("IFERROR(FILTER('Fund Investment Data'!$D:$D, 'Fund Investment Data'!$C:$C = $A97, 'Fund Investment Data'!$A:$A = N$1, 'Fund Investment Data'!$B:$B = 12),"""")"),"")</f>
        <v/>
      </c>
      <c r="O97" t="str">
        <f>IFERROR(__xludf.DUMMYFUNCTION("IFERROR(FILTER('Fund Investment Data'!$D:$D, 'Fund Investment Data'!$C:$C = $A97, 'Fund Investment Data'!$A:$A = O$1, 'Fund Investment Data'!$B:$B = 12),"""")"),"")</f>
        <v/>
      </c>
      <c r="P97" t="str">
        <f>IFERROR(__xludf.DUMMYFUNCTION("IFERROR(FILTER('Fund Investment Data'!$D:$D, 'Fund Investment Data'!$C:$C = $A97, 'Fund Investment Data'!$A:$A = P$1, 'Fund Investment Data'!$B:$B = 12),"""")"),"")</f>
        <v/>
      </c>
      <c r="Q97" t="str">
        <f>IFERROR(__xludf.DUMMYFUNCTION("IFERROR(FILTER('Fund Investment Data'!$D:$D, 'Fund Investment Data'!$C:$C = $A97, 'Fund Investment Data'!$A:$A = Q$1, 'Fund Investment Data'!$B:$B = 12),"""")"),"")</f>
        <v/>
      </c>
      <c r="R97" t="str">
        <f>IFERROR(__xludf.DUMMYFUNCTION("IFERROR(FILTER('Fund Investment Data'!$D:$D, 'Fund Investment Data'!$C:$C = $A97, 'Fund Investment Data'!$A:$A = R$1, 'Fund Investment Data'!$B:$B = 12),"""")"),"")</f>
        <v/>
      </c>
      <c r="S97" t="str">
        <f>IFERROR(__xludf.DUMMYFUNCTION("IFERROR(FILTER('Fund Investment Data'!$D:$D, 'Fund Investment Data'!$C:$C = $A97, 'Fund Investment Data'!$A:$A = S$1, 'Fund Investment Data'!$B:$B = 12),"""")"),"")</f>
        <v/>
      </c>
      <c r="T97" t="str">
        <f>IFERROR(__xludf.DUMMYFUNCTION("IFERROR(FILTER('Fund Investment Data'!$D:$D, 'Fund Investment Data'!$C:$C = $A97, 'Fund Investment Data'!$A:$A = T$1, 'Fund Investment Data'!$B:$B = 12),"""")"),"")</f>
        <v/>
      </c>
      <c r="U97" t="str">
        <f>IFERROR(__xludf.DUMMYFUNCTION("IFERROR(FILTER('Fund Investment Data'!$D:$D, 'Fund Investment Data'!$C:$C = $A97, 'Fund Investment Data'!$A:$A = U$1, 'Fund Investment Data'!$B:$B = 12),"""")"),"")</f>
        <v/>
      </c>
      <c r="V97" t="str">
        <f>IFERROR(__xludf.DUMMYFUNCTION("IFERROR(FILTER('Fund Investment Data'!$D:$D, 'Fund Investment Data'!$C:$C = $A97, 'Fund Investment Data'!$A:$A = V$1, 'Fund Investment Data'!$B:$B = 12),"""")"),"")</f>
        <v/>
      </c>
      <c r="W97" t="str">
        <f>IFERROR(__xludf.DUMMYFUNCTION("IFERROR(FILTER('Fund Investment Data'!$D:$D, 'Fund Investment Data'!$C:$C = $A97, 'Fund Investment Data'!$A:$A = W$1, 'Fund Investment Data'!$B:$B = 12),"""")"),"")</f>
        <v/>
      </c>
      <c r="X97" t="str">
        <f>IFERROR(__xludf.DUMMYFUNCTION("IFERROR(FILTER('Fund Investment Data'!$D:$D, 'Fund Investment Data'!$C:$C = $A97, 'Fund Investment Data'!$A:$A = X$1, 'Fund Investment Data'!$B:$B = 12),"""")"),"")</f>
        <v/>
      </c>
      <c r="Y97" t="str">
        <f>IFERROR(__xludf.DUMMYFUNCTION("IFERROR(FILTER('Fund Investment Data'!$D:$D, 'Fund Investment Data'!$C:$C = $A97, 'Fund Investment Data'!$A:$A = Y$1, 'Fund Investment Data'!$B:$B = 12),"""")"),"")</f>
        <v/>
      </c>
      <c r="Z97" t="str">
        <f>IFERROR(__xludf.DUMMYFUNCTION("IFERROR(FILTER('Fund Investment Data'!$D:$D, 'Fund Investment Data'!$C:$C = $A97, 'Fund Investment Data'!$A:$A = Z$1, 'Fund Investment Data'!$B:$B = 12),"""")"),"")</f>
        <v/>
      </c>
      <c r="AA97" t="str">
        <f>IFERROR(__xludf.DUMMYFUNCTION("IFERROR(FILTER('Fund Investment Data'!$D:$D, 'Fund Investment Data'!$C:$C = $A97, 'Fund Investment Data'!$A:$A = AA$1, 'Fund Investment Data'!$B:$B = 12),"""")"),"")</f>
        <v/>
      </c>
      <c r="AB97" t="str">
        <f>IFERROR(__xludf.DUMMYFUNCTION("IFERROR(FILTER('Fund Investment Data'!$D:$D, 'Fund Investment Data'!$C:$C = $A97, 'Fund Investment Data'!$A:$A = AB$1, 'Fund Investment Data'!$B:$B = 12),"""")"),"")</f>
        <v/>
      </c>
      <c r="AC97" t="str">
        <f>IFERROR(__xludf.DUMMYFUNCTION("IFERROR(FILTER('Fund Investment Data'!$D:$D, 'Fund Investment Data'!$C:$C = $A97, 'Fund Investment Data'!$A:$A = AC$1, 'Fund Investment Data'!$B:$B = 12),"""")"),"")</f>
        <v/>
      </c>
      <c r="AD97" t="str">
        <f>IFERROR(__xludf.DUMMYFUNCTION("IFERROR(FILTER('Fund Investment Data'!$D:$D, 'Fund Investment Data'!$C:$C = $A97, 'Fund Investment Data'!$A:$A = AD$1, 'Fund Investment Data'!$B:$B = 12),"""")"),"")</f>
        <v/>
      </c>
      <c r="AE97" t="str">
        <f>IFERROR(__xludf.DUMMYFUNCTION("IFERROR(FILTER('Fund Investment Data'!$D:$D, 'Fund Investment Data'!$C:$C = $A97, 'Fund Investment Data'!$A:$A = AE$1, 'Fund Investment Data'!$B:$B = 12),"""")"),"")</f>
        <v/>
      </c>
    </row>
    <row r="98">
      <c r="A98" s="150" t="str">
        <f>'Endowed Funds'!A:A</f>
        <v/>
      </c>
      <c r="B98" t="str">
        <f>IFERROR(__xludf.DUMMYFUNCTION("IFERROR(FILTER('Fund Investment Data'!$D:$D, 'Fund Investment Data'!$C:$C = $A98, 'Fund Investment Data'!$A:$A = B$1, 'Fund Investment Data'!$B:$B = 12),"""")"),"")</f>
        <v/>
      </c>
      <c r="C98" t="str">
        <f>IFERROR(__xludf.DUMMYFUNCTION("IFERROR(FILTER('Fund Investment Data'!$D:$D, 'Fund Investment Data'!$C:$C = $A98, 'Fund Investment Data'!$A:$A = C$1, 'Fund Investment Data'!$B:$B = 12),"""")"),"")</f>
        <v/>
      </c>
      <c r="D98" t="str">
        <f>IFERROR(__xludf.DUMMYFUNCTION("IFERROR(FILTER('Fund Investment Data'!$D:$D, 'Fund Investment Data'!$C:$C = $A98, 'Fund Investment Data'!$A:$A = D$1, 'Fund Investment Data'!$B:$B = 12),"""")"),"")</f>
        <v/>
      </c>
      <c r="E98" t="str">
        <f>IFERROR(__xludf.DUMMYFUNCTION("IFERROR(FILTER('Fund Investment Data'!$D:$D, 'Fund Investment Data'!$C:$C = $A98, 'Fund Investment Data'!$A:$A = E$1, 'Fund Investment Data'!$B:$B = 12),"""")"),"")</f>
        <v/>
      </c>
      <c r="F98" t="str">
        <f>IFERROR(__xludf.DUMMYFUNCTION("IFERROR(FILTER('Fund Investment Data'!$D:$D, 'Fund Investment Data'!$C:$C = $A98, 'Fund Investment Data'!$A:$A = F$1, 'Fund Investment Data'!$B:$B = 12),"""")"),"")</f>
        <v/>
      </c>
      <c r="G98" t="str">
        <f>IFERROR(__xludf.DUMMYFUNCTION("IFERROR(FILTER('Fund Investment Data'!$D:$D, 'Fund Investment Data'!$C:$C = $A98, 'Fund Investment Data'!$A:$A = G$1, 'Fund Investment Data'!$B:$B = 12),"""")"),"")</f>
        <v/>
      </c>
      <c r="H98" t="str">
        <f>IFERROR(__xludf.DUMMYFUNCTION("IFERROR(FILTER('Fund Investment Data'!$D:$D, 'Fund Investment Data'!$C:$C = $A98, 'Fund Investment Data'!$A:$A = H$1, 'Fund Investment Data'!$B:$B = 12),"""")"),"")</f>
        <v/>
      </c>
      <c r="I98" t="str">
        <f>IFERROR(__xludf.DUMMYFUNCTION("IFERROR(FILTER('Fund Investment Data'!$D:$D, 'Fund Investment Data'!$C:$C = $A98, 'Fund Investment Data'!$A:$A = I$1, 'Fund Investment Data'!$B:$B = 12),"""")"),"")</f>
        <v/>
      </c>
      <c r="J98" t="str">
        <f>IFERROR(__xludf.DUMMYFUNCTION("IFERROR(FILTER('Fund Investment Data'!$D:$D, 'Fund Investment Data'!$C:$C = $A98, 'Fund Investment Data'!$A:$A = J$1, 'Fund Investment Data'!$B:$B = 12),"""")"),"")</f>
        <v/>
      </c>
      <c r="K98" t="str">
        <f>IFERROR(__xludf.DUMMYFUNCTION("IFERROR(FILTER('Fund Investment Data'!$D:$D, 'Fund Investment Data'!$C:$C = $A98, 'Fund Investment Data'!$A:$A = K$1, 'Fund Investment Data'!$B:$B = 12),"""")"),"")</f>
        <v/>
      </c>
      <c r="L98" t="str">
        <f>IFERROR(__xludf.DUMMYFUNCTION("IFERROR(FILTER('Fund Investment Data'!$D:$D, 'Fund Investment Data'!$C:$C = $A98, 'Fund Investment Data'!$A:$A = L$1, 'Fund Investment Data'!$B:$B = 12),"""")"),"")</f>
        <v/>
      </c>
      <c r="M98" t="str">
        <f>IFERROR(__xludf.DUMMYFUNCTION("IFERROR(FILTER('Fund Investment Data'!$D:$D, 'Fund Investment Data'!$C:$C = $A98, 'Fund Investment Data'!$A:$A = M$1, 'Fund Investment Data'!$B:$B = 12),"""")"),"")</f>
        <v/>
      </c>
      <c r="N98" t="str">
        <f>IFERROR(__xludf.DUMMYFUNCTION("IFERROR(FILTER('Fund Investment Data'!$D:$D, 'Fund Investment Data'!$C:$C = $A98, 'Fund Investment Data'!$A:$A = N$1, 'Fund Investment Data'!$B:$B = 12),"""")"),"")</f>
        <v/>
      </c>
      <c r="O98" t="str">
        <f>IFERROR(__xludf.DUMMYFUNCTION("IFERROR(FILTER('Fund Investment Data'!$D:$D, 'Fund Investment Data'!$C:$C = $A98, 'Fund Investment Data'!$A:$A = O$1, 'Fund Investment Data'!$B:$B = 12),"""")"),"")</f>
        <v/>
      </c>
      <c r="P98" t="str">
        <f>IFERROR(__xludf.DUMMYFUNCTION("IFERROR(FILTER('Fund Investment Data'!$D:$D, 'Fund Investment Data'!$C:$C = $A98, 'Fund Investment Data'!$A:$A = P$1, 'Fund Investment Data'!$B:$B = 12),"""")"),"")</f>
        <v/>
      </c>
      <c r="Q98" t="str">
        <f>IFERROR(__xludf.DUMMYFUNCTION("IFERROR(FILTER('Fund Investment Data'!$D:$D, 'Fund Investment Data'!$C:$C = $A98, 'Fund Investment Data'!$A:$A = Q$1, 'Fund Investment Data'!$B:$B = 12),"""")"),"")</f>
        <v/>
      </c>
      <c r="R98" t="str">
        <f>IFERROR(__xludf.DUMMYFUNCTION("IFERROR(FILTER('Fund Investment Data'!$D:$D, 'Fund Investment Data'!$C:$C = $A98, 'Fund Investment Data'!$A:$A = R$1, 'Fund Investment Data'!$B:$B = 12),"""")"),"")</f>
        <v/>
      </c>
      <c r="S98" t="str">
        <f>IFERROR(__xludf.DUMMYFUNCTION("IFERROR(FILTER('Fund Investment Data'!$D:$D, 'Fund Investment Data'!$C:$C = $A98, 'Fund Investment Data'!$A:$A = S$1, 'Fund Investment Data'!$B:$B = 12),"""")"),"")</f>
        <v/>
      </c>
      <c r="T98" t="str">
        <f>IFERROR(__xludf.DUMMYFUNCTION("IFERROR(FILTER('Fund Investment Data'!$D:$D, 'Fund Investment Data'!$C:$C = $A98, 'Fund Investment Data'!$A:$A = T$1, 'Fund Investment Data'!$B:$B = 12),"""")"),"")</f>
        <v/>
      </c>
      <c r="U98" t="str">
        <f>IFERROR(__xludf.DUMMYFUNCTION("IFERROR(FILTER('Fund Investment Data'!$D:$D, 'Fund Investment Data'!$C:$C = $A98, 'Fund Investment Data'!$A:$A = U$1, 'Fund Investment Data'!$B:$B = 12),"""")"),"")</f>
        <v/>
      </c>
      <c r="V98" t="str">
        <f>IFERROR(__xludf.DUMMYFUNCTION("IFERROR(FILTER('Fund Investment Data'!$D:$D, 'Fund Investment Data'!$C:$C = $A98, 'Fund Investment Data'!$A:$A = V$1, 'Fund Investment Data'!$B:$B = 12),"""")"),"")</f>
        <v/>
      </c>
      <c r="W98" t="str">
        <f>IFERROR(__xludf.DUMMYFUNCTION("IFERROR(FILTER('Fund Investment Data'!$D:$D, 'Fund Investment Data'!$C:$C = $A98, 'Fund Investment Data'!$A:$A = W$1, 'Fund Investment Data'!$B:$B = 12),"""")"),"")</f>
        <v/>
      </c>
      <c r="X98" t="str">
        <f>IFERROR(__xludf.DUMMYFUNCTION("IFERROR(FILTER('Fund Investment Data'!$D:$D, 'Fund Investment Data'!$C:$C = $A98, 'Fund Investment Data'!$A:$A = X$1, 'Fund Investment Data'!$B:$B = 12),"""")"),"")</f>
        <v/>
      </c>
      <c r="Y98" t="str">
        <f>IFERROR(__xludf.DUMMYFUNCTION("IFERROR(FILTER('Fund Investment Data'!$D:$D, 'Fund Investment Data'!$C:$C = $A98, 'Fund Investment Data'!$A:$A = Y$1, 'Fund Investment Data'!$B:$B = 12),"""")"),"")</f>
        <v/>
      </c>
      <c r="Z98" t="str">
        <f>IFERROR(__xludf.DUMMYFUNCTION("IFERROR(FILTER('Fund Investment Data'!$D:$D, 'Fund Investment Data'!$C:$C = $A98, 'Fund Investment Data'!$A:$A = Z$1, 'Fund Investment Data'!$B:$B = 12),"""")"),"")</f>
        <v/>
      </c>
      <c r="AA98" t="str">
        <f>IFERROR(__xludf.DUMMYFUNCTION("IFERROR(FILTER('Fund Investment Data'!$D:$D, 'Fund Investment Data'!$C:$C = $A98, 'Fund Investment Data'!$A:$A = AA$1, 'Fund Investment Data'!$B:$B = 12),"""")"),"")</f>
        <v/>
      </c>
      <c r="AB98" t="str">
        <f>IFERROR(__xludf.DUMMYFUNCTION("IFERROR(FILTER('Fund Investment Data'!$D:$D, 'Fund Investment Data'!$C:$C = $A98, 'Fund Investment Data'!$A:$A = AB$1, 'Fund Investment Data'!$B:$B = 12),"""")"),"")</f>
        <v/>
      </c>
      <c r="AC98" t="str">
        <f>IFERROR(__xludf.DUMMYFUNCTION("IFERROR(FILTER('Fund Investment Data'!$D:$D, 'Fund Investment Data'!$C:$C = $A98, 'Fund Investment Data'!$A:$A = AC$1, 'Fund Investment Data'!$B:$B = 12),"""")"),"")</f>
        <v/>
      </c>
      <c r="AD98" t="str">
        <f>IFERROR(__xludf.DUMMYFUNCTION("IFERROR(FILTER('Fund Investment Data'!$D:$D, 'Fund Investment Data'!$C:$C = $A98, 'Fund Investment Data'!$A:$A = AD$1, 'Fund Investment Data'!$B:$B = 12),"""")"),"")</f>
        <v/>
      </c>
      <c r="AE98" t="str">
        <f>IFERROR(__xludf.DUMMYFUNCTION("IFERROR(FILTER('Fund Investment Data'!$D:$D, 'Fund Investment Data'!$C:$C = $A98, 'Fund Investment Data'!$A:$A = AE$1, 'Fund Investment Data'!$B:$B = 12),"""")"),"")</f>
        <v/>
      </c>
    </row>
    <row r="99">
      <c r="A99" s="150" t="str">
        <f>'Endowed Funds'!A:A</f>
        <v/>
      </c>
      <c r="B99" t="str">
        <f>IFERROR(__xludf.DUMMYFUNCTION("IFERROR(FILTER('Fund Investment Data'!$D:$D, 'Fund Investment Data'!$C:$C = $A99, 'Fund Investment Data'!$A:$A = B$1, 'Fund Investment Data'!$B:$B = 12),"""")"),"")</f>
        <v/>
      </c>
      <c r="C99" t="str">
        <f>IFERROR(__xludf.DUMMYFUNCTION("IFERROR(FILTER('Fund Investment Data'!$D:$D, 'Fund Investment Data'!$C:$C = $A99, 'Fund Investment Data'!$A:$A = C$1, 'Fund Investment Data'!$B:$B = 12),"""")"),"")</f>
        <v/>
      </c>
      <c r="D99" t="str">
        <f>IFERROR(__xludf.DUMMYFUNCTION("IFERROR(FILTER('Fund Investment Data'!$D:$D, 'Fund Investment Data'!$C:$C = $A99, 'Fund Investment Data'!$A:$A = D$1, 'Fund Investment Data'!$B:$B = 12),"""")"),"")</f>
        <v/>
      </c>
      <c r="E99" t="str">
        <f>IFERROR(__xludf.DUMMYFUNCTION("IFERROR(FILTER('Fund Investment Data'!$D:$D, 'Fund Investment Data'!$C:$C = $A99, 'Fund Investment Data'!$A:$A = E$1, 'Fund Investment Data'!$B:$B = 12),"""")"),"")</f>
        <v/>
      </c>
      <c r="F99" t="str">
        <f>IFERROR(__xludf.DUMMYFUNCTION("IFERROR(FILTER('Fund Investment Data'!$D:$D, 'Fund Investment Data'!$C:$C = $A99, 'Fund Investment Data'!$A:$A = F$1, 'Fund Investment Data'!$B:$B = 12),"""")"),"")</f>
        <v/>
      </c>
      <c r="G99" t="str">
        <f>IFERROR(__xludf.DUMMYFUNCTION("IFERROR(FILTER('Fund Investment Data'!$D:$D, 'Fund Investment Data'!$C:$C = $A99, 'Fund Investment Data'!$A:$A = G$1, 'Fund Investment Data'!$B:$B = 12),"""")"),"")</f>
        <v/>
      </c>
      <c r="H99" t="str">
        <f>IFERROR(__xludf.DUMMYFUNCTION("IFERROR(FILTER('Fund Investment Data'!$D:$D, 'Fund Investment Data'!$C:$C = $A99, 'Fund Investment Data'!$A:$A = H$1, 'Fund Investment Data'!$B:$B = 12),"""")"),"")</f>
        <v/>
      </c>
      <c r="I99" t="str">
        <f>IFERROR(__xludf.DUMMYFUNCTION("IFERROR(FILTER('Fund Investment Data'!$D:$D, 'Fund Investment Data'!$C:$C = $A99, 'Fund Investment Data'!$A:$A = I$1, 'Fund Investment Data'!$B:$B = 12),"""")"),"")</f>
        <v/>
      </c>
      <c r="J99" t="str">
        <f>IFERROR(__xludf.DUMMYFUNCTION("IFERROR(FILTER('Fund Investment Data'!$D:$D, 'Fund Investment Data'!$C:$C = $A99, 'Fund Investment Data'!$A:$A = J$1, 'Fund Investment Data'!$B:$B = 12),"""")"),"")</f>
        <v/>
      </c>
      <c r="K99" t="str">
        <f>IFERROR(__xludf.DUMMYFUNCTION("IFERROR(FILTER('Fund Investment Data'!$D:$D, 'Fund Investment Data'!$C:$C = $A99, 'Fund Investment Data'!$A:$A = K$1, 'Fund Investment Data'!$B:$B = 12),"""")"),"")</f>
        <v/>
      </c>
      <c r="L99" t="str">
        <f>IFERROR(__xludf.DUMMYFUNCTION("IFERROR(FILTER('Fund Investment Data'!$D:$D, 'Fund Investment Data'!$C:$C = $A99, 'Fund Investment Data'!$A:$A = L$1, 'Fund Investment Data'!$B:$B = 12),"""")"),"")</f>
        <v/>
      </c>
      <c r="M99" t="str">
        <f>IFERROR(__xludf.DUMMYFUNCTION("IFERROR(FILTER('Fund Investment Data'!$D:$D, 'Fund Investment Data'!$C:$C = $A99, 'Fund Investment Data'!$A:$A = M$1, 'Fund Investment Data'!$B:$B = 12),"""")"),"")</f>
        <v/>
      </c>
      <c r="N99" t="str">
        <f>IFERROR(__xludf.DUMMYFUNCTION("IFERROR(FILTER('Fund Investment Data'!$D:$D, 'Fund Investment Data'!$C:$C = $A99, 'Fund Investment Data'!$A:$A = N$1, 'Fund Investment Data'!$B:$B = 12),"""")"),"")</f>
        <v/>
      </c>
      <c r="O99" t="str">
        <f>IFERROR(__xludf.DUMMYFUNCTION("IFERROR(FILTER('Fund Investment Data'!$D:$D, 'Fund Investment Data'!$C:$C = $A99, 'Fund Investment Data'!$A:$A = O$1, 'Fund Investment Data'!$B:$B = 12),"""")"),"")</f>
        <v/>
      </c>
      <c r="P99" t="str">
        <f>IFERROR(__xludf.DUMMYFUNCTION("IFERROR(FILTER('Fund Investment Data'!$D:$D, 'Fund Investment Data'!$C:$C = $A99, 'Fund Investment Data'!$A:$A = P$1, 'Fund Investment Data'!$B:$B = 12),"""")"),"")</f>
        <v/>
      </c>
      <c r="Q99" t="str">
        <f>IFERROR(__xludf.DUMMYFUNCTION("IFERROR(FILTER('Fund Investment Data'!$D:$D, 'Fund Investment Data'!$C:$C = $A99, 'Fund Investment Data'!$A:$A = Q$1, 'Fund Investment Data'!$B:$B = 12),"""")"),"")</f>
        <v/>
      </c>
      <c r="R99" t="str">
        <f>IFERROR(__xludf.DUMMYFUNCTION("IFERROR(FILTER('Fund Investment Data'!$D:$D, 'Fund Investment Data'!$C:$C = $A99, 'Fund Investment Data'!$A:$A = R$1, 'Fund Investment Data'!$B:$B = 12),"""")"),"")</f>
        <v/>
      </c>
      <c r="S99" t="str">
        <f>IFERROR(__xludf.DUMMYFUNCTION("IFERROR(FILTER('Fund Investment Data'!$D:$D, 'Fund Investment Data'!$C:$C = $A99, 'Fund Investment Data'!$A:$A = S$1, 'Fund Investment Data'!$B:$B = 12),"""")"),"")</f>
        <v/>
      </c>
      <c r="T99" t="str">
        <f>IFERROR(__xludf.DUMMYFUNCTION("IFERROR(FILTER('Fund Investment Data'!$D:$D, 'Fund Investment Data'!$C:$C = $A99, 'Fund Investment Data'!$A:$A = T$1, 'Fund Investment Data'!$B:$B = 12),"""")"),"")</f>
        <v/>
      </c>
      <c r="U99" t="str">
        <f>IFERROR(__xludf.DUMMYFUNCTION("IFERROR(FILTER('Fund Investment Data'!$D:$D, 'Fund Investment Data'!$C:$C = $A99, 'Fund Investment Data'!$A:$A = U$1, 'Fund Investment Data'!$B:$B = 12),"""")"),"")</f>
        <v/>
      </c>
      <c r="V99" t="str">
        <f>IFERROR(__xludf.DUMMYFUNCTION("IFERROR(FILTER('Fund Investment Data'!$D:$D, 'Fund Investment Data'!$C:$C = $A99, 'Fund Investment Data'!$A:$A = V$1, 'Fund Investment Data'!$B:$B = 12),"""")"),"")</f>
        <v/>
      </c>
      <c r="W99" t="str">
        <f>IFERROR(__xludf.DUMMYFUNCTION("IFERROR(FILTER('Fund Investment Data'!$D:$D, 'Fund Investment Data'!$C:$C = $A99, 'Fund Investment Data'!$A:$A = W$1, 'Fund Investment Data'!$B:$B = 12),"""")"),"")</f>
        <v/>
      </c>
      <c r="X99" t="str">
        <f>IFERROR(__xludf.DUMMYFUNCTION("IFERROR(FILTER('Fund Investment Data'!$D:$D, 'Fund Investment Data'!$C:$C = $A99, 'Fund Investment Data'!$A:$A = X$1, 'Fund Investment Data'!$B:$B = 12),"""")"),"")</f>
        <v/>
      </c>
      <c r="Y99" t="str">
        <f>IFERROR(__xludf.DUMMYFUNCTION("IFERROR(FILTER('Fund Investment Data'!$D:$D, 'Fund Investment Data'!$C:$C = $A99, 'Fund Investment Data'!$A:$A = Y$1, 'Fund Investment Data'!$B:$B = 12),"""")"),"")</f>
        <v/>
      </c>
      <c r="Z99" t="str">
        <f>IFERROR(__xludf.DUMMYFUNCTION("IFERROR(FILTER('Fund Investment Data'!$D:$D, 'Fund Investment Data'!$C:$C = $A99, 'Fund Investment Data'!$A:$A = Z$1, 'Fund Investment Data'!$B:$B = 12),"""")"),"")</f>
        <v/>
      </c>
      <c r="AA99" t="str">
        <f>IFERROR(__xludf.DUMMYFUNCTION("IFERROR(FILTER('Fund Investment Data'!$D:$D, 'Fund Investment Data'!$C:$C = $A99, 'Fund Investment Data'!$A:$A = AA$1, 'Fund Investment Data'!$B:$B = 12),"""")"),"")</f>
        <v/>
      </c>
      <c r="AB99" t="str">
        <f>IFERROR(__xludf.DUMMYFUNCTION("IFERROR(FILTER('Fund Investment Data'!$D:$D, 'Fund Investment Data'!$C:$C = $A99, 'Fund Investment Data'!$A:$A = AB$1, 'Fund Investment Data'!$B:$B = 12),"""")"),"")</f>
        <v/>
      </c>
      <c r="AC99" t="str">
        <f>IFERROR(__xludf.DUMMYFUNCTION("IFERROR(FILTER('Fund Investment Data'!$D:$D, 'Fund Investment Data'!$C:$C = $A99, 'Fund Investment Data'!$A:$A = AC$1, 'Fund Investment Data'!$B:$B = 12),"""")"),"")</f>
        <v/>
      </c>
      <c r="AD99" t="str">
        <f>IFERROR(__xludf.DUMMYFUNCTION("IFERROR(FILTER('Fund Investment Data'!$D:$D, 'Fund Investment Data'!$C:$C = $A99, 'Fund Investment Data'!$A:$A = AD$1, 'Fund Investment Data'!$B:$B = 12),"""")"),"")</f>
        <v/>
      </c>
      <c r="AE99" t="str">
        <f>IFERROR(__xludf.DUMMYFUNCTION("IFERROR(FILTER('Fund Investment Data'!$D:$D, 'Fund Investment Data'!$C:$C = $A99, 'Fund Investment Data'!$A:$A = AE$1, 'Fund Investment Data'!$B:$B = 12),"""")"),"")</f>
        <v/>
      </c>
    </row>
    <row r="100">
      <c r="A100" s="150" t="str">
        <f>'Endowed Funds'!A:A</f>
        <v/>
      </c>
      <c r="B100" t="str">
        <f>IFERROR(__xludf.DUMMYFUNCTION("IFERROR(FILTER('Fund Investment Data'!$D:$D, 'Fund Investment Data'!$C:$C = $A100, 'Fund Investment Data'!$A:$A = B$1, 'Fund Investment Data'!$B:$B = 12),"""")"),"")</f>
        <v/>
      </c>
      <c r="C100" t="str">
        <f>IFERROR(__xludf.DUMMYFUNCTION("IFERROR(FILTER('Fund Investment Data'!$D:$D, 'Fund Investment Data'!$C:$C = $A100, 'Fund Investment Data'!$A:$A = C$1, 'Fund Investment Data'!$B:$B = 12),"""")"),"")</f>
        <v/>
      </c>
      <c r="D100" t="str">
        <f>IFERROR(__xludf.DUMMYFUNCTION("IFERROR(FILTER('Fund Investment Data'!$D:$D, 'Fund Investment Data'!$C:$C = $A100, 'Fund Investment Data'!$A:$A = D$1, 'Fund Investment Data'!$B:$B = 12),"""")"),"")</f>
        <v/>
      </c>
      <c r="E100" t="str">
        <f>IFERROR(__xludf.DUMMYFUNCTION("IFERROR(FILTER('Fund Investment Data'!$D:$D, 'Fund Investment Data'!$C:$C = $A100, 'Fund Investment Data'!$A:$A = E$1, 'Fund Investment Data'!$B:$B = 12),"""")"),"")</f>
        <v/>
      </c>
      <c r="F100" t="str">
        <f>IFERROR(__xludf.DUMMYFUNCTION("IFERROR(FILTER('Fund Investment Data'!$D:$D, 'Fund Investment Data'!$C:$C = $A100, 'Fund Investment Data'!$A:$A = F$1, 'Fund Investment Data'!$B:$B = 12),"""")"),"")</f>
        <v/>
      </c>
      <c r="G100" t="str">
        <f>IFERROR(__xludf.DUMMYFUNCTION("IFERROR(FILTER('Fund Investment Data'!$D:$D, 'Fund Investment Data'!$C:$C = $A100, 'Fund Investment Data'!$A:$A = G$1, 'Fund Investment Data'!$B:$B = 12),"""")"),"")</f>
        <v/>
      </c>
      <c r="H100" t="str">
        <f>IFERROR(__xludf.DUMMYFUNCTION("IFERROR(FILTER('Fund Investment Data'!$D:$D, 'Fund Investment Data'!$C:$C = $A100, 'Fund Investment Data'!$A:$A = H$1, 'Fund Investment Data'!$B:$B = 12),"""")"),"")</f>
        <v/>
      </c>
      <c r="I100" t="str">
        <f>IFERROR(__xludf.DUMMYFUNCTION("IFERROR(FILTER('Fund Investment Data'!$D:$D, 'Fund Investment Data'!$C:$C = $A100, 'Fund Investment Data'!$A:$A = I$1, 'Fund Investment Data'!$B:$B = 12),"""")"),"")</f>
        <v/>
      </c>
      <c r="J100" t="str">
        <f>IFERROR(__xludf.DUMMYFUNCTION("IFERROR(FILTER('Fund Investment Data'!$D:$D, 'Fund Investment Data'!$C:$C = $A100, 'Fund Investment Data'!$A:$A = J$1, 'Fund Investment Data'!$B:$B = 12),"""")"),"")</f>
        <v/>
      </c>
      <c r="K100" t="str">
        <f>IFERROR(__xludf.DUMMYFUNCTION("IFERROR(FILTER('Fund Investment Data'!$D:$D, 'Fund Investment Data'!$C:$C = $A100, 'Fund Investment Data'!$A:$A = K$1, 'Fund Investment Data'!$B:$B = 12),"""")"),"")</f>
        <v/>
      </c>
      <c r="L100" t="str">
        <f>IFERROR(__xludf.DUMMYFUNCTION("IFERROR(FILTER('Fund Investment Data'!$D:$D, 'Fund Investment Data'!$C:$C = $A100, 'Fund Investment Data'!$A:$A = L$1, 'Fund Investment Data'!$B:$B = 12),"""")"),"")</f>
        <v/>
      </c>
      <c r="M100" t="str">
        <f>IFERROR(__xludf.DUMMYFUNCTION("IFERROR(FILTER('Fund Investment Data'!$D:$D, 'Fund Investment Data'!$C:$C = $A100, 'Fund Investment Data'!$A:$A = M$1, 'Fund Investment Data'!$B:$B = 12),"""")"),"")</f>
        <v/>
      </c>
      <c r="N100" t="str">
        <f>IFERROR(__xludf.DUMMYFUNCTION("IFERROR(FILTER('Fund Investment Data'!$D:$D, 'Fund Investment Data'!$C:$C = $A100, 'Fund Investment Data'!$A:$A = N$1, 'Fund Investment Data'!$B:$B = 12),"""")"),"")</f>
        <v/>
      </c>
      <c r="O100" t="str">
        <f>IFERROR(__xludf.DUMMYFUNCTION("IFERROR(FILTER('Fund Investment Data'!$D:$D, 'Fund Investment Data'!$C:$C = $A100, 'Fund Investment Data'!$A:$A = O$1, 'Fund Investment Data'!$B:$B = 12),"""")"),"")</f>
        <v/>
      </c>
      <c r="P100" t="str">
        <f>IFERROR(__xludf.DUMMYFUNCTION("IFERROR(FILTER('Fund Investment Data'!$D:$D, 'Fund Investment Data'!$C:$C = $A100, 'Fund Investment Data'!$A:$A = P$1, 'Fund Investment Data'!$B:$B = 12),"""")"),"")</f>
        <v/>
      </c>
      <c r="Q100" t="str">
        <f>IFERROR(__xludf.DUMMYFUNCTION("IFERROR(FILTER('Fund Investment Data'!$D:$D, 'Fund Investment Data'!$C:$C = $A100, 'Fund Investment Data'!$A:$A = Q$1, 'Fund Investment Data'!$B:$B = 12),"""")"),"")</f>
        <v/>
      </c>
      <c r="R100" t="str">
        <f>IFERROR(__xludf.DUMMYFUNCTION("IFERROR(FILTER('Fund Investment Data'!$D:$D, 'Fund Investment Data'!$C:$C = $A100, 'Fund Investment Data'!$A:$A = R$1, 'Fund Investment Data'!$B:$B = 12),"""")"),"")</f>
        <v/>
      </c>
      <c r="S100" t="str">
        <f>IFERROR(__xludf.DUMMYFUNCTION("IFERROR(FILTER('Fund Investment Data'!$D:$D, 'Fund Investment Data'!$C:$C = $A100, 'Fund Investment Data'!$A:$A = S$1, 'Fund Investment Data'!$B:$B = 12),"""")"),"")</f>
        <v/>
      </c>
      <c r="T100" t="str">
        <f>IFERROR(__xludf.DUMMYFUNCTION("IFERROR(FILTER('Fund Investment Data'!$D:$D, 'Fund Investment Data'!$C:$C = $A100, 'Fund Investment Data'!$A:$A = T$1, 'Fund Investment Data'!$B:$B = 12),"""")"),"")</f>
        <v/>
      </c>
      <c r="U100" t="str">
        <f>IFERROR(__xludf.DUMMYFUNCTION("IFERROR(FILTER('Fund Investment Data'!$D:$D, 'Fund Investment Data'!$C:$C = $A100, 'Fund Investment Data'!$A:$A = U$1, 'Fund Investment Data'!$B:$B = 12),"""")"),"")</f>
        <v/>
      </c>
      <c r="V100" t="str">
        <f>IFERROR(__xludf.DUMMYFUNCTION("IFERROR(FILTER('Fund Investment Data'!$D:$D, 'Fund Investment Data'!$C:$C = $A100, 'Fund Investment Data'!$A:$A = V$1, 'Fund Investment Data'!$B:$B = 12),"""")"),"")</f>
        <v/>
      </c>
      <c r="W100" t="str">
        <f>IFERROR(__xludf.DUMMYFUNCTION("IFERROR(FILTER('Fund Investment Data'!$D:$D, 'Fund Investment Data'!$C:$C = $A100, 'Fund Investment Data'!$A:$A = W$1, 'Fund Investment Data'!$B:$B = 12),"""")"),"")</f>
        <v/>
      </c>
      <c r="X100" t="str">
        <f>IFERROR(__xludf.DUMMYFUNCTION("IFERROR(FILTER('Fund Investment Data'!$D:$D, 'Fund Investment Data'!$C:$C = $A100, 'Fund Investment Data'!$A:$A = X$1, 'Fund Investment Data'!$B:$B = 12),"""")"),"")</f>
        <v/>
      </c>
      <c r="Y100" t="str">
        <f>IFERROR(__xludf.DUMMYFUNCTION("IFERROR(FILTER('Fund Investment Data'!$D:$D, 'Fund Investment Data'!$C:$C = $A100, 'Fund Investment Data'!$A:$A = Y$1, 'Fund Investment Data'!$B:$B = 12),"""")"),"")</f>
        <v/>
      </c>
      <c r="Z100" t="str">
        <f>IFERROR(__xludf.DUMMYFUNCTION("IFERROR(FILTER('Fund Investment Data'!$D:$D, 'Fund Investment Data'!$C:$C = $A100, 'Fund Investment Data'!$A:$A = Z$1, 'Fund Investment Data'!$B:$B = 12),"""")"),"")</f>
        <v/>
      </c>
      <c r="AA100" t="str">
        <f>IFERROR(__xludf.DUMMYFUNCTION("IFERROR(FILTER('Fund Investment Data'!$D:$D, 'Fund Investment Data'!$C:$C = $A100, 'Fund Investment Data'!$A:$A = AA$1, 'Fund Investment Data'!$B:$B = 12),"""")"),"")</f>
        <v/>
      </c>
      <c r="AB100" t="str">
        <f>IFERROR(__xludf.DUMMYFUNCTION("IFERROR(FILTER('Fund Investment Data'!$D:$D, 'Fund Investment Data'!$C:$C = $A100, 'Fund Investment Data'!$A:$A = AB$1, 'Fund Investment Data'!$B:$B = 12),"""")"),"")</f>
        <v/>
      </c>
      <c r="AC100" t="str">
        <f>IFERROR(__xludf.DUMMYFUNCTION("IFERROR(FILTER('Fund Investment Data'!$D:$D, 'Fund Investment Data'!$C:$C = $A100, 'Fund Investment Data'!$A:$A = AC$1, 'Fund Investment Data'!$B:$B = 12),"""")"),"")</f>
        <v/>
      </c>
      <c r="AD100" t="str">
        <f>IFERROR(__xludf.DUMMYFUNCTION("IFERROR(FILTER('Fund Investment Data'!$D:$D, 'Fund Investment Data'!$C:$C = $A100, 'Fund Investment Data'!$A:$A = AD$1, 'Fund Investment Data'!$B:$B = 12),"""")"),"")</f>
        <v/>
      </c>
      <c r="AE100" t="str">
        <f>IFERROR(__xludf.DUMMYFUNCTION("IFERROR(FILTER('Fund Investment Data'!$D:$D, 'Fund Investment Data'!$C:$C = $A100, 'Fund Investment Data'!$A:$A = AE$1, 'Fund Investment Data'!$B:$B = 12),"""")"),"")</f>
        <v/>
      </c>
    </row>
    <row r="101">
      <c r="A101" s="150" t="str">
        <f>'Endowed Funds'!A:A</f>
        <v/>
      </c>
      <c r="B101" t="str">
        <f>IFERROR(__xludf.DUMMYFUNCTION("IFERROR(FILTER('Fund Investment Data'!$D:$D, 'Fund Investment Data'!$C:$C = $A101, 'Fund Investment Data'!$A:$A = B$1, 'Fund Investment Data'!$B:$B = 12),"""")"),"")</f>
        <v/>
      </c>
      <c r="C101" t="str">
        <f>IFERROR(__xludf.DUMMYFUNCTION("IFERROR(FILTER('Fund Investment Data'!$D:$D, 'Fund Investment Data'!$C:$C = $A101, 'Fund Investment Data'!$A:$A = C$1, 'Fund Investment Data'!$B:$B = 12),"""")"),"")</f>
        <v/>
      </c>
      <c r="D101" t="str">
        <f>IFERROR(__xludf.DUMMYFUNCTION("IFERROR(FILTER('Fund Investment Data'!$D:$D, 'Fund Investment Data'!$C:$C = $A101, 'Fund Investment Data'!$A:$A = D$1, 'Fund Investment Data'!$B:$B = 12),"""")"),"")</f>
        <v/>
      </c>
      <c r="E101" t="str">
        <f>IFERROR(__xludf.DUMMYFUNCTION("IFERROR(FILTER('Fund Investment Data'!$D:$D, 'Fund Investment Data'!$C:$C = $A101, 'Fund Investment Data'!$A:$A = E$1, 'Fund Investment Data'!$B:$B = 12),"""")"),"")</f>
        <v/>
      </c>
      <c r="F101" t="str">
        <f>IFERROR(__xludf.DUMMYFUNCTION("IFERROR(FILTER('Fund Investment Data'!$D:$D, 'Fund Investment Data'!$C:$C = $A101, 'Fund Investment Data'!$A:$A = F$1, 'Fund Investment Data'!$B:$B = 12),"""")"),"")</f>
        <v/>
      </c>
      <c r="G101" t="str">
        <f>IFERROR(__xludf.DUMMYFUNCTION("IFERROR(FILTER('Fund Investment Data'!$D:$D, 'Fund Investment Data'!$C:$C = $A101, 'Fund Investment Data'!$A:$A = G$1, 'Fund Investment Data'!$B:$B = 12),"""")"),"")</f>
        <v/>
      </c>
      <c r="H101" t="str">
        <f>IFERROR(__xludf.DUMMYFUNCTION("IFERROR(FILTER('Fund Investment Data'!$D:$D, 'Fund Investment Data'!$C:$C = $A101, 'Fund Investment Data'!$A:$A = H$1, 'Fund Investment Data'!$B:$B = 12),"""")"),"")</f>
        <v/>
      </c>
      <c r="I101" t="str">
        <f>IFERROR(__xludf.DUMMYFUNCTION("IFERROR(FILTER('Fund Investment Data'!$D:$D, 'Fund Investment Data'!$C:$C = $A101, 'Fund Investment Data'!$A:$A = I$1, 'Fund Investment Data'!$B:$B = 12),"""")"),"")</f>
        <v/>
      </c>
      <c r="J101" t="str">
        <f>IFERROR(__xludf.DUMMYFUNCTION("IFERROR(FILTER('Fund Investment Data'!$D:$D, 'Fund Investment Data'!$C:$C = $A101, 'Fund Investment Data'!$A:$A = J$1, 'Fund Investment Data'!$B:$B = 12),"""")"),"")</f>
        <v/>
      </c>
      <c r="K101" t="str">
        <f>IFERROR(__xludf.DUMMYFUNCTION("IFERROR(FILTER('Fund Investment Data'!$D:$D, 'Fund Investment Data'!$C:$C = $A101, 'Fund Investment Data'!$A:$A = K$1, 'Fund Investment Data'!$B:$B = 12),"""")"),"")</f>
        <v/>
      </c>
      <c r="L101" t="str">
        <f>IFERROR(__xludf.DUMMYFUNCTION("IFERROR(FILTER('Fund Investment Data'!$D:$D, 'Fund Investment Data'!$C:$C = $A101, 'Fund Investment Data'!$A:$A = L$1, 'Fund Investment Data'!$B:$B = 12),"""")"),"")</f>
        <v/>
      </c>
      <c r="M101" t="str">
        <f>IFERROR(__xludf.DUMMYFUNCTION("IFERROR(FILTER('Fund Investment Data'!$D:$D, 'Fund Investment Data'!$C:$C = $A101, 'Fund Investment Data'!$A:$A = M$1, 'Fund Investment Data'!$B:$B = 12),"""")"),"")</f>
        <v/>
      </c>
      <c r="N101" t="str">
        <f>IFERROR(__xludf.DUMMYFUNCTION("IFERROR(FILTER('Fund Investment Data'!$D:$D, 'Fund Investment Data'!$C:$C = $A101, 'Fund Investment Data'!$A:$A = N$1, 'Fund Investment Data'!$B:$B = 12),"""")"),"")</f>
        <v/>
      </c>
      <c r="O101" t="str">
        <f>IFERROR(__xludf.DUMMYFUNCTION("IFERROR(FILTER('Fund Investment Data'!$D:$D, 'Fund Investment Data'!$C:$C = $A101, 'Fund Investment Data'!$A:$A = O$1, 'Fund Investment Data'!$B:$B = 12),"""")"),"")</f>
        <v/>
      </c>
      <c r="P101" t="str">
        <f>IFERROR(__xludf.DUMMYFUNCTION("IFERROR(FILTER('Fund Investment Data'!$D:$D, 'Fund Investment Data'!$C:$C = $A101, 'Fund Investment Data'!$A:$A = P$1, 'Fund Investment Data'!$B:$B = 12),"""")"),"")</f>
        <v/>
      </c>
      <c r="Q101" t="str">
        <f>IFERROR(__xludf.DUMMYFUNCTION("IFERROR(FILTER('Fund Investment Data'!$D:$D, 'Fund Investment Data'!$C:$C = $A101, 'Fund Investment Data'!$A:$A = Q$1, 'Fund Investment Data'!$B:$B = 12),"""")"),"")</f>
        <v/>
      </c>
      <c r="R101" t="str">
        <f>IFERROR(__xludf.DUMMYFUNCTION("IFERROR(FILTER('Fund Investment Data'!$D:$D, 'Fund Investment Data'!$C:$C = $A101, 'Fund Investment Data'!$A:$A = R$1, 'Fund Investment Data'!$B:$B = 12),"""")"),"")</f>
        <v/>
      </c>
      <c r="S101" t="str">
        <f>IFERROR(__xludf.DUMMYFUNCTION("IFERROR(FILTER('Fund Investment Data'!$D:$D, 'Fund Investment Data'!$C:$C = $A101, 'Fund Investment Data'!$A:$A = S$1, 'Fund Investment Data'!$B:$B = 12),"""")"),"")</f>
        <v/>
      </c>
      <c r="T101" t="str">
        <f>IFERROR(__xludf.DUMMYFUNCTION("IFERROR(FILTER('Fund Investment Data'!$D:$D, 'Fund Investment Data'!$C:$C = $A101, 'Fund Investment Data'!$A:$A = T$1, 'Fund Investment Data'!$B:$B = 12),"""")"),"")</f>
        <v/>
      </c>
      <c r="U101" t="str">
        <f>IFERROR(__xludf.DUMMYFUNCTION("IFERROR(FILTER('Fund Investment Data'!$D:$D, 'Fund Investment Data'!$C:$C = $A101, 'Fund Investment Data'!$A:$A = U$1, 'Fund Investment Data'!$B:$B = 12),"""")"),"")</f>
        <v/>
      </c>
      <c r="V101" t="str">
        <f>IFERROR(__xludf.DUMMYFUNCTION("IFERROR(FILTER('Fund Investment Data'!$D:$D, 'Fund Investment Data'!$C:$C = $A101, 'Fund Investment Data'!$A:$A = V$1, 'Fund Investment Data'!$B:$B = 12),"""")"),"")</f>
        <v/>
      </c>
      <c r="W101" t="str">
        <f>IFERROR(__xludf.DUMMYFUNCTION("IFERROR(FILTER('Fund Investment Data'!$D:$D, 'Fund Investment Data'!$C:$C = $A101, 'Fund Investment Data'!$A:$A = W$1, 'Fund Investment Data'!$B:$B = 12),"""")"),"")</f>
        <v/>
      </c>
      <c r="X101" t="str">
        <f>IFERROR(__xludf.DUMMYFUNCTION("IFERROR(FILTER('Fund Investment Data'!$D:$D, 'Fund Investment Data'!$C:$C = $A101, 'Fund Investment Data'!$A:$A = X$1, 'Fund Investment Data'!$B:$B = 12),"""")"),"")</f>
        <v/>
      </c>
      <c r="Y101" t="str">
        <f>IFERROR(__xludf.DUMMYFUNCTION("IFERROR(FILTER('Fund Investment Data'!$D:$D, 'Fund Investment Data'!$C:$C = $A101, 'Fund Investment Data'!$A:$A = Y$1, 'Fund Investment Data'!$B:$B = 12),"""")"),"")</f>
        <v/>
      </c>
      <c r="Z101" t="str">
        <f>IFERROR(__xludf.DUMMYFUNCTION("IFERROR(FILTER('Fund Investment Data'!$D:$D, 'Fund Investment Data'!$C:$C = $A101, 'Fund Investment Data'!$A:$A = Z$1, 'Fund Investment Data'!$B:$B = 12),"""")"),"")</f>
        <v/>
      </c>
      <c r="AA101" t="str">
        <f>IFERROR(__xludf.DUMMYFUNCTION("IFERROR(FILTER('Fund Investment Data'!$D:$D, 'Fund Investment Data'!$C:$C = $A101, 'Fund Investment Data'!$A:$A = AA$1, 'Fund Investment Data'!$B:$B = 12),"""")"),"")</f>
        <v/>
      </c>
      <c r="AB101" t="str">
        <f>IFERROR(__xludf.DUMMYFUNCTION("IFERROR(FILTER('Fund Investment Data'!$D:$D, 'Fund Investment Data'!$C:$C = $A101, 'Fund Investment Data'!$A:$A = AB$1, 'Fund Investment Data'!$B:$B = 12),"""")"),"")</f>
        <v/>
      </c>
      <c r="AC101" t="str">
        <f>IFERROR(__xludf.DUMMYFUNCTION("IFERROR(FILTER('Fund Investment Data'!$D:$D, 'Fund Investment Data'!$C:$C = $A101, 'Fund Investment Data'!$A:$A = AC$1, 'Fund Investment Data'!$B:$B = 12),"""")"),"")</f>
        <v/>
      </c>
      <c r="AD101" t="str">
        <f>IFERROR(__xludf.DUMMYFUNCTION("IFERROR(FILTER('Fund Investment Data'!$D:$D, 'Fund Investment Data'!$C:$C = $A101, 'Fund Investment Data'!$A:$A = AD$1, 'Fund Investment Data'!$B:$B = 12),"""")"),"")</f>
        <v/>
      </c>
      <c r="AE101" t="str">
        <f>IFERROR(__xludf.DUMMYFUNCTION("IFERROR(FILTER('Fund Investment Data'!$D:$D, 'Fund Investment Data'!$C:$C = $A101, 'Fund Investment Data'!$A:$A = AE$1, 'Fund Investment Data'!$B:$B = 12),"""")"),"")</f>
        <v/>
      </c>
    </row>
    <row r="102">
      <c r="A102" s="150" t="str">
        <f>'Endowed Funds'!A:A</f>
        <v/>
      </c>
      <c r="B102" t="str">
        <f>IFERROR(__xludf.DUMMYFUNCTION("IFERROR(FILTER('Fund Investment Data'!$D:$D, 'Fund Investment Data'!$C:$C = $A102, 'Fund Investment Data'!$A:$A = B$1, 'Fund Investment Data'!$B:$B = 12),"""")"),"")</f>
        <v/>
      </c>
      <c r="C102" t="str">
        <f>IFERROR(__xludf.DUMMYFUNCTION("IFERROR(FILTER('Fund Investment Data'!$D:$D, 'Fund Investment Data'!$C:$C = $A102, 'Fund Investment Data'!$A:$A = C$1, 'Fund Investment Data'!$B:$B = 12),"""")"),"")</f>
        <v/>
      </c>
      <c r="D102" t="str">
        <f>IFERROR(__xludf.DUMMYFUNCTION("IFERROR(FILTER('Fund Investment Data'!$D:$D, 'Fund Investment Data'!$C:$C = $A102, 'Fund Investment Data'!$A:$A = D$1, 'Fund Investment Data'!$B:$B = 12),"""")"),"")</f>
        <v/>
      </c>
      <c r="E102" t="str">
        <f>IFERROR(__xludf.DUMMYFUNCTION("IFERROR(FILTER('Fund Investment Data'!$D:$D, 'Fund Investment Data'!$C:$C = $A102, 'Fund Investment Data'!$A:$A = E$1, 'Fund Investment Data'!$B:$B = 12),"""")"),"")</f>
        <v/>
      </c>
      <c r="F102" t="str">
        <f>IFERROR(__xludf.DUMMYFUNCTION("IFERROR(FILTER('Fund Investment Data'!$D:$D, 'Fund Investment Data'!$C:$C = $A102, 'Fund Investment Data'!$A:$A = F$1, 'Fund Investment Data'!$B:$B = 12),"""")"),"")</f>
        <v/>
      </c>
      <c r="G102" t="str">
        <f>IFERROR(__xludf.DUMMYFUNCTION("IFERROR(FILTER('Fund Investment Data'!$D:$D, 'Fund Investment Data'!$C:$C = $A102, 'Fund Investment Data'!$A:$A = G$1, 'Fund Investment Data'!$B:$B = 12),"""")"),"")</f>
        <v/>
      </c>
      <c r="H102" t="str">
        <f>IFERROR(__xludf.DUMMYFUNCTION("IFERROR(FILTER('Fund Investment Data'!$D:$D, 'Fund Investment Data'!$C:$C = $A102, 'Fund Investment Data'!$A:$A = H$1, 'Fund Investment Data'!$B:$B = 12),"""")"),"")</f>
        <v/>
      </c>
      <c r="I102" t="str">
        <f>IFERROR(__xludf.DUMMYFUNCTION("IFERROR(FILTER('Fund Investment Data'!$D:$D, 'Fund Investment Data'!$C:$C = $A102, 'Fund Investment Data'!$A:$A = I$1, 'Fund Investment Data'!$B:$B = 12),"""")"),"")</f>
        <v/>
      </c>
      <c r="J102" t="str">
        <f>IFERROR(__xludf.DUMMYFUNCTION("IFERROR(FILTER('Fund Investment Data'!$D:$D, 'Fund Investment Data'!$C:$C = $A102, 'Fund Investment Data'!$A:$A = J$1, 'Fund Investment Data'!$B:$B = 12),"""")"),"")</f>
        <v/>
      </c>
      <c r="K102" t="str">
        <f>IFERROR(__xludf.DUMMYFUNCTION("IFERROR(FILTER('Fund Investment Data'!$D:$D, 'Fund Investment Data'!$C:$C = $A102, 'Fund Investment Data'!$A:$A = K$1, 'Fund Investment Data'!$B:$B = 12),"""")"),"")</f>
        <v/>
      </c>
      <c r="L102" t="str">
        <f>IFERROR(__xludf.DUMMYFUNCTION("IFERROR(FILTER('Fund Investment Data'!$D:$D, 'Fund Investment Data'!$C:$C = $A102, 'Fund Investment Data'!$A:$A = L$1, 'Fund Investment Data'!$B:$B = 12),"""")"),"")</f>
        <v/>
      </c>
      <c r="M102" t="str">
        <f>IFERROR(__xludf.DUMMYFUNCTION("IFERROR(FILTER('Fund Investment Data'!$D:$D, 'Fund Investment Data'!$C:$C = $A102, 'Fund Investment Data'!$A:$A = M$1, 'Fund Investment Data'!$B:$B = 12),"""")"),"")</f>
        <v/>
      </c>
      <c r="N102" t="str">
        <f>IFERROR(__xludf.DUMMYFUNCTION("IFERROR(FILTER('Fund Investment Data'!$D:$D, 'Fund Investment Data'!$C:$C = $A102, 'Fund Investment Data'!$A:$A = N$1, 'Fund Investment Data'!$B:$B = 12),"""")"),"")</f>
        <v/>
      </c>
      <c r="O102" t="str">
        <f>IFERROR(__xludf.DUMMYFUNCTION("IFERROR(FILTER('Fund Investment Data'!$D:$D, 'Fund Investment Data'!$C:$C = $A102, 'Fund Investment Data'!$A:$A = O$1, 'Fund Investment Data'!$B:$B = 12),"""")"),"")</f>
        <v/>
      </c>
      <c r="P102" t="str">
        <f>IFERROR(__xludf.DUMMYFUNCTION("IFERROR(FILTER('Fund Investment Data'!$D:$D, 'Fund Investment Data'!$C:$C = $A102, 'Fund Investment Data'!$A:$A = P$1, 'Fund Investment Data'!$B:$B = 12),"""")"),"")</f>
        <v/>
      </c>
      <c r="Q102" t="str">
        <f>IFERROR(__xludf.DUMMYFUNCTION("IFERROR(FILTER('Fund Investment Data'!$D:$D, 'Fund Investment Data'!$C:$C = $A102, 'Fund Investment Data'!$A:$A = Q$1, 'Fund Investment Data'!$B:$B = 12),"""")"),"")</f>
        <v/>
      </c>
      <c r="R102" t="str">
        <f>IFERROR(__xludf.DUMMYFUNCTION("IFERROR(FILTER('Fund Investment Data'!$D:$D, 'Fund Investment Data'!$C:$C = $A102, 'Fund Investment Data'!$A:$A = R$1, 'Fund Investment Data'!$B:$B = 12),"""")"),"")</f>
        <v/>
      </c>
      <c r="S102" t="str">
        <f>IFERROR(__xludf.DUMMYFUNCTION("IFERROR(FILTER('Fund Investment Data'!$D:$D, 'Fund Investment Data'!$C:$C = $A102, 'Fund Investment Data'!$A:$A = S$1, 'Fund Investment Data'!$B:$B = 12),"""")"),"")</f>
        <v/>
      </c>
      <c r="T102" t="str">
        <f>IFERROR(__xludf.DUMMYFUNCTION("IFERROR(FILTER('Fund Investment Data'!$D:$D, 'Fund Investment Data'!$C:$C = $A102, 'Fund Investment Data'!$A:$A = T$1, 'Fund Investment Data'!$B:$B = 12),"""")"),"")</f>
        <v/>
      </c>
      <c r="U102" t="str">
        <f>IFERROR(__xludf.DUMMYFUNCTION("IFERROR(FILTER('Fund Investment Data'!$D:$D, 'Fund Investment Data'!$C:$C = $A102, 'Fund Investment Data'!$A:$A = U$1, 'Fund Investment Data'!$B:$B = 12),"""")"),"")</f>
        <v/>
      </c>
      <c r="V102" t="str">
        <f>IFERROR(__xludf.DUMMYFUNCTION("IFERROR(FILTER('Fund Investment Data'!$D:$D, 'Fund Investment Data'!$C:$C = $A102, 'Fund Investment Data'!$A:$A = V$1, 'Fund Investment Data'!$B:$B = 12),"""")"),"")</f>
        <v/>
      </c>
      <c r="W102" t="str">
        <f>IFERROR(__xludf.DUMMYFUNCTION("IFERROR(FILTER('Fund Investment Data'!$D:$D, 'Fund Investment Data'!$C:$C = $A102, 'Fund Investment Data'!$A:$A = W$1, 'Fund Investment Data'!$B:$B = 12),"""")"),"")</f>
        <v/>
      </c>
      <c r="X102" t="str">
        <f>IFERROR(__xludf.DUMMYFUNCTION("IFERROR(FILTER('Fund Investment Data'!$D:$D, 'Fund Investment Data'!$C:$C = $A102, 'Fund Investment Data'!$A:$A = X$1, 'Fund Investment Data'!$B:$B = 12),"""")"),"")</f>
        <v/>
      </c>
      <c r="Y102" t="str">
        <f>IFERROR(__xludf.DUMMYFUNCTION("IFERROR(FILTER('Fund Investment Data'!$D:$D, 'Fund Investment Data'!$C:$C = $A102, 'Fund Investment Data'!$A:$A = Y$1, 'Fund Investment Data'!$B:$B = 12),"""")"),"")</f>
        <v/>
      </c>
      <c r="Z102" t="str">
        <f>IFERROR(__xludf.DUMMYFUNCTION("IFERROR(FILTER('Fund Investment Data'!$D:$D, 'Fund Investment Data'!$C:$C = $A102, 'Fund Investment Data'!$A:$A = Z$1, 'Fund Investment Data'!$B:$B = 12),"""")"),"")</f>
        <v/>
      </c>
      <c r="AA102" t="str">
        <f>IFERROR(__xludf.DUMMYFUNCTION("IFERROR(FILTER('Fund Investment Data'!$D:$D, 'Fund Investment Data'!$C:$C = $A102, 'Fund Investment Data'!$A:$A = AA$1, 'Fund Investment Data'!$B:$B = 12),"""")"),"")</f>
        <v/>
      </c>
      <c r="AB102" t="str">
        <f>IFERROR(__xludf.DUMMYFUNCTION("IFERROR(FILTER('Fund Investment Data'!$D:$D, 'Fund Investment Data'!$C:$C = $A102, 'Fund Investment Data'!$A:$A = AB$1, 'Fund Investment Data'!$B:$B = 12),"""")"),"")</f>
        <v/>
      </c>
      <c r="AC102" t="str">
        <f>IFERROR(__xludf.DUMMYFUNCTION("IFERROR(FILTER('Fund Investment Data'!$D:$D, 'Fund Investment Data'!$C:$C = $A102, 'Fund Investment Data'!$A:$A = AC$1, 'Fund Investment Data'!$B:$B = 12),"""")"),"")</f>
        <v/>
      </c>
      <c r="AD102" t="str">
        <f>IFERROR(__xludf.DUMMYFUNCTION("IFERROR(FILTER('Fund Investment Data'!$D:$D, 'Fund Investment Data'!$C:$C = $A102, 'Fund Investment Data'!$A:$A = AD$1, 'Fund Investment Data'!$B:$B = 12),"""")"),"")</f>
        <v/>
      </c>
      <c r="AE102" t="str">
        <f>IFERROR(__xludf.DUMMYFUNCTION("IFERROR(FILTER('Fund Investment Data'!$D:$D, 'Fund Investment Data'!$C:$C = $A102, 'Fund Investment Data'!$A:$A = AE$1, 'Fund Investment Data'!$B:$B = 12),"""")"),"")</f>
        <v/>
      </c>
    </row>
    <row r="103">
      <c r="A103" s="150" t="str">
        <f>'Endowed Funds'!A:A</f>
        <v/>
      </c>
      <c r="B103" t="str">
        <f>IFERROR(__xludf.DUMMYFUNCTION("IFERROR(FILTER('Fund Investment Data'!$D:$D, 'Fund Investment Data'!$C:$C = $A103, 'Fund Investment Data'!$A:$A = B$1, 'Fund Investment Data'!$B:$B = 12),"""")"),"")</f>
        <v/>
      </c>
      <c r="C103" t="str">
        <f>IFERROR(__xludf.DUMMYFUNCTION("IFERROR(FILTER('Fund Investment Data'!$D:$D, 'Fund Investment Data'!$C:$C = $A103, 'Fund Investment Data'!$A:$A = C$1, 'Fund Investment Data'!$B:$B = 12),"""")"),"")</f>
        <v/>
      </c>
      <c r="D103" t="str">
        <f>IFERROR(__xludf.DUMMYFUNCTION("IFERROR(FILTER('Fund Investment Data'!$D:$D, 'Fund Investment Data'!$C:$C = $A103, 'Fund Investment Data'!$A:$A = D$1, 'Fund Investment Data'!$B:$B = 12),"""")"),"")</f>
        <v/>
      </c>
      <c r="E103" t="str">
        <f>IFERROR(__xludf.DUMMYFUNCTION("IFERROR(FILTER('Fund Investment Data'!$D:$D, 'Fund Investment Data'!$C:$C = $A103, 'Fund Investment Data'!$A:$A = E$1, 'Fund Investment Data'!$B:$B = 12),"""")"),"")</f>
        <v/>
      </c>
      <c r="F103" t="str">
        <f>IFERROR(__xludf.DUMMYFUNCTION("IFERROR(FILTER('Fund Investment Data'!$D:$D, 'Fund Investment Data'!$C:$C = $A103, 'Fund Investment Data'!$A:$A = F$1, 'Fund Investment Data'!$B:$B = 12),"""")"),"")</f>
        <v/>
      </c>
      <c r="G103" t="str">
        <f>IFERROR(__xludf.DUMMYFUNCTION("IFERROR(FILTER('Fund Investment Data'!$D:$D, 'Fund Investment Data'!$C:$C = $A103, 'Fund Investment Data'!$A:$A = G$1, 'Fund Investment Data'!$B:$B = 12),"""")"),"")</f>
        <v/>
      </c>
      <c r="H103" t="str">
        <f>IFERROR(__xludf.DUMMYFUNCTION("IFERROR(FILTER('Fund Investment Data'!$D:$D, 'Fund Investment Data'!$C:$C = $A103, 'Fund Investment Data'!$A:$A = H$1, 'Fund Investment Data'!$B:$B = 12),"""")"),"")</f>
        <v/>
      </c>
      <c r="I103" t="str">
        <f>IFERROR(__xludf.DUMMYFUNCTION("IFERROR(FILTER('Fund Investment Data'!$D:$D, 'Fund Investment Data'!$C:$C = $A103, 'Fund Investment Data'!$A:$A = I$1, 'Fund Investment Data'!$B:$B = 12),"""")"),"")</f>
        <v/>
      </c>
      <c r="J103" t="str">
        <f>IFERROR(__xludf.DUMMYFUNCTION("IFERROR(FILTER('Fund Investment Data'!$D:$D, 'Fund Investment Data'!$C:$C = $A103, 'Fund Investment Data'!$A:$A = J$1, 'Fund Investment Data'!$B:$B = 12),"""")"),"")</f>
        <v/>
      </c>
      <c r="K103" t="str">
        <f>IFERROR(__xludf.DUMMYFUNCTION("IFERROR(FILTER('Fund Investment Data'!$D:$D, 'Fund Investment Data'!$C:$C = $A103, 'Fund Investment Data'!$A:$A = K$1, 'Fund Investment Data'!$B:$B = 12),"""")"),"")</f>
        <v/>
      </c>
      <c r="L103" t="str">
        <f>IFERROR(__xludf.DUMMYFUNCTION("IFERROR(FILTER('Fund Investment Data'!$D:$D, 'Fund Investment Data'!$C:$C = $A103, 'Fund Investment Data'!$A:$A = L$1, 'Fund Investment Data'!$B:$B = 12),"""")"),"")</f>
        <v/>
      </c>
      <c r="M103" t="str">
        <f>IFERROR(__xludf.DUMMYFUNCTION("IFERROR(FILTER('Fund Investment Data'!$D:$D, 'Fund Investment Data'!$C:$C = $A103, 'Fund Investment Data'!$A:$A = M$1, 'Fund Investment Data'!$B:$B = 12),"""")"),"")</f>
        <v/>
      </c>
      <c r="N103" t="str">
        <f>IFERROR(__xludf.DUMMYFUNCTION("IFERROR(FILTER('Fund Investment Data'!$D:$D, 'Fund Investment Data'!$C:$C = $A103, 'Fund Investment Data'!$A:$A = N$1, 'Fund Investment Data'!$B:$B = 12),"""")"),"")</f>
        <v/>
      </c>
      <c r="O103" t="str">
        <f>IFERROR(__xludf.DUMMYFUNCTION("IFERROR(FILTER('Fund Investment Data'!$D:$D, 'Fund Investment Data'!$C:$C = $A103, 'Fund Investment Data'!$A:$A = O$1, 'Fund Investment Data'!$B:$B = 12),"""")"),"")</f>
        <v/>
      </c>
      <c r="P103" t="str">
        <f>IFERROR(__xludf.DUMMYFUNCTION("IFERROR(FILTER('Fund Investment Data'!$D:$D, 'Fund Investment Data'!$C:$C = $A103, 'Fund Investment Data'!$A:$A = P$1, 'Fund Investment Data'!$B:$B = 12),"""")"),"")</f>
        <v/>
      </c>
      <c r="Q103" t="str">
        <f>IFERROR(__xludf.DUMMYFUNCTION("IFERROR(FILTER('Fund Investment Data'!$D:$D, 'Fund Investment Data'!$C:$C = $A103, 'Fund Investment Data'!$A:$A = Q$1, 'Fund Investment Data'!$B:$B = 12),"""")"),"")</f>
        <v/>
      </c>
      <c r="R103" t="str">
        <f>IFERROR(__xludf.DUMMYFUNCTION("IFERROR(FILTER('Fund Investment Data'!$D:$D, 'Fund Investment Data'!$C:$C = $A103, 'Fund Investment Data'!$A:$A = R$1, 'Fund Investment Data'!$B:$B = 12),"""")"),"")</f>
        <v/>
      </c>
      <c r="S103" t="str">
        <f>IFERROR(__xludf.DUMMYFUNCTION("IFERROR(FILTER('Fund Investment Data'!$D:$D, 'Fund Investment Data'!$C:$C = $A103, 'Fund Investment Data'!$A:$A = S$1, 'Fund Investment Data'!$B:$B = 12),"""")"),"")</f>
        <v/>
      </c>
      <c r="T103" t="str">
        <f>IFERROR(__xludf.DUMMYFUNCTION("IFERROR(FILTER('Fund Investment Data'!$D:$D, 'Fund Investment Data'!$C:$C = $A103, 'Fund Investment Data'!$A:$A = T$1, 'Fund Investment Data'!$B:$B = 12),"""")"),"")</f>
        <v/>
      </c>
      <c r="U103" t="str">
        <f>IFERROR(__xludf.DUMMYFUNCTION("IFERROR(FILTER('Fund Investment Data'!$D:$D, 'Fund Investment Data'!$C:$C = $A103, 'Fund Investment Data'!$A:$A = U$1, 'Fund Investment Data'!$B:$B = 12),"""")"),"")</f>
        <v/>
      </c>
      <c r="V103" t="str">
        <f>IFERROR(__xludf.DUMMYFUNCTION("IFERROR(FILTER('Fund Investment Data'!$D:$D, 'Fund Investment Data'!$C:$C = $A103, 'Fund Investment Data'!$A:$A = V$1, 'Fund Investment Data'!$B:$B = 12),"""")"),"")</f>
        <v/>
      </c>
      <c r="W103" t="str">
        <f>IFERROR(__xludf.DUMMYFUNCTION("IFERROR(FILTER('Fund Investment Data'!$D:$D, 'Fund Investment Data'!$C:$C = $A103, 'Fund Investment Data'!$A:$A = W$1, 'Fund Investment Data'!$B:$B = 12),"""")"),"")</f>
        <v/>
      </c>
      <c r="X103" t="str">
        <f>IFERROR(__xludf.DUMMYFUNCTION("IFERROR(FILTER('Fund Investment Data'!$D:$D, 'Fund Investment Data'!$C:$C = $A103, 'Fund Investment Data'!$A:$A = X$1, 'Fund Investment Data'!$B:$B = 12),"""")"),"")</f>
        <v/>
      </c>
      <c r="Y103" t="str">
        <f>IFERROR(__xludf.DUMMYFUNCTION("IFERROR(FILTER('Fund Investment Data'!$D:$D, 'Fund Investment Data'!$C:$C = $A103, 'Fund Investment Data'!$A:$A = Y$1, 'Fund Investment Data'!$B:$B = 12),"""")"),"")</f>
        <v/>
      </c>
      <c r="Z103" t="str">
        <f>IFERROR(__xludf.DUMMYFUNCTION("IFERROR(FILTER('Fund Investment Data'!$D:$D, 'Fund Investment Data'!$C:$C = $A103, 'Fund Investment Data'!$A:$A = Z$1, 'Fund Investment Data'!$B:$B = 12),"""")"),"")</f>
        <v/>
      </c>
      <c r="AA103" t="str">
        <f>IFERROR(__xludf.DUMMYFUNCTION("IFERROR(FILTER('Fund Investment Data'!$D:$D, 'Fund Investment Data'!$C:$C = $A103, 'Fund Investment Data'!$A:$A = AA$1, 'Fund Investment Data'!$B:$B = 12),"""")"),"")</f>
        <v/>
      </c>
      <c r="AB103" t="str">
        <f>IFERROR(__xludf.DUMMYFUNCTION("IFERROR(FILTER('Fund Investment Data'!$D:$D, 'Fund Investment Data'!$C:$C = $A103, 'Fund Investment Data'!$A:$A = AB$1, 'Fund Investment Data'!$B:$B = 12),"""")"),"")</f>
        <v/>
      </c>
      <c r="AC103" t="str">
        <f>IFERROR(__xludf.DUMMYFUNCTION("IFERROR(FILTER('Fund Investment Data'!$D:$D, 'Fund Investment Data'!$C:$C = $A103, 'Fund Investment Data'!$A:$A = AC$1, 'Fund Investment Data'!$B:$B = 12),"""")"),"")</f>
        <v/>
      </c>
      <c r="AD103" t="str">
        <f>IFERROR(__xludf.DUMMYFUNCTION("IFERROR(FILTER('Fund Investment Data'!$D:$D, 'Fund Investment Data'!$C:$C = $A103, 'Fund Investment Data'!$A:$A = AD$1, 'Fund Investment Data'!$B:$B = 12),"""")"),"")</f>
        <v/>
      </c>
      <c r="AE103" t="str">
        <f>IFERROR(__xludf.DUMMYFUNCTION("IFERROR(FILTER('Fund Investment Data'!$D:$D, 'Fund Investment Data'!$C:$C = $A103, 'Fund Investment Data'!$A:$A = AE$1, 'Fund Investment Data'!$B:$B = 12),"""")"),"")</f>
        <v/>
      </c>
    </row>
    <row r="104">
      <c r="A104" s="150" t="str">
        <f>'Endowed Funds'!A:A</f>
        <v/>
      </c>
      <c r="B104" t="str">
        <f>IFERROR(__xludf.DUMMYFUNCTION("IFERROR(FILTER('Fund Investment Data'!$D:$D, 'Fund Investment Data'!$C:$C = $A104, 'Fund Investment Data'!$A:$A = B$1, 'Fund Investment Data'!$B:$B = 12),"""")"),"")</f>
        <v/>
      </c>
      <c r="C104" t="str">
        <f>IFERROR(__xludf.DUMMYFUNCTION("IFERROR(FILTER('Fund Investment Data'!$D:$D, 'Fund Investment Data'!$C:$C = $A104, 'Fund Investment Data'!$A:$A = C$1, 'Fund Investment Data'!$B:$B = 12),"""")"),"")</f>
        <v/>
      </c>
      <c r="D104" t="str">
        <f>IFERROR(__xludf.DUMMYFUNCTION("IFERROR(FILTER('Fund Investment Data'!$D:$D, 'Fund Investment Data'!$C:$C = $A104, 'Fund Investment Data'!$A:$A = D$1, 'Fund Investment Data'!$B:$B = 12),"""")"),"")</f>
        <v/>
      </c>
      <c r="E104" t="str">
        <f>IFERROR(__xludf.DUMMYFUNCTION("IFERROR(FILTER('Fund Investment Data'!$D:$D, 'Fund Investment Data'!$C:$C = $A104, 'Fund Investment Data'!$A:$A = E$1, 'Fund Investment Data'!$B:$B = 12),"""")"),"")</f>
        <v/>
      </c>
      <c r="F104" t="str">
        <f>IFERROR(__xludf.DUMMYFUNCTION("IFERROR(FILTER('Fund Investment Data'!$D:$D, 'Fund Investment Data'!$C:$C = $A104, 'Fund Investment Data'!$A:$A = F$1, 'Fund Investment Data'!$B:$B = 12),"""")"),"")</f>
        <v/>
      </c>
      <c r="G104" t="str">
        <f>IFERROR(__xludf.DUMMYFUNCTION("IFERROR(FILTER('Fund Investment Data'!$D:$D, 'Fund Investment Data'!$C:$C = $A104, 'Fund Investment Data'!$A:$A = G$1, 'Fund Investment Data'!$B:$B = 12),"""")"),"")</f>
        <v/>
      </c>
      <c r="H104" t="str">
        <f>IFERROR(__xludf.DUMMYFUNCTION("IFERROR(FILTER('Fund Investment Data'!$D:$D, 'Fund Investment Data'!$C:$C = $A104, 'Fund Investment Data'!$A:$A = H$1, 'Fund Investment Data'!$B:$B = 12),"""")"),"")</f>
        <v/>
      </c>
      <c r="I104" t="str">
        <f>IFERROR(__xludf.DUMMYFUNCTION("IFERROR(FILTER('Fund Investment Data'!$D:$D, 'Fund Investment Data'!$C:$C = $A104, 'Fund Investment Data'!$A:$A = I$1, 'Fund Investment Data'!$B:$B = 12),"""")"),"")</f>
        <v/>
      </c>
      <c r="J104" t="str">
        <f>IFERROR(__xludf.DUMMYFUNCTION("IFERROR(FILTER('Fund Investment Data'!$D:$D, 'Fund Investment Data'!$C:$C = $A104, 'Fund Investment Data'!$A:$A = J$1, 'Fund Investment Data'!$B:$B = 12),"""")"),"")</f>
        <v/>
      </c>
      <c r="K104" t="str">
        <f>IFERROR(__xludf.DUMMYFUNCTION("IFERROR(FILTER('Fund Investment Data'!$D:$D, 'Fund Investment Data'!$C:$C = $A104, 'Fund Investment Data'!$A:$A = K$1, 'Fund Investment Data'!$B:$B = 12),"""")"),"")</f>
        <v/>
      </c>
      <c r="L104" t="str">
        <f>IFERROR(__xludf.DUMMYFUNCTION("IFERROR(FILTER('Fund Investment Data'!$D:$D, 'Fund Investment Data'!$C:$C = $A104, 'Fund Investment Data'!$A:$A = L$1, 'Fund Investment Data'!$B:$B = 12),"""")"),"")</f>
        <v/>
      </c>
      <c r="M104" t="str">
        <f>IFERROR(__xludf.DUMMYFUNCTION("IFERROR(FILTER('Fund Investment Data'!$D:$D, 'Fund Investment Data'!$C:$C = $A104, 'Fund Investment Data'!$A:$A = M$1, 'Fund Investment Data'!$B:$B = 12),"""")"),"")</f>
        <v/>
      </c>
      <c r="N104" t="str">
        <f>IFERROR(__xludf.DUMMYFUNCTION("IFERROR(FILTER('Fund Investment Data'!$D:$D, 'Fund Investment Data'!$C:$C = $A104, 'Fund Investment Data'!$A:$A = N$1, 'Fund Investment Data'!$B:$B = 12),"""")"),"")</f>
        <v/>
      </c>
      <c r="O104" t="str">
        <f>IFERROR(__xludf.DUMMYFUNCTION("IFERROR(FILTER('Fund Investment Data'!$D:$D, 'Fund Investment Data'!$C:$C = $A104, 'Fund Investment Data'!$A:$A = O$1, 'Fund Investment Data'!$B:$B = 12),"""")"),"")</f>
        <v/>
      </c>
      <c r="P104" t="str">
        <f>IFERROR(__xludf.DUMMYFUNCTION("IFERROR(FILTER('Fund Investment Data'!$D:$D, 'Fund Investment Data'!$C:$C = $A104, 'Fund Investment Data'!$A:$A = P$1, 'Fund Investment Data'!$B:$B = 12),"""")"),"")</f>
        <v/>
      </c>
      <c r="Q104" t="str">
        <f>IFERROR(__xludf.DUMMYFUNCTION("IFERROR(FILTER('Fund Investment Data'!$D:$D, 'Fund Investment Data'!$C:$C = $A104, 'Fund Investment Data'!$A:$A = Q$1, 'Fund Investment Data'!$B:$B = 12),"""")"),"")</f>
        <v/>
      </c>
      <c r="R104" t="str">
        <f>IFERROR(__xludf.DUMMYFUNCTION("IFERROR(FILTER('Fund Investment Data'!$D:$D, 'Fund Investment Data'!$C:$C = $A104, 'Fund Investment Data'!$A:$A = R$1, 'Fund Investment Data'!$B:$B = 12),"""")"),"")</f>
        <v/>
      </c>
      <c r="S104" t="str">
        <f>IFERROR(__xludf.DUMMYFUNCTION("IFERROR(FILTER('Fund Investment Data'!$D:$D, 'Fund Investment Data'!$C:$C = $A104, 'Fund Investment Data'!$A:$A = S$1, 'Fund Investment Data'!$B:$B = 12),"""")"),"")</f>
        <v/>
      </c>
      <c r="T104" t="str">
        <f>IFERROR(__xludf.DUMMYFUNCTION("IFERROR(FILTER('Fund Investment Data'!$D:$D, 'Fund Investment Data'!$C:$C = $A104, 'Fund Investment Data'!$A:$A = T$1, 'Fund Investment Data'!$B:$B = 12),"""")"),"")</f>
        <v/>
      </c>
      <c r="U104" t="str">
        <f>IFERROR(__xludf.DUMMYFUNCTION("IFERROR(FILTER('Fund Investment Data'!$D:$D, 'Fund Investment Data'!$C:$C = $A104, 'Fund Investment Data'!$A:$A = U$1, 'Fund Investment Data'!$B:$B = 12),"""")"),"")</f>
        <v/>
      </c>
      <c r="V104" t="str">
        <f>IFERROR(__xludf.DUMMYFUNCTION("IFERROR(FILTER('Fund Investment Data'!$D:$D, 'Fund Investment Data'!$C:$C = $A104, 'Fund Investment Data'!$A:$A = V$1, 'Fund Investment Data'!$B:$B = 12),"""")"),"")</f>
        <v/>
      </c>
      <c r="W104" t="str">
        <f>IFERROR(__xludf.DUMMYFUNCTION("IFERROR(FILTER('Fund Investment Data'!$D:$D, 'Fund Investment Data'!$C:$C = $A104, 'Fund Investment Data'!$A:$A = W$1, 'Fund Investment Data'!$B:$B = 12),"""")"),"")</f>
        <v/>
      </c>
      <c r="X104" t="str">
        <f>IFERROR(__xludf.DUMMYFUNCTION("IFERROR(FILTER('Fund Investment Data'!$D:$D, 'Fund Investment Data'!$C:$C = $A104, 'Fund Investment Data'!$A:$A = X$1, 'Fund Investment Data'!$B:$B = 12),"""")"),"")</f>
        <v/>
      </c>
      <c r="Y104" t="str">
        <f>IFERROR(__xludf.DUMMYFUNCTION("IFERROR(FILTER('Fund Investment Data'!$D:$D, 'Fund Investment Data'!$C:$C = $A104, 'Fund Investment Data'!$A:$A = Y$1, 'Fund Investment Data'!$B:$B = 12),"""")"),"")</f>
        <v/>
      </c>
      <c r="Z104" t="str">
        <f>IFERROR(__xludf.DUMMYFUNCTION("IFERROR(FILTER('Fund Investment Data'!$D:$D, 'Fund Investment Data'!$C:$C = $A104, 'Fund Investment Data'!$A:$A = Z$1, 'Fund Investment Data'!$B:$B = 12),"""")"),"")</f>
        <v/>
      </c>
      <c r="AA104" t="str">
        <f>IFERROR(__xludf.DUMMYFUNCTION("IFERROR(FILTER('Fund Investment Data'!$D:$D, 'Fund Investment Data'!$C:$C = $A104, 'Fund Investment Data'!$A:$A = AA$1, 'Fund Investment Data'!$B:$B = 12),"""")"),"")</f>
        <v/>
      </c>
      <c r="AB104" t="str">
        <f>IFERROR(__xludf.DUMMYFUNCTION("IFERROR(FILTER('Fund Investment Data'!$D:$D, 'Fund Investment Data'!$C:$C = $A104, 'Fund Investment Data'!$A:$A = AB$1, 'Fund Investment Data'!$B:$B = 12),"""")"),"")</f>
        <v/>
      </c>
      <c r="AC104" t="str">
        <f>IFERROR(__xludf.DUMMYFUNCTION("IFERROR(FILTER('Fund Investment Data'!$D:$D, 'Fund Investment Data'!$C:$C = $A104, 'Fund Investment Data'!$A:$A = AC$1, 'Fund Investment Data'!$B:$B = 12),"""")"),"")</f>
        <v/>
      </c>
      <c r="AD104" t="str">
        <f>IFERROR(__xludf.DUMMYFUNCTION("IFERROR(FILTER('Fund Investment Data'!$D:$D, 'Fund Investment Data'!$C:$C = $A104, 'Fund Investment Data'!$A:$A = AD$1, 'Fund Investment Data'!$B:$B = 12),"""")"),"")</f>
        <v/>
      </c>
      <c r="AE104" t="str">
        <f>IFERROR(__xludf.DUMMYFUNCTION("IFERROR(FILTER('Fund Investment Data'!$D:$D, 'Fund Investment Data'!$C:$C = $A104, 'Fund Investment Data'!$A:$A = AE$1, 'Fund Investment Data'!$B:$B = 12),"""")"),"")</f>
        <v/>
      </c>
    </row>
    <row r="105">
      <c r="A105" s="150" t="str">
        <f>'Endowed Funds'!A:A</f>
        <v/>
      </c>
      <c r="B105" t="str">
        <f>IFERROR(__xludf.DUMMYFUNCTION("IFERROR(FILTER('Fund Investment Data'!$D:$D, 'Fund Investment Data'!$C:$C = $A105, 'Fund Investment Data'!$A:$A = B$1, 'Fund Investment Data'!$B:$B = 12),"""")"),"")</f>
        <v/>
      </c>
      <c r="C105" t="str">
        <f>IFERROR(__xludf.DUMMYFUNCTION("IFERROR(FILTER('Fund Investment Data'!$D:$D, 'Fund Investment Data'!$C:$C = $A105, 'Fund Investment Data'!$A:$A = C$1, 'Fund Investment Data'!$B:$B = 12),"""")"),"")</f>
        <v/>
      </c>
      <c r="D105" t="str">
        <f>IFERROR(__xludf.DUMMYFUNCTION("IFERROR(FILTER('Fund Investment Data'!$D:$D, 'Fund Investment Data'!$C:$C = $A105, 'Fund Investment Data'!$A:$A = D$1, 'Fund Investment Data'!$B:$B = 12),"""")"),"")</f>
        <v/>
      </c>
      <c r="E105" t="str">
        <f>IFERROR(__xludf.DUMMYFUNCTION("IFERROR(FILTER('Fund Investment Data'!$D:$D, 'Fund Investment Data'!$C:$C = $A105, 'Fund Investment Data'!$A:$A = E$1, 'Fund Investment Data'!$B:$B = 12),"""")"),"")</f>
        <v/>
      </c>
      <c r="F105" t="str">
        <f>IFERROR(__xludf.DUMMYFUNCTION("IFERROR(FILTER('Fund Investment Data'!$D:$D, 'Fund Investment Data'!$C:$C = $A105, 'Fund Investment Data'!$A:$A = F$1, 'Fund Investment Data'!$B:$B = 12),"""")"),"")</f>
        <v/>
      </c>
      <c r="G105" t="str">
        <f>IFERROR(__xludf.DUMMYFUNCTION("IFERROR(FILTER('Fund Investment Data'!$D:$D, 'Fund Investment Data'!$C:$C = $A105, 'Fund Investment Data'!$A:$A = G$1, 'Fund Investment Data'!$B:$B = 12),"""")"),"")</f>
        <v/>
      </c>
      <c r="H105" t="str">
        <f>IFERROR(__xludf.DUMMYFUNCTION("IFERROR(FILTER('Fund Investment Data'!$D:$D, 'Fund Investment Data'!$C:$C = $A105, 'Fund Investment Data'!$A:$A = H$1, 'Fund Investment Data'!$B:$B = 12),"""")"),"")</f>
        <v/>
      </c>
      <c r="I105" t="str">
        <f>IFERROR(__xludf.DUMMYFUNCTION("IFERROR(FILTER('Fund Investment Data'!$D:$D, 'Fund Investment Data'!$C:$C = $A105, 'Fund Investment Data'!$A:$A = I$1, 'Fund Investment Data'!$B:$B = 12),"""")"),"")</f>
        <v/>
      </c>
      <c r="J105" t="str">
        <f>IFERROR(__xludf.DUMMYFUNCTION("IFERROR(FILTER('Fund Investment Data'!$D:$D, 'Fund Investment Data'!$C:$C = $A105, 'Fund Investment Data'!$A:$A = J$1, 'Fund Investment Data'!$B:$B = 12),"""")"),"")</f>
        <v/>
      </c>
      <c r="K105" t="str">
        <f>IFERROR(__xludf.DUMMYFUNCTION("IFERROR(FILTER('Fund Investment Data'!$D:$D, 'Fund Investment Data'!$C:$C = $A105, 'Fund Investment Data'!$A:$A = K$1, 'Fund Investment Data'!$B:$B = 12),"""")"),"")</f>
        <v/>
      </c>
      <c r="L105" t="str">
        <f>IFERROR(__xludf.DUMMYFUNCTION("IFERROR(FILTER('Fund Investment Data'!$D:$D, 'Fund Investment Data'!$C:$C = $A105, 'Fund Investment Data'!$A:$A = L$1, 'Fund Investment Data'!$B:$B = 12),"""")"),"")</f>
        <v/>
      </c>
      <c r="M105" t="str">
        <f>IFERROR(__xludf.DUMMYFUNCTION("IFERROR(FILTER('Fund Investment Data'!$D:$D, 'Fund Investment Data'!$C:$C = $A105, 'Fund Investment Data'!$A:$A = M$1, 'Fund Investment Data'!$B:$B = 12),"""")"),"")</f>
        <v/>
      </c>
      <c r="N105" t="str">
        <f>IFERROR(__xludf.DUMMYFUNCTION("IFERROR(FILTER('Fund Investment Data'!$D:$D, 'Fund Investment Data'!$C:$C = $A105, 'Fund Investment Data'!$A:$A = N$1, 'Fund Investment Data'!$B:$B = 12),"""")"),"")</f>
        <v/>
      </c>
      <c r="O105" t="str">
        <f>IFERROR(__xludf.DUMMYFUNCTION("IFERROR(FILTER('Fund Investment Data'!$D:$D, 'Fund Investment Data'!$C:$C = $A105, 'Fund Investment Data'!$A:$A = O$1, 'Fund Investment Data'!$B:$B = 12),"""")"),"")</f>
        <v/>
      </c>
      <c r="P105" t="str">
        <f>IFERROR(__xludf.DUMMYFUNCTION("IFERROR(FILTER('Fund Investment Data'!$D:$D, 'Fund Investment Data'!$C:$C = $A105, 'Fund Investment Data'!$A:$A = P$1, 'Fund Investment Data'!$B:$B = 12),"""")"),"")</f>
        <v/>
      </c>
      <c r="Q105" t="str">
        <f>IFERROR(__xludf.DUMMYFUNCTION("IFERROR(FILTER('Fund Investment Data'!$D:$D, 'Fund Investment Data'!$C:$C = $A105, 'Fund Investment Data'!$A:$A = Q$1, 'Fund Investment Data'!$B:$B = 12),"""")"),"")</f>
        <v/>
      </c>
      <c r="R105" t="str">
        <f>IFERROR(__xludf.DUMMYFUNCTION("IFERROR(FILTER('Fund Investment Data'!$D:$D, 'Fund Investment Data'!$C:$C = $A105, 'Fund Investment Data'!$A:$A = R$1, 'Fund Investment Data'!$B:$B = 12),"""")"),"")</f>
        <v/>
      </c>
      <c r="S105" t="str">
        <f>IFERROR(__xludf.DUMMYFUNCTION("IFERROR(FILTER('Fund Investment Data'!$D:$D, 'Fund Investment Data'!$C:$C = $A105, 'Fund Investment Data'!$A:$A = S$1, 'Fund Investment Data'!$B:$B = 12),"""")"),"")</f>
        <v/>
      </c>
      <c r="T105" t="str">
        <f>IFERROR(__xludf.DUMMYFUNCTION("IFERROR(FILTER('Fund Investment Data'!$D:$D, 'Fund Investment Data'!$C:$C = $A105, 'Fund Investment Data'!$A:$A = T$1, 'Fund Investment Data'!$B:$B = 12),"""")"),"")</f>
        <v/>
      </c>
      <c r="U105" t="str">
        <f>IFERROR(__xludf.DUMMYFUNCTION("IFERROR(FILTER('Fund Investment Data'!$D:$D, 'Fund Investment Data'!$C:$C = $A105, 'Fund Investment Data'!$A:$A = U$1, 'Fund Investment Data'!$B:$B = 12),"""")"),"")</f>
        <v/>
      </c>
      <c r="V105" t="str">
        <f>IFERROR(__xludf.DUMMYFUNCTION("IFERROR(FILTER('Fund Investment Data'!$D:$D, 'Fund Investment Data'!$C:$C = $A105, 'Fund Investment Data'!$A:$A = V$1, 'Fund Investment Data'!$B:$B = 12),"""")"),"")</f>
        <v/>
      </c>
      <c r="W105" t="str">
        <f>IFERROR(__xludf.DUMMYFUNCTION("IFERROR(FILTER('Fund Investment Data'!$D:$D, 'Fund Investment Data'!$C:$C = $A105, 'Fund Investment Data'!$A:$A = W$1, 'Fund Investment Data'!$B:$B = 12),"""")"),"")</f>
        <v/>
      </c>
      <c r="X105" t="str">
        <f>IFERROR(__xludf.DUMMYFUNCTION("IFERROR(FILTER('Fund Investment Data'!$D:$D, 'Fund Investment Data'!$C:$C = $A105, 'Fund Investment Data'!$A:$A = X$1, 'Fund Investment Data'!$B:$B = 12),"""")"),"")</f>
        <v/>
      </c>
      <c r="Y105" t="str">
        <f>IFERROR(__xludf.DUMMYFUNCTION("IFERROR(FILTER('Fund Investment Data'!$D:$D, 'Fund Investment Data'!$C:$C = $A105, 'Fund Investment Data'!$A:$A = Y$1, 'Fund Investment Data'!$B:$B = 12),"""")"),"")</f>
        <v/>
      </c>
      <c r="Z105" t="str">
        <f>IFERROR(__xludf.DUMMYFUNCTION("IFERROR(FILTER('Fund Investment Data'!$D:$D, 'Fund Investment Data'!$C:$C = $A105, 'Fund Investment Data'!$A:$A = Z$1, 'Fund Investment Data'!$B:$B = 12),"""")"),"")</f>
        <v/>
      </c>
      <c r="AA105" t="str">
        <f>IFERROR(__xludf.DUMMYFUNCTION("IFERROR(FILTER('Fund Investment Data'!$D:$D, 'Fund Investment Data'!$C:$C = $A105, 'Fund Investment Data'!$A:$A = AA$1, 'Fund Investment Data'!$B:$B = 12),"""")"),"")</f>
        <v/>
      </c>
      <c r="AB105" t="str">
        <f>IFERROR(__xludf.DUMMYFUNCTION("IFERROR(FILTER('Fund Investment Data'!$D:$D, 'Fund Investment Data'!$C:$C = $A105, 'Fund Investment Data'!$A:$A = AB$1, 'Fund Investment Data'!$B:$B = 12),"""")"),"")</f>
        <v/>
      </c>
      <c r="AC105" t="str">
        <f>IFERROR(__xludf.DUMMYFUNCTION("IFERROR(FILTER('Fund Investment Data'!$D:$D, 'Fund Investment Data'!$C:$C = $A105, 'Fund Investment Data'!$A:$A = AC$1, 'Fund Investment Data'!$B:$B = 12),"""")"),"")</f>
        <v/>
      </c>
      <c r="AD105" t="str">
        <f>IFERROR(__xludf.DUMMYFUNCTION("IFERROR(FILTER('Fund Investment Data'!$D:$D, 'Fund Investment Data'!$C:$C = $A105, 'Fund Investment Data'!$A:$A = AD$1, 'Fund Investment Data'!$B:$B = 12),"""")"),"")</f>
        <v/>
      </c>
      <c r="AE105" t="str">
        <f>IFERROR(__xludf.DUMMYFUNCTION("IFERROR(FILTER('Fund Investment Data'!$D:$D, 'Fund Investment Data'!$C:$C = $A105, 'Fund Investment Data'!$A:$A = AE$1, 'Fund Investment Data'!$B:$B = 12),"""")"),"")</f>
        <v/>
      </c>
    </row>
    <row r="106">
      <c r="A106" s="150" t="str">
        <f>'Endowed Funds'!A:A</f>
        <v/>
      </c>
      <c r="B106" t="str">
        <f>IFERROR(__xludf.DUMMYFUNCTION("IFERROR(FILTER('Fund Investment Data'!$D:$D, 'Fund Investment Data'!$C:$C = $A106, 'Fund Investment Data'!$A:$A = B$1, 'Fund Investment Data'!$B:$B = 12),"""")"),"")</f>
        <v/>
      </c>
      <c r="C106" t="str">
        <f>IFERROR(__xludf.DUMMYFUNCTION("IFERROR(FILTER('Fund Investment Data'!$D:$D, 'Fund Investment Data'!$C:$C = $A106, 'Fund Investment Data'!$A:$A = C$1, 'Fund Investment Data'!$B:$B = 12),"""")"),"")</f>
        <v/>
      </c>
      <c r="D106" t="str">
        <f>IFERROR(__xludf.DUMMYFUNCTION("IFERROR(FILTER('Fund Investment Data'!$D:$D, 'Fund Investment Data'!$C:$C = $A106, 'Fund Investment Data'!$A:$A = D$1, 'Fund Investment Data'!$B:$B = 12),"""")"),"")</f>
        <v/>
      </c>
      <c r="E106" t="str">
        <f>IFERROR(__xludf.DUMMYFUNCTION("IFERROR(FILTER('Fund Investment Data'!$D:$D, 'Fund Investment Data'!$C:$C = $A106, 'Fund Investment Data'!$A:$A = E$1, 'Fund Investment Data'!$B:$B = 12),"""")"),"")</f>
        <v/>
      </c>
      <c r="F106" t="str">
        <f>IFERROR(__xludf.DUMMYFUNCTION("IFERROR(FILTER('Fund Investment Data'!$D:$D, 'Fund Investment Data'!$C:$C = $A106, 'Fund Investment Data'!$A:$A = F$1, 'Fund Investment Data'!$B:$B = 12),"""")"),"")</f>
        <v/>
      </c>
      <c r="G106" t="str">
        <f>IFERROR(__xludf.DUMMYFUNCTION("IFERROR(FILTER('Fund Investment Data'!$D:$D, 'Fund Investment Data'!$C:$C = $A106, 'Fund Investment Data'!$A:$A = G$1, 'Fund Investment Data'!$B:$B = 12),"""")"),"")</f>
        <v/>
      </c>
      <c r="H106" t="str">
        <f>IFERROR(__xludf.DUMMYFUNCTION("IFERROR(FILTER('Fund Investment Data'!$D:$D, 'Fund Investment Data'!$C:$C = $A106, 'Fund Investment Data'!$A:$A = H$1, 'Fund Investment Data'!$B:$B = 12),"""")"),"")</f>
        <v/>
      </c>
      <c r="I106" t="str">
        <f>IFERROR(__xludf.DUMMYFUNCTION("IFERROR(FILTER('Fund Investment Data'!$D:$D, 'Fund Investment Data'!$C:$C = $A106, 'Fund Investment Data'!$A:$A = I$1, 'Fund Investment Data'!$B:$B = 12),"""")"),"")</f>
        <v/>
      </c>
      <c r="J106" t="str">
        <f>IFERROR(__xludf.DUMMYFUNCTION("IFERROR(FILTER('Fund Investment Data'!$D:$D, 'Fund Investment Data'!$C:$C = $A106, 'Fund Investment Data'!$A:$A = J$1, 'Fund Investment Data'!$B:$B = 12),"""")"),"")</f>
        <v/>
      </c>
      <c r="K106" t="str">
        <f>IFERROR(__xludf.DUMMYFUNCTION("IFERROR(FILTER('Fund Investment Data'!$D:$D, 'Fund Investment Data'!$C:$C = $A106, 'Fund Investment Data'!$A:$A = K$1, 'Fund Investment Data'!$B:$B = 12),"""")"),"")</f>
        <v/>
      </c>
      <c r="L106" t="str">
        <f>IFERROR(__xludf.DUMMYFUNCTION("IFERROR(FILTER('Fund Investment Data'!$D:$D, 'Fund Investment Data'!$C:$C = $A106, 'Fund Investment Data'!$A:$A = L$1, 'Fund Investment Data'!$B:$B = 12),"""")"),"")</f>
        <v/>
      </c>
      <c r="M106" t="str">
        <f>IFERROR(__xludf.DUMMYFUNCTION("IFERROR(FILTER('Fund Investment Data'!$D:$D, 'Fund Investment Data'!$C:$C = $A106, 'Fund Investment Data'!$A:$A = M$1, 'Fund Investment Data'!$B:$B = 12),"""")"),"")</f>
        <v/>
      </c>
      <c r="N106" t="str">
        <f>IFERROR(__xludf.DUMMYFUNCTION("IFERROR(FILTER('Fund Investment Data'!$D:$D, 'Fund Investment Data'!$C:$C = $A106, 'Fund Investment Data'!$A:$A = N$1, 'Fund Investment Data'!$B:$B = 12),"""")"),"")</f>
        <v/>
      </c>
      <c r="O106" t="str">
        <f>IFERROR(__xludf.DUMMYFUNCTION("IFERROR(FILTER('Fund Investment Data'!$D:$D, 'Fund Investment Data'!$C:$C = $A106, 'Fund Investment Data'!$A:$A = O$1, 'Fund Investment Data'!$B:$B = 12),"""")"),"")</f>
        <v/>
      </c>
      <c r="P106" t="str">
        <f>IFERROR(__xludf.DUMMYFUNCTION("IFERROR(FILTER('Fund Investment Data'!$D:$D, 'Fund Investment Data'!$C:$C = $A106, 'Fund Investment Data'!$A:$A = P$1, 'Fund Investment Data'!$B:$B = 12),"""")"),"")</f>
        <v/>
      </c>
      <c r="Q106" t="str">
        <f>IFERROR(__xludf.DUMMYFUNCTION("IFERROR(FILTER('Fund Investment Data'!$D:$D, 'Fund Investment Data'!$C:$C = $A106, 'Fund Investment Data'!$A:$A = Q$1, 'Fund Investment Data'!$B:$B = 12),"""")"),"")</f>
        <v/>
      </c>
      <c r="R106" t="str">
        <f>IFERROR(__xludf.DUMMYFUNCTION("IFERROR(FILTER('Fund Investment Data'!$D:$D, 'Fund Investment Data'!$C:$C = $A106, 'Fund Investment Data'!$A:$A = R$1, 'Fund Investment Data'!$B:$B = 12),"""")"),"")</f>
        <v/>
      </c>
      <c r="S106" t="str">
        <f>IFERROR(__xludf.DUMMYFUNCTION("IFERROR(FILTER('Fund Investment Data'!$D:$D, 'Fund Investment Data'!$C:$C = $A106, 'Fund Investment Data'!$A:$A = S$1, 'Fund Investment Data'!$B:$B = 12),"""")"),"")</f>
        <v/>
      </c>
      <c r="T106" t="str">
        <f>IFERROR(__xludf.DUMMYFUNCTION("IFERROR(FILTER('Fund Investment Data'!$D:$D, 'Fund Investment Data'!$C:$C = $A106, 'Fund Investment Data'!$A:$A = T$1, 'Fund Investment Data'!$B:$B = 12),"""")"),"")</f>
        <v/>
      </c>
      <c r="U106" t="str">
        <f>IFERROR(__xludf.DUMMYFUNCTION("IFERROR(FILTER('Fund Investment Data'!$D:$D, 'Fund Investment Data'!$C:$C = $A106, 'Fund Investment Data'!$A:$A = U$1, 'Fund Investment Data'!$B:$B = 12),"""")"),"")</f>
        <v/>
      </c>
      <c r="V106" t="str">
        <f>IFERROR(__xludf.DUMMYFUNCTION("IFERROR(FILTER('Fund Investment Data'!$D:$D, 'Fund Investment Data'!$C:$C = $A106, 'Fund Investment Data'!$A:$A = V$1, 'Fund Investment Data'!$B:$B = 12),"""")"),"")</f>
        <v/>
      </c>
      <c r="W106" t="str">
        <f>IFERROR(__xludf.DUMMYFUNCTION("IFERROR(FILTER('Fund Investment Data'!$D:$D, 'Fund Investment Data'!$C:$C = $A106, 'Fund Investment Data'!$A:$A = W$1, 'Fund Investment Data'!$B:$B = 12),"""")"),"")</f>
        <v/>
      </c>
      <c r="X106" t="str">
        <f>IFERROR(__xludf.DUMMYFUNCTION("IFERROR(FILTER('Fund Investment Data'!$D:$D, 'Fund Investment Data'!$C:$C = $A106, 'Fund Investment Data'!$A:$A = X$1, 'Fund Investment Data'!$B:$B = 12),"""")"),"")</f>
        <v/>
      </c>
      <c r="Y106" t="str">
        <f>IFERROR(__xludf.DUMMYFUNCTION("IFERROR(FILTER('Fund Investment Data'!$D:$D, 'Fund Investment Data'!$C:$C = $A106, 'Fund Investment Data'!$A:$A = Y$1, 'Fund Investment Data'!$B:$B = 12),"""")"),"")</f>
        <v/>
      </c>
      <c r="Z106" t="str">
        <f>IFERROR(__xludf.DUMMYFUNCTION("IFERROR(FILTER('Fund Investment Data'!$D:$D, 'Fund Investment Data'!$C:$C = $A106, 'Fund Investment Data'!$A:$A = Z$1, 'Fund Investment Data'!$B:$B = 12),"""")"),"")</f>
        <v/>
      </c>
      <c r="AA106" t="str">
        <f>IFERROR(__xludf.DUMMYFUNCTION("IFERROR(FILTER('Fund Investment Data'!$D:$D, 'Fund Investment Data'!$C:$C = $A106, 'Fund Investment Data'!$A:$A = AA$1, 'Fund Investment Data'!$B:$B = 12),"""")"),"")</f>
        <v/>
      </c>
      <c r="AB106" t="str">
        <f>IFERROR(__xludf.DUMMYFUNCTION("IFERROR(FILTER('Fund Investment Data'!$D:$D, 'Fund Investment Data'!$C:$C = $A106, 'Fund Investment Data'!$A:$A = AB$1, 'Fund Investment Data'!$B:$B = 12),"""")"),"")</f>
        <v/>
      </c>
      <c r="AC106" t="str">
        <f>IFERROR(__xludf.DUMMYFUNCTION("IFERROR(FILTER('Fund Investment Data'!$D:$D, 'Fund Investment Data'!$C:$C = $A106, 'Fund Investment Data'!$A:$A = AC$1, 'Fund Investment Data'!$B:$B = 12),"""")"),"")</f>
        <v/>
      </c>
      <c r="AD106" t="str">
        <f>IFERROR(__xludf.DUMMYFUNCTION("IFERROR(FILTER('Fund Investment Data'!$D:$D, 'Fund Investment Data'!$C:$C = $A106, 'Fund Investment Data'!$A:$A = AD$1, 'Fund Investment Data'!$B:$B = 12),"""")"),"")</f>
        <v/>
      </c>
      <c r="AE106" t="str">
        <f>IFERROR(__xludf.DUMMYFUNCTION("IFERROR(FILTER('Fund Investment Data'!$D:$D, 'Fund Investment Data'!$C:$C = $A106, 'Fund Investment Data'!$A:$A = AE$1, 'Fund Investment Data'!$B:$B = 12),"""")"),"")</f>
        <v/>
      </c>
    </row>
    <row r="107">
      <c r="A107" s="150" t="str">
        <f>'Endowed Funds'!A:A</f>
        <v/>
      </c>
      <c r="B107" t="str">
        <f>IFERROR(__xludf.DUMMYFUNCTION("IFERROR(FILTER('Fund Investment Data'!$D:$D, 'Fund Investment Data'!$C:$C = $A107, 'Fund Investment Data'!$A:$A = B$1, 'Fund Investment Data'!$B:$B = 12),"""")"),"")</f>
        <v/>
      </c>
      <c r="C107" t="str">
        <f>IFERROR(__xludf.DUMMYFUNCTION("IFERROR(FILTER('Fund Investment Data'!$D:$D, 'Fund Investment Data'!$C:$C = $A107, 'Fund Investment Data'!$A:$A = C$1, 'Fund Investment Data'!$B:$B = 12),"""")"),"")</f>
        <v/>
      </c>
      <c r="D107" t="str">
        <f>IFERROR(__xludf.DUMMYFUNCTION("IFERROR(FILTER('Fund Investment Data'!$D:$D, 'Fund Investment Data'!$C:$C = $A107, 'Fund Investment Data'!$A:$A = D$1, 'Fund Investment Data'!$B:$B = 12),"""")"),"")</f>
        <v/>
      </c>
      <c r="E107" t="str">
        <f>IFERROR(__xludf.DUMMYFUNCTION("IFERROR(FILTER('Fund Investment Data'!$D:$D, 'Fund Investment Data'!$C:$C = $A107, 'Fund Investment Data'!$A:$A = E$1, 'Fund Investment Data'!$B:$B = 12),"""")"),"")</f>
        <v/>
      </c>
      <c r="F107" t="str">
        <f>IFERROR(__xludf.DUMMYFUNCTION("IFERROR(FILTER('Fund Investment Data'!$D:$D, 'Fund Investment Data'!$C:$C = $A107, 'Fund Investment Data'!$A:$A = F$1, 'Fund Investment Data'!$B:$B = 12),"""")"),"")</f>
        <v/>
      </c>
      <c r="G107" t="str">
        <f>IFERROR(__xludf.DUMMYFUNCTION("IFERROR(FILTER('Fund Investment Data'!$D:$D, 'Fund Investment Data'!$C:$C = $A107, 'Fund Investment Data'!$A:$A = G$1, 'Fund Investment Data'!$B:$B = 12),"""")"),"")</f>
        <v/>
      </c>
      <c r="H107" t="str">
        <f>IFERROR(__xludf.DUMMYFUNCTION("IFERROR(FILTER('Fund Investment Data'!$D:$D, 'Fund Investment Data'!$C:$C = $A107, 'Fund Investment Data'!$A:$A = H$1, 'Fund Investment Data'!$B:$B = 12),"""")"),"")</f>
        <v/>
      </c>
      <c r="I107" t="str">
        <f>IFERROR(__xludf.DUMMYFUNCTION("IFERROR(FILTER('Fund Investment Data'!$D:$D, 'Fund Investment Data'!$C:$C = $A107, 'Fund Investment Data'!$A:$A = I$1, 'Fund Investment Data'!$B:$B = 12),"""")"),"")</f>
        <v/>
      </c>
      <c r="J107" t="str">
        <f>IFERROR(__xludf.DUMMYFUNCTION("IFERROR(FILTER('Fund Investment Data'!$D:$D, 'Fund Investment Data'!$C:$C = $A107, 'Fund Investment Data'!$A:$A = J$1, 'Fund Investment Data'!$B:$B = 12),"""")"),"")</f>
        <v/>
      </c>
      <c r="K107" t="str">
        <f>IFERROR(__xludf.DUMMYFUNCTION("IFERROR(FILTER('Fund Investment Data'!$D:$D, 'Fund Investment Data'!$C:$C = $A107, 'Fund Investment Data'!$A:$A = K$1, 'Fund Investment Data'!$B:$B = 12),"""")"),"")</f>
        <v/>
      </c>
      <c r="L107" t="str">
        <f>IFERROR(__xludf.DUMMYFUNCTION("IFERROR(FILTER('Fund Investment Data'!$D:$D, 'Fund Investment Data'!$C:$C = $A107, 'Fund Investment Data'!$A:$A = L$1, 'Fund Investment Data'!$B:$B = 12),"""")"),"")</f>
        <v/>
      </c>
      <c r="M107" t="str">
        <f>IFERROR(__xludf.DUMMYFUNCTION("IFERROR(FILTER('Fund Investment Data'!$D:$D, 'Fund Investment Data'!$C:$C = $A107, 'Fund Investment Data'!$A:$A = M$1, 'Fund Investment Data'!$B:$B = 12),"""")"),"")</f>
        <v/>
      </c>
      <c r="N107" t="str">
        <f>IFERROR(__xludf.DUMMYFUNCTION("IFERROR(FILTER('Fund Investment Data'!$D:$D, 'Fund Investment Data'!$C:$C = $A107, 'Fund Investment Data'!$A:$A = N$1, 'Fund Investment Data'!$B:$B = 12),"""")"),"")</f>
        <v/>
      </c>
      <c r="O107" t="str">
        <f>IFERROR(__xludf.DUMMYFUNCTION("IFERROR(FILTER('Fund Investment Data'!$D:$D, 'Fund Investment Data'!$C:$C = $A107, 'Fund Investment Data'!$A:$A = O$1, 'Fund Investment Data'!$B:$B = 12),"""")"),"")</f>
        <v/>
      </c>
      <c r="P107" t="str">
        <f>IFERROR(__xludf.DUMMYFUNCTION("IFERROR(FILTER('Fund Investment Data'!$D:$D, 'Fund Investment Data'!$C:$C = $A107, 'Fund Investment Data'!$A:$A = P$1, 'Fund Investment Data'!$B:$B = 12),"""")"),"")</f>
        <v/>
      </c>
      <c r="Q107" t="str">
        <f>IFERROR(__xludf.DUMMYFUNCTION("IFERROR(FILTER('Fund Investment Data'!$D:$D, 'Fund Investment Data'!$C:$C = $A107, 'Fund Investment Data'!$A:$A = Q$1, 'Fund Investment Data'!$B:$B = 12),"""")"),"")</f>
        <v/>
      </c>
      <c r="R107" t="str">
        <f>IFERROR(__xludf.DUMMYFUNCTION("IFERROR(FILTER('Fund Investment Data'!$D:$D, 'Fund Investment Data'!$C:$C = $A107, 'Fund Investment Data'!$A:$A = R$1, 'Fund Investment Data'!$B:$B = 12),"""")"),"")</f>
        <v/>
      </c>
      <c r="S107" t="str">
        <f>IFERROR(__xludf.DUMMYFUNCTION("IFERROR(FILTER('Fund Investment Data'!$D:$D, 'Fund Investment Data'!$C:$C = $A107, 'Fund Investment Data'!$A:$A = S$1, 'Fund Investment Data'!$B:$B = 12),"""")"),"")</f>
        <v/>
      </c>
      <c r="T107" t="str">
        <f>IFERROR(__xludf.DUMMYFUNCTION("IFERROR(FILTER('Fund Investment Data'!$D:$D, 'Fund Investment Data'!$C:$C = $A107, 'Fund Investment Data'!$A:$A = T$1, 'Fund Investment Data'!$B:$B = 12),"""")"),"")</f>
        <v/>
      </c>
      <c r="U107" t="str">
        <f>IFERROR(__xludf.DUMMYFUNCTION("IFERROR(FILTER('Fund Investment Data'!$D:$D, 'Fund Investment Data'!$C:$C = $A107, 'Fund Investment Data'!$A:$A = U$1, 'Fund Investment Data'!$B:$B = 12),"""")"),"")</f>
        <v/>
      </c>
      <c r="V107" t="str">
        <f>IFERROR(__xludf.DUMMYFUNCTION("IFERROR(FILTER('Fund Investment Data'!$D:$D, 'Fund Investment Data'!$C:$C = $A107, 'Fund Investment Data'!$A:$A = V$1, 'Fund Investment Data'!$B:$B = 12),"""")"),"")</f>
        <v/>
      </c>
      <c r="W107" t="str">
        <f>IFERROR(__xludf.DUMMYFUNCTION("IFERROR(FILTER('Fund Investment Data'!$D:$D, 'Fund Investment Data'!$C:$C = $A107, 'Fund Investment Data'!$A:$A = W$1, 'Fund Investment Data'!$B:$B = 12),"""")"),"")</f>
        <v/>
      </c>
      <c r="X107" t="str">
        <f>IFERROR(__xludf.DUMMYFUNCTION("IFERROR(FILTER('Fund Investment Data'!$D:$D, 'Fund Investment Data'!$C:$C = $A107, 'Fund Investment Data'!$A:$A = X$1, 'Fund Investment Data'!$B:$B = 12),"""")"),"")</f>
        <v/>
      </c>
      <c r="Y107" t="str">
        <f>IFERROR(__xludf.DUMMYFUNCTION("IFERROR(FILTER('Fund Investment Data'!$D:$D, 'Fund Investment Data'!$C:$C = $A107, 'Fund Investment Data'!$A:$A = Y$1, 'Fund Investment Data'!$B:$B = 12),"""")"),"")</f>
        <v/>
      </c>
      <c r="Z107" t="str">
        <f>IFERROR(__xludf.DUMMYFUNCTION("IFERROR(FILTER('Fund Investment Data'!$D:$D, 'Fund Investment Data'!$C:$C = $A107, 'Fund Investment Data'!$A:$A = Z$1, 'Fund Investment Data'!$B:$B = 12),"""")"),"")</f>
        <v/>
      </c>
      <c r="AA107" t="str">
        <f>IFERROR(__xludf.DUMMYFUNCTION("IFERROR(FILTER('Fund Investment Data'!$D:$D, 'Fund Investment Data'!$C:$C = $A107, 'Fund Investment Data'!$A:$A = AA$1, 'Fund Investment Data'!$B:$B = 12),"""")"),"")</f>
        <v/>
      </c>
      <c r="AB107" t="str">
        <f>IFERROR(__xludf.DUMMYFUNCTION("IFERROR(FILTER('Fund Investment Data'!$D:$D, 'Fund Investment Data'!$C:$C = $A107, 'Fund Investment Data'!$A:$A = AB$1, 'Fund Investment Data'!$B:$B = 12),"""")"),"")</f>
        <v/>
      </c>
      <c r="AC107" t="str">
        <f>IFERROR(__xludf.DUMMYFUNCTION("IFERROR(FILTER('Fund Investment Data'!$D:$D, 'Fund Investment Data'!$C:$C = $A107, 'Fund Investment Data'!$A:$A = AC$1, 'Fund Investment Data'!$B:$B = 12),"""")"),"")</f>
        <v/>
      </c>
      <c r="AD107" t="str">
        <f>IFERROR(__xludf.DUMMYFUNCTION("IFERROR(FILTER('Fund Investment Data'!$D:$D, 'Fund Investment Data'!$C:$C = $A107, 'Fund Investment Data'!$A:$A = AD$1, 'Fund Investment Data'!$B:$B = 12),"""")"),"")</f>
        <v/>
      </c>
      <c r="AE107" t="str">
        <f>IFERROR(__xludf.DUMMYFUNCTION("IFERROR(FILTER('Fund Investment Data'!$D:$D, 'Fund Investment Data'!$C:$C = $A107, 'Fund Investment Data'!$A:$A = AE$1, 'Fund Investment Data'!$B:$B = 12),"""")"),"")</f>
        <v/>
      </c>
    </row>
    <row r="108">
      <c r="A108" s="150" t="str">
        <f>'Endowed Funds'!A:A</f>
        <v/>
      </c>
      <c r="B108" t="str">
        <f>IFERROR(__xludf.DUMMYFUNCTION("IFERROR(FILTER('Fund Investment Data'!$D:$D, 'Fund Investment Data'!$C:$C = $A108, 'Fund Investment Data'!$A:$A = B$1, 'Fund Investment Data'!$B:$B = 12),"""")"),"")</f>
        <v/>
      </c>
      <c r="C108" t="str">
        <f>IFERROR(__xludf.DUMMYFUNCTION("IFERROR(FILTER('Fund Investment Data'!$D:$D, 'Fund Investment Data'!$C:$C = $A108, 'Fund Investment Data'!$A:$A = C$1, 'Fund Investment Data'!$B:$B = 12),"""")"),"")</f>
        <v/>
      </c>
      <c r="D108" t="str">
        <f>IFERROR(__xludf.DUMMYFUNCTION("IFERROR(FILTER('Fund Investment Data'!$D:$D, 'Fund Investment Data'!$C:$C = $A108, 'Fund Investment Data'!$A:$A = D$1, 'Fund Investment Data'!$B:$B = 12),"""")"),"")</f>
        <v/>
      </c>
      <c r="E108" t="str">
        <f>IFERROR(__xludf.DUMMYFUNCTION("IFERROR(FILTER('Fund Investment Data'!$D:$D, 'Fund Investment Data'!$C:$C = $A108, 'Fund Investment Data'!$A:$A = E$1, 'Fund Investment Data'!$B:$B = 12),"""")"),"")</f>
        <v/>
      </c>
      <c r="F108" t="str">
        <f>IFERROR(__xludf.DUMMYFUNCTION("IFERROR(FILTER('Fund Investment Data'!$D:$D, 'Fund Investment Data'!$C:$C = $A108, 'Fund Investment Data'!$A:$A = F$1, 'Fund Investment Data'!$B:$B = 12),"""")"),"")</f>
        <v/>
      </c>
      <c r="G108" t="str">
        <f>IFERROR(__xludf.DUMMYFUNCTION("IFERROR(FILTER('Fund Investment Data'!$D:$D, 'Fund Investment Data'!$C:$C = $A108, 'Fund Investment Data'!$A:$A = G$1, 'Fund Investment Data'!$B:$B = 12),"""")"),"")</f>
        <v/>
      </c>
      <c r="H108" t="str">
        <f>IFERROR(__xludf.DUMMYFUNCTION("IFERROR(FILTER('Fund Investment Data'!$D:$D, 'Fund Investment Data'!$C:$C = $A108, 'Fund Investment Data'!$A:$A = H$1, 'Fund Investment Data'!$B:$B = 12),"""")"),"")</f>
        <v/>
      </c>
      <c r="I108" t="str">
        <f>IFERROR(__xludf.DUMMYFUNCTION("IFERROR(FILTER('Fund Investment Data'!$D:$D, 'Fund Investment Data'!$C:$C = $A108, 'Fund Investment Data'!$A:$A = I$1, 'Fund Investment Data'!$B:$B = 12),"""")"),"")</f>
        <v/>
      </c>
      <c r="J108" t="str">
        <f>IFERROR(__xludf.DUMMYFUNCTION("IFERROR(FILTER('Fund Investment Data'!$D:$D, 'Fund Investment Data'!$C:$C = $A108, 'Fund Investment Data'!$A:$A = J$1, 'Fund Investment Data'!$B:$B = 12),"""")"),"")</f>
        <v/>
      </c>
      <c r="K108" t="str">
        <f>IFERROR(__xludf.DUMMYFUNCTION("IFERROR(FILTER('Fund Investment Data'!$D:$D, 'Fund Investment Data'!$C:$C = $A108, 'Fund Investment Data'!$A:$A = K$1, 'Fund Investment Data'!$B:$B = 12),"""")"),"")</f>
        <v/>
      </c>
      <c r="L108" t="str">
        <f>IFERROR(__xludf.DUMMYFUNCTION("IFERROR(FILTER('Fund Investment Data'!$D:$D, 'Fund Investment Data'!$C:$C = $A108, 'Fund Investment Data'!$A:$A = L$1, 'Fund Investment Data'!$B:$B = 12),"""")"),"")</f>
        <v/>
      </c>
      <c r="M108" t="str">
        <f>IFERROR(__xludf.DUMMYFUNCTION("IFERROR(FILTER('Fund Investment Data'!$D:$D, 'Fund Investment Data'!$C:$C = $A108, 'Fund Investment Data'!$A:$A = M$1, 'Fund Investment Data'!$B:$B = 12),"""")"),"")</f>
        <v/>
      </c>
      <c r="N108" t="str">
        <f>IFERROR(__xludf.DUMMYFUNCTION("IFERROR(FILTER('Fund Investment Data'!$D:$D, 'Fund Investment Data'!$C:$C = $A108, 'Fund Investment Data'!$A:$A = N$1, 'Fund Investment Data'!$B:$B = 12),"""")"),"")</f>
        <v/>
      </c>
      <c r="O108" t="str">
        <f>IFERROR(__xludf.DUMMYFUNCTION("IFERROR(FILTER('Fund Investment Data'!$D:$D, 'Fund Investment Data'!$C:$C = $A108, 'Fund Investment Data'!$A:$A = O$1, 'Fund Investment Data'!$B:$B = 12),"""")"),"")</f>
        <v/>
      </c>
      <c r="P108" t="str">
        <f>IFERROR(__xludf.DUMMYFUNCTION("IFERROR(FILTER('Fund Investment Data'!$D:$D, 'Fund Investment Data'!$C:$C = $A108, 'Fund Investment Data'!$A:$A = P$1, 'Fund Investment Data'!$B:$B = 12),"""")"),"")</f>
        <v/>
      </c>
      <c r="Q108" t="str">
        <f>IFERROR(__xludf.DUMMYFUNCTION("IFERROR(FILTER('Fund Investment Data'!$D:$D, 'Fund Investment Data'!$C:$C = $A108, 'Fund Investment Data'!$A:$A = Q$1, 'Fund Investment Data'!$B:$B = 12),"""")"),"")</f>
        <v/>
      </c>
      <c r="R108" t="str">
        <f>IFERROR(__xludf.DUMMYFUNCTION("IFERROR(FILTER('Fund Investment Data'!$D:$D, 'Fund Investment Data'!$C:$C = $A108, 'Fund Investment Data'!$A:$A = R$1, 'Fund Investment Data'!$B:$B = 12),"""")"),"")</f>
        <v/>
      </c>
      <c r="S108" t="str">
        <f>IFERROR(__xludf.DUMMYFUNCTION("IFERROR(FILTER('Fund Investment Data'!$D:$D, 'Fund Investment Data'!$C:$C = $A108, 'Fund Investment Data'!$A:$A = S$1, 'Fund Investment Data'!$B:$B = 12),"""")"),"")</f>
        <v/>
      </c>
      <c r="T108" t="str">
        <f>IFERROR(__xludf.DUMMYFUNCTION("IFERROR(FILTER('Fund Investment Data'!$D:$D, 'Fund Investment Data'!$C:$C = $A108, 'Fund Investment Data'!$A:$A = T$1, 'Fund Investment Data'!$B:$B = 12),"""")"),"")</f>
        <v/>
      </c>
      <c r="U108" t="str">
        <f>IFERROR(__xludf.DUMMYFUNCTION("IFERROR(FILTER('Fund Investment Data'!$D:$D, 'Fund Investment Data'!$C:$C = $A108, 'Fund Investment Data'!$A:$A = U$1, 'Fund Investment Data'!$B:$B = 12),"""")"),"")</f>
        <v/>
      </c>
      <c r="V108" t="str">
        <f>IFERROR(__xludf.DUMMYFUNCTION("IFERROR(FILTER('Fund Investment Data'!$D:$D, 'Fund Investment Data'!$C:$C = $A108, 'Fund Investment Data'!$A:$A = V$1, 'Fund Investment Data'!$B:$B = 12),"""")"),"")</f>
        <v/>
      </c>
      <c r="W108" t="str">
        <f>IFERROR(__xludf.DUMMYFUNCTION("IFERROR(FILTER('Fund Investment Data'!$D:$D, 'Fund Investment Data'!$C:$C = $A108, 'Fund Investment Data'!$A:$A = W$1, 'Fund Investment Data'!$B:$B = 12),"""")"),"")</f>
        <v/>
      </c>
      <c r="X108" t="str">
        <f>IFERROR(__xludf.DUMMYFUNCTION("IFERROR(FILTER('Fund Investment Data'!$D:$D, 'Fund Investment Data'!$C:$C = $A108, 'Fund Investment Data'!$A:$A = X$1, 'Fund Investment Data'!$B:$B = 12),"""")"),"")</f>
        <v/>
      </c>
      <c r="Y108" t="str">
        <f>IFERROR(__xludf.DUMMYFUNCTION("IFERROR(FILTER('Fund Investment Data'!$D:$D, 'Fund Investment Data'!$C:$C = $A108, 'Fund Investment Data'!$A:$A = Y$1, 'Fund Investment Data'!$B:$B = 12),"""")"),"")</f>
        <v/>
      </c>
      <c r="Z108" t="str">
        <f>IFERROR(__xludf.DUMMYFUNCTION("IFERROR(FILTER('Fund Investment Data'!$D:$D, 'Fund Investment Data'!$C:$C = $A108, 'Fund Investment Data'!$A:$A = Z$1, 'Fund Investment Data'!$B:$B = 12),"""")"),"")</f>
        <v/>
      </c>
      <c r="AA108" t="str">
        <f>IFERROR(__xludf.DUMMYFUNCTION("IFERROR(FILTER('Fund Investment Data'!$D:$D, 'Fund Investment Data'!$C:$C = $A108, 'Fund Investment Data'!$A:$A = AA$1, 'Fund Investment Data'!$B:$B = 12),"""")"),"")</f>
        <v/>
      </c>
      <c r="AB108" t="str">
        <f>IFERROR(__xludf.DUMMYFUNCTION("IFERROR(FILTER('Fund Investment Data'!$D:$D, 'Fund Investment Data'!$C:$C = $A108, 'Fund Investment Data'!$A:$A = AB$1, 'Fund Investment Data'!$B:$B = 12),"""")"),"")</f>
        <v/>
      </c>
      <c r="AC108" t="str">
        <f>IFERROR(__xludf.DUMMYFUNCTION("IFERROR(FILTER('Fund Investment Data'!$D:$D, 'Fund Investment Data'!$C:$C = $A108, 'Fund Investment Data'!$A:$A = AC$1, 'Fund Investment Data'!$B:$B = 12),"""")"),"")</f>
        <v/>
      </c>
      <c r="AD108" t="str">
        <f>IFERROR(__xludf.DUMMYFUNCTION("IFERROR(FILTER('Fund Investment Data'!$D:$D, 'Fund Investment Data'!$C:$C = $A108, 'Fund Investment Data'!$A:$A = AD$1, 'Fund Investment Data'!$B:$B = 12),"""")"),"")</f>
        <v/>
      </c>
      <c r="AE108" t="str">
        <f>IFERROR(__xludf.DUMMYFUNCTION("IFERROR(FILTER('Fund Investment Data'!$D:$D, 'Fund Investment Data'!$C:$C = $A108, 'Fund Investment Data'!$A:$A = AE$1, 'Fund Investment Data'!$B:$B = 12),"""")"),"")</f>
        <v/>
      </c>
    </row>
    <row r="109">
      <c r="A109" s="150" t="str">
        <f>'Endowed Funds'!A:A</f>
        <v/>
      </c>
      <c r="B109" t="str">
        <f>IFERROR(__xludf.DUMMYFUNCTION("IFERROR(FILTER('Fund Investment Data'!$D:$D, 'Fund Investment Data'!$C:$C = $A109, 'Fund Investment Data'!$A:$A = B$1, 'Fund Investment Data'!$B:$B = 12),"""")"),"")</f>
        <v/>
      </c>
      <c r="C109" t="str">
        <f>IFERROR(__xludf.DUMMYFUNCTION("IFERROR(FILTER('Fund Investment Data'!$D:$D, 'Fund Investment Data'!$C:$C = $A109, 'Fund Investment Data'!$A:$A = C$1, 'Fund Investment Data'!$B:$B = 12),"""")"),"")</f>
        <v/>
      </c>
      <c r="D109" t="str">
        <f>IFERROR(__xludf.DUMMYFUNCTION("IFERROR(FILTER('Fund Investment Data'!$D:$D, 'Fund Investment Data'!$C:$C = $A109, 'Fund Investment Data'!$A:$A = D$1, 'Fund Investment Data'!$B:$B = 12),"""")"),"")</f>
        <v/>
      </c>
      <c r="E109" t="str">
        <f>IFERROR(__xludf.DUMMYFUNCTION("IFERROR(FILTER('Fund Investment Data'!$D:$D, 'Fund Investment Data'!$C:$C = $A109, 'Fund Investment Data'!$A:$A = E$1, 'Fund Investment Data'!$B:$B = 12),"""")"),"")</f>
        <v/>
      </c>
      <c r="F109" t="str">
        <f>IFERROR(__xludf.DUMMYFUNCTION("IFERROR(FILTER('Fund Investment Data'!$D:$D, 'Fund Investment Data'!$C:$C = $A109, 'Fund Investment Data'!$A:$A = F$1, 'Fund Investment Data'!$B:$B = 12),"""")"),"")</f>
        <v/>
      </c>
      <c r="G109" t="str">
        <f>IFERROR(__xludf.DUMMYFUNCTION("IFERROR(FILTER('Fund Investment Data'!$D:$D, 'Fund Investment Data'!$C:$C = $A109, 'Fund Investment Data'!$A:$A = G$1, 'Fund Investment Data'!$B:$B = 12),"""")"),"")</f>
        <v/>
      </c>
      <c r="H109" t="str">
        <f>IFERROR(__xludf.DUMMYFUNCTION("IFERROR(FILTER('Fund Investment Data'!$D:$D, 'Fund Investment Data'!$C:$C = $A109, 'Fund Investment Data'!$A:$A = H$1, 'Fund Investment Data'!$B:$B = 12),"""")"),"")</f>
        <v/>
      </c>
      <c r="I109" t="str">
        <f>IFERROR(__xludf.DUMMYFUNCTION("IFERROR(FILTER('Fund Investment Data'!$D:$D, 'Fund Investment Data'!$C:$C = $A109, 'Fund Investment Data'!$A:$A = I$1, 'Fund Investment Data'!$B:$B = 12),"""")"),"")</f>
        <v/>
      </c>
      <c r="J109" t="str">
        <f>IFERROR(__xludf.DUMMYFUNCTION("IFERROR(FILTER('Fund Investment Data'!$D:$D, 'Fund Investment Data'!$C:$C = $A109, 'Fund Investment Data'!$A:$A = J$1, 'Fund Investment Data'!$B:$B = 12),"""")"),"")</f>
        <v/>
      </c>
      <c r="K109" t="str">
        <f>IFERROR(__xludf.DUMMYFUNCTION("IFERROR(FILTER('Fund Investment Data'!$D:$D, 'Fund Investment Data'!$C:$C = $A109, 'Fund Investment Data'!$A:$A = K$1, 'Fund Investment Data'!$B:$B = 12),"""")"),"")</f>
        <v/>
      </c>
      <c r="L109" t="str">
        <f>IFERROR(__xludf.DUMMYFUNCTION("IFERROR(FILTER('Fund Investment Data'!$D:$D, 'Fund Investment Data'!$C:$C = $A109, 'Fund Investment Data'!$A:$A = L$1, 'Fund Investment Data'!$B:$B = 12),"""")"),"")</f>
        <v/>
      </c>
      <c r="M109" t="str">
        <f>IFERROR(__xludf.DUMMYFUNCTION("IFERROR(FILTER('Fund Investment Data'!$D:$D, 'Fund Investment Data'!$C:$C = $A109, 'Fund Investment Data'!$A:$A = M$1, 'Fund Investment Data'!$B:$B = 12),"""")"),"")</f>
        <v/>
      </c>
      <c r="N109" t="str">
        <f>IFERROR(__xludf.DUMMYFUNCTION("IFERROR(FILTER('Fund Investment Data'!$D:$D, 'Fund Investment Data'!$C:$C = $A109, 'Fund Investment Data'!$A:$A = N$1, 'Fund Investment Data'!$B:$B = 12),"""")"),"")</f>
        <v/>
      </c>
      <c r="O109" t="str">
        <f>IFERROR(__xludf.DUMMYFUNCTION("IFERROR(FILTER('Fund Investment Data'!$D:$D, 'Fund Investment Data'!$C:$C = $A109, 'Fund Investment Data'!$A:$A = O$1, 'Fund Investment Data'!$B:$B = 12),"""")"),"")</f>
        <v/>
      </c>
      <c r="P109" t="str">
        <f>IFERROR(__xludf.DUMMYFUNCTION("IFERROR(FILTER('Fund Investment Data'!$D:$D, 'Fund Investment Data'!$C:$C = $A109, 'Fund Investment Data'!$A:$A = P$1, 'Fund Investment Data'!$B:$B = 12),"""")"),"")</f>
        <v/>
      </c>
      <c r="Q109" t="str">
        <f>IFERROR(__xludf.DUMMYFUNCTION("IFERROR(FILTER('Fund Investment Data'!$D:$D, 'Fund Investment Data'!$C:$C = $A109, 'Fund Investment Data'!$A:$A = Q$1, 'Fund Investment Data'!$B:$B = 12),"""")"),"")</f>
        <v/>
      </c>
      <c r="R109" t="str">
        <f>IFERROR(__xludf.DUMMYFUNCTION("IFERROR(FILTER('Fund Investment Data'!$D:$D, 'Fund Investment Data'!$C:$C = $A109, 'Fund Investment Data'!$A:$A = R$1, 'Fund Investment Data'!$B:$B = 12),"""")"),"")</f>
        <v/>
      </c>
      <c r="S109" t="str">
        <f>IFERROR(__xludf.DUMMYFUNCTION("IFERROR(FILTER('Fund Investment Data'!$D:$D, 'Fund Investment Data'!$C:$C = $A109, 'Fund Investment Data'!$A:$A = S$1, 'Fund Investment Data'!$B:$B = 12),"""")"),"")</f>
        <v/>
      </c>
      <c r="T109" t="str">
        <f>IFERROR(__xludf.DUMMYFUNCTION("IFERROR(FILTER('Fund Investment Data'!$D:$D, 'Fund Investment Data'!$C:$C = $A109, 'Fund Investment Data'!$A:$A = T$1, 'Fund Investment Data'!$B:$B = 12),"""")"),"")</f>
        <v/>
      </c>
      <c r="U109" t="str">
        <f>IFERROR(__xludf.DUMMYFUNCTION("IFERROR(FILTER('Fund Investment Data'!$D:$D, 'Fund Investment Data'!$C:$C = $A109, 'Fund Investment Data'!$A:$A = U$1, 'Fund Investment Data'!$B:$B = 12),"""")"),"")</f>
        <v/>
      </c>
      <c r="V109" t="str">
        <f>IFERROR(__xludf.DUMMYFUNCTION("IFERROR(FILTER('Fund Investment Data'!$D:$D, 'Fund Investment Data'!$C:$C = $A109, 'Fund Investment Data'!$A:$A = V$1, 'Fund Investment Data'!$B:$B = 12),"""")"),"")</f>
        <v/>
      </c>
      <c r="W109" t="str">
        <f>IFERROR(__xludf.DUMMYFUNCTION("IFERROR(FILTER('Fund Investment Data'!$D:$D, 'Fund Investment Data'!$C:$C = $A109, 'Fund Investment Data'!$A:$A = W$1, 'Fund Investment Data'!$B:$B = 12),"""")"),"")</f>
        <v/>
      </c>
      <c r="X109" t="str">
        <f>IFERROR(__xludf.DUMMYFUNCTION("IFERROR(FILTER('Fund Investment Data'!$D:$D, 'Fund Investment Data'!$C:$C = $A109, 'Fund Investment Data'!$A:$A = X$1, 'Fund Investment Data'!$B:$B = 12),"""")"),"")</f>
        <v/>
      </c>
      <c r="Y109" t="str">
        <f>IFERROR(__xludf.DUMMYFUNCTION("IFERROR(FILTER('Fund Investment Data'!$D:$D, 'Fund Investment Data'!$C:$C = $A109, 'Fund Investment Data'!$A:$A = Y$1, 'Fund Investment Data'!$B:$B = 12),"""")"),"")</f>
        <v/>
      </c>
      <c r="Z109" t="str">
        <f>IFERROR(__xludf.DUMMYFUNCTION("IFERROR(FILTER('Fund Investment Data'!$D:$D, 'Fund Investment Data'!$C:$C = $A109, 'Fund Investment Data'!$A:$A = Z$1, 'Fund Investment Data'!$B:$B = 12),"""")"),"")</f>
        <v/>
      </c>
      <c r="AA109" t="str">
        <f>IFERROR(__xludf.DUMMYFUNCTION("IFERROR(FILTER('Fund Investment Data'!$D:$D, 'Fund Investment Data'!$C:$C = $A109, 'Fund Investment Data'!$A:$A = AA$1, 'Fund Investment Data'!$B:$B = 12),"""")"),"")</f>
        <v/>
      </c>
      <c r="AB109" t="str">
        <f>IFERROR(__xludf.DUMMYFUNCTION("IFERROR(FILTER('Fund Investment Data'!$D:$D, 'Fund Investment Data'!$C:$C = $A109, 'Fund Investment Data'!$A:$A = AB$1, 'Fund Investment Data'!$B:$B = 12),"""")"),"")</f>
        <v/>
      </c>
      <c r="AC109" t="str">
        <f>IFERROR(__xludf.DUMMYFUNCTION("IFERROR(FILTER('Fund Investment Data'!$D:$D, 'Fund Investment Data'!$C:$C = $A109, 'Fund Investment Data'!$A:$A = AC$1, 'Fund Investment Data'!$B:$B = 12),"""")"),"")</f>
        <v/>
      </c>
      <c r="AD109" t="str">
        <f>IFERROR(__xludf.DUMMYFUNCTION("IFERROR(FILTER('Fund Investment Data'!$D:$D, 'Fund Investment Data'!$C:$C = $A109, 'Fund Investment Data'!$A:$A = AD$1, 'Fund Investment Data'!$B:$B = 12),"""")"),"")</f>
        <v/>
      </c>
      <c r="AE109" t="str">
        <f>IFERROR(__xludf.DUMMYFUNCTION("IFERROR(FILTER('Fund Investment Data'!$D:$D, 'Fund Investment Data'!$C:$C = $A109, 'Fund Investment Data'!$A:$A = AE$1, 'Fund Investment Data'!$B:$B = 12),"""")"),"")</f>
        <v/>
      </c>
    </row>
    <row r="110">
      <c r="A110" s="150" t="str">
        <f>'Endowed Funds'!A:A</f>
        <v/>
      </c>
      <c r="B110" t="str">
        <f>IFERROR(__xludf.DUMMYFUNCTION("IFERROR(FILTER('Fund Investment Data'!$D:$D, 'Fund Investment Data'!$C:$C = $A110, 'Fund Investment Data'!$A:$A = B$1, 'Fund Investment Data'!$B:$B = 12),"""")"),"")</f>
        <v/>
      </c>
      <c r="C110" t="str">
        <f>IFERROR(__xludf.DUMMYFUNCTION("IFERROR(FILTER('Fund Investment Data'!$D:$D, 'Fund Investment Data'!$C:$C = $A110, 'Fund Investment Data'!$A:$A = C$1, 'Fund Investment Data'!$B:$B = 12),"""")"),"")</f>
        <v/>
      </c>
      <c r="D110" t="str">
        <f>IFERROR(__xludf.DUMMYFUNCTION("IFERROR(FILTER('Fund Investment Data'!$D:$D, 'Fund Investment Data'!$C:$C = $A110, 'Fund Investment Data'!$A:$A = D$1, 'Fund Investment Data'!$B:$B = 12),"""")"),"")</f>
        <v/>
      </c>
      <c r="E110" t="str">
        <f>IFERROR(__xludf.DUMMYFUNCTION("IFERROR(FILTER('Fund Investment Data'!$D:$D, 'Fund Investment Data'!$C:$C = $A110, 'Fund Investment Data'!$A:$A = E$1, 'Fund Investment Data'!$B:$B = 12),"""")"),"")</f>
        <v/>
      </c>
      <c r="F110" t="str">
        <f>IFERROR(__xludf.DUMMYFUNCTION("IFERROR(FILTER('Fund Investment Data'!$D:$D, 'Fund Investment Data'!$C:$C = $A110, 'Fund Investment Data'!$A:$A = F$1, 'Fund Investment Data'!$B:$B = 12),"""")"),"")</f>
        <v/>
      </c>
      <c r="G110" t="str">
        <f>IFERROR(__xludf.DUMMYFUNCTION("IFERROR(FILTER('Fund Investment Data'!$D:$D, 'Fund Investment Data'!$C:$C = $A110, 'Fund Investment Data'!$A:$A = G$1, 'Fund Investment Data'!$B:$B = 12),"""")"),"")</f>
        <v/>
      </c>
      <c r="H110" t="str">
        <f>IFERROR(__xludf.DUMMYFUNCTION("IFERROR(FILTER('Fund Investment Data'!$D:$D, 'Fund Investment Data'!$C:$C = $A110, 'Fund Investment Data'!$A:$A = H$1, 'Fund Investment Data'!$B:$B = 12),"""")"),"")</f>
        <v/>
      </c>
      <c r="I110" t="str">
        <f>IFERROR(__xludf.DUMMYFUNCTION("IFERROR(FILTER('Fund Investment Data'!$D:$D, 'Fund Investment Data'!$C:$C = $A110, 'Fund Investment Data'!$A:$A = I$1, 'Fund Investment Data'!$B:$B = 12),"""")"),"")</f>
        <v/>
      </c>
      <c r="J110" t="str">
        <f>IFERROR(__xludf.DUMMYFUNCTION("IFERROR(FILTER('Fund Investment Data'!$D:$D, 'Fund Investment Data'!$C:$C = $A110, 'Fund Investment Data'!$A:$A = J$1, 'Fund Investment Data'!$B:$B = 12),"""")"),"")</f>
        <v/>
      </c>
      <c r="K110" t="str">
        <f>IFERROR(__xludf.DUMMYFUNCTION("IFERROR(FILTER('Fund Investment Data'!$D:$D, 'Fund Investment Data'!$C:$C = $A110, 'Fund Investment Data'!$A:$A = K$1, 'Fund Investment Data'!$B:$B = 12),"""")"),"")</f>
        <v/>
      </c>
      <c r="L110" t="str">
        <f>IFERROR(__xludf.DUMMYFUNCTION("IFERROR(FILTER('Fund Investment Data'!$D:$D, 'Fund Investment Data'!$C:$C = $A110, 'Fund Investment Data'!$A:$A = L$1, 'Fund Investment Data'!$B:$B = 12),"""")"),"")</f>
        <v/>
      </c>
      <c r="M110" t="str">
        <f>IFERROR(__xludf.DUMMYFUNCTION("IFERROR(FILTER('Fund Investment Data'!$D:$D, 'Fund Investment Data'!$C:$C = $A110, 'Fund Investment Data'!$A:$A = M$1, 'Fund Investment Data'!$B:$B = 12),"""")"),"")</f>
        <v/>
      </c>
      <c r="N110" t="str">
        <f>IFERROR(__xludf.DUMMYFUNCTION("IFERROR(FILTER('Fund Investment Data'!$D:$D, 'Fund Investment Data'!$C:$C = $A110, 'Fund Investment Data'!$A:$A = N$1, 'Fund Investment Data'!$B:$B = 12),"""")"),"")</f>
        <v/>
      </c>
      <c r="O110" t="str">
        <f>IFERROR(__xludf.DUMMYFUNCTION("IFERROR(FILTER('Fund Investment Data'!$D:$D, 'Fund Investment Data'!$C:$C = $A110, 'Fund Investment Data'!$A:$A = O$1, 'Fund Investment Data'!$B:$B = 12),"""")"),"")</f>
        <v/>
      </c>
      <c r="P110" t="str">
        <f>IFERROR(__xludf.DUMMYFUNCTION("IFERROR(FILTER('Fund Investment Data'!$D:$D, 'Fund Investment Data'!$C:$C = $A110, 'Fund Investment Data'!$A:$A = P$1, 'Fund Investment Data'!$B:$B = 12),"""")"),"")</f>
        <v/>
      </c>
      <c r="Q110" t="str">
        <f>IFERROR(__xludf.DUMMYFUNCTION("IFERROR(FILTER('Fund Investment Data'!$D:$D, 'Fund Investment Data'!$C:$C = $A110, 'Fund Investment Data'!$A:$A = Q$1, 'Fund Investment Data'!$B:$B = 12),"""")"),"")</f>
        <v/>
      </c>
      <c r="R110" t="str">
        <f>IFERROR(__xludf.DUMMYFUNCTION("IFERROR(FILTER('Fund Investment Data'!$D:$D, 'Fund Investment Data'!$C:$C = $A110, 'Fund Investment Data'!$A:$A = R$1, 'Fund Investment Data'!$B:$B = 12),"""")"),"")</f>
        <v/>
      </c>
      <c r="S110" t="str">
        <f>IFERROR(__xludf.DUMMYFUNCTION("IFERROR(FILTER('Fund Investment Data'!$D:$D, 'Fund Investment Data'!$C:$C = $A110, 'Fund Investment Data'!$A:$A = S$1, 'Fund Investment Data'!$B:$B = 12),"""")"),"")</f>
        <v/>
      </c>
      <c r="T110" t="str">
        <f>IFERROR(__xludf.DUMMYFUNCTION("IFERROR(FILTER('Fund Investment Data'!$D:$D, 'Fund Investment Data'!$C:$C = $A110, 'Fund Investment Data'!$A:$A = T$1, 'Fund Investment Data'!$B:$B = 12),"""")"),"")</f>
        <v/>
      </c>
      <c r="U110" t="str">
        <f>IFERROR(__xludf.DUMMYFUNCTION("IFERROR(FILTER('Fund Investment Data'!$D:$D, 'Fund Investment Data'!$C:$C = $A110, 'Fund Investment Data'!$A:$A = U$1, 'Fund Investment Data'!$B:$B = 12),"""")"),"")</f>
        <v/>
      </c>
      <c r="V110" t="str">
        <f>IFERROR(__xludf.DUMMYFUNCTION("IFERROR(FILTER('Fund Investment Data'!$D:$D, 'Fund Investment Data'!$C:$C = $A110, 'Fund Investment Data'!$A:$A = V$1, 'Fund Investment Data'!$B:$B = 12),"""")"),"")</f>
        <v/>
      </c>
      <c r="W110" t="str">
        <f>IFERROR(__xludf.DUMMYFUNCTION("IFERROR(FILTER('Fund Investment Data'!$D:$D, 'Fund Investment Data'!$C:$C = $A110, 'Fund Investment Data'!$A:$A = W$1, 'Fund Investment Data'!$B:$B = 12),"""")"),"")</f>
        <v/>
      </c>
      <c r="X110" t="str">
        <f>IFERROR(__xludf.DUMMYFUNCTION("IFERROR(FILTER('Fund Investment Data'!$D:$D, 'Fund Investment Data'!$C:$C = $A110, 'Fund Investment Data'!$A:$A = X$1, 'Fund Investment Data'!$B:$B = 12),"""")"),"")</f>
        <v/>
      </c>
      <c r="Y110" t="str">
        <f>IFERROR(__xludf.DUMMYFUNCTION("IFERROR(FILTER('Fund Investment Data'!$D:$D, 'Fund Investment Data'!$C:$C = $A110, 'Fund Investment Data'!$A:$A = Y$1, 'Fund Investment Data'!$B:$B = 12),"""")"),"")</f>
        <v/>
      </c>
      <c r="Z110" t="str">
        <f>IFERROR(__xludf.DUMMYFUNCTION("IFERROR(FILTER('Fund Investment Data'!$D:$D, 'Fund Investment Data'!$C:$C = $A110, 'Fund Investment Data'!$A:$A = Z$1, 'Fund Investment Data'!$B:$B = 12),"""")"),"")</f>
        <v/>
      </c>
      <c r="AA110" t="str">
        <f>IFERROR(__xludf.DUMMYFUNCTION("IFERROR(FILTER('Fund Investment Data'!$D:$D, 'Fund Investment Data'!$C:$C = $A110, 'Fund Investment Data'!$A:$A = AA$1, 'Fund Investment Data'!$B:$B = 12),"""")"),"")</f>
        <v/>
      </c>
      <c r="AB110" t="str">
        <f>IFERROR(__xludf.DUMMYFUNCTION("IFERROR(FILTER('Fund Investment Data'!$D:$D, 'Fund Investment Data'!$C:$C = $A110, 'Fund Investment Data'!$A:$A = AB$1, 'Fund Investment Data'!$B:$B = 12),"""")"),"")</f>
        <v/>
      </c>
      <c r="AC110" t="str">
        <f>IFERROR(__xludf.DUMMYFUNCTION("IFERROR(FILTER('Fund Investment Data'!$D:$D, 'Fund Investment Data'!$C:$C = $A110, 'Fund Investment Data'!$A:$A = AC$1, 'Fund Investment Data'!$B:$B = 12),"""")"),"")</f>
        <v/>
      </c>
      <c r="AD110" t="str">
        <f>IFERROR(__xludf.DUMMYFUNCTION("IFERROR(FILTER('Fund Investment Data'!$D:$D, 'Fund Investment Data'!$C:$C = $A110, 'Fund Investment Data'!$A:$A = AD$1, 'Fund Investment Data'!$B:$B = 12),"""")"),"")</f>
        <v/>
      </c>
      <c r="AE110" t="str">
        <f>IFERROR(__xludf.DUMMYFUNCTION("IFERROR(FILTER('Fund Investment Data'!$D:$D, 'Fund Investment Data'!$C:$C = $A110, 'Fund Investment Data'!$A:$A = AE$1, 'Fund Investment Data'!$B:$B = 12),"""")"),"")</f>
        <v/>
      </c>
    </row>
    <row r="111">
      <c r="A111" s="150" t="str">
        <f>'Endowed Funds'!A:A</f>
        <v/>
      </c>
      <c r="B111" t="str">
        <f>IFERROR(__xludf.DUMMYFUNCTION("IFERROR(FILTER('Fund Investment Data'!$D:$D, 'Fund Investment Data'!$C:$C = $A111, 'Fund Investment Data'!$A:$A = B$1, 'Fund Investment Data'!$B:$B = 12),"""")"),"")</f>
        <v/>
      </c>
      <c r="C111" t="str">
        <f>IFERROR(__xludf.DUMMYFUNCTION("IFERROR(FILTER('Fund Investment Data'!$D:$D, 'Fund Investment Data'!$C:$C = $A111, 'Fund Investment Data'!$A:$A = C$1, 'Fund Investment Data'!$B:$B = 12),"""")"),"")</f>
        <v/>
      </c>
      <c r="D111" t="str">
        <f>IFERROR(__xludf.DUMMYFUNCTION("IFERROR(FILTER('Fund Investment Data'!$D:$D, 'Fund Investment Data'!$C:$C = $A111, 'Fund Investment Data'!$A:$A = D$1, 'Fund Investment Data'!$B:$B = 12),"""")"),"")</f>
        <v/>
      </c>
      <c r="E111" t="str">
        <f>IFERROR(__xludf.DUMMYFUNCTION("IFERROR(FILTER('Fund Investment Data'!$D:$D, 'Fund Investment Data'!$C:$C = $A111, 'Fund Investment Data'!$A:$A = E$1, 'Fund Investment Data'!$B:$B = 12),"""")"),"")</f>
        <v/>
      </c>
      <c r="F111" t="str">
        <f>IFERROR(__xludf.DUMMYFUNCTION("IFERROR(FILTER('Fund Investment Data'!$D:$D, 'Fund Investment Data'!$C:$C = $A111, 'Fund Investment Data'!$A:$A = F$1, 'Fund Investment Data'!$B:$B = 12),"""")"),"")</f>
        <v/>
      </c>
      <c r="G111" t="str">
        <f>IFERROR(__xludf.DUMMYFUNCTION("IFERROR(FILTER('Fund Investment Data'!$D:$D, 'Fund Investment Data'!$C:$C = $A111, 'Fund Investment Data'!$A:$A = G$1, 'Fund Investment Data'!$B:$B = 12),"""")"),"")</f>
        <v/>
      </c>
      <c r="H111" t="str">
        <f>IFERROR(__xludf.DUMMYFUNCTION("IFERROR(FILTER('Fund Investment Data'!$D:$D, 'Fund Investment Data'!$C:$C = $A111, 'Fund Investment Data'!$A:$A = H$1, 'Fund Investment Data'!$B:$B = 12),"""")"),"")</f>
        <v/>
      </c>
      <c r="I111" t="str">
        <f>IFERROR(__xludf.DUMMYFUNCTION("IFERROR(FILTER('Fund Investment Data'!$D:$D, 'Fund Investment Data'!$C:$C = $A111, 'Fund Investment Data'!$A:$A = I$1, 'Fund Investment Data'!$B:$B = 12),"""")"),"")</f>
        <v/>
      </c>
      <c r="J111" t="str">
        <f>IFERROR(__xludf.DUMMYFUNCTION("IFERROR(FILTER('Fund Investment Data'!$D:$D, 'Fund Investment Data'!$C:$C = $A111, 'Fund Investment Data'!$A:$A = J$1, 'Fund Investment Data'!$B:$B = 12),"""")"),"")</f>
        <v/>
      </c>
      <c r="K111" t="str">
        <f>IFERROR(__xludf.DUMMYFUNCTION("IFERROR(FILTER('Fund Investment Data'!$D:$D, 'Fund Investment Data'!$C:$C = $A111, 'Fund Investment Data'!$A:$A = K$1, 'Fund Investment Data'!$B:$B = 12),"""")"),"")</f>
        <v/>
      </c>
      <c r="L111" t="str">
        <f>IFERROR(__xludf.DUMMYFUNCTION("IFERROR(FILTER('Fund Investment Data'!$D:$D, 'Fund Investment Data'!$C:$C = $A111, 'Fund Investment Data'!$A:$A = L$1, 'Fund Investment Data'!$B:$B = 12),"""")"),"")</f>
        <v/>
      </c>
      <c r="M111" t="str">
        <f>IFERROR(__xludf.DUMMYFUNCTION("IFERROR(FILTER('Fund Investment Data'!$D:$D, 'Fund Investment Data'!$C:$C = $A111, 'Fund Investment Data'!$A:$A = M$1, 'Fund Investment Data'!$B:$B = 12),"""")"),"")</f>
        <v/>
      </c>
      <c r="N111" t="str">
        <f>IFERROR(__xludf.DUMMYFUNCTION("IFERROR(FILTER('Fund Investment Data'!$D:$D, 'Fund Investment Data'!$C:$C = $A111, 'Fund Investment Data'!$A:$A = N$1, 'Fund Investment Data'!$B:$B = 12),"""")"),"")</f>
        <v/>
      </c>
      <c r="O111" t="str">
        <f>IFERROR(__xludf.DUMMYFUNCTION("IFERROR(FILTER('Fund Investment Data'!$D:$D, 'Fund Investment Data'!$C:$C = $A111, 'Fund Investment Data'!$A:$A = O$1, 'Fund Investment Data'!$B:$B = 12),"""")"),"")</f>
        <v/>
      </c>
      <c r="P111" t="str">
        <f>IFERROR(__xludf.DUMMYFUNCTION("IFERROR(FILTER('Fund Investment Data'!$D:$D, 'Fund Investment Data'!$C:$C = $A111, 'Fund Investment Data'!$A:$A = P$1, 'Fund Investment Data'!$B:$B = 12),"""")"),"")</f>
        <v/>
      </c>
      <c r="Q111" t="str">
        <f>IFERROR(__xludf.DUMMYFUNCTION("IFERROR(FILTER('Fund Investment Data'!$D:$D, 'Fund Investment Data'!$C:$C = $A111, 'Fund Investment Data'!$A:$A = Q$1, 'Fund Investment Data'!$B:$B = 12),"""")"),"")</f>
        <v/>
      </c>
      <c r="R111" t="str">
        <f>IFERROR(__xludf.DUMMYFUNCTION("IFERROR(FILTER('Fund Investment Data'!$D:$D, 'Fund Investment Data'!$C:$C = $A111, 'Fund Investment Data'!$A:$A = R$1, 'Fund Investment Data'!$B:$B = 12),"""")"),"")</f>
        <v/>
      </c>
      <c r="S111" t="str">
        <f>IFERROR(__xludf.DUMMYFUNCTION("IFERROR(FILTER('Fund Investment Data'!$D:$D, 'Fund Investment Data'!$C:$C = $A111, 'Fund Investment Data'!$A:$A = S$1, 'Fund Investment Data'!$B:$B = 12),"""")"),"")</f>
        <v/>
      </c>
      <c r="T111" t="str">
        <f>IFERROR(__xludf.DUMMYFUNCTION("IFERROR(FILTER('Fund Investment Data'!$D:$D, 'Fund Investment Data'!$C:$C = $A111, 'Fund Investment Data'!$A:$A = T$1, 'Fund Investment Data'!$B:$B = 12),"""")"),"")</f>
        <v/>
      </c>
      <c r="U111" t="str">
        <f>IFERROR(__xludf.DUMMYFUNCTION("IFERROR(FILTER('Fund Investment Data'!$D:$D, 'Fund Investment Data'!$C:$C = $A111, 'Fund Investment Data'!$A:$A = U$1, 'Fund Investment Data'!$B:$B = 12),"""")"),"")</f>
        <v/>
      </c>
      <c r="V111" t="str">
        <f>IFERROR(__xludf.DUMMYFUNCTION("IFERROR(FILTER('Fund Investment Data'!$D:$D, 'Fund Investment Data'!$C:$C = $A111, 'Fund Investment Data'!$A:$A = V$1, 'Fund Investment Data'!$B:$B = 12),"""")"),"")</f>
        <v/>
      </c>
      <c r="W111" t="str">
        <f>IFERROR(__xludf.DUMMYFUNCTION("IFERROR(FILTER('Fund Investment Data'!$D:$D, 'Fund Investment Data'!$C:$C = $A111, 'Fund Investment Data'!$A:$A = W$1, 'Fund Investment Data'!$B:$B = 12),"""")"),"")</f>
        <v/>
      </c>
      <c r="X111" t="str">
        <f>IFERROR(__xludf.DUMMYFUNCTION("IFERROR(FILTER('Fund Investment Data'!$D:$D, 'Fund Investment Data'!$C:$C = $A111, 'Fund Investment Data'!$A:$A = X$1, 'Fund Investment Data'!$B:$B = 12),"""")"),"")</f>
        <v/>
      </c>
      <c r="Y111" t="str">
        <f>IFERROR(__xludf.DUMMYFUNCTION("IFERROR(FILTER('Fund Investment Data'!$D:$D, 'Fund Investment Data'!$C:$C = $A111, 'Fund Investment Data'!$A:$A = Y$1, 'Fund Investment Data'!$B:$B = 12),"""")"),"")</f>
        <v/>
      </c>
      <c r="Z111" t="str">
        <f>IFERROR(__xludf.DUMMYFUNCTION("IFERROR(FILTER('Fund Investment Data'!$D:$D, 'Fund Investment Data'!$C:$C = $A111, 'Fund Investment Data'!$A:$A = Z$1, 'Fund Investment Data'!$B:$B = 12),"""")"),"")</f>
        <v/>
      </c>
      <c r="AA111" t="str">
        <f>IFERROR(__xludf.DUMMYFUNCTION("IFERROR(FILTER('Fund Investment Data'!$D:$D, 'Fund Investment Data'!$C:$C = $A111, 'Fund Investment Data'!$A:$A = AA$1, 'Fund Investment Data'!$B:$B = 12),"""")"),"")</f>
        <v/>
      </c>
      <c r="AB111" t="str">
        <f>IFERROR(__xludf.DUMMYFUNCTION("IFERROR(FILTER('Fund Investment Data'!$D:$D, 'Fund Investment Data'!$C:$C = $A111, 'Fund Investment Data'!$A:$A = AB$1, 'Fund Investment Data'!$B:$B = 12),"""")"),"")</f>
        <v/>
      </c>
      <c r="AC111" t="str">
        <f>IFERROR(__xludf.DUMMYFUNCTION("IFERROR(FILTER('Fund Investment Data'!$D:$D, 'Fund Investment Data'!$C:$C = $A111, 'Fund Investment Data'!$A:$A = AC$1, 'Fund Investment Data'!$B:$B = 12),"""")"),"")</f>
        <v/>
      </c>
      <c r="AD111" t="str">
        <f>IFERROR(__xludf.DUMMYFUNCTION("IFERROR(FILTER('Fund Investment Data'!$D:$D, 'Fund Investment Data'!$C:$C = $A111, 'Fund Investment Data'!$A:$A = AD$1, 'Fund Investment Data'!$B:$B = 12),"""")"),"")</f>
        <v/>
      </c>
      <c r="AE111" t="str">
        <f>IFERROR(__xludf.DUMMYFUNCTION("IFERROR(FILTER('Fund Investment Data'!$D:$D, 'Fund Investment Data'!$C:$C = $A111, 'Fund Investment Data'!$A:$A = AE$1, 'Fund Investment Data'!$B:$B = 12),"""")"),"")</f>
        <v/>
      </c>
    </row>
    <row r="112">
      <c r="A112" s="150" t="str">
        <f>'Endowed Funds'!A:A</f>
        <v/>
      </c>
      <c r="B112" t="str">
        <f>IFERROR(__xludf.DUMMYFUNCTION("IFERROR(FILTER('Fund Investment Data'!$D:$D, 'Fund Investment Data'!$C:$C = $A112, 'Fund Investment Data'!$A:$A = B$1, 'Fund Investment Data'!$B:$B = 12),"""")"),"")</f>
        <v/>
      </c>
      <c r="C112" t="str">
        <f>IFERROR(__xludf.DUMMYFUNCTION("IFERROR(FILTER('Fund Investment Data'!$D:$D, 'Fund Investment Data'!$C:$C = $A112, 'Fund Investment Data'!$A:$A = C$1, 'Fund Investment Data'!$B:$B = 12),"""")"),"")</f>
        <v/>
      </c>
      <c r="D112" t="str">
        <f>IFERROR(__xludf.DUMMYFUNCTION("IFERROR(FILTER('Fund Investment Data'!$D:$D, 'Fund Investment Data'!$C:$C = $A112, 'Fund Investment Data'!$A:$A = D$1, 'Fund Investment Data'!$B:$B = 12),"""")"),"")</f>
        <v/>
      </c>
      <c r="E112" t="str">
        <f>IFERROR(__xludf.DUMMYFUNCTION("IFERROR(FILTER('Fund Investment Data'!$D:$D, 'Fund Investment Data'!$C:$C = $A112, 'Fund Investment Data'!$A:$A = E$1, 'Fund Investment Data'!$B:$B = 12),"""")"),"")</f>
        <v/>
      </c>
      <c r="F112" t="str">
        <f>IFERROR(__xludf.DUMMYFUNCTION("IFERROR(FILTER('Fund Investment Data'!$D:$D, 'Fund Investment Data'!$C:$C = $A112, 'Fund Investment Data'!$A:$A = F$1, 'Fund Investment Data'!$B:$B = 12),"""")"),"")</f>
        <v/>
      </c>
      <c r="G112" t="str">
        <f>IFERROR(__xludf.DUMMYFUNCTION("IFERROR(FILTER('Fund Investment Data'!$D:$D, 'Fund Investment Data'!$C:$C = $A112, 'Fund Investment Data'!$A:$A = G$1, 'Fund Investment Data'!$B:$B = 12),"""")"),"")</f>
        <v/>
      </c>
      <c r="H112" t="str">
        <f>IFERROR(__xludf.DUMMYFUNCTION("IFERROR(FILTER('Fund Investment Data'!$D:$D, 'Fund Investment Data'!$C:$C = $A112, 'Fund Investment Data'!$A:$A = H$1, 'Fund Investment Data'!$B:$B = 12),"""")"),"")</f>
        <v/>
      </c>
      <c r="I112" t="str">
        <f>IFERROR(__xludf.DUMMYFUNCTION("IFERROR(FILTER('Fund Investment Data'!$D:$D, 'Fund Investment Data'!$C:$C = $A112, 'Fund Investment Data'!$A:$A = I$1, 'Fund Investment Data'!$B:$B = 12),"""")"),"")</f>
        <v/>
      </c>
      <c r="J112" t="str">
        <f>IFERROR(__xludf.DUMMYFUNCTION("IFERROR(FILTER('Fund Investment Data'!$D:$D, 'Fund Investment Data'!$C:$C = $A112, 'Fund Investment Data'!$A:$A = J$1, 'Fund Investment Data'!$B:$B = 12),"""")"),"")</f>
        <v/>
      </c>
      <c r="K112" t="str">
        <f>IFERROR(__xludf.DUMMYFUNCTION("IFERROR(FILTER('Fund Investment Data'!$D:$D, 'Fund Investment Data'!$C:$C = $A112, 'Fund Investment Data'!$A:$A = K$1, 'Fund Investment Data'!$B:$B = 12),"""")"),"")</f>
        <v/>
      </c>
      <c r="L112" t="str">
        <f>IFERROR(__xludf.DUMMYFUNCTION("IFERROR(FILTER('Fund Investment Data'!$D:$D, 'Fund Investment Data'!$C:$C = $A112, 'Fund Investment Data'!$A:$A = L$1, 'Fund Investment Data'!$B:$B = 12),"""")"),"")</f>
        <v/>
      </c>
      <c r="M112" t="str">
        <f>IFERROR(__xludf.DUMMYFUNCTION("IFERROR(FILTER('Fund Investment Data'!$D:$D, 'Fund Investment Data'!$C:$C = $A112, 'Fund Investment Data'!$A:$A = M$1, 'Fund Investment Data'!$B:$B = 12),"""")"),"")</f>
        <v/>
      </c>
      <c r="N112" t="str">
        <f>IFERROR(__xludf.DUMMYFUNCTION("IFERROR(FILTER('Fund Investment Data'!$D:$D, 'Fund Investment Data'!$C:$C = $A112, 'Fund Investment Data'!$A:$A = N$1, 'Fund Investment Data'!$B:$B = 12),"""")"),"")</f>
        <v/>
      </c>
      <c r="O112" t="str">
        <f>IFERROR(__xludf.DUMMYFUNCTION("IFERROR(FILTER('Fund Investment Data'!$D:$D, 'Fund Investment Data'!$C:$C = $A112, 'Fund Investment Data'!$A:$A = O$1, 'Fund Investment Data'!$B:$B = 12),"""")"),"")</f>
        <v/>
      </c>
      <c r="P112" t="str">
        <f>IFERROR(__xludf.DUMMYFUNCTION("IFERROR(FILTER('Fund Investment Data'!$D:$D, 'Fund Investment Data'!$C:$C = $A112, 'Fund Investment Data'!$A:$A = P$1, 'Fund Investment Data'!$B:$B = 12),"""")"),"")</f>
        <v/>
      </c>
      <c r="Q112" t="str">
        <f>IFERROR(__xludf.DUMMYFUNCTION("IFERROR(FILTER('Fund Investment Data'!$D:$D, 'Fund Investment Data'!$C:$C = $A112, 'Fund Investment Data'!$A:$A = Q$1, 'Fund Investment Data'!$B:$B = 12),"""")"),"")</f>
        <v/>
      </c>
      <c r="R112" t="str">
        <f>IFERROR(__xludf.DUMMYFUNCTION("IFERROR(FILTER('Fund Investment Data'!$D:$D, 'Fund Investment Data'!$C:$C = $A112, 'Fund Investment Data'!$A:$A = R$1, 'Fund Investment Data'!$B:$B = 12),"""")"),"")</f>
        <v/>
      </c>
      <c r="S112" t="str">
        <f>IFERROR(__xludf.DUMMYFUNCTION("IFERROR(FILTER('Fund Investment Data'!$D:$D, 'Fund Investment Data'!$C:$C = $A112, 'Fund Investment Data'!$A:$A = S$1, 'Fund Investment Data'!$B:$B = 12),"""")"),"")</f>
        <v/>
      </c>
      <c r="T112" t="str">
        <f>IFERROR(__xludf.DUMMYFUNCTION("IFERROR(FILTER('Fund Investment Data'!$D:$D, 'Fund Investment Data'!$C:$C = $A112, 'Fund Investment Data'!$A:$A = T$1, 'Fund Investment Data'!$B:$B = 12),"""")"),"")</f>
        <v/>
      </c>
      <c r="U112" t="str">
        <f>IFERROR(__xludf.DUMMYFUNCTION("IFERROR(FILTER('Fund Investment Data'!$D:$D, 'Fund Investment Data'!$C:$C = $A112, 'Fund Investment Data'!$A:$A = U$1, 'Fund Investment Data'!$B:$B = 12),"""")"),"")</f>
        <v/>
      </c>
      <c r="V112" t="str">
        <f>IFERROR(__xludf.DUMMYFUNCTION("IFERROR(FILTER('Fund Investment Data'!$D:$D, 'Fund Investment Data'!$C:$C = $A112, 'Fund Investment Data'!$A:$A = V$1, 'Fund Investment Data'!$B:$B = 12),"""")"),"")</f>
        <v/>
      </c>
      <c r="W112" t="str">
        <f>IFERROR(__xludf.DUMMYFUNCTION("IFERROR(FILTER('Fund Investment Data'!$D:$D, 'Fund Investment Data'!$C:$C = $A112, 'Fund Investment Data'!$A:$A = W$1, 'Fund Investment Data'!$B:$B = 12),"""")"),"")</f>
        <v/>
      </c>
      <c r="X112" t="str">
        <f>IFERROR(__xludf.DUMMYFUNCTION("IFERROR(FILTER('Fund Investment Data'!$D:$D, 'Fund Investment Data'!$C:$C = $A112, 'Fund Investment Data'!$A:$A = X$1, 'Fund Investment Data'!$B:$B = 12),"""")"),"")</f>
        <v/>
      </c>
      <c r="Y112" t="str">
        <f>IFERROR(__xludf.DUMMYFUNCTION("IFERROR(FILTER('Fund Investment Data'!$D:$D, 'Fund Investment Data'!$C:$C = $A112, 'Fund Investment Data'!$A:$A = Y$1, 'Fund Investment Data'!$B:$B = 12),"""")"),"")</f>
        <v/>
      </c>
      <c r="Z112" t="str">
        <f>IFERROR(__xludf.DUMMYFUNCTION("IFERROR(FILTER('Fund Investment Data'!$D:$D, 'Fund Investment Data'!$C:$C = $A112, 'Fund Investment Data'!$A:$A = Z$1, 'Fund Investment Data'!$B:$B = 12),"""")"),"")</f>
        <v/>
      </c>
      <c r="AA112" t="str">
        <f>IFERROR(__xludf.DUMMYFUNCTION("IFERROR(FILTER('Fund Investment Data'!$D:$D, 'Fund Investment Data'!$C:$C = $A112, 'Fund Investment Data'!$A:$A = AA$1, 'Fund Investment Data'!$B:$B = 12),"""")"),"")</f>
        <v/>
      </c>
      <c r="AB112" t="str">
        <f>IFERROR(__xludf.DUMMYFUNCTION("IFERROR(FILTER('Fund Investment Data'!$D:$D, 'Fund Investment Data'!$C:$C = $A112, 'Fund Investment Data'!$A:$A = AB$1, 'Fund Investment Data'!$B:$B = 12),"""")"),"")</f>
        <v/>
      </c>
      <c r="AC112" t="str">
        <f>IFERROR(__xludf.DUMMYFUNCTION("IFERROR(FILTER('Fund Investment Data'!$D:$D, 'Fund Investment Data'!$C:$C = $A112, 'Fund Investment Data'!$A:$A = AC$1, 'Fund Investment Data'!$B:$B = 12),"""")"),"")</f>
        <v/>
      </c>
      <c r="AD112" t="str">
        <f>IFERROR(__xludf.DUMMYFUNCTION("IFERROR(FILTER('Fund Investment Data'!$D:$D, 'Fund Investment Data'!$C:$C = $A112, 'Fund Investment Data'!$A:$A = AD$1, 'Fund Investment Data'!$B:$B = 12),"""")"),"")</f>
        <v/>
      </c>
      <c r="AE112" t="str">
        <f>IFERROR(__xludf.DUMMYFUNCTION("IFERROR(FILTER('Fund Investment Data'!$D:$D, 'Fund Investment Data'!$C:$C = $A112, 'Fund Investment Data'!$A:$A = AE$1, 'Fund Investment Data'!$B:$B = 12),"""")"),"")</f>
        <v/>
      </c>
    </row>
    <row r="113">
      <c r="A113" s="150" t="str">
        <f>'Endowed Funds'!A:A</f>
        <v/>
      </c>
      <c r="B113" t="str">
        <f>IFERROR(__xludf.DUMMYFUNCTION("IFERROR(FILTER('Fund Investment Data'!$D:$D, 'Fund Investment Data'!$C:$C = $A113, 'Fund Investment Data'!$A:$A = B$1, 'Fund Investment Data'!$B:$B = 12),"""")"),"")</f>
        <v/>
      </c>
      <c r="C113" t="str">
        <f>IFERROR(__xludf.DUMMYFUNCTION("IFERROR(FILTER('Fund Investment Data'!$D:$D, 'Fund Investment Data'!$C:$C = $A113, 'Fund Investment Data'!$A:$A = C$1, 'Fund Investment Data'!$B:$B = 12),"""")"),"")</f>
        <v/>
      </c>
      <c r="D113" t="str">
        <f>IFERROR(__xludf.DUMMYFUNCTION("IFERROR(FILTER('Fund Investment Data'!$D:$D, 'Fund Investment Data'!$C:$C = $A113, 'Fund Investment Data'!$A:$A = D$1, 'Fund Investment Data'!$B:$B = 12),"""")"),"")</f>
        <v/>
      </c>
      <c r="E113" t="str">
        <f>IFERROR(__xludf.DUMMYFUNCTION("IFERROR(FILTER('Fund Investment Data'!$D:$D, 'Fund Investment Data'!$C:$C = $A113, 'Fund Investment Data'!$A:$A = E$1, 'Fund Investment Data'!$B:$B = 12),"""")"),"")</f>
        <v/>
      </c>
      <c r="F113" t="str">
        <f>IFERROR(__xludf.DUMMYFUNCTION("IFERROR(FILTER('Fund Investment Data'!$D:$D, 'Fund Investment Data'!$C:$C = $A113, 'Fund Investment Data'!$A:$A = F$1, 'Fund Investment Data'!$B:$B = 12),"""")"),"")</f>
        <v/>
      </c>
      <c r="G113" t="str">
        <f>IFERROR(__xludf.DUMMYFUNCTION("IFERROR(FILTER('Fund Investment Data'!$D:$D, 'Fund Investment Data'!$C:$C = $A113, 'Fund Investment Data'!$A:$A = G$1, 'Fund Investment Data'!$B:$B = 12),"""")"),"")</f>
        <v/>
      </c>
      <c r="H113" t="str">
        <f>IFERROR(__xludf.DUMMYFUNCTION("IFERROR(FILTER('Fund Investment Data'!$D:$D, 'Fund Investment Data'!$C:$C = $A113, 'Fund Investment Data'!$A:$A = H$1, 'Fund Investment Data'!$B:$B = 12),"""")"),"")</f>
        <v/>
      </c>
      <c r="I113" t="str">
        <f>IFERROR(__xludf.DUMMYFUNCTION("IFERROR(FILTER('Fund Investment Data'!$D:$D, 'Fund Investment Data'!$C:$C = $A113, 'Fund Investment Data'!$A:$A = I$1, 'Fund Investment Data'!$B:$B = 12),"""")"),"")</f>
        <v/>
      </c>
      <c r="J113" t="str">
        <f>IFERROR(__xludf.DUMMYFUNCTION("IFERROR(FILTER('Fund Investment Data'!$D:$D, 'Fund Investment Data'!$C:$C = $A113, 'Fund Investment Data'!$A:$A = J$1, 'Fund Investment Data'!$B:$B = 12),"""")"),"")</f>
        <v/>
      </c>
      <c r="K113" t="str">
        <f>IFERROR(__xludf.DUMMYFUNCTION("IFERROR(FILTER('Fund Investment Data'!$D:$D, 'Fund Investment Data'!$C:$C = $A113, 'Fund Investment Data'!$A:$A = K$1, 'Fund Investment Data'!$B:$B = 12),"""")"),"")</f>
        <v/>
      </c>
      <c r="L113" t="str">
        <f>IFERROR(__xludf.DUMMYFUNCTION("IFERROR(FILTER('Fund Investment Data'!$D:$D, 'Fund Investment Data'!$C:$C = $A113, 'Fund Investment Data'!$A:$A = L$1, 'Fund Investment Data'!$B:$B = 12),"""")"),"")</f>
        <v/>
      </c>
      <c r="M113" t="str">
        <f>IFERROR(__xludf.DUMMYFUNCTION("IFERROR(FILTER('Fund Investment Data'!$D:$D, 'Fund Investment Data'!$C:$C = $A113, 'Fund Investment Data'!$A:$A = M$1, 'Fund Investment Data'!$B:$B = 12),"""")"),"")</f>
        <v/>
      </c>
      <c r="N113" t="str">
        <f>IFERROR(__xludf.DUMMYFUNCTION("IFERROR(FILTER('Fund Investment Data'!$D:$D, 'Fund Investment Data'!$C:$C = $A113, 'Fund Investment Data'!$A:$A = N$1, 'Fund Investment Data'!$B:$B = 12),"""")"),"")</f>
        <v/>
      </c>
      <c r="O113" t="str">
        <f>IFERROR(__xludf.DUMMYFUNCTION("IFERROR(FILTER('Fund Investment Data'!$D:$D, 'Fund Investment Data'!$C:$C = $A113, 'Fund Investment Data'!$A:$A = O$1, 'Fund Investment Data'!$B:$B = 12),"""")"),"")</f>
        <v/>
      </c>
      <c r="P113" t="str">
        <f>IFERROR(__xludf.DUMMYFUNCTION("IFERROR(FILTER('Fund Investment Data'!$D:$D, 'Fund Investment Data'!$C:$C = $A113, 'Fund Investment Data'!$A:$A = P$1, 'Fund Investment Data'!$B:$B = 12),"""")"),"")</f>
        <v/>
      </c>
      <c r="Q113" t="str">
        <f>IFERROR(__xludf.DUMMYFUNCTION("IFERROR(FILTER('Fund Investment Data'!$D:$D, 'Fund Investment Data'!$C:$C = $A113, 'Fund Investment Data'!$A:$A = Q$1, 'Fund Investment Data'!$B:$B = 12),"""")"),"")</f>
        <v/>
      </c>
      <c r="R113" t="str">
        <f>IFERROR(__xludf.DUMMYFUNCTION("IFERROR(FILTER('Fund Investment Data'!$D:$D, 'Fund Investment Data'!$C:$C = $A113, 'Fund Investment Data'!$A:$A = R$1, 'Fund Investment Data'!$B:$B = 12),"""")"),"")</f>
        <v/>
      </c>
      <c r="S113" t="str">
        <f>IFERROR(__xludf.DUMMYFUNCTION("IFERROR(FILTER('Fund Investment Data'!$D:$D, 'Fund Investment Data'!$C:$C = $A113, 'Fund Investment Data'!$A:$A = S$1, 'Fund Investment Data'!$B:$B = 12),"""")"),"")</f>
        <v/>
      </c>
      <c r="T113" t="str">
        <f>IFERROR(__xludf.DUMMYFUNCTION("IFERROR(FILTER('Fund Investment Data'!$D:$D, 'Fund Investment Data'!$C:$C = $A113, 'Fund Investment Data'!$A:$A = T$1, 'Fund Investment Data'!$B:$B = 12),"""")"),"")</f>
        <v/>
      </c>
      <c r="U113" t="str">
        <f>IFERROR(__xludf.DUMMYFUNCTION("IFERROR(FILTER('Fund Investment Data'!$D:$D, 'Fund Investment Data'!$C:$C = $A113, 'Fund Investment Data'!$A:$A = U$1, 'Fund Investment Data'!$B:$B = 12),"""")"),"")</f>
        <v/>
      </c>
      <c r="V113" t="str">
        <f>IFERROR(__xludf.DUMMYFUNCTION("IFERROR(FILTER('Fund Investment Data'!$D:$D, 'Fund Investment Data'!$C:$C = $A113, 'Fund Investment Data'!$A:$A = V$1, 'Fund Investment Data'!$B:$B = 12),"""")"),"")</f>
        <v/>
      </c>
      <c r="W113" t="str">
        <f>IFERROR(__xludf.DUMMYFUNCTION("IFERROR(FILTER('Fund Investment Data'!$D:$D, 'Fund Investment Data'!$C:$C = $A113, 'Fund Investment Data'!$A:$A = W$1, 'Fund Investment Data'!$B:$B = 12),"""")"),"")</f>
        <v/>
      </c>
      <c r="X113" t="str">
        <f>IFERROR(__xludf.DUMMYFUNCTION("IFERROR(FILTER('Fund Investment Data'!$D:$D, 'Fund Investment Data'!$C:$C = $A113, 'Fund Investment Data'!$A:$A = X$1, 'Fund Investment Data'!$B:$B = 12),"""")"),"")</f>
        <v/>
      </c>
      <c r="Y113" t="str">
        <f>IFERROR(__xludf.DUMMYFUNCTION("IFERROR(FILTER('Fund Investment Data'!$D:$D, 'Fund Investment Data'!$C:$C = $A113, 'Fund Investment Data'!$A:$A = Y$1, 'Fund Investment Data'!$B:$B = 12),"""")"),"")</f>
        <v/>
      </c>
      <c r="Z113" t="str">
        <f>IFERROR(__xludf.DUMMYFUNCTION("IFERROR(FILTER('Fund Investment Data'!$D:$D, 'Fund Investment Data'!$C:$C = $A113, 'Fund Investment Data'!$A:$A = Z$1, 'Fund Investment Data'!$B:$B = 12),"""")"),"")</f>
        <v/>
      </c>
      <c r="AA113" t="str">
        <f>IFERROR(__xludf.DUMMYFUNCTION("IFERROR(FILTER('Fund Investment Data'!$D:$D, 'Fund Investment Data'!$C:$C = $A113, 'Fund Investment Data'!$A:$A = AA$1, 'Fund Investment Data'!$B:$B = 12),"""")"),"")</f>
        <v/>
      </c>
      <c r="AB113" t="str">
        <f>IFERROR(__xludf.DUMMYFUNCTION("IFERROR(FILTER('Fund Investment Data'!$D:$D, 'Fund Investment Data'!$C:$C = $A113, 'Fund Investment Data'!$A:$A = AB$1, 'Fund Investment Data'!$B:$B = 12),"""")"),"")</f>
        <v/>
      </c>
      <c r="AC113" t="str">
        <f>IFERROR(__xludf.DUMMYFUNCTION("IFERROR(FILTER('Fund Investment Data'!$D:$D, 'Fund Investment Data'!$C:$C = $A113, 'Fund Investment Data'!$A:$A = AC$1, 'Fund Investment Data'!$B:$B = 12),"""")"),"")</f>
        <v/>
      </c>
      <c r="AD113" t="str">
        <f>IFERROR(__xludf.DUMMYFUNCTION("IFERROR(FILTER('Fund Investment Data'!$D:$D, 'Fund Investment Data'!$C:$C = $A113, 'Fund Investment Data'!$A:$A = AD$1, 'Fund Investment Data'!$B:$B = 12),"""")"),"")</f>
        <v/>
      </c>
      <c r="AE113" t="str">
        <f>IFERROR(__xludf.DUMMYFUNCTION("IFERROR(FILTER('Fund Investment Data'!$D:$D, 'Fund Investment Data'!$C:$C = $A113, 'Fund Investment Data'!$A:$A = AE$1, 'Fund Investment Data'!$B:$B = 12),"""")"),"")</f>
        <v/>
      </c>
    </row>
    <row r="114">
      <c r="A114" s="150" t="str">
        <f>'Endowed Funds'!A:A</f>
        <v/>
      </c>
      <c r="B114" t="str">
        <f>IFERROR(__xludf.DUMMYFUNCTION("IFERROR(FILTER('Fund Investment Data'!$D:$D, 'Fund Investment Data'!$C:$C = $A114, 'Fund Investment Data'!$A:$A = B$1, 'Fund Investment Data'!$B:$B = 12),"""")"),"")</f>
        <v/>
      </c>
      <c r="C114" t="str">
        <f>IFERROR(__xludf.DUMMYFUNCTION("IFERROR(FILTER('Fund Investment Data'!$D:$D, 'Fund Investment Data'!$C:$C = $A114, 'Fund Investment Data'!$A:$A = C$1, 'Fund Investment Data'!$B:$B = 12),"""")"),"")</f>
        <v/>
      </c>
      <c r="D114" t="str">
        <f>IFERROR(__xludf.DUMMYFUNCTION("IFERROR(FILTER('Fund Investment Data'!$D:$D, 'Fund Investment Data'!$C:$C = $A114, 'Fund Investment Data'!$A:$A = D$1, 'Fund Investment Data'!$B:$B = 12),"""")"),"")</f>
        <v/>
      </c>
      <c r="E114" t="str">
        <f>IFERROR(__xludf.DUMMYFUNCTION("IFERROR(FILTER('Fund Investment Data'!$D:$D, 'Fund Investment Data'!$C:$C = $A114, 'Fund Investment Data'!$A:$A = E$1, 'Fund Investment Data'!$B:$B = 12),"""")"),"")</f>
        <v/>
      </c>
      <c r="F114" t="str">
        <f>IFERROR(__xludf.DUMMYFUNCTION("IFERROR(FILTER('Fund Investment Data'!$D:$D, 'Fund Investment Data'!$C:$C = $A114, 'Fund Investment Data'!$A:$A = F$1, 'Fund Investment Data'!$B:$B = 12),"""")"),"")</f>
        <v/>
      </c>
      <c r="G114" t="str">
        <f>IFERROR(__xludf.DUMMYFUNCTION("IFERROR(FILTER('Fund Investment Data'!$D:$D, 'Fund Investment Data'!$C:$C = $A114, 'Fund Investment Data'!$A:$A = G$1, 'Fund Investment Data'!$B:$B = 12),"""")"),"")</f>
        <v/>
      </c>
      <c r="H114" t="str">
        <f>IFERROR(__xludf.DUMMYFUNCTION("IFERROR(FILTER('Fund Investment Data'!$D:$D, 'Fund Investment Data'!$C:$C = $A114, 'Fund Investment Data'!$A:$A = H$1, 'Fund Investment Data'!$B:$B = 12),"""")"),"")</f>
        <v/>
      </c>
      <c r="I114" t="str">
        <f>IFERROR(__xludf.DUMMYFUNCTION("IFERROR(FILTER('Fund Investment Data'!$D:$D, 'Fund Investment Data'!$C:$C = $A114, 'Fund Investment Data'!$A:$A = I$1, 'Fund Investment Data'!$B:$B = 12),"""")"),"")</f>
        <v/>
      </c>
      <c r="J114" t="str">
        <f>IFERROR(__xludf.DUMMYFUNCTION("IFERROR(FILTER('Fund Investment Data'!$D:$D, 'Fund Investment Data'!$C:$C = $A114, 'Fund Investment Data'!$A:$A = J$1, 'Fund Investment Data'!$B:$B = 12),"""")"),"")</f>
        <v/>
      </c>
      <c r="K114" t="str">
        <f>IFERROR(__xludf.DUMMYFUNCTION("IFERROR(FILTER('Fund Investment Data'!$D:$D, 'Fund Investment Data'!$C:$C = $A114, 'Fund Investment Data'!$A:$A = K$1, 'Fund Investment Data'!$B:$B = 12),"""")"),"")</f>
        <v/>
      </c>
      <c r="L114" t="str">
        <f>IFERROR(__xludf.DUMMYFUNCTION("IFERROR(FILTER('Fund Investment Data'!$D:$D, 'Fund Investment Data'!$C:$C = $A114, 'Fund Investment Data'!$A:$A = L$1, 'Fund Investment Data'!$B:$B = 12),"""")"),"")</f>
        <v/>
      </c>
      <c r="M114" t="str">
        <f>IFERROR(__xludf.DUMMYFUNCTION("IFERROR(FILTER('Fund Investment Data'!$D:$D, 'Fund Investment Data'!$C:$C = $A114, 'Fund Investment Data'!$A:$A = M$1, 'Fund Investment Data'!$B:$B = 12),"""")"),"")</f>
        <v/>
      </c>
      <c r="N114" t="str">
        <f>IFERROR(__xludf.DUMMYFUNCTION("IFERROR(FILTER('Fund Investment Data'!$D:$D, 'Fund Investment Data'!$C:$C = $A114, 'Fund Investment Data'!$A:$A = N$1, 'Fund Investment Data'!$B:$B = 12),"""")"),"")</f>
        <v/>
      </c>
      <c r="O114" t="str">
        <f>IFERROR(__xludf.DUMMYFUNCTION("IFERROR(FILTER('Fund Investment Data'!$D:$D, 'Fund Investment Data'!$C:$C = $A114, 'Fund Investment Data'!$A:$A = O$1, 'Fund Investment Data'!$B:$B = 12),"""")"),"")</f>
        <v/>
      </c>
      <c r="P114" t="str">
        <f>IFERROR(__xludf.DUMMYFUNCTION("IFERROR(FILTER('Fund Investment Data'!$D:$D, 'Fund Investment Data'!$C:$C = $A114, 'Fund Investment Data'!$A:$A = P$1, 'Fund Investment Data'!$B:$B = 12),"""")"),"")</f>
        <v/>
      </c>
      <c r="Q114" t="str">
        <f>IFERROR(__xludf.DUMMYFUNCTION("IFERROR(FILTER('Fund Investment Data'!$D:$D, 'Fund Investment Data'!$C:$C = $A114, 'Fund Investment Data'!$A:$A = Q$1, 'Fund Investment Data'!$B:$B = 12),"""")"),"")</f>
        <v/>
      </c>
      <c r="R114" t="str">
        <f>IFERROR(__xludf.DUMMYFUNCTION("IFERROR(FILTER('Fund Investment Data'!$D:$D, 'Fund Investment Data'!$C:$C = $A114, 'Fund Investment Data'!$A:$A = R$1, 'Fund Investment Data'!$B:$B = 12),"""")"),"")</f>
        <v/>
      </c>
      <c r="S114" t="str">
        <f>IFERROR(__xludf.DUMMYFUNCTION("IFERROR(FILTER('Fund Investment Data'!$D:$D, 'Fund Investment Data'!$C:$C = $A114, 'Fund Investment Data'!$A:$A = S$1, 'Fund Investment Data'!$B:$B = 12),"""")"),"")</f>
        <v/>
      </c>
      <c r="T114" t="str">
        <f>IFERROR(__xludf.DUMMYFUNCTION("IFERROR(FILTER('Fund Investment Data'!$D:$D, 'Fund Investment Data'!$C:$C = $A114, 'Fund Investment Data'!$A:$A = T$1, 'Fund Investment Data'!$B:$B = 12),"""")"),"")</f>
        <v/>
      </c>
      <c r="U114" t="str">
        <f>IFERROR(__xludf.DUMMYFUNCTION("IFERROR(FILTER('Fund Investment Data'!$D:$D, 'Fund Investment Data'!$C:$C = $A114, 'Fund Investment Data'!$A:$A = U$1, 'Fund Investment Data'!$B:$B = 12),"""")"),"")</f>
        <v/>
      </c>
      <c r="V114" t="str">
        <f>IFERROR(__xludf.DUMMYFUNCTION("IFERROR(FILTER('Fund Investment Data'!$D:$D, 'Fund Investment Data'!$C:$C = $A114, 'Fund Investment Data'!$A:$A = V$1, 'Fund Investment Data'!$B:$B = 12),"""")"),"")</f>
        <v/>
      </c>
      <c r="W114" t="str">
        <f>IFERROR(__xludf.DUMMYFUNCTION("IFERROR(FILTER('Fund Investment Data'!$D:$D, 'Fund Investment Data'!$C:$C = $A114, 'Fund Investment Data'!$A:$A = W$1, 'Fund Investment Data'!$B:$B = 12),"""")"),"")</f>
        <v/>
      </c>
      <c r="X114" t="str">
        <f>IFERROR(__xludf.DUMMYFUNCTION("IFERROR(FILTER('Fund Investment Data'!$D:$D, 'Fund Investment Data'!$C:$C = $A114, 'Fund Investment Data'!$A:$A = X$1, 'Fund Investment Data'!$B:$B = 12),"""")"),"")</f>
        <v/>
      </c>
      <c r="Y114" t="str">
        <f>IFERROR(__xludf.DUMMYFUNCTION("IFERROR(FILTER('Fund Investment Data'!$D:$D, 'Fund Investment Data'!$C:$C = $A114, 'Fund Investment Data'!$A:$A = Y$1, 'Fund Investment Data'!$B:$B = 12),"""")"),"")</f>
        <v/>
      </c>
      <c r="Z114" t="str">
        <f>IFERROR(__xludf.DUMMYFUNCTION("IFERROR(FILTER('Fund Investment Data'!$D:$D, 'Fund Investment Data'!$C:$C = $A114, 'Fund Investment Data'!$A:$A = Z$1, 'Fund Investment Data'!$B:$B = 12),"""")"),"")</f>
        <v/>
      </c>
      <c r="AA114" t="str">
        <f>IFERROR(__xludf.DUMMYFUNCTION("IFERROR(FILTER('Fund Investment Data'!$D:$D, 'Fund Investment Data'!$C:$C = $A114, 'Fund Investment Data'!$A:$A = AA$1, 'Fund Investment Data'!$B:$B = 12),"""")"),"")</f>
        <v/>
      </c>
      <c r="AB114" t="str">
        <f>IFERROR(__xludf.DUMMYFUNCTION("IFERROR(FILTER('Fund Investment Data'!$D:$D, 'Fund Investment Data'!$C:$C = $A114, 'Fund Investment Data'!$A:$A = AB$1, 'Fund Investment Data'!$B:$B = 12),"""")"),"")</f>
        <v/>
      </c>
      <c r="AC114" t="str">
        <f>IFERROR(__xludf.DUMMYFUNCTION("IFERROR(FILTER('Fund Investment Data'!$D:$D, 'Fund Investment Data'!$C:$C = $A114, 'Fund Investment Data'!$A:$A = AC$1, 'Fund Investment Data'!$B:$B = 12),"""")"),"")</f>
        <v/>
      </c>
      <c r="AD114" t="str">
        <f>IFERROR(__xludf.DUMMYFUNCTION("IFERROR(FILTER('Fund Investment Data'!$D:$D, 'Fund Investment Data'!$C:$C = $A114, 'Fund Investment Data'!$A:$A = AD$1, 'Fund Investment Data'!$B:$B = 12),"""")"),"")</f>
        <v/>
      </c>
      <c r="AE114" t="str">
        <f>IFERROR(__xludf.DUMMYFUNCTION("IFERROR(FILTER('Fund Investment Data'!$D:$D, 'Fund Investment Data'!$C:$C = $A114, 'Fund Investment Data'!$A:$A = AE$1, 'Fund Investment Data'!$B:$B = 12),"""")"),"")</f>
        <v/>
      </c>
    </row>
    <row r="115">
      <c r="A115" s="150" t="str">
        <f>'Endowed Funds'!A:A</f>
        <v/>
      </c>
      <c r="B115" t="str">
        <f>IFERROR(__xludf.DUMMYFUNCTION("IFERROR(FILTER('Fund Investment Data'!$D:$D, 'Fund Investment Data'!$C:$C = $A115, 'Fund Investment Data'!$A:$A = B$1, 'Fund Investment Data'!$B:$B = 12),"""")"),"")</f>
        <v/>
      </c>
      <c r="C115" t="str">
        <f>IFERROR(__xludf.DUMMYFUNCTION("IFERROR(FILTER('Fund Investment Data'!$D:$D, 'Fund Investment Data'!$C:$C = $A115, 'Fund Investment Data'!$A:$A = C$1, 'Fund Investment Data'!$B:$B = 12),"""")"),"")</f>
        <v/>
      </c>
      <c r="D115" t="str">
        <f>IFERROR(__xludf.DUMMYFUNCTION("IFERROR(FILTER('Fund Investment Data'!$D:$D, 'Fund Investment Data'!$C:$C = $A115, 'Fund Investment Data'!$A:$A = D$1, 'Fund Investment Data'!$B:$B = 12),"""")"),"")</f>
        <v/>
      </c>
      <c r="E115" t="str">
        <f>IFERROR(__xludf.DUMMYFUNCTION("IFERROR(FILTER('Fund Investment Data'!$D:$D, 'Fund Investment Data'!$C:$C = $A115, 'Fund Investment Data'!$A:$A = E$1, 'Fund Investment Data'!$B:$B = 12),"""")"),"")</f>
        <v/>
      </c>
      <c r="F115" t="str">
        <f>IFERROR(__xludf.DUMMYFUNCTION("IFERROR(FILTER('Fund Investment Data'!$D:$D, 'Fund Investment Data'!$C:$C = $A115, 'Fund Investment Data'!$A:$A = F$1, 'Fund Investment Data'!$B:$B = 12),"""")"),"")</f>
        <v/>
      </c>
      <c r="G115" t="str">
        <f>IFERROR(__xludf.DUMMYFUNCTION("IFERROR(FILTER('Fund Investment Data'!$D:$D, 'Fund Investment Data'!$C:$C = $A115, 'Fund Investment Data'!$A:$A = G$1, 'Fund Investment Data'!$B:$B = 12),"""")"),"")</f>
        <v/>
      </c>
      <c r="H115" t="str">
        <f>IFERROR(__xludf.DUMMYFUNCTION("IFERROR(FILTER('Fund Investment Data'!$D:$D, 'Fund Investment Data'!$C:$C = $A115, 'Fund Investment Data'!$A:$A = H$1, 'Fund Investment Data'!$B:$B = 12),"""")"),"")</f>
        <v/>
      </c>
      <c r="I115" t="str">
        <f>IFERROR(__xludf.DUMMYFUNCTION("IFERROR(FILTER('Fund Investment Data'!$D:$D, 'Fund Investment Data'!$C:$C = $A115, 'Fund Investment Data'!$A:$A = I$1, 'Fund Investment Data'!$B:$B = 12),"""")"),"")</f>
        <v/>
      </c>
      <c r="J115" t="str">
        <f>IFERROR(__xludf.DUMMYFUNCTION("IFERROR(FILTER('Fund Investment Data'!$D:$D, 'Fund Investment Data'!$C:$C = $A115, 'Fund Investment Data'!$A:$A = J$1, 'Fund Investment Data'!$B:$B = 12),"""")"),"")</f>
        <v/>
      </c>
      <c r="K115" t="str">
        <f>IFERROR(__xludf.DUMMYFUNCTION("IFERROR(FILTER('Fund Investment Data'!$D:$D, 'Fund Investment Data'!$C:$C = $A115, 'Fund Investment Data'!$A:$A = K$1, 'Fund Investment Data'!$B:$B = 12),"""")"),"")</f>
        <v/>
      </c>
      <c r="L115" t="str">
        <f>IFERROR(__xludf.DUMMYFUNCTION("IFERROR(FILTER('Fund Investment Data'!$D:$D, 'Fund Investment Data'!$C:$C = $A115, 'Fund Investment Data'!$A:$A = L$1, 'Fund Investment Data'!$B:$B = 12),"""")"),"")</f>
        <v/>
      </c>
      <c r="M115" t="str">
        <f>IFERROR(__xludf.DUMMYFUNCTION("IFERROR(FILTER('Fund Investment Data'!$D:$D, 'Fund Investment Data'!$C:$C = $A115, 'Fund Investment Data'!$A:$A = M$1, 'Fund Investment Data'!$B:$B = 12),"""")"),"")</f>
        <v/>
      </c>
      <c r="N115" t="str">
        <f>IFERROR(__xludf.DUMMYFUNCTION("IFERROR(FILTER('Fund Investment Data'!$D:$D, 'Fund Investment Data'!$C:$C = $A115, 'Fund Investment Data'!$A:$A = N$1, 'Fund Investment Data'!$B:$B = 12),"""")"),"")</f>
        <v/>
      </c>
      <c r="O115" t="str">
        <f>IFERROR(__xludf.DUMMYFUNCTION("IFERROR(FILTER('Fund Investment Data'!$D:$D, 'Fund Investment Data'!$C:$C = $A115, 'Fund Investment Data'!$A:$A = O$1, 'Fund Investment Data'!$B:$B = 12),"""")"),"")</f>
        <v/>
      </c>
      <c r="P115" t="str">
        <f>IFERROR(__xludf.DUMMYFUNCTION("IFERROR(FILTER('Fund Investment Data'!$D:$D, 'Fund Investment Data'!$C:$C = $A115, 'Fund Investment Data'!$A:$A = P$1, 'Fund Investment Data'!$B:$B = 12),"""")"),"")</f>
        <v/>
      </c>
      <c r="Q115" t="str">
        <f>IFERROR(__xludf.DUMMYFUNCTION("IFERROR(FILTER('Fund Investment Data'!$D:$D, 'Fund Investment Data'!$C:$C = $A115, 'Fund Investment Data'!$A:$A = Q$1, 'Fund Investment Data'!$B:$B = 12),"""")"),"")</f>
        <v/>
      </c>
      <c r="R115" t="str">
        <f>IFERROR(__xludf.DUMMYFUNCTION("IFERROR(FILTER('Fund Investment Data'!$D:$D, 'Fund Investment Data'!$C:$C = $A115, 'Fund Investment Data'!$A:$A = R$1, 'Fund Investment Data'!$B:$B = 12),"""")"),"")</f>
        <v/>
      </c>
      <c r="S115" t="str">
        <f>IFERROR(__xludf.DUMMYFUNCTION("IFERROR(FILTER('Fund Investment Data'!$D:$D, 'Fund Investment Data'!$C:$C = $A115, 'Fund Investment Data'!$A:$A = S$1, 'Fund Investment Data'!$B:$B = 12),"""")"),"")</f>
        <v/>
      </c>
      <c r="T115" t="str">
        <f>IFERROR(__xludf.DUMMYFUNCTION("IFERROR(FILTER('Fund Investment Data'!$D:$D, 'Fund Investment Data'!$C:$C = $A115, 'Fund Investment Data'!$A:$A = T$1, 'Fund Investment Data'!$B:$B = 12),"""")"),"")</f>
        <v/>
      </c>
      <c r="U115" t="str">
        <f>IFERROR(__xludf.DUMMYFUNCTION("IFERROR(FILTER('Fund Investment Data'!$D:$D, 'Fund Investment Data'!$C:$C = $A115, 'Fund Investment Data'!$A:$A = U$1, 'Fund Investment Data'!$B:$B = 12),"""")"),"")</f>
        <v/>
      </c>
      <c r="V115" t="str">
        <f>IFERROR(__xludf.DUMMYFUNCTION("IFERROR(FILTER('Fund Investment Data'!$D:$D, 'Fund Investment Data'!$C:$C = $A115, 'Fund Investment Data'!$A:$A = V$1, 'Fund Investment Data'!$B:$B = 12),"""")"),"")</f>
        <v/>
      </c>
      <c r="W115" t="str">
        <f>IFERROR(__xludf.DUMMYFUNCTION("IFERROR(FILTER('Fund Investment Data'!$D:$D, 'Fund Investment Data'!$C:$C = $A115, 'Fund Investment Data'!$A:$A = W$1, 'Fund Investment Data'!$B:$B = 12),"""")"),"")</f>
        <v/>
      </c>
      <c r="X115" t="str">
        <f>IFERROR(__xludf.DUMMYFUNCTION("IFERROR(FILTER('Fund Investment Data'!$D:$D, 'Fund Investment Data'!$C:$C = $A115, 'Fund Investment Data'!$A:$A = X$1, 'Fund Investment Data'!$B:$B = 12),"""")"),"")</f>
        <v/>
      </c>
      <c r="Y115" t="str">
        <f>IFERROR(__xludf.DUMMYFUNCTION("IFERROR(FILTER('Fund Investment Data'!$D:$D, 'Fund Investment Data'!$C:$C = $A115, 'Fund Investment Data'!$A:$A = Y$1, 'Fund Investment Data'!$B:$B = 12),"""")"),"")</f>
        <v/>
      </c>
      <c r="Z115" t="str">
        <f>IFERROR(__xludf.DUMMYFUNCTION("IFERROR(FILTER('Fund Investment Data'!$D:$D, 'Fund Investment Data'!$C:$C = $A115, 'Fund Investment Data'!$A:$A = Z$1, 'Fund Investment Data'!$B:$B = 12),"""")"),"")</f>
        <v/>
      </c>
      <c r="AA115" t="str">
        <f>IFERROR(__xludf.DUMMYFUNCTION("IFERROR(FILTER('Fund Investment Data'!$D:$D, 'Fund Investment Data'!$C:$C = $A115, 'Fund Investment Data'!$A:$A = AA$1, 'Fund Investment Data'!$B:$B = 12),"""")"),"")</f>
        <v/>
      </c>
      <c r="AB115" t="str">
        <f>IFERROR(__xludf.DUMMYFUNCTION("IFERROR(FILTER('Fund Investment Data'!$D:$D, 'Fund Investment Data'!$C:$C = $A115, 'Fund Investment Data'!$A:$A = AB$1, 'Fund Investment Data'!$B:$B = 12),"""")"),"")</f>
        <v/>
      </c>
      <c r="AC115" t="str">
        <f>IFERROR(__xludf.DUMMYFUNCTION("IFERROR(FILTER('Fund Investment Data'!$D:$D, 'Fund Investment Data'!$C:$C = $A115, 'Fund Investment Data'!$A:$A = AC$1, 'Fund Investment Data'!$B:$B = 12),"""")"),"")</f>
        <v/>
      </c>
      <c r="AD115" t="str">
        <f>IFERROR(__xludf.DUMMYFUNCTION("IFERROR(FILTER('Fund Investment Data'!$D:$D, 'Fund Investment Data'!$C:$C = $A115, 'Fund Investment Data'!$A:$A = AD$1, 'Fund Investment Data'!$B:$B = 12),"""")"),"")</f>
        <v/>
      </c>
      <c r="AE115" t="str">
        <f>IFERROR(__xludf.DUMMYFUNCTION("IFERROR(FILTER('Fund Investment Data'!$D:$D, 'Fund Investment Data'!$C:$C = $A115, 'Fund Investment Data'!$A:$A = AE$1, 'Fund Investment Data'!$B:$B = 12),"""")"),"")</f>
        <v/>
      </c>
    </row>
    <row r="116">
      <c r="A116" s="150" t="str">
        <f>'Endowed Funds'!A:A</f>
        <v/>
      </c>
      <c r="B116" t="str">
        <f>IFERROR(__xludf.DUMMYFUNCTION("IFERROR(FILTER('Fund Investment Data'!$D:$D, 'Fund Investment Data'!$C:$C = $A116, 'Fund Investment Data'!$A:$A = B$1, 'Fund Investment Data'!$B:$B = 12),"""")"),"")</f>
        <v/>
      </c>
      <c r="C116" t="str">
        <f>IFERROR(__xludf.DUMMYFUNCTION("IFERROR(FILTER('Fund Investment Data'!$D:$D, 'Fund Investment Data'!$C:$C = $A116, 'Fund Investment Data'!$A:$A = C$1, 'Fund Investment Data'!$B:$B = 12),"""")"),"")</f>
        <v/>
      </c>
      <c r="D116" t="str">
        <f>IFERROR(__xludf.DUMMYFUNCTION("IFERROR(FILTER('Fund Investment Data'!$D:$D, 'Fund Investment Data'!$C:$C = $A116, 'Fund Investment Data'!$A:$A = D$1, 'Fund Investment Data'!$B:$B = 12),"""")"),"")</f>
        <v/>
      </c>
      <c r="E116" t="str">
        <f>IFERROR(__xludf.DUMMYFUNCTION("IFERROR(FILTER('Fund Investment Data'!$D:$D, 'Fund Investment Data'!$C:$C = $A116, 'Fund Investment Data'!$A:$A = E$1, 'Fund Investment Data'!$B:$B = 12),"""")"),"")</f>
        <v/>
      </c>
      <c r="F116" t="str">
        <f>IFERROR(__xludf.DUMMYFUNCTION("IFERROR(FILTER('Fund Investment Data'!$D:$D, 'Fund Investment Data'!$C:$C = $A116, 'Fund Investment Data'!$A:$A = F$1, 'Fund Investment Data'!$B:$B = 12),"""")"),"")</f>
        <v/>
      </c>
      <c r="G116" t="str">
        <f>IFERROR(__xludf.DUMMYFUNCTION("IFERROR(FILTER('Fund Investment Data'!$D:$D, 'Fund Investment Data'!$C:$C = $A116, 'Fund Investment Data'!$A:$A = G$1, 'Fund Investment Data'!$B:$B = 12),"""")"),"")</f>
        <v/>
      </c>
      <c r="H116" t="str">
        <f>IFERROR(__xludf.DUMMYFUNCTION("IFERROR(FILTER('Fund Investment Data'!$D:$D, 'Fund Investment Data'!$C:$C = $A116, 'Fund Investment Data'!$A:$A = H$1, 'Fund Investment Data'!$B:$B = 12),"""")"),"")</f>
        <v/>
      </c>
      <c r="I116" t="str">
        <f>IFERROR(__xludf.DUMMYFUNCTION("IFERROR(FILTER('Fund Investment Data'!$D:$D, 'Fund Investment Data'!$C:$C = $A116, 'Fund Investment Data'!$A:$A = I$1, 'Fund Investment Data'!$B:$B = 12),"""")"),"")</f>
        <v/>
      </c>
      <c r="J116" t="str">
        <f>IFERROR(__xludf.DUMMYFUNCTION("IFERROR(FILTER('Fund Investment Data'!$D:$D, 'Fund Investment Data'!$C:$C = $A116, 'Fund Investment Data'!$A:$A = J$1, 'Fund Investment Data'!$B:$B = 12),"""")"),"")</f>
        <v/>
      </c>
      <c r="K116" t="str">
        <f>IFERROR(__xludf.DUMMYFUNCTION("IFERROR(FILTER('Fund Investment Data'!$D:$D, 'Fund Investment Data'!$C:$C = $A116, 'Fund Investment Data'!$A:$A = K$1, 'Fund Investment Data'!$B:$B = 12),"""")"),"")</f>
        <v/>
      </c>
      <c r="L116" t="str">
        <f>IFERROR(__xludf.DUMMYFUNCTION("IFERROR(FILTER('Fund Investment Data'!$D:$D, 'Fund Investment Data'!$C:$C = $A116, 'Fund Investment Data'!$A:$A = L$1, 'Fund Investment Data'!$B:$B = 12),"""")"),"")</f>
        <v/>
      </c>
      <c r="M116" t="str">
        <f>IFERROR(__xludf.DUMMYFUNCTION("IFERROR(FILTER('Fund Investment Data'!$D:$D, 'Fund Investment Data'!$C:$C = $A116, 'Fund Investment Data'!$A:$A = M$1, 'Fund Investment Data'!$B:$B = 12),"""")"),"")</f>
        <v/>
      </c>
      <c r="N116" t="str">
        <f>IFERROR(__xludf.DUMMYFUNCTION("IFERROR(FILTER('Fund Investment Data'!$D:$D, 'Fund Investment Data'!$C:$C = $A116, 'Fund Investment Data'!$A:$A = N$1, 'Fund Investment Data'!$B:$B = 12),"""")"),"")</f>
        <v/>
      </c>
      <c r="O116" t="str">
        <f>IFERROR(__xludf.DUMMYFUNCTION("IFERROR(FILTER('Fund Investment Data'!$D:$D, 'Fund Investment Data'!$C:$C = $A116, 'Fund Investment Data'!$A:$A = O$1, 'Fund Investment Data'!$B:$B = 12),"""")"),"")</f>
        <v/>
      </c>
      <c r="P116" t="str">
        <f>IFERROR(__xludf.DUMMYFUNCTION("IFERROR(FILTER('Fund Investment Data'!$D:$D, 'Fund Investment Data'!$C:$C = $A116, 'Fund Investment Data'!$A:$A = P$1, 'Fund Investment Data'!$B:$B = 12),"""")"),"")</f>
        <v/>
      </c>
      <c r="Q116" t="str">
        <f>IFERROR(__xludf.DUMMYFUNCTION("IFERROR(FILTER('Fund Investment Data'!$D:$D, 'Fund Investment Data'!$C:$C = $A116, 'Fund Investment Data'!$A:$A = Q$1, 'Fund Investment Data'!$B:$B = 12),"""")"),"")</f>
        <v/>
      </c>
      <c r="R116" t="str">
        <f>IFERROR(__xludf.DUMMYFUNCTION("IFERROR(FILTER('Fund Investment Data'!$D:$D, 'Fund Investment Data'!$C:$C = $A116, 'Fund Investment Data'!$A:$A = R$1, 'Fund Investment Data'!$B:$B = 12),"""")"),"")</f>
        <v/>
      </c>
      <c r="S116" t="str">
        <f>IFERROR(__xludf.DUMMYFUNCTION("IFERROR(FILTER('Fund Investment Data'!$D:$D, 'Fund Investment Data'!$C:$C = $A116, 'Fund Investment Data'!$A:$A = S$1, 'Fund Investment Data'!$B:$B = 12),"""")"),"")</f>
        <v/>
      </c>
      <c r="T116" t="str">
        <f>IFERROR(__xludf.DUMMYFUNCTION("IFERROR(FILTER('Fund Investment Data'!$D:$D, 'Fund Investment Data'!$C:$C = $A116, 'Fund Investment Data'!$A:$A = T$1, 'Fund Investment Data'!$B:$B = 12),"""")"),"")</f>
        <v/>
      </c>
      <c r="U116" t="str">
        <f>IFERROR(__xludf.DUMMYFUNCTION("IFERROR(FILTER('Fund Investment Data'!$D:$D, 'Fund Investment Data'!$C:$C = $A116, 'Fund Investment Data'!$A:$A = U$1, 'Fund Investment Data'!$B:$B = 12),"""")"),"")</f>
        <v/>
      </c>
      <c r="V116" t="str">
        <f>IFERROR(__xludf.DUMMYFUNCTION("IFERROR(FILTER('Fund Investment Data'!$D:$D, 'Fund Investment Data'!$C:$C = $A116, 'Fund Investment Data'!$A:$A = V$1, 'Fund Investment Data'!$B:$B = 12),"""")"),"")</f>
        <v/>
      </c>
      <c r="W116" t="str">
        <f>IFERROR(__xludf.DUMMYFUNCTION("IFERROR(FILTER('Fund Investment Data'!$D:$D, 'Fund Investment Data'!$C:$C = $A116, 'Fund Investment Data'!$A:$A = W$1, 'Fund Investment Data'!$B:$B = 12),"""")"),"")</f>
        <v/>
      </c>
      <c r="X116" t="str">
        <f>IFERROR(__xludf.DUMMYFUNCTION("IFERROR(FILTER('Fund Investment Data'!$D:$D, 'Fund Investment Data'!$C:$C = $A116, 'Fund Investment Data'!$A:$A = X$1, 'Fund Investment Data'!$B:$B = 12),"""")"),"")</f>
        <v/>
      </c>
      <c r="Y116" t="str">
        <f>IFERROR(__xludf.DUMMYFUNCTION("IFERROR(FILTER('Fund Investment Data'!$D:$D, 'Fund Investment Data'!$C:$C = $A116, 'Fund Investment Data'!$A:$A = Y$1, 'Fund Investment Data'!$B:$B = 12),"""")"),"")</f>
        <v/>
      </c>
      <c r="Z116" t="str">
        <f>IFERROR(__xludf.DUMMYFUNCTION("IFERROR(FILTER('Fund Investment Data'!$D:$D, 'Fund Investment Data'!$C:$C = $A116, 'Fund Investment Data'!$A:$A = Z$1, 'Fund Investment Data'!$B:$B = 12),"""")"),"")</f>
        <v/>
      </c>
      <c r="AA116" t="str">
        <f>IFERROR(__xludf.DUMMYFUNCTION("IFERROR(FILTER('Fund Investment Data'!$D:$D, 'Fund Investment Data'!$C:$C = $A116, 'Fund Investment Data'!$A:$A = AA$1, 'Fund Investment Data'!$B:$B = 12),"""")"),"")</f>
        <v/>
      </c>
      <c r="AB116" t="str">
        <f>IFERROR(__xludf.DUMMYFUNCTION("IFERROR(FILTER('Fund Investment Data'!$D:$D, 'Fund Investment Data'!$C:$C = $A116, 'Fund Investment Data'!$A:$A = AB$1, 'Fund Investment Data'!$B:$B = 12),"""")"),"")</f>
        <v/>
      </c>
      <c r="AC116" t="str">
        <f>IFERROR(__xludf.DUMMYFUNCTION("IFERROR(FILTER('Fund Investment Data'!$D:$D, 'Fund Investment Data'!$C:$C = $A116, 'Fund Investment Data'!$A:$A = AC$1, 'Fund Investment Data'!$B:$B = 12),"""")"),"")</f>
        <v/>
      </c>
      <c r="AD116" t="str">
        <f>IFERROR(__xludf.DUMMYFUNCTION("IFERROR(FILTER('Fund Investment Data'!$D:$D, 'Fund Investment Data'!$C:$C = $A116, 'Fund Investment Data'!$A:$A = AD$1, 'Fund Investment Data'!$B:$B = 12),"""")"),"")</f>
        <v/>
      </c>
      <c r="AE116" t="str">
        <f>IFERROR(__xludf.DUMMYFUNCTION("IFERROR(FILTER('Fund Investment Data'!$D:$D, 'Fund Investment Data'!$C:$C = $A116, 'Fund Investment Data'!$A:$A = AE$1, 'Fund Investment Data'!$B:$B = 12),"""")"),"")</f>
        <v/>
      </c>
    </row>
    <row r="117">
      <c r="A117" s="150" t="str">
        <f>'Endowed Funds'!A:A</f>
        <v/>
      </c>
      <c r="B117" t="str">
        <f>IFERROR(__xludf.DUMMYFUNCTION("IFERROR(FILTER('Fund Investment Data'!$D:$D, 'Fund Investment Data'!$C:$C = $A117, 'Fund Investment Data'!$A:$A = B$1, 'Fund Investment Data'!$B:$B = 12),"""")"),"")</f>
        <v/>
      </c>
      <c r="C117" t="str">
        <f>IFERROR(__xludf.DUMMYFUNCTION("IFERROR(FILTER('Fund Investment Data'!$D:$D, 'Fund Investment Data'!$C:$C = $A117, 'Fund Investment Data'!$A:$A = C$1, 'Fund Investment Data'!$B:$B = 12),"""")"),"")</f>
        <v/>
      </c>
      <c r="D117" t="str">
        <f>IFERROR(__xludf.DUMMYFUNCTION("IFERROR(FILTER('Fund Investment Data'!$D:$D, 'Fund Investment Data'!$C:$C = $A117, 'Fund Investment Data'!$A:$A = D$1, 'Fund Investment Data'!$B:$B = 12),"""")"),"")</f>
        <v/>
      </c>
      <c r="E117" t="str">
        <f>IFERROR(__xludf.DUMMYFUNCTION("IFERROR(FILTER('Fund Investment Data'!$D:$D, 'Fund Investment Data'!$C:$C = $A117, 'Fund Investment Data'!$A:$A = E$1, 'Fund Investment Data'!$B:$B = 12),"""")"),"")</f>
        <v/>
      </c>
      <c r="F117" t="str">
        <f>IFERROR(__xludf.DUMMYFUNCTION("IFERROR(FILTER('Fund Investment Data'!$D:$D, 'Fund Investment Data'!$C:$C = $A117, 'Fund Investment Data'!$A:$A = F$1, 'Fund Investment Data'!$B:$B = 12),"""")"),"")</f>
        <v/>
      </c>
      <c r="G117" t="str">
        <f>IFERROR(__xludf.DUMMYFUNCTION("IFERROR(FILTER('Fund Investment Data'!$D:$D, 'Fund Investment Data'!$C:$C = $A117, 'Fund Investment Data'!$A:$A = G$1, 'Fund Investment Data'!$B:$B = 12),"""")"),"")</f>
        <v/>
      </c>
      <c r="H117" t="str">
        <f>IFERROR(__xludf.DUMMYFUNCTION("IFERROR(FILTER('Fund Investment Data'!$D:$D, 'Fund Investment Data'!$C:$C = $A117, 'Fund Investment Data'!$A:$A = H$1, 'Fund Investment Data'!$B:$B = 12),"""")"),"")</f>
        <v/>
      </c>
      <c r="I117" t="str">
        <f>IFERROR(__xludf.DUMMYFUNCTION("IFERROR(FILTER('Fund Investment Data'!$D:$D, 'Fund Investment Data'!$C:$C = $A117, 'Fund Investment Data'!$A:$A = I$1, 'Fund Investment Data'!$B:$B = 12),"""")"),"")</f>
        <v/>
      </c>
      <c r="J117" t="str">
        <f>IFERROR(__xludf.DUMMYFUNCTION("IFERROR(FILTER('Fund Investment Data'!$D:$D, 'Fund Investment Data'!$C:$C = $A117, 'Fund Investment Data'!$A:$A = J$1, 'Fund Investment Data'!$B:$B = 12),"""")"),"")</f>
        <v/>
      </c>
      <c r="K117" t="str">
        <f>IFERROR(__xludf.DUMMYFUNCTION("IFERROR(FILTER('Fund Investment Data'!$D:$D, 'Fund Investment Data'!$C:$C = $A117, 'Fund Investment Data'!$A:$A = K$1, 'Fund Investment Data'!$B:$B = 12),"""")"),"")</f>
        <v/>
      </c>
      <c r="L117" t="str">
        <f>IFERROR(__xludf.DUMMYFUNCTION("IFERROR(FILTER('Fund Investment Data'!$D:$D, 'Fund Investment Data'!$C:$C = $A117, 'Fund Investment Data'!$A:$A = L$1, 'Fund Investment Data'!$B:$B = 12),"""")"),"")</f>
        <v/>
      </c>
      <c r="M117" t="str">
        <f>IFERROR(__xludf.DUMMYFUNCTION("IFERROR(FILTER('Fund Investment Data'!$D:$D, 'Fund Investment Data'!$C:$C = $A117, 'Fund Investment Data'!$A:$A = M$1, 'Fund Investment Data'!$B:$B = 12),"""")"),"")</f>
        <v/>
      </c>
      <c r="N117" t="str">
        <f>IFERROR(__xludf.DUMMYFUNCTION("IFERROR(FILTER('Fund Investment Data'!$D:$D, 'Fund Investment Data'!$C:$C = $A117, 'Fund Investment Data'!$A:$A = N$1, 'Fund Investment Data'!$B:$B = 12),"""")"),"")</f>
        <v/>
      </c>
      <c r="O117" t="str">
        <f>IFERROR(__xludf.DUMMYFUNCTION("IFERROR(FILTER('Fund Investment Data'!$D:$D, 'Fund Investment Data'!$C:$C = $A117, 'Fund Investment Data'!$A:$A = O$1, 'Fund Investment Data'!$B:$B = 12),"""")"),"")</f>
        <v/>
      </c>
      <c r="P117" t="str">
        <f>IFERROR(__xludf.DUMMYFUNCTION("IFERROR(FILTER('Fund Investment Data'!$D:$D, 'Fund Investment Data'!$C:$C = $A117, 'Fund Investment Data'!$A:$A = P$1, 'Fund Investment Data'!$B:$B = 12),"""")"),"")</f>
        <v/>
      </c>
      <c r="Q117" t="str">
        <f>IFERROR(__xludf.DUMMYFUNCTION("IFERROR(FILTER('Fund Investment Data'!$D:$D, 'Fund Investment Data'!$C:$C = $A117, 'Fund Investment Data'!$A:$A = Q$1, 'Fund Investment Data'!$B:$B = 12),"""")"),"")</f>
        <v/>
      </c>
      <c r="R117" t="str">
        <f>IFERROR(__xludf.DUMMYFUNCTION("IFERROR(FILTER('Fund Investment Data'!$D:$D, 'Fund Investment Data'!$C:$C = $A117, 'Fund Investment Data'!$A:$A = R$1, 'Fund Investment Data'!$B:$B = 12),"""")"),"")</f>
        <v/>
      </c>
      <c r="S117" t="str">
        <f>IFERROR(__xludf.DUMMYFUNCTION("IFERROR(FILTER('Fund Investment Data'!$D:$D, 'Fund Investment Data'!$C:$C = $A117, 'Fund Investment Data'!$A:$A = S$1, 'Fund Investment Data'!$B:$B = 12),"""")"),"")</f>
        <v/>
      </c>
      <c r="T117" t="str">
        <f>IFERROR(__xludf.DUMMYFUNCTION("IFERROR(FILTER('Fund Investment Data'!$D:$D, 'Fund Investment Data'!$C:$C = $A117, 'Fund Investment Data'!$A:$A = T$1, 'Fund Investment Data'!$B:$B = 12),"""")"),"")</f>
        <v/>
      </c>
      <c r="U117" t="str">
        <f>IFERROR(__xludf.DUMMYFUNCTION("IFERROR(FILTER('Fund Investment Data'!$D:$D, 'Fund Investment Data'!$C:$C = $A117, 'Fund Investment Data'!$A:$A = U$1, 'Fund Investment Data'!$B:$B = 12),"""")"),"")</f>
        <v/>
      </c>
      <c r="V117" t="str">
        <f>IFERROR(__xludf.DUMMYFUNCTION("IFERROR(FILTER('Fund Investment Data'!$D:$D, 'Fund Investment Data'!$C:$C = $A117, 'Fund Investment Data'!$A:$A = V$1, 'Fund Investment Data'!$B:$B = 12),"""")"),"")</f>
        <v/>
      </c>
      <c r="W117" t="str">
        <f>IFERROR(__xludf.DUMMYFUNCTION("IFERROR(FILTER('Fund Investment Data'!$D:$D, 'Fund Investment Data'!$C:$C = $A117, 'Fund Investment Data'!$A:$A = W$1, 'Fund Investment Data'!$B:$B = 12),"""")"),"")</f>
        <v/>
      </c>
      <c r="X117" t="str">
        <f>IFERROR(__xludf.DUMMYFUNCTION("IFERROR(FILTER('Fund Investment Data'!$D:$D, 'Fund Investment Data'!$C:$C = $A117, 'Fund Investment Data'!$A:$A = X$1, 'Fund Investment Data'!$B:$B = 12),"""")"),"")</f>
        <v/>
      </c>
      <c r="Y117" t="str">
        <f>IFERROR(__xludf.DUMMYFUNCTION("IFERROR(FILTER('Fund Investment Data'!$D:$D, 'Fund Investment Data'!$C:$C = $A117, 'Fund Investment Data'!$A:$A = Y$1, 'Fund Investment Data'!$B:$B = 12),"""")"),"")</f>
        <v/>
      </c>
      <c r="Z117" t="str">
        <f>IFERROR(__xludf.DUMMYFUNCTION("IFERROR(FILTER('Fund Investment Data'!$D:$D, 'Fund Investment Data'!$C:$C = $A117, 'Fund Investment Data'!$A:$A = Z$1, 'Fund Investment Data'!$B:$B = 12),"""")"),"")</f>
        <v/>
      </c>
      <c r="AA117" t="str">
        <f>IFERROR(__xludf.DUMMYFUNCTION("IFERROR(FILTER('Fund Investment Data'!$D:$D, 'Fund Investment Data'!$C:$C = $A117, 'Fund Investment Data'!$A:$A = AA$1, 'Fund Investment Data'!$B:$B = 12),"""")"),"")</f>
        <v/>
      </c>
      <c r="AB117" t="str">
        <f>IFERROR(__xludf.DUMMYFUNCTION("IFERROR(FILTER('Fund Investment Data'!$D:$D, 'Fund Investment Data'!$C:$C = $A117, 'Fund Investment Data'!$A:$A = AB$1, 'Fund Investment Data'!$B:$B = 12),"""")"),"")</f>
        <v/>
      </c>
      <c r="AC117" t="str">
        <f>IFERROR(__xludf.DUMMYFUNCTION("IFERROR(FILTER('Fund Investment Data'!$D:$D, 'Fund Investment Data'!$C:$C = $A117, 'Fund Investment Data'!$A:$A = AC$1, 'Fund Investment Data'!$B:$B = 12),"""")"),"")</f>
        <v/>
      </c>
      <c r="AD117" t="str">
        <f>IFERROR(__xludf.DUMMYFUNCTION("IFERROR(FILTER('Fund Investment Data'!$D:$D, 'Fund Investment Data'!$C:$C = $A117, 'Fund Investment Data'!$A:$A = AD$1, 'Fund Investment Data'!$B:$B = 12),"""")"),"")</f>
        <v/>
      </c>
      <c r="AE117" t="str">
        <f>IFERROR(__xludf.DUMMYFUNCTION("IFERROR(FILTER('Fund Investment Data'!$D:$D, 'Fund Investment Data'!$C:$C = $A117, 'Fund Investment Data'!$A:$A = AE$1, 'Fund Investment Data'!$B:$B = 12),"""")"),"")</f>
        <v/>
      </c>
    </row>
    <row r="118">
      <c r="A118" s="150" t="str">
        <f>'Endowed Funds'!A:A</f>
        <v/>
      </c>
      <c r="B118" t="str">
        <f>IFERROR(__xludf.DUMMYFUNCTION("IFERROR(FILTER('Fund Investment Data'!$D:$D, 'Fund Investment Data'!$C:$C = $A118, 'Fund Investment Data'!$A:$A = B$1, 'Fund Investment Data'!$B:$B = 12),"""")"),"")</f>
        <v/>
      </c>
      <c r="C118" t="str">
        <f>IFERROR(__xludf.DUMMYFUNCTION("IFERROR(FILTER('Fund Investment Data'!$D:$D, 'Fund Investment Data'!$C:$C = $A118, 'Fund Investment Data'!$A:$A = C$1, 'Fund Investment Data'!$B:$B = 12),"""")"),"")</f>
        <v/>
      </c>
      <c r="D118" t="str">
        <f>IFERROR(__xludf.DUMMYFUNCTION("IFERROR(FILTER('Fund Investment Data'!$D:$D, 'Fund Investment Data'!$C:$C = $A118, 'Fund Investment Data'!$A:$A = D$1, 'Fund Investment Data'!$B:$B = 12),"""")"),"")</f>
        <v/>
      </c>
      <c r="E118" t="str">
        <f>IFERROR(__xludf.DUMMYFUNCTION("IFERROR(FILTER('Fund Investment Data'!$D:$D, 'Fund Investment Data'!$C:$C = $A118, 'Fund Investment Data'!$A:$A = E$1, 'Fund Investment Data'!$B:$B = 12),"""")"),"")</f>
        <v/>
      </c>
      <c r="F118" t="str">
        <f>IFERROR(__xludf.DUMMYFUNCTION("IFERROR(FILTER('Fund Investment Data'!$D:$D, 'Fund Investment Data'!$C:$C = $A118, 'Fund Investment Data'!$A:$A = F$1, 'Fund Investment Data'!$B:$B = 12),"""")"),"")</f>
        <v/>
      </c>
      <c r="G118" t="str">
        <f>IFERROR(__xludf.DUMMYFUNCTION("IFERROR(FILTER('Fund Investment Data'!$D:$D, 'Fund Investment Data'!$C:$C = $A118, 'Fund Investment Data'!$A:$A = G$1, 'Fund Investment Data'!$B:$B = 12),"""")"),"")</f>
        <v/>
      </c>
      <c r="H118" t="str">
        <f>IFERROR(__xludf.DUMMYFUNCTION("IFERROR(FILTER('Fund Investment Data'!$D:$D, 'Fund Investment Data'!$C:$C = $A118, 'Fund Investment Data'!$A:$A = H$1, 'Fund Investment Data'!$B:$B = 12),"""")"),"")</f>
        <v/>
      </c>
      <c r="I118" t="str">
        <f>IFERROR(__xludf.DUMMYFUNCTION("IFERROR(FILTER('Fund Investment Data'!$D:$D, 'Fund Investment Data'!$C:$C = $A118, 'Fund Investment Data'!$A:$A = I$1, 'Fund Investment Data'!$B:$B = 12),"""")"),"")</f>
        <v/>
      </c>
      <c r="J118" t="str">
        <f>IFERROR(__xludf.DUMMYFUNCTION("IFERROR(FILTER('Fund Investment Data'!$D:$D, 'Fund Investment Data'!$C:$C = $A118, 'Fund Investment Data'!$A:$A = J$1, 'Fund Investment Data'!$B:$B = 12),"""")"),"")</f>
        <v/>
      </c>
      <c r="K118" t="str">
        <f>IFERROR(__xludf.DUMMYFUNCTION("IFERROR(FILTER('Fund Investment Data'!$D:$D, 'Fund Investment Data'!$C:$C = $A118, 'Fund Investment Data'!$A:$A = K$1, 'Fund Investment Data'!$B:$B = 12),"""")"),"")</f>
        <v/>
      </c>
      <c r="L118" t="str">
        <f>IFERROR(__xludf.DUMMYFUNCTION("IFERROR(FILTER('Fund Investment Data'!$D:$D, 'Fund Investment Data'!$C:$C = $A118, 'Fund Investment Data'!$A:$A = L$1, 'Fund Investment Data'!$B:$B = 12),"""")"),"")</f>
        <v/>
      </c>
      <c r="M118" t="str">
        <f>IFERROR(__xludf.DUMMYFUNCTION("IFERROR(FILTER('Fund Investment Data'!$D:$D, 'Fund Investment Data'!$C:$C = $A118, 'Fund Investment Data'!$A:$A = M$1, 'Fund Investment Data'!$B:$B = 12),"""")"),"")</f>
        <v/>
      </c>
      <c r="N118" t="str">
        <f>IFERROR(__xludf.DUMMYFUNCTION("IFERROR(FILTER('Fund Investment Data'!$D:$D, 'Fund Investment Data'!$C:$C = $A118, 'Fund Investment Data'!$A:$A = N$1, 'Fund Investment Data'!$B:$B = 12),"""")"),"")</f>
        <v/>
      </c>
      <c r="O118" t="str">
        <f>IFERROR(__xludf.DUMMYFUNCTION("IFERROR(FILTER('Fund Investment Data'!$D:$D, 'Fund Investment Data'!$C:$C = $A118, 'Fund Investment Data'!$A:$A = O$1, 'Fund Investment Data'!$B:$B = 12),"""")"),"")</f>
        <v/>
      </c>
      <c r="P118" t="str">
        <f>IFERROR(__xludf.DUMMYFUNCTION("IFERROR(FILTER('Fund Investment Data'!$D:$D, 'Fund Investment Data'!$C:$C = $A118, 'Fund Investment Data'!$A:$A = P$1, 'Fund Investment Data'!$B:$B = 12),"""")"),"")</f>
        <v/>
      </c>
      <c r="Q118" t="str">
        <f>IFERROR(__xludf.DUMMYFUNCTION("IFERROR(FILTER('Fund Investment Data'!$D:$D, 'Fund Investment Data'!$C:$C = $A118, 'Fund Investment Data'!$A:$A = Q$1, 'Fund Investment Data'!$B:$B = 12),"""")"),"")</f>
        <v/>
      </c>
      <c r="R118" t="str">
        <f>IFERROR(__xludf.DUMMYFUNCTION("IFERROR(FILTER('Fund Investment Data'!$D:$D, 'Fund Investment Data'!$C:$C = $A118, 'Fund Investment Data'!$A:$A = R$1, 'Fund Investment Data'!$B:$B = 12),"""")"),"")</f>
        <v/>
      </c>
      <c r="S118" t="str">
        <f>IFERROR(__xludf.DUMMYFUNCTION("IFERROR(FILTER('Fund Investment Data'!$D:$D, 'Fund Investment Data'!$C:$C = $A118, 'Fund Investment Data'!$A:$A = S$1, 'Fund Investment Data'!$B:$B = 12),"""")"),"")</f>
        <v/>
      </c>
      <c r="T118" t="str">
        <f>IFERROR(__xludf.DUMMYFUNCTION("IFERROR(FILTER('Fund Investment Data'!$D:$D, 'Fund Investment Data'!$C:$C = $A118, 'Fund Investment Data'!$A:$A = T$1, 'Fund Investment Data'!$B:$B = 12),"""")"),"")</f>
        <v/>
      </c>
      <c r="U118" t="str">
        <f>IFERROR(__xludf.DUMMYFUNCTION("IFERROR(FILTER('Fund Investment Data'!$D:$D, 'Fund Investment Data'!$C:$C = $A118, 'Fund Investment Data'!$A:$A = U$1, 'Fund Investment Data'!$B:$B = 12),"""")"),"")</f>
        <v/>
      </c>
      <c r="V118" t="str">
        <f>IFERROR(__xludf.DUMMYFUNCTION("IFERROR(FILTER('Fund Investment Data'!$D:$D, 'Fund Investment Data'!$C:$C = $A118, 'Fund Investment Data'!$A:$A = V$1, 'Fund Investment Data'!$B:$B = 12),"""")"),"")</f>
        <v/>
      </c>
      <c r="W118" t="str">
        <f>IFERROR(__xludf.DUMMYFUNCTION("IFERROR(FILTER('Fund Investment Data'!$D:$D, 'Fund Investment Data'!$C:$C = $A118, 'Fund Investment Data'!$A:$A = W$1, 'Fund Investment Data'!$B:$B = 12),"""")"),"")</f>
        <v/>
      </c>
      <c r="X118" t="str">
        <f>IFERROR(__xludf.DUMMYFUNCTION("IFERROR(FILTER('Fund Investment Data'!$D:$D, 'Fund Investment Data'!$C:$C = $A118, 'Fund Investment Data'!$A:$A = X$1, 'Fund Investment Data'!$B:$B = 12),"""")"),"")</f>
        <v/>
      </c>
      <c r="Y118" t="str">
        <f>IFERROR(__xludf.DUMMYFUNCTION("IFERROR(FILTER('Fund Investment Data'!$D:$D, 'Fund Investment Data'!$C:$C = $A118, 'Fund Investment Data'!$A:$A = Y$1, 'Fund Investment Data'!$B:$B = 12),"""")"),"")</f>
        <v/>
      </c>
      <c r="Z118" t="str">
        <f>IFERROR(__xludf.DUMMYFUNCTION("IFERROR(FILTER('Fund Investment Data'!$D:$D, 'Fund Investment Data'!$C:$C = $A118, 'Fund Investment Data'!$A:$A = Z$1, 'Fund Investment Data'!$B:$B = 12),"""")"),"")</f>
        <v/>
      </c>
      <c r="AA118" t="str">
        <f>IFERROR(__xludf.DUMMYFUNCTION("IFERROR(FILTER('Fund Investment Data'!$D:$D, 'Fund Investment Data'!$C:$C = $A118, 'Fund Investment Data'!$A:$A = AA$1, 'Fund Investment Data'!$B:$B = 12),"""")"),"")</f>
        <v/>
      </c>
      <c r="AB118" t="str">
        <f>IFERROR(__xludf.DUMMYFUNCTION("IFERROR(FILTER('Fund Investment Data'!$D:$D, 'Fund Investment Data'!$C:$C = $A118, 'Fund Investment Data'!$A:$A = AB$1, 'Fund Investment Data'!$B:$B = 12),"""")"),"")</f>
        <v/>
      </c>
      <c r="AC118" t="str">
        <f>IFERROR(__xludf.DUMMYFUNCTION("IFERROR(FILTER('Fund Investment Data'!$D:$D, 'Fund Investment Data'!$C:$C = $A118, 'Fund Investment Data'!$A:$A = AC$1, 'Fund Investment Data'!$B:$B = 12),"""")"),"")</f>
        <v/>
      </c>
      <c r="AD118" t="str">
        <f>IFERROR(__xludf.DUMMYFUNCTION("IFERROR(FILTER('Fund Investment Data'!$D:$D, 'Fund Investment Data'!$C:$C = $A118, 'Fund Investment Data'!$A:$A = AD$1, 'Fund Investment Data'!$B:$B = 12),"""")"),"")</f>
        <v/>
      </c>
      <c r="AE118" t="str">
        <f>IFERROR(__xludf.DUMMYFUNCTION("IFERROR(FILTER('Fund Investment Data'!$D:$D, 'Fund Investment Data'!$C:$C = $A118, 'Fund Investment Data'!$A:$A = AE$1, 'Fund Investment Data'!$B:$B = 12),"""")"),"")</f>
        <v/>
      </c>
    </row>
    <row r="119">
      <c r="A119" s="150" t="str">
        <f>'Endowed Funds'!A:A</f>
        <v/>
      </c>
      <c r="B119" t="str">
        <f>IFERROR(__xludf.DUMMYFUNCTION("IFERROR(FILTER('Fund Investment Data'!$D:$D, 'Fund Investment Data'!$C:$C = $A119, 'Fund Investment Data'!$A:$A = B$1, 'Fund Investment Data'!$B:$B = 12),"""")"),"")</f>
        <v/>
      </c>
      <c r="C119" t="str">
        <f>IFERROR(__xludf.DUMMYFUNCTION("IFERROR(FILTER('Fund Investment Data'!$D:$D, 'Fund Investment Data'!$C:$C = $A119, 'Fund Investment Data'!$A:$A = C$1, 'Fund Investment Data'!$B:$B = 12),"""")"),"")</f>
        <v/>
      </c>
      <c r="D119" t="str">
        <f>IFERROR(__xludf.DUMMYFUNCTION("IFERROR(FILTER('Fund Investment Data'!$D:$D, 'Fund Investment Data'!$C:$C = $A119, 'Fund Investment Data'!$A:$A = D$1, 'Fund Investment Data'!$B:$B = 12),"""")"),"")</f>
        <v/>
      </c>
      <c r="E119" t="str">
        <f>IFERROR(__xludf.DUMMYFUNCTION("IFERROR(FILTER('Fund Investment Data'!$D:$D, 'Fund Investment Data'!$C:$C = $A119, 'Fund Investment Data'!$A:$A = E$1, 'Fund Investment Data'!$B:$B = 12),"""")"),"")</f>
        <v/>
      </c>
      <c r="F119" t="str">
        <f>IFERROR(__xludf.DUMMYFUNCTION("IFERROR(FILTER('Fund Investment Data'!$D:$D, 'Fund Investment Data'!$C:$C = $A119, 'Fund Investment Data'!$A:$A = F$1, 'Fund Investment Data'!$B:$B = 12),"""")"),"")</f>
        <v/>
      </c>
      <c r="G119" t="str">
        <f>IFERROR(__xludf.DUMMYFUNCTION("IFERROR(FILTER('Fund Investment Data'!$D:$D, 'Fund Investment Data'!$C:$C = $A119, 'Fund Investment Data'!$A:$A = G$1, 'Fund Investment Data'!$B:$B = 12),"""")"),"")</f>
        <v/>
      </c>
      <c r="H119" t="str">
        <f>IFERROR(__xludf.DUMMYFUNCTION("IFERROR(FILTER('Fund Investment Data'!$D:$D, 'Fund Investment Data'!$C:$C = $A119, 'Fund Investment Data'!$A:$A = H$1, 'Fund Investment Data'!$B:$B = 12),"""")"),"")</f>
        <v/>
      </c>
      <c r="I119" t="str">
        <f>IFERROR(__xludf.DUMMYFUNCTION("IFERROR(FILTER('Fund Investment Data'!$D:$D, 'Fund Investment Data'!$C:$C = $A119, 'Fund Investment Data'!$A:$A = I$1, 'Fund Investment Data'!$B:$B = 12),"""")"),"")</f>
        <v/>
      </c>
      <c r="J119" t="str">
        <f>IFERROR(__xludf.DUMMYFUNCTION("IFERROR(FILTER('Fund Investment Data'!$D:$D, 'Fund Investment Data'!$C:$C = $A119, 'Fund Investment Data'!$A:$A = J$1, 'Fund Investment Data'!$B:$B = 12),"""")"),"")</f>
        <v/>
      </c>
      <c r="K119" t="str">
        <f>IFERROR(__xludf.DUMMYFUNCTION("IFERROR(FILTER('Fund Investment Data'!$D:$D, 'Fund Investment Data'!$C:$C = $A119, 'Fund Investment Data'!$A:$A = K$1, 'Fund Investment Data'!$B:$B = 12),"""")"),"")</f>
        <v/>
      </c>
      <c r="L119" t="str">
        <f>IFERROR(__xludf.DUMMYFUNCTION("IFERROR(FILTER('Fund Investment Data'!$D:$D, 'Fund Investment Data'!$C:$C = $A119, 'Fund Investment Data'!$A:$A = L$1, 'Fund Investment Data'!$B:$B = 12),"""")"),"")</f>
        <v/>
      </c>
      <c r="M119" t="str">
        <f>IFERROR(__xludf.DUMMYFUNCTION("IFERROR(FILTER('Fund Investment Data'!$D:$D, 'Fund Investment Data'!$C:$C = $A119, 'Fund Investment Data'!$A:$A = M$1, 'Fund Investment Data'!$B:$B = 12),"""")"),"")</f>
        <v/>
      </c>
      <c r="N119" t="str">
        <f>IFERROR(__xludf.DUMMYFUNCTION("IFERROR(FILTER('Fund Investment Data'!$D:$D, 'Fund Investment Data'!$C:$C = $A119, 'Fund Investment Data'!$A:$A = N$1, 'Fund Investment Data'!$B:$B = 12),"""")"),"")</f>
        <v/>
      </c>
      <c r="O119" t="str">
        <f>IFERROR(__xludf.DUMMYFUNCTION("IFERROR(FILTER('Fund Investment Data'!$D:$D, 'Fund Investment Data'!$C:$C = $A119, 'Fund Investment Data'!$A:$A = O$1, 'Fund Investment Data'!$B:$B = 12),"""")"),"")</f>
        <v/>
      </c>
      <c r="P119" t="str">
        <f>IFERROR(__xludf.DUMMYFUNCTION("IFERROR(FILTER('Fund Investment Data'!$D:$D, 'Fund Investment Data'!$C:$C = $A119, 'Fund Investment Data'!$A:$A = P$1, 'Fund Investment Data'!$B:$B = 12),"""")"),"")</f>
        <v/>
      </c>
      <c r="Q119" t="str">
        <f>IFERROR(__xludf.DUMMYFUNCTION("IFERROR(FILTER('Fund Investment Data'!$D:$D, 'Fund Investment Data'!$C:$C = $A119, 'Fund Investment Data'!$A:$A = Q$1, 'Fund Investment Data'!$B:$B = 12),"""")"),"")</f>
        <v/>
      </c>
      <c r="R119" t="str">
        <f>IFERROR(__xludf.DUMMYFUNCTION("IFERROR(FILTER('Fund Investment Data'!$D:$D, 'Fund Investment Data'!$C:$C = $A119, 'Fund Investment Data'!$A:$A = R$1, 'Fund Investment Data'!$B:$B = 12),"""")"),"")</f>
        <v/>
      </c>
      <c r="S119" t="str">
        <f>IFERROR(__xludf.DUMMYFUNCTION("IFERROR(FILTER('Fund Investment Data'!$D:$D, 'Fund Investment Data'!$C:$C = $A119, 'Fund Investment Data'!$A:$A = S$1, 'Fund Investment Data'!$B:$B = 12),"""")"),"")</f>
        <v/>
      </c>
      <c r="T119" t="str">
        <f>IFERROR(__xludf.DUMMYFUNCTION("IFERROR(FILTER('Fund Investment Data'!$D:$D, 'Fund Investment Data'!$C:$C = $A119, 'Fund Investment Data'!$A:$A = T$1, 'Fund Investment Data'!$B:$B = 12),"""")"),"")</f>
        <v/>
      </c>
      <c r="U119" t="str">
        <f>IFERROR(__xludf.DUMMYFUNCTION("IFERROR(FILTER('Fund Investment Data'!$D:$D, 'Fund Investment Data'!$C:$C = $A119, 'Fund Investment Data'!$A:$A = U$1, 'Fund Investment Data'!$B:$B = 12),"""")"),"")</f>
        <v/>
      </c>
      <c r="V119" t="str">
        <f>IFERROR(__xludf.DUMMYFUNCTION("IFERROR(FILTER('Fund Investment Data'!$D:$D, 'Fund Investment Data'!$C:$C = $A119, 'Fund Investment Data'!$A:$A = V$1, 'Fund Investment Data'!$B:$B = 12),"""")"),"")</f>
        <v/>
      </c>
      <c r="W119" t="str">
        <f>IFERROR(__xludf.DUMMYFUNCTION("IFERROR(FILTER('Fund Investment Data'!$D:$D, 'Fund Investment Data'!$C:$C = $A119, 'Fund Investment Data'!$A:$A = W$1, 'Fund Investment Data'!$B:$B = 12),"""")"),"")</f>
        <v/>
      </c>
      <c r="X119" t="str">
        <f>IFERROR(__xludf.DUMMYFUNCTION("IFERROR(FILTER('Fund Investment Data'!$D:$D, 'Fund Investment Data'!$C:$C = $A119, 'Fund Investment Data'!$A:$A = X$1, 'Fund Investment Data'!$B:$B = 12),"""")"),"")</f>
        <v/>
      </c>
      <c r="Y119" t="str">
        <f>IFERROR(__xludf.DUMMYFUNCTION("IFERROR(FILTER('Fund Investment Data'!$D:$D, 'Fund Investment Data'!$C:$C = $A119, 'Fund Investment Data'!$A:$A = Y$1, 'Fund Investment Data'!$B:$B = 12),"""")"),"")</f>
        <v/>
      </c>
      <c r="Z119" t="str">
        <f>IFERROR(__xludf.DUMMYFUNCTION("IFERROR(FILTER('Fund Investment Data'!$D:$D, 'Fund Investment Data'!$C:$C = $A119, 'Fund Investment Data'!$A:$A = Z$1, 'Fund Investment Data'!$B:$B = 12),"""")"),"")</f>
        <v/>
      </c>
      <c r="AA119" t="str">
        <f>IFERROR(__xludf.DUMMYFUNCTION("IFERROR(FILTER('Fund Investment Data'!$D:$D, 'Fund Investment Data'!$C:$C = $A119, 'Fund Investment Data'!$A:$A = AA$1, 'Fund Investment Data'!$B:$B = 12),"""")"),"")</f>
        <v/>
      </c>
      <c r="AB119" t="str">
        <f>IFERROR(__xludf.DUMMYFUNCTION("IFERROR(FILTER('Fund Investment Data'!$D:$D, 'Fund Investment Data'!$C:$C = $A119, 'Fund Investment Data'!$A:$A = AB$1, 'Fund Investment Data'!$B:$B = 12),"""")"),"")</f>
        <v/>
      </c>
      <c r="AC119" t="str">
        <f>IFERROR(__xludf.DUMMYFUNCTION("IFERROR(FILTER('Fund Investment Data'!$D:$D, 'Fund Investment Data'!$C:$C = $A119, 'Fund Investment Data'!$A:$A = AC$1, 'Fund Investment Data'!$B:$B = 12),"""")"),"")</f>
        <v/>
      </c>
      <c r="AD119" t="str">
        <f>IFERROR(__xludf.DUMMYFUNCTION("IFERROR(FILTER('Fund Investment Data'!$D:$D, 'Fund Investment Data'!$C:$C = $A119, 'Fund Investment Data'!$A:$A = AD$1, 'Fund Investment Data'!$B:$B = 12),"""")"),"")</f>
        <v/>
      </c>
      <c r="AE119" t="str">
        <f>IFERROR(__xludf.DUMMYFUNCTION("IFERROR(FILTER('Fund Investment Data'!$D:$D, 'Fund Investment Data'!$C:$C = $A119, 'Fund Investment Data'!$A:$A = AE$1, 'Fund Investment Data'!$B:$B = 12),"""")"),"")</f>
        <v/>
      </c>
    </row>
    <row r="120">
      <c r="A120" s="150" t="str">
        <f>'Endowed Funds'!A:A</f>
        <v/>
      </c>
      <c r="B120" t="str">
        <f>IFERROR(__xludf.DUMMYFUNCTION("IFERROR(FILTER('Fund Investment Data'!$D:$D, 'Fund Investment Data'!$C:$C = $A120, 'Fund Investment Data'!$A:$A = B$1, 'Fund Investment Data'!$B:$B = 12),"""")"),"")</f>
        <v/>
      </c>
      <c r="C120" t="str">
        <f>IFERROR(__xludf.DUMMYFUNCTION("IFERROR(FILTER('Fund Investment Data'!$D:$D, 'Fund Investment Data'!$C:$C = $A120, 'Fund Investment Data'!$A:$A = C$1, 'Fund Investment Data'!$B:$B = 12),"""")"),"")</f>
        <v/>
      </c>
      <c r="D120" t="str">
        <f>IFERROR(__xludf.DUMMYFUNCTION("IFERROR(FILTER('Fund Investment Data'!$D:$D, 'Fund Investment Data'!$C:$C = $A120, 'Fund Investment Data'!$A:$A = D$1, 'Fund Investment Data'!$B:$B = 12),"""")"),"")</f>
        <v/>
      </c>
      <c r="E120" t="str">
        <f>IFERROR(__xludf.DUMMYFUNCTION("IFERROR(FILTER('Fund Investment Data'!$D:$D, 'Fund Investment Data'!$C:$C = $A120, 'Fund Investment Data'!$A:$A = E$1, 'Fund Investment Data'!$B:$B = 12),"""")"),"")</f>
        <v/>
      </c>
      <c r="F120" t="str">
        <f>IFERROR(__xludf.DUMMYFUNCTION("IFERROR(FILTER('Fund Investment Data'!$D:$D, 'Fund Investment Data'!$C:$C = $A120, 'Fund Investment Data'!$A:$A = F$1, 'Fund Investment Data'!$B:$B = 12),"""")"),"")</f>
        <v/>
      </c>
      <c r="G120" t="str">
        <f>IFERROR(__xludf.DUMMYFUNCTION("IFERROR(FILTER('Fund Investment Data'!$D:$D, 'Fund Investment Data'!$C:$C = $A120, 'Fund Investment Data'!$A:$A = G$1, 'Fund Investment Data'!$B:$B = 12),"""")"),"")</f>
        <v/>
      </c>
      <c r="H120" t="str">
        <f>IFERROR(__xludf.DUMMYFUNCTION("IFERROR(FILTER('Fund Investment Data'!$D:$D, 'Fund Investment Data'!$C:$C = $A120, 'Fund Investment Data'!$A:$A = H$1, 'Fund Investment Data'!$B:$B = 12),"""")"),"")</f>
        <v/>
      </c>
      <c r="I120" t="str">
        <f>IFERROR(__xludf.DUMMYFUNCTION("IFERROR(FILTER('Fund Investment Data'!$D:$D, 'Fund Investment Data'!$C:$C = $A120, 'Fund Investment Data'!$A:$A = I$1, 'Fund Investment Data'!$B:$B = 12),"""")"),"")</f>
        <v/>
      </c>
      <c r="J120" t="str">
        <f>IFERROR(__xludf.DUMMYFUNCTION("IFERROR(FILTER('Fund Investment Data'!$D:$D, 'Fund Investment Data'!$C:$C = $A120, 'Fund Investment Data'!$A:$A = J$1, 'Fund Investment Data'!$B:$B = 12),"""")"),"")</f>
        <v/>
      </c>
      <c r="K120" t="str">
        <f>IFERROR(__xludf.DUMMYFUNCTION("IFERROR(FILTER('Fund Investment Data'!$D:$D, 'Fund Investment Data'!$C:$C = $A120, 'Fund Investment Data'!$A:$A = K$1, 'Fund Investment Data'!$B:$B = 12),"""")"),"")</f>
        <v/>
      </c>
      <c r="L120" t="str">
        <f>IFERROR(__xludf.DUMMYFUNCTION("IFERROR(FILTER('Fund Investment Data'!$D:$D, 'Fund Investment Data'!$C:$C = $A120, 'Fund Investment Data'!$A:$A = L$1, 'Fund Investment Data'!$B:$B = 12),"""")"),"")</f>
        <v/>
      </c>
      <c r="M120" t="str">
        <f>IFERROR(__xludf.DUMMYFUNCTION("IFERROR(FILTER('Fund Investment Data'!$D:$D, 'Fund Investment Data'!$C:$C = $A120, 'Fund Investment Data'!$A:$A = M$1, 'Fund Investment Data'!$B:$B = 12),"""")"),"")</f>
        <v/>
      </c>
      <c r="N120" t="str">
        <f>IFERROR(__xludf.DUMMYFUNCTION("IFERROR(FILTER('Fund Investment Data'!$D:$D, 'Fund Investment Data'!$C:$C = $A120, 'Fund Investment Data'!$A:$A = N$1, 'Fund Investment Data'!$B:$B = 12),"""")"),"")</f>
        <v/>
      </c>
      <c r="O120" t="str">
        <f>IFERROR(__xludf.DUMMYFUNCTION("IFERROR(FILTER('Fund Investment Data'!$D:$D, 'Fund Investment Data'!$C:$C = $A120, 'Fund Investment Data'!$A:$A = O$1, 'Fund Investment Data'!$B:$B = 12),"""")"),"")</f>
        <v/>
      </c>
      <c r="P120" t="str">
        <f>IFERROR(__xludf.DUMMYFUNCTION("IFERROR(FILTER('Fund Investment Data'!$D:$D, 'Fund Investment Data'!$C:$C = $A120, 'Fund Investment Data'!$A:$A = P$1, 'Fund Investment Data'!$B:$B = 12),"""")"),"")</f>
        <v/>
      </c>
      <c r="Q120" t="str">
        <f>IFERROR(__xludf.DUMMYFUNCTION("IFERROR(FILTER('Fund Investment Data'!$D:$D, 'Fund Investment Data'!$C:$C = $A120, 'Fund Investment Data'!$A:$A = Q$1, 'Fund Investment Data'!$B:$B = 12),"""")"),"")</f>
        <v/>
      </c>
      <c r="R120" t="str">
        <f>IFERROR(__xludf.DUMMYFUNCTION("IFERROR(FILTER('Fund Investment Data'!$D:$D, 'Fund Investment Data'!$C:$C = $A120, 'Fund Investment Data'!$A:$A = R$1, 'Fund Investment Data'!$B:$B = 12),"""")"),"")</f>
        <v/>
      </c>
      <c r="S120" t="str">
        <f>IFERROR(__xludf.DUMMYFUNCTION("IFERROR(FILTER('Fund Investment Data'!$D:$D, 'Fund Investment Data'!$C:$C = $A120, 'Fund Investment Data'!$A:$A = S$1, 'Fund Investment Data'!$B:$B = 12),"""")"),"")</f>
        <v/>
      </c>
      <c r="T120" t="str">
        <f>IFERROR(__xludf.DUMMYFUNCTION("IFERROR(FILTER('Fund Investment Data'!$D:$D, 'Fund Investment Data'!$C:$C = $A120, 'Fund Investment Data'!$A:$A = T$1, 'Fund Investment Data'!$B:$B = 12),"""")"),"")</f>
        <v/>
      </c>
      <c r="U120" t="str">
        <f>IFERROR(__xludf.DUMMYFUNCTION("IFERROR(FILTER('Fund Investment Data'!$D:$D, 'Fund Investment Data'!$C:$C = $A120, 'Fund Investment Data'!$A:$A = U$1, 'Fund Investment Data'!$B:$B = 12),"""")"),"")</f>
        <v/>
      </c>
      <c r="V120" t="str">
        <f>IFERROR(__xludf.DUMMYFUNCTION("IFERROR(FILTER('Fund Investment Data'!$D:$D, 'Fund Investment Data'!$C:$C = $A120, 'Fund Investment Data'!$A:$A = V$1, 'Fund Investment Data'!$B:$B = 12),"""")"),"")</f>
        <v/>
      </c>
      <c r="W120" t="str">
        <f>IFERROR(__xludf.DUMMYFUNCTION("IFERROR(FILTER('Fund Investment Data'!$D:$D, 'Fund Investment Data'!$C:$C = $A120, 'Fund Investment Data'!$A:$A = W$1, 'Fund Investment Data'!$B:$B = 12),"""")"),"")</f>
        <v/>
      </c>
      <c r="X120" t="str">
        <f>IFERROR(__xludf.DUMMYFUNCTION("IFERROR(FILTER('Fund Investment Data'!$D:$D, 'Fund Investment Data'!$C:$C = $A120, 'Fund Investment Data'!$A:$A = X$1, 'Fund Investment Data'!$B:$B = 12),"""")"),"")</f>
        <v/>
      </c>
      <c r="Y120" t="str">
        <f>IFERROR(__xludf.DUMMYFUNCTION("IFERROR(FILTER('Fund Investment Data'!$D:$D, 'Fund Investment Data'!$C:$C = $A120, 'Fund Investment Data'!$A:$A = Y$1, 'Fund Investment Data'!$B:$B = 12),"""")"),"")</f>
        <v/>
      </c>
      <c r="Z120" t="str">
        <f>IFERROR(__xludf.DUMMYFUNCTION("IFERROR(FILTER('Fund Investment Data'!$D:$D, 'Fund Investment Data'!$C:$C = $A120, 'Fund Investment Data'!$A:$A = Z$1, 'Fund Investment Data'!$B:$B = 12),"""")"),"")</f>
        <v/>
      </c>
      <c r="AA120" t="str">
        <f>IFERROR(__xludf.DUMMYFUNCTION("IFERROR(FILTER('Fund Investment Data'!$D:$D, 'Fund Investment Data'!$C:$C = $A120, 'Fund Investment Data'!$A:$A = AA$1, 'Fund Investment Data'!$B:$B = 12),"""")"),"")</f>
        <v/>
      </c>
      <c r="AB120" t="str">
        <f>IFERROR(__xludf.DUMMYFUNCTION("IFERROR(FILTER('Fund Investment Data'!$D:$D, 'Fund Investment Data'!$C:$C = $A120, 'Fund Investment Data'!$A:$A = AB$1, 'Fund Investment Data'!$B:$B = 12),"""")"),"")</f>
        <v/>
      </c>
      <c r="AC120" t="str">
        <f>IFERROR(__xludf.DUMMYFUNCTION("IFERROR(FILTER('Fund Investment Data'!$D:$D, 'Fund Investment Data'!$C:$C = $A120, 'Fund Investment Data'!$A:$A = AC$1, 'Fund Investment Data'!$B:$B = 12),"""")"),"")</f>
        <v/>
      </c>
      <c r="AD120" t="str">
        <f>IFERROR(__xludf.DUMMYFUNCTION("IFERROR(FILTER('Fund Investment Data'!$D:$D, 'Fund Investment Data'!$C:$C = $A120, 'Fund Investment Data'!$A:$A = AD$1, 'Fund Investment Data'!$B:$B = 12),"""")"),"")</f>
        <v/>
      </c>
      <c r="AE120" t="str">
        <f>IFERROR(__xludf.DUMMYFUNCTION("IFERROR(FILTER('Fund Investment Data'!$D:$D, 'Fund Investment Data'!$C:$C = $A120, 'Fund Investment Data'!$A:$A = AE$1, 'Fund Investment Data'!$B:$B = 12),"""")"),"")</f>
        <v/>
      </c>
    </row>
    <row r="121">
      <c r="A121" s="150" t="str">
        <f>'Endowed Funds'!A:A</f>
        <v/>
      </c>
      <c r="B121" t="str">
        <f>IFERROR(__xludf.DUMMYFUNCTION("IFERROR(FILTER('Fund Investment Data'!$D:$D, 'Fund Investment Data'!$C:$C = $A121, 'Fund Investment Data'!$A:$A = B$1, 'Fund Investment Data'!$B:$B = 12),"""")"),"")</f>
        <v/>
      </c>
      <c r="C121" t="str">
        <f>IFERROR(__xludf.DUMMYFUNCTION("IFERROR(FILTER('Fund Investment Data'!$D:$D, 'Fund Investment Data'!$C:$C = $A121, 'Fund Investment Data'!$A:$A = C$1, 'Fund Investment Data'!$B:$B = 12),"""")"),"")</f>
        <v/>
      </c>
      <c r="D121" t="str">
        <f>IFERROR(__xludf.DUMMYFUNCTION("IFERROR(FILTER('Fund Investment Data'!$D:$D, 'Fund Investment Data'!$C:$C = $A121, 'Fund Investment Data'!$A:$A = D$1, 'Fund Investment Data'!$B:$B = 12),"""")"),"")</f>
        <v/>
      </c>
      <c r="E121" t="str">
        <f>IFERROR(__xludf.DUMMYFUNCTION("IFERROR(FILTER('Fund Investment Data'!$D:$D, 'Fund Investment Data'!$C:$C = $A121, 'Fund Investment Data'!$A:$A = E$1, 'Fund Investment Data'!$B:$B = 12),"""")"),"")</f>
        <v/>
      </c>
      <c r="F121" t="str">
        <f>IFERROR(__xludf.DUMMYFUNCTION("IFERROR(FILTER('Fund Investment Data'!$D:$D, 'Fund Investment Data'!$C:$C = $A121, 'Fund Investment Data'!$A:$A = F$1, 'Fund Investment Data'!$B:$B = 12),"""")"),"")</f>
        <v/>
      </c>
      <c r="G121" t="str">
        <f>IFERROR(__xludf.DUMMYFUNCTION("IFERROR(FILTER('Fund Investment Data'!$D:$D, 'Fund Investment Data'!$C:$C = $A121, 'Fund Investment Data'!$A:$A = G$1, 'Fund Investment Data'!$B:$B = 12),"""")"),"")</f>
        <v/>
      </c>
      <c r="H121" t="str">
        <f>IFERROR(__xludf.DUMMYFUNCTION("IFERROR(FILTER('Fund Investment Data'!$D:$D, 'Fund Investment Data'!$C:$C = $A121, 'Fund Investment Data'!$A:$A = H$1, 'Fund Investment Data'!$B:$B = 12),"""")"),"")</f>
        <v/>
      </c>
      <c r="I121" t="str">
        <f>IFERROR(__xludf.DUMMYFUNCTION("IFERROR(FILTER('Fund Investment Data'!$D:$D, 'Fund Investment Data'!$C:$C = $A121, 'Fund Investment Data'!$A:$A = I$1, 'Fund Investment Data'!$B:$B = 12),"""")"),"")</f>
        <v/>
      </c>
      <c r="J121" t="str">
        <f>IFERROR(__xludf.DUMMYFUNCTION("IFERROR(FILTER('Fund Investment Data'!$D:$D, 'Fund Investment Data'!$C:$C = $A121, 'Fund Investment Data'!$A:$A = J$1, 'Fund Investment Data'!$B:$B = 12),"""")"),"")</f>
        <v/>
      </c>
      <c r="K121" t="str">
        <f>IFERROR(__xludf.DUMMYFUNCTION("IFERROR(FILTER('Fund Investment Data'!$D:$D, 'Fund Investment Data'!$C:$C = $A121, 'Fund Investment Data'!$A:$A = K$1, 'Fund Investment Data'!$B:$B = 12),"""")"),"")</f>
        <v/>
      </c>
      <c r="L121" t="str">
        <f>IFERROR(__xludf.DUMMYFUNCTION("IFERROR(FILTER('Fund Investment Data'!$D:$D, 'Fund Investment Data'!$C:$C = $A121, 'Fund Investment Data'!$A:$A = L$1, 'Fund Investment Data'!$B:$B = 12),"""")"),"")</f>
        <v/>
      </c>
      <c r="M121" t="str">
        <f>IFERROR(__xludf.DUMMYFUNCTION("IFERROR(FILTER('Fund Investment Data'!$D:$D, 'Fund Investment Data'!$C:$C = $A121, 'Fund Investment Data'!$A:$A = M$1, 'Fund Investment Data'!$B:$B = 12),"""")"),"")</f>
        <v/>
      </c>
      <c r="N121" t="str">
        <f>IFERROR(__xludf.DUMMYFUNCTION("IFERROR(FILTER('Fund Investment Data'!$D:$D, 'Fund Investment Data'!$C:$C = $A121, 'Fund Investment Data'!$A:$A = N$1, 'Fund Investment Data'!$B:$B = 12),"""")"),"")</f>
        <v/>
      </c>
      <c r="O121" t="str">
        <f>IFERROR(__xludf.DUMMYFUNCTION("IFERROR(FILTER('Fund Investment Data'!$D:$D, 'Fund Investment Data'!$C:$C = $A121, 'Fund Investment Data'!$A:$A = O$1, 'Fund Investment Data'!$B:$B = 12),"""")"),"")</f>
        <v/>
      </c>
      <c r="P121" t="str">
        <f>IFERROR(__xludf.DUMMYFUNCTION("IFERROR(FILTER('Fund Investment Data'!$D:$D, 'Fund Investment Data'!$C:$C = $A121, 'Fund Investment Data'!$A:$A = P$1, 'Fund Investment Data'!$B:$B = 12),"""")"),"")</f>
        <v/>
      </c>
      <c r="Q121" t="str">
        <f>IFERROR(__xludf.DUMMYFUNCTION("IFERROR(FILTER('Fund Investment Data'!$D:$D, 'Fund Investment Data'!$C:$C = $A121, 'Fund Investment Data'!$A:$A = Q$1, 'Fund Investment Data'!$B:$B = 12),"""")"),"")</f>
        <v/>
      </c>
      <c r="R121" t="str">
        <f>IFERROR(__xludf.DUMMYFUNCTION("IFERROR(FILTER('Fund Investment Data'!$D:$D, 'Fund Investment Data'!$C:$C = $A121, 'Fund Investment Data'!$A:$A = R$1, 'Fund Investment Data'!$B:$B = 12),"""")"),"")</f>
        <v/>
      </c>
      <c r="S121" t="str">
        <f>IFERROR(__xludf.DUMMYFUNCTION("IFERROR(FILTER('Fund Investment Data'!$D:$D, 'Fund Investment Data'!$C:$C = $A121, 'Fund Investment Data'!$A:$A = S$1, 'Fund Investment Data'!$B:$B = 12),"""")"),"")</f>
        <v/>
      </c>
      <c r="T121" t="str">
        <f>IFERROR(__xludf.DUMMYFUNCTION("IFERROR(FILTER('Fund Investment Data'!$D:$D, 'Fund Investment Data'!$C:$C = $A121, 'Fund Investment Data'!$A:$A = T$1, 'Fund Investment Data'!$B:$B = 12),"""")"),"")</f>
        <v/>
      </c>
      <c r="U121" t="str">
        <f>IFERROR(__xludf.DUMMYFUNCTION("IFERROR(FILTER('Fund Investment Data'!$D:$D, 'Fund Investment Data'!$C:$C = $A121, 'Fund Investment Data'!$A:$A = U$1, 'Fund Investment Data'!$B:$B = 12),"""")"),"")</f>
        <v/>
      </c>
      <c r="V121" t="str">
        <f>IFERROR(__xludf.DUMMYFUNCTION("IFERROR(FILTER('Fund Investment Data'!$D:$D, 'Fund Investment Data'!$C:$C = $A121, 'Fund Investment Data'!$A:$A = V$1, 'Fund Investment Data'!$B:$B = 12),"""")"),"")</f>
        <v/>
      </c>
      <c r="W121" t="str">
        <f>IFERROR(__xludf.DUMMYFUNCTION("IFERROR(FILTER('Fund Investment Data'!$D:$D, 'Fund Investment Data'!$C:$C = $A121, 'Fund Investment Data'!$A:$A = W$1, 'Fund Investment Data'!$B:$B = 12),"""")"),"")</f>
        <v/>
      </c>
      <c r="X121" t="str">
        <f>IFERROR(__xludf.DUMMYFUNCTION("IFERROR(FILTER('Fund Investment Data'!$D:$D, 'Fund Investment Data'!$C:$C = $A121, 'Fund Investment Data'!$A:$A = X$1, 'Fund Investment Data'!$B:$B = 12),"""")"),"")</f>
        <v/>
      </c>
      <c r="Y121" t="str">
        <f>IFERROR(__xludf.DUMMYFUNCTION("IFERROR(FILTER('Fund Investment Data'!$D:$D, 'Fund Investment Data'!$C:$C = $A121, 'Fund Investment Data'!$A:$A = Y$1, 'Fund Investment Data'!$B:$B = 12),"""")"),"")</f>
        <v/>
      </c>
      <c r="Z121" t="str">
        <f>IFERROR(__xludf.DUMMYFUNCTION("IFERROR(FILTER('Fund Investment Data'!$D:$D, 'Fund Investment Data'!$C:$C = $A121, 'Fund Investment Data'!$A:$A = Z$1, 'Fund Investment Data'!$B:$B = 12),"""")"),"")</f>
        <v/>
      </c>
      <c r="AA121" t="str">
        <f>IFERROR(__xludf.DUMMYFUNCTION("IFERROR(FILTER('Fund Investment Data'!$D:$D, 'Fund Investment Data'!$C:$C = $A121, 'Fund Investment Data'!$A:$A = AA$1, 'Fund Investment Data'!$B:$B = 12),"""")"),"")</f>
        <v/>
      </c>
      <c r="AB121" t="str">
        <f>IFERROR(__xludf.DUMMYFUNCTION("IFERROR(FILTER('Fund Investment Data'!$D:$D, 'Fund Investment Data'!$C:$C = $A121, 'Fund Investment Data'!$A:$A = AB$1, 'Fund Investment Data'!$B:$B = 12),"""")"),"")</f>
        <v/>
      </c>
      <c r="AC121" t="str">
        <f>IFERROR(__xludf.DUMMYFUNCTION("IFERROR(FILTER('Fund Investment Data'!$D:$D, 'Fund Investment Data'!$C:$C = $A121, 'Fund Investment Data'!$A:$A = AC$1, 'Fund Investment Data'!$B:$B = 12),"""")"),"")</f>
        <v/>
      </c>
      <c r="AD121" t="str">
        <f>IFERROR(__xludf.DUMMYFUNCTION("IFERROR(FILTER('Fund Investment Data'!$D:$D, 'Fund Investment Data'!$C:$C = $A121, 'Fund Investment Data'!$A:$A = AD$1, 'Fund Investment Data'!$B:$B = 12),"""")"),"")</f>
        <v/>
      </c>
      <c r="AE121" t="str">
        <f>IFERROR(__xludf.DUMMYFUNCTION("IFERROR(FILTER('Fund Investment Data'!$D:$D, 'Fund Investment Data'!$C:$C = $A121, 'Fund Investment Data'!$A:$A = AE$1, 'Fund Investment Data'!$B:$B = 12),"""")"),"")</f>
        <v/>
      </c>
    </row>
    <row r="122">
      <c r="A122" s="150" t="str">
        <f>'Endowed Funds'!A:A</f>
        <v/>
      </c>
      <c r="B122" t="str">
        <f>IFERROR(__xludf.DUMMYFUNCTION("IFERROR(FILTER('Fund Investment Data'!$D:$D, 'Fund Investment Data'!$C:$C = $A122, 'Fund Investment Data'!$A:$A = B$1, 'Fund Investment Data'!$B:$B = 12),"""")"),"")</f>
        <v/>
      </c>
      <c r="C122" t="str">
        <f>IFERROR(__xludf.DUMMYFUNCTION("IFERROR(FILTER('Fund Investment Data'!$D:$D, 'Fund Investment Data'!$C:$C = $A122, 'Fund Investment Data'!$A:$A = C$1, 'Fund Investment Data'!$B:$B = 12),"""")"),"")</f>
        <v/>
      </c>
      <c r="D122" t="str">
        <f>IFERROR(__xludf.DUMMYFUNCTION("IFERROR(FILTER('Fund Investment Data'!$D:$D, 'Fund Investment Data'!$C:$C = $A122, 'Fund Investment Data'!$A:$A = D$1, 'Fund Investment Data'!$B:$B = 12),"""")"),"")</f>
        <v/>
      </c>
      <c r="E122" t="str">
        <f>IFERROR(__xludf.DUMMYFUNCTION("IFERROR(FILTER('Fund Investment Data'!$D:$D, 'Fund Investment Data'!$C:$C = $A122, 'Fund Investment Data'!$A:$A = E$1, 'Fund Investment Data'!$B:$B = 12),"""")"),"")</f>
        <v/>
      </c>
      <c r="F122" t="str">
        <f>IFERROR(__xludf.DUMMYFUNCTION("IFERROR(FILTER('Fund Investment Data'!$D:$D, 'Fund Investment Data'!$C:$C = $A122, 'Fund Investment Data'!$A:$A = F$1, 'Fund Investment Data'!$B:$B = 12),"""")"),"")</f>
        <v/>
      </c>
      <c r="G122" t="str">
        <f>IFERROR(__xludf.DUMMYFUNCTION("IFERROR(FILTER('Fund Investment Data'!$D:$D, 'Fund Investment Data'!$C:$C = $A122, 'Fund Investment Data'!$A:$A = G$1, 'Fund Investment Data'!$B:$B = 12),"""")"),"")</f>
        <v/>
      </c>
      <c r="H122" t="str">
        <f>IFERROR(__xludf.DUMMYFUNCTION("IFERROR(FILTER('Fund Investment Data'!$D:$D, 'Fund Investment Data'!$C:$C = $A122, 'Fund Investment Data'!$A:$A = H$1, 'Fund Investment Data'!$B:$B = 12),"""")"),"")</f>
        <v/>
      </c>
      <c r="I122" t="str">
        <f>IFERROR(__xludf.DUMMYFUNCTION("IFERROR(FILTER('Fund Investment Data'!$D:$D, 'Fund Investment Data'!$C:$C = $A122, 'Fund Investment Data'!$A:$A = I$1, 'Fund Investment Data'!$B:$B = 12),"""")"),"")</f>
        <v/>
      </c>
      <c r="J122" t="str">
        <f>IFERROR(__xludf.DUMMYFUNCTION("IFERROR(FILTER('Fund Investment Data'!$D:$D, 'Fund Investment Data'!$C:$C = $A122, 'Fund Investment Data'!$A:$A = J$1, 'Fund Investment Data'!$B:$B = 12),"""")"),"")</f>
        <v/>
      </c>
      <c r="K122" t="str">
        <f>IFERROR(__xludf.DUMMYFUNCTION("IFERROR(FILTER('Fund Investment Data'!$D:$D, 'Fund Investment Data'!$C:$C = $A122, 'Fund Investment Data'!$A:$A = K$1, 'Fund Investment Data'!$B:$B = 12),"""")"),"")</f>
        <v/>
      </c>
      <c r="L122" t="str">
        <f>IFERROR(__xludf.DUMMYFUNCTION("IFERROR(FILTER('Fund Investment Data'!$D:$D, 'Fund Investment Data'!$C:$C = $A122, 'Fund Investment Data'!$A:$A = L$1, 'Fund Investment Data'!$B:$B = 12),"""")"),"")</f>
        <v/>
      </c>
      <c r="M122" t="str">
        <f>IFERROR(__xludf.DUMMYFUNCTION("IFERROR(FILTER('Fund Investment Data'!$D:$D, 'Fund Investment Data'!$C:$C = $A122, 'Fund Investment Data'!$A:$A = M$1, 'Fund Investment Data'!$B:$B = 12),"""")"),"")</f>
        <v/>
      </c>
      <c r="N122" t="str">
        <f>IFERROR(__xludf.DUMMYFUNCTION("IFERROR(FILTER('Fund Investment Data'!$D:$D, 'Fund Investment Data'!$C:$C = $A122, 'Fund Investment Data'!$A:$A = N$1, 'Fund Investment Data'!$B:$B = 12),"""")"),"")</f>
        <v/>
      </c>
      <c r="O122" t="str">
        <f>IFERROR(__xludf.DUMMYFUNCTION("IFERROR(FILTER('Fund Investment Data'!$D:$D, 'Fund Investment Data'!$C:$C = $A122, 'Fund Investment Data'!$A:$A = O$1, 'Fund Investment Data'!$B:$B = 12),"""")"),"")</f>
        <v/>
      </c>
      <c r="P122" t="str">
        <f>IFERROR(__xludf.DUMMYFUNCTION("IFERROR(FILTER('Fund Investment Data'!$D:$D, 'Fund Investment Data'!$C:$C = $A122, 'Fund Investment Data'!$A:$A = P$1, 'Fund Investment Data'!$B:$B = 12),"""")"),"")</f>
        <v/>
      </c>
      <c r="Q122" t="str">
        <f>IFERROR(__xludf.DUMMYFUNCTION("IFERROR(FILTER('Fund Investment Data'!$D:$D, 'Fund Investment Data'!$C:$C = $A122, 'Fund Investment Data'!$A:$A = Q$1, 'Fund Investment Data'!$B:$B = 12),"""")"),"")</f>
        <v/>
      </c>
      <c r="R122" t="str">
        <f>IFERROR(__xludf.DUMMYFUNCTION("IFERROR(FILTER('Fund Investment Data'!$D:$D, 'Fund Investment Data'!$C:$C = $A122, 'Fund Investment Data'!$A:$A = R$1, 'Fund Investment Data'!$B:$B = 12),"""")"),"")</f>
        <v/>
      </c>
      <c r="S122" t="str">
        <f>IFERROR(__xludf.DUMMYFUNCTION("IFERROR(FILTER('Fund Investment Data'!$D:$D, 'Fund Investment Data'!$C:$C = $A122, 'Fund Investment Data'!$A:$A = S$1, 'Fund Investment Data'!$B:$B = 12),"""")"),"")</f>
        <v/>
      </c>
      <c r="T122" t="str">
        <f>IFERROR(__xludf.DUMMYFUNCTION("IFERROR(FILTER('Fund Investment Data'!$D:$D, 'Fund Investment Data'!$C:$C = $A122, 'Fund Investment Data'!$A:$A = T$1, 'Fund Investment Data'!$B:$B = 12),"""")"),"")</f>
        <v/>
      </c>
      <c r="U122" t="str">
        <f>IFERROR(__xludf.DUMMYFUNCTION("IFERROR(FILTER('Fund Investment Data'!$D:$D, 'Fund Investment Data'!$C:$C = $A122, 'Fund Investment Data'!$A:$A = U$1, 'Fund Investment Data'!$B:$B = 12),"""")"),"")</f>
        <v/>
      </c>
      <c r="V122" t="str">
        <f>IFERROR(__xludf.DUMMYFUNCTION("IFERROR(FILTER('Fund Investment Data'!$D:$D, 'Fund Investment Data'!$C:$C = $A122, 'Fund Investment Data'!$A:$A = V$1, 'Fund Investment Data'!$B:$B = 12),"""")"),"")</f>
        <v/>
      </c>
      <c r="W122" t="str">
        <f>IFERROR(__xludf.DUMMYFUNCTION("IFERROR(FILTER('Fund Investment Data'!$D:$D, 'Fund Investment Data'!$C:$C = $A122, 'Fund Investment Data'!$A:$A = W$1, 'Fund Investment Data'!$B:$B = 12),"""")"),"")</f>
        <v/>
      </c>
      <c r="X122" t="str">
        <f>IFERROR(__xludf.DUMMYFUNCTION("IFERROR(FILTER('Fund Investment Data'!$D:$D, 'Fund Investment Data'!$C:$C = $A122, 'Fund Investment Data'!$A:$A = X$1, 'Fund Investment Data'!$B:$B = 12),"""")"),"")</f>
        <v/>
      </c>
      <c r="Y122" t="str">
        <f>IFERROR(__xludf.DUMMYFUNCTION("IFERROR(FILTER('Fund Investment Data'!$D:$D, 'Fund Investment Data'!$C:$C = $A122, 'Fund Investment Data'!$A:$A = Y$1, 'Fund Investment Data'!$B:$B = 12),"""")"),"")</f>
        <v/>
      </c>
      <c r="Z122" t="str">
        <f>IFERROR(__xludf.DUMMYFUNCTION("IFERROR(FILTER('Fund Investment Data'!$D:$D, 'Fund Investment Data'!$C:$C = $A122, 'Fund Investment Data'!$A:$A = Z$1, 'Fund Investment Data'!$B:$B = 12),"""")"),"")</f>
        <v/>
      </c>
      <c r="AA122" t="str">
        <f>IFERROR(__xludf.DUMMYFUNCTION("IFERROR(FILTER('Fund Investment Data'!$D:$D, 'Fund Investment Data'!$C:$C = $A122, 'Fund Investment Data'!$A:$A = AA$1, 'Fund Investment Data'!$B:$B = 12),"""")"),"")</f>
        <v/>
      </c>
      <c r="AB122" t="str">
        <f>IFERROR(__xludf.DUMMYFUNCTION("IFERROR(FILTER('Fund Investment Data'!$D:$D, 'Fund Investment Data'!$C:$C = $A122, 'Fund Investment Data'!$A:$A = AB$1, 'Fund Investment Data'!$B:$B = 12),"""")"),"")</f>
        <v/>
      </c>
      <c r="AC122" t="str">
        <f>IFERROR(__xludf.DUMMYFUNCTION("IFERROR(FILTER('Fund Investment Data'!$D:$D, 'Fund Investment Data'!$C:$C = $A122, 'Fund Investment Data'!$A:$A = AC$1, 'Fund Investment Data'!$B:$B = 12),"""")"),"")</f>
        <v/>
      </c>
      <c r="AD122" t="str">
        <f>IFERROR(__xludf.DUMMYFUNCTION("IFERROR(FILTER('Fund Investment Data'!$D:$D, 'Fund Investment Data'!$C:$C = $A122, 'Fund Investment Data'!$A:$A = AD$1, 'Fund Investment Data'!$B:$B = 12),"""")"),"")</f>
        <v/>
      </c>
      <c r="AE122" t="str">
        <f>IFERROR(__xludf.DUMMYFUNCTION("IFERROR(FILTER('Fund Investment Data'!$D:$D, 'Fund Investment Data'!$C:$C = $A122, 'Fund Investment Data'!$A:$A = AE$1, 'Fund Investment Data'!$B:$B = 12),"""")"),"")</f>
        <v/>
      </c>
    </row>
    <row r="123">
      <c r="A123" s="150" t="str">
        <f>'Endowed Funds'!A:A</f>
        <v/>
      </c>
      <c r="B123" t="str">
        <f>IFERROR(__xludf.DUMMYFUNCTION("IFERROR(FILTER('Fund Investment Data'!$D:$D, 'Fund Investment Data'!$C:$C = $A123, 'Fund Investment Data'!$A:$A = B$1, 'Fund Investment Data'!$B:$B = 12),"""")"),"")</f>
        <v/>
      </c>
      <c r="C123" t="str">
        <f>IFERROR(__xludf.DUMMYFUNCTION("IFERROR(FILTER('Fund Investment Data'!$D:$D, 'Fund Investment Data'!$C:$C = $A123, 'Fund Investment Data'!$A:$A = C$1, 'Fund Investment Data'!$B:$B = 12),"""")"),"")</f>
        <v/>
      </c>
      <c r="D123" t="str">
        <f>IFERROR(__xludf.DUMMYFUNCTION("IFERROR(FILTER('Fund Investment Data'!$D:$D, 'Fund Investment Data'!$C:$C = $A123, 'Fund Investment Data'!$A:$A = D$1, 'Fund Investment Data'!$B:$B = 12),"""")"),"")</f>
        <v/>
      </c>
      <c r="E123" t="str">
        <f>IFERROR(__xludf.DUMMYFUNCTION("IFERROR(FILTER('Fund Investment Data'!$D:$D, 'Fund Investment Data'!$C:$C = $A123, 'Fund Investment Data'!$A:$A = E$1, 'Fund Investment Data'!$B:$B = 12),"""")"),"")</f>
        <v/>
      </c>
      <c r="F123" t="str">
        <f>IFERROR(__xludf.DUMMYFUNCTION("IFERROR(FILTER('Fund Investment Data'!$D:$D, 'Fund Investment Data'!$C:$C = $A123, 'Fund Investment Data'!$A:$A = F$1, 'Fund Investment Data'!$B:$B = 12),"""")"),"")</f>
        <v/>
      </c>
      <c r="G123" t="str">
        <f>IFERROR(__xludf.DUMMYFUNCTION("IFERROR(FILTER('Fund Investment Data'!$D:$D, 'Fund Investment Data'!$C:$C = $A123, 'Fund Investment Data'!$A:$A = G$1, 'Fund Investment Data'!$B:$B = 12),"""")"),"")</f>
        <v/>
      </c>
      <c r="H123" t="str">
        <f>IFERROR(__xludf.DUMMYFUNCTION("IFERROR(FILTER('Fund Investment Data'!$D:$D, 'Fund Investment Data'!$C:$C = $A123, 'Fund Investment Data'!$A:$A = H$1, 'Fund Investment Data'!$B:$B = 12),"""")"),"")</f>
        <v/>
      </c>
      <c r="I123" t="str">
        <f>IFERROR(__xludf.DUMMYFUNCTION("IFERROR(FILTER('Fund Investment Data'!$D:$D, 'Fund Investment Data'!$C:$C = $A123, 'Fund Investment Data'!$A:$A = I$1, 'Fund Investment Data'!$B:$B = 12),"""")"),"")</f>
        <v/>
      </c>
      <c r="J123" t="str">
        <f>IFERROR(__xludf.DUMMYFUNCTION("IFERROR(FILTER('Fund Investment Data'!$D:$D, 'Fund Investment Data'!$C:$C = $A123, 'Fund Investment Data'!$A:$A = J$1, 'Fund Investment Data'!$B:$B = 12),"""")"),"")</f>
        <v/>
      </c>
      <c r="K123" t="str">
        <f>IFERROR(__xludf.DUMMYFUNCTION("IFERROR(FILTER('Fund Investment Data'!$D:$D, 'Fund Investment Data'!$C:$C = $A123, 'Fund Investment Data'!$A:$A = K$1, 'Fund Investment Data'!$B:$B = 12),"""")"),"")</f>
        <v/>
      </c>
      <c r="L123" t="str">
        <f>IFERROR(__xludf.DUMMYFUNCTION("IFERROR(FILTER('Fund Investment Data'!$D:$D, 'Fund Investment Data'!$C:$C = $A123, 'Fund Investment Data'!$A:$A = L$1, 'Fund Investment Data'!$B:$B = 12),"""")"),"")</f>
        <v/>
      </c>
      <c r="M123" t="str">
        <f>IFERROR(__xludf.DUMMYFUNCTION("IFERROR(FILTER('Fund Investment Data'!$D:$D, 'Fund Investment Data'!$C:$C = $A123, 'Fund Investment Data'!$A:$A = M$1, 'Fund Investment Data'!$B:$B = 12),"""")"),"")</f>
        <v/>
      </c>
      <c r="N123" t="str">
        <f>IFERROR(__xludf.DUMMYFUNCTION("IFERROR(FILTER('Fund Investment Data'!$D:$D, 'Fund Investment Data'!$C:$C = $A123, 'Fund Investment Data'!$A:$A = N$1, 'Fund Investment Data'!$B:$B = 12),"""")"),"")</f>
        <v/>
      </c>
      <c r="O123" t="str">
        <f>IFERROR(__xludf.DUMMYFUNCTION("IFERROR(FILTER('Fund Investment Data'!$D:$D, 'Fund Investment Data'!$C:$C = $A123, 'Fund Investment Data'!$A:$A = O$1, 'Fund Investment Data'!$B:$B = 12),"""")"),"")</f>
        <v/>
      </c>
      <c r="P123" t="str">
        <f>IFERROR(__xludf.DUMMYFUNCTION("IFERROR(FILTER('Fund Investment Data'!$D:$D, 'Fund Investment Data'!$C:$C = $A123, 'Fund Investment Data'!$A:$A = P$1, 'Fund Investment Data'!$B:$B = 12),"""")"),"")</f>
        <v/>
      </c>
      <c r="Q123" t="str">
        <f>IFERROR(__xludf.DUMMYFUNCTION("IFERROR(FILTER('Fund Investment Data'!$D:$D, 'Fund Investment Data'!$C:$C = $A123, 'Fund Investment Data'!$A:$A = Q$1, 'Fund Investment Data'!$B:$B = 12),"""")"),"")</f>
        <v/>
      </c>
      <c r="R123" t="str">
        <f>IFERROR(__xludf.DUMMYFUNCTION("IFERROR(FILTER('Fund Investment Data'!$D:$D, 'Fund Investment Data'!$C:$C = $A123, 'Fund Investment Data'!$A:$A = R$1, 'Fund Investment Data'!$B:$B = 12),"""")"),"")</f>
        <v/>
      </c>
      <c r="S123" t="str">
        <f>IFERROR(__xludf.DUMMYFUNCTION("IFERROR(FILTER('Fund Investment Data'!$D:$D, 'Fund Investment Data'!$C:$C = $A123, 'Fund Investment Data'!$A:$A = S$1, 'Fund Investment Data'!$B:$B = 12),"""")"),"")</f>
        <v/>
      </c>
      <c r="T123" t="str">
        <f>IFERROR(__xludf.DUMMYFUNCTION("IFERROR(FILTER('Fund Investment Data'!$D:$D, 'Fund Investment Data'!$C:$C = $A123, 'Fund Investment Data'!$A:$A = T$1, 'Fund Investment Data'!$B:$B = 12),"""")"),"")</f>
        <v/>
      </c>
      <c r="U123" t="str">
        <f>IFERROR(__xludf.DUMMYFUNCTION("IFERROR(FILTER('Fund Investment Data'!$D:$D, 'Fund Investment Data'!$C:$C = $A123, 'Fund Investment Data'!$A:$A = U$1, 'Fund Investment Data'!$B:$B = 12),"""")"),"")</f>
        <v/>
      </c>
      <c r="V123" t="str">
        <f>IFERROR(__xludf.DUMMYFUNCTION("IFERROR(FILTER('Fund Investment Data'!$D:$D, 'Fund Investment Data'!$C:$C = $A123, 'Fund Investment Data'!$A:$A = V$1, 'Fund Investment Data'!$B:$B = 12),"""")"),"")</f>
        <v/>
      </c>
      <c r="W123" t="str">
        <f>IFERROR(__xludf.DUMMYFUNCTION("IFERROR(FILTER('Fund Investment Data'!$D:$D, 'Fund Investment Data'!$C:$C = $A123, 'Fund Investment Data'!$A:$A = W$1, 'Fund Investment Data'!$B:$B = 12),"""")"),"")</f>
        <v/>
      </c>
      <c r="X123" t="str">
        <f>IFERROR(__xludf.DUMMYFUNCTION("IFERROR(FILTER('Fund Investment Data'!$D:$D, 'Fund Investment Data'!$C:$C = $A123, 'Fund Investment Data'!$A:$A = X$1, 'Fund Investment Data'!$B:$B = 12),"""")"),"")</f>
        <v/>
      </c>
      <c r="Y123" t="str">
        <f>IFERROR(__xludf.DUMMYFUNCTION("IFERROR(FILTER('Fund Investment Data'!$D:$D, 'Fund Investment Data'!$C:$C = $A123, 'Fund Investment Data'!$A:$A = Y$1, 'Fund Investment Data'!$B:$B = 12),"""")"),"")</f>
        <v/>
      </c>
      <c r="Z123" t="str">
        <f>IFERROR(__xludf.DUMMYFUNCTION("IFERROR(FILTER('Fund Investment Data'!$D:$D, 'Fund Investment Data'!$C:$C = $A123, 'Fund Investment Data'!$A:$A = Z$1, 'Fund Investment Data'!$B:$B = 12),"""")"),"")</f>
        <v/>
      </c>
      <c r="AA123" t="str">
        <f>IFERROR(__xludf.DUMMYFUNCTION("IFERROR(FILTER('Fund Investment Data'!$D:$D, 'Fund Investment Data'!$C:$C = $A123, 'Fund Investment Data'!$A:$A = AA$1, 'Fund Investment Data'!$B:$B = 12),"""")"),"")</f>
        <v/>
      </c>
      <c r="AB123" t="str">
        <f>IFERROR(__xludf.DUMMYFUNCTION("IFERROR(FILTER('Fund Investment Data'!$D:$D, 'Fund Investment Data'!$C:$C = $A123, 'Fund Investment Data'!$A:$A = AB$1, 'Fund Investment Data'!$B:$B = 12),"""")"),"")</f>
        <v/>
      </c>
      <c r="AC123" t="str">
        <f>IFERROR(__xludf.DUMMYFUNCTION("IFERROR(FILTER('Fund Investment Data'!$D:$D, 'Fund Investment Data'!$C:$C = $A123, 'Fund Investment Data'!$A:$A = AC$1, 'Fund Investment Data'!$B:$B = 12),"""")"),"")</f>
        <v/>
      </c>
      <c r="AD123" t="str">
        <f>IFERROR(__xludf.DUMMYFUNCTION("IFERROR(FILTER('Fund Investment Data'!$D:$D, 'Fund Investment Data'!$C:$C = $A123, 'Fund Investment Data'!$A:$A = AD$1, 'Fund Investment Data'!$B:$B = 12),"""")"),"")</f>
        <v/>
      </c>
      <c r="AE123" t="str">
        <f>IFERROR(__xludf.DUMMYFUNCTION("IFERROR(FILTER('Fund Investment Data'!$D:$D, 'Fund Investment Data'!$C:$C = $A123, 'Fund Investment Data'!$A:$A = AE$1, 'Fund Investment Data'!$B:$B = 12),"""")"),"")</f>
        <v/>
      </c>
    </row>
    <row r="124">
      <c r="A124" s="150" t="str">
        <f>'Endowed Funds'!A:A</f>
        <v/>
      </c>
      <c r="B124" t="str">
        <f>IFERROR(__xludf.DUMMYFUNCTION("IFERROR(FILTER('Fund Investment Data'!$D:$D, 'Fund Investment Data'!$C:$C = $A124, 'Fund Investment Data'!$A:$A = B$1, 'Fund Investment Data'!$B:$B = 12),"""")"),"")</f>
        <v/>
      </c>
      <c r="C124" t="str">
        <f>IFERROR(__xludf.DUMMYFUNCTION("IFERROR(FILTER('Fund Investment Data'!$D:$D, 'Fund Investment Data'!$C:$C = $A124, 'Fund Investment Data'!$A:$A = C$1, 'Fund Investment Data'!$B:$B = 12),"""")"),"")</f>
        <v/>
      </c>
      <c r="D124" t="str">
        <f>IFERROR(__xludf.DUMMYFUNCTION("IFERROR(FILTER('Fund Investment Data'!$D:$D, 'Fund Investment Data'!$C:$C = $A124, 'Fund Investment Data'!$A:$A = D$1, 'Fund Investment Data'!$B:$B = 12),"""")"),"")</f>
        <v/>
      </c>
      <c r="E124" t="str">
        <f>IFERROR(__xludf.DUMMYFUNCTION("IFERROR(FILTER('Fund Investment Data'!$D:$D, 'Fund Investment Data'!$C:$C = $A124, 'Fund Investment Data'!$A:$A = E$1, 'Fund Investment Data'!$B:$B = 12),"""")"),"")</f>
        <v/>
      </c>
      <c r="F124" t="str">
        <f>IFERROR(__xludf.DUMMYFUNCTION("IFERROR(FILTER('Fund Investment Data'!$D:$D, 'Fund Investment Data'!$C:$C = $A124, 'Fund Investment Data'!$A:$A = F$1, 'Fund Investment Data'!$B:$B = 12),"""")"),"")</f>
        <v/>
      </c>
      <c r="G124" t="str">
        <f>IFERROR(__xludf.DUMMYFUNCTION("IFERROR(FILTER('Fund Investment Data'!$D:$D, 'Fund Investment Data'!$C:$C = $A124, 'Fund Investment Data'!$A:$A = G$1, 'Fund Investment Data'!$B:$B = 12),"""")"),"")</f>
        <v/>
      </c>
      <c r="H124" t="str">
        <f>IFERROR(__xludf.DUMMYFUNCTION("IFERROR(FILTER('Fund Investment Data'!$D:$D, 'Fund Investment Data'!$C:$C = $A124, 'Fund Investment Data'!$A:$A = H$1, 'Fund Investment Data'!$B:$B = 12),"""")"),"")</f>
        <v/>
      </c>
      <c r="I124" t="str">
        <f>IFERROR(__xludf.DUMMYFUNCTION("IFERROR(FILTER('Fund Investment Data'!$D:$D, 'Fund Investment Data'!$C:$C = $A124, 'Fund Investment Data'!$A:$A = I$1, 'Fund Investment Data'!$B:$B = 12),"""")"),"")</f>
        <v/>
      </c>
      <c r="J124" t="str">
        <f>IFERROR(__xludf.DUMMYFUNCTION("IFERROR(FILTER('Fund Investment Data'!$D:$D, 'Fund Investment Data'!$C:$C = $A124, 'Fund Investment Data'!$A:$A = J$1, 'Fund Investment Data'!$B:$B = 12),"""")"),"")</f>
        <v/>
      </c>
      <c r="K124" t="str">
        <f>IFERROR(__xludf.DUMMYFUNCTION("IFERROR(FILTER('Fund Investment Data'!$D:$D, 'Fund Investment Data'!$C:$C = $A124, 'Fund Investment Data'!$A:$A = K$1, 'Fund Investment Data'!$B:$B = 12),"""")"),"")</f>
        <v/>
      </c>
      <c r="L124" t="str">
        <f>IFERROR(__xludf.DUMMYFUNCTION("IFERROR(FILTER('Fund Investment Data'!$D:$D, 'Fund Investment Data'!$C:$C = $A124, 'Fund Investment Data'!$A:$A = L$1, 'Fund Investment Data'!$B:$B = 12),"""")"),"")</f>
        <v/>
      </c>
      <c r="M124" t="str">
        <f>IFERROR(__xludf.DUMMYFUNCTION("IFERROR(FILTER('Fund Investment Data'!$D:$D, 'Fund Investment Data'!$C:$C = $A124, 'Fund Investment Data'!$A:$A = M$1, 'Fund Investment Data'!$B:$B = 12),"""")"),"")</f>
        <v/>
      </c>
      <c r="N124" t="str">
        <f>IFERROR(__xludf.DUMMYFUNCTION("IFERROR(FILTER('Fund Investment Data'!$D:$D, 'Fund Investment Data'!$C:$C = $A124, 'Fund Investment Data'!$A:$A = N$1, 'Fund Investment Data'!$B:$B = 12),"""")"),"")</f>
        <v/>
      </c>
      <c r="O124" t="str">
        <f>IFERROR(__xludf.DUMMYFUNCTION("IFERROR(FILTER('Fund Investment Data'!$D:$D, 'Fund Investment Data'!$C:$C = $A124, 'Fund Investment Data'!$A:$A = O$1, 'Fund Investment Data'!$B:$B = 12),"""")"),"")</f>
        <v/>
      </c>
      <c r="P124" t="str">
        <f>IFERROR(__xludf.DUMMYFUNCTION("IFERROR(FILTER('Fund Investment Data'!$D:$D, 'Fund Investment Data'!$C:$C = $A124, 'Fund Investment Data'!$A:$A = P$1, 'Fund Investment Data'!$B:$B = 12),"""")"),"")</f>
        <v/>
      </c>
      <c r="Q124" t="str">
        <f>IFERROR(__xludf.DUMMYFUNCTION("IFERROR(FILTER('Fund Investment Data'!$D:$D, 'Fund Investment Data'!$C:$C = $A124, 'Fund Investment Data'!$A:$A = Q$1, 'Fund Investment Data'!$B:$B = 12),"""")"),"")</f>
        <v/>
      </c>
      <c r="R124" t="str">
        <f>IFERROR(__xludf.DUMMYFUNCTION("IFERROR(FILTER('Fund Investment Data'!$D:$D, 'Fund Investment Data'!$C:$C = $A124, 'Fund Investment Data'!$A:$A = R$1, 'Fund Investment Data'!$B:$B = 12),"""")"),"")</f>
        <v/>
      </c>
      <c r="S124" t="str">
        <f>IFERROR(__xludf.DUMMYFUNCTION("IFERROR(FILTER('Fund Investment Data'!$D:$D, 'Fund Investment Data'!$C:$C = $A124, 'Fund Investment Data'!$A:$A = S$1, 'Fund Investment Data'!$B:$B = 12),"""")"),"")</f>
        <v/>
      </c>
      <c r="T124" t="str">
        <f>IFERROR(__xludf.DUMMYFUNCTION("IFERROR(FILTER('Fund Investment Data'!$D:$D, 'Fund Investment Data'!$C:$C = $A124, 'Fund Investment Data'!$A:$A = T$1, 'Fund Investment Data'!$B:$B = 12),"""")"),"")</f>
        <v/>
      </c>
      <c r="U124" t="str">
        <f>IFERROR(__xludf.DUMMYFUNCTION("IFERROR(FILTER('Fund Investment Data'!$D:$D, 'Fund Investment Data'!$C:$C = $A124, 'Fund Investment Data'!$A:$A = U$1, 'Fund Investment Data'!$B:$B = 12),"""")"),"")</f>
        <v/>
      </c>
      <c r="V124" t="str">
        <f>IFERROR(__xludf.DUMMYFUNCTION("IFERROR(FILTER('Fund Investment Data'!$D:$D, 'Fund Investment Data'!$C:$C = $A124, 'Fund Investment Data'!$A:$A = V$1, 'Fund Investment Data'!$B:$B = 12),"""")"),"")</f>
        <v/>
      </c>
      <c r="W124" t="str">
        <f>IFERROR(__xludf.DUMMYFUNCTION("IFERROR(FILTER('Fund Investment Data'!$D:$D, 'Fund Investment Data'!$C:$C = $A124, 'Fund Investment Data'!$A:$A = W$1, 'Fund Investment Data'!$B:$B = 12),"""")"),"")</f>
        <v/>
      </c>
      <c r="X124" t="str">
        <f>IFERROR(__xludf.DUMMYFUNCTION("IFERROR(FILTER('Fund Investment Data'!$D:$D, 'Fund Investment Data'!$C:$C = $A124, 'Fund Investment Data'!$A:$A = X$1, 'Fund Investment Data'!$B:$B = 12),"""")"),"")</f>
        <v/>
      </c>
      <c r="Y124" t="str">
        <f>IFERROR(__xludf.DUMMYFUNCTION("IFERROR(FILTER('Fund Investment Data'!$D:$D, 'Fund Investment Data'!$C:$C = $A124, 'Fund Investment Data'!$A:$A = Y$1, 'Fund Investment Data'!$B:$B = 12),"""")"),"")</f>
        <v/>
      </c>
      <c r="Z124" t="str">
        <f>IFERROR(__xludf.DUMMYFUNCTION("IFERROR(FILTER('Fund Investment Data'!$D:$D, 'Fund Investment Data'!$C:$C = $A124, 'Fund Investment Data'!$A:$A = Z$1, 'Fund Investment Data'!$B:$B = 12),"""")"),"")</f>
        <v/>
      </c>
      <c r="AA124" t="str">
        <f>IFERROR(__xludf.DUMMYFUNCTION("IFERROR(FILTER('Fund Investment Data'!$D:$D, 'Fund Investment Data'!$C:$C = $A124, 'Fund Investment Data'!$A:$A = AA$1, 'Fund Investment Data'!$B:$B = 12),"""")"),"")</f>
        <v/>
      </c>
      <c r="AB124" t="str">
        <f>IFERROR(__xludf.DUMMYFUNCTION("IFERROR(FILTER('Fund Investment Data'!$D:$D, 'Fund Investment Data'!$C:$C = $A124, 'Fund Investment Data'!$A:$A = AB$1, 'Fund Investment Data'!$B:$B = 12),"""")"),"")</f>
        <v/>
      </c>
      <c r="AC124" t="str">
        <f>IFERROR(__xludf.DUMMYFUNCTION("IFERROR(FILTER('Fund Investment Data'!$D:$D, 'Fund Investment Data'!$C:$C = $A124, 'Fund Investment Data'!$A:$A = AC$1, 'Fund Investment Data'!$B:$B = 12),"""")"),"")</f>
        <v/>
      </c>
      <c r="AD124" t="str">
        <f>IFERROR(__xludf.DUMMYFUNCTION("IFERROR(FILTER('Fund Investment Data'!$D:$D, 'Fund Investment Data'!$C:$C = $A124, 'Fund Investment Data'!$A:$A = AD$1, 'Fund Investment Data'!$B:$B = 12),"""")"),"")</f>
        <v/>
      </c>
      <c r="AE124" t="str">
        <f>IFERROR(__xludf.DUMMYFUNCTION("IFERROR(FILTER('Fund Investment Data'!$D:$D, 'Fund Investment Data'!$C:$C = $A124, 'Fund Investment Data'!$A:$A = AE$1, 'Fund Investment Data'!$B:$B = 12),"""")"),"")</f>
        <v/>
      </c>
    </row>
    <row r="125">
      <c r="A125" s="150" t="str">
        <f>'Endowed Funds'!A:A</f>
        <v/>
      </c>
      <c r="B125" t="str">
        <f>IFERROR(__xludf.DUMMYFUNCTION("IFERROR(FILTER('Fund Investment Data'!$D:$D, 'Fund Investment Data'!$C:$C = $A125, 'Fund Investment Data'!$A:$A = B$1, 'Fund Investment Data'!$B:$B = 12),"""")"),"")</f>
        <v/>
      </c>
      <c r="C125" t="str">
        <f>IFERROR(__xludf.DUMMYFUNCTION("IFERROR(FILTER('Fund Investment Data'!$D:$D, 'Fund Investment Data'!$C:$C = $A125, 'Fund Investment Data'!$A:$A = C$1, 'Fund Investment Data'!$B:$B = 12),"""")"),"")</f>
        <v/>
      </c>
      <c r="D125" t="str">
        <f>IFERROR(__xludf.DUMMYFUNCTION("IFERROR(FILTER('Fund Investment Data'!$D:$D, 'Fund Investment Data'!$C:$C = $A125, 'Fund Investment Data'!$A:$A = D$1, 'Fund Investment Data'!$B:$B = 12),"""")"),"")</f>
        <v/>
      </c>
      <c r="E125" t="str">
        <f>IFERROR(__xludf.DUMMYFUNCTION("IFERROR(FILTER('Fund Investment Data'!$D:$D, 'Fund Investment Data'!$C:$C = $A125, 'Fund Investment Data'!$A:$A = E$1, 'Fund Investment Data'!$B:$B = 12),"""")"),"")</f>
        <v/>
      </c>
      <c r="F125" t="str">
        <f>IFERROR(__xludf.DUMMYFUNCTION("IFERROR(FILTER('Fund Investment Data'!$D:$D, 'Fund Investment Data'!$C:$C = $A125, 'Fund Investment Data'!$A:$A = F$1, 'Fund Investment Data'!$B:$B = 12),"""")"),"")</f>
        <v/>
      </c>
      <c r="G125" t="str">
        <f>IFERROR(__xludf.DUMMYFUNCTION("IFERROR(FILTER('Fund Investment Data'!$D:$D, 'Fund Investment Data'!$C:$C = $A125, 'Fund Investment Data'!$A:$A = G$1, 'Fund Investment Data'!$B:$B = 12),"""")"),"")</f>
        <v/>
      </c>
      <c r="H125" t="str">
        <f>IFERROR(__xludf.DUMMYFUNCTION("IFERROR(FILTER('Fund Investment Data'!$D:$D, 'Fund Investment Data'!$C:$C = $A125, 'Fund Investment Data'!$A:$A = H$1, 'Fund Investment Data'!$B:$B = 12),"""")"),"")</f>
        <v/>
      </c>
      <c r="I125" t="str">
        <f>IFERROR(__xludf.DUMMYFUNCTION("IFERROR(FILTER('Fund Investment Data'!$D:$D, 'Fund Investment Data'!$C:$C = $A125, 'Fund Investment Data'!$A:$A = I$1, 'Fund Investment Data'!$B:$B = 12),"""")"),"")</f>
        <v/>
      </c>
      <c r="J125" t="str">
        <f>IFERROR(__xludf.DUMMYFUNCTION("IFERROR(FILTER('Fund Investment Data'!$D:$D, 'Fund Investment Data'!$C:$C = $A125, 'Fund Investment Data'!$A:$A = J$1, 'Fund Investment Data'!$B:$B = 12),"""")"),"")</f>
        <v/>
      </c>
      <c r="K125" t="str">
        <f>IFERROR(__xludf.DUMMYFUNCTION("IFERROR(FILTER('Fund Investment Data'!$D:$D, 'Fund Investment Data'!$C:$C = $A125, 'Fund Investment Data'!$A:$A = K$1, 'Fund Investment Data'!$B:$B = 12),"""")"),"")</f>
        <v/>
      </c>
      <c r="L125" t="str">
        <f>IFERROR(__xludf.DUMMYFUNCTION("IFERROR(FILTER('Fund Investment Data'!$D:$D, 'Fund Investment Data'!$C:$C = $A125, 'Fund Investment Data'!$A:$A = L$1, 'Fund Investment Data'!$B:$B = 12),"""")"),"")</f>
        <v/>
      </c>
      <c r="M125" t="str">
        <f>IFERROR(__xludf.DUMMYFUNCTION("IFERROR(FILTER('Fund Investment Data'!$D:$D, 'Fund Investment Data'!$C:$C = $A125, 'Fund Investment Data'!$A:$A = M$1, 'Fund Investment Data'!$B:$B = 12),"""")"),"")</f>
        <v/>
      </c>
      <c r="N125" t="str">
        <f>IFERROR(__xludf.DUMMYFUNCTION("IFERROR(FILTER('Fund Investment Data'!$D:$D, 'Fund Investment Data'!$C:$C = $A125, 'Fund Investment Data'!$A:$A = N$1, 'Fund Investment Data'!$B:$B = 12),"""")"),"")</f>
        <v/>
      </c>
      <c r="O125" t="str">
        <f>IFERROR(__xludf.DUMMYFUNCTION("IFERROR(FILTER('Fund Investment Data'!$D:$D, 'Fund Investment Data'!$C:$C = $A125, 'Fund Investment Data'!$A:$A = O$1, 'Fund Investment Data'!$B:$B = 12),"""")"),"")</f>
        <v/>
      </c>
      <c r="P125" t="str">
        <f>IFERROR(__xludf.DUMMYFUNCTION("IFERROR(FILTER('Fund Investment Data'!$D:$D, 'Fund Investment Data'!$C:$C = $A125, 'Fund Investment Data'!$A:$A = P$1, 'Fund Investment Data'!$B:$B = 12),"""")"),"")</f>
        <v/>
      </c>
      <c r="Q125" t="str">
        <f>IFERROR(__xludf.DUMMYFUNCTION("IFERROR(FILTER('Fund Investment Data'!$D:$D, 'Fund Investment Data'!$C:$C = $A125, 'Fund Investment Data'!$A:$A = Q$1, 'Fund Investment Data'!$B:$B = 12),"""")"),"")</f>
        <v/>
      </c>
      <c r="R125" t="str">
        <f>IFERROR(__xludf.DUMMYFUNCTION("IFERROR(FILTER('Fund Investment Data'!$D:$D, 'Fund Investment Data'!$C:$C = $A125, 'Fund Investment Data'!$A:$A = R$1, 'Fund Investment Data'!$B:$B = 12),"""")"),"")</f>
        <v/>
      </c>
      <c r="S125" t="str">
        <f>IFERROR(__xludf.DUMMYFUNCTION("IFERROR(FILTER('Fund Investment Data'!$D:$D, 'Fund Investment Data'!$C:$C = $A125, 'Fund Investment Data'!$A:$A = S$1, 'Fund Investment Data'!$B:$B = 12),"""")"),"")</f>
        <v/>
      </c>
      <c r="T125" t="str">
        <f>IFERROR(__xludf.DUMMYFUNCTION("IFERROR(FILTER('Fund Investment Data'!$D:$D, 'Fund Investment Data'!$C:$C = $A125, 'Fund Investment Data'!$A:$A = T$1, 'Fund Investment Data'!$B:$B = 12),"""")"),"")</f>
        <v/>
      </c>
      <c r="U125" t="str">
        <f>IFERROR(__xludf.DUMMYFUNCTION("IFERROR(FILTER('Fund Investment Data'!$D:$D, 'Fund Investment Data'!$C:$C = $A125, 'Fund Investment Data'!$A:$A = U$1, 'Fund Investment Data'!$B:$B = 12),"""")"),"")</f>
        <v/>
      </c>
      <c r="V125" t="str">
        <f>IFERROR(__xludf.DUMMYFUNCTION("IFERROR(FILTER('Fund Investment Data'!$D:$D, 'Fund Investment Data'!$C:$C = $A125, 'Fund Investment Data'!$A:$A = V$1, 'Fund Investment Data'!$B:$B = 12),"""")"),"")</f>
        <v/>
      </c>
      <c r="W125" t="str">
        <f>IFERROR(__xludf.DUMMYFUNCTION("IFERROR(FILTER('Fund Investment Data'!$D:$D, 'Fund Investment Data'!$C:$C = $A125, 'Fund Investment Data'!$A:$A = W$1, 'Fund Investment Data'!$B:$B = 12),"""")"),"")</f>
        <v/>
      </c>
      <c r="X125" t="str">
        <f>IFERROR(__xludf.DUMMYFUNCTION("IFERROR(FILTER('Fund Investment Data'!$D:$D, 'Fund Investment Data'!$C:$C = $A125, 'Fund Investment Data'!$A:$A = X$1, 'Fund Investment Data'!$B:$B = 12),"""")"),"")</f>
        <v/>
      </c>
      <c r="Y125" t="str">
        <f>IFERROR(__xludf.DUMMYFUNCTION("IFERROR(FILTER('Fund Investment Data'!$D:$D, 'Fund Investment Data'!$C:$C = $A125, 'Fund Investment Data'!$A:$A = Y$1, 'Fund Investment Data'!$B:$B = 12),"""")"),"")</f>
        <v/>
      </c>
      <c r="Z125" t="str">
        <f>IFERROR(__xludf.DUMMYFUNCTION("IFERROR(FILTER('Fund Investment Data'!$D:$D, 'Fund Investment Data'!$C:$C = $A125, 'Fund Investment Data'!$A:$A = Z$1, 'Fund Investment Data'!$B:$B = 12),"""")"),"")</f>
        <v/>
      </c>
      <c r="AA125" t="str">
        <f>IFERROR(__xludf.DUMMYFUNCTION("IFERROR(FILTER('Fund Investment Data'!$D:$D, 'Fund Investment Data'!$C:$C = $A125, 'Fund Investment Data'!$A:$A = AA$1, 'Fund Investment Data'!$B:$B = 12),"""")"),"")</f>
        <v/>
      </c>
      <c r="AB125" t="str">
        <f>IFERROR(__xludf.DUMMYFUNCTION("IFERROR(FILTER('Fund Investment Data'!$D:$D, 'Fund Investment Data'!$C:$C = $A125, 'Fund Investment Data'!$A:$A = AB$1, 'Fund Investment Data'!$B:$B = 12),"""")"),"")</f>
        <v/>
      </c>
      <c r="AC125" t="str">
        <f>IFERROR(__xludf.DUMMYFUNCTION("IFERROR(FILTER('Fund Investment Data'!$D:$D, 'Fund Investment Data'!$C:$C = $A125, 'Fund Investment Data'!$A:$A = AC$1, 'Fund Investment Data'!$B:$B = 12),"""")"),"")</f>
        <v/>
      </c>
      <c r="AD125" t="str">
        <f>IFERROR(__xludf.DUMMYFUNCTION("IFERROR(FILTER('Fund Investment Data'!$D:$D, 'Fund Investment Data'!$C:$C = $A125, 'Fund Investment Data'!$A:$A = AD$1, 'Fund Investment Data'!$B:$B = 12),"""")"),"")</f>
        <v/>
      </c>
      <c r="AE125" t="str">
        <f>IFERROR(__xludf.DUMMYFUNCTION("IFERROR(FILTER('Fund Investment Data'!$D:$D, 'Fund Investment Data'!$C:$C = $A125, 'Fund Investment Data'!$A:$A = AE$1, 'Fund Investment Data'!$B:$B = 12),"""")"),"")</f>
        <v/>
      </c>
    </row>
    <row r="126">
      <c r="A126" s="150" t="str">
        <f>'Endowed Funds'!A:A</f>
        <v/>
      </c>
      <c r="B126" t="str">
        <f>IFERROR(__xludf.DUMMYFUNCTION("IFERROR(FILTER('Fund Investment Data'!$D:$D, 'Fund Investment Data'!$C:$C = $A126, 'Fund Investment Data'!$A:$A = B$1, 'Fund Investment Data'!$B:$B = 12),"""")"),"")</f>
        <v/>
      </c>
      <c r="C126" t="str">
        <f>IFERROR(__xludf.DUMMYFUNCTION("IFERROR(FILTER('Fund Investment Data'!$D:$D, 'Fund Investment Data'!$C:$C = $A126, 'Fund Investment Data'!$A:$A = C$1, 'Fund Investment Data'!$B:$B = 12),"""")"),"")</f>
        <v/>
      </c>
      <c r="D126" t="str">
        <f>IFERROR(__xludf.DUMMYFUNCTION("IFERROR(FILTER('Fund Investment Data'!$D:$D, 'Fund Investment Data'!$C:$C = $A126, 'Fund Investment Data'!$A:$A = D$1, 'Fund Investment Data'!$B:$B = 12),"""")"),"")</f>
        <v/>
      </c>
      <c r="E126" t="str">
        <f>IFERROR(__xludf.DUMMYFUNCTION("IFERROR(FILTER('Fund Investment Data'!$D:$D, 'Fund Investment Data'!$C:$C = $A126, 'Fund Investment Data'!$A:$A = E$1, 'Fund Investment Data'!$B:$B = 12),"""")"),"")</f>
        <v/>
      </c>
      <c r="F126" t="str">
        <f>IFERROR(__xludf.DUMMYFUNCTION("IFERROR(FILTER('Fund Investment Data'!$D:$D, 'Fund Investment Data'!$C:$C = $A126, 'Fund Investment Data'!$A:$A = F$1, 'Fund Investment Data'!$B:$B = 12),"""")"),"")</f>
        <v/>
      </c>
      <c r="G126" t="str">
        <f>IFERROR(__xludf.DUMMYFUNCTION("IFERROR(FILTER('Fund Investment Data'!$D:$D, 'Fund Investment Data'!$C:$C = $A126, 'Fund Investment Data'!$A:$A = G$1, 'Fund Investment Data'!$B:$B = 12),"""")"),"")</f>
        <v/>
      </c>
      <c r="H126" t="str">
        <f>IFERROR(__xludf.DUMMYFUNCTION("IFERROR(FILTER('Fund Investment Data'!$D:$D, 'Fund Investment Data'!$C:$C = $A126, 'Fund Investment Data'!$A:$A = H$1, 'Fund Investment Data'!$B:$B = 12),"""")"),"")</f>
        <v/>
      </c>
      <c r="I126" t="str">
        <f>IFERROR(__xludf.DUMMYFUNCTION("IFERROR(FILTER('Fund Investment Data'!$D:$D, 'Fund Investment Data'!$C:$C = $A126, 'Fund Investment Data'!$A:$A = I$1, 'Fund Investment Data'!$B:$B = 12),"""")"),"")</f>
        <v/>
      </c>
      <c r="J126" t="str">
        <f>IFERROR(__xludf.DUMMYFUNCTION("IFERROR(FILTER('Fund Investment Data'!$D:$D, 'Fund Investment Data'!$C:$C = $A126, 'Fund Investment Data'!$A:$A = J$1, 'Fund Investment Data'!$B:$B = 12),"""")"),"")</f>
        <v/>
      </c>
      <c r="K126" t="str">
        <f>IFERROR(__xludf.DUMMYFUNCTION("IFERROR(FILTER('Fund Investment Data'!$D:$D, 'Fund Investment Data'!$C:$C = $A126, 'Fund Investment Data'!$A:$A = K$1, 'Fund Investment Data'!$B:$B = 12),"""")"),"")</f>
        <v/>
      </c>
      <c r="L126" t="str">
        <f>IFERROR(__xludf.DUMMYFUNCTION("IFERROR(FILTER('Fund Investment Data'!$D:$D, 'Fund Investment Data'!$C:$C = $A126, 'Fund Investment Data'!$A:$A = L$1, 'Fund Investment Data'!$B:$B = 12),"""")"),"")</f>
        <v/>
      </c>
      <c r="M126" t="str">
        <f>IFERROR(__xludf.DUMMYFUNCTION("IFERROR(FILTER('Fund Investment Data'!$D:$D, 'Fund Investment Data'!$C:$C = $A126, 'Fund Investment Data'!$A:$A = M$1, 'Fund Investment Data'!$B:$B = 12),"""")"),"")</f>
        <v/>
      </c>
      <c r="N126" t="str">
        <f>IFERROR(__xludf.DUMMYFUNCTION("IFERROR(FILTER('Fund Investment Data'!$D:$D, 'Fund Investment Data'!$C:$C = $A126, 'Fund Investment Data'!$A:$A = N$1, 'Fund Investment Data'!$B:$B = 12),"""")"),"")</f>
        <v/>
      </c>
      <c r="O126" t="str">
        <f>IFERROR(__xludf.DUMMYFUNCTION("IFERROR(FILTER('Fund Investment Data'!$D:$D, 'Fund Investment Data'!$C:$C = $A126, 'Fund Investment Data'!$A:$A = O$1, 'Fund Investment Data'!$B:$B = 12),"""")"),"")</f>
        <v/>
      </c>
      <c r="P126" t="str">
        <f>IFERROR(__xludf.DUMMYFUNCTION("IFERROR(FILTER('Fund Investment Data'!$D:$D, 'Fund Investment Data'!$C:$C = $A126, 'Fund Investment Data'!$A:$A = P$1, 'Fund Investment Data'!$B:$B = 12),"""")"),"")</f>
        <v/>
      </c>
      <c r="Q126" t="str">
        <f>IFERROR(__xludf.DUMMYFUNCTION("IFERROR(FILTER('Fund Investment Data'!$D:$D, 'Fund Investment Data'!$C:$C = $A126, 'Fund Investment Data'!$A:$A = Q$1, 'Fund Investment Data'!$B:$B = 12),"""")"),"")</f>
        <v/>
      </c>
      <c r="R126" t="str">
        <f>IFERROR(__xludf.DUMMYFUNCTION("IFERROR(FILTER('Fund Investment Data'!$D:$D, 'Fund Investment Data'!$C:$C = $A126, 'Fund Investment Data'!$A:$A = R$1, 'Fund Investment Data'!$B:$B = 12),"""")"),"")</f>
        <v/>
      </c>
      <c r="S126" t="str">
        <f>IFERROR(__xludf.DUMMYFUNCTION("IFERROR(FILTER('Fund Investment Data'!$D:$D, 'Fund Investment Data'!$C:$C = $A126, 'Fund Investment Data'!$A:$A = S$1, 'Fund Investment Data'!$B:$B = 12),"""")"),"")</f>
        <v/>
      </c>
      <c r="T126" t="str">
        <f>IFERROR(__xludf.DUMMYFUNCTION("IFERROR(FILTER('Fund Investment Data'!$D:$D, 'Fund Investment Data'!$C:$C = $A126, 'Fund Investment Data'!$A:$A = T$1, 'Fund Investment Data'!$B:$B = 12),"""")"),"")</f>
        <v/>
      </c>
      <c r="U126" t="str">
        <f>IFERROR(__xludf.DUMMYFUNCTION("IFERROR(FILTER('Fund Investment Data'!$D:$D, 'Fund Investment Data'!$C:$C = $A126, 'Fund Investment Data'!$A:$A = U$1, 'Fund Investment Data'!$B:$B = 12),"""")"),"")</f>
        <v/>
      </c>
      <c r="V126" t="str">
        <f>IFERROR(__xludf.DUMMYFUNCTION("IFERROR(FILTER('Fund Investment Data'!$D:$D, 'Fund Investment Data'!$C:$C = $A126, 'Fund Investment Data'!$A:$A = V$1, 'Fund Investment Data'!$B:$B = 12),"""")"),"")</f>
        <v/>
      </c>
      <c r="W126" t="str">
        <f>IFERROR(__xludf.DUMMYFUNCTION("IFERROR(FILTER('Fund Investment Data'!$D:$D, 'Fund Investment Data'!$C:$C = $A126, 'Fund Investment Data'!$A:$A = W$1, 'Fund Investment Data'!$B:$B = 12),"""")"),"")</f>
        <v/>
      </c>
      <c r="X126" t="str">
        <f>IFERROR(__xludf.DUMMYFUNCTION("IFERROR(FILTER('Fund Investment Data'!$D:$D, 'Fund Investment Data'!$C:$C = $A126, 'Fund Investment Data'!$A:$A = X$1, 'Fund Investment Data'!$B:$B = 12),"""")"),"")</f>
        <v/>
      </c>
      <c r="Y126" t="str">
        <f>IFERROR(__xludf.DUMMYFUNCTION("IFERROR(FILTER('Fund Investment Data'!$D:$D, 'Fund Investment Data'!$C:$C = $A126, 'Fund Investment Data'!$A:$A = Y$1, 'Fund Investment Data'!$B:$B = 12),"""")"),"")</f>
        <v/>
      </c>
      <c r="Z126" t="str">
        <f>IFERROR(__xludf.DUMMYFUNCTION("IFERROR(FILTER('Fund Investment Data'!$D:$D, 'Fund Investment Data'!$C:$C = $A126, 'Fund Investment Data'!$A:$A = Z$1, 'Fund Investment Data'!$B:$B = 12),"""")"),"")</f>
        <v/>
      </c>
      <c r="AA126" t="str">
        <f>IFERROR(__xludf.DUMMYFUNCTION("IFERROR(FILTER('Fund Investment Data'!$D:$D, 'Fund Investment Data'!$C:$C = $A126, 'Fund Investment Data'!$A:$A = AA$1, 'Fund Investment Data'!$B:$B = 12),"""")"),"")</f>
        <v/>
      </c>
      <c r="AB126" t="str">
        <f>IFERROR(__xludf.DUMMYFUNCTION("IFERROR(FILTER('Fund Investment Data'!$D:$D, 'Fund Investment Data'!$C:$C = $A126, 'Fund Investment Data'!$A:$A = AB$1, 'Fund Investment Data'!$B:$B = 12),"""")"),"")</f>
        <v/>
      </c>
      <c r="AC126" t="str">
        <f>IFERROR(__xludf.DUMMYFUNCTION("IFERROR(FILTER('Fund Investment Data'!$D:$D, 'Fund Investment Data'!$C:$C = $A126, 'Fund Investment Data'!$A:$A = AC$1, 'Fund Investment Data'!$B:$B = 12),"""")"),"")</f>
        <v/>
      </c>
      <c r="AD126" t="str">
        <f>IFERROR(__xludf.DUMMYFUNCTION("IFERROR(FILTER('Fund Investment Data'!$D:$D, 'Fund Investment Data'!$C:$C = $A126, 'Fund Investment Data'!$A:$A = AD$1, 'Fund Investment Data'!$B:$B = 12),"""")"),"")</f>
        <v/>
      </c>
      <c r="AE126" t="str">
        <f>IFERROR(__xludf.DUMMYFUNCTION("IFERROR(FILTER('Fund Investment Data'!$D:$D, 'Fund Investment Data'!$C:$C = $A126, 'Fund Investment Data'!$A:$A = AE$1, 'Fund Investment Data'!$B:$B = 12),"""")"),"")</f>
        <v/>
      </c>
    </row>
    <row r="127">
      <c r="A127" s="150" t="str">
        <f>'Endowed Funds'!A:A</f>
        <v/>
      </c>
      <c r="B127" t="str">
        <f>IFERROR(__xludf.DUMMYFUNCTION("IFERROR(FILTER('Fund Investment Data'!$D:$D, 'Fund Investment Data'!$C:$C = $A127, 'Fund Investment Data'!$A:$A = B$1, 'Fund Investment Data'!$B:$B = 12),"""")"),"")</f>
        <v/>
      </c>
      <c r="C127" t="str">
        <f>IFERROR(__xludf.DUMMYFUNCTION("IFERROR(FILTER('Fund Investment Data'!$D:$D, 'Fund Investment Data'!$C:$C = $A127, 'Fund Investment Data'!$A:$A = C$1, 'Fund Investment Data'!$B:$B = 12),"""")"),"")</f>
        <v/>
      </c>
      <c r="D127" t="str">
        <f>IFERROR(__xludf.DUMMYFUNCTION("IFERROR(FILTER('Fund Investment Data'!$D:$D, 'Fund Investment Data'!$C:$C = $A127, 'Fund Investment Data'!$A:$A = D$1, 'Fund Investment Data'!$B:$B = 12),"""")"),"")</f>
        <v/>
      </c>
      <c r="E127" t="str">
        <f>IFERROR(__xludf.DUMMYFUNCTION("IFERROR(FILTER('Fund Investment Data'!$D:$D, 'Fund Investment Data'!$C:$C = $A127, 'Fund Investment Data'!$A:$A = E$1, 'Fund Investment Data'!$B:$B = 12),"""")"),"")</f>
        <v/>
      </c>
      <c r="F127" t="str">
        <f>IFERROR(__xludf.DUMMYFUNCTION("IFERROR(FILTER('Fund Investment Data'!$D:$D, 'Fund Investment Data'!$C:$C = $A127, 'Fund Investment Data'!$A:$A = F$1, 'Fund Investment Data'!$B:$B = 12),"""")"),"")</f>
        <v/>
      </c>
      <c r="G127" t="str">
        <f>IFERROR(__xludf.DUMMYFUNCTION("IFERROR(FILTER('Fund Investment Data'!$D:$D, 'Fund Investment Data'!$C:$C = $A127, 'Fund Investment Data'!$A:$A = G$1, 'Fund Investment Data'!$B:$B = 12),"""")"),"")</f>
        <v/>
      </c>
      <c r="H127" t="str">
        <f>IFERROR(__xludf.DUMMYFUNCTION("IFERROR(FILTER('Fund Investment Data'!$D:$D, 'Fund Investment Data'!$C:$C = $A127, 'Fund Investment Data'!$A:$A = H$1, 'Fund Investment Data'!$B:$B = 12),"""")"),"")</f>
        <v/>
      </c>
      <c r="I127" t="str">
        <f>IFERROR(__xludf.DUMMYFUNCTION("IFERROR(FILTER('Fund Investment Data'!$D:$D, 'Fund Investment Data'!$C:$C = $A127, 'Fund Investment Data'!$A:$A = I$1, 'Fund Investment Data'!$B:$B = 12),"""")"),"")</f>
        <v/>
      </c>
      <c r="J127" t="str">
        <f>IFERROR(__xludf.DUMMYFUNCTION("IFERROR(FILTER('Fund Investment Data'!$D:$D, 'Fund Investment Data'!$C:$C = $A127, 'Fund Investment Data'!$A:$A = J$1, 'Fund Investment Data'!$B:$B = 12),"""")"),"")</f>
        <v/>
      </c>
      <c r="K127" t="str">
        <f>IFERROR(__xludf.DUMMYFUNCTION("IFERROR(FILTER('Fund Investment Data'!$D:$D, 'Fund Investment Data'!$C:$C = $A127, 'Fund Investment Data'!$A:$A = K$1, 'Fund Investment Data'!$B:$B = 12),"""")"),"")</f>
        <v/>
      </c>
      <c r="L127" t="str">
        <f>IFERROR(__xludf.DUMMYFUNCTION("IFERROR(FILTER('Fund Investment Data'!$D:$D, 'Fund Investment Data'!$C:$C = $A127, 'Fund Investment Data'!$A:$A = L$1, 'Fund Investment Data'!$B:$B = 12),"""")"),"")</f>
        <v/>
      </c>
      <c r="M127" t="str">
        <f>IFERROR(__xludf.DUMMYFUNCTION("IFERROR(FILTER('Fund Investment Data'!$D:$D, 'Fund Investment Data'!$C:$C = $A127, 'Fund Investment Data'!$A:$A = M$1, 'Fund Investment Data'!$B:$B = 12),"""")"),"")</f>
        <v/>
      </c>
      <c r="N127" t="str">
        <f>IFERROR(__xludf.DUMMYFUNCTION("IFERROR(FILTER('Fund Investment Data'!$D:$D, 'Fund Investment Data'!$C:$C = $A127, 'Fund Investment Data'!$A:$A = N$1, 'Fund Investment Data'!$B:$B = 12),"""")"),"")</f>
        <v/>
      </c>
      <c r="O127" t="str">
        <f>IFERROR(__xludf.DUMMYFUNCTION("IFERROR(FILTER('Fund Investment Data'!$D:$D, 'Fund Investment Data'!$C:$C = $A127, 'Fund Investment Data'!$A:$A = O$1, 'Fund Investment Data'!$B:$B = 12),"""")"),"")</f>
        <v/>
      </c>
      <c r="P127" t="str">
        <f>IFERROR(__xludf.DUMMYFUNCTION("IFERROR(FILTER('Fund Investment Data'!$D:$D, 'Fund Investment Data'!$C:$C = $A127, 'Fund Investment Data'!$A:$A = P$1, 'Fund Investment Data'!$B:$B = 12),"""")"),"")</f>
        <v/>
      </c>
      <c r="Q127" t="str">
        <f>IFERROR(__xludf.DUMMYFUNCTION("IFERROR(FILTER('Fund Investment Data'!$D:$D, 'Fund Investment Data'!$C:$C = $A127, 'Fund Investment Data'!$A:$A = Q$1, 'Fund Investment Data'!$B:$B = 12),"""")"),"")</f>
        <v/>
      </c>
      <c r="R127" t="str">
        <f>IFERROR(__xludf.DUMMYFUNCTION("IFERROR(FILTER('Fund Investment Data'!$D:$D, 'Fund Investment Data'!$C:$C = $A127, 'Fund Investment Data'!$A:$A = R$1, 'Fund Investment Data'!$B:$B = 12),"""")"),"")</f>
        <v/>
      </c>
      <c r="S127" t="str">
        <f>IFERROR(__xludf.DUMMYFUNCTION("IFERROR(FILTER('Fund Investment Data'!$D:$D, 'Fund Investment Data'!$C:$C = $A127, 'Fund Investment Data'!$A:$A = S$1, 'Fund Investment Data'!$B:$B = 12),"""")"),"")</f>
        <v/>
      </c>
      <c r="T127" t="str">
        <f>IFERROR(__xludf.DUMMYFUNCTION("IFERROR(FILTER('Fund Investment Data'!$D:$D, 'Fund Investment Data'!$C:$C = $A127, 'Fund Investment Data'!$A:$A = T$1, 'Fund Investment Data'!$B:$B = 12),"""")"),"")</f>
        <v/>
      </c>
      <c r="U127" t="str">
        <f>IFERROR(__xludf.DUMMYFUNCTION("IFERROR(FILTER('Fund Investment Data'!$D:$D, 'Fund Investment Data'!$C:$C = $A127, 'Fund Investment Data'!$A:$A = U$1, 'Fund Investment Data'!$B:$B = 12),"""")"),"")</f>
        <v/>
      </c>
      <c r="V127" t="str">
        <f>IFERROR(__xludf.DUMMYFUNCTION("IFERROR(FILTER('Fund Investment Data'!$D:$D, 'Fund Investment Data'!$C:$C = $A127, 'Fund Investment Data'!$A:$A = V$1, 'Fund Investment Data'!$B:$B = 12),"""")"),"")</f>
        <v/>
      </c>
      <c r="W127" t="str">
        <f>IFERROR(__xludf.DUMMYFUNCTION("IFERROR(FILTER('Fund Investment Data'!$D:$D, 'Fund Investment Data'!$C:$C = $A127, 'Fund Investment Data'!$A:$A = W$1, 'Fund Investment Data'!$B:$B = 12),"""")"),"")</f>
        <v/>
      </c>
      <c r="X127" t="str">
        <f>IFERROR(__xludf.DUMMYFUNCTION("IFERROR(FILTER('Fund Investment Data'!$D:$D, 'Fund Investment Data'!$C:$C = $A127, 'Fund Investment Data'!$A:$A = X$1, 'Fund Investment Data'!$B:$B = 12),"""")"),"")</f>
        <v/>
      </c>
      <c r="Y127" t="str">
        <f>IFERROR(__xludf.DUMMYFUNCTION("IFERROR(FILTER('Fund Investment Data'!$D:$D, 'Fund Investment Data'!$C:$C = $A127, 'Fund Investment Data'!$A:$A = Y$1, 'Fund Investment Data'!$B:$B = 12),"""")"),"")</f>
        <v/>
      </c>
      <c r="Z127" t="str">
        <f>IFERROR(__xludf.DUMMYFUNCTION("IFERROR(FILTER('Fund Investment Data'!$D:$D, 'Fund Investment Data'!$C:$C = $A127, 'Fund Investment Data'!$A:$A = Z$1, 'Fund Investment Data'!$B:$B = 12),"""")"),"")</f>
        <v/>
      </c>
      <c r="AA127" t="str">
        <f>IFERROR(__xludf.DUMMYFUNCTION("IFERROR(FILTER('Fund Investment Data'!$D:$D, 'Fund Investment Data'!$C:$C = $A127, 'Fund Investment Data'!$A:$A = AA$1, 'Fund Investment Data'!$B:$B = 12),"""")"),"")</f>
        <v/>
      </c>
      <c r="AB127" t="str">
        <f>IFERROR(__xludf.DUMMYFUNCTION("IFERROR(FILTER('Fund Investment Data'!$D:$D, 'Fund Investment Data'!$C:$C = $A127, 'Fund Investment Data'!$A:$A = AB$1, 'Fund Investment Data'!$B:$B = 12),"""")"),"")</f>
        <v/>
      </c>
      <c r="AC127" t="str">
        <f>IFERROR(__xludf.DUMMYFUNCTION("IFERROR(FILTER('Fund Investment Data'!$D:$D, 'Fund Investment Data'!$C:$C = $A127, 'Fund Investment Data'!$A:$A = AC$1, 'Fund Investment Data'!$B:$B = 12),"""")"),"")</f>
        <v/>
      </c>
      <c r="AD127" t="str">
        <f>IFERROR(__xludf.DUMMYFUNCTION("IFERROR(FILTER('Fund Investment Data'!$D:$D, 'Fund Investment Data'!$C:$C = $A127, 'Fund Investment Data'!$A:$A = AD$1, 'Fund Investment Data'!$B:$B = 12),"""")"),"")</f>
        <v/>
      </c>
      <c r="AE127" t="str">
        <f>IFERROR(__xludf.DUMMYFUNCTION("IFERROR(FILTER('Fund Investment Data'!$D:$D, 'Fund Investment Data'!$C:$C = $A127, 'Fund Investment Data'!$A:$A = AE$1, 'Fund Investment Data'!$B:$B = 12),"""")"),"")</f>
        <v/>
      </c>
    </row>
    <row r="128">
      <c r="A128" s="150" t="str">
        <f>'Endowed Funds'!A:A</f>
        <v/>
      </c>
      <c r="B128" t="str">
        <f>IFERROR(__xludf.DUMMYFUNCTION("IFERROR(FILTER('Fund Investment Data'!$D:$D, 'Fund Investment Data'!$C:$C = $A128, 'Fund Investment Data'!$A:$A = B$1, 'Fund Investment Data'!$B:$B = 12),"""")"),"")</f>
        <v/>
      </c>
      <c r="C128" t="str">
        <f>IFERROR(__xludf.DUMMYFUNCTION("IFERROR(FILTER('Fund Investment Data'!$D:$D, 'Fund Investment Data'!$C:$C = $A128, 'Fund Investment Data'!$A:$A = C$1, 'Fund Investment Data'!$B:$B = 12),"""")"),"")</f>
        <v/>
      </c>
      <c r="D128" t="str">
        <f>IFERROR(__xludf.DUMMYFUNCTION("IFERROR(FILTER('Fund Investment Data'!$D:$D, 'Fund Investment Data'!$C:$C = $A128, 'Fund Investment Data'!$A:$A = D$1, 'Fund Investment Data'!$B:$B = 12),"""")"),"")</f>
        <v/>
      </c>
      <c r="E128" t="str">
        <f>IFERROR(__xludf.DUMMYFUNCTION("IFERROR(FILTER('Fund Investment Data'!$D:$D, 'Fund Investment Data'!$C:$C = $A128, 'Fund Investment Data'!$A:$A = E$1, 'Fund Investment Data'!$B:$B = 12),"""")"),"")</f>
        <v/>
      </c>
      <c r="F128" t="str">
        <f>IFERROR(__xludf.DUMMYFUNCTION("IFERROR(FILTER('Fund Investment Data'!$D:$D, 'Fund Investment Data'!$C:$C = $A128, 'Fund Investment Data'!$A:$A = F$1, 'Fund Investment Data'!$B:$B = 12),"""")"),"")</f>
        <v/>
      </c>
      <c r="G128" t="str">
        <f>IFERROR(__xludf.DUMMYFUNCTION("IFERROR(FILTER('Fund Investment Data'!$D:$D, 'Fund Investment Data'!$C:$C = $A128, 'Fund Investment Data'!$A:$A = G$1, 'Fund Investment Data'!$B:$B = 12),"""")"),"")</f>
        <v/>
      </c>
      <c r="H128" t="str">
        <f>IFERROR(__xludf.DUMMYFUNCTION("IFERROR(FILTER('Fund Investment Data'!$D:$D, 'Fund Investment Data'!$C:$C = $A128, 'Fund Investment Data'!$A:$A = H$1, 'Fund Investment Data'!$B:$B = 12),"""")"),"")</f>
        <v/>
      </c>
      <c r="I128" t="str">
        <f>IFERROR(__xludf.DUMMYFUNCTION("IFERROR(FILTER('Fund Investment Data'!$D:$D, 'Fund Investment Data'!$C:$C = $A128, 'Fund Investment Data'!$A:$A = I$1, 'Fund Investment Data'!$B:$B = 12),"""")"),"")</f>
        <v/>
      </c>
      <c r="J128" t="str">
        <f>IFERROR(__xludf.DUMMYFUNCTION("IFERROR(FILTER('Fund Investment Data'!$D:$D, 'Fund Investment Data'!$C:$C = $A128, 'Fund Investment Data'!$A:$A = J$1, 'Fund Investment Data'!$B:$B = 12),"""")"),"")</f>
        <v/>
      </c>
      <c r="K128" t="str">
        <f>IFERROR(__xludf.DUMMYFUNCTION("IFERROR(FILTER('Fund Investment Data'!$D:$D, 'Fund Investment Data'!$C:$C = $A128, 'Fund Investment Data'!$A:$A = K$1, 'Fund Investment Data'!$B:$B = 12),"""")"),"")</f>
        <v/>
      </c>
      <c r="L128" t="str">
        <f>IFERROR(__xludf.DUMMYFUNCTION("IFERROR(FILTER('Fund Investment Data'!$D:$D, 'Fund Investment Data'!$C:$C = $A128, 'Fund Investment Data'!$A:$A = L$1, 'Fund Investment Data'!$B:$B = 12),"""")"),"")</f>
        <v/>
      </c>
      <c r="M128" t="str">
        <f>IFERROR(__xludf.DUMMYFUNCTION("IFERROR(FILTER('Fund Investment Data'!$D:$D, 'Fund Investment Data'!$C:$C = $A128, 'Fund Investment Data'!$A:$A = M$1, 'Fund Investment Data'!$B:$B = 12),"""")"),"")</f>
        <v/>
      </c>
      <c r="N128" t="str">
        <f>IFERROR(__xludf.DUMMYFUNCTION("IFERROR(FILTER('Fund Investment Data'!$D:$D, 'Fund Investment Data'!$C:$C = $A128, 'Fund Investment Data'!$A:$A = N$1, 'Fund Investment Data'!$B:$B = 12),"""")"),"")</f>
        <v/>
      </c>
      <c r="O128" t="str">
        <f>IFERROR(__xludf.DUMMYFUNCTION("IFERROR(FILTER('Fund Investment Data'!$D:$D, 'Fund Investment Data'!$C:$C = $A128, 'Fund Investment Data'!$A:$A = O$1, 'Fund Investment Data'!$B:$B = 12),"""")"),"")</f>
        <v/>
      </c>
      <c r="P128" t="str">
        <f>IFERROR(__xludf.DUMMYFUNCTION("IFERROR(FILTER('Fund Investment Data'!$D:$D, 'Fund Investment Data'!$C:$C = $A128, 'Fund Investment Data'!$A:$A = P$1, 'Fund Investment Data'!$B:$B = 12),"""")"),"")</f>
        <v/>
      </c>
      <c r="Q128" t="str">
        <f>IFERROR(__xludf.DUMMYFUNCTION("IFERROR(FILTER('Fund Investment Data'!$D:$D, 'Fund Investment Data'!$C:$C = $A128, 'Fund Investment Data'!$A:$A = Q$1, 'Fund Investment Data'!$B:$B = 12),"""")"),"")</f>
        <v/>
      </c>
      <c r="R128" t="str">
        <f>IFERROR(__xludf.DUMMYFUNCTION("IFERROR(FILTER('Fund Investment Data'!$D:$D, 'Fund Investment Data'!$C:$C = $A128, 'Fund Investment Data'!$A:$A = R$1, 'Fund Investment Data'!$B:$B = 12),"""")"),"")</f>
        <v/>
      </c>
      <c r="S128" t="str">
        <f>IFERROR(__xludf.DUMMYFUNCTION("IFERROR(FILTER('Fund Investment Data'!$D:$D, 'Fund Investment Data'!$C:$C = $A128, 'Fund Investment Data'!$A:$A = S$1, 'Fund Investment Data'!$B:$B = 12),"""")"),"")</f>
        <v/>
      </c>
      <c r="T128" t="str">
        <f>IFERROR(__xludf.DUMMYFUNCTION("IFERROR(FILTER('Fund Investment Data'!$D:$D, 'Fund Investment Data'!$C:$C = $A128, 'Fund Investment Data'!$A:$A = T$1, 'Fund Investment Data'!$B:$B = 12),"""")"),"")</f>
        <v/>
      </c>
      <c r="U128" t="str">
        <f>IFERROR(__xludf.DUMMYFUNCTION("IFERROR(FILTER('Fund Investment Data'!$D:$D, 'Fund Investment Data'!$C:$C = $A128, 'Fund Investment Data'!$A:$A = U$1, 'Fund Investment Data'!$B:$B = 12),"""")"),"")</f>
        <v/>
      </c>
      <c r="V128" t="str">
        <f>IFERROR(__xludf.DUMMYFUNCTION("IFERROR(FILTER('Fund Investment Data'!$D:$D, 'Fund Investment Data'!$C:$C = $A128, 'Fund Investment Data'!$A:$A = V$1, 'Fund Investment Data'!$B:$B = 12),"""")"),"")</f>
        <v/>
      </c>
      <c r="W128" t="str">
        <f>IFERROR(__xludf.DUMMYFUNCTION("IFERROR(FILTER('Fund Investment Data'!$D:$D, 'Fund Investment Data'!$C:$C = $A128, 'Fund Investment Data'!$A:$A = W$1, 'Fund Investment Data'!$B:$B = 12),"""")"),"")</f>
        <v/>
      </c>
      <c r="X128" t="str">
        <f>IFERROR(__xludf.DUMMYFUNCTION("IFERROR(FILTER('Fund Investment Data'!$D:$D, 'Fund Investment Data'!$C:$C = $A128, 'Fund Investment Data'!$A:$A = X$1, 'Fund Investment Data'!$B:$B = 12),"""")"),"")</f>
        <v/>
      </c>
      <c r="Y128" t="str">
        <f>IFERROR(__xludf.DUMMYFUNCTION("IFERROR(FILTER('Fund Investment Data'!$D:$D, 'Fund Investment Data'!$C:$C = $A128, 'Fund Investment Data'!$A:$A = Y$1, 'Fund Investment Data'!$B:$B = 12),"""")"),"")</f>
        <v/>
      </c>
      <c r="Z128" t="str">
        <f>IFERROR(__xludf.DUMMYFUNCTION("IFERROR(FILTER('Fund Investment Data'!$D:$D, 'Fund Investment Data'!$C:$C = $A128, 'Fund Investment Data'!$A:$A = Z$1, 'Fund Investment Data'!$B:$B = 12),"""")"),"")</f>
        <v/>
      </c>
      <c r="AA128" t="str">
        <f>IFERROR(__xludf.DUMMYFUNCTION("IFERROR(FILTER('Fund Investment Data'!$D:$D, 'Fund Investment Data'!$C:$C = $A128, 'Fund Investment Data'!$A:$A = AA$1, 'Fund Investment Data'!$B:$B = 12),"""")"),"")</f>
        <v/>
      </c>
      <c r="AB128" t="str">
        <f>IFERROR(__xludf.DUMMYFUNCTION("IFERROR(FILTER('Fund Investment Data'!$D:$D, 'Fund Investment Data'!$C:$C = $A128, 'Fund Investment Data'!$A:$A = AB$1, 'Fund Investment Data'!$B:$B = 12),"""")"),"")</f>
        <v/>
      </c>
      <c r="AC128" t="str">
        <f>IFERROR(__xludf.DUMMYFUNCTION("IFERROR(FILTER('Fund Investment Data'!$D:$D, 'Fund Investment Data'!$C:$C = $A128, 'Fund Investment Data'!$A:$A = AC$1, 'Fund Investment Data'!$B:$B = 12),"""")"),"")</f>
        <v/>
      </c>
      <c r="AD128" t="str">
        <f>IFERROR(__xludf.DUMMYFUNCTION("IFERROR(FILTER('Fund Investment Data'!$D:$D, 'Fund Investment Data'!$C:$C = $A128, 'Fund Investment Data'!$A:$A = AD$1, 'Fund Investment Data'!$B:$B = 12),"""")"),"")</f>
        <v/>
      </c>
      <c r="AE128" t="str">
        <f>IFERROR(__xludf.DUMMYFUNCTION("IFERROR(FILTER('Fund Investment Data'!$D:$D, 'Fund Investment Data'!$C:$C = $A128, 'Fund Investment Data'!$A:$A = AE$1, 'Fund Investment Data'!$B:$B = 12),"""")"),"")</f>
        <v/>
      </c>
    </row>
    <row r="129">
      <c r="A129" s="150" t="str">
        <f>'Endowed Funds'!A:A</f>
        <v/>
      </c>
      <c r="B129" t="str">
        <f>IFERROR(__xludf.DUMMYFUNCTION("IFERROR(FILTER('Fund Investment Data'!$D:$D, 'Fund Investment Data'!$C:$C = $A129, 'Fund Investment Data'!$A:$A = B$1, 'Fund Investment Data'!$B:$B = 12),"""")"),"")</f>
        <v/>
      </c>
      <c r="C129" t="str">
        <f>IFERROR(__xludf.DUMMYFUNCTION("IFERROR(FILTER('Fund Investment Data'!$D:$D, 'Fund Investment Data'!$C:$C = $A129, 'Fund Investment Data'!$A:$A = C$1, 'Fund Investment Data'!$B:$B = 12),"""")"),"")</f>
        <v/>
      </c>
      <c r="D129" t="str">
        <f>IFERROR(__xludf.DUMMYFUNCTION("IFERROR(FILTER('Fund Investment Data'!$D:$D, 'Fund Investment Data'!$C:$C = $A129, 'Fund Investment Data'!$A:$A = D$1, 'Fund Investment Data'!$B:$B = 12),"""")"),"")</f>
        <v/>
      </c>
      <c r="E129" t="str">
        <f>IFERROR(__xludf.DUMMYFUNCTION("IFERROR(FILTER('Fund Investment Data'!$D:$D, 'Fund Investment Data'!$C:$C = $A129, 'Fund Investment Data'!$A:$A = E$1, 'Fund Investment Data'!$B:$B = 12),"""")"),"")</f>
        <v/>
      </c>
      <c r="F129" t="str">
        <f>IFERROR(__xludf.DUMMYFUNCTION("IFERROR(FILTER('Fund Investment Data'!$D:$D, 'Fund Investment Data'!$C:$C = $A129, 'Fund Investment Data'!$A:$A = F$1, 'Fund Investment Data'!$B:$B = 12),"""")"),"")</f>
        <v/>
      </c>
      <c r="G129" t="str">
        <f>IFERROR(__xludf.DUMMYFUNCTION("IFERROR(FILTER('Fund Investment Data'!$D:$D, 'Fund Investment Data'!$C:$C = $A129, 'Fund Investment Data'!$A:$A = G$1, 'Fund Investment Data'!$B:$B = 12),"""")"),"")</f>
        <v/>
      </c>
      <c r="H129" t="str">
        <f>IFERROR(__xludf.DUMMYFUNCTION("IFERROR(FILTER('Fund Investment Data'!$D:$D, 'Fund Investment Data'!$C:$C = $A129, 'Fund Investment Data'!$A:$A = H$1, 'Fund Investment Data'!$B:$B = 12),"""")"),"")</f>
        <v/>
      </c>
      <c r="I129" t="str">
        <f>IFERROR(__xludf.DUMMYFUNCTION("IFERROR(FILTER('Fund Investment Data'!$D:$D, 'Fund Investment Data'!$C:$C = $A129, 'Fund Investment Data'!$A:$A = I$1, 'Fund Investment Data'!$B:$B = 12),"""")"),"")</f>
        <v/>
      </c>
      <c r="J129" t="str">
        <f>IFERROR(__xludf.DUMMYFUNCTION("IFERROR(FILTER('Fund Investment Data'!$D:$D, 'Fund Investment Data'!$C:$C = $A129, 'Fund Investment Data'!$A:$A = J$1, 'Fund Investment Data'!$B:$B = 12),"""")"),"")</f>
        <v/>
      </c>
      <c r="K129" t="str">
        <f>IFERROR(__xludf.DUMMYFUNCTION("IFERROR(FILTER('Fund Investment Data'!$D:$D, 'Fund Investment Data'!$C:$C = $A129, 'Fund Investment Data'!$A:$A = K$1, 'Fund Investment Data'!$B:$B = 12),"""")"),"")</f>
        <v/>
      </c>
      <c r="L129" t="str">
        <f>IFERROR(__xludf.DUMMYFUNCTION("IFERROR(FILTER('Fund Investment Data'!$D:$D, 'Fund Investment Data'!$C:$C = $A129, 'Fund Investment Data'!$A:$A = L$1, 'Fund Investment Data'!$B:$B = 12),"""")"),"")</f>
        <v/>
      </c>
      <c r="M129" t="str">
        <f>IFERROR(__xludf.DUMMYFUNCTION("IFERROR(FILTER('Fund Investment Data'!$D:$D, 'Fund Investment Data'!$C:$C = $A129, 'Fund Investment Data'!$A:$A = M$1, 'Fund Investment Data'!$B:$B = 12),"""")"),"")</f>
        <v/>
      </c>
      <c r="N129" t="str">
        <f>IFERROR(__xludf.DUMMYFUNCTION("IFERROR(FILTER('Fund Investment Data'!$D:$D, 'Fund Investment Data'!$C:$C = $A129, 'Fund Investment Data'!$A:$A = N$1, 'Fund Investment Data'!$B:$B = 12),"""")"),"")</f>
        <v/>
      </c>
      <c r="O129" t="str">
        <f>IFERROR(__xludf.DUMMYFUNCTION("IFERROR(FILTER('Fund Investment Data'!$D:$D, 'Fund Investment Data'!$C:$C = $A129, 'Fund Investment Data'!$A:$A = O$1, 'Fund Investment Data'!$B:$B = 12),"""")"),"")</f>
        <v/>
      </c>
      <c r="P129" t="str">
        <f>IFERROR(__xludf.DUMMYFUNCTION("IFERROR(FILTER('Fund Investment Data'!$D:$D, 'Fund Investment Data'!$C:$C = $A129, 'Fund Investment Data'!$A:$A = P$1, 'Fund Investment Data'!$B:$B = 12),"""")"),"")</f>
        <v/>
      </c>
      <c r="Q129" t="str">
        <f>IFERROR(__xludf.DUMMYFUNCTION("IFERROR(FILTER('Fund Investment Data'!$D:$D, 'Fund Investment Data'!$C:$C = $A129, 'Fund Investment Data'!$A:$A = Q$1, 'Fund Investment Data'!$B:$B = 12),"""")"),"")</f>
        <v/>
      </c>
      <c r="R129" t="str">
        <f>IFERROR(__xludf.DUMMYFUNCTION("IFERROR(FILTER('Fund Investment Data'!$D:$D, 'Fund Investment Data'!$C:$C = $A129, 'Fund Investment Data'!$A:$A = R$1, 'Fund Investment Data'!$B:$B = 12),"""")"),"")</f>
        <v/>
      </c>
      <c r="S129" t="str">
        <f>IFERROR(__xludf.DUMMYFUNCTION("IFERROR(FILTER('Fund Investment Data'!$D:$D, 'Fund Investment Data'!$C:$C = $A129, 'Fund Investment Data'!$A:$A = S$1, 'Fund Investment Data'!$B:$B = 12),"""")"),"")</f>
        <v/>
      </c>
      <c r="T129" t="str">
        <f>IFERROR(__xludf.DUMMYFUNCTION("IFERROR(FILTER('Fund Investment Data'!$D:$D, 'Fund Investment Data'!$C:$C = $A129, 'Fund Investment Data'!$A:$A = T$1, 'Fund Investment Data'!$B:$B = 12),"""")"),"")</f>
        <v/>
      </c>
      <c r="U129" t="str">
        <f>IFERROR(__xludf.DUMMYFUNCTION("IFERROR(FILTER('Fund Investment Data'!$D:$D, 'Fund Investment Data'!$C:$C = $A129, 'Fund Investment Data'!$A:$A = U$1, 'Fund Investment Data'!$B:$B = 12),"""")"),"")</f>
        <v/>
      </c>
      <c r="V129" t="str">
        <f>IFERROR(__xludf.DUMMYFUNCTION("IFERROR(FILTER('Fund Investment Data'!$D:$D, 'Fund Investment Data'!$C:$C = $A129, 'Fund Investment Data'!$A:$A = V$1, 'Fund Investment Data'!$B:$B = 12),"""")"),"")</f>
        <v/>
      </c>
      <c r="W129" t="str">
        <f>IFERROR(__xludf.DUMMYFUNCTION("IFERROR(FILTER('Fund Investment Data'!$D:$D, 'Fund Investment Data'!$C:$C = $A129, 'Fund Investment Data'!$A:$A = W$1, 'Fund Investment Data'!$B:$B = 12),"""")"),"")</f>
        <v/>
      </c>
      <c r="X129" t="str">
        <f>IFERROR(__xludf.DUMMYFUNCTION("IFERROR(FILTER('Fund Investment Data'!$D:$D, 'Fund Investment Data'!$C:$C = $A129, 'Fund Investment Data'!$A:$A = X$1, 'Fund Investment Data'!$B:$B = 12),"""")"),"")</f>
        <v/>
      </c>
      <c r="Y129" t="str">
        <f>IFERROR(__xludf.DUMMYFUNCTION("IFERROR(FILTER('Fund Investment Data'!$D:$D, 'Fund Investment Data'!$C:$C = $A129, 'Fund Investment Data'!$A:$A = Y$1, 'Fund Investment Data'!$B:$B = 12),"""")"),"")</f>
        <v/>
      </c>
      <c r="Z129" t="str">
        <f>IFERROR(__xludf.DUMMYFUNCTION("IFERROR(FILTER('Fund Investment Data'!$D:$D, 'Fund Investment Data'!$C:$C = $A129, 'Fund Investment Data'!$A:$A = Z$1, 'Fund Investment Data'!$B:$B = 12),"""")"),"")</f>
        <v/>
      </c>
      <c r="AA129" t="str">
        <f>IFERROR(__xludf.DUMMYFUNCTION("IFERROR(FILTER('Fund Investment Data'!$D:$D, 'Fund Investment Data'!$C:$C = $A129, 'Fund Investment Data'!$A:$A = AA$1, 'Fund Investment Data'!$B:$B = 12),"""")"),"")</f>
        <v/>
      </c>
      <c r="AB129" t="str">
        <f>IFERROR(__xludf.DUMMYFUNCTION("IFERROR(FILTER('Fund Investment Data'!$D:$D, 'Fund Investment Data'!$C:$C = $A129, 'Fund Investment Data'!$A:$A = AB$1, 'Fund Investment Data'!$B:$B = 12),"""")"),"")</f>
        <v/>
      </c>
      <c r="AC129" t="str">
        <f>IFERROR(__xludf.DUMMYFUNCTION("IFERROR(FILTER('Fund Investment Data'!$D:$D, 'Fund Investment Data'!$C:$C = $A129, 'Fund Investment Data'!$A:$A = AC$1, 'Fund Investment Data'!$B:$B = 12),"""")"),"")</f>
        <v/>
      </c>
      <c r="AD129" t="str">
        <f>IFERROR(__xludf.DUMMYFUNCTION("IFERROR(FILTER('Fund Investment Data'!$D:$D, 'Fund Investment Data'!$C:$C = $A129, 'Fund Investment Data'!$A:$A = AD$1, 'Fund Investment Data'!$B:$B = 12),"""")"),"")</f>
        <v/>
      </c>
      <c r="AE129" t="str">
        <f>IFERROR(__xludf.DUMMYFUNCTION("IFERROR(FILTER('Fund Investment Data'!$D:$D, 'Fund Investment Data'!$C:$C = $A129, 'Fund Investment Data'!$A:$A = AE$1, 'Fund Investment Data'!$B:$B = 12),"""")"),"")</f>
        <v/>
      </c>
    </row>
    <row r="130">
      <c r="A130" s="150" t="str">
        <f>'Endowed Funds'!A:A</f>
        <v/>
      </c>
      <c r="B130" t="str">
        <f>IFERROR(__xludf.DUMMYFUNCTION("IFERROR(FILTER('Fund Investment Data'!$D:$D, 'Fund Investment Data'!$C:$C = $A130, 'Fund Investment Data'!$A:$A = B$1, 'Fund Investment Data'!$B:$B = 12),"""")"),"")</f>
        <v/>
      </c>
      <c r="C130" t="str">
        <f>IFERROR(__xludf.DUMMYFUNCTION("IFERROR(FILTER('Fund Investment Data'!$D:$D, 'Fund Investment Data'!$C:$C = $A130, 'Fund Investment Data'!$A:$A = C$1, 'Fund Investment Data'!$B:$B = 12),"""")"),"")</f>
        <v/>
      </c>
      <c r="D130" t="str">
        <f>IFERROR(__xludf.DUMMYFUNCTION("IFERROR(FILTER('Fund Investment Data'!$D:$D, 'Fund Investment Data'!$C:$C = $A130, 'Fund Investment Data'!$A:$A = D$1, 'Fund Investment Data'!$B:$B = 12),"""")"),"")</f>
        <v/>
      </c>
      <c r="E130" t="str">
        <f>IFERROR(__xludf.DUMMYFUNCTION("IFERROR(FILTER('Fund Investment Data'!$D:$D, 'Fund Investment Data'!$C:$C = $A130, 'Fund Investment Data'!$A:$A = E$1, 'Fund Investment Data'!$B:$B = 12),"""")"),"")</f>
        <v/>
      </c>
      <c r="F130" t="str">
        <f>IFERROR(__xludf.DUMMYFUNCTION("IFERROR(FILTER('Fund Investment Data'!$D:$D, 'Fund Investment Data'!$C:$C = $A130, 'Fund Investment Data'!$A:$A = F$1, 'Fund Investment Data'!$B:$B = 12),"""")"),"")</f>
        <v/>
      </c>
      <c r="G130" t="str">
        <f>IFERROR(__xludf.DUMMYFUNCTION("IFERROR(FILTER('Fund Investment Data'!$D:$D, 'Fund Investment Data'!$C:$C = $A130, 'Fund Investment Data'!$A:$A = G$1, 'Fund Investment Data'!$B:$B = 12),"""")"),"")</f>
        <v/>
      </c>
      <c r="H130" t="str">
        <f>IFERROR(__xludf.DUMMYFUNCTION("IFERROR(FILTER('Fund Investment Data'!$D:$D, 'Fund Investment Data'!$C:$C = $A130, 'Fund Investment Data'!$A:$A = H$1, 'Fund Investment Data'!$B:$B = 12),"""")"),"")</f>
        <v/>
      </c>
      <c r="I130" t="str">
        <f>IFERROR(__xludf.DUMMYFUNCTION("IFERROR(FILTER('Fund Investment Data'!$D:$D, 'Fund Investment Data'!$C:$C = $A130, 'Fund Investment Data'!$A:$A = I$1, 'Fund Investment Data'!$B:$B = 12),"""")"),"")</f>
        <v/>
      </c>
      <c r="J130" t="str">
        <f>IFERROR(__xludf.DUMMYFUNCTION("IFERROR(FILTER('Fund Investment Data'!$D:$D, 'Fund Investment Data'!$C:$C = $A130, 'Fund Investment Data'!$A:$A = J$1, 'Fund Investment Data'!$B:$B = 12),"""")"),"")</f>
        <v/>
      </c>
      <c r="K130" t="str">
        <f>IFERROR(__xludf.DUMMYFUNCTION("IFERROR(FILTER('Fund Investment Data'!$D:$D, 'Fund Investment Data'!$C:$C = $A130, 'Fund Investment Data'!$A:$A = K$1, 'Fund Investment Data'!$B:$B = 12),"""")"),"")</f>
        <v/>
      </c>
      <c r="L130" t="str">
        <f>IFERROR(__xludf.DUMMYFUNCTION("IFERROR(FILTER('Fund Investment Data'!$D:$D, 'Fund Investment Data'!$C:$C = $A130, 'Fund Investment Data'!$A:$A = L$1, 'Fund Investment Data'!$B:$B = 12),"""")"),"")</f>
        <v/>
      </c>
      <c r="M130" t="str">
        <f>IFERROR(__xludf.DUMMYFUNCTION("IFERROR(FILTER('Fund Investment Data'!$D:$D, 'Fund Investment Data'!$C:$C = $A130, 'Fund Investment Data'!$A:$A = M$1, 'Fund Investment Data'!$B:$B = 12),"""")"),"")</f>
        <v/>
      </c>
      <c r="N130" t="str">
        <f>IFERROR(__xludf.DUMMYFUNCTION("IFERROR(FILTER('Fund Investment Data'!$D:$D, 'Fund Investment Data'!$C:$C = $A130, 'Fund Investment Data'!$A:$A = N$1, 'Fund Investment Data'!$B:$B = 12),"""")"),"")</f>
        <v/>
      </c>
      <c r="O130" t="str">
        <f>IFERROR(__xludf.DUMMYFUNCTION("IFERROR(FILTER('Fund Investment Data'!$D:$D, 'Fund Investment Data'!$C:$C = $A130, 'Fund Investment Data'!$A:$A = O$1, 'Fund Investment Data'!$B:$B = 12),"""")"),"")</f>
        <v/>
      </c>
      <c r="P130" t="str">
        <f>IFERROR(__xludf.DUMMYFUNCTION("IFERROR(FILTER('Fund Investment Data'!$D:$D, 'Fund Investment Data'!$C:$C = $A130, 'Fund Investment Data'!$A:$A = P$1, 'Fund Investment Data'!$B:$B = 12),"""")"),"")</f>
        <v/>
      </c>
      <c r="Q130" t="str">
        <f>IFERROR(__xludf.DUMMYFUNCTION("IFERROR(FILTER('Fund Investment Data'!$D:$D, 'Fund Investment Data'!$C:$C = $A130, 'Fund Investment Data'!$A:$A = Q$1, 'Fund Investment Data'!$B:$B = 12),"""")"),"")</f>
        <v/>
      </c>
      <c r="R130" t="str">
        <f>IFERROR(__xludf.DUMMYFUNCTION("IFERROR(FILTER('Fund Investment Data'!$D:$D, 'Fund Investment Data'!$C:$C = $A130, 'Fund Investment Data'!$A:$A = R$1, 'Fund Investment Data'!$B:$B = 12),"""")"),"")</f>
        <v/>
      </c>
      <c r="S130" t="str">
        <f>IFERROR(__xludf.DUMMYFUNCTION("IFERROR(FILTER('Fund Investment Data'!$D:$D, 'Fund Investment Data'!$C:$C = $A130, 'Fund Investment Data'!$A:$A = S$1, 'Fund Investment Data'!$B:$B = 12),"""")"),"")</f>
        <v/>
      </c>
      <c r="T130" t="str">
        <f>IFERROR(__xludf.DUMMYFUNCTION("IFERROR(FILTER('Fund Investment Data'!$D:$D, 'Fund Investment Data'!$C:$C = $A130, 'Fund Investment Data'!$A:$A = T$1, 'Fund Investment Data'!$B:$B = 12),"""")"),"")</f>
        <v/>
      </c>
      <c r="U130" t="str">
        <f>IFERROR(__xludf.DUMMYFUNCTION("IFERROR(FILTER('Fund Investment Data'!$D:$D, 'Fund Investment Data'!$C:$C = $A130, 'Fund Investment Data'!$A:$A = U$1, 'Fund Investment Data'!$B:$B = 12),"""")"),"")</f>
        <v/>
      </c>
      <c r="V130" t="str">
        <f>IFERROR(__xludf.DUMMYFUNCTION("IFERROR(FILTER('Fund Investment Data'!$D:$D, 'Fund Investment Data'!$C:$C = $A130, 'Fund Investment Data'!$A:$A = V$1, 'Fund Investment Data'!$B:$B = 12),"""")"),"")</f>
        <v/>
      </c>
      <c r="W130" t="str">
        <f>IFERROR(__xludf.DUMMYFUNCTION("IFERROR(FILTER('Fund Investment Data'!$D:$D, 'Fund Investment Data'!$C:$C = $A130, 'Fund Investment Data'!$A:$A = W$1, 'Fund Investment Data'!$B:$B = 12),"""")"),"")</f>
        <v/>
      </c>
      <c r="X130" t="str">
        <f>IFERROR(__xludf.DUMMYFUNCTION("IFERROR(FILTER('Fund Investment Data'!$D:$D, 'Fund Investment Data'!$C:$C = $A130, 'Fund Investment Data'!$A:$A = X$1, 'Fund Investment Data'!$B:$B = 12),"""")"),"")</f>
        <v/>
      </c>
      <c r="Y130" t="str">
        <f>IFERROR(__xludf.DUMMYFUNCTION("IFERROR(FILTER('Fund Investment Data'!$D:$D, 'Fund Investment Data'!$C:$C = $A130, 'Fund Investment Data'!$A:$A = Y$1, 'Fund Investment Data'!$B:$B = 12),"""")"),"")</f>
        <v/>
      </c>
      <c r="Z130" t="str">
        <f>IFERROR(__xludf.DUMMYFUNCTION("IFERROR(FILTER('Fund Investment Data'!$D:$D, 'Fund Investment Data'!$C:$C = $A130, 'Fund Investment Data'!$A:$A = Z$1, 'Fund Investment Data'!$B:$B = 12),"""")"),"")</f>
        <v/>
      </c>
      <c r="AA130" t="str">
        <f>IFERROR(__xludf.DUMMYFUNCTION("IFERROR(FILTER('Fund Investment Data'!$D:$D, 'Fund Investment Data'!$C:$C = $A130, 'Fund Investment Data'!$A:$A = AA$1, 'Fund Investment Data'!$B:$B = 12),"""")"),"")</f>
        <v/>
      </c>
      <c r="AB130" t="str">
        <f>IFERROR(__xludf.DUMMYFUNCTION("IFERROR(FILTER('Fund Investment Data'!$D:$D, 'Fund Investment Data'!$C:$C = $A130, 'Fund Investment Data'!$A:$A = AB$1, 'Fund Investment Data'!$B:$B = 12),"""")"),"")</f>
        <v/>
      </c>
      <c r="AC130" t="str">
        <f>IFERROR(__xludf.DUMMYFUNCTION("IFERROR(FILTER('Fund Investment Data'!$D:$D, 'Fund Investment Data'!$C:$C = $A130, 'Fund Investment Data'!$A:$A = AC$1, 'Fund Investment Data'!$B:$B = 12),"""")"),"")</f>
        <v/>
      </c>
      <c r="AD130" t="str">
        <f>IFERROR(__xludf.DUMMYFUNCTION("IFERROR(FILTER('Fund Investment Data'!$D:$D, 'Fund Investment Data'!$C:$C = $A130, 'Fund Investment Data'!$A:$A = AD$1, 'Fund Investment Data'!$B:$B = 12),"""")"),"")</f>
        <v/>
      </c>
      <c r="AE130" t="str">
        <f>IFERROR(__xludf.DUMMYFUNCTION("IFERROR(FILTER('Fund Investment Data'!$D:$D, 'Fund Investment Data'!$C:$C = $A130, 'Fund Investment Data'!$A:$A = AE$1, 'Fund Investment Data'!$B:$B = 12),"""")"),"")</f>
        <v/>
      </c>
    </row>
    <row r="131">
      <c r="A131" s="150" t="str">
        <f>'Endowed Funds'!A:A</f>
        <v/>
      </c>
      <c r="B131" t="str">
        <f>IFERROR(__xludf.DUMMYFUNCTION("IFERROR(FILTER('Fund Investment Data'!$D:$D, 'Fund Investment Data'!$C:$C = $A131, 'Fund Investment Data'!$A:$A = B$1, 'Fund Investment Data'!$B:$B = 12),"""")"),"")</f>
        <v/>
      </c>
      <c r="C131" t="str">
        <f>IFERROR(__xludf.DUMMYFUNCTION("IFERROR(FILTER('Fund Investment Data'!$D:$D, 'Fund Investment Data'!$C:$C = $A131, 'Fund Investment Data'!$A:$A = C$1, 'Fund Investment Data'!$B:$B = 12),"""")"),"")</f>
        <v/>
      </c>
      <c r="D131" t="str">
        <f>IFERROR(__xludf.DUMMYFUNCTION("IFERROR(FILTER('Fund Investment Data'!$D:$D, 'Fund Investment Data'!$C:$C = $A131, 'Fund Investment Data'!$A:$A = D$1, 'Fund Investment Data'!$B:$B = 12),"""")"),"")</f>
        <v/>
      </c>
      <c r="E131" t="str">
        <f>IFERROR(__xludf.DUMMYFUNCTION("IFERROR(FILTER('Fund Investment Data'!$D:$D, 'Fund Investment Data'!$C:$C = $A131, 'Fund Investment Data'!$A:$A = E$1, 'Fund Investment Data'!$B:$B = 12),"""")"),"")</f>
        <v/>
      </c>
      <c r="F131" t="str">
        <f>IFERROR(__xludf.DUMMYFUNCTION("IFERROR(FILTER('Fund Investment Data'!$D:$D, 'Fund Investment Data'!$C:$C = $A131, 'Fund Investment Data'!$A:$A = F$1, 'Fund Investment Data'!$B:$B = 12),"""")"),"")</f>
        <v/>
      </c>
      <c r="G131" t="str">
        <f>IFERROR(__xludf.DUMMYFUNCTION("IFERROR(FILTER('Fund Investment Data'!$D:$D, 'Fund Investment Data'!$C:$C = $A131, 'Fund Investment Data'!$A:$A = G$1, 'Fund Investment Data'!$B:$B = 12),"""")"),"")</f>
        <v/>
      </c>
      <c r="H131" t="str">
        <f>IFERROR(__xludf.DUMMYFUNCTION("IFERROR(FILTER('Fund Investment Data'!$D:$D, 'Fund Investment Data'!$C:$C = $A131, 'Fund Investment Data'!$A:$A = H$1, 'Fund Investment Data'!$B:$B = 12),"""")"),"")</f>
        <v/>
      </c>
      <c r="I131" t="str">
        <f>IFERROR(__xludf.DUMMYFUNCTION("IFERROR(FILTER('Fund Investment Data'!$D:$D, 'Fund Investment Data'!$C:$C = $A131, 'Fund Investment Data'!$A:$A = I$1, 'Fund Investment Data'!$B:$B = 12),"""")"),"")</f>
        <v/>
      </c>
      <c r="J131" t="str">
        <f>IFERROR(__xludf.DUMMYFUNCTION("IFERROR(FILTER('Fund Investment Data'!$D:$D, 'Fund Investment Data'!$C:$C = $A131, 'Fund Investment Data'!$A:$A = J$1, 'Fund Investment Data'!$B:$B = 12),"""")"),"")</f>
        <v/>
      </c>
      <c r="K131" t="str">
        <f>IFERROR(__xludf.DUMMYFUNCTION("IFERROR(FILTER('Fund Investment Data'!$D:$D, 'Fund Investment Data'!$C:$C = $A131, 'Fund Investment Data'!$A:$A = K$1, 'Fund Investment Data'!$B:$B = 12),"""")"),"")</f>
        <v/>
      </c>
      <c r="L131" t="str">
        <f>IFERROR(__xludf.DUMMYFUNCTION("IFERROR(FILTER('Fund Investment Data'!$D:$D, 'Fund Investment Data'!$C:$C = $A131, 'Fund Investment Data'!$A:$A = L$1, 'Fund Investment Data'!$B:$B = 12),"""")"),"")</f>
        <v/>
      </c>
      <c r="M131" t="str">
        <f>IFERROR(__xludf.DUMMYFUNCTION("IFERROR(FILTER('Fund Investment Data'!$D:$D, 'Fund Investment Data'!$C:$C = $A131, 'Fund Investment Data'!$A:$A = M$1, 'Fund Investment Data'!$B:$B = 12),"""")"),"")</f>
        <v/>
      </c>
      <c r="N131" t="str">
        <f>IFERROR(__xludf.DUMMYFUNCTION("IFERROR(FILTER('Fund Investment Data'!$D:$D, 'Fund Investment Data'!$C:$C = $A131, 'Fund Investment Data'!$A:$A = N$1, 'Fund Investment Data'!$B:$B = 12),"""")"),"")</f>
        <v/>
      </c>
      <c r="O131" t="str">
        <f>IFERROR(__xludf.DUMMYFUNCTION("IFERROR(FILTER('Fund Investment Data'!$D:$D, 'Fund Investment Data'!$C:$C = $A131, 'Fund Investment Data'!$A:$A = O$1, 'Fund Investment Data'!$B:$B = 12),"""")"),"")</f>
        <v/>
      </c>
      <c r="P131" t="str">
        <f>IFERROR(__xludf.DUMMYFUNCTION("IFERROR(FILTER('Fund Investment Data'!$D:$D, 'Fund Investment Data'!$C:$C = $A131, 'Fund Investment Data'!$A:$A = P$1, 'Fund Investment Data'!$B:$B = 12),"""")"),"")</f>
        <v/>
      </c>
      <c r="Q131" t="str">
        <f>IFERROR(__xludf.DUMMYFUNCTION("IFERROR(FILTER('Fund Investment Data'!$D:$D, 'Fund Investment Data'!$C:$C = $A131, 'Fund Investment Data'!$A:$A = Q$1, 'Fund Investment Data'!$B:$B = 12),"""")"),"")</f>
        <v/>
      </c>
      <c r="R131" t="str">
        <f>IFERROR(__xludf.DUMMYFUNCTION("IFERROR(FILTER('Fund Investment Data'!$D:$D, 'Fund Investment Data'!$C:$C = $A131, 'Fund Investment Data'!$A:$A = R$1, 'Fund Investment Data'!$B:$B = 12),"""")"),"")</f>
        <v/>
      </c>
      <c r="S131" t="str">
        <f>IFERROR(__xludf.DUMMYFUNCTION("IFERROR(FILTER('Fund Investment Data'!$D:$D, 'Fund Investment Data'!$C:$C = $A131, 'Fund Investment Data'!$A:$A = S$1, 'Fund Investment Data'!$B:$B = 12),"""")"),"")</f>
        <v/>
      </c>
      <c r="T131" t="str">
        <f>IFERROR(__xludf.DUMMYFUNCTION("IFERROR(FILTER('Fund Investment Data'!$D:$D, 'Fund Investment Data'!$C:$C = $A131, 'Fund Investment Data'!$A:$A = T$1, 'Fund Investment Data'!$B:$B = 12),"""")"),"")</f>
        <v/>
      </c>
      <c r="U131" t="str">
        <f>IFERROR(__xludf.DUMMYFUNCTION("IFERROR(FILTER('Fund Investment Data'!$D:$D, 'Fund Investment Data'!$C:$C = $A131, 'Fund Investment Data'!$A:$A = U$1, 'Fund Investment Data'!$B:$B = 12),"""")"),"")</f>
        <v/>
      </c>
      <c r="V131" t="str">
        <f>IFERROR(__xludf.DUMMYFUNCTION("IFERROR(FILTER('Fund Investment Data'!$D:$D, 'Fund Investment Data'!$C:$C = $A131, 'Fund Investment Data'!$A:$A = V$1, 'Fund Investment Data'!$B:$B = 12),"""")"),"")</f>
        <v/>
      </c>
      <c r="W131" t="str">
        <f>IFERROR(__xludf.DUMMYFUNCTION("IFERROR(FILTER('Fund Investment Data'!$D:$D, 'Fund Investment Data'!$C:$C = $A131, 'Fund Investment Data'!$A:$A = W$1, 'Fund Investment Data'!$B:$B = 12),"""")"),"")</f>
        <v/>
      </c>
      <c r="X131" t="str">
        <f>IFERROR(__xludf.DUMMYFUNCTION("IFERROR(FILTER('Fund Investment Data'!$D:$D, 'Fund Investment Data'!$C:$C = $A131, 'Fund Investment Data'!$A:$A = X$1, 'Fund Investment Data'!$B:$B = 12),"""")"),"")</f>
        <v/>
      </c>
      <c r="Y131" t="str">
        <f>IFERROR(__xludf.DUMMYFUNCTION("IFERROR(FILTER('Fund Investment Data'!$D:$D, 'Fund Investment Data'!$C:$C = $A131, 'Fund Investment Data'!$A:$A = Y$1, 'Fund Investment Data'!$B:$B = 12),"""")"),"")</f>
        <v/>
      </c>
      <c r="Z131" t="str">
        <f>IFERROR(__xludf.DUMMYFUNCTION("IFERROR(FILTER('Fund Investment Data'!$D:$D, 'Fund Investment Data'!$C:$C = $A131, 'Fund Investment Data'!$A:$A = Z$1, 'Fund Investment Data'!$B:$B = 12),"""")"),"")</f>
        <v/>
      </c>
      <c r="AA131" t="str">
        <f>IFERROR(__xludf.DUMMYFUNCTION("IFERROR(FILTER('Fund Investment Data'!$D:$D, 'Fund Investment Data'!$C:$C = $A131, 'Fund Investment Data'!$A:$A = AA$1, 'Fund Investment Data'!$B:$B = 12),"""")"),"")</f>
        <v/>
      </c>
      <c r="AB131" t="str">
        <f>IFERROR(__xludf.DUMMYFUNCTION("IFERROR(FILTER('Fund Investment Data'!$D:$D, 'Fund Investment Data'!$C:$C = $A131, 'Fund Investment Data'!$A:$A = AB$1, 'Fund Investment Data'!$B:$B = 12),"""")"),"")</f>
        <v/>
      </c>
      <c r="AC131" t="str">
        <f>IFERROR(__xludf.DUMMYFUNCTION("IFERROR(FILTER('Fund Investment Data'!$D:$D, 'Fund Investment Data'!$C:$C = $A131, 'Fund Investment Data'!$A:$A = AC$1, 'Fund Investment Data'!$B:$B = 12),"""")"),"")</f>
        <v/>
      </c>
      <c r="AD131" t="str">
        <f>IFERROR(__xludf.DUMMYFUNCTION("IFERROR(FILTER('Fund Investment Data'!$D:$D, 'Fund Investment Data'!$C:$C = $A131, 'Fund Investment Data'!$A:$A = AD$1, 'Fund Investment Data'!$B:$B = 12),"""")"),"")</f>
        <v/>
      </c>
      <c r="AE131" t="str">
        <f>IFERROR(__xludf.DUMMYFUNCTION("IFERROR(FILTER('Fund Investment Data'!$D:$D, 'Fund Investment Data'!$C:$C = $A131, 'Fund Investment Data'!$A:$A = AE$1, 'Fund Investment Data'!$B:$B = 12),"""")"),"")</f>
        <v/>
      </c>
    </row>
    <row r="132">
      <c r="A132" s="150" t="str">
        <f>'Endowed Funds'!A:A</f>
        <v/>
      </c>
      <c r="B132" t="str">
        <f>IFERROR(__xludf.DUMMYFUNCTION("IFERROR(FILTER('Fund Investment Data'!$D:$D, 'Fund Investment Data'!$C:$C = $A132, 'Fund Investment Data'!$A:$A = B$1, 'Fund Investment Data'!$B:$B = 12),"""")"),"")</f>
        <v/>
      </c>
      <c r="C132" t="str">
        <f>IFERROR(__xludf.DUMMYFUNCTION("IFERROR(FILTER('Fund Investment Data'!$D:$D, 'Fund Investment Data'!$C:$C = $A132, 'Fund Investment Data'!$A:$A = C$1, 'Fund Investment Data'!$B:$B = 12),"""")"),"")</f>
        <v/>
      </c>
      <c r="D132" t="str">
        <f>IFERROR(__xludf.DUMMYFUNCTION("IFERROR(FILTER('Fund Investment Data'!$D:$D, 'Fund Investment Data'!$C:$C = $A132, 'Fund Investment Data'!$A:$A = D$1, 'Fund Investment Data'!$B:$B = 12),"""")"),"")</f>
        <v/>
      </c>
      <c r="E132" t="str">
        <f>IFERROR(__xludf.DUMMYFUNCTION("IFERROR(FILTER('Fund Investment Data'!$D:$D, 'Fund Investment Data'!$C:$C = $A132, 'Fund Investment Data'!$A:$A = E$1, 'Fund Investment Data'!$B:$B = 12),"""")"),"")</f>
        <v/>
      </c>
      <c r="F132" t="str">
        <f>IFERROR(__xludf.DUMMYFUNCTION("IFERROR(FILTER('Fund Investment Data'!$D:$D, 'Fund Investment Data'!$C:$C = $A132, 'Fund Investment Data'!$A:$A = F$1, 'Fund Investment Data'!$B:$B = 12),"""")"),"")</f>
        <v/>
      </c>
      <c r="G132" t="str">
        <f>IFERROR(__xludf.DUMMYFUNCTION("IFERROR(FILTER('Fund Investment Data'!$D:$D, 'Fund Investment Data'!$C:$C = $A132, 'Fund Investment Data'!$A:$A = G$1, 'Fund Investment Data'!$B:$B = 12),"""")"),"")</f>
        <v/>
      </c>
      <c r="H132" t="str">
        <f>IFERROR(__xludf.DUMMYFUNCTION("IFERROR(FILTER('Fund Investment Data'!$D:$D, 'Fund Investment Data'!$C:$C = $A132, 'Fund Investment Data'!$A:$A = H$1, 'Fund Investment Data'!$B:$B = 12),"""")"),"")</f>
        <v/>
      </c>
      <c r="I132" t="str">
        <f>IFERROR(__xludf.DUMMYFUNCTION("IFERROR(FILTER('Fund Investment Data'!$D:$D, 'Fund Investment Data'!$C:$C = $A132, 'Fund Investment Data'!$A:$A = I$1, 'Fund Investment Data'!$B:$B = 12),"""")"),"")</f>
        <v/>
      </c>
      <c r="J132" t="str">
        <f>IFERROR(__xludf.DUMMYFUNCTION("IFERROR(FILTER('Fund Investment Data'!$D:$D, 'Fund Investment Data'!$C:$C = $A132, 'Fund Investment Data'!$A:$A = J$1, 'Fund Investment Data'!$B:$B = 12),"""")"),"")</f>
        <v/>
      </c>
      <c r="K132" t="str">
        <f>IFERROR(__xludf.DUMMYFUNCTION("IFERROR(FILTER('Fund Investment Data'!$D:$D, 'Fund Investment Data'!$C:$C = $A132, 'Fund Investment Data'!$A:$A = K$1, 'Fund Investment Data'!$B:$B = 12),"""")"),"")</f>
        <v/>
      </c>
      <c r="L132" t="str">
        <f>IFERROR(__xludf.DUMMYFUNCTION("IFERROR(FILTER('Fund Investment Data'!$D:$D, 'Fund Investment Data'!$C:$C = $A132, 'Fund Investment Data'!$A:$A = L$1, 'Fund Investment Data'!$B:$B = 12),"""")"),"")</f>
        <v/>
      </c>
      <c r="M132" t="str">
        <f>IFERROR(__xludf.DUMMYFUNCTION("IFERROR(FILTER('Fund Investment Data'!$D:$D, 'Fund Investment Data'!$C:$C = $A132, 'Fund Investment Data'!$A:$A = M$1, 'Fund Investment Data'!$B:$B = 12),"""")"),"")</f>
        <v/>
      </c>
      <c r="N132" t="str">
        <f>IFERROR(__xludf.DUMMYFUNCTION("IFERROR(FILTER('Fund Investment Data'!$D:$D, 'Fund Investment Data'!$C:$C = $A132, 'Fund Investment Data'!$A:$A = N$1, 'Fund Investment Data'!$B:$B = 12),"""")"),"")</f>
        <v/>
      </c>
      <c r="O132" t="str">
        <f>IFERROR(__xludf.DUMMYFUNCTION("IFERROR(FILTER('Fund Investment Data'!$D:$D, 'Fund Investment Data'!$C:$C = $A132, 'Fund Investment Data'!$A:$A = O$1, 'Fund Investment Data'!$B:$B = 12),"""")"),"")</f>
        <v/>
      </c>
      <c r="P132" t="str">
        <f>IFERROR(__xludf.DUMMYFUNCTION("IFERROR(FILTER('Fund Investment Data'!$D:$D, 'Fund Investment Data'!$C:$C = $A132, 'Fund Investment Data'!$A:$A = P$1, 'Fund Investment Data'!$B:$B = 12),"""")"),"")</f>
        <v/>
      </c>
      <c r="Q132" t="str">
        <f>IFERROR(__xludf.DUMMYFUNCTION("IFERROR(FILTER('Fund Investment Data'!$D:$D, 'Fund Investment Data'!$C:$C = $A132, 'Fund Investment Data'!$A:$A = Q$1, 'Fund Investment Data'!$B:$B = 12),"""")"),"")</f>
        <v/>
      </c>
      <c r="R132" t="str">
        <f>IFERROR(__xludf.DUMMYFUNCTION("IFERROR(FILTER('Fund Investment Data'!$D:$D, 'Fund Investment Data'!$C:$C = $A132, 'Fund Investment Data'!$A:$A = R$1, 'Fund Investment Data'!$B:$B = 12),"""")"),"")</f>
        <v/>
      </c>
      <c r="S132" t="str">
        <f>IFERROR(__xludf.DUMMYFUNCTION("IFERROR(FILTER('Fund Investment Data'!$D:$D, 'Fund Investment Data'!$C:$C = $A132, 'Fund Investment Data'!$A:$A = S$1, 'Fund Investment Data'!$B:$B = 12),"""")"),"")</f>
        <v/>
      </c>
      <c r="T132" t="str">
        <f>IFERROR(__xludf.DUMMYFUNCTION("IFERROR(FILTER('Fund Investment Data'!$D:$D, 'Fund Investment Data'!$C:$C = $A132, 'Fund Investment Data'!$A:$A = T$1, 'Fund Investment Data'!$B:$B = 12),"""")"),"")</f>
        <v/>
      </c>
      <c r="U132" t="str">
        <f>IFERROR(__xludf.DUMMYFUNCTION("IFERROR(FILTER('Fund Investment Data'!$D:$D, 'Fund Investment Data'!$C:$C = $A132, 'Fund Investment Data'!$A:$A = U$1, 'Fund Investment Data'!$B:$B = 12),"""")"),"")</f>
        <v/>
      </c>
      <c r="V132" t="str">
        <f>IFERROR(__xludf.DUMMYFUNCTION("IFERROR(FILTER('Fund Investment Data'!$D:$D, 'Fund Investment Data'!$C:$C = $A132, 'Fund Investment Data'!$A:$A = V$1, 'Fund Investment Data'!$B:$B = 12),"""")"),"")</f>
        <v/>
      </c>
      <c r="W132" t="str">
        <f>IFERROR(__xludf.DUMMYFUNCTION("IFERROR(FILTER('Fund Investment Data'!$D:$D, 'Fund Investment Data'!$C:$C = $A132, 'Fund Investment Data'!$A:$A = W$1, 'Fund Investment Data'!$B:$B = 12),"""")"),"")</f>
        <v/>
      </c>
      <c r="X132" t="str">
        <f>IFERROR(__xludf.DUMMYFUNCTION("IFERROR(FILTER('Fund Investment Data'!$D:$D, 'Fund Investment Data'!$C:$C = $A132, 'Fund Investment Data'!$A:$A = X$1, 'Fund Investment Data'!$B:$B = 12),"""")"),"")</f>
        <v/>
      </c>
      <c r="Y132" t="str">
        <f>IFERROR(__xludf.DUMMYFUNCTION("IFERROR(FILTER('Fund Investment Data'!$D:$D, 'Fund Investment Data'!$C:$C = $A132, 'Fund Investment Data'!$A:$A = Y$1, 'Fund Investment Data'!$B:$B = 12),"""")"),"")</f>
        <v/>
      </c>
      <c r="Z132" t="str">
        <f>IFERROR(__xludf.DUMMYFUNCTION("IFERROR(FILTER('Fund Investment Data'!$D:$D, 'Fund Investment Data'!$C:$C = $A132, 'Fund Investment Data'!$A:$A = Z$1, 'Fund Investment Data'!$B:$B = 12),"""")"),"")</f>
        <v/>
      </c>
      <c r="AA132" t="str">
        <f>IFERROR(__xludf.DUMMYFUNCTION("IFERROR(FILTER('Fund Investment Data'!$D:$D, 'Fund Investment Data'!$C:$C = $A132, 'Fund Investment Data'!$A:$A = AA$1, 'Fund Investment Data'!$B:$B = 12),"""")"),"")</f>
        <v/>
      </c>
      <c r="AB132" t="str">
        <f>IFERROR(__xludf.DUMMYFUNCTION("IFERROR(FILTER('Fund Investment Data'!$D:$D, 'Fund Investment Data'!$C:$C = $A132, 'Fund Investment Data'!$A:$A = AB$1, 'Fund Investment Data'!$B:$B = 12),"""")"),"")</f>
        <v/>
      </c>
      <c r="AC132" t="str">
        <f>IFERROR(__xludf.DUMMYFUNCTION("IFERROR(FILTER('Fund Investment Data'!$D:$D, 'Fund Investment Data'!$C:$C = $A132, 'Fund Investment Data'!$A:$A = AC$1, 'Fund Investment Data'!$B:$B = 12),"""")"),"")</f>
        <v/>
      </c>
      <c r="AD132" t="str">
        <f>IFERROR(__xludf.DUMMYFUNCTION("IFERROR(FILTER('Fund Investment Data'!$D:$D, 'Fund Investment Data'!$C:$C = $A132, 'Fund Investment Data'!$A:$A = AD$1, 'Fund Investment Data'!$B:$B = 12),"""")"),"")</f>
        <v/>
      </c>
      <c r="AE132" t="str">
        <f>IFERROR(__xludf.DUMMYFUNCTION("IFERROR(FILTER('Fund Investment Data'!$D:$D, 'Fund Investment Data'!$C:$C = $A132, 'Fund Investment Data'!$A:$A = AE$1, 'Fund Investment Data'!$B:$B = 12),"""")"),"")</f>
        <v/>
      </c>
    </row>
    <row r="133">
      <c r="A133" s="150" t="str">
        <f>'Endowed Funds'!A:A</f>
        <v/>
      </c>
      <c r="B133" t="str">
        <f>IFERROR(__xludf.DUMMYFUNCTION("IFERROR(FILTER('Fund Investment Data'!$D:$D, 'Fund Investment Data'!$C:$C = $A133, 'Fund Investment Data'!$A:$A = B$1, 'Fund Investment Data'!$B:$B = 12),"""")"),"")</f>
        <v/>
      </c>
      <c r="C133" t="str">
        <f>IFERROR(__xludf.DUMMYFUNCTION("IFERROR(FILTER('Fund Investment Data'!$D:$D, 'Fund Investment Data'!$C:$C = $A133, 'Fund Investment Data'!$A:$A = C$1, 'Fund Investment Data'!$B:$B = 12),"""")"),"")</f>
        <v/>
      </c>
      <c r="D133" t="str">
        <f>IFERROR(__xludf.DUMMYFUNCTION("IFERROR(FILTER('Fund Investment Data'!$D:$D, 'Fund Investment Data'!$C:$C = $A133, 'Fund Investment Data'!$A:$A = D$1, 'Fund Investment Data'!$B:$B = 12),"""")"),"")</f>
        <v/>
      </c>
      <c r="E133" t="str">
        <f>IFERROR(__xludf.DUMMYFUNCTION("IFERROR(FILTER('Fund Investment Data'!$D:$D, 'Fund Investment Data'!$C:$C = $A133, 'Fund Investment Data'!$A:$A = E$1, 'Fund Investment Data'!$B:$B = 12),"""")"),"")</f>
        <v/>
      </c>
      <c r="F133" t="str">
        <f>IFERROR(__xludf.DUMMYFUNCTION("IFERROR(FILTER('Fund Investment Data'!$D:$D, 'Fund Investment Data'!$C:$C = $A133, 'Fund Investment Data'!$A:$A = F$1, 'Fund Investment Data'!$B:$B = 12),"""")"),"")</f>
        <v/>
      </c>
      <c r="G133" t="str">
        <f>IFERROR(__xludf.DUMMYFUNCTION("IFERROR(FILTER('Fund Investment Data'!$D:$D, 'Fund Investment Data'!$C:$C = $A133, 'Fund Investment Data'!$A:$A = G$1, 'Fund Investment Data'!$B:$B = 12),"""")"),"")</f>
        <v/>
      </c>
      <c r="H133" t="str">
        <f>IFERROR(__xludf.DUMMYFUNCTION("IFERROR(FILTER('Fund Investment Data'!$D:$D, 'Fund Investment Data'!$C:$C = $A133, 'Fund Investment Data'!$A:$A = H$1, 'Fund Investment Data'!$B:$B = 12),"""")"),"")</f>
        <v/>
      </c>
      <c r="I133" t="str">
        <f>IFERROR(__xludf.DUMMYFUNCTION("IFERROR(FILTER('Fund Investment Data'!$D:$D, 'Fund Investment Data'!$C:$C = $A133, 'Fund Investment Data'!$A:$A = I$1, 'Fund Investment Data'!$B:$B = 12),"""")"),"")</f>
        <v/>
      </c>
      <c r="J133" t="str">
        <f>IFERROR(__xludf.DUMMYFUNCTION("IFERROR(FILTER('Fund Investment Data'!$D:$D, 'Fund Investment Data'!$C:$C = $A133, 'Fund Investment Data'!$A:$A = J$1, 'Fund Investment Data'!$B:$B = 12),"""")"),"")</f>
        <v/>
      </c>
      <c r="K133" t="str">
        <f>IFERROR(__xludf.DUMMYFUNCTION("IFERROR(FILTER('Fund Investment Data'!$D:$D, 'Fund Investment Data'!$C:$C = $A133, 'Fund Investment Data'!$A:$A = K$1, 'Fund Investment Data'!$B:$B = 12),"""")"),"")</f>
        <v/>
      </c>
      <c r="L133" t="str">
        <f>IFERROR(__xludf.DUMMYFUNCTION("IFERROR(FILTER('Fund Investment Data'!$D:$D, 'Fund Investment Data'!$C:$C = $A133, 'Fund Investment Data'!$A:$A = L$1, 'Fund Investment Data'!$B:$B = 12),"""")"),"")</f>
        <v/>
      </c>
      <c r="M133" t="str">
        <f>IFERROR(__xludf.DUMMYFUNCTION("IFERROR(FILTER('Fund Investment Data'!$D:$D, 'Fund Investment Data'!$C:$C = $A133, 'Fund Investment Data'!$A:$A = M$1, 'Fund Investment Data'!$B:$B = 12),"""")"),"")</f>
        <v/>
      </c>
      <c r="N133" t="str">
        <f>IFERROR(__xludf.DUMMYFUNCTION("IFERROR(FILTER('Fund Investment Data'!$D:$D, 'Fund Investment Data'!$C:$C = $A133, 'Fund Investment Data'!$A:$A = N$1, 'Fund Investment Data'!$B:$B = 12),"""")"),"")</f>
        <v/>
      </c>
      <c r="O133" t="str">
        <f>IFERROR(__xludf.DUMMYFUNCTION("IFERROR(FILTER('Fund Investment Data'!$D:$D, 'Fund Investment Data'!$C:$C = $A133, 'Fund Investment Data'!$A:$A = O$1, 'Fund Investment Data'!$B:$B = 12),"""")"),"")</f>
        <v/>
      </c>
      <c r="P133" t="str">
        <f>IFERROR(__xludf.DUMMYFUNCTION("IFERROR(FILTER('Fund Investment Data'!$D:$D, 'Fund Investment Data'!$C:$C = $A133, 'Fund Investment Data'!$A:$A = P$1, 'Fund Investment Data'!$B:$B = 12),"""")"),"")</f>
        <v/>
      </c>
      <c r="Q133" t="str">
        <f>IFERROR(__xludf.DUMMYFUNCTION("IFERROR(FILTER('Fund Investment Data'!$D:$D, 'Fund Investment Data'!$C:$C = $A133, 'Fund Investment Data'!$A:$A = Q$1, 'Fund Investment Data'!$B:$B = 12),"""")"),"")</f>
        <v/>
      </c>
      <c r="R133" t="str">
        <f>IFERROR(__xludf.DUMMYFUNCTION("IFERROR(FILTER('Fund Investment Data'!$D:$D, 'Fund Investment Data'!$C:$C = $A133, 'Fund Investment Data'!$A:$A = R$1, 'Fund Investment Data'!$B:$B = 12),"""")"),"")</f>
        <v/>
      </c>
      <c r="S133" t="str">
        <f>IFERROR(__xludf.DUMMYFUNCTION("IFERROR(FILTER('Fund Investment Data'!$D:$D, 'Fund Investment Data'!$C:$C = $A133, 'Fund Investment Data'!$A:$A = S$1, 'Fund Investment Data'!$B:$B = 12),"""")"),"")</f>
        <v/>
      </c>
      <c r="T133" t="str">
        <f>IFERROR(__xludf.DUMMYFUNCTION("IFERROR(FILTER('Fund Investment Data'!$D:$D, 'Fund Investment Data'!$C:$C = $A133, 'Fund Investment Data'!$A:$A = T$1, 'Fund Investment Data'!$B:$B = 12),"""")"),"")</f>
        <v/>
      </c>
      <c r="U133" t="str">
        <f>IFERROR(__xludf.DUMMYFUNCTION("IFERROR(FILTER('Fund Investment Data'!$D:$D, 'Fund Investment Data'!$C:$C = $A133, 'Fund Investment Data'!$A:$A = U$1, 'Fund Investment Data'!$B:$B = 12),"""")"),"")</f>
        <v/>
      </c>
      <c r="V133" t="str">
        <f>IFERROR(__xludf.DUMMYFUNCTION("IFERROR(FILTER('Fund Investment Data'!$D:$D, 'Fund Investment Data'!$C:$C = $A133, 'Fund Investment Data'!$A:$A = V$1, 'Fund Investment Data'!$B:$B = 12),"""")"),"")</f>
        <v/>
      </c>
      <c r="W133" t="str">
        <f>IFERROR(__xludf.DUMMYFUNCTION("IFERROR(FILTER('Fund Investment Data'!$D:$D, 'Fund Investment Data'!$C:$C = $A133, 'Fund Investment Data'!$A:$A = W$1, 'Fund Investment Data'!$B:$B = 12),"""")"),"")</f>
        <v/>
      </c>
      <c r="X133" t="str">
        <f>IFERROR(__xludf.DUMMYFUNCTION("IFERROR(FILTER('Fund Investment Data'!$D:$D, 'Fund Investment Data'!$C:$C = $A133, 'Fund Investment Data'!$A:$A = X$1, 'Fund Investment Data'!$B:$B = 12),"""")"),"")</f>
        <v/>
      </c>
      <c r="Y133" t="str">
        <f>IFERROR(__xludf.DUMMYFUNCTION("IFERROR(FILTER('Fund Investment Data'!$D:$D, 'Fund Investment Data'!$C:$C = $A133, 'Fund Investment Data'!$A:$A = Y$1, 'Fund Investment Data'!$B:$B = 12),"""")"),"")</f>
        <v/>
      </c>
      <c r="Z133" t="str">
        <f>IFERROR(__xludf.DUMMYFUNCTION("IFERROR(FILTER('Fund Investment Data'!$D:$D, 'Fund Investment Data'!$C:$C = $A133, 'Fund Investment Data'!$A:$A = Z$1, 'Fund Investment Data'!$B:$B = 12),"""")"),"")</f>
        <v/>
      </c>
      <c r="AA133" t="str">
        <f>IFERROR(__xludf.DUMMYFUNCTION("IFERROR(FILTER('Fund Investment Data'!$D:$D, 'Fund Investment Data'!$C:$C = $A133, 'Fund Investment Data'!$A:$A = AA$1, 'Fund Investment Data'!$B:$B = 12),"""")"),"")</f>
        <v/>
      </c>
      <c r="AB133" t="str">
        <f>IFERROR(__xludf.DUMMYFUNCTION("IFERROR(FILTER('Fund Investment Data'!$D:$D, 'Fund Investment Data'!$C:$C = $A133, 'Fund Investment Data'!$A:$A = AB$1, 'Fund Investment Data'!$B:$B = 12),"""")"),"")</f>
        <v/>
      </c>
      <c r="AC133" t="str">
        <f>IFERROR(__xludf.DUMMYFUNCTION("IFERROR(FILTER('Fund Investment Data'!$D:$D, 'Fund Investment Data'!$C:$C = $A133, 'Fund Investment Data'!$A:$A = AC$1, 'Fund Investment Data'!$B:$B = 12),"""")"),"")</f>
        <v/>
      </c>
      <c r="AD133" t="str">
        <f>IFERROR(__xludf.DUMMYFUNCTION("IFERROR(FILTER('Fund Investment Data'!$D:$D, 'Fund Investment Data'!$C:$C = $A133, 'Fund Investment Data'!$A:$A = AD$1, 'Fund Investment Data'!$B:$B = 12),"""")"),"")</f>
        <v/>
      </c>
      <c r="AE133" t="str">
        <f>IFERROR(__xludf.DUMMYFUNCTION("IFERROR(FILTER('Fund Investment Data'!$D:$D, 'Fund Investment Data'!$C:$C = $A133, 'Fund Investment Data'!$A:$A = AE$1, 'Fund Investment Data'!$B:$B = 12),"""")"),"")</f>
        <v/>
      </c>
    </row>
    <row r="134">
      <c r="A134" s="150" t="str">
        <f>'Endowed Funds'!A:A</f>
        <v/>
      </c>
      <c r="B134" t="str">
        <f>IFERROR(__xludf.DUMMYFUNCTION("IFERROR(FILTER('Fund Investment Data'!$D:$D, 'Fund Investment Data'!$C:$C = $A134, 'Fund Investment Data'!$A:$A = B$1, 'Fund Investment Data'!$B:$B = 12),"""")"),"")</f>
        <v/>
      </c>
      <c r="C134" t="str">
        <f>IFERROR(__xludf.DUMMYFUNCTION("IFERROR(FILTER('Fund Investment Data'!$D:$D, 'Fund Investment Data'!$C:$C = $A134, 'Fund Investment Data'!$A:$A = C$1, 'Fund Investment Data'!$B:$B = 12),"""")"),"")</f>
        <v/>
      </c>
      <c r="D134" t="str">
        <f>IFERROR(__xludf.DUMMYFUNCTION("IFERROR(FILTER('Fund Investment Data'!$D:$D, 'Fund Investment Data'!$C:$C = $A134, 'Fund Investment Data'!$A:$A = D$1, 'Fund Investment Data'!$B:$B = 12),"""")"),"")</f>
        <v/>
      </c>
      <c r="E134" t="str">
        <f>IFERROR(__xludf.DUMMYFUNCTION("IFERROR(FILTER('Fund Investment Data'!$D:$D, 'Fund Investment Data'!$C:$C = $A134, 'Fund Investment Data'!$A:$A = E$1, 'Fund Investment Data'!$B:$B = 12),"""")"),"")</f>
        <v/>
      </c>
      <c r="F134" t="str">
        <f>IFERROR(__xludf.DUMMYFUNCTION("IFERROR(FILTER('Fund Investment Data'!$D:$D, 'Fund Investment Data'!$C:$C = $A134, 'Fund Investment Data'!$A:$A = F$1, 'Fund Investment Data'!$B:$B = 12),"""")"),"")</f>
        <v/>
      </c>
      <c r="G134" t="str">
        <f>IFERROR(__xludf.DUMMYFUNCTION("IFERROR(FILTER('Fund Investment Data'!$D:$D, 'Fund Investment Data'!$C:$C = $A134, 'Fund Investment Data'!$A:$A = G$1, 'Fund Investment Data'!$B:$B = 12),"""")"),"")</f>
        <v/>
      </c>
      <c r="H134" t="str">
        <f>IFERROR(__xludf.DUMMYFUNCTION("IFERROR(FILTER('Fund Investment Data'!$D:$D, 'Fund Investment Data'!$C:$C = $A134, 'Fund Investment Data'!$A:$A = H$1, 'Fund Investment Data'!$B:$B = 12),"""")"),"")</f>
        <v/>
      </c>
      <c r="I134" t="str">
        <f>IFERROR(__xludf.DUMMYFUNCTION("IFERROR(FILTER('Fund Investment Data'!$D:$D, 'Fund Investment Data'!$C:$C = $A134, 'Fund Investment Data'!$A:$A = I$1, 'Fund Investment Data'!$B:$B = 12),"""")"),"")</f>
        <v/>
      </c>
      <c r="J134" t="str">
        <f>IFERROR(__xludf.DUMMYFUNCTION("IFERROR(FILTER('Fund Investment Data'!$D:$D, 'Fund Investment Data'!$C:$C = $A134, 'Fund Investment Data'!$A:$A = J$1, 'Fund Investment Data'!$B:$B = 12),"""")"),"")</f>
        <v/>
      </c>
      <c r="K134" t="str">
        <f>IFERROR(__xludf.DUMMYFUNCTION("IFERROR(FILTER('Fund Investment Data'!$D:$D, 'Fund Investment Data'!$C:$C = $A134, 'Fund Investment Data'!$A:$A = K$1, 'Fund Investment Data'!$B:$B = 12),"""")"),"")</f>
        <v/>
      </c>
      <c r="L134" t="str">
        <f>IFERROR(__xludf.DUMMYFUNCTION("IFERROR(FILTER('Fund Investment Data'!$D:$D, 'Fund Investment Data'!$C:$C = $A134, 'Fund Investment Data'!$A:$A = L$1, 'Fund Investment Data'!$B:$B = 12),"""")"),"")</f>
        <v/>
      </c>
      <c r="M134" t="str">
        <f>IFERROR(__xludf.DUMMYFUNCTION("IFERROR(FILTER('Fund Investment Data'!$D:$D, 'Fund Investment Data'!$C:$C = $A134, 'Fund Investment Data'!$A:$A = M$1, 'Fund Investment Data'!$B:$B = 12),"""")"),"")</f>
        <v/>
      </c>
      <c r="N134" t="str">
        <f>IFERROR(__xludf.DUMMYFUNCTION("IFERROR(FILTER('Fund Investment Data'!$D:$D, 'Fund Investment Data'!$C:$C = $A134, 'Fund Investment Data'!$A:$A = N$1, 'Fund Investment Data'!$B:$B = 12),"""")"),"")</f>
        <v/>
      </c>
      <c r="O134" t="str">
        <f>IFERROR(__xludf.DUMMYFUNCTION("IFERROR(FILTER('Fund Investment Data'!$D:$D, 'Fund Investment Data'!$C:$C = $A134, 'Fund Investment Data'!$A:$A = O$1, 'Fund Investment Data'!$B:$B = 12),"""")"),"")</f>
        <v/>
      </c>
      <c r="P134" t="str">
        <f>IFERROR(__xludf.DUMMYFUNCTION("IFERROR(FILTER('Fund Investment Data'!$D:$D, 'Fund Investment Data'!$C:$C = $A134, 'Fund Investment Data'!$A:$A = P$1, 'Fund Investment Data'!$B:$B = 12),"""")"),"")</f>
        <v/>
      </c>
      <c r="Q134" t="str">
        <f>IFERROR(__xludf.DUMMYFUNCTION("IFERROR(FILTER('Fund Investment Data'!$D:$D, 'Fund Investment Data'!$C:$C = $A134, 'Fund Investment Data'!$A:$A = Q$1, 'Fund Investment Data'!$B:$B = 12),"""")"),"")</f>
        <v/>
      </c>
      <c r="R134" t="str">
        <f>IFERROR(__xludf.DUMMYFUNCTION("IFERROR(FILTER('Fund Investment Data'!$D:$D, 'Fund Investment Data'!$C:$C = $A134, 'Fund Investment Data'!$A:$A = R$1, 'Fund Investment Data'!$B:$B = 12),"""")"),"")</f>
        <v/>
      </c>
      <c r="S134" t="str">
        <f>IFERROR(__xludf.DUMMYFUNCTION("IFERROR(FILTER('Fund Investment Data'!$D:$D, 'Fund Investment Data'!$C:$C = $A134, 'Fund Investment Data'!$A:$A = S$1, 'Fund Investment Data'!$B:$B = 12),"""")"),"")</f>
        <v/>
      </c>
      <c r="T134" t="str">
        <f>IFERROR(__xludf.DUMMYFUNCTION("IFERROR(FILTER('Fund Investment Data'!$D:$D, 'Fund Investment Data'!$C:$C = $A134, 'Fund Investment Data'!$A:$A = T$1, 'Fund Investment Data'!$B:$B = 12),"""")"),"")</f>
        <v/>
      </c>
      <c r="U134" t="str">
        <f>IFERROR(__xludf.DUMMYFUNCTION("IFERROR(FILTER('Fund Investment Data'!$D:$D, 'Fund Investment Data'!$C:$C = $A134, 'Fund Investment Data'!$A:$A = U$1, 'Fund Investment Data'!$B:$B = 12),"""")"),"")</f>
        <v/>
      </c>
      <c r="V134" t="str">
        <f>IFERROR(__xludf.DUMMYFUNCTION("IFERROR(FILTER('Fund Investment Data'!$D:$D, 'Fund Investment Data'!$C:$C = $A134, 'Fund Investment Data'!$A:$A = V$1, 'Fund Investment Data'!$B:$B = 12),"""")"),"")</f>
        <v/>
      </c>
      <c r="W134" t="str">
        <f>IFERROR(__xludf.DUMMYFUNCTION("IFERROR(FILTER('Fund Investment Data'!$D:$D, 'Fund Investment Data'!$C:$C = $A134, 'Fund Investment Data'!$A:$A = W$1, 'Fund Investment Data'!$B:$B = 12),"""")"),"")</f>
        <v/>
      </c>
      <c r="X134" t="str">
        <f>IFERROR(__xludf.DUMMYFUNCTION("IFERROR(FILTER('Fund Investment Data'!$D:$D, 'Fund Investment Data'!$C:$C = $A134, 'Fund Investment Data'!$A:$A = X$1, 'Fund Investment Data'!$B:$B = 12),"""")"),"")</f>
        <v/>
      </c>
      <c r="Y134" t="str">
        <f>IFERROR(__xludf.DUMMYFUNCTION("IFERROR(FILTER('Fund Investment Data'!$D:$D, 'Fund Investment Data'!$C:$C = $A134, 'Fund Investment Data'!$A:$A = Y$1, 'Fund Investment Data'!$B:$B = 12),"""")"),"")</f>
        <v/>
      </c>
      <c r="Z134" t="str">
        <f>IFERROR(__xludf.DUMMYFUNCTION("IFERROR(FILTER('Fund Investment Data'!$D:$D, 'Fund Investment Data'!$C:$C = $A134, 'Fund Investment Data'!$A:$A = Z$1, 'Fund Investment Data'!$B:$B = 12),"""")"),"")</f>
        <v/>
      </c>
      <c r="AA134" t="str">
        <f>IFERROR(__xludf.DUMMYFUNCTION("IFERROR(FILTER('Fund Investment Data'!$D:$D, 'Fund Investment Data'!$C:$C = $A134, 'Fund Investment Data'!$A:$A = AA$1, 'Fund Investment Data'!$B:$B = 12),"""")"),"")</f>
        <v/>
      </c>
      <c r="AB134" t="str">
        <f>IFERROR(__xludf.DUMMYFUNCTION("IFERROR(FILTER('Fund Investment Data'!$D:$D, 'Fund Investment Data'!$C:$C = $A134, 'Fund Investment Data'!$A:$A = AB$1, 'Fund Investment Data'!$B:$B = 12),"""")"),"")</f>
        <v/>
      </c>
      <c r="AC134" t="str">
        <f>IFERROR(__xludf.DUMMYFUNCTION("IFERROR(FILTER('Fund Investment Data'!$D:$D, 'Fund Investment Data'!$C:$C = $A134, 'Fund Investment Data'!$A:$A = AC$1, 'Fund Investment Data'!$B:$B = 12),"""")"),"")</f>
        <v/>
      </c>
      <c r="AD134" t="str">
        <f>IFERROR(__xludf.DUMMYFUNCTION("IFERROR(FILTER('Fund Investment Data'!$D:$D, 'Fund Investment Data'!$C:$C = $A134, 'Fund Investment Data'!$A:$A = AD$1, 'Fund Investment Data'!$B:$B = 12),"""")"),"")</f>
        <v/>
      </c>
      <c r="AE134" t="str">
        <f>IFERROR(__xludf.DUMMYFUNCTION("IFERROR(FILTER('Fund Investment Data'!$D:$D, 'Fund Investment Data'!$C:$C = $A134, 'Fund Investment Data'!$A:$A = AE$1, 'Fund Investment Data'!$B:$B = 12),"""")"),"")</f>
        <v/>
      </c>
    </row>
    <row r="135">
      <c r="A135" s="150" t="str">
        <f>'Endowed Funds'!A:A</f>
        <v/>
      </c>
      <c r="B135" t="str">
        <f>IFERROR(__xludf.DUMMYFUNCTION("IFERROR(FILTER('Fund Investment Data'!$D:$D, 'Fund Investment Data'!$C:$C = $A135, 'Fund Investment Data'!$A:$A = B$1, 'Fund Investment Data'!$B:$B = 12),"""")"),"")</f>
        <v/>
      </c>
      <c r="C135" t="str">
        <f>IFERROR(__xludf.DUMMYFUNCTION("IFERROR(FILTER('Fund Investment Data'!$D:$D, 'Fund Investment Data'!$C:$C = $A135, 'Fund Investment Data'!$A:$A = C$1, 'Fund Investment Data'!$B:$B = 12),"""")"),"")</f>
        <v/>
      </c>
      <c r="D135" t="str">
        <f>IFERROR(__xludf.DUMMYFUNCTION("IFERROR(FILTER('Fund Investment Data'!$D:$D, 'Fund Investment Data'!$C:$C = $A135, 'Fund Investment Data'!$A:$A = D$1, 'Fund Investment Data'!$B:$B = 12),"""")"),"")</f>
        <v/>
      </c>
      <c r="E135" t="str">
        <f>IFERROR(__xludf.DUMMYFUNCTION("IFERROR(FILTER('Fund Investment Data'!$D:$D, 'Fund Investment Data'!$C:$C = $A135, 'Fund Investment Data'!$A:$A = E$1, 'Fund Investment Data'!$B:$B = 12),"""")"),"")</f>
        <v/>
      </c>
      <c r="F135" t="str">
        <f>IFERROR(__xludf.DUMMYFUNCTION("IFERROR(FILTER('Fund Investment Data'!$D:$D, 'Fund Investment Data'!$C:$C = $A135, 'Fund Investment Data'!$A:$A = F$1, 'Fund Investment Data'!$B:$B = 12),"""")"),"")</f>
        <v/>
      </c>
      <c r="G135" t="str">
        <f>IFERROR(__xludf.DUMMYFUNCTION("IFERROR(FILTER('Fund Investment Data'!$D:$D, 'Fund Investment Data'!$C:$C = $A135, 'Fund Investment Data'!$A:$A = G$1, 'Fund Investment Data'!$B:$B = 12),"""")"),"")</f>
        <v/>
      </c>
      <c r="H135" t="str">
        <f>IFERROR(__xludf.DUMMYFUNCTION("IFERROR(FILTER('Fund Investment Data'!$D:$D, 'Fund Investment Data'!$C:$C = $A135, 'Fund Investment Data'!$A:$A = H$1, 'Fund Investment Data'!$B:$B = 12),"""")"),"")</f>
        <v/>
      </c>
      <c r="I135" t="str">
        <f>IFERROR(__xludf.DUMMYFUNCTION("IFERROR(FILTER('Fund Investment Data'!$D:$D, 'Fund Investment Data'!$C:$C = $A135, 'Fund Investment Data'!$A:$A = I$1, 'Fund Investment Data'!$B:$B = 12),"""")"),"")</f>
        <v/>
      </c>
      <c r="J135" t="str">
        <f>IFERROR(__xludf.DUMMYFUNCTION("IFERROR(FILTER('Fund Investment Data'!$D:$D, 'Fund Investment Data'!$C:$C = $A135, 'Fund Investment Data'!$A:$A = J$1, 'Fund Investment Data'!$B:$B = 12),"""")"),"")</f>
        <v/>
      </c>
      <c r="K135" t="str">
        <f>IFERROR(__xludf.DUMMYFUNCTION("IFERROR(FILTER('Fund Investment Data'!$D:$D, 'Fund Investment Data'!$C:$C = $A135, 'Fund Investment Data'!$A:$A = K$1, 'Fund Investment Data'!$B:$B = 12),"""")"),"")</f>
        <v/>
      </c>
      <c r="L135" t="str">
        <f>IFERROR(__xludf.DUMMYFUNCTION("IFERROR(FILTER('Fund Investment Data'!$D:$D, 'Fund Investment Data'!$C:$C = $A135, 'Fund Investment Data'!$A:$A = L$1, 'Fund Investment Data'!$B:$B = 12),"""")"),"")</f>
        <v/>
      </c>
      <c r="M135" t="str">
        <f>IFERROR(__xludf.DUMMYFUNCTION("IFERROR(FILTER('Fund Investment Data'!$D:$D, 'Fund Investment Data'!$C:$C = $A135, 'Fund Investment Data'!$A:$A = M$1, 'Fund Investment Data'!$B:$B = 12),"""")"),"")</f>
        <v/>
      </c>
      <c r="N135" t="str">
        <f>IFERROR(__xludf.DUMMYFUNCTION("IFERROR(FILTER('Fund Investment Data'!$D:$D, 'Fund Investment Data'!$C:$C = $A135, 'Fund Investment Data'!$A:$A = N$1, 'Fund Investment Data'!$B:$B = 12),"""")"),"")</f>
        <v/>
      </c>
      <c r="O135" t="str">
        <f>IFERROR(__xludf.DUMMYFUNCTION("IFERROR(FILTER('Fund Investment Data'!$D:$D, 'Fund Investment Data'!$C:$C = $A135, 'Fund Investment Data'!$A:$A = O$1, 'Fund Investment Data'!$B:$B = 12),"""")"),"")</f>
        <v/>
      </c>
      <c r="P135" t="str">
        <f>IFERROR(__xludf.DUMMYFUNCTION("IFERROR(FILTER('Fund Investment Data'!$D:$D, 'Fund Investment Data'!$C:$C = $A135, 'Fund Investment Data'!$A:$A = P$1, 'Fund Investment Data'!$B:$B = 12),"""")"),"")</f>
        <v/>
      </c>
      <c r="Q135" t="str">
        <f>IFERROR(__xludf.DUMMYFUNCTION("IFERROR(FILTER('Fund Investment Data'!$D:$D, 'Fund Investment Data'!$C:$C = $A135, 'Fund Investment Data'!$A:$A = Q$1, 'Fund Investment Data'!$B:$B = 12),"""")"),"")</f>
        <v/>
      </c>
      <c r="R135" t="str">
        <f>IFERROR(__xludf.DUMMYFUNCTION("IFERROR(FILTER('Fund Investment Data'!$D:$D, 'Fund Investment Data'!$C:$C = $A135, 'Fund Investment Data'!$A:$A = R$1, 'Fund Investment Data'!$B:$B = 12),"""")"),"")</f>
        <v/>
      </c>
      <c r="S135" t="str">
        <f>IFERROR(__xludf.DUMMYFUNCTION("IFERROR(FILTER('Fund Investment Data'!$D:$D, 'Fund Investment Data'!$C:$C = $A135, 'Fund Investment Data'!$A:$A = S$1, 'Fund Investment Data'!$B:$B = 12),"""")"),"")</f>
        <v/>
      </c>
      <c r="T135" t="str">
        <f>IFERROR(__xludf.DUMMYFUNCTION("IFERROR(FILTER('Fund Investment Data'!$D:$D, 'Fund Investment Data'!$C:$C = $A135, 'Fund Investment Data'!$A:$A = T$1, 'Fund Investment Data'!$B:$B = 12),"""")"),"")</f>
        <v/>
      </c>
      <c r="U135" t="str">
        <f>IFERROR(__xludf.DUMMYFUNCTION("IFERROR(FILTER('Fund Investment Data'!$D:$D, 'Fund Investment Data'!$C:$C = $A135, 'Fund Investment Data'!$A:$A = U$1, 'Fund Investment Data'!$B:$B = 12),"""")"),"")</f>
        <v/>
      </c>
      <c r="V135" t="str">
        <f>IFERROR(__xludf.DUMMYFUNCTION("IFERROR(FILTER('Fund Investment Data'!$D:$D, 'Fund Investment Data'!$C:$C = $A135, 'Fund Investment Data'!$A:$A = V$1, 'Fund Investment Data'!$B:$B = 12),"""")"),"")</f>
        <v/>
      </c>
      <c r="W135" t="str">
        <f>IFERROR(__xludf.DUMMYFUNCTION("IFERROR(FILTER('Fund Investment Data'!$D:$D, 'Fund Investment Data'!$C:$C = $A135, 'Fund Investment Data'!$A:$A = W$1, 'Fund Investment Data'!$B:$B = 12),"""")"),"")</f>
        <v/>
      </c>
      <c r="X135" t="str">
        <f>IFERROR(__xludf.DUMMYFUNCTION("IFERROR(FILTER('Fund Investment Data'!$D:$D, 'Fund Investment Data'!$C:$C = $A135, 'Fund Investment Data'!$A:$A = X$1, 'Fund Investment Data'!$B:$B = 12),"""")"),"")</f>
        <v/>
      </c>
      <c r="Y135" t="str">
        <f>IFERROR(__xludf.DUMMYFUNCTION("IFERROR(FILTER('Fund Investment Data'!$D:$D, 'Fund Investment Data'!$C:$C = $A135, 'Fund Investment Data'!$A:$A = Y$1, 'Fund Investment Data'!$B:$B = 12),"""")"),"")</f>
        <v/>
      </c>
      <c r="Z135" t="str">
        <f>IFERROR(__xludf.DUMMYFUNCTION("IFERROR(FILTER('Fund Investment Data'!$D:$D, 'Fund Investment Data'!$C:$C = $A135, 'Fund Investment Data'!$A:$A = Z$1, 'Fund Investment Data'!$B:$B = 12),"""")"),"")</f>
        <v/>
      </c>
      <c r="AA135" t="str">
        <f>IFERROR(__xludf.DUMMYFUNCTION("IFERROR(FILTER('Fund Investment Data'!$D:$D, 'Fund Investment Data'!$C:$C = $A135, 'Fund Investment Data'!$A:$A = AA$1, 'Fund Investment Data'!$B:$B = 12),"""")"),"")</f>
        <v/>
      </c>
      <c r="AB135" t="str">
        <f>IFERROR(__xludf.DUMMYFUNCTION("IFERROR(FILTER('Fund Investment Data'!$D:$D, 'Fund Investment Data'!$C:$C = $A135, 'Fund Investment Data'!$A:$A = AB$1, 'Fund Investment Data'!$B:$B = 12),"""")"),"")</f>
        <v/>
      </c>
      <c r="AC135" t="str">
        <f>IFERROR(__xludf.DUMMYFUNCTION("IFERROR(FILTER('Fund Investment Data'!$D:$D, 'Fund Investment Data'!$C:$C = $A135, 'Fund Investment Data'!$A:$A = AC$1, 'Fund Investment Data'!$B:$B = 12),"""")"),"")</f>
        <v/>
      </c>
      <c r="AD135" t="str">
        <f>IFERROR(__xludf.DUMMYFUNCTION("IFERROR(FILTER('Fund Investment Data'!$D:$D, 'Fund Investment Data'!$C:$C = $A135, 'Fund Investment Data'!$A:$A = AD$1, 'Fund Investment Data'!$B:$B = 12),"""")"),"")</f>
        <v/>
      </c>
      <c r="AE135" t="str">
        <f>IFERROR(__xludf.DUMMYFUNCTION("IFERROR(FILTER('Fund Investment Data'!$D:$D, 'Fund Investment Data'!$C:$C = $A135, 'Fund Investment Data'!$A:$A = AE$1, 'Fund Investment Data'!$B:$B = 12),"""")"),"")</f>
        <v/>
      </c>
    </row>
    <row r="136">
      <c r="A136" s="150" t="str">
        <f>'Endowed Funds'!A:A</f>
        <v/>
      </c>
      <c r="B136" t="str">
        <f>IFERROR(__xludf.DUMMYFUNCTION("IFERROR(FILTER('Fund Investment Data'!$D:$D, 'Fund Investment Data'!$C:$C = $A136, 'Fund Investment Data'!$A:$A = B$1, 'Fund Investment Data'!$B:$B = 12),"""")"),"")</f>
        <v/>
      </c>
      <c r="C136" t="str">
        <f>IFERROR(__xludf.DUMMYFUNCTION("IFERROR(FILTER('Fund Investment Data'!$D:$D, 'Fund Investment Data'!$C:$C = $A136, 'Fund Investment Data'!$A:$A = C$1, 'Fund Investment Data'!$B:$B = 12),"""")"),"")</f>
        <v/>
      </c>
      <c r="D136" t="str">
        <f>IFERROR(__xludf.DUMMYFUNCTION("IFERROR(FILTER('Fund Investment Data'!$D:$D, 'Fund Investment Data'!$C:$C = $A136, 'Fund Investment Data'!$A:$A = D$1, 'Fund Investment Data'!$B:$B = 12),"""")"),"")</f>
        <v/>
      </c>
      <c r="E136" t="str">
        <f>IFERROR(__xludf.DUMMYFUNCTION("IFERROR(FILTER('Fund Investment Data'!$D:$D, 'Fund Investment Data'!$C:$C = $A136, 'Fund Investment Data'!$A:$A = E$1, 'Fund Investment Data'!$B:$B = 12),"""")"),"")</f>
        <v/>
      </c>
      <c r="F136" t="str">
        <f>IFERROR(__xludf.DUMMYFUNCTION("IFERROR(FILTER('Fund Investment Data'!$D:$D, 'Fund Investment Data'!$C:$C = $A136, 'Fund Investment Data'!$A:$A = F$1, 'Fund Investment Data'!$B:$B = 12),"""")"),"")</f>
        <v/>
      </c>
      <c r="G136" t="str">
        <f>IFERROR(__xludf.DUMMYFUNCTION("IFERROR(FILTER('Fund Investment Data'!$D:$D, 'Fund Investment Data'!$C:$C = $A136, 'Fund Investment Data'!$A:$A = G$1, 'Fund Investment Data'!$B:$B = 12),"""")"),"")</f>
        <v/>
      </c>
      <c r="H136" t="str">
        <f>IFERROR(__xludf.DUMMYFUNCTION("IFERROR(FILTER('Fund Investment Data'!$D:$D, 'Fund Investment Data'!$C:$C = $A136, 'Fund Investment Data'!$A:$A = H$1, 'Fund Investment Data'!$B:$B = 12),"""")"),"")</f>
        <v/>
      </c>
      <c r="I136" t="str">
        <f>IFERROR(__xludf.DUMMYFUNCTION("IFERROR(FILTER('Fund Investment Data'!$D:$D, 'Fund Investment Data'!$C:$C = $A136, 'Fund Investment Data'!$A:$A = I$1, 'Fund Investment Data'!$B:$B = 12),"""")"),"")</f>
        <v/>
      </c>
      <c r="J136" t="str">
        <f>IFERROR(__xludf.DUMMYFUNCTION("IFERROR(FILTER('Fund Investment Data'!$D:$D, 'Fund Investment Data'!$C:$C = $A136, 'Fund Investment Data'!$A:$A = J$1, 'Fund Investment Data'!$B:$B = 12),"""")"),"")</f>
        <v/>
      </c>
      <c r="K136" t="str">
        <f>IFERROR(__xludf.DUMMYFUNCTION("IFERROR(FILTER('Fund Investment Data'!$D:$D, 'Fund Investment Data'!$C:$C = $A136, 'Fund Investment Data'!$A:$A = K$1, 'Fund Investment Data'!$B:$B = 12),"""")"),"")</f>
        <v/>
      </c>
      <c r="L136" t="str">
        <f>IFERROR(__xludf.DUMMYFUNCTION("IFERROR(FILTER('Fund Investment Data'!$D:$D, 'Fund Investment Data'!$C:$C = $A136, 'Fund Investment Data'!$A:$A = L$1, 'Fund Investment Data'!$B:$B = 12),"""")"),"")</f>
        <v/>
      </c>
      <c r="M136" t="str">
        <f>IFERROR(__xludf.DUMMYFUNCTION("IFERROR(FILTER('Fund Investment Data'!$D:$D, 'Fund Investment Data'!$C:$C = $A136, 'Fund Investment Data'!$A:$A = M$1, 'Fund Investment Data'!$B:$B = 12),"""")"),"")</f>
        <v/>
      </c>
      <c r="N136" t="str">
        <f>IFERROR(__xludf.DUMMYFUNCTION("IFERROR(FILTER('Fund Investment Data'!$D:$D, 'Fund Investment Data'!$C:$C = $A136, 'Fund Investment Data'!$A:$A = N$1, 'Fund Investment Data'!$B:$B = 12),"""")"),"")</f>
        <v/>
      </c>
      <c r="O136" t="str">
        <f>IFERROR(__xludf.DUMMYFUNCTION("IFERROR(FILTER('Fund Investment Data'!$D:$D, 'Fund Investment Data'!$C:$C = $A136, 'Fund Investment Data'!$A:$A = O$1, 'Fund Investment Data'!$B:$B = 12),"""")"),"")</f>
        <v/>
      </c>
      <c r="P136" t="str">
        <f>IFERROR(__xludf.DUMMYFUNCTION("IFERROR(FILTER('Fund Investment Data'!$D:$D, 'Fund Investment Data'!$C:$C = $A136, 'Fund Investment Data'!$A:$A = P$1, 'Fund Investment Data'!$B:$B = 12),"""")"),"")</f>
        <v/>
      </c>
      <c r="Q136" t="str">
        <f>IFERROR(__xludf.DUMMYFUNCTION("IFERROR(FILTER('Fund Investment Data'!$D:$D, 'Fund Investment Data'!$C:$C = $A136, 'Fund Investment Data'!$A:$A = Q$1, 'Fund Investment Data'!$B:$B = 12),"""")"),"")</f>
        <v/>
      </c>
      <c r="R136" t="str">
        <f>IFERROR(__xludf.DUMMYFUNCTION("IFERROR(FILTER('Fund Investment Data'!$D:$D, 'Fund Investment Data'!$C:$C = $A136, 'Fund Investment Data'!$A:$A = R$1, 'Fund Investment Data'!$B:$B = 12),"""")"),"")</f>
        <v/>
      </c>
      <c r="S136" t="str">
        <f>IFERROR(__xludf.DUMMYFUNCTION("IFERROR(FILTER('Fund Investment Data'!$D:$D, 'Fund Investment Data'!$C:$C = $A136, 'Fund Investment Data'!$A:$A = S$1, 'Fund Investment Data'!$B:$B = 12),"""")"),"")</f>
        <v/>
      </c>
      <c r="T136" t="str">
        <f>IFERROR(__xludf.DUMMYFUNCTION("IFERROR(FILTER('Fund Investment Data'!$D:$D, 'Fund Investment Data'!$C:$C = $A136, 'Fund Investment Data'!$A:$A = T$1, 'Fund Investment Data'!$B:$B = 12),"""")"),"")</f>
        <v/>
      </c>
      <c r="U136" t="str">
        <f>IFERROR(__xludf.DUMMYFUNCTION("IFERROR(FILTER('Fund Investment Data'!$D:$D, 'Fund Investment Data'!$C:$C = $A136, 'Fund Investment Data'!$A:$A = U$1, 'Fund Investment Data'!$B:$B = 12),"""")"),"")</f>
        <v/>
      </c>
      <c r="V136" t="str">
        <f>IFERROR(__xludf.DUMMYFUNCTION("IFERROR(FILTER('Fund Investment Data'!$D:$D, 'Fund Investment Data'!$C:$C = $A136, 'Fund Investment Data'!$A:$A = V$1, 'Fund Investment Data'!$B:$B = 12),"""")"),"")</f>
        <v/>
      </c>
      <c r="W136" t="str">
        <f>IFERROR(__xludf.DUMMYFUNCTION("IFERROR(FILTER('Fund Investment Data'!$D:$D, 'Fund Investment Data'!$C:$C = $A136, 'Fund Investment Data'!$A:$A = W$1, 'Fund Investment Data'!$B:$B = 12),"""")"),"")</f>
        <v/>
      </c>
      <c r="X136" t="str">
        <f>IFERROR(__xludf.DUMMYFUNCTION("IFERROR(FILTER('Fund Investment Data'!$D:$D, 'Fund Investment Data'!$C:$C = $A136, 'Fund Investment Data'!$A:$A = X$1, 'Fund Investment Data'!$B:$B = 12),"""")"),"")</f>
        <v/>
      </c>
      <c r="Y136" t="str">
        <f>IFERROR(__xludf.DUMMYFUNCTION("IFERROR(FILTER('Fund Investment Data'!$D:$D, 'Fund Investment Data'!$C:$C = $A136, 'Fund Investment Data'!$A:$A = Y$1, 'Fund Investment Data'!$B:$B = 12),"""")"),"")</f>
        <v/>
      </c>
      <c r="Z136" t="str">
        <f>IFERROR(__xludf.DUMMYFUNCTION("IFERROR(FILTER('Fund Investment Data'!$D:$D, 'Fund Investment Data'!$C:$C = $A136, 'Fund Investment Data'!$A:$A = Z$1, 'Fund Investment Data'!$B:$B = 12),"""")"),"")</f>
        <v/>
      </c>
      <c r="AA136" t="str">
        <f>IFERROR(__xludf.DUMMYFUNCTION("IFERROR(FILTER('Fund Investment Data'!$D:$D, 'Fund Investment Data'!$C:$C = $A136, 'Fund Investment Data'!$A:$A = AA$1, 'Fund Investment Data'!$B:$B = 12),"""")"),"")</f>
        <v/>
      </c>
      <c r="AB136" t="str">
        <f>IFERROR(__xludf.DUMMYFUNCTION("IFERROR(FILTER('Fund Investment Data'!$D:$D, 'Fund Investment Data'!$C:$C = $A136, 'Fund Investment Data'!$A:$A = AB$1, 'Fund Investment Data'!$B:$B = 12),"""")"),"")</f>
        <v/>
      </c>
      <c r="AC136" t="str">
        <f>IFERROR(__xludf.DUMMYFUNCTION("IFERROR(FILTER('Fund Investment Data'!$D:$D, 'Fund Investment Data'!$C:$C = $A136, 'Fund Investment Data'!$A:$A = AC$1, 'Fund Investment Data'!$B:$B = 12),"""")"),"")</f>
        <v/>
      </c>
      <c r="AD136" t="str">
        <f>IFERROR(__xludf.DUMMYFUNCTION("IFERROR(FILTER('Fund Investment Data'!$D:$D, 'Fund Investment Data'!$C:$C = $A136, 'Fund Investment Data'!$A:$A = AD$1, 'Fund Investment Data'!$B:$B = 12),"""")"),"")</f>
        <v/>
      </c>
      <c r="AE136" t="str">
        <f>IFERROR(__xludf.DUMMYFUNCTION("IFERROR(FILTER('Fund Investment Data'!$D:$D, 'Fund Investment Data'!$C:$C = $A136, 'Fund Investment Data'!$A:$A = AE$1, 'Fund Investment Data'!$B:$B = 12),"""")"),"")</f>
        <v/>
      </c>
    </row>
    <row r="137">
      <c r="A137" s="150" t="str">
        <f>'Endowed Funds'!A:A</f>
        <v/>
      </c>
      <c r="B137" t="str">
        <f>IFERROR(__xludf.DUMMYFUNCTION("IFERROR(FILTER('Fund Investment Data'!$D:$D, 'Fund Investment Data'!$C:$C = $A137, 'Fund Investment Data'!$A:$A = B$1, 'Fund Investment Data'!$B:$B = 12),"""")"),"")</f>
        <v/>
      </c>
      <c r="C137" t="str">
        <f>IFERROR(__xludf.DUMMYFUNCTION("IFERROR(FILTER('Fund Investment Data'!$D:$D, 'Fund Investment Data'!$C:$C = $A137, 'Fund Investment Data'!$A:$A = C$1, 'Fund Investment Data'!$B:$B = 12),"""")"),"")</f>
        <v/>
      </c>
      <c r="D137" t="str">
        <f>IFERROR(__xludf.DUMMYFUNCTION("IFERROR(FILTER('Fund Investment Data'!$D:$D, 'Fund Investment Data'!$C:$C = $A137, 'Fund Investment Data'!$A:$A = D$1, 'Fund Investment Data'!$B:$B = 12),"""")"),"")</f>
        <v/>
      </c>
      <c r="E137" t="str">
        <f>IFERROR(__xludf.DUMMYFUNCTION("IFERROR(FILTER('Fund Investment Data'!$D:$D, 'Fund Investment Data'!$C:$C = $A137, 'Fund Investment Data'!$A:$A = E$1, 'Fund Investment Data'!$B:$B = 12),"""")"),"")</f>
        <v/>
      </c>
      <c r="F137" t="str">
        <f>IFERROR(__xludf.DUMMYFUNCTION("IFERROR(FILTER('Fund Investment Data'!$D:$D, 'Fund Investment Data'!$C:$C = $A137, 'Fund Investment Data'!$A:$A = F$1, 'Fund Investment Data'!$B:$B = 12),"""")"),"")</f>
        <v/>
      </c>
      <c r="G137" t="str">
        <f>IFERROR(__xludf.DUMMYFUNCTION("IFERROR(FILTER('Fund Investment Data'!$D:$D, 'Fund Investment Data'!$C:$C = $A137, 'Fund Investment Data'!$A:$A = G$1, 'Fund Investment Data'!$B:$B = 12),"""")"),"")</f>
        <v/>
      </c>
      <c r="H137" t="str">
        <f>IFERROR(__xludf.DUMMYFUNCTION("IFERROR(FILTER('Fund Investment Data'!$D:$D, 'Fund Investment Data'!$C:$C = $A137, 'Fund Investment Data'!$A:$A = H$1, 'Fund Investment Data'!$B:$B = 12),"""")"),"")</f>
        <v/>
      </c>
      <c r="I137" t="str">
        <f>IFERROR(__xludf.DUMMYFUNCTION("IFERROR(FILTER('Fund Investment Data'!$D:$D, 'Fund Investment Data'!$C:$C = $A137, 'Fund Investment Data'!$A:$A = I$1, 'Fund Investment Data'!$B:$B = 12),"""")"),"")</f>
        <v/>
      </c>
      <c r="J137" t="str">
        <f>IFERROR(__xludf.DUMMYFUNCTION("IFERROR(FILTER('Fund Investment Data'!$D:$D, 'Fund Investment Data'!$C:$C = $A137, 'Fund Investment Data'!$A:$A = J$1, 'Fund Investment Data'!$B:$B = 12),"""")"),"")</f>
        <v/>
      </c>
      <c r="K137" t="str">
        <f>IFERROR(__xludf.DUMMYFUNCTION("IFERROR(FILTER('Fund Investment Data'!$D:$D, 'Fund Investment Data'!$C:$C = $A137, 'Fund Investment Data'!$A:$A = K$1, 'Fund Investment Data'!$B:$B = 12),"""")"),"")</f>
        <v/>
      </c>
      <c r="L137" t="str">
        <f>IFERROR(__xludf.DUMMYFUNCTION("IFERROR(FILTER('Fund Investment Data'!$D:$D, 'Fund Investment Data'!$C:$C = $A137, 'Fund Investment Data'!$A:$A = L$1, 'Fund Investment Data'!$B:$B = 12),"""")"),"")</f>
        <v/>
      </c>
      <c r="M137" t="str">
        <f>IFERROR(__xludf.DUMMYFUNCTION("IFERROR(FILTER('Fund Investment Data'!$D:$D, 'Fund Investment Data'!$C:$C = $A137, 'Fund Investment Data'!$A:$A = M$1, 'Fund Investment Data'!$B:$B = 12),"""")"),"")</f>
        <v/>
      </c>
      <c r="N137" t="str">
        <f>IFERROR(__xludf.DUMMYFUNCTION("IFERROR(FILTER('Fund Investment Data'!$D:$D, 'Fund Investment Data'!$C:$C = $A137, 'Fund Investment Data'!$A:$A = N$1, 'Fund Investment Data'!$B:$B = 12),"""")"),"")</f>
        <v/>
      </c>
      <c r="O137" t="str">
        <f>IFERROR(__xludf.DUMMYFUNCTION("IFERROR(FILTER('Fund Investment Data'!$D:$D, 'Fund Investment Data'!$C:$C = $A137, 'Fund Investment Data'!$A:$A = O$1, 'Fund Investment Data'!$B:$B = 12),"""")"),"")</f>
        <v/>
      </c>
      <c r="P137" t="str">
        <f>IFERROR(__xludf.DUMMYFUNCTION("IFERROR(FILTER('Fund Investment Data'!$D:$D, 'Fund Investment Data'!$C:$C = $A137, 'Fund Investment Data'!$A:$A = P$1, 'Fund Investment Data'!$B:$B = 12),"""")"),"")</f>
        <v/>
      </c>
      <c r="Q137" t="str">
        <f>IFERROR(__xludf.DUMMYFUNCTION("IFERROR(FILTER('Fund Investment Data'!$D:$D, 'Fund Investment Data'!$C:$C = $A137, 'Fund Investment Data'!$A:$A = Q$1, 'Fund Investment Data'!$B:$B = 12),"""")"),"")</f>
        <v/>
      </c>
      <c r="R137" t="str">
        <f>IFERROR(__xludf.DUMMYFUNCTION("IFERROR(FILTER('Fund Investment Data'!$D:$D, 'Fund Investment Data'!$C:$C = $A137, 'Fund Investment Data'!$A:$A = R$1, 'Fund Investment Data'!$B:$B = 12),"""")"),"")</f>
        <v/>
      </c>
      <c r="S137" t="str">
        <f>IFERROR(__xludf.DUMMYFUNCTION("IFERROR(FILTER('Fund Investment Data'!$D:$D, 'Fund Investment Data'!$C:$C = $A137, 'Fund Investment Data'!$A:$A = S$1, 'Fund Investment Data'!$B:$B = 12),"""")"),"")</f>
        <v/>
      </c>
      <c r="T137" t="str">
        <f>IFERROR(__xludf.DUMMYFUNCTION("IFERROR(FILTER('Fund Investment Data'!$D:$D, 'Fund Investment Data'!$C:$C = $A137, 'Fund Investment Data'!$A:$A = T$1, 'Fund Investment Data'!$B:$B = 12),"""")"),"")</f>
        <v/>
      </c>
      <c r="U137" t="str">
        <f>IFERROR(__xludf.DUMMYFUNCTION("IFERROR(FILTER('Fund Investment Data'!$D:$D, 'Fund Investment Data'!$C:$C = $A137, 'Fund Investment Data'!$A:$A = U$1, 'Fund Investment Data'!$B:$B = 12),"""")"),"")</f>
        <v/>
      </c>
      <c r="V137" t="str">
        <f>IFERROR(__xludf.DUMMYFUNCTION("IFERROR(FILTER('Fund Investment Data'!$D:$D, 'Fund Investment Data'!$C:$C = $A137, 'Fund Investment Data'!$A:$A = V$1, 'Fund Investment Data'!$B:$B = 12),"""")"),"")</f>
        <v/>
      </c>
      <c r="W137" t="str">
        <f>IFERROR(__xludf.DUMMYFUNCTION("IFERROR(FILTER('Fund Investment Data'!$D:$D, 'Fund Investment Data'!$C:$C = $A137, 'Fund Investment Data'!$A:$A = W$1, 'Fund Investment Data'!$B:$B = 12),"""")"),"")</f>
        <v/>
      </c>
      <c r="X137" t="str">
        <f>IFERROR(__xludf.DUMMYFUNCTION("IFERROR(FILTER('Fund Investment Data'!$D:$D, 'Fund Investment Data'!$C:$C = $A137, 'Fund Investment Data'!$A:$A = X$1, 'Fund Investment Data'!$B:$B = 12),"""")"),"")</f>
        <v/>
      </c>
      <c r="Y137" t="str">
        <f>IFERROR(__xludf.DUMMYFUNCTION("IFERROR(FILTER('Fund Investment Data'!$D:$D, 'Fund Investment Data'!$C:$C = $A137, 'Fund Investment Data'!$A:$A = Y$1, 'Fund Investment Data'!$B:$B = 12),"""")"),"")</f>
        <v/>
      </c>
      <c r="Z137" t="str">
        <f>IFERROR(__xludf.DUMMYFUNCTION("IFERROR(FILTER('Fund Investment Data'!$D:$D, 'Fund Investment Data'!$C:$C = $A137, 'Fund Investment Data'!$A:$A = Z$1, 'Fund Investment Data'!$B:$B = 12),"""")"),"")</f>
        <v/>
      </c>
      <c r="AA137" t="str">
        <f>IFERROR(__xludf.DUMMYFUNCTION("IFERROR(FILTER('Fund Investment Data'!$D:$D, 'Fund Investment Data'!$C:$C = $A137, 'Fund Investment Data'!$A:$A = AA$1, 'Fund Investment Data'!$B:$B = 12),"""")"),"")</f>
        <v/>
      </c>
      <c r="AB137" t="str">
        <f>IFERROR(__xludf.DUMMYFUNCTION("IFERROR(FILTER('Fund Investment Data'!$D:$D, 'Fund Investment Data'!$C:$C = $A137, 'Fund Investment Data'!$A:$A = AB$1, 'Fund Investment Data'!$B:$B = 12),"""")"),"")</f>
        <v/>
      </c>
      <c r="AC137" t="str">
        <f>IFERROR(__xludf.DUMMYFUNCTION("IFERROR(FILTER('Fund Investment Data'!$D:$D, 'Fund Investment Data'!$C:$C = $A137, 'Fund Investment Data'!$A:$A = AC$1, 'Fund Investment Data'!$B:$B = 12),"""")"),"")</f>
        <v/>
      </c>
      <c r="AD137" t="str">
        <f>IFERROR(__xludf.DUMMYFUNCTION("IFERROR(FILTER('Fund Investment Data'!$D:$D, 'Fund Investment Data'!$C:$C = $A137, 'Fund Investment Data'!$A:$A = AD$1, 'Fund Investment Data'!$B:$B = 12),"""")"),"")</f>
        <v/>
      </c>
      <c r="AE137" t="str">
        <f>IFERROR(__xludf.DUMMYFUNCTION("IFERROR(FILTER('Fund Investment Data'!$D:$D, 'Fund Investment Data'!$C:$C = $A137, 'Fund Investment Data'!$A:$A = AE$1, 'Fund Investment Data'!$B:$B = 12),"""")"),"")</f>
        <v/>
      </c>
    </row>
    <row r="138">
      <c r="A138" s="150" t="str">
        <f>'Endowed Funds'!A:A</f>
        <v/>
      </c>
      <c r="B138" t="str">
        <f>IFERROR(__xludf.DUMMYFUNCTION("IFERROR(FILTER('Fund Investment Data'!$D:$D, 'Fund Investment Data'!$C:$C = $A138, 'Fund Investment Data'!$A:$A = B$1, 'Fund Investment Data'!$B:$B = 12),"""")"),"")</f>
        <v/>
      </c>
      <c r="C138" t="str">
        <f>IFERROR(__xludf.DUMMYFUNCTION("IFERROR(FILTER('Fund Investment Data'!$D:$D, 'Fund Investment Data'!$C:$C = $A138, 'Fund Investment Data'!$A:$A = C$1, 'Fund Investment Data'!$B:$B = 12),"""")"),"")</f>
        <v/>
      </c>
      <c r="D138" t="str">
        <f>IFERROR(__xludf.DUMMYFUNCTION("IFERROR(FILTER('Fund Investment Data'!$D:$D, 'Fund Investment Data'!$C:$C = $A138, 'Fund Investment Data'!$A:$A = D$1, 'Fund Investment Data'!$B:$B = 12),"""")"),"")</f>
        <v/>
      </c>
      <c r="E138" t="str">
        <f>IFERROR(__xludf.DUMMYFUNCTION("IFERROR(FILTER('Fund Investment Data'!$D:$D, 'Fund Investment Data'!$C:$C = $A138, 'Fund Investment Data'!$A:$A = E$1, 'Fund Investment Data'!$B:$B = 12),"""")"),"")</f>
        <v/>
      </c>
      <c r="F138" t="str">
        <f>IFERROR(__xludf.DUMMYFUNCTION("IFERROR(FILTER('Fund Investment Data'!$D:$D, 'Fund Investment Data'!$C:$C = $A138, 'Fund Investment Data'!$A:$A = F$1, 'Fund Investment Data'!$B:$B = 12),"""")"),"")</f>
        <v/>
      </c>
      <c r="G138" t="str">
        <f>IFERROR(__xludf.DUMMYFUNCTION("IFERROR(FILTER('Fund Investment Data'!$D:$D, 'Fund Investment Data'!$C:$C = $A138, 'Fund Investment Data'!$A:$A = G$1, 'Fund Investment Data'!$B:$B = 12),"""")"),"")</f>
        <v/>
      </c>
      <c r="H138" t="str">
        <f>IFERROR(__xludf.DUMMYFUNCTION("IFERROR(FILTER('Fund Investment Data'!$D:$D, 'Fund Investment Data'!$C:$C = $A138, 'Fund Investment Data'!$A:$A = H$1, 'Fund Investment Data'!$B:$B = 12),"""")"),"")</f>
        <v/>
      </c>
      <c r="I138" t="str">
        <f>IFERROR(__xludf.DUMMYFUNCTION("IFERROR(FILTER('Fund Investment Data'!$D:$D, 'Fund Investment Data'!$C:$C = $A138, 'Fund Investment Data'!$A:$A = I$1, 'Fund Investment Data'!$B:$B = 12),"""")"),"")</f>
        <v/>
      </c>
      <c r="J138" t="str">
        <f>IFERROR(__xludf.DUMMYFUNCTION("IFERROR(FILTER('Fund Investment Data'!$D:$D, 'Fund Investment Data'!$C:$C = $A138, 'Fund Investment Data'!$A:$A = J$1, 'Fund Investment Data'!$B:$B = 12),"""")"),"")</f>
        <v/>
      </c>
      <c r="K138" t="str">
        <f>IFERROR(__xludf.DUMMYFUNCTION("IFERROR(FILTER('Fund Investment Data'!$D:$D, 'Fund Investment Data'!$C:$C = $A138, 'Fund Investment Data'!$A:$A = K$1, 'Fund Investment Data'!$B:$B = 12),"""")"),"")</f>
        <v/>
      </c>
      <c r="L138" t="str">
        <f>IFERROR(__xludf.DUMMYFUNCTION("IFERROR(FILTER('Fund Investment Data'!$D:$D, 'Fund Investment Data'!$C:$C = $A138, 'Fund Investment Data'!$A:$A = L$1, 'Fund Investment Data'!$B:$B = 12),"""")"),"")</f>
        <v/>
      </c>
      <c r="M138" t="str">
        <f>IFERROR(__xludf.DUMMYFUNCTION("IFERROR(FILTER('Fund Investment Data'!$D:$D, 'Fund Investment Data'!$C:$C = $A138, 'Fund Investment Data'!$A:$A = M$1, 'Fund Investment Data'!$B:$B = 12),"""")"),"")</f>
        <v/>
      </c>
      <c r="N138" t="str">
        <f>IFERROR(__xludf.DUMMYFUNCTION("IFERROR(FILTER('Fund Investment Data'!$D:$D, 'Fund Investment Data'!$C:$C = $A138, 'Fund Investment Data'!$A:$A = N$1, 'Fund Investment Data'!$B:$B = 12),"""")"),"")</f>
        <v/>
      </c>
      <c r="O138" t="str">
        <f>IFERROR(__xludf.DUMMYFUNCTION("IFERROR(FILTER('Fund Investment Data'!$D:$D, 'Fund Investment Data'!$C:$C = $A138, 'Fund Investment Data'!$A:$A = O$1, 'Fund Investment Data'!$B:$B = 12),"""")"),"")</f>
        <v/>
      </c>
      <c r="P138" t="str">
        <f>IFERROR(__xludf.DUMMYFUNCTION("IFERROR(FILTER('Fund Investment Data'!$D:$D, 'Fund Investment Data'!$C:$C = $A138, 'Fund Investment Data'!$A:$A = P$1, 'Fund Investment Data'!$B:$B = 12),"""")"),"")</f>
        <v/>
      </c>
      <c r="Q138" t="str">
        <f>IFERROR(__xludf.DUMMYFUNCTION("IFERROR(FILTER('Fund Investment Data'!$D:$D, 'Fund Investment Data'!$C:$C = $A138, 'Fund Investment Data'!$A:$A = Q$1, 'Fund Investment Data'!$B:$B = 12),"""")"),"")</f>
        <v/>
      </c>
      <c r="R138" t="str">
        <f>IFERROR(__xludf.DUMMYFUNCTION("IFERROR(FILTER('Fund Investment Data'!$D:$D, 'Fund Investment Data'!$C:$C = $A138, 'Fund Investment Data'!$A:$A = R$1, 'Fund Investment Data'!$B:$B = 12),"""")"),"")</f>
        <v/>
      </c>
      <c r="S138" t="str">
        <f>IFERROR(__xludf.DUMMYFUNCTION("IFERROR(FILTER('Fund Investment Data'!$D:$D, 'Fund Investment Data'!$C:$C = $A138, 'Fund Investment Data'!$A:$A = S$1, 'Fund Investment Data'!$B:$B = 12),"""")"),"")</f>
        <v/>
      </c>
      <c r="T138" t="str">
        <f>IFERROR(__xludf.DUMMYFUNCTION("IFERROR(FILTER('Fund Investment Data'!$D:$D, 'Fund Investment Data'!$C:$C = $A138, 'Fund Investment Data'!$A:$A = T$1, 'Fund Investment Data'!$B:$B = 12),"""")"),"")</f>
        <v/>
      </c>
      <c r="U138" t="str">
        <f>IFERROR(__xludf.DUMMYFUNCTION("IFERROR(FILTER('Fund Investment Data'!$D:$D, 'Fund Investment Data'!$C:$C = $A138, 'Fund Investment Data'!$A:$A = U$1, 'Fund Investment Data'!$B:$B = 12),"""")"),"")</f>
        <v/>
      </c>
      <c r="V138" t="str">
        <f>IFERROR(__xludf.DUMMYFUNCTION("IFERROR(FILTER('Fund Investment Data'!$D:$D, 'Fund Investment Data'!$C:$C = $A138, 'Fund Investment Data'!$A:$A = V$1, 'Fund Investment Data'!$B:$B = 12),"""")"),"")</f>
        <v/>
      </c>
      <c r="W138" t="str">
        <f>IFERROR(__xludf.DUMMYFUNCTION("IFERROR(FILTER('Fund Investment Data'!$D:$D, 'Fund Investment Data'!$C:$C = $A138, 'Fund Investment Data'!$A:$A = W$1, 'Fund Investment Data'!$B:$B = 12),"""")"),"")</f>
        <v/>
      </c>
      <c r="X138" t="str">
        <f>IFERROR(__xludf.DUMMYFUNCTION("IFERROR(FILTER('Fund Investment Data'!$D:$D, 'Fund Investment Data'!$C:$C = $A138, 'Fund Investment Data'!$A:$A = X$1, 'Fund Investment Data'!$B:$B = 12),"""")"),"")</f>
        <v/>
      </c>
      <c r="Y138" t="str">
        <f>IFERROR(__xludf.DUMMYFUNCTION("IFERROR(FILTER('Fund Investment Data'!$D:$D, 'Fund Investment Data'!$C:$C = $A138, 'Fund Investment Data'!$A:$A = Y$1, 'Fund Investment Data'!$B:$B = 12),"""")"),"")</f>
        <v/>
      </c>
      <c r="Z138" t="str">
        <f>IFERROR(__xludf.DUMMYFUNCTION("IFERROR(FILTER('Fund Investment Data'!$D:$D, 'Fund Investment Data'!$C:$C = $A138, 'Fund Investment Data'!$A:$A = Z$1, 'Fund Investment Data'!$B:$B = 12),"""")"),"")</f>
        <v/>
      </c>
      <c r="AA138" t="str">
        <f>IFERROR(__xludf.DUMMYFUNCTION("IFERROR(FILTER('Fund Investment Data'!$D:$D, 'Fund Investment Data'!$C:$C = $A138, 'Fund Investment Data'!$A:$A = AA$1, 'Fund Investment Data'!$B:$B = 12),"""")"),"")</f>
        <v/>
      </c>
      <c r="AB138" t="str">
        <f>IFERROR(__xludf.DUMMYFUNCTION("IFERROR(FILTER('Fund Investment Data'!$D:$D, 'Fund Investment Data'!$C:$C = $A138, 'Fund Investment Data'!$A:$A = AB$1, 'Fund Investment Data'!$B:$B = 12),"""")"),"")</f>
        <v/>
      </c>
      <c r="AC138" t="str">
        <f>IFERROR(__xludf.DUMMYFUNCTION("IFERROR(FILTER('Fund Investment Data'!$D:$D, 'Fund Investment Data'!$C:$C = $A138, 'Fund Investment Data'!$A:$A = AC$1, 'Fund Investment Data'!$B:$B = 12),"""")"),"")</f>
        <v/>
      </c>
      <c r="AD138" t="str">
        <f>IFERROR(__xludf.DUMMYFUNCTION("IFERROR(FILTER('Fund Investment Data'!$D:$D, 'Fund Investment Data'!$C:$C = $A138, 'Fund Investment Data'!$A:$A = AD$1, 'Fund Investment Data'!$B:$B = 12),"""")"),"")</f>
        <v/>
      </c>
      <c r="AE138" t="str">
        <f>IFERROR(__xludf.DUMMYFUNCTION("IFERROR(FILTER('Fund Investment Data'!$D:$D, 'Fund Investment Data'!$C:$C = $A138, 'Fund Investment Data'!$A:$A = AE$1, 'Fund Investment Data'!$B:$B = 12),"""")"),"")</f>
        <v/>
      </c>
    </row>
    <row r="139">
      <c r="A139" s="150" t="str">
        <f>'Endowed Funds'!A:A</f>
        <v/>
      </c>
      <c r="B139" t="str">
        <f>IFERROR(__xludf.DUMMYFUNCTION("IFERROR(FILTER('Fund Investment Data'!$D:$D, 'Fund Investment Data'!$C:$C = $A139, 'Fund Investment Data'!$A:$A = B$1, 'Fund Investment Data'!$B:$B = 12),"""")"),"")</f>
        <v/>
      </c>
      <c r="C139" t="str">
        <f>IFERROR(__xludf.DUMMYFUNCTION("IFERROR(FILTER('Fund Investment Data'!$D:$D, 'Fund Investment Data'!$C:$C = $A139, 'Fund Investment Data'!$A:$A = C$1, 'Fund Investment Data'!$B:$B = 12),"""")"),"")</f>
        <v/>
      </c>
      <c r="D139" t="str">
        <f>IFERROR(__xludf.DUMMYFUNCTION("IFERROR(FILTER('Fund Investment Data'!$D:$D, 'Fund Investment Data'!$C:$C = $A139, 'Fund Investment Data'!$A:$A = D$1, 'Fund Investment Data'!$B:$B = 12),"""")"),"")</f>
        <v/>
      </c>
      <c r="E139" t="str">
        <f>IFERROR(__xludf.DUMMYFUNCTION("IFERROR(FILTER('Fund Investment Data'!$D:$D, 'Fund Investment Data'!$C:$C = $A139, 'Fund Investment Data'!$A:$A = E$1, 'Fund Investment Data'!$B:$B = 12),"""")"),"")</f>
        <v/>
      </c>
      <c r="F139" t="str">
        <f>IFERROR(__xludf.DUMMYFUNCTION("IFERROR(FILTER('Fund Investment Data'!$D:$D, 'Fund Investment Data'!$C:$C = $A139, 'Fund Investment Data'!$A:$A = F$1, 'Fund Investment Data'!$B:$B = 12),"""")"),"")</f>
        <v/>
      </c>
      <c r="G139" t="str">
        <f>IFERROR(__xludf.DUMMYFUNCTION("IFERROR(FILTER('Fund Investment Data'!$D:$D, 'Fund Investment Data'!$C:$C = $A139, 'Fund Investment Data'!$A:$A = G$1, 'Fund Investment Data'!$B:$B = 12),"""")"),"")</f>
        <v/>
      </c>
      <c r="H139" t="str">
        <f>IFERROR(__xludf.DUMMYFUNCTION("IFERROR(FILTER('Fund Investment Data'!$D:$D, 'Fund Investment Data'!$C:$C = $A139, 'Fund Investment Data'!$A:$A = H$1, 'Fund Investment Data'!$B:$B = 12),"""")"),"")</f>
        <v/>
      </c>
      <c r="I139" t="str">
        <f>IFERROR(__xludf.DUMMYFUNCTION("IFERROR(FILTER('Fund Investment Data'!$D:$D, 'Fund Investment Data'!$C:$C = $A139, 'Fund Investment Data'!$A:$A = I$1, 'Fund Investment Data'!$B:$B = 12),"""")"),"")</f>
        <v/>
      </c>
      <c r="J139" t="str">
        <f>IFERROR(__xludf.DUMMYFUNCTION("IFERROR(FILTER('Fund Investment Data'!$D:$D, 'Fund Investment Data'!$C:$C = $A139, 'Fund Investment Data'!$A:$A = J$1, 'Fund Investment Data'!$B:$B = 12),"""")"),"")</f>
        <v/>
      </c>
      <c r="K139" t="str">
        <f>IFERROR(__xludf.DUMMYFUNCTION("IFERROR(FILTER('Fund Investment Data'!$D:$D, 'Fund Investment Data'!$C:$C = $A139, 'Fund Investment Data'!$A:$A = K$1, 'Fund Investment Data'!$B:$B = 12),"""")"),"")</f>
        <v/>
      </c>
      <c r="L139" t="str">
        <f>IFERROR(__xludf.DUMMYFUNCTION("IFERROR(FILTER('Fund Investment Data'!$D:$D, 'Fund Investment Data'!$C:$C = $A139, 'Fund Investment Data'!$A:$A = L$1, 'Fund Investment Data'!$B:$B = 12),"""")"),"")</f>
        <v/>
      </c>
      <c r="M139" t="str">
        <f>IFERROR(__xludf.DUMMYFUNCTION("IFERROR(FILTER('Fund Investment Data'!$D:$D, 'Fund Investment Data'!$C:$C = $A139, 'Fund Investment Data'!$A:$A = M$1, 'Fund Investment Data'!$B:$B = 12),"""")"),"")</f>
        <v/>
      </c>
      <c r="N139" t="str">
        <f>IFERROR(__xludf.DUMMYFUNCTION("IFERROR(FILTER('Fund Investment Data'!$D:$D, 'Fund Investment Data'!$C:$C = $A139, 'Fund Investment Data'!$A:$A = N$1, 'Fund Investment Data'!$B:$B = 12),"""")"),"")</f>
        <v/>
      </c>
      <c r="O139" t="str">
        <f>IFERROR(__xludf.DUMMYFUNCTION("IFERROR(FILTER('Fund Investment Data'!$D:$D, 'Fund Investment Data'!$C:$C = $A139, 'Fund Investment Data'!$A:$A = O$1, 'Fund Investment Data'!$B:$B = 12),"""")"),"")</f>
        <v/>
      </c>
      <c r="P139" t="str">
        <f>IFERROR(__xludf.DUMMYFUNCTION("IFERROR(FILTER('Fund Investment Data'!$D:$D, 'Fund Investment Data'!$C:$C = $A139, 'Fund Investment Data'!$A:$A = P$1, 'Fund Investment Data'!$B:$B = 12),"""")"),"")</f>
        <v/>
      </c>
      <c r="Q139" t="str">
        <f>IFERROR(__xludf.DUMMYFUNCTION("IFERROR(FILTER('Fund Investment Data'!$D:$D, 'Fund Investment Data'!$C:$C = $A139, 'Fund Investment Data'!$A:$A = Q$1, 'Fund Investment Data'!$B:$B = 12),"""")"),"")</f>
        <v/>
      </c>
      <c r="R139" t="str">
        <f>IFERROR(__xludf.DUMMYFUNCTION("IFERROR(FILTER('Fund Investment Data'!$D:$D, 'Fund Investment Data'!$C:$C = $A139, 'Fund Investment Data'!$A:$A = R$1, 'Fund Investment Data'!$B:$B = 12),"""")"),"")</f>
        <v/>
      </c>
      <c r="S139" t="str">
        <f>IFERROR(__xludf.DUMMYFUNCTION("IFERROR(FILTER('Fund Investment Data'!$D:$D, 'Fund Investment Data'!$C:$C = $A139, 'Fund Investment Data'!$A:$A = S$1, 'Fund Investment Data'!$B:$B = 12),"""")"),"")</f>
        <v/>
      </c>
      <c r="T139" t="str">
        <f>IFERROR(__xludf.DUMMYFUNCTION("IFERROR(FILTER('Fund Investment Data'!$D:$D, 'Fund Investment Data'!$C:$C = $A139, 'Fund Investment Data'!$A:$A = T$1, 'Fund Investment Data'!$B:$B = 12),"""")"),"")</f>
        <v/>
      </c>
      <c r="U139" t="str">
        <f>IFERROR(__xludf.DUMMYFUNCTION("IFERROR(FILTER('Fund Investment Data'!$D:$D, 'Fund Investment Data'!$C:$C = $A139, 'Fund Investment Data'!$A:$A = U$1, 'Fund Investment Data'!$B:$B = 12),"""")"),"")</f>
        <v/>
      </c>
      <c r="V139" t="str">
        <f>IFERROR(__xludf.DUMMYFUNCTION("IFERROR(FILTER('Fund Investment Data'!$D:$D, 'Fund Investment Data'!$C:$C = $A139, 'Fund Investment Data'!$A:$A = V$1, 'Fund Investment Data'!$B:$B = 12),"""")"),"")</f>
        <v/>
      </c>
      <c r="W139" t="str">
        <f>IFERROR(__xludf.DUMMYFUNCTION("IFERROR(FILTER('Fund Investment Data'!$D:$D, 'Fund Investment Data'!$C:$C = $A139, 'Fund Investment Data'!$A:$A = W$1, 'Fund Investment Data'!$B:$B = 12),"""")"),"")</f>
        <v/>
      </c>
      <c r="X139" t="str">
        <f>IFERROR(__xludf.DUMMYFUNCTION("IFERROR(FILTER('Fund Investment Data'!$D:$D, 'Fund Investment Data'!$C:$C = $A139, 'Fund Investment Data'!$A:$A = X$1, 'Fund Investment Data'!$B:$B = 12),"""")"),"")</f>
        <v/>
      </c>
      <c r="Y139" t="str">
        <f>IFERROR(__xludf.DUMMYFUNCTION("IFERROR(FILTER('Fund Investment Data'!$D:$D, 'Fund Investment Data'!$C:$C = $A139, 'Fund Investment Data'!$A:$A = Y$1, 'Fund Investment Data'!$B:$B = 12),"""")"),"")</f>
        <v/>
      </c>
      <c r="Z139" t="str">
        <f>IFERROR(__xludf.DUMMYFUNCTION("IFERROR(FILTER('Fund Investment Data'!$D:$D, 'Fund Investment Data'!$C:$C = $A139, 'Fund Investment Data'!$A:$A = Z$1, 'Fund Investment Data'!$B:$B = 12),"""")"),"")</f>
        <v/>
      </c>
      <c r="AA139" t="str">
        <f>IFERROR(__xludf.DUMMYFUNCTION("IFERROR(FILTER('Fund Investment Data'!$D:$D, 'Fund Investment Data'!$C:$C = $A139, 'Fund Investment Data'!$A:$A = AA$1, 'Fund Investment Data'!$B:$B = 12),"""")"),"")</f>
        <v/>
      </c>
      <c r="AB139" t="str">
        <f>IFERROR(__xludf.DUMMYFUNCTION("IFERROR(FILTER('Fund Investment Data'!$D:$D, 'Fund Investment Data'!$C:$C = $A139, 'Fund Investment Data'!$A:$A = AB$1, 'Fund Investment Data'!$B:$B = 12),"""")"),"")</f>
        <v/>
      </c>
      <c r="AC139" t="str">
        <f>IFERROR(__xludf.DUMMYFUNCTION("IFERROR(FILTER('Fund Investment Data'!$D:$D, 'Fund Investment Data'!$C:$C = $A139, 'Fund Investment Data'!$A:$A = AC$1, 'Fund Investment Data'!$B:$B = 12),"""")"),"")</f>
        <v/>
      </c>
      <c r="AD139" t="str">
        <f>IFERROR(__xludf.DUMMYFUNCTION("IFERROR(FILTER('Fund Investment Data'!$D:$D, 'Fund Investment Data'!$C:$C = $A139, 'Fund Investment Data'!$A:$A = AD$1, 'Fund Investment Data'!$B:$B = 12),"""")"),"")</f>
        <v/>
      </c>
      <c r="AE139" t="str">
        <f>IFERROR(__xludf.DUMMYFUNCTION("IFERROR(FILTER('Fund Investment Data'!$D:$D, 'Fund Investment Data'!$C:$C = $A139, 'Fund Investment Data'!$A:$A = AE$1, 'Fund Investment Data'!$B:$B = 12),"""")"),"")</f>
        <v/>
      </c>
    </row>
    <row r="140">
      <c r="A140" s="150" t="str">
        <f>'Endowed Funds'!A:A</f>
        <v/>
      </c>
      <c r="B140" t="str">
        <f>IFERROR(__xludf.DUMMYFUNCTION("IFERROR(FILTER('Fund Investment Data'!$D:$D, 'Fund Investment Data'!$C:$C = $A140, 'Fund Investment Data'!$A:$A = B$1, 'Fund Investment Data'!$B:$B = 12),"""")"),"")</f>
        <v/>
      </c>
      <c r="C140" t="str">
        <f>IFERROR(__xludf.DUMMYFUNCTION("IFERROR(FILTER('Fund Investment Data'!$D:$D, 'Fund Investment Data'!$C:$C = $A140, 'Fund Investment Data'!$A:$A = C$1, 'Fund Investment Data'!$B:$B = 12),"""")"),"")</f>
        <v/>
      </c>
      <c r="D140" t="str">
        <f>IFERROR(__xludf.DUMMYFUNCTION("IFERROR(FILTER('Fund Investment Data'!$D:$D, 'Fund Investment Data'!$C:$C = $A140, 'Fund Investment Data'!$A:$A = D$1, 'Fund Investment Data'!$B:$B = 12),"""")"),"")</f>
        <v/>
      </c>
      <c r="E140" t="str">
        <f>IFERROR(__xludf.DUMMYFUNCTION("IFERROR(FILTER('Fund Investment Data'!$D:$D, 'Fund Investment Data'!$C:$C = $A140, 'Fund Investment Data'!$A:$A = E$1, 'Fund Investment Data'!$B:$B = 12),"""")"),"")</f>
        <v/>
      </c>
      <c r="F140" t="str">
        <f>IFERROR(__xludf.DUMMYFUNCTION("IFERROR(FILTER('Fund Investment Data'!$D:$D, 'Fund Investment Data'!$C:$C = $A140, 'Fund Investment Data'!$A:$A = F$1, 'Fund Investment Data'!$B:$B = 12),"""")"),"")</f>
        <v/>
      </c>
      <c r="G140" t="str">
        <f>IFERROR(__xludf.DUMMYFUNCTION("IFERROR(FILTER('Fund Investment Data'!$D:$D, 'Fund Investment Data'!$C:$C = $A140, 'Fund Investment Data'!$A:$A = G$1, 'Fund Investment Data'!$B:$B = 12),"""")"),"")</f>
        <v/>
      </c>
      <c r="H140" t="str">
        <f>IFERROR(__xludf.DUMMYFUNCTION("IFERROR(FILTER('Fund Investment Data'!$D:$D, 'Fund Investment Data'!$C:$C = $A140, 'Fund Investment Data'!$A:$A = H$1, 'Fund Investment Data'!$B:$B = 12),"""")"),"")</f>
        <v/>
      </c>
      <c r="I140" t="str">
        <f>IFERROR(__xludf.DUMMYFUNCTION("IFERROR(FILTER('Fund Investment Data'!$D:$D, 'Fund Investment Data'!$C:$C = $A140, 'Fund Investment Data'!$A:$A = I$1, 'Fund Investment Data'!$B:$B = 12),"""")"),"")</f>
        <v/>
      </c>
      <c r="J140" t="str">
        <f>IFERROR(__xludf.DUMMYFUNCTION("IFERROR(FILTER('Fund Investment Data'!$D:$D, 'Fund Investment Data'!$C:$C = $A140, 'Fund Investment Data'!$A:$A = J$1, 'Fund Investment Data'!$B:$B = 12),"""")"),"")</f>
        <v/>
      </c>
      <c r="K140" t="str">
        <f>IFERROR(__xludf.DUMMYFUNCTION("IFERROR(FILTER('Fund Investment Data'!$D:$D, 'Fund Investment Data'!$C:$C = $A140, 'Fund Investment Data'!$A:$A = K$1, 'Fund Investment Data'!$B:$B = 12),"""")"),"")</f>
        <v/>
      </c>
      <c r="L140" t="str">
        <f>IFERROR(__xludf.DUMMYFUNCTION("IFERROR(FILTER('Fund Investment Data'!$D:$D, 'Fund Investment Data'!$C:$C = $A140, 'Fund Investment Data'!$A:$A = L$1, 'Fund Investment Data'!$B:$B = 12),"""")"),"")</f>
        <v/>
      </c>
      <c r="M140" t="str">
        <f>IFERROR(__xludf.DUMMYFUNCTION("IFERROR(FILTER('Fund Investment Data'!$D:$D, 'Fund Investment Data'!$C:$C = $A140, 'Fund Investment Data'!$A:$A = M$1, 'Fund Investment Data'!$B:$B = 12),"""")"),"")</f>
        <v/>
      </c>
      <c r="N140" t="str">
        <f>IFERROR(__xludf.DUMMYFUNCTION("IFERROR(FILTER('Fund Investment Data'!$D:$D, 'Fund Investment Data'!$C:$C = $A140, 'Fund Investment Data'!$A:$A = N$1, 'Fund Investment Data'!$B:$B = 12),"""")"),"")</f>
        <v/>
      </c>
      <c r="O140" t="str">
        <f>IFERROR(__xludf.DUMMYFUNCTION("IFERROR(FILTER('Fund Investment Data'!$D:$D, 'Fund Investment Data'!$C:$C = $A140, 'Fund Investment Data'!$A:$A = O$1, 'Fund Investment Data'!$B:$B = 12),"""")"),"")</f>
        <v/>
      </c>
      <c r="P140" t="str">
        <f>IFERROR(__xludf.DUMMYFUNCTION("IFERROR(FILTER('Fund Investment Data'!$D:$D, 'Fund Investment Data'!$C:$C = $A140, 'Fund Investment Data'!$A:$A = P$1, 'Fund Investment Data'!$B:$B = 12),"""")"),"")</f>
        <v/>
      </c>
      <c r="Q140" t="str">
        <f>IFERROR(__xludf.DUMMYFUNCTION("IFERROR(FILTER('Fund Investment Data'!$D:$D, 'Fund Investment Data'!$C:$C = $A140, 'Fund Investment Data'!$A:$A = Q$1, 'Fund Investment Data'!$B:$B = 12),"""")"),"")</f>
        <v/>
      </c>
      <c r="R140" t="str">
        <f>IFERROR(__xludf.DUMMYFUNCTION("IFERROR(FILTER('Fund Investment Data'!$D:$D, 'Fund Investment Data'!$C:$C = $A140, 'Fund Investment Data'!$A:$A = R$1, 'Fund Investment Data'!$B:$B = 12),"""")"),"")</f>
        <v/>
      </c>
      <c r="S140" t="str">
        <f>IFERROR(__xludf.DUMMYFUNCTION("IFERROR(FILTER('Fund Investment Data'!$D:$D, 'Fund Investment Data'!$C:$C = $A140, 'Fund Investment Data'!$A:$A = S$1, 'Fund Investment Data'!$B:$B = 12),"""")"),"")</f>
        <v/>
      </c>
      <c r="T140" t="str">
        <f>IFERROR(__xludf.DUMMYFUNCTION("IFERROR(FILTER('Fund Investment Data'!$D:$D, 'Fund Investment Data'!$C:$C = $A140, 'Fund Investment Data'!$A:$A = T$1, 'Fund Investment Data'!$B:$B = 12),"""")"),"")</f>
        <v/>
      </c>
      <c r="U140" t="str">
        <f>IFERROR(__xludf.DUMMYFUNCTION("IFERROR(FILTER('Fund Investment Data'!$D:$D, 'Fund Investment Data'!$C:$C = $A140, 'Fund Investment Data'!$A:$A = U$1, 'Fund Investment Data'!$B:$B = 12),"""")"),"")</f>
        <v/>
      </c>
      <c r="V140" t="str">
        <f>IFERROR(__xludf.DUMMYFUNCTION("IFERROR(FILTER('Fund Investment Data'!$D:$D, 'Fund Investment Data'!$C:$C = $A140, 'Fund Investment Data'!$A:$A = V$1, 'Fund Investment Data'!$B:$B = 12),"""")"),"")</f>
        <v/>
      </c>
      <c r="W140" t="str">
        <f>IFERROR(__xludf.DUMMYFUNCTION("IFERROR(FILTER('Fund Investment Data'!$D:$D, 'Fund Investment Data'!$C:$C = $A140, 'Fund Investment Data'!$A:$A = W$1, 'Fund Investment Data'!$B:$B = 12),"""")"),"")</f>
        <v/>
      </c>
      <c r="X140" t="str">
        <f>IFERROR(__xludf.DUMMYFUNCTION("IFERROR(FILTER('Fund Investment Data'!$D:$D, 'Fund Investment Data'!$C:$C = $A140, 'Fund Investment Data'!$A:$A = X$1, 'Fund Investment Data'!$B:$B = 12),"""")"),"")</f>
        <v/>
      </c>
      <c r="Y140" t="str">
        <f>IFERROR(__xludf.DUMMYFUNCTION("IFERROR(FILTER('Fund Investment Data'!$D:$D, 'Fund Investment Data'!$C:$C = $A140, 'Fund Investment Data'!$A:$A = Y$1, 'Fund Investment Data'!$B:$B = 12),"""")"),"")</f>
        <v/>
      </c>
      <c r="Z140" t="str">
        <f>IFERROR(__xludf.DUMMYFUNCTION("IFERROR(FILTER('Fund Investment Data'!$D:$D, 'Fund Investment Data'!$C:$C = $A140, 'Fund Investment Data'!$A:$A = Z$1, 'Fund Investment Data'!$B:$B = 12),"""")"),"")</f>
        <v/>
      </c>
      <c r="AA140" t="str">
        <f>IFERROR(__xludf.DUMMYFUNCTION("IFERROR(FILTER('Fund Investment Data'!$D:$D, 'Fund Investment Data'!$C:$C = $A140, 'Fund Investment Data'!$A:$A = AA$1, 'Fund Investment Data'!$B:$B = 12),"""")"),"")</f>
        <v/>
      </c>
      <c r="AB140" t="str">
        <f>IFERROR(__xludf.DUMMYFUNCTION("IFERROR(FILTER('Fund Investment Data'!$D:$D, 'Fund Investment Data'!$C:$C = $A140, 'Fund Investment Data'!$A:$A = AB$1, 'Fund Investment Data'!$B:$B = 12),"""")"),"")</f>
        <v/>
      </c>
      <c r="AC140" t="str">
        <f>IFERROR(__xludf.DUMMYFUNCTION("IFERROR(FILTER('Fund Investment Data'!$D:$D, 'Fund Investment Data'!$C:$C = $A140, 'Fund Investment Data'!$A:$A = AC$1, 'Fund Investment Data'!$B:$B = 12),"""")"),"")</f>
        <v/>
      </c>
      <c r="AD140" t="str">
        <f>IFERROR(__xludf.DUMMYFUNCTION("IFERROR(FILTER('Fund Investment Data'!$D:$D, 'Fund Investment Data'!$C:$C = $A140, 'Fund Investment Data'!$A:$A = AD$1, 'Fund Investment Data'!$B:$B = 12),"""")"),"")</f>
        <v/>
      </c>
      <c r="AE140" t="str">
        <f>IFERROR(__xludf.DUMMYFUNCTION("IFERROR(FILTER('Fund Investment Data'!$D:$D, 'Fund Investment Data'!$C:$C = $A140, 'Fund Investment Data'!$A:$A = AE$1, 'Fund Investment Data'!$B:$B = 12),"""")"),"")</f>
        <v/>
      </c>
    </row>
    <row r="141">
      <c r="A141" s="150" t="str">
        <f>'Endowed Funds'!A:A</f>
        <v/>
      </c>
      <c r="B141" t="str">
        <f>IFERROR(__xludf.DUMMYFUNCTION("IFERROR(FILTER('Fund Investment Data'!$D:$D, 'Fund Investment Data'!$C:$C = $A141, 'Fund Investment Data'!$A:$A = B$1, 'Fund Investment Data'!$B:$B = 12),"""")"),"")</f>
        <v/>
      </c>
      <c r="C141" t="str">
        <f>IFERROR(__xludf.DUMMYFUNCTION("IFERROR(FILTER('Fund Investment Data'!$D:$D, 'Fund Investment Data'!$C:$C = $A141, 'Fund Investment Data'!$A:$A = C$1, 'Fund Investment Data'!$B:$B = 12),"""")"),"")</f>
        <v/>
      </c>
      <c r="D141" t="str">
        <f>IFERROR(__xludf.DUMMYFUNCTION("IFERROR(FILTER('Fund Investment Data'!$D:$D, 'Fund Investment Data'!$C:$C = $A141, 'Fund Investment Data'!$A:$A = D$1, 'Fund Investment Data'!$B:$B = 12),"""")"),"")</f>
        <v/>
      </c>
      <c r="E141" t="str">
        <f>IFERROR(__xludf.DUMMYFUNCTION("IFERROR(FILTER('Fund Investment Data'!$D:$D, 'Fund Investment Data'!$C:$C = $A141, 'Fund Investment Data'!$A:$A = E$1, 'Fund Investment Data'!$B:$B = 12),"""")"),"")</f>
        <v/>
      </c>
      <c r="F141" t="str">
        <f>IFERROR(__xludf.DUMMYFUNCTION("IFERROR(FILTER('Fund Investment Data'!$D:$D, 'Fund Investment Data'!$C:$C = $A141, 'Fund Investment Data'!$A:$A = F$1, 'Fund Investment Data'!$B:$B = 12),"""")"),"")</f>
        <v/>
      </c>
      <c r="G141" t="str">
        <f>IFERROR(__xludf.DUMMYFUNCTION("IFERROR(FILTER('Fund Investment Data'!$D:$D, 'Fund Investment Data'!$C:$C = $A141, 'Fund Investment Data'!$A:$A = G$1, 'Fund Investment Data'!$B:$B = 12),"""")"),"")</f>
        <v/>
      </c>
      <c r="H141" t="str">
        <f>IFERROR(__xludf.DUMMYFUNCTION("IFERROR(FILTER('Fund Investment Data'!$D:$D, 'Fund Investment Data'!$C:$C = $A141, 'Fund Investment Data'!$A:$A = H$1, 'Fund Investment Data'!$B:$B = 12),"""")"),"")</f>
        <v/>
      </c>
      <c r="I141" t="str">
        <f>IFERROR(__xludf.DUMMYFUNCTION("IFERROR(FILTER('Fund Investment Data'!$D:$D, 'Fund Investment Data'!$C:$C = $A141, 'Fund Investment Data'!$A:$A = I$1, 'Fund Investment Data'!$B:$B = 12),"""")"),"")</f>
        <v/>
      </c>
      <c r="J141" t="str">
        <f>IFERROR(__xludf.DUMMYFUNCTION("IFERROR(FILTER('Fund Investment Data'!$D:$D, 'Fund Investment Data'!$C:$C = $A141, 'Fund Investment Data'!$A:$A = J$1, 'Fund Investment Data'!$B:$B = 12),"""")"),"")</f>
        <v/>
      </c>
      <c r="K141" t="str">
        <f>IFERROR(__xludf.DUMMYFUNCTION("IFERROR(FILTER('Fund Investment Data'!$D:$D, 'Fund Investment Data'!$C:$C = $A141, 'Fund Investment Data'!$A:$A = K$1, 'Fund Investment Data'!$B:$B = 12),"""")"),"")</f>
        <v/>
      </c>
      <c r="L141" t="str">
        <f>IFERROR(__xludf.DUMMYFUNCTION("IFERROR(FILTER('Fund Investment Data'!$D:$D, 'Fund Investment Data'!$C:$C = $A141, 'Fund Investment Data'!$A:$A = L$1, 'Fund Investment Data'!$B:$B = 12),"""")"),"")</f>
        <v/>
      </c>
      <c r="M141" t="str">
        <f>IFERROR(__xludf.DUMMYFUNCTION("IFERROR(FILTER('Fund Investment Data'!$D:$D, 'Fund Investment Data'!$C:$C = $A141, 'Fund Investment Data'!$A:$A = M$1, 'Fund Investment Data'!$B:$B = 12),"""")"),"")</f>
        <v/>
      </c>
      <c r="N141" t="str">
        <f>IFERROR(__xludf.DUMMYFUNCTION("IFERROR(FILTER('Fund Investment Data'!$D:$D, 'Fund Investment Data'!$C:$C = $A141, 'Fund Investment Data'!$A:$A = N$1, 'Fund Investment Data'!$B:$B = 12),"""")"),"")</f>
        <v/>
      </c>
      <c r="O141" t="str">
        <f>IFERROR(__xludf.DUMMYFUNCTION("IFERROR(FILTER('Fund Investment Data'!$D:$D, 'Fund Investment Data'!$C:$C = $A141, 'Fund Investment Data'!$A:$A = O$1, 'Fund Investment Data'!$B:$B = 12),"""")"),"")</f>
        <v/>
      </c>
      <c r="P141" t="str">
        <f>IFERROR(__xludf.DUMMYFUNCTION("IFERROR(FILTER('Fund Investment Data'!$D:$D, 'Fund Investment Data'!$C:$C = $A141, 'Fund Investment Data'!$A:$A = P$1, 'Fund Investment Data'!$B:$B = 12),"""")"),"")</f>
        <v/>
      </c>
      <c r="Q141" t="str">
        <f>IFERROR(__xludf.DUMMYFUNCTION("IFERROR(FILTER('Fund Investment Data'!$D:$D, 'Fund Investment Data'!$C:$C = $A141, 'Fund Investment Data'!$A:$A = Q$1, 'Fund Investment Data'!$B:$B = 12),"""")"),"")</f>
        <v/>
      </c>
      <c r="R141" t="str">
        <f>IFERROR(__xludf.DUMMYFUNCTION("IFERROR(FILTER('Fund Investment Data'!$D:$D, 'Fund Investment Data'!$C:$C = $A141, 'Fund Investment Data'!$A:$A = R$1, 'Fund Investment Data'!$B:$B = 12),"""")"),"")</f>
        <v/>
      </c>
      <c r="S141" t="str">
        <f>IFERROR(__xludf.DUMMYFUNCTION("IFERROR(FILTER('Fund Investment Data'!$D:$D, 'Fund Investment Data'!$C:$C = $A141, 'Fund Investment Data'!$A:$A = S$1, 'Fund Investment Data'!$B:$B = 12),"""")"),"")</f>
        <v/>
      </c>
      <c r="T141" t="str">
        <f>IFERROR(__xludf.DUMMYFUNCTION("IFERROR(FILTER('Fund Investment Data'!$D:$D, 'Fund Investment Data'!$C:$C = $A141, 'Fund Investment Data'!$A:$A = T$1, 'Fund Investment Data'!$B:$B = 12),"""")"),"")</f>
        <v/>
      </c>
      <c r="U141" t="str">
        <f>IFERROR(__xludf.DUMMYFUNCTION("IFERROR(FILTER('Fund Investment Data'!$D:$D, 'Fund Investment Data'!$C:$C = $A141, 'Fund Investment Data'!$A:$A = U$1, 'Fund Investment Data'!$B:$B = 12),"""")"),"")</f>
        <v/>
      </c>
      <c r="V141" t="str">
        <f>IFERROR(__xludf.DUMMYFUNCTION("IFERROR(FILTER('Fund Investment Data'!$D:$D, 'Fund Investment Data'!$C:$C = $A141, 'Fund Investment Data'!$A:$A = V$1, 'Fund Investment Data'!$B:$B = 12),"""")"),"")</f>
        <v/>
      </c>
      <c r="W141" t="str">
        <f>IFERROR(__xludf.DUMMYFUNCTION("IFERROR(FILTER('Fund Investment Data'!$D:$D, 'Fund Investment Data'!$C:$C = $A141, 'Fund Investment Data'!$A:$A = W$1, 'Fund Investment Data'!$B:$B = 12),"""")"),"")</f>
        <v/>
      </c>
      <c r="X141" t="str">
        <f>IFERROR(__xludf.DUMMYFUNCTION("IFERROR(FILTER('Fund Investment Data'!$D:$D, 'Fund Investment Data'!$C:$C = $A141, 'Fund Investment Data'!$A:$A = X$1, 'Fund Investment Data'!$B:$B = 12),"""")"),"")</f>
        <v/>
      </c>
      <c r="Y141" t="str">
        <f>IFERROR(__xludf.DUMMYFUNCTION("IFERROR(FILTER('Fund Investment Data'!$D:$D, 'Fund Investment Data'!$C:$C = $A141, 'Fund Investment Data'!$A:$A = Y$1, 'Fund Investment Data'!$B:$B = 12),"""")"),"")</f>
        <v/>
      </c>
      <c r="Z141" t="str">
        <f>IFERROR(__xludf.DUMMYFUNCTION("IFERROR(FILTER('Fund Investment Data'!$D:$D, 'Fund Investment Data'!$C:$C = $A141, 'Fund Investment Data'!$A:$A = Z$1, 'Fund Investment Data'!$B:$B = 12),"""")"),"")</f>
        <v/>
      </c>
      <c r="AA141" t="str">
        <f>IFERROR(__xludf.DUMMYFUNCTION("IFERROR(FILTER('Fund Investment Data'!$D:$D, 'Fund Investment Data'!$C:$C = $A141, 'Fund Investment Data'!$A:$A = AA$1, 'Fund Investment Data'!$B:$B = 12),"""")"),"")</f>
        <v/>
      </c>
      <c r="AB141" t="str">
        <f>IFERROR(__xludf.DUMMYFUNCTION("IFERROR(FILTER('Fund Investment Data'!$D:$D, 'Fund Investment Data'!$C:$C = $A141, 'Fund Investment Data'!$A:$A = AB$1, 'Fund Investment Data'!$B:$B = 12),"""")"),"")</f>
        <v/>
      </c>
      <c r="AC141" t="str">
        <f>IFERROR(__xludf.DUMMYFUNCTION("IFERROR(FILTER('Fund Investment Data'!$D:$D, 'Fund Investment Data'!$C:$C = $A141, 'Fund Investment Data'!$A:$A = AC$1, 'Fund Investment Data'!$B:$B = 12),"""")"),"")</f>
        <v/>
      </c>
      <c r="AD141" t="str">
        <f>IFERROR(__xludf.DUMMYFUNCTION("IFERROR(FILTER('Fund Investment Data'!$D:$D, 'Fund Investment Data'!$C:$C = $A141, 'Fund Investment Data'!$A:$A = AD$1, 'Fund Investment Data'!$B:$B = 12),"""")"),"")</f>
        <v/>
      </c>
      <c r="AE141" t="str">
        <f>IFERROR(__xludf.DUMMYFUNCTION("IFERROR(FILTER('Fund Investment Data'!$D:$D, 'Fund Investment Data'!$C:$C = $A141, 'Fund Investment Data'!$A:$A = AE$1, 'Fund Investment Data'!$B:$B = 12),"""")"),"")</f>
        <v/>
      </c>
    </row>
    <row r="142">
      <c r="A142" s="150" t="str">
        <f>'Endowed Funds'!A:A</f>
        <v/>
      </c>
      <c r="B142" t="str">
        <f>IFERROR(__xludf.DUMMYFUNCTION("IFERROR(FILTER('Fund Investment Data'!$D:$D, 'Fund Investment Data'!$C:$C = $A142, 'Fund Investment Data'!$A:$A = B$1, 'Fund Investment Data'!$B:$B = 12),"""")"),"")</f>
        <v/>
      </c>
      <c r="C142" t="str">
        <f>IFERROR(__xludf.DUMMYFUNCTION("IFERROR(FILTER('Fund Investment Data'!$D:$D, 'Fund Investment Data'!$C:$C = $A142, 'Fund Investment Data'!$A:$A = C$1, 'Fund Investment Data'!$B:$B = 12),"""")"),"")</f>
        <v/>
      </c>
      <c r="D142" t="str">
        <f>IFERROR(__xludf.DUMMYFUNCTION("IFERROR(FILTER('Fund Investment Data'!$D:$D, 'Fund Investment Data'!$C:$C = $A142, 'Fund Investment Data'!$A:$A = D$1, 'Fund Investment Data'!$B:$B = 12),"""")"),"")</f>
        <v/>
      </c>
      <c r="E142" t="str">
        <f>IFERROR(__xludf.DUMMYFUNCTION("IFERROR(FILTER('Fund Investment Data'!$D:$D, 'Fund Investment Data'!$C:$C = $A142, 'Fund Investment Data'!$A:$A = E$1, 'Fund Investment Data'!$B:$B = 12),"""")"),"")</f>
        <v/>
      </c>
      <c r="F142" t="str">
        <f>IFERROR(__xludf.DUMMYFUNCTION("IFERROR(FILTER('Fund Investment Data'!$D:$D, 'Fund Investment Data'!$C:$C = $A142, 'Fund Investment Data'!$A:$A = F$1, 'Fund Investment Data'!$B:$B = 12),"""")"),"")</f>
        <v/>
      </c>
      <c r="G142" t="str">
        <f>IFERROR(__xludf.DUMMYFUNCTION("IFERROR(FILTER('Fund Investment Data'!$D:$D, 'Fund Investment Data'!$C:$C = $A142, 'Fund Investment Data'!$A:$A = G$1, 'Fund Investment Data'!$B:$B = 12),"""")"),"")</f>
        <v/>
      </c>
      <c r="H142" t="str">
        <f>IFERROR(__xludf.DUMMYFUNCTION("IFERROR(FILTER('Fund Investment Data'!$D:$D, 'Fund Investment Data'!$C:$C = $A142, 'Fund Investment Data'!$A:$A = H$1, 'Fund Investment Data'!$B:$B = 12),"""")"),"")</f>
        <v/>
      </c>
      <c r="I142" t="str">
        <f>IFERROR(__xludf.DUMMYFUNCTION("IFERROR(FILTER('Fund Investment Data'!$D:$D, 'Fund Investment Data'!$C:$C = $A142, 'Fund Investment Data'!$A:$A = I$1, 'Fund Investment Data'!$B:$B = 12),"""")"),"")</f>
        <v/>
      </c>
      <c r="J142" t="str">
        <f>IFERROR(__xludf.DUMMYFUNCTION("IFERROR(FILTER('Fund Investment Data'!$D:$D, 'Fund Investment Data'!$C:$C = $A142, 'Fund Investment Data'!$A:$A = J$1, 'Fund Investment Data'!$B:$B = 12),"""")"),"")</f>
        <v/>
      </c>
      <c r="K142" t="str">
        <f>IFERROR(__xludf.DUMMYFUNCTION("IFERROR(FILTER('Fund Investment Data'!$D:$D, 'Fund Investment Data'!$C:$C = $A142, 'Fund Investment Data'!$A:$A = K$1, 'Fund Investment Data'!$B:$B = 12),"""")"),"")</f>
        <v/>
      </c>
      <c r="L142" t="str">
        <f>IFERROR(__xludf.DUMMYFUNCTION("IFERROR(FILTER('Fund Investment Data'!$D:$D, 'Fund Investment Data'!$C:$C = $A142, 'Fund Investment Data'!$A:$A = L$1, 'Fund Investment Data'!$B:$B = 12),"""")"),"")</f>
        <v/>
      </c>
      <c r="M142" t="str">
        <f>IFERROR(__xludf.DUMMYFUNCTION("IFERROR(FILTER('Fund Investment Data'!$D:$D, 'Fund Investment Data'!$C:$C = $A142, 'Fund Investment Data'!$A:$A = M$1, 'Fund Investment Data'!$B:$B = 12),"""")"),"")</f>
        <v/>
      </c>
      <c r="N142" t="str">
        <f>IFERROR(__xludf.DUMMYFUNCTION("IFERROR(FILTER('Fund Investment Data'!$D:$D, 'Fund Investment Data'!$C:$C = $A142, 'Fund Investment Data'!$A:$A = N$1, 'Fund Investment Data'!$B:$B = 12),"""")"),"")</f>
        <v/>
      </c>
      <c r="O142" t="str">
        <f>IFERROR(__xludf.DUMMYFUNCTION("IFERROR(FILTER('Fund Investment Data'!$D:$D, 'Fund Investment Data'!$C:$C = $A142, 'Fund Investment Data'!$A:$A = O$1, 'Fund Investment Data'!$B:$B = 12),"""")"),"")</f>
        <v/>
      </c>
      <c r="P142" t="str">
        <f>IFERROR(__xludf.DUMMYFUNCTION("IFERROR(FILTER('Fund Investment Data'!$D:$D, 'Fund Investment Data'!$C:$C = $A142, 'Fund Investment Data'!$A:$A = P$1, 'Fund Investment Data'!$B:$B = 12),"""")"),"")</f>
        <v/>
      </c>
      <c r="Q142" t="str">
        <f>IFERROR(__xludf.DUMMYFUNCTION("IFERROR(FILTER('Fund Investment Data'!$D:$D, 'Fund Investment Data'!$C:$C = $A142, 'Fund Investment Data'!$A:$A = Q$1, 'Fund Investment Data'!$B:$B = 12),"""")"),"")</f>
        <v/>
      </c>
      <c r="R142" t="str">
        <f>IFERROR(__xludf.DUMMYFUNCTION("IFERROR(FILTER('Fund Investment Data'!$D:$D, 'Fund Investment Data'!$C:$C = $A142, 'Fund Investment Data'!$A:$A = R$1, 'Fund Investment Data'!$B:$B = 12),"""")"),"")</f>
        <v/>
      </c>
      <c r="S142" t="str">
        <f>IFERROR(__xludf.DUMMYFUNCTION("IFERROR(FILTER('Fund Investment Data'!$D:$D, 'Fund Investment Data'!$C:$C = $A142, 'Fund Investment Data'!$A:$A = S$1, 'Fund Investment Data'!$B:$B = 12),"""")"),"")</f>
        <v/>
      </c>
      <c r="T142" t="str">
        <f>IFERROR(__xludf.DUMMYFUNCTION("IFERROR(FILTER('Fund Investment Data'!$D:$D, 'Fund Investment Data'!$C:$C = $A142, 'Fund Investment Data'!$A:$A = T$1, 'Fund Investment Data'!$B:$B = 12),"""")"),"")</f>
        <v/>
      </c>
      <c r="U142" t="str">
        <f>IFERROR(__xludf.DUMMYFUNCTION("IFERROR(FILTER('Fund Investment Data'!$D:$D, 'Fund Investment Data'!$C:$C = $A142, 'Fund Investment Data'!$A:$A = U$1, 'Fund Investment Data'!$B:$B = 12),"""")"),"")</f>
        <v/>
      </c>
      <c r="V142" t="str">
        <f>IFERROR(__xludf.DUMMYFUNCTION("IFERROR(FILTER('Fund Investment Data'!$D:$D, 'Fund Investment Data'!$C:$C = $A142, 'Fund Investment Data'!$A:$A = V$1, 'Fund Investment Data'!$B:$B = 12),"""")"),"")</f>
        <v/>
      </c>
      <c r="W142" t="str">
        <f>IFERROR(__xludf.DUMMYFUNCTION("IFERROR(FILTER('Fund Investment Data'!$D:$D, 'Fund Investment Data'!$C:$C = $A142, 'Fund Investment Data'!$A:$A = W$1, 'Fund Investment Data'!$B:$B = 12),"""")"),"")</f>
        <v/>
      </c>
      <c r="X142" t="str">
        <f>IFERROR(__xludf.DUMMYFUNCTION("IFERROR(FILTER('Fund Investment Data'!$D:$D, 'Fund Investment Data'!$C:$C = $A142, 'Fund Investment Data'!$A:$A = X$1, 'Fund Investment Data'!$B:$B = 12),"""")"),"")</f>
        <v/>
      </c>
      <c r="Y142" t="str">
        <f>IFERROR(__xludf.DUMMYFUNCTION("IFERROR(FILTER('Fund Investment Data'!$D:$D, 'Fund Investment Data'!$C:$C = $A142, 'Fund Investment Data'!$A:$A = Y$1, 'Fund Investment Data'!$B:$B = 12),"""")"),"")</f>
        <v/>
      </c>
      <c r="Z142" t="str">
        <f>IFERROR(__xludf.DUMMYFUNCTION("IFERROR(FILTER('Fund Investment Data'!$D:$D, 'Fund Investment Data'!$C:$C = $A142, 'Fund Investment Data'!$A:$A = Z$1, 'Fund Investment Data'!$B:$B = 12),"""")"),"")</f>
        <v/>
      </c>
      <c r="AA142" t="str">
        <f>IFERROR(__xludf.DUMMYFUNCTION("IFERROR(FILTER('Fund Investment Data'!$D:$D, 'Fund Investment Data'!$C:$C = $A142, 'Fund Investment Data'!$A:$A = AA$1, 'Fund Investment Data'!$B:$B = 12),"""")"),"")</f>
        <v/>
      </c>
      <c r="AB142" t="str">
        <f>IFERROR(__xludf.DUMMYFUNCTION("IFERROR(FILTER('Fund Investment Data'!$D:$D, 'Fund Investment Data'!$C:$C = $A142, 'Fund Investment Data'!$A:$A = AB$1, 'Fund Investment Data'!$B:$B = 12),"""")"),"")</f>
        <v/>
      </c>
      <c r="AC142" t="str">
        <f>IFERROR(__xludf.DUMMYFUNCTION("IFERROR(FILTER('Fund Investment Data'!$D:$D, 'Fund Investment Data'!$C:$C = $A142, 'Fund Investment Data'!$A:$A = AC$1, 'Fund Investment Data'!$B:$B = 12),"""")"),"")</f>
        <v/>
      </c>
      <c r="AD142" t="str">
        <f>IFERROR(__xludf.DUMMYFUNCTION("IFERROR(FILTER('Fund Investment Data'!$D:$D, 'Fund Investment Data'!$C:$C = $A142, 'Fund Investment Data'!$A:$A = AD$1, 'Fund Investment Data'!$B:$B = 12),"""")"),"")</f>
        <v/>
      </c>
      <c r="AE142" t="str">
        <f>IFERROR(__xludf.DUMMYFUNCTION("IFERROR(FILTER('Fund Investment Data'!$D:$D, 'Fund Investment Data'!$C:$C = $A142, 'Fund Investment Data'!$A:$A = AE$1, 'Fund Investment Data'!$B:$B = 12),"""")"),"")</f>
        <v/>
      </c>
    </row>
    <row r="143">
      <c r="A143" s="150" t="str">
        <f>'Endowed Funds'!A:A</f>
        <v/>
      </c>
      <c r="B143" t="str">
        <f>IFERROR(__xludf.DUMMYFUNCTION("IFERROR(FILTER('Fund Investment Data'!$D:$D, 'Fund Investment Data'!$C:$C = $A143, 'Fund Investment Data'!$A:$A = B$1, 'Fund Investment Data'!$B:$B = 12),"""")"),"")</f>
        <v/>
      </c>
      <c r="C143" t="str">
        <f>IFERROR(__xludf.DUMMYFUNCTION("IFERROR(FILTER('Fund Investment Data'!$D:$D, 'Fund Investment Data'!$C:$C = $A143, 'Fund Investment Data'!$A:$A = C$1, 'Fund Investment Data'!$B:$B = 12),"""")"),"")</f>
        <v/>
      </c>
      <c r="D143" t="str">
        <f>IFERROR(__xludf.DUMMYFUNCTION("IFERROR(FILTER('Fund Investment Data'!$D:$D, 'Fund Investment Data'!$C:$C = $A143, 'Fund Investment Data'!$A:$A = D$1, 'Fund Investment Data'!$B:$B = 12),"""")"),"")</f>
        <v/>
      </c>
      <c r="E143" t="str">
        <f>IFERROR(__xludf.DUMMYFUNCTION("IFERROR(FILTER('Fund Investment Data'!$D:$D, 'Fund Investment Data'!$C:$C = $A143, 'Fund Investment Data'!$A:$A = E$1, 'Fund Investment Data'!$B:$B = 12),"""")"),"")</f>
        <v/>
      </c>
      <c r="F143" t="str">
        <f>IFERROR(__xludf.DUMMYFUNCTION("IFERROR(FILTER('Fund Investment Data'!$D:$D, 'Fund Investment Data'!$C:$C = $A143, 'Fund Investment Data'!$A:$A = F$1, 'Fund Investment Data'!$B:$B = 12),"""")"),"")</f>
        <v/>
      </c>
      <c r="G143" t="str">
        <f>IFERROR(__xludf.DUMMYFUNCTION("IFERROR(FILTER('Fund Investment Data'!$D:$D, 'Fund Investment Data'!$C:$C = $A143, 'Fund Investment Data'!$A:$A = G$1, 'Fund Investment Data'!$B:$B = 12),"""")"),"")</f>
        <v/>
      </c>
      <c r="H143" t="str">
        <f>IFERROR(__xludf.DUMMYFUNCTION("IFERROR(FILTER('Fund Investment Data'!$D:$D, 'Fund Investment Data'!$C:$C = $A143, 'Fund Investment Data'!$A:$A = H$1, 'Fund Investment Data'!$B:$B = 12),"""")"),"")</f>
        <v/>
      </c>
      <c r="I143" t="str">
        <f>IFERROR(__xludf.DUMMYFUNCTION("IFERROR(FILTER('Fund Investment Data'!$D:$D, 'Fund Investment Data'!$C:$C = $A143, 'Fund Investment Data'!$A:$A = I$1, 'Fund Investment Data'!$B:$B = 12),"""")"),"")</f>
        <v/>
      </c>
      <c r="J143" t="str">
        <f>IFERROR(__xludf.DUMMYFUNCTION("IFERROR(FILTER('Fund Investment Data'!$D:$D, 'Fund Investment Data'!$C:$C = $A143, 'Fund Investment Data'!$A:$A = J$1, 'Fund Investment Data'!$B:$B = 12),"""")"),"")</f>
        <v/>
      </c>
      <c r="K143" t="str">
        <f>IFERROR(__xludf.DUMMYFUNCTION("IFERROR(FILTER('Fund Investment Data'!$D:$D, 'Fund Investment Data'!$C:$C = $A143, 'Fund Investment Data'!$A:$A = K$1, 'Fund Investment Data'!$B:$B = 12),"""")"),"")</f>
        <v/>
      </c>
      <c r="L143" t="str">
        <f>IFERROR(__xludf.DUMMYFUNCTION("IFERROR(FILTER('Fund Investment Data'!$D:$D, 'Fund Investment Data'!$C:$C = $A143, 'Fund Investment Data'!$A:$A = L$1, 'Fund Investment Data'!$B:$B = 12),"""")"),"")</f>
        <v/>
      </c>
      <c r="M143" t="str">
        <f>IFERROR(__xludf.DUMMYFUNCTION("IFERROR(FILTER('Fund Investment Data'!$D:$D, 'Fund Investment Data'!$C:$C = $A143, 'Fund Investment Data'!$A:$A = M$1, 'Fund Investment Data'!$B:$B = 12),"""")"),"")</f>
        <v/>
      </c>
      <c r="N143" t="str">
        <f>IFERROR(__xludf.DUMMYFUNCTION("IFERROR(FILTER('Fund Investment Data'!$D:$D, 'Fund Investment Data'!$C:$C = $A143, 'Fund Investment Data'!$A:$A = N$1, 'Fund Investment Data'!$B:$B = 12),"""")"),"")</f>
        <v/>
      </c>
      <c r="O143" t="str">
        <f>IFERROR(__xludf.DUMMYFUNCTION("IFERROR(FILTER('Fund Investment Data'!$D:$D, 'Fund Investment Data'!$C:$C = $A143, 'Fund Investment Data'!$A:$A = O$1, 'Fund Investment Data'!$B:$B = 12),"""")"),"")</f>
        <v/>
      </c>
      <c r="P143" t="str">
        <f>IFERROR(__xludf.DUMMYFUNCTION("IFERROR(FILTER('Fund Investment Data'!$D:$D, 'Fund Investment Data'!$C:$C = $A143, 'Fund Investment Data'!$A:$A = P$1, 'Fund Investment Data'!$B:$B = 12),"""")"),"")</f>
        <v/>
      </c>
      <c r="Q143" t="str">
        <f>IFERROR(__xludf.DUMMYFUNCTION("IFERROR(FILTER('Fund Investment Data'!$D:$D, 'Fund Investment Data'!$C:$C = $A143, 'Fund Investment Data'!$A:$A = Q$1, 'Fund Investment Data'!$B:$B = 12),"""")"),"")</f>
        <v/>
      </c>
      <c r="R143" t="str">
        <f>IFERROR(__xludf.DUMMYFUNCTION("IFERROR(FILTER('Fund Investment Data'!$D:$D, 'Fund Investment Data'!$C:$C = $A143, 'Fund Investment Data'!$A:$A = R$1, 'Fund Investment Data'!$B:$B = 12),"""")"),"")</f>
        <v/>
      </c>
      <c r="S143" t="str">
        <f>IFERROR(__xludf.DUMMYFUNCTION("IFERROR(FILTER('Fund Investment Data'!$D:$D, 'Fund Investment Data'!$C:$C = $A143, 'Fund Investment Data'!$A:$A = S$1, 'Fund Investment Data'!$B:$B = 12),"""")"),"")</f>
        <v/>
      </c>
      <c r="T143" t="str">
        <f>IFERROR(__xludf.DUMMYFUNCTION("IFERROR(FILTER('Fund Investment Data'!$D:$D, 'Fund Investment Data'!$C:$C = $A143, 'Fund Investment Data'!$A:$A = T$1, 'Fund Investment Data'!$B:$B = 12),"""")"),"")</f>
        <v/>
      </c>
      <c r="U143" t="str">
        <f>IFERROR(__xludf.DUMMYFUNCTION("IFERROR(FILTER('Fund Investment Data'!$D:$D, 'Fund Investment Data'!$C:$C = $A143, 'Fund Investment Data'!$A:$A = U$1, 'Fund Investment Data'!$B:$B = 12),"""")"),"")</f>
        <v/>
      </c>
      <c r="V143" t="str">
        <f>IFERROR(__xludf.DUMMYFUNCTION("IFERROR(FILTER('Fund Investment Data'!$D:$D, 'Fund Investment Data'!$C:$C = $A143, 'Fund Investment Data'!$A:$A = V$1, 'Fund Investment Data'!$B:$B = 12),"""")"),"")</f>
        <v/>
      </c>
      <c r="W143" t="str">
        <f>IFERROR(__xludf.DUMMYFUNCTION("IFERROR(FILTER('Fund Investment Data'!$D:$D, 'Fund Investment Data'!$C:$C = $A143, 'Fund Investment Data'!$A:$A = W$1, 'Fund Investment Data'!$B:$B = 12),"""")"),"")</f>
        <v/>
      </c>
      <c r="X143" t="str">
        <f>IFERROR(__xludf.DUMMYFUNCTION("IFERROR(FILTER('Fund Investment Data'!$D:$D, 'Fund Investment Data'!$C:$C = $A143, 'Fund Investment Data'!$A:$A = X$1, 'Fund Investment Data'!$B:$B = 12),"""")"),"")</f>
        <v/>
      </c>
      <c r="Y143" t="str">
        <f>IFERROR(__xludf.DUMMYFUNCTION("IFERROR(FILTER('Fund Investment Data'!$D:$D, 'Fund Investment Data'!$C:$C = $A143, 'Fund Investment Data'!$A:$A = Y$1, 'Fund Investment Data'!$B:$B = 12),"""")"),"")</f>
        <v/>
      </c>
      <c r="Z143" t="str">
        <f>IFERROR(__xludf.DUMMYFUNCTION("IFERROR(FILTER('Fund Investment Data'!$D:$D, 'Fund Investment Data'!$C:$C = $A143, 'Fund Investment Data'!$A:$A = Z$1, 'Fund Investment Data'!$B:$B = 12),"""")"),"")</f>
        <v/>
      </c>
      <c r="AA143" t="str">
        <f>IFERROR(__xludf.DUMMYFUNCTION("IFERROR(FILTER('Fund Investment Data'!$D:$D, 'Fund Investment Data'!$C:$C = $A143, 'Fund Investment Data'!$A:$A = AA$1, 'Fund Investment Data'!$B:$B = 12),"""")"),"")</f>
        <v/>
      </c>
      <c r="AB143" t="str">
        <f>IFERROR(__xludf.DUMMYFUNCTION("IFERROR(FILTER('Fund Investment Data'!$D:$D, 'Fund Investment Data'!$C:$C = $A143, 'Fund Investment Data'!$A:$A = AB$1, 'Fund Investment Data'!$B:$B = 12),"""")"),"")</f>
        <v/>
      </c>
      <c r="AC143" t="str">
        <f>IFERROR(__xludf.DUMMYFUNCTION("IFERROR(FILTER('Fund Investment Data'!$D:$D, 'Fund Investment Data'!$C:$C = $A143, 'Fund Investment Data'!$A:$A = AC$1, 'Fund Investment Data'!$B:$B = 12),"""")"),"")</f>
        <v/>
      </c>
      <c r="AD143" t="str">
        <f>IFERROR(__xludf.DUMMYFUNCTION("IFERROR(FILTER('Fund Investment Data'!$D:$D, 'Fund Investment Data'!$C:$C = $A143, 'Fund Investment Data'!$A:$A = AD$1, 'Fund Investment Data'!$B:$B = 12),"""")"),"")</f>
        <v/>
      </c>
      <c r="AE143" t="str">
        <f>IFERROR(__xludf.DUMMYFUNCTION("IFERROR(FILTER('Fund Investment Data'!$D:$D, 'Fund Investment Data'!$C:$C = $A143, 'Fund Investment Data'!$A:$A = AE$1, 'Fund Investment Data'!$B:$B = 12),"""")"),"")</f>
        <v/>
      </c>
    </row>
    <row r="144">
      <c r="A144" s="150" t="str">
        <f>'Endowed Funds'!A:A</f>
        <v/>
      </c>
      <c r="B144" t="str">
        <f>IFERROR(__xludf.DUMMYFUNCTION("IFERROR(FILTER('Fund Investment Data'!$D:$D, 'Fund Investment Data'!$C:$C = $A144, 'Fund Investment Data'!$A:$A = B$1, 'Fund Investment Data'!$B:$B = 12),"""")"),"")</f>
        <v/>
      </c>
      <c r="C144" t="str">
        <f>IFERROR(__xludf.DUMMYFUNCTION("IFERROR(FILTER('Fund Investment Data'!$D:$D, 'Fund Investment Data'!$C:$C = $A144, 'Fund Investment Data'!$A:$A = C$1, 'Fund Investment Data'!$B:$B = 12),"""")"),"")</f>
        <v/>
      </c>
      <c r="D144" t="str">
        <f>IFERROR(__xludf.DUMMYFUNCTION("IFERROR(FILTER('Fund Investment Data'!$D:$D, 'Fund Investment Data'!$C:$C = $A144, 'Fund Investment Data'!$A:$A = D$1, 'Fund Investment Data'!$B:$B = 12),"""")"),"")</f>
        <v/>
      </c>
      <c r="E144" t="str">
        <f>IFERROR(__xludf.DUMMYFUNCTION("IFERROR(FILTER('Fund Investment Data'!$D:$D, 'Fund Investment Data'!$C:$C = $A144, 'Fund Investment Data'!$A:$A = E$1, 'Fund Investment Data'!$B:$B = 12),"""")"),"")</f>
        <v/>
      </c>
      <c r="F144" t="str">
        <f>IFERROR(__xludf.DUMMYFUNCTION("IFERROR(FILTER('Fund Investment Data'!$D:$D, 'Fund Investment Data'!$C:$C = $A144, 'Fund Investment Data'!$A:$A = F$1, 'Fund Investment Data'!$B:$B = 12),"""")"),"")</f>
        <v/>
      </c>
      <c r="G144" t="str">
        <f>IFERROR(__xludf.DUMMYFUNCTION("IFERROR(FILTER('Fund Investment Data'!$D:$D, 'Fund Investment Data'!$C:$C = $A144, 'Fund Investment Data'!$A:$A = G$1, 'Fund Investment Data'!$B:$B = 12),"""")"),"")</f>
        <v/>
      </c>
      <c r="H144" t="str">
        <f>IFERROR(__xludf.DUMMYFUNCTION("IFERROR(FILTER('Fund Investment Data'!$D:$D, 'Fund Investment Data'!$C:$C = $A144, 'Fund Investment Data'!$A:$A = H$1, 'Fund Investment Data'!$B:$B = 12),"""")"),"")</f>
        <v/>
      </c>
      <c r="I144" t="str">
        <f>IFERROR(__xludf.DUMMYFUNCTION("IFERROR(FILTER('Fund Investment Data'!$D:$D, 'Fund Investment Data'!$C:$C = $A144, 'Fund Investment Data'!$A:$A = I$1, 'Fund Investment Data'!$B:$B = 12),"""")"),"")</f>
        <v/>
      </c>
      <c r="J144" t="str">
        <f>IFERROR(__xludf.DUMMYFUNCTION("IFERROR(FILTER('Fund Investment Data'!$D:$D, 'Fund Investment Data'!$C:$C = $A144, 'Fund Investment Data'!$A:$A = J$1, 'Fund Investment Data'!$B:$B = 12),"""")"),"")</f>
        <v/>
      </c>
      <c r="K144" t="str">
        <f>IFERROR(__xludf.DUMMYFUNCTION("IFERROR(FILTER('Fund Investment Data'!$D:$D, 'Fund Investment Data'!$C:$C = $A144, 'Fund Investment Data'!$A:$A = K$1, 'Fund Investment Data'!$B:$B = 12),"""")"),"")</f>
        <v/>
      </c>
      <c r="L144" t="str">
        <f>IFERROR(__xludf.DUMMYFUNCTION("IFERROR(FILTER('Fund Investment Data'!$D:$D, 'Fund Investment Data'!$C:$C = $A144, 'Fund Investment Data'!$A:$A = L$1, 'Fund Investment Data'!$B:$B = 12),"""")"),"")</f>
        <v/>
      </c>
      <c r="M144" t="str">
        <f>IFERROR(__xludf.DUMMYFUNCTION("IFERROR(FILTER('Fund Investment Data'!$D:$D, 'Fund Investment Data'!$C:$C = $A144, 'Fund Investment Data'!$A:$A = M$1, 'Fund Investment Data'!$B:$B = 12),"""")"),"")</f>
        <v/>
      </c>
      <c r="N144" t="str">
        <f>IFERROR(__xludf.DUMMYFUNCTION("IFERROR(FILTER('Fund Investment Data'!$D:$D, 'Fund Investment Data'!$C:$C = $A144, 'Fund Investment Data'!$A:$A = N$1, 'Fund Investment Data'!$B:$B = 12),"""")"),"")</f>
        <v/>
      </c>
      <c r="O144" t="str">
        <f>IFERROR(__xludf.DUMMYFUNCTION("IFERROR(FILTER('Fund Investment Data'!$D:$D, 'Fund Investment Data'!$C:$C = $A144, 'Fund Investment Data'!$A:$A = O$1, 'Fund Investment Data'!$B:$B = 12),"""")"),"")</f>
        <v/>
      </c>
      <c r="P144" t="str">
        <f>IFERROR(__xludf.DUMMYFUNCTION("IFERROR(FILTER('Fund Investment Data'!$D:$D, 'Fund Investment Data'!$C:$C = $A144, 'Fund Investment Data'!$A:$A = P$1, 'Fund Investment Data'!$B:$B = 12),"""")"),"")</f>
        <v/>
      </c>
      <c r="Q144" t="str">
        <f>IFERROR(__xludf.DUMMYFUNCTION("IFERROR(FILTER('Fund Investment Data'!$D:$D, 'Fund Investment Data'!$C:$C = $A144, 'Fund Investment Data'!$A:$A = Q$1, 'Fund Investment Data'!$B:$B = 12),"""")"),"")</f>
        <v/>
      </c>
      <c r="R144" t="str">
        <f>IFERROR(__xludf.DUMMYFUNCTION("IFERROR(FILTER('Fund Investment Data'!$D:$D, 'Fund Investment Data'!$C:$C = $A144, 'Fund Investment Data'!$A:$A = R$1, 'Fund Investment Data'!$B:$B = 12),"""")"),"")</f>
        <v/>
      </c>
      <c r="S144" t="str">
        <f>IFERROR(__xludf.DUMMYFUNCTION("IFERROR(FILTER('Fund Investment Data'!$D:$D, 'Fund Investment Data'!$C:$C = $A144, 'Fund Investment Data'!$A:$A = S$1, 'Fund Investment Data'!$B:$B = 12),"""")"),"")</f>
        <v/>
      </c>
      <c r="T144" t="str">
        <f>IFERROR(__xludf.DUMMYFUNCTION("IFERROR(FILTER('Fund Investment Data'!$D:$D, 'Fund Investment Data'!$C:$C = $A144, 'Fund Investment Data'!$A:$A = T$1, 'Fund Investment Data'!$B:$B = 12),"""")"),"")</f>
        <v/>
      </c>
      <c r="U144" t="str">
        <f>IFERROR(__xludf.DUMMYFUNCTION("IFERROR(FILTER('Fund Investment Data'!$D:$D, 'Fund Investment Data'!$C:$C = $A144, 'Fund Investment Data'!$A:$A = U$1, 'Fund Investment Data'!$B:$B = 12),"""")"),"")</f>
        <v/>
      </c>
      <c r="V144" t="str">
        <f>IFERROR(__xludf.DUMMYFUNCTION("IFERROR(FILTER('Fund Investment Data'!$D:$D, 'Fund Investment Data'!$C:$C = $A144, 'Fund Investment Data'!$A:$A = V$1, 'Fund Investment Data'!$B:$B = 12),"""")"),"")</f>
        <v/>
      </c>
      <c r="W144" t="str">
        <f>IFERROR(__xludf.DUMMYFUNCTION("IFERROR(FILTER('Fund Investment Data'!$D:$D, 'Fund Investment Data'!$C:$C = $A144, 'Fund Investment Data'!$A:$A = W$1, 'Fund Investment Data'!$B:$B = 12),"""")"),"")</f>
        <v/>
      </c>
      <c r="X144" t="str">
        <f>IFERROR(__xludf.DUMMYFUNCTION("IFERROR(FILTER('Fund Investment Data'!$D:$D, 'Fund Investment Data'!$C:$C = $A144, 'Fund Investment Data'!$A:$A = X$1, 'Fund Investment Data'!$B:$B = 12),"""")"),"")</f>
        <v/>
      </c>
      <c r="Y144" t="str">
        <f>IFERROR(__xludf.DUMMYFUNCTION("IFERROR(FILTER('Fund Investment Data'!$D:$D, 'Fund Investment Data'!$C:$C = $A144, 'Fund Investment Data'!$A:$A = Y$1, 'Fund Investment Data'!$B:$B = 12),"""")"),"")</f>
        <v/>
      </c>
      <c r="Z144" t="str">
        <f>IFERROR(__xludf.DUMMYFUNCTION("IFERROR(FILTER('Fund Investment Data'!$D:$D, 'Fund Investment Data'!$C:$C = $A144, 'Fund Investment Data'!$A:$A = Z$1, 'Fund Investment Data'!$B:$B = 12),"""")"),"")</f>
        <v/>
      </c>
      <c r="AA144" t="str">
        <f>IFERROR(__xludf.DUMMYFUNCTION("IFERROR(FILTER('Fund Investment Data'!$D:$D, 'Fund Investment Data'!$C:$C = $A144, 'Fund Investment Data'!$A:$A = AA$1, 'Fund Investment Data'!$B:$B = 12),"""")"),"")</f>
        <v/>
      </c>
      <c r="AB144" t="str">
        <f>IFERROR(__xludf.DUMMYFUNCTION("IFERROR(FILTER('Fund Investment Data'!$D:$D, 'Fund Investment Data'!$C:$C = $A144, 'Fund Investment Data'!$A:$A = AB$1, 'Fund Investment Data'!$B:$B = 12),"""")"),"")</f>
        <v/>
      </c>
      <c r="AC144" t="str">
        <f>IFERROR(__xludf.DUMMYFUNCTION("IFERROR(FILTER('Fund Investment Data'!$D:$D, 'Fund Investment Data'!$C:$C = $A144, 'Fund Investment Data'!$A:$A = AC$1, 'Fund Investment Data'!$B:$B = 12),"""")"),"")</f>
        <v/>
      </c>
      <c r="AD144" t="str">
        <f>IFERROR(__xludf.DUMMYFUNCTION("IFERROR(FILTER('Fund Investment Data'!$D:$D, 'Fund Investment Data'!$C:$C = $A144, 'Fund Investment Data'!$A:$A = AD$1, 'Fund Investment Data'!$B:$B = 12),"""")"),"")</f>
        <v/>
      </c>
      <c r="AE144" t="str">
        <f>IFERROR(__xludf.DUMMYFUNCTION("IFERROR(FILTER('Fund Investment Data'!$D:$D, 'Fund Investment Data'!$C:$C = $A144, 'Fund Investment Data'!$A:$A = AE$1, 'Fund Investment Data'!$B:$B = 12),"""")"),"")</f>
        <v/>
      </c>
    </row>
    <row r="145">
      <c r="A145" s="150" t="str">
        <f>'Endowed Funds'!A:A</f>
        <v/>
      </c>
      <c r="B145" t="str">
        <f>IFERROR(__xludf.DUMMYFUNCTION("IFERROR(FILTER('Fund Investment Data'!$D:$D, 'Fund Investment Data'!$C:$C = $A145, 'Fund Investment Data'!$A:$A = B$1, 'Fund Investment Data'!$B:$B = 12),"""")"),"")</f>
        <v/>
      </c>
      <c r="C145" t="str">
        <f>IFERROR(__xludf.DUMMYFUNCTION("IFERROR(FILTER('Fund Investment Data'!$D:$D, 'Fund Investment Data'!$C:$C = $A145, 'Fund Investment Data'!$A:$A = C$1, 'Fund Investment Data'!$B:$B = 12),"""")"),"")</f>
        <v/>
      </c>
      <c r="D145" t="str">
        <f>IFERROR(__xludf.DUMMYFUNCTION("IFERROR(FILTER('Fund Investment Data'!$D:$D, 'Fund Investment Data'!$C:$C = $A145, 'Fund Investment Data'!$A:$A = D$1, 'Fund Investment Data'!$B:$B = 12),"""")"),"")</f>
        <v/>
      </c>
      <c r="E145" t="str">
        <f>IFERROR(__xludf.DUMMYFUNCTION("IFERROR(FILTER('Fund Investment Data'!$D:$D, 'Fund Investment Data'!$C:$C = $A145, 'Fund Investment Data'!$A:$A = E$1, 'Fund Investment Data'!$B:$B = 12),"""")"),"")</f>
        <v/>
      </c>
      <c r="F145" t="str">
        <f>IFERROR(__xludf.DUMMYFUNCTION("IFERROR(FILTER('Fund Investment Data'!$D:$D, 'Fund Investment Data'!$C:$C = $A145, 'Fund Investment Data'!$A:$A = F$1, 'Fund Investment Data'!$B:$B = 12),"""")"),"")</f>
        <v/>
      </c>
      <c r="G145" t="str">
        <f>IFERROR(__xludf.DUMMYFUNCTION("IFERROR(FILTER('Fund Investment Data'!$D:$D, 'Fund Investment Data'!$C:$C = $A145, 'Fund Investment Data'!$A:$A = G$1, 'Fund Investment Data'!$B:$B = 12),"""")"),"")</f>
        <v/>
      </c>
      <c r="H145" t="str">
        <f>IFERROR(__xludf.DUMMYFUNCTION("IFERROR(FILTER('Fund Investment Data'!$D:$D, 'Fund Investment Data'!$C:$C = $A145, 'Fund Investment Data'!$A:$A = H$1, 'Fund Investment Data'!$B:$B = 12),"""")"),"")</f>
        <v/>
      </c>
      <c r="I145" t="str">
        <f>IFERROR(__xludf.DUMMYFUNCTION("IFERROR(FILTER('Fund Investment Data'!$D:$D, 'Fund Investment Data'!$C:$C = $A145, 'Fund Investment Data'!$A:$A = I$1, 'Fund Investment Data'!$B:$B = 12),"""")"),"")</f>
        <v/>
      </c>
      <c r="J145" t="str">
        <f>IFERROR(__xludf.DUMMYFUNCTION("IFERROR(FILTER('Fund Investment Data'!$D:$D, 'Fund Investment Data'!$C:$C = $A145, 'Fund Investment Data'!$A:$A = J$1, 'Fund Investment Data'!$B:$B = 12),"""")"),"")</f>
        <v/>
      </c>
      <c r="K145" t="str">
        <f>IFERROR(__xludf.DUMMYFUNCTION("IFERROR(FILTER('Fund Investment Data'!$D:$D, 'Fund Investment Data'!$C:$C = $A145, 'Fund Investment Data'!$A:$A = K$1, 'Fund Investment Data'!$B:$B = 12),"""")"),"")</f>
        <v/>
      </c>
      <c r="L145" t="str">
        <f>IFERROR(__xludf.DUMMYFUNCTION("IFERROR(FILTER('Fund Investment Data'!$D:$D, 'Fund Investment Data'!$C:$C = $A145, 'Fund Investment Data'!$A:$A = L$1, 'Fund Investment Data'!$B:$B = 12),"""")"),"")</f>
        <v/>
      </c>
      <c r="M145" t="str">
        <f>IFERROR(__xludf.DUMMYFUNCTION("IFERROR(FILTER('Fund Investment Data'!$D:$D, 'Fund Investment Data'!$C:$C = $A145, 'Fund Investment Data'!$A:$A = M$1, 'Fund Investment Data'!$B:$B = 12),"""")"),"")</f>
        <v/>
      </c>
      <c r="N145" t="str">
        <f>IFERROR(__xludf.DUMMYFUNCTION("IFERROR(FILTER('Fund Investment Data'!$D:$D, 'Fund Investment Data'!$C:$C = $A145, 'Fund Investment Data'!$A:$A = N$1, 'Fund Investment Data'!$B:$B = 12),"""")"),"")</f>
        <v/>
      </c>
      <c r="O145" t="str">
        <f>IFERROR(__xludf.DUMMYFUNCTION("IFERROR(FILTER('Fund Investment Data'!$D:$D, 'Fund Investment Data'!$C:$C = $A145, 'Fund Investment Data'!$A:$A = O$1, 'Fund Investment Data'!$B:$B = 12),"""")"),"")</f>
        <v/>
      </c>
      <c r="P145" t="str">
        <f>IFERROR(__xludf.DUMMYFUNCTION("IFERROR(FILTER('Fund Investment Data'!$D:$D, 'Fund Investment Data'!$C:$C = $A145, 'Fund Investment Data'!$A:$A = P$1, 'Fund Investment Data'!$B:$B = 12),"""")"),"")</f>
        <v/>
      </c>
      <c r="Q145" t="str">
        <f>IFERROR(__xludf.DUMMYFUNCTION("IFERROR(FILTER('Fund Investment Data'!$D:$D, 'Fund Investment Data'!$C:$C = $A145, 'Fund Investment Data'!$A:$A = Q$1, 'Fund Investment Data'!$B:$B = 12),"""")"),"")</f>
        <v/>
      </c>
      <c r="R145" t="str">
        <f>IFERROR(__xludf.DUMMYFUNCTION("IFERROR(FILTER('Fund Investment Data'!$D:$D, 'Fund Investment Data'!$C:$C = $A145, 'Fund Investment Data'!$A:$A = R$1, 'Fund Investment Data'!$B:$B = 12),"""")"),"")</f>
        <v/>
      </c>
      <c r="S145" t="str">
        <f>IFERROR(__xludf.DUMMYFUNCTION("IFERROR(FILTER('Fund Investment Data'!$D:$D, 'Fund Investment Data'!$C:$C = $A145, 'Fund Investment Data'!$A:$A = S$1, 'Fund Investment Data'!$B:$B = 12),"""")"),"")</f>
        <v/>
      </c>
      <c r="T145" t="str">
        <f>IFERROR(__xludf.DUMMYFUNCTION("IFERROR(FILTER('Fund Investment Data'!$D:$D, 'Fund Investment Data'!$C:$C = $A145, 'Fund Investment Data'!$A:$A = T$1, 'Fund Investment Data'!$B:$B = 12),"""")"),"")</f>
        <v/>
      </c>
      <c r="U145" t="str">
        <f>IFERROR(__xludf.DUMMYFUNCTION("IFERROR(FILTER('Fund Investment Data'!$D:$D, 'Fund Investment Data'!$C:$C = $A145, 'Fund Investment Data'!$A:$A = U$1, 'Fund Investment Data'!$B:$B = 12),"""")"),"")</f>
        <v/>
      </c>
      <c r="V145" t="str">
        <f>IFERROR(__xludf.DUMMYFUNCTION("IFERROR(FILTER('Fund Investment Data'!$D:$D, 'Fund Investment Data'!$C:$C = $A145, 'Fund Investment Data'!$A:$A = V$1, 'Fund Investment Data'!$B:$B = 12),"""")"),"")</f>
        <v/>
      </c>
      <c r="W145" t="str">
        <f>IFERROR(__xludf.DUMMYFUNCTION("IFERROR(FILTER('Fund Investment Data'!$D:$D, 'Fund Investment Data'!$C:$C = $A145, 'Fund Investment Data'!$A:$A = W$1, 'Fund Investment Data'!$B:$B = 12),"""")"),"")</f>
        <v/>
      </c>
      <c r="X145" t="str">
        <f>IFERROR(__xludf.DUMMYFUNCTION("IFERROR(FILTER('Fund Investment Data'!$D:$D, 'Fund Investment Data'!$C:$C = $A145, 'Fund Investment Data'!$A:$A = X$1, 'Fund Investment Data'!$B:$B = 12),"""")"),"")</f>
        <v/>
      </c>
      <c r="Y145" t="str">
        <f>IFERROR(__xludf.DUMMYFUNCTION("IFERROR(FILTER('Fund Investment Data'!$D:$D, 'Fund Investment Data'!$C:$C = $A145, 'Fund Investment Data'!$A:$A = Y$1, 'Fund Investment Data'!$B:$B = 12),"""")"),"")</f>
        <v/>
      </c>
      <c r="Z145" t="str">
        <f>IFERROR(__xludf.DUMMYFUNCTION("IFERROR(FILTER('Fund Investment Data'!$D:$D, 'Fund Investment Data'!$C:$C = $A145, 'Fund Investment Data'!$A:$A = Z$1, 'Fund Investment Data'!$B:$B = 12),"""")"),"")</f>
        <v/>
      </c>
      <c r="AA145" t="str">
        <f>IFERROR(__xludf.DUMMYFUNCTION("IFERROR(FILTER('Fund Investment Data'!$D:$D, 'Fund Investment Data'!$C:$C = $A145, 'Fund Investment Data'!$A:$A = AA$1, 'Fund Investment Data'!$B:$B = 12),"""")"),"")</f>
        <v/>
      </c>
      <c r="AB145" t="str">
        <f>IFERROR(__xludf.DUMMYFUNCTION("IFERROR(FILTER('Fund Investment Data'!$D:$D, 'Fund Investment Data'!$C:$C = $A145, 'Fund Investment Data'!$A:$A = AB$1, 'Fund Investment Data'!$B:$B = 12),"""")"),"")</f>
        <v/>
      </c>
      <c r="AC145" t="str">
        <f>IFERROR(__xludf.DUMMYFUNCTION("IFERROR(FILTER('Fund Investment Data'!$D:$D, 'Fund Investment Data'!$C:$C = $A145, 'Fund Investment Data'!$A:$A = AC$1, 'Fund Investment Data'!$B:$B = 12),"""")"),"")</f>
        <v/>
      </c>
      <c r="AD145" t="str">
        <f>IFERROR(__xludf.DUMMYFUNCTION("IFERROR(FILTER('Fund Investment Data'!$D:$D, 'Fund Investment Data'!$C:$C = $A145, 'Fund Investment Data'!$A:$A = AD$1, 'Fund Investment Data'!$B:$B = 12),"""")"),"")</f>
        <v/>
      </c>
      <c r="AE145" t="str">
        <f>IFERROR(__xludf.DUMMYFUNCTION("IFERROR(FILTER('Fund Investment Data'!$D:$D, 'Fund Investment Data'!$C:$C = $A145, 'Fund Investment Data'!$A:$A = AE$1, 'Fund Investment Data'!$B:$B = 12),"""")"),"")</f>
        <v/>
      </c>
    </row>
    <row r="146">
      <c r="A146" s="150" t="str">
        <f>'Endowed Funds'!A:A</f>
        <v/>
      </c>
      <c r="B146" t="str">
        <f>IFERROR(__xludf.DUMMYFUNCTION("IFERROR(FILTER('Fund Investment Data'!$D:$D, 'Fund Investment Data'!$C:$C = $A146, 'Fund Investment Data'!$A:$A = B$1, 'Fund Investment Data'!$B:$B = 12),"""")"),"")</f>
        <v/>
      </c>
      <c r="C146" t="str">
        <f>IFERROR(__xludf.DUMMYFUNCTION("IFERROR(FILTER('Fund Investment Data'!$D:$D, 'Fund Investment Data'!$C:$C = $A146, 'Fund Investment Data'!$A:$A = C$1, 'Fund Investment Data'!$B:$B = 12),"""")"),"")</f>
        <v/>
      </c>
      <c r="D146" t="str">
        <f>IFERROR(__xludf.DUMMYFUNCTION("IFERROR(FILTER('Fund Investment Data'!$D:$D, 'Fund Investment Data'!$C:$C = $A146, 'Fund Investment Data'!$A:$A = D$1, 'Fund Investment Data'!$B:$B = 12),"""")"),"")</f>
        <v/>
      </c>
      <c r="E146" t="str">
        <f>IFERROR(__xludf.DUMMYFUNCTION("IFERROR(FILTER('Fund Investment Data'!$D:$D, 'Fund Investment Data'!$C:$C = $A146, 'Fund Investment Data'!$A:$A = E$1, 'Fund Investment Data'!$B:$B = 12),"""")"),"")</f>
        <v/>
      </c>
      <c r="F146" t="str">
        <f>IFERROR(__xludf.DUMMYFUNCTION("IFERROR(FILTER('Fund Investment Data'!$D:$D, 'Fund Investment Data'!$C:$C = $A146, 'Fund Investment Data'!$A:$A = F$1, 'Fund Investment Data'!$B:$B = 12),"""")"),"")</f>
        <v/>
      </c>
      <c r="G146" t="str">
        <f>IFERROR(__xludf.DUMMYFUNCTION("IFERROR(FILTER('Fund Investment Data'!$D:$D, 'Fund Investment Data'!$C:$C = $A146, 'Fund Investment Data'!$A:$A = G$1, 'Fund Investment Data'!$B:$B = 12),"""")"),"")</f>
        <v/>
      </c>
      <c r="H146" t="str">
        <f>IFERROR(__xludf.DUMMYFUNCTION("IFERROR(FILTER('Fund Investment Data'!$D:$D, 'Fund Investment Data'!$C:$C = $A146, 'Fund Investment Data'!$A:$A = H$1, 'Fund Investment Data'!$B:$B = 12),"""")"),"")</f>
        <v/>
      </c>
      <c r="I146" t="str">
        <f>IFERROR(__xludf.DUMMYFUNCTION("IFERROR(FILTER('Fund Investment Data'!$D:$D, 'Fund Investment Data'!$C:$C = $A146, 'Fund Investment Data'!$A:$A = I$1, 'Fund Investment Data'!$B:$B = 12),"""")"),"")</f>
        <v/>
      </c>
      <c r="J146" t="str">
        <f>IFERROR(__xludf.DUMMYFUNCTION("IFERROR(FILTER('Fund Investment Data'!$D:$D, 'Fund Investment Data'!$C:$C = $A146, 'Fund Investment Data'!$A:$A = J$1, 'Fund Investment Data'!$B:$B = 12),"""")"),"")</f>
        <v/>
      </c>
      <c r="K146" t="str">
        <f>IFERROR(__xludf.DUMMYFUNCTION("IFERROR(FILTER('Fund Investment Data'!$D:$D, 'Fund Investment Data'!$C:$C = $A146, 'Fund Investment Data'!$A:$A = K$1, 'Fund Investment Data'!$B:$B = 12),"""")"),"")</f>
        <v/>
      </c>
      <c r="L146" t="str">
        <f>IFERROR(__xludf.DUMMYFUNCTION("IFERROR(FILTER('Fund Investment Data'!$D:$D, 'Fund Investment Data'!$C:$C = $A146, 'Fund Investment Data'!$A:$A = L$1, 'Fund Investment Data'!$B:$B = 12),"""")"),"")</f>
        <v/>
      </c>
      <c r="M146" t="str">
        <f>IFERROR(__xludf.DUMMYFUNCTION("IFERROR(FILTER('Fund Investment Data'!$D:$D, 'Fund Investment Data'!$C:$C = $A146, 'Fund Investment Data'!$A:$A = M$1, 'Fund Investment Data'!$B:$B = 12),"""")"),"")</f>
        <v/>
      </c>
      <c r="N146" t="str">
        <f>IFERROR(__xludf.DUMMYFUNCTION("IFERROR(FILTER('Fund Investment Data'!$D:$D, 'Fund Investment Data'!$C:$C = $A146, 'Fund Investment Data'!$A:$A = N$1, 'Fund Investment Data'!$B:$B = 12),"""")"),"")</f>
        <v/>
      </c>
      <c r="O146" t="str">
        <f>IFERROR(__xludf.DUMMYFUNCTION("IFERROR(FILTER('Fund Investment Data'!$D:$D, 'Fund Investment Data'!$C:$C = $A146, 'Fund Investment Data'!$A:$A = O$1, 'Fund Investment Data'!$B:$B = 12),"""")"),"")</f>
        <v/>
      </c>
      <c r="P146" t="str">
        <f>IFERROR(__xludf.DUMMYFUNCTION("IFERROR(FILTER('Fund Investment Data'!$D:$D, 'Fund Investment Data'!$C:$C = $A146, 'Fund Investment Data'!$A:$A = P$1, 'Fund Investment Data'!$B:$B = 12),"""")"),"")</f>
        <v/>
      </c>
      <c r="Q146" t="str">
        <f>IFERROR(__xludf.DUMMYFUNCTION("IFERROR(FILTER('Fund Investment Data'!$D:$D, 'Fund Investment Data'!$C:$C = $A146, 'Fund Investment Data'!$A:$A = Q$1, 'Fund Investment Data'!$B:$B = 12),"""")"),"")</f>
        <v/>
      </c>
      <c r="R146" t="str">
        <f>IFERROR(__xludf.DUMMYFUNCTION("IFERROR(FILTER('Fund Investment Data'!$D:$D, 'Fund Investment Data'!$C:$C = $A146, 'Fund Investment Data'!$A:$A = R$1, 'Fund Investment Data'!$B:$B = 12),"""")"),"")</f>
        <v/>
      </c>
      <c r="S146" t="str">
        <f>IFERROR(__xludf.DUMMYFUNCTION("IFERROR(FILTER('Fund Investment Data'!$D:$D, 'Fund Investment Data'!$C:$C = $A146, 'Fund Investment Data'!$A:$A = S$1, 'Fund Investment Data'!$B:$B = 12),"""")"),"")</f>
        <v/>
      </c>
      <c r="T146" t="str">
        <f>IFERROR(__xludf.DUMMYFUNCTION("IFERROR(FILTER('Fund Investment Data'!$D:$D, 'Fund Investment Data'!$C:$C = $A146, 'Fund Investment Data'!$A:$A = T$1, 'Fund Investment Data'!$B:$B = 12),"""")"),"")</f>
        <v/>
      </c>
      <c r="U146" t="str">
        <f>IFERROR(__xludf.DUMMYFUNCTION("IFERROR(FILTER('Fund Investment Data'!$D:$D, 'Fund Investment Data'!$C:$C = $A146, 'Fund Investment Data'!$A:$A = U$1, 'Fund Investment Data'!$B:$B = 12),"""")"),"")</f>
        <v/>
      </c>
      <c r="V146" t="str">
        <f>IFERROR(__xludf.DUMMYFUNCTION("IFERROR(FILTER('Fund Investment Data'!$D:$D, 'Fund Investment Data'!$C:$C = $A146, 'Fund Investment Data'!$A:$A = V$1, 'Fund Investment Data'!$B:$B = 12),"""")"),"")</f>
        <v/>
      </c>
      <c r="W146" t="str">
        <f>IFERROR(__xludf.DUMMYFUNCTION("IFERROR(FILTER('Fund Investment Data'!$D:$D, 'Fund Investment Data'!$C:$C = $A146, 'Fund Investment Data'!$A:$A = W$1, 'Fund Investment Data'!$B:$B = 12),"""")"),"")</f>
        <v/>
      </c>
      <c r="X146" t="str">
        <f>IFERROR(__xludf.DUMMYFUNCTION("IFERROR(FILTER('Fund Investment Data'!$D:$D, 'Fund Investment Data'!$C:$C = $A146, 'Fund Investment Data'!$A:$A = X$1, 'Fund Investment Data'!$B:$B = 12),"""")"),"")</f>
        <v/>
      </c>
      <c r="Y146" t="str">
        <f>IFERROR(__xludf.DUMMYFUNCTION("IFERROR(FILTER('Fund Investment Data'!$D:$D, 'Fund Investment Data'!$C:$C = $A146, 'Fund Investment Data'!$A:$A = Y$1, 'Fund Investment Data'!$B:$B = 12),"""")"),"")</f>
        <v/>
      </c>
      <c r="Z146" t="str">
        <f>IFERROR(__xludf.DUMMYFUNCTION("IFERROR(FILTER('Fund Investment Data'!$D:$D, 'Fund Investment Data'!$C:$C = $A146, 'Fund Investment Data'!$A:$A = Z$1, 'Fund Investment Data'!$B:$B = 12),"""")"),"")</f>
        <v/>
      </c>
      <c r="AA146" t="str">
        <f>IFERROR(__xludf.DUMMYFUNCTION("IFERROR(FILTER('Fund Investment Data'!$D:$D, 'Fund Investment Data'!$C:$C = $A146, 'Fund Investment Data'!$A:$A = AA$1, 'Fund Investment Data'!$B:$B = 12),"""")"),"")</f>
        <v/>
      </c>
      <c r="AB146" t="str">
        <f>IFERROR(__xludf.DUMMYFUNCTION("IFERROR(FILTER('Fund Investment Data'!$D:$D, 'Fund Investment Data'!$C:$C = $A146, 'Fund Investment Data'!$A:$A = AB$1, 'Fund Investment Data'!$B:$B = 12),"""")"),"")</f>
        <v/>
      </c>
      <c r="AC146" t="str">
        <f>IFERROR(__xludf.DUMMYFUNCTION("IFERROR(FILTER('Fund Investment Data'!$D:$D, 'Fund Investment Data'!$C:$C = $A146, 'Fund Investment Data'!$A:$A = AC$1, 'Fund Investment Data'!$B:$B = 12),"""")"),"")</f>
        <v/>
      </c>
      <c r="AD146" t="str">
        <f>IFERROR(__xludf.DUMMYFUNCTION("IFERROR(FILTER('Fund Investment Data'!$D:$D, 'Fund Investment Data'!$C:$C = $A146, 'Fund Investment Data'!$A:$A = AD$1, 'Fund Investment Data'!$B:$B = 12),"""")"),"")</f>
        <v/>
      </c>
      <c r="AE146" t="str">
        <f>IFERROR(__xludf.DUMMYFUNCTION("IFERROR(FILTER('Fund Investment Data'!$D:$D, 'Fund Investment Data'!$C:$C = $A146, 'Fund Investment Data'!$A:$A = AE$1, 'Fund Investment Data'!$B:$B = 12),"""")"),"")</f>
        <v/>
      </c>
    </row>
    <row r="147">
      <c r="A147" s="150" t="str">
        <f>'Endowed Funds'!A:A</f>
        <v/>
      </c>
      <c r="B147" t="str">
        <f>IFERROR(__xludf.DUMMYFUNCTION("IFERROR(FILTER('Fund Investment Data'!$D:$D, 'Fund Investment Data'!$C:$C = $A147, 'Fund Investment Data'!$A:$A = B$1, 'Fund Investment Data'!$B:$B = 12),"""")"),"")</f>
        <v/>
      </c>
      <c r="C147" t="str">
        <f>IFERROR(__xludf.DUMMYFUNCTION("IFERROR(FILTER('Fund Investment Data'!$D:$D, 'Fund Investment Data'!$C:$C = $A147, 'Fund Investment Data'!$A:$A = C$1, 'Fund Investment Data'!$B:$B = 12),"""")"),"")</f>
        <v/>
      </c>
      <c r="D147" t="str">
        <f>IFERROR(__xludf.DUMMYFUNCTION("IFERROR(FILTER('Fund Investment Data'!$D:$D, 'Fund Investment Data'!$C:$C = $A147, 'Fund Investment Data'!$A:$A = D$1, 'Fund Investment Data'!$B:$B = 12),"""")"),"")</f>
        <v/>
      </c>
      <c r="E147" t="str">
        <f>IFERROR(__xludf.DUMMYFUNCTION("IFERROR(FILTER('Fund Investment Data'!$D:$D, 'Fund Investment Data'!$C:$C = $A147, 'Fund Investment Data'!$A:$A = E$1, 'Fund Investment Data'!$B:$B = 12),"""")"),"")</f>
        <v/>
      </c>
      <c r="F147" t="str">
        <f>IFERROR(__xludf.DUMMYFUNCTION("IFERROR(FILTER('Fund Investment Data'!$D:$D, 'Fund Investment Data'!$C:$C = $A147, 'Fund Investment Data'!$A:$A = F$1, 'Fund Investment Data'!$B:$B = 12),"""")"),"")</f>
        <v/>
      </c>
      <c r="G147" t="str">
        <f>IFERROR(__xludf.DUMMYFUNCTION("IFERROR(FILTER('Fund Investment Data'!$D:$D, 'Fund Investment Data'!$C:$C = $A147, 'Fund Investment Data'!$A:$A = G$1, 'Fund Investment Data'!$B:$B = 12),"""")"),"")</f>
        <v/>
      </c>
      <c r="H147" t="str">
        <f>IFERROR(__xludf.DUMMYFUNCTION("IFERROR(FILTER('Fund Investment Data'!$D:$D, 'Fund Investment Data'!$C:$C = $A147, 'Fund Investment Data'!$A:$A = H$1, 'Fund Investment Data'!$B:$B = 12),"""")"),"")</f>
        <v/>
      </c>
      <c r="I147" t="str">
        <f>IFERROR(__xludf.DUMMYFUNCTION("IFERROR(FILTER('Fund Investment Data'!$D:$D, 'Fund Investment Data'!$C:$C = $A147, 'Fund Investment Data'!$A:$A = I$1, 'Fund Investment Data'!$B:$B = 12),"""")"),"")</f>
        <v/>
      </c>
      <c r="J147" t="str">
        <f>IFERROR(__xludf.DUMMYFUNCTION("IFERROR(FILTER('Fund Investment Data'!$D:$D, 'Fund Investment Data'!$C:$C = $A147, 'Fund Investment Data'!$A:$A = J$1, 'Fund Investment Data'!$B:$B = 12),"""")"),"")</f>
        <v/>
      </c>
      <c r="K147" t="str">
        <f>IFERROR(__xludf.DUMMYFUNCTION("IFERROR(FILTER('Fund Investment Data'!$D:$D, 'Fund Investment Data'!$C:$C = $A147, 'Fund Investment Data'!$A:$A = K$1, 'Fund Investment Data'!$B:$B = 12),"""")"),"")</f>
        <v/>
      </c>
      <c r="L147" t="str">
        <f>IFERROR(__xludf.DUMMYFUNCTION("IFERROR(FILTER('Fund Investment Data'!$D:$D, 'Fund Investment Data'!$C:$C = $A147, 'Fund Investment Data'!$A:$A = L$1, 'Fund Investment Data'!$B:$B = 12),"""")"),"")</f>
        <v/>
      </c>
      <c r="M147" t="str">
        <f>IFERROR(__xludf.DUMMYFUNCTION("IFERROR(FILTER('Fund Investment Data'!$D:$D, 'Fund Investment Data'!$C:$C = $A147, 'Fund Investment Data'!$A:$A = M$1, 'Fund Investment Data'!$B:$B = 12),"""")"),"")</f>
        <v/>
      </c>
      <c r="N147" t="str">
        <f>IFERROR(__xludf.DUMMYFUNCTION("IFERROR(FILTER('Fund Investment Data'!$D:$D, 'Fund Investment Data'!$C:$C = $A147, 'Fund Investment Data'!$A:$A = N$1, 'Fund Investment Data'!$B:$B = 12),"""")"),"")</f>
        <v/>
      </c>
      <c r="O147" t="str">
        <f>IFERROR(__xludf.DUMMYFUNCTION("IFERROR(FILTER('Fund Investment Data'!$D:$D, 'Fund Investment Data'!$C:$C = $A147, 'Fund Investment Data'!$A:$A = O$1, 'Fund Investment Data'!$B:$B = 12),"""")"),"")</f>
        <v/>
      </c>
      <c r="P147" t="str">
        <f>IFERROR(__xludf.DUMMYFUNCTION("IFERROR(FILTER('Fund Investment Data'!$D:$D, 'Fund Investment Data'!$C:$C = $A147, 'Fund Investment Data'!$A:$A = P$1, 'Fund Investment Data'!$B:$B = 12),"""")"),"")</f>
        <v/>
      </c>
      <c r="Q147" t="str">
        <f>IFERROR(__xludf.DUMMYFUNCTION("IFERROR(FILTER('Fund Investment Data'!$D:$D, 'Fund Investment Data'!$C:$C = $A147, 'Fund Investment Data'!$A:$A = Q$1, 'Fund Investment Data'!$B:$B = 12),"""")"),"")</f>
        <v/>
      </c>
      <c r="R147" t="str">
        <f>IFERROR(__xludf.DUMMYFUNCTION("IFERROR(FILTER('Fund Investment Data'!$D:$D, 'Fund Investment Data'!$C:$C = $A147, 'Fund Investment Data'!$A:$A = R$1, 'Fund Investment Data'!$B:$B = 12),"""")"),"")</f>
        <v/>
      </c>
      <c r="S147" t="str">
        <f>IFERROR(__xludf.DUMMYFUNCTION("IFERROR(FILTER('Fund Investment Data'!$D:$D, 'Fund Investment Data'!$C:$C = $A147, 'Fund Investment Data'!$A:$A = S$1, 'Fund Investment Data'!$B:$B = 12),"""")"),"")</f>
        <v/>
      </c>
      <c r="T147" t="str">
        <f>IFERROR(__xludf.DUMMYFUNCTION("IFERROR(FILTER('Fund Investment Data'!$D:$D, 'Fund Investment Data'!$C:$C = $A147, 'Fund Investment Data'!$A:$A = T$1, 'Fund Investment Data'!$B:$B = 12),"""")"),"")</f>
        <v/>
      </c>
      <c r="U147" t="str">
        <f>IFERROR(__xludf.DUMMYFUNCTION("IFERROR(FILTER('Fund Investment Data'!$D:$D, 'Fund Investment Data'!$C:$C = $A147, 'Fund Investment Data'!$A:$A = U$1, 'Fund Investment Data'!$B:$B = 12),"""")"),"")</f>
        <v/>
      </c>
      <c r="V147" t="str">
        <f>IFERROR(__xludf.DUMMYFUNCTION("IFERROR(FILTER('Fund Investment Data'!$D:$D, 'Fund Investment Data'!$C:$C = $A147, 'Fund Investment Data'!$A:$A = V$1, 'Fund Investment Data'!$B:$B = 12),"""")"),"")</f>
        <v/>
      </c>
      <c r="W147" t="str">
        <f>IFERROR(__xludf.DUMMYFUNCTION("IFERROR(FILTER('Fund Investment Data'!$D:$D, 'Fund Investment Data'!$C:$C = $A147, 'Fund Investment Data'!$A:$A = W$1, 'Fund Investment Data'!$B:$B = 12),"""")"),"")</f>
        <v/>
      </c>
      <c r="X147" t="str">
        <f>IFERROR(__xludf.DUMMYFUNCTION("IFERROR(FILTER('Fund Investment Data'!$D:$D, 'Fund Investment Data'!$C:$C = $A147, 'Fund Investment Data'!$A:$A = X$1, 'Fund Investment Data'!$B:$B = 12),"""")"),"")</f>
        <v/>
      </c>
      <c r="Y147" t="str">
        <f>IFERROR(__xludf.DUMMYFUNCTION("IFERROR(FILTER('Fund Investment Data'!$D:$D, 'Fund Investment Data'!$C:$C = $A147, 'Fund Investment Data'!$A:$A = Y$1, 'Fund Investment Data'!$B:$B = 12),"""")"),"")</f>
        <v/>
      </c>
      <c r="Z147" t="str">
        <f>IFERROR(__xludf.DUMMYFUNCTION("IFERROR(FILTER('Fund Investment Data'!$D:$D, 'Fund Investment Data'!$C:$C = $A147, 'Fund Investment Data'!$A:$A = Z$1, 'Fund Investment Data'!$B:$B = 12),"""")"),"")</f>
        <v/>
      </c>
      <c r="AA147" t="str">
        <f>IFERROR(__xludf.DUMMYFUNCTION("IFERROR(FILTER('Fund Investment Data'!$D:$D, 'Fund Investment Data'!$C:$C = $A147, 'Fund Investment Data'!$A:$A = AA$1, 'Fund Investment Data'!$B:$B = 12),"""")"),"")</f>
        <v/>
      </c>
      <c r="AB147" t="str">
        <f>IFERROR(__xludf.DUMMYFUNCTION("IFERROR(FILTER('Fund Investment Data'!$D:$D, 'Fund Investment Data'!$C:$C = $A147, 'Fund Investment Data'!$A:$A = AB$1, 'Fund Investment Data'!$B:$B = 12),"""")"),"")</f>
        <v/>
      </c>
      <c r="AC147" t="str">
        <f>IFERROR(__xludf.DUMMYFUNCTION("IFERROR(FILTER('Fund Investment Data'!$D:$D, 'Fund Investment Data'!$C:$C = $A147, 'Fund Investment Data'!$A:$A = AC$1, 'Fund Investment Data'!$B:$B = 12),"""")"),"")</f>
        <v/>
      </c>
      <c r="AD147" t="str">
        <f>IFERROR(__xludf.DUMMYFUNCTION("IFERROR(FILTER('Fund Investment Data'!$D:$D, 'Fund Investment Data'!$C:$C = $A147, 'Fund Investment Data'!$A:$A = AD$1, 'Fund Investment Data'!$B:$B = 12),"""")"),"")</f>
        <v/>
      </c>
      <c r="AE147" t="str">
        <f>IFERROR(__xludf.DUMMYFUNCTION("IFERROR(FILTER('Fund Investment Data'!$D:$D, 'Fund Investment Data'!$C:$C = $A147, 'Fund Investment Data'!$A:$A = AE$1, 'Fund Investment Data'!$B:$B = 12),"""")"),"")</f>
        <v/>
      </c>
    </row>
    <row r="148">
      <c r="A148" s="150" t="str">
        <f>'Endowed Funds'!A:A</f>
        <v/>
      </c>
      <c r="B148" t="str">
        <f>IFERROR(__xludf.DUMMYFUNCTION("IFERROR(FILTER('Fund Investment Data'!$D:$D, 'Fund Investment Data'!$C:$C = $A148, 'Fund Investment Data'!$A:$A = B$1, 'Fund Investment Data'!$B:$B = 12),"""")"),"")</f>
        <v/>
      </c>
      <c r="C148" t="str">
        <f>IFERROR(__xludf.DUMMYFUNCTION("IFERROR(FILTER('Fund Investment Data'!$D:$D, 'Fund Investment Data'!$C:$C = $A148, 'Fund Investment Data'!$A:$A = C$1, 'Fund Investment Data'!$B:$B = 12),"""")"),"")</f>
        <v/>
      </c>
      <c r="D148" t="str">
        <f>IFERROR(__xludf.DUMMYFUNCTION("IFERROR(FILTER('Fund Investment Data'!$D:$D, 'Fund Investment Data'!$C:$C = $A148, 'Fund Investment Data'!$A:$A = D$1, 'Fund Investment Data'!$B:$B = 12),"""")"),"")</f>
        <v/>
      </c>
      <c r="E148" t="str">
        <f>IFERROR(__xludf.DUMMYFUNCTION("IFERROR(FILTER('Fund Investment Data'!$D:$D, 'Fund Investment Data'!$C:$C = $A148, 'Fund Investment Data'!$A:$A = E$1, 'Fund Investment Data'!$B:$B = 12),"""")"),"")</f>
        <v/>
      </c>
      <c r="F148" t="str">
        <f>IFERROR(__xludf.DUMMYFUNCTION("IFERROR(FILTER('Fund Investment Data'!$D:$D, 'Fund Investment Data'!$C:$C = $A148, 'Fund Investment Data'!$A:$A = F$1, 'Fund Investment Data'!$B:$B = 12),"""")"),"")</f>
        <v/>
      </c>
      <c r="G148" t="str">
        <f>IFERROR(__xludf.DUMMYFUNCTION("IFERROR(FILTER('Fund Investment Data'!$D:$D, 'Fund Investment Data'!$C:$C = $A148, 'Fund Investment Data'!$A:$A = G$1, 'Fund Investment Data'!$B:$B = 12),"""")"),"")</f>
        <v/>
      </c>
      <c r="H148" t="str">
        <f>IFERROR(__xludf.DUMMYFUNCTION("IFERROR(FILTER('Fund Investment Data'!$D:$D, 'Fund Investment Data'!$C:$C = $A148, 'Fund Investment Data'!$A:$A = H$1, 'Fund Investment Data'!$B:$B = 12),"""")"),"")</f>
        <v/>
      </c>
      <c r="I148" t="str">
        <f>IFERROR(__xludf.DUMMYFUNCTION("IFERROR(FILTER('Fund Investment Data'!$D:$D, 'Fund Investment Data'!$C:$C = $A148, 'Fund Investment Data'!$A:$A = I$1, 'Fund Investment Data'!$B:$B = 12),"""")"),"")</f>
        <v/>
      </c>
      <c r="J148" t="str">
        <f>IFERROR(__xludf.DUMMYFUNCTION("IFERROR(FILTER('Fund Investment Data'!$D:$D, 'Fund Investment Data'!$C:$C = $A148, 'Fund Investment Data'!$A:$A = J$1, 'Fund Investment Data'!$B:$B = 12),"""")"),"")</f>
        <v/>
      </c>
      <c r="K148" t="str">
        <f>IFERROR(__xludf.DUMMYFUNCTION("IFERROR(FILTER('Fund Investment Data'!$D:$D, 'Fund Investment Data'!$C:$C = $A148, 'Fund Investment Data'!$A:$A = K$1, 'Fund Investment Data'!$B:$B = 12),"""")"),"")</f>
        <v/>
      </c>
      <c r="L148" t="str">
        <f>IFERROR(__xludf.DUMMYFUNCTION("IFERROR(FILTER('Fund Investment Data'!$D:$D, 'Fund Investment Data'!$C:$C = $A148, 'Fund Investment Data'!$A:$A = L$1, 'Fund Investment Data'!$B:$B = 12),"""")"),"")</f>
        <v/>
      </c>
      <c r="M148" t="str">
        <f>IFERROR(__xludf.DUMMYFUNCTION("IFERROR(FILTER('Fund Investment Data'!$D:$D, 'Fund Investment Data'!$C:$C = $A148, 'Fund Investment Data'!$A:$A = M$1, 'Fund Investment Data'!$B:$B = 12),"""")"),"")</f>
        <v/>
      </c>
      <c r="N148" t="str">
        <f>IFERROR(__xludf.DUMMYFUNCTION("IFERROR(FILTER('Fund Investment Data'!$D:$D, 'Fund Investment Data'!$C:$C = $A148, 'Fund Investment Data'!$A:$A = N$1, 'Fund Investment Data'!$B:$B = 12),"""")"),"")</f>
        <v/>
      </c>
      <c r="O148" t="str">
        <f>IFERROR(__xludf.DUMMYFUNCTION("IFERROR(FILTER('Fund Investment Data'!$D:$D, 'Fund Investment Data'!$C:$C = $A148, 'Fund Investment Data'!$A:$A = O$1, 'Fund Investment Data'!$B:$B = 12),"""")"),"")</f>
        <v/>
      </c>
      <c r="P148" t="str">
        <f>IFERROR(__xludf.DUMMYFUNCTION("IFERROR(FILTER('Fund Investment Data'!$D:$D, 'Fund Investment Data'!$C:$C = $A148, 'Fund Investment Data'!$A:$A = P$1, 'Fund Investment Data'!$B:$B = 12),"""")"),"")</f>
        <v/>
      </c>
      <c r="Q148" t="str">
        <f>IFERROR(__xludf.DUMMYFUNCTION("IFERROR(FILTER('Fund Investment Data'!$D:$D, 'Fund Investment Data'!$C:$C = $A148, 'Fund Investment Data'!$A:$A = Q$1, 'Fund Investment Data'!$B:$B = 12),"""")"),"")</f>
        <v/>
      </c>
      <c r="R148" t="str">
        <f>IFERROR(__xludf.DUMMYFUNCTION("IFERROR(FILTER('Fund Investment Data'!$D:$D, 'Fund Investment Data'!$C:$C = $A148, 'Fund Investment Data'!$A:$A = R$1, 'Fund Investment Data'!$B:$B = 12),"""")"),"")</f>
        <v/>
      </c>
      <c r="S148" t="str">
        <f>IFERROR(__xludf.DUMMYFUNCTION("IFERROR(FILTER('Fund Investment Data'!$D:$D, 'Fund Investment Data'!$C:$C = $A148, 'Fund Investment Data'!$A:$A = S$1, 'Fund Investment Data'!$B:$B = 12),"""")"),"")</f>
        <v/>
      </c>
      <c r="T148" t="str">
        <f>IFERROR(__xludf.DUMMYFUNCTION("IFERROR(FILTER('Fund Investment Data'!$D:$D, 'Fund Investment Data'!$C:$C = $A148, 'Fund Investment Data'!$A:$A = T$1, 'Fund Investment Data'!$B:$B = 12),"""")"),"")</f>
        <v/>
      </c>
      <c r="U148" t="str">
        <f>IFERROR(__xludf.DUMMYFUNCTION("IFERROR(FILTER('Fund Investment Data'!$D:$D, 'Fund Investment Data'!$C:$C = $A148, 'Fund Investment Data'!$A:$A = U$1, 'Fund Investment Data'!$B:$B = 12),"""")"),"")</f>
        <v/>
      </c>
      <c r="V148" t="str">
        <f>IFERROR(__xludf.DUMMYFUNCTION("IFERROR(FILTER('Fund Investment Data'!$D:$D, 'Fund Investment Data'!$C:$C = $A148, 'Fund Investment Data'!$A:$A = V$1, 'Fund Investment Data'!$B:$B = 12),"""")"),"")</f>
        <v/>
      </c>
      <c r="W148" t="str">
        <f>IFERROR(__xludf.DUMMYFUNCTION("IFERROR(FILTER('Fund Investment Data'!$D:$D, 'Fund Investment Data'!$C:$C = $A148, 'Fund Investment Data'!$A:$A = W$1, 'Fund Investment Data'!$B:$B = 12),"""")"),"")</f>
        <v/>
      </c>
      <c r="X148" t="str">
        <f>IFERROR(__xludf.DUMMYFUNCTION("IFERROR(FILTER('Fund Investment Data'!$D:$D, 'Fund Investment Data'!$C:$C = $A148, 'Fund Investment Data'!$A:$A = X$1, 'Fund Investment Data'!$B:$B = 12),"""")"),"")</f>
        <v/>
      </c>
      <c r="Y148" t="str">
        <f>IFERROR(__xludf.DUMMYFUNCTION("IFERROR(FILTER('Fund Investment Data'!$D:$D, 'Fund Investment Data'!$C:$C = $A148, 'Fund Investment Data'!$A:$A = Y$1, 'Fund Investment Data'!$B:$B = 12),"""")"),"")</f>
        <v/>
      </c>
      <c r="Z148" t="str">
        <f>IFERROR(__xludf.DUMMYFUNCTION("IFERROR(FILTER('Fund Investment Data'!$D:$D, 'Fund Investment Data'!$C:$C = $A148, 'Fund Investment Data'!$A:$A = Z$1, 'Fund Investment Data'!$B:$B = 12),"""")"),"")</f>
        <v/>
      </c>
      <c r="AA148" t="str">
        <f>IFERROR(__xludf.DUMMYFUNCTION("IFERROR(FILTER('Fund Investment Data'!$D:$D, 'Fund Investment Data'!$C:$C = $A148, 'Fund Investment Data'!$A:$A = AA$1, 'Fund Investment Data'!$B:$B = 12),"""")"),"")</f>
        <v/>
      </c>
      <c r="AB148" t="str">
        <f>IFERROR(__xludf.DUMMYFUNCTION("IFERROR(FILTER('Fund Investment Data'!$D:$D, 'Fund Investment Data'!$C:$C = $A148, 'Fund Investment Data'!$A:$A = AB$1, 'Fund Investment Data'!$B:$B = 12),"""")"),"")</f>
        <v/>
      </c>
      <c r="AC148" t="str">
        <f>IFERROR(__xludf.DUMMYFUNCTION("IFERROR(FILTER('Fund Investment Data'!$D:$D, 'Fund Investment Data'!$C:$C = $A148, 'Fund Investment Data'!$A:$A = AC$1, 'Fund Investment Data'!$B:$B = 12),"""")"),"")</f>
        <v/>
      </c>
      <c r="AD148" t="str">
        <f>IFERROR(__xludf.DUMMYFUNCTION("IFERROR(FILTER('Fund Investment Data'!$D:$D, 'Fund Investment Data'!$C:$C = $A148, 'Fund Investment Data'!$A:$A = AD$1, 'Fund Investment Data'!$B:$B = 12),"""")"),"")</f>
        <v/>
      </c>
      <c r="AE148" t="str">
        <f>IFERROR(__xludf.DUMMYFUNCTION("IFERROR(FILTER('Fund Investment Data'!$D:$D, 'Fund Investment Data'!$C:$C = $A148, 'Fund Investment Data'!$A:$A = AE$1, 'Fund Investment Data'!$B:$B = 12),"""")"),"")</f>
        <v/>
      </c>
    </row>
    <row r="149">
      <c r="A149" s="150" t="str">
        <f>'Endowed Funds'!A:A</f>
        <v/>
      </c>
      <c r="B149" t="str">
        <f>IFERROR(__xludf.DUMMYFUNCTION("IFERROR(FILTER('Fund Investment Data'!$D:$D, 'Fund Investment Data'!$C:$C = $A149, 'Fund Investment Data'!$A:$A = B$1, 'Fund Investment Data'!$B:$B = 12),"""")"),"")</f>
        <v/>
      </c>
      <c r="C149" t="str">
        <f>IFERROR(__xludf.DUMMYFUNCTION("IFERROR(FILTER('Fund Investment Data'!$D:$D, 'Fund Investment Data'!$C:$C = $A149, 'Fund Investment Data'!$A:$A = C$1, 'Fund Investment Data'!$B:$B = 12),"""")"),"")</f>
        <v/>
      </c>
      <c r="D149" t="str">
        <f>IFERROR(__xludf.DUMMYFUNCTION("IFERROR(FILTER('Fund Investment Data'!$D:$D, 'Fund Investment Data'!$C:$C = $A149, 'Fund Investment Data'!$A:$A = D$1, 'Fund Investment Data'!$B:$B = 12),"""")"),"")</f>
        <v/>
      </c>
      <c r="E149" t="str">
        <f>IFERROR(__xludf.DUMMYFUNCTION("IFERROR(FILTER('Fund Investment Data'!$D:$D, 'Fund Investment Data'!$C:$C = $A149, 'Fund Investment Data'!$A:$A = E$1, 'Fund Investment Data'!$B:$B = 12),"""")"),"")</f>
        <v/>
      </c>
      <c r="F149" t="str">
        <f>IFERROR(__xludf.DUMMYFUNCTION("IFERROR(FILTER('Fund Investment Data'!$D:$D, 'Fund Investment Data'!$C:$C = $A149, 'Fund Investment Data'!$A:$A = F$1, 'Fund Investment Data'!$B:$B = 12),"""")"),"")</f>
        <v/>
      </c>
      <c r="G149" t="str">
        <f>IFERROR(__xludf.DUMMYFUNCTION("IFERROR(FILTER('Fund Investment Data'!$D:$D, 'Fund Investment Data'!$C:$C = $A149, 'Fund Investment Data'!$A:$A = G$1, 'Fund Investment Data'!$B:$B = 12),"""")"),"")</f>
        <v/>
      </c>
      <c r="H149" t="str">
        <f>IFERROR(__xludf.DUMMYFUNCTION("IFERROR(FILTER('Fund Investment Data'!$D:$D, 'Fund Investment Data'!$C:$C = $A149, 'Fund Investment Data'!$A:$A = H$1, 'Fund Investment Data'!$B:$B = 12),"""")"),"")</f>
        <v/>
      </c>
      <c r="I149" t="str">
        <f>IFERROR(__xludf.DUMMYFUNCTION("IFERROR(FILTER('Fund Investment Data'!$D:$D, 'Fund Investment Data'!$C:$C = $A149, 'Fund Investment Data'!$A:$A = I$1, 'Fund Investment Data'!$B:$B = 12),"""")"),"")</f>
        <v/>
      </c>
      <c r="J149" t="str">
        <f>IFERROR(__xludf.DUMMYFUNCTION("IFERROR(FILTER('Fund Investment Data'!$D:$D, 'Fund Investment Data'!$C:$C = $A149, 'Fund Investment Data'!$A:$A = J$1, 'Fund Investment Data'!$B:$B = 12),"""")"),"")</f>
        <v/>
      </c>
      <c r="K149" t="str">
        <f>IFERROR(__xludf.DUMMYFUNCTION("IFERROR(FILTER('Fund Investment Data'!$D:$D, 'Fund Investment Data'!$C:$C = $A149, 'Fund Investment Data'!$A:$A = K$1, 'Fund Investment Data'!$B:$B = 12),"""")"),"")</f>
        <v/>
      </c>
      <c r="L149" t="str">
        <f>IFERROR(__xludf.DUMMYFUNCTION("IFERROR(FILTER('Fund Investment Data'!$D:$D, 'Fund Investment Data'!$C:$C = $A149, 'Fund Investment Data'!$A:$A = L$1, 'Fund Investment Data'!$B:$B = 12),"""")"),"")</f>
        <v/>
      </c>
      <c r="M149" t="str">
        <f>IFERROR(__xludf.DUMMYFUNCTION("IFERROR(FILTER('Fund Investment Data'!$D:$D, 'Fund Investment Data'!$C:$C = $A149, 'Fund Investment Data'!$A:$A = M$1, 'Fund Investment Data'!$B:$B = 12),"""")"),"")</f>
        <v/>
      </c>
      <c r="N149" t="str">
        <f>IFERROR(__xludf.DUMMYFUNCTION("IFERROR(FILTER('Fund Investment Data'!$D:$D, 'Fund Investment Data'!$C:$C = $A149, 'Fund Investment Data'!$A:$A = N$1, 'Fund Investment Data'!$B:$B = 12),"""")"),"")</f>
        <v/>
      </c>
      <c r="O149" t="str">
        <f>IFERROR(__xludf.DUMMYFUNCTION("IFERROR(FILTER('Fund Investment Data'!$D:$D, 'Fund Investment Data'!$C:$C = $A149, 'Fund Investment Data'!$A:$A = O$1, 'Fund Investment Data'!$B:$B = 12),"""")"),"")</f>
        <v/>
      </c>
      <c r="P149" t="str">
        <f>IFERROR(__xludf.DUMMYFUNCTION("IFERROR(FILTER('Fund Investment Data'!$D:$D, 'Fund Investment Data'!$C:$C = $A149, 'Fund Investment Data'!$A:$A = P$1, 'Fund Investment Data'!$B:$B = 12),"""")"),"")</f>
        <v/>
      </c>
      <c r="Q149" t="str">
        <f>IFERROR(__xludf.DUMMYFUNCTION("IFERROR(FILTER('Fund Investment Data'!$D:$D, 'Fund Investment Data'!$C:$C = $A149, 'Fund Investment Data'!$A:$A = Q$1, 'Fund Investment Data'!$B:$B = 12),"""")"),"")</f>
        <v/>
      </c>
      <c r="R149" t="str">
        <f>IFERROR(__xludf.DUMMYFUNCTION("IFERROR(FILTER('Fund Investment Data'!$D:$D, 'Fund Investment Data'!$C:$C = $A149, 'Fund Investment Data'!$A:$A = R$1, 'Fund Investment Data'!$B:$B = 12),"""")"),"")</f>
        <v/>
      </c>
      <c r="S149" t="str">
        <f>IFERROR(__xludf.DUMMYFUNCTION("IFERROR(FILTER('Fund Investment Data'!$D:$D, 'Fund Investment Data'!$C:$C = $A149, 'Fund Investment Data'!$A:$A = S$1, 'Fund Investment Data'!$B:$B = 12),"""")"),"")</f>
        <v/>
      </c>
      <c r="T149" t="str">
        <f>IFERROR(__xludf.DUMMYFUNCTION("IFERROR(FILTER('Fund Investment Data'!$D:$D, 'Fund Investment Data'!$C:$C = $A149, 'Fund Investment Data'!$A:$A = T$1, 'Fund Investment Data'!$B:$B = 12),"""")"),"")</f>
        <v/>
      </c>
      <c r="U149" t="str">
        <f>IFERROR(__xludf.DUMMYFUNCTION("IFERROR(FILTER('Fund Investment Data'!$D:$D, 'Fund Investment Data'!$C:$C = $A149, 'Fund Investment Data'!$A:$A = U$1, 'Fund Investment Data'!$B:$B = 12),"""")"),"")</f>
        <v/>
      </c>
      <c r="V149" t="str">
        <f>IFERROR(__xludf.DUMMYFUNCTION("IFERROR(FILTER('Fund Investment Data'!$D:$D, 'Fund Investment Data'!$C:$C = $A149, 'Fund Investment Data'!$A:$A = V$1, 'Fund Investment Data'!$B:$B = 12),"""")"),"")</f>
        <v/>
      </c>
      <c r="W149" t="str">
        <f>IFERROR(__xludf.DUMMYFUNCTION("IFERROR(FILTER('Fund Investment Data'!$D:$D, 'Fund Investment Data'!$C:$C = $A149, 'Fund Investment Data'!$A:$A = W$1, 'Fund Investment Data'!$B:$B = 12),"""")"),"")</f>
        <v/>
      </c>
      <c r="X149" t="str">
        <f>IFERROR(__xludf.DUMMYFUNCTION("IFERROR(FILTER('Fund Investment Data'!$D:$D, 'Fund Investment Data'!$C:$C = $A149, 'Fund Investment Data'!$A:$A = X$1, 'Fund Investment Data'!$B:$B = 12),"""")"),"")</f>
        <v/>
      </c>
      <c r="Y149" t="str">
        <f>IFERROR(__xludf.DUMMYFUNCTION("IFERROR(FILTER('Fund Investment Data'!$D:$D, 'Fund Investment Data'!$C:$C = $A149, 'Fund Investment Data'!$A:$A = Y$1, 'Fund Investment Data'!$B:$B = 12),"""")"),"")</f>
        <v/>
      </c>
      <c r="Z149" t="str">
        <f>IFERROR(__xludf.DUMMYFUNCTION("IFERROR(FILTER('Fund Investment Data'!$D:$D, 'Fund Investment Data'!$C:$C = $A149, 'Fund Investment Data'!$A:$A = Z$1, 'Fund Investment Data'!$B:$B = 12),"""")"),"")</f>
        <v/>
      </c>
      <c r="AA149" t="str">
        <f>IFERROR(__xludf.DUMMYFUNCTION("IFERROR(FILTER('Fund Investment Data'!$D:$D, 'Fund Investment Data'!$C:$C = $A149, 'Fund Investment Data'!$A:$A = AA$1, 'Fund Investment Data'!$B:$B = 12),"""")"),"")</f>
        <v/>
      </c>
      <c r="AB149" t="str">
        <f>IFERROR(__xludf.DUMMYFUNCTION("IFERROR(FILTER('Fund Investment Data'!$D:$D, 'Fund Investment Data'!$C:$C = $A149, 'Fund Investment Data'!$A:$A = AB$1, 'Fund Investment Data'!$B:$B = 12),"""")"),"")</f>
        <v/>
      </c>
      <c r="AC149" t="str">
        <f>IFERROR(__xludf.DUMMYFUNCTION("IFERROR(FILTER('Fund Investment Data'!$D:$D, 'Fund Investment Data'!$C:$C = $A149, 'Fund Investment Data'!$A:$A = AC$1, 'Fund Investment Data'!$B:$B = 12),"""")"),"")</f>
        <v/>
      </c>
      <c r="AD149" t="str">
        <f>IFERROR(__xludf.DUMMYFUNCTION("IFERROR(FILTER('Fund Investment Data'!$D:$D, 'Fund Investment Data'!$C:$C = $A149, 'Fund Investment Data'!$A:$A = AD$1, 'Fund Investment Data'!$B:$B = 12),"""")"),"")</f>
        <v/>
      </c>
      <c r="AE149" t="str">
        <f>IFERROR(__xludf.DUMMYFUNCTION("IFERROR(FILTER('Fund Investment Data'!$D:$D, 'Fund Investment Data'!$C:$C = $A149, 'Fund Investment Data'!$A:$A = AE$1, 'Fund Investment Data'!$B:$B = 12),"""")"),"")</f>
        <v/>
      </c>
    </row>
    <row r="150">
      <c r="A150" s="150" t="str">
        <f>'Endowed Funds'!A:A</f>
        <v/>
      </c>
      <c r="B150" t="str">
        <f>IFERROR(__xludf.DUMMYFUNCTION("IFERROR(FILTER('Fund Investment Data'!$D:$D, 'Fund Investment Data'!$C:$C = $A150, 'Fund Investment Data'!$A:$A = B$1, 'Fund Investment Data'!$B:$B = 12),"""")"),"")</f>
        <v/>
      </c>
      <c r="C150" t="str">
        <f>IFERROR(__xludf.DUMMYFUNCTION("IFERROR(FILTER('Fund Investment Data'!$D:$D, 'Fund Investment Data'!$C:$C = $A150, 'Fund Investment Data'!$A:$A = C$1, 'Fund Investment Data'!$B:$B = 12),"""")"),"")</f>
        <v/>
      </c>
      <c r="D150" t="str">
        <f>IFERROR(__xludf.DUMMYFUNCTION("IFERROR(FILTER('Fund Investment Data'!$D:$D, 'Fund Investment Data'!$C:$C = $A150, 'Fund Investment Data'!$A:$A = D$1, 'Fund Investment Data'!$B:$B = 12),"""")"),"")</f>
        <v/>
      </c>
      <c r="E150" t="str">
        <f>IFERROR(__xludf.DUMMYFUNCTION("IFERROR(FILTER('Fund Investment Data'!$D:$D, 'Fund Investment Data'!$C:$C = $A150, 'Fund Investment Data'!$A:$A = E$1, 'Fund Investment Data'!$B:$B = 12),"""")"),"")</f>
        <v/>
      </c>
      <c r="F150" t="str">
        <f>IFERROR(__xludf.DUMMYFUNCTION("IFERROR(FILTER('Fund Investment Data'!$D:$D, 'Fund Investment Data'!$C:$C = $A150, 'Fund Investment Data'!$A:$A = F$1, 'Fund Investment Data'!$B:$B = 12),"""")"),"")</f>
        <v/>
      </c>
      <c r="G150" t="str">
        <f>IFERROR(__xludf.DUMMYFUNCTION("IFERROR(FILTER('Fund Investment Data'!$D:$D, 'Fund Investment Data'!$C:$C = $A150, 'Fund Investment Data'!$A:$A = G$1, 'Fund Investment Data'!$B:$B = 12),"""")"),"")</f>
        <v/>
      </c>
      <c r="H150" t="str">
        <f>IFERROR(__xludf.DUMMYFUNCTION("IFERROR(FILTER('Fund Investment Data'!$D:$D, 'Fund Investment Data'!$C:$C = $A150, 'Fund Investment Data'!$A:$A = H$1, 'Fund Investment Data'!$B:$B = 12),"""")"),"")</f>
        <v/>
      </c>
      <c r="I150" t="str">
        <f>IFERROR(__xludf.DUMMYFUNCTION("IFERROR(FILTER('Fund Investment Data'!$D:$D, 'Fund Investment Data'!$C:$C = $A150, 'Fund Investment Data'!$A:$A = I$1, 'Fund Investment Data'!$B:$B = 12),"""")"),"")</f>
        <v/>
      </c>
      <c r="J150" t="str">
        <f>IFERROR(__xludf.DUMMYFUNCTION("IFERROR(FILTER('Fund Investment Data'!$D:$D, 'Fund Investment Data'!$C:$C = $A150, 'Fund Investment Data'!$A:$A = J$1, 'Fund Investment Data'!$B:$B = 12),"""")"),"")</f>
        <v/>
      </c>
      <c r="K150" t="str">
        <f>IFERROR(__xludf.DUMMYFUNCTION("IFERROR(FILTER('Fund Investment Data'!$D:$D, 'Fund Investment Data'!$C:$C = $A150, 'Fund Investment Data'!$A:$A = K$1, 'Fund Investment Data'!$B:$B = 12),"""")"),"")</f>
        <v/>
      </c>
      <c r="L150" t="str">
        <f>IFERROR(__xludf.DUMMYFUNCTION("IFERROR(FILTER('Fund Investment Data'!$D:$D, 'Fund Investment Data'!$C:$C = $A150, 'Fund Investment Data'!$A:$A = L$1, 'Fund Investment Data'!$B:$B = 12),"""")"),"")</f>
        <v/>
      </c>
      <c r="M150" t="str">
        <f>IFERROR(__xludf.DUMMYFUNCTION("IFERROR(FILTER('Fund Investment Data'!$D:$D, 'Fund Investment Data'!$C:$C = $A150, 'Fund Investment Data'!$A:$A = M$1, 'Fund Investment Data'!$B:$B = 12),"""")"),"")</f>
        <v/>
      </c>
      <c r="N150" t="str">
        <f>IFERROR(__xludf.DUMMYFUNCTION("IFERROR(FILTER('Fund Investment Data'!$D:$D, 'Fund Investment Data'!$C:$C = $A150, 'Fund Investment Data'!$A:$A = N$1, 'Fund Investment Data'!$B:$B = 12),"""")"),"")</f>
        <v/>
      </c>
      <c r="O150" t="str">
        <f>IFERROR(__xludf.DUMMYFUNCTION("IFERROR(FILTER('Fund Investment Data'!$D:$D, 'Fund Investment Data'!$C:$C = $A150, 'Fund Investment Data'!$A:$A = O$1, 'Fund Investment Data'!$B:$B = 12),"""")"),"")</f>
        <v/>
      </c>
      <c r="P150" t="str">
        <f>IFERROR(__xludf.DUMMYFUNCTION("IFERROR(FILTER('Fund Investment Data'!$D:$D, 'Fund Investment Data'!$C:$C = $A150, 'Fund Investment Data'!$A:$A = P$1, 'Fund Investment Data'!$B:$B = 12),"""")"),"")</f>
        <v/>
      </c>
      <c r="Q150" t="str">
        <f>IFERROR(__xludf.DUMMYFUNCTION("IFERROR(FILTER('Fund Investment Data'!$D:$D, 'Fund Investment Data'!$C:$C = $A150, 'Fund Investment Data'!$A:$A = Q$1, 'Fund Investment Data'!$B:$B = 12),"""")"),"")</f>
        <v/>
      </c>
      <c r="R150" t="str">
        <f>IFERROR(__xludf.DUMMYFUNCTION("IFERROR(FILTER('Fund Investment Data'!$D:$D, 'Fund Investment Data'!$C:$C = $A150, 'Fund Investment Data'!$A:$A = R$1, 'Fund Investment Data'!$B:$B = 12),"""")"),"")</f>
        <v/>
      </c>
      <c r="S150" t="str">
        <f>IFERROR(__xludf.DUMMYFUNCTION("IFERROR(FILTER('Fund Investment Data'!$D:$D, 'Fund Investment Data'!$C:$C = $A150, 'Fund Investment Data'!$A:$A = S$1, 'Fund Investment Data'!$B:$B = 12),"""")"),"")</f>
        <v/>
      </c>
      <c r="T150" t="str">
        <f>IFERROR(__xludf.DUMMYFUNCTION("IFERROR(FILTER('Fund Investment Data'!$D:$D, 'Fund Investment Data'!$C:$C = $A150, 'Fund Investment Data'!$A:$A = T$1, 'Fund Investment Data'!$B:$B = 12),"""")"),"")</f>
        <v/>
      </c>
      <c r="U150" t="str">
        <f>IFERROR(__xludf.DUMMYFUNCTION("IFERROR(FILTER('Fund Investment Data'!$D:$D, 'Fund Investment Data'!$C:$C = $A150, 'Fund Investment Data'!$A:$A = U$1, 'Fund Investment Data'!$B:$B = 12),"""")"),"")</f>
        <v/>
      </c>
      <c r="V150" t="str">
        <f>IFERROR(__xludf.DUMMYFUNCTION("IFERROR(FILTER('Fund Investment Data'!$D:$D, 'Fund Investment Data'!$C:$C = $A150, 'Fund Investment Data'!$A:$A = V$1, 'Fund Investment Data'!$B:$B = 12),"""")"),"")</f>
        <v/>
      </c>
      <c r="W150" t="str">
        <f>IFERROR(__xludf.DUMMYFUNCTION("IFERROR(FILTER('Fund Investment Data'!$D:$D, 'Fund Investment Data'!$C:$C = $A150, 'Fund Investment Data'!$A:$A = W$1, 'Fund Investment Data'!$B:$B = 12),"""")"),"")</f>
        <v/>
      </c>
      <c r="X150" t="str">
        <f>IFERROR(__xludf.DUMMYFUNCTION("IFERROR(FILTER('Fund Investment Data'!$D:$D, 'Fund Investment Data'!$C:$C = $A150, 'Fund Investment Data'!$A:$A = X$1, 'Fund Investment Data'!$B:$B = 12),"""")"),"")</f>
        <v/>
      </c>
      <c r="Y150" t="str">
        <f>IFERROR(__xludf.DUMMYFUNCTION("IFERROR(FILTER('Fund Investment Data'!$D:$D, 'Fund Investment Data'!$C:$C = $A150, 'Fund Investment Data'!$A:$A = Y$1, 'Fund Investment Data'!$B:$B = 12),"""")"),"")</f>
        <v/>
      </c>
      <c r="Z150" t="str">
        <f>IFERROR(__xludf.DUMMYFUNCTION("IFERROR(FILTER('Fund Investment Data'!$D:$D, 'Fund Investment Data'!$C:$C = $A150, 'Fund Investment Data'!$A:$A = Z$1, 'Fund Investment Data'!$B:$B = 12),"""")"),"")</f>
        <v/>
      </c>
      <c r="AA150" t="str">
        <f>IFERROR(__xludf.DUMMYFUNCTION("IFERROR(FILTER('Fund Investment Data'!$D:$D, 'Fund Investment Data'!$C:$C = $A150, 'Fund Investment Data'!$A:$A = AA$1, 'Fund Investment Data'!$B:$B = 12),"""")"),"")</f>
        <v/>
      </c>
      <c r="AB150" t="str">
        <f>IFERROR(__xludf.DUMMYFUNCTION("IFERROR(FILTER('Fund Investment Data'!$D:$D, 'Fund Investment Data'!$C:$C = $A150, 'Fund Investment Data'!$A:$A = AB$1, 'Fund Investment Data'!$B:$B = 12),"""")"),"")</f>
        <v/>
      </c>
      <c r="AC150" t="str">
        <f>IFERROR(__xludf.DUMMYFUNCTION("IFERROR(FILTER('Fund Investment Data'!$D:$D, 'Fund Investment Data'!$C:$C = $A150, 'Fund Investment Data'!$A:$A = AC$1, 'Fund Investment Data'!$B:$B = 12),"""")"),"")</f>
        <v/>
      </c>
      <c r="AD150" t="str">
        <f>IFERROR(__xludf.DUMMYFUNCTION("IFERROR(FILTER('Fund Investment Data'!$D:$D, 'Fund Investment Data'!$C:$C = $A150, 'Fund Investment Data'!$A:$A = AD$1, 'Fund Investment Data'!$B:$B = 12),"""")"),"")</f>
        <v/>
      </c>
      <c r="AE150" t="str">
        <f>IFERROR(__xludf.DUMMYFUNCTION("IFERROR(FILTER('Fund Investment Data'!$D:$D, 'Fund Investment Data'!$C:$C = $A150, 'Fund Investment Data'!$A:$A = AE$1, 'Fund Investment Data'!$B:$B = 12),"""")"),"")</f>
        <v/>
      </c>
    </row>
    <row r="151">
      <c r="A151" s="150" t="str">
        <f>'Endowed Funds'!A:A</f>
        <v/>
      </c>
      <c r="B151" t="str">
        <f>IFERROR(__xludf.DUMMYFUNCTION("IFERROR(FILTER('Fund Investment Data'!$D:$D, 'Fund Investment Data'!$C:$C = $A151, 'Fund Investment Data'!$A:$A = B$1, 'Fund Investment Data'!$B:$B = 12),"""")"),"")</f>
        <v/>
      </c>
      <c r="C151" t="str">
        <f>IFERROR(__xludf.DUMMYFUNCTION("IFERROR(FILTER('Fund Investment Data'!$D:$D, 'Fund Investment Data'!$C:$C = $A151, 'Fund Investment Data'!$A:$A = C$1, 'Fund Investment Data'!$B:$B = 12),"""")"),"")</f>
        <v/>
      </c>
      <c r="D151" t="str">
        <f>IFERROR(__xludf.DUMMYFUNCTION("IFERROR(FILTER('Fund Investment Data'!$D:$D, 'Fund Investment Data'!$C:$C = $A151, 'Fund Investment Data'!$A:$A = D$1, 'Fund Investment Data'!$B:$B = 12),"""")"),"")</f>
        <v/>
      </c>
      <c r="E151" t="str">
        <f>IFERROR(__xludf.DUMMYFUNCTION("IFERROR(FILTER('Fund Investment Data'!$D:$D, 'Fund Investment Data'!$C:$C = $A151, 'Fund Investment Data'!$A:$A = E$1, 'Fund Investment Data'!$B:$B = 12),"""")"),"")</f>
        <v/>
      </c>
      <c r="F151" t="str">
        <f>IFERROR(__xludf.DUMMYFUNCTION("IFERROR(FILTER('Fund Investment Data'!$D:$D, 'Fund Investment Data'!$C:$C = $A151, 'Fund Investment Data'!$A:$A = F$1, 'Fund Investment Data'!$B:$B = 12),"""")"),"")</f>
        <v/>
      </c>
      <c r="G151" t="str">
        <f>IFERROR(__xludf.DUMMYFUNCTION("IFERROR(FILTER('Fund Investment Data'!$D:$D, 'Fund Investment Data'!$C:$C = $A151, 'Fund Investment Data'!$A:$A = G$1, 'Fund Investment Data'!$B:$B = 12),"""")"),"")</f>
        <v/>
      </c>
      <c r="H151" t="str">
        <f>IFERROR(__xludf.DUMMYFUNCTION("IFERROR(FILTER('Fund Investment Data'!$D:$D, 'Fund Investment Data'!$C:$C = $A151, 'Fund Investment Data'!$A:$A = H$1, 'Fund Investment Data'!$B:$B = 12),"""")"),"")</f>
        <v/>
      </c>
      <c r="I151" t="str">
        <f>IFERROR(__xludf.DUMMYFUNCTION("IFERROR(FILTER('Fund Investment Data'!$D:$D, 'Fund Investment Data'!$C:$C = $A151, 'Fund Investment Data'!$A:$A = I$1, 'Fund Investment Data'!$B:$B = 12),"""")"),"")</f>
        <v/>
      </c>
      <c r="J151" t="str">
        <f>IFERROR(__xludf.DUMMYFUNCTION("IFERROR(FILTER('Fund Investment Data'!$D:$D, 'Fund Investment Data'!$C:$C = $A151, 'Fund Investment Data'!$A:$A = J$1, 'Fund Investment Data'!$B:$B = 12),"""")"),"")</f>
        <v/>
      </c>
      <c r="K151" t="str">
        <f>IFERROR(__xludf.DUMMYFUNCTION("IFERROR(FILTER('Fund Investment Data'!$D:$D, 'Fund Investment Data'!$C:$C = $A151, 'Fund Investment Data'!$A:$A = K$1, 'Fund Investment Data'!$B:$B = 12),"""")"),"")</f>
        <v/>
      </c>
      <c r="L151" t="str">
        <f>IFERROR(__xludf.DUMMYFUNCTION("IFERROR(FILTER('Fund Investment Data'!$D:$D, 'Fund Investment Data'!$C:$C = $A151, 'Fund Investment Data'!$A:$A = L$1, 'Fund Investment Data'!$B:$B = 12),"""")"),"")</f>
        <v/>
      </c>
      <c r="M151" t="str">
        <f>IFERROR(__xludf.DUMMYFUNCTION("IFERROR(FILTER('Fund Investment Data'!$D:$D, 'Fund Investment Data'!$C:$C = $A151, 'Fund Investment Data'!$A:$A = M$1, 'Fund Investment Data'!$B:$B = 12),"""")"),"")</f>
        <v/>
      </c>
      <c r="N151" t="str">
        <f>IFERROR(__xludf.DUMMYFUNCTION("IFERROR(FILTER('Fund Investment Data'!$D:$D, 'Fund Investment Data'!$C:$C = $A151, 'Fund Investment Data'!$A:$A = N$1, 'Fund Investment Data'!$B:$B = 12),"""")"),"")</f>
        <v/>
      </c>
      <c r="O151" t="str">
        <f>IFERROR(__xludf.DUMMYFUNCTION("IFERROR(FILTER('Fund Investment Data'!$D:$D, 'Fund Investment Data'!$C:$C = $A151, 'Fund Investment Data'!$A:$A = O$1, 'Fund Investment Data'!$B:$B = 12),"""")"),"")</f>
        <v/>
      </c>
      <c r="P151" t="str">
        <f>IFERROR(__xludf.DUMMYFUNCTION("IFERROR(FILTER('Fund Investment Data'!$D:$D, 'Fund Investment Data'!$C:$C = $A151, 'Fund Investment Data'!$A:$A = P$1, 'Fund Investment Data'!$B:$B = 12),"""")"),"")</f>
        <v/>
      </c>
      <c r="Q151" t="str">
        <f>IFERROR(__xludf.DUMMYFUNCTION("IFERROR(FILTER('Fund Investment Data'!$D:$D, 'Fund Investment Data'!$C:$C = $A151, 'Fund Investment Data'!$A:$A = Q$1, 'Fund Investment Data'!$B:$B = 12),"""")"),"")</f>
        <v/>
      </c>
      <c r="R151" t="str">
        <f>IFERROR(__xludf.DUMMYFUNCTION("IFERROR(FILTER('Fund Investment Data'!$D:$D, 'Fund Investment Data'!$C:$C = $A151, 'Fund Investment Data'!$A:$A = R$1, 'Fund Investment Data'!$B:$B = 12),"""")"),"")</f>
        <v/>
      </c>
      <c r="S151" t="str">
        <f>IFERROR(__xludf.DUMMYFUNCTION("IFERROR(FILTER('Fund Investment Data'!$D:$D, 'Fund Investment Data'!$C:$C = $A151, 'Fund Investment Data'!$A:$A = S$1, 'Fund Investment Data'!$B:$B = 12),"""")"),"")</f>
        <v/>
      </c>
      <c r="T151" t="str">
        <f>IFERROR(__xludf.DUMMYFUNCTION("IFERROR(FILTER('Fund Investment Data'!$D:$D, 'Fund Investment Data'!$C:$C = $A151, 'Fund Investment Data'!$A:$A = T$1, 'Fund Investment Data'!$B:$B = 12),"""")"),"")</f>
        <v/>
      </c>
      <c r="U151" t="str">
        <f>IFERROR(__xludf.DUMMYFUNCTION("IFERROR(FILTER('Fund Investment Data'!$D:$D, 'Fund Investment Data'!$C:$C = $A151, 'Fund Investment Data'!$A:$A = U$1, 'Fund Investment Data'!$B:$B = 12),"""")"),"")</f>
        <v/>
      </c>
      <c r="V151" t="str">
        <f>IFERROR(__xludf.DUMMYFUNCTION("IFERROR(FILTER('Fund Investment Data'!$D:$D, 'Fund Investment Data'!$C:$C = $A151, 'Fund Investment Data'!$A:$A = V$1, 'Fund Investment Data'!$B:$B = 12),"""")"),"")</f>
        <v/>
      </c>
      <c r="W151" t="str">
        <f>IFERROR(__xludf.DUMMYFUNCTION("IFERROR(FILTER('Fund Investment Data'!$D:$D, 'Fund Investment Data'!$C:$C = $A151, 'Fund Investment Data'!$A:$A = W$1, 'Fund Investment Data'!$B:$B = 12),"""")"),"")</f>
        <v/>
      </c>
      <c r="X151" t="str">
        <f>IFERROR(__xludf.DUMMYFUNCTION("IFERROR(FILTER('Fund Investment Data'!$D:$D, 'Fund Investment Data'!$C:$C = $A151, 'Fund Investment Data'!$A:$A = X$1, 'Fund Investment Data'!$B:$B = 12),"""")"),"")</f>
        <v/>
      </c>
      <c r="Y151" t="str">
        <f>IFERROR(__xludf.DUMMYFUNCTION("IFERROR(FILTER('Fund Investment Data'!$D:$D, 'Fund Investment Data'!$C:$C = $A151, 'Fund Investment Data'!$A:$A = Y$1, 'Fund Investment Data'!$B:$B = 12),"""")"),"")</f>
        <v/>
      </c>
      <c r="Z151" t="str">
        <f>IFERROR(__xludf.DUMMYFUNCTION("IFERROR(FILTER('Fund Investment Data'!$D:$D, 'Fund Investment Data'!$C:$C = $A151, 'Fund Investment Data'!$A:$A = Z$1, 'Fund Investment Data'!$B:$B = 12),"""")"),"")</f>
        <v/>
      </c>
      <c r="AA151" t="str">
        <f>IFERROR(__xludf.DUMMYFUNCTION("IFERROR(FILTER('Fund Investment Data'!$D:$D, 'Fund Investment Data'!$C:$C = $A151, 'Fund Investment Data'!$A:$A = AA$1, 'Fund Investment Data'!$B:$B = 12),"""")"),"")</f>
        <v/>
      </c>
      <c r="AB151" t="str">
        <f>IFERROR(__xludf.DUMMYFUNCTION("IFERROR(FILTER('Fund Investment Data'!$D:$D, 'Fund Investment Data'!$C:$C = $A151, 'Fund Investment Data'!$A:$A = AB$1, 'Fund Investment Data'!$B:$B = 12),"""")"),"")</f>
        <v/>
      </c>
      <c r="AC151" t="str">
        <f>IFERROR(__xludf.DUMMYFUNCTION("IFERROR(FILTER('Fund Investment Data'!$D:$D, 'Fund Investment Data'!$C:$C = $A151, 'Fund Investment Data'!$A:$A = AC$1, 'Fund Investment Data'!$B:$B = 12),"""")"),"")</f>
        <v/>
      </c>
      <c r="AD151" t="str">
        <f>IFERROR(__xludf.DUMMYFUNCTION("IFERROR(FILTER('Fund Investment Data'!$D:$D, 'Fund Investment Data'!$C:$C = $A151, 'Fund Investment Data'!$A:$A = AD$1, 'Fund Investment Data'!$B:$B = 12),"""")"),"")</f>
        <v/>
      </c>
      <c r="AE151" t="str">
        <f>IFERROR(__xludf.DUMMYFUNCTION("IFERROR(FILTER('Fund Investment Data'!$D:$D, 'Fund Investment Data'!$C:$C = $A151, 'Fund Investment Data'!$A:$A = AE$1, 'Fund Investment Data'!$B:$B = 12),"""")"),"")</f>
        <v/>
      </c>
    </row>
    <row r="152">
      <c r="A152" s="150" t="str">
        <f>'Endowed Funds'!A:A</f>
        <v/>
      </c>
      <c r="B152" t="str">
        <f>IFERROR(__xludf.DUMMYFUNCTION("IFERROR(FILTER('Fund Investment Data'!$D:$D, 'Fund Investment Data'!$C:$C = $A152, 'Fund Investment Data'!$A:$A = B$1, 'Fund Investment Data'!$B:$B = 12),"""")"),"")</f>
        <v/>
      </c>
      <c r="C152" t="str">
        <f>IFERROR(__xludf.DUMMYFUNCTION("IFERROR(FILTER('Fund Investment Data'!$D:$D, 'Fund Investment Data'!$C:$C = $A152, 'Fund Investment Data'!$A:$A = C$1, 'Fund Investment Data'!$B:$B = 12),"""")"),"")</f>
        <v/>
      </c>
      <c r="D152" t="str">
        <f>IFERROR(__xludf.DUMMYFUNCTION("IFERROR(FILTER('Fund Investment Data'!$D:$D, 'Fund Investment Data'!$C:$C = $A152, 'Fund Investment Data'!$A:$A = D$1, 'Fund Investment Data'!$B:$B = 12),"""")"),"")</f>
        <v/>
      </c>
      <c r="E152" t="str">
        <f>IFERROR(__xludf.DUMMYFUNCTION("IFERROR(FILTER('Fund Investment Data'!$D:$D, 'Fund Investment Data'!$C:$C = $A152, 'Fund Investment Data'!$A:$A = E$1, 'Fund Investment Data'!$B:$B = 12),"""")"),"")</f>
        <v/>
      </c>
      <c r="F152" t="str">
        <f>IFERROR(__xludf.DUMMYFUNCTION("IFERROR(FILTER('Fund Investment Data'!$D:$D, 'Fund Investment Data'!$C:$C = $A152, 'Fund Investment Data'!$A:$A = F$1, 'Fund Investment Data'!$B:$B = 12),"""")"),"")</f>
        <v/>
      </c>
      <c r="G152" t="str">
        <f>IFERROR(__xludf.DUMMYFUNCTION("IFERROR(FILTER('Fund Investment Data'!$D:$D, 'Fund Investment Data'!$C:$C = $A152, 'Fund Investment Data'!$A:$A = G$1, 'Fund Investment Data'!$B:$B = 12),"""")"),"")</f>
        <v/>
      </c>
      <c r="H152" t="str">
        <f>IFERROR(__xludf.DUMMYFUNCTION("IFERROR(FILTER('Fund Investment Data'!$D:$D, 'Fund Investment Data'!$C:$C = $A152, 'Fund Investment Data'!$A:$A = H$1, 'Fund Investment Data'!$B:$B = 12),"""")"),"")</f>
        <v/>
      </c>
      <c r="I152" t="str">
        <f>IFERROR(__xludf.DUMMYFUNCTION("IFERROR(FILTER('Fund Investment Data'!$D:$D, 'Fund Investment Data'!$C:$C = $A152, 'Fund Investment Data'!$A:$A = I$1, 'Fund Investment Data'!$B:$B = 12),"""")"),"")</f>
        <v/>
      </c>
      <c r="J152" t="str">
        <f>IFERROR(__xludf.DUMMYFUNCTION("IFERROR(FILTER('Fund Investment Data'!$D:$D, 'Fund Investment Data'!$C:$C = $A152, 'Fund Investment Data'!$A:$A = J$1, 'Fund Investment Data'!$B:$B = 12),"""")"),"")</f>
        <v/>
      </c>
      <c r="K152" t="str">
        <f>IFERROR(__xludf.DUMMYFUNCTION("IFERROR(FILTER('Fund Investment Data'!$D:$D, 'Fund Investment Data'!$C:$C = $A152, 'Fund Investment Data'!$A:$A = K$1, 'Fund Investment Data'!$B:$B = 12),"""")"),"")</f>
        <v/>
      </c>
      <c r="L152" t="str">
        <f>IFERROR(__xludf.DUMMYFUNCTION("IFERROR(FILTER('Fund Investment Data'!$D:$D, 'Fund Investment Data'!$C:$C = $A152, 'Fund Investment Data'!$A:$A = L$1, 'Fund Investment Data'!$B:$B = 12),"""")"),"")</f>
        <v/>
      </c>
      <c r="M152" t="str">
        <f>IFERROR(__xludf.DUMMYFUNCTION("IFERROR(FILTER('Fund Investment Data'!$D:$D, 'Fund Investment Data'!$C:$C = $A152, 'Fund Investment Data'!$A:$A = M$1, 'Fund Investment Data'!$B:$B = 12),"""")"),"")</f>
        <v/>
      </c>
      <c r="N152" t="str">
        <f>IFERROR(__xludf.DUMMYFUNCTION("IFERROR(FILTER('Fund Investment Data'!$D:$D, 'Fund Investment Data'!$C:$C = $A152, 'Fund Investment Data'!$A:$A = N$1, 'Fund Investment Data'!$B:$B = 12),"""")"),"")</f>
        <v/>
      </c>
      <c r="O152" t="str">
        <f>IFERROR(__xludf.DUMMYFUNCTION("IFERROR(FILTER('Fund Investment Data'!$D:$D, 'Fund Investment Data'!$C:$C = $A152, 'Fund Investment Data'!$A:$A = O$1, 'Fund Investment Data'!$B:$B = 12),"""")"),"")</f>
        <v/>
      </c>
      <c r="P152" t="str">
        <f>IFERROR(__xludf.DUMMYFUNCTION("IFERROR(FILTER('Fund Investment Data'!$D:$D, 'Fund Investment Data'!$C:$C = $A152, 'Fund Investment Data'!$A:$A = P$1, 'Fund Investment Data'!$B:$B = 12),"""")"),"")</f>
        <v/>
      </c>
      <c r="Q152" t="str">
        <f>IFERROR(__xludf.DUMMYFUNCTION("IFERROR(FILTER('Fund Investment Data'!$D:$D, 'Fund Investment Data'!$C:$C = $A152, 'Fund Investment Data'!$A:$A = Q$1, 'Fund Investment Data'!$B:$B = 12),"""")"),"")</f>
        <v/>
      </c>
      <c r="R152" t="str">
        <f>IFERROR(__xludf.DUMMYFUNCTION("IFERROR(FILTER('Fund Investment Data'!$D:$D, 'Fund Investment Data'!$C:$C = $A152, 'Fund Investment Data'!$A:$A = R$1, 'Fund Investment Data'!$B:$B = 12),"""")"),"")</f>
        <v/>
      </c>
      <c r="S152" t="str">
        <f>IFERROR(__xludf.DUMMYFUNCTION("IFERROR(FILTER('Fund Investment Data'!$D:$D, 'Fund Investment Data'!$C:$C = $A152, 'Fund Investment Data'!$A:$A = S$1, 'Fund Investment Data'!$B:$B = 12),"""")"),"")</f>
        <v/>
      </c>
      <c r="T152" t="str">
        <f>IFERROR(__xludf.DUMMYFUNCTION("IFERROR(FILTER('Fund Investment Data'!$D:$D, 'Fund Investment Data'!$C:$C = $A152, 'Fund Investment Data'!$A:$A = T$1, 'Fund Investment Data'!$B:$B = 12),"""")"),"")</f>
        <v/>
      </c>
      <c r="U152" t="str">
        <f>IFERROR(__xludf.DUMMYFUNCTION("IFERROR(FILTER('Fund Investment Data'!$D:$D, 'Fund Investment Data'!$C:$C = $A152, 'Fund Investment Data'!$A:$A = U$1, 'Fund Investment Data'!$B:$B = 12),"""")"),"")</f>
        <v/>
      </c>
      <c r="V152" t="str">
        <f>IFERROR(__xludf.DUMMYFUNCTION("IFERROR(FILTER('Fund Investment Data'!$D:$D, 'Fund Investment Data'!$C:$C = $A152, 'Fund Investment Data'!$A:$A = V$1, 'Fund Investment Data'!$B:$B = 12),"""")"),"")</f>
        <v/>
      </c>
      <c r="W152" t="str">
        <f>IFERROR(__xludf.DUMMYFUNCTION("IFERROR(FILTER('Fund Investment Data'!$D:$D, 'Fund Investment Data'!$C:$C = $A152, 'Fund Investment Data'!$A:$A = W$1, 'Fund Investment Data'!$B:$B = 12),"""")"),"")</f>
        <v/>
      </c>
      <c r="X152" t="str">
        <f>IFERROR(__xludf.DUMMYFUNCTION("IFERROR(FILTER('Fund Investment Data'!$D:$D, 'Fund Investment Data'!$C:$C = $A152, 'Fund Investment Data'!$A:$A = X$1, 'Fund Investment Data'!$B:$B = 12),"""")"),"")</f>
        <v/>
      </c>
      <c r="Y152" t="str">
        <f>IFERROR(__xludf.DUMMYFUNCTION("IFERROR(FILTER('Fund Investment Data'!$D:$D, 'Fund Investment Data'!$C:$C = $A152, 'Fund Investment Data'!$A:$A = Y$1, 'Fund Investment Data'!$B:$B = 12),"""")"),"")</f>
        <v/>
      </c>
      <c r="Z152" t="str">
        <f>IFERROR(__xludf.DUMMYFUNCTION("IFERROR(FILTER('Fund Investment Data'!$D:$D, 'Fund Investment Data'!$C:$C = $A152, 'Fund Investment Data'!$A:$A = Z$1, 'Fund Investment Data'!$B:$B = 12),"""")"),"")</f>
        <v/>
      </c>
      <c r="AA152" t="str">
        <f>IFERROR(__xludf.DUMMYFUNCTION("IFERROR(FILTER('Fund Investment Data'!$D:$D, 'Fund Investment Data'!$C:$C = $A152, 'Fund Investment Data'!$A:$A = AA$1, 'Fund Investment Data'!$B:$B = 12),"""")"),"")</f>
        <v/>
      </c>
      <c r="AB152" t="str">
        <f>IFERROR(__xludf.DUMMYFUNCTION("IFERROR(FILTER('Fund Investment Data'!$D:$D, 'Fund Investment Data'!$C:$C = $A152, 'Fund Investment Data'!$A:$A = AB$1, 'Fund Investment Data'!$B:$B = 12),"""")"),"")</f>
        <v/>
      </c>
      <c r="AC152" t="str">
        <f>IFERROR(__xludf.DUMMYFUNCTION("IFERROR(FILTER('Fund Investment Data'!$D:$D, 'Fund Investment Data'!$C:$C = $A152, 'Fund Investment Data'!$A:$A = AC$1, 'Fund Investment Data'!$B:$B = 12),"""")"),"")</f>
        <v/>
      </c>
      <c r="AD152" t="str">
        <f>IFERROR(__xludf.DUMMYFUNCTION("IFERROR(FILTER('Fund Investment Data'!$D:$D, 'Fund Investment Data'!$C:$C = $A152, 'Fund Investment Data'!$A:$A = AD$1, 'Fund Investment Data'!$B:$B = 12),"""")"),"")</f>
        <v/>
      </c>
      <c r="AE152" t="str">
        <f>IFERROR(__xludf.DUMMYFUNCTION("IFERROR(FILTER('Fund Investment Data'!$D:$D, 'Fund Investment Data'!$C:$C = $A152, 'Fund Investment Data'!$A:$A = AE$1, 'Fund Investment Data'!$B:$B = 12),"""")"),"")</f>
        <v/>
      </c>
    </row>
    <row r="153">
      <c r="A153" s="150" t="str">
        <f>'Endowed Funds'!A:A</f>
        <v/>
      </c>
      <c r="B153" t="str">
        <f>IFERROR(__xludf.DUMMYFUNCTION("IFERROR(FILTER('Fund Investment Data'!$D:$D, 'Fund Investment Data'!$C:$C = $A153, 'Fund Investment Data'!$A:$A = B$1, 'Fund Investment Data'!$B:$B = 12),"""")"),"")</f>
        <v/>
      </c>
      <c r="C153" t="str">
        <f>IFERROR(__xludf.DUMMYFUNCTION("IFERROR(FILTER('Fund Investment Data'!$D:$D, 'Fund Investment Data'!$C:$C = $A153, 'Fund Investment Data'!$A:$A = C$1, 'Fund Investment Data'!$B:$B = 12),"""")"),"")</f>
        <v/>
      </c>
      <c r="D153" t="str">
        <f>IFERROR(__xludf.DUMMYFUNCTION("IFERROR(FILTER('Fund Investment Data'!$D:$D, 'Fund Investment Data'!$C:$C = $A153, 'Fund Investment Data'!$A:$A = D$1, 'Fund Investment Data'!$B:$B = 12),"""")"),"")</f>
        <v/>
      </c>
      <c r="E153" t="str">
        <f>IFERROR(__xludf.DUMMYFUNCTION("IFERROR(FILTER('Fund Investment Data'!$D:$D, 'Fund Investment Data'!$C:$C = $A153, 'Fund Investment Data'!$A:$A = E$1, 'Fund Investment Data'!$B:$B = 12),"""")"),"")</f>
        <v/>
      </c>
      <c r="F153" t="str">
        <f>IFERROR(__xludf.DUMMYFUNCTION("IFERROR(FILTER('Fund Investment Data'!$D:$D, 'Fund Investment Data'!$C:$C = $A153, 'Fund Investment Data'!$A:$A = F$1, 'Fund Investment Data'!$B:$B = 12),"""")"),"")</f>
        <v/>
      </c>
      <c r="G153" t="str">
        <f>IFERROR(__xludf.DUMMYFUNCTION("IFERROR(FILTER('Fund Investment Data'!$D:$D, 'Fund Investment Data'!$C:$C = $A153, 'Fund Investment Data'!$A:$A = G$1, 'Fund Investment Data'!$B:$B = 12),"""")"),"")</f>
        <v/>
      </c>
      <c r="H153" t="str">
        <f>IFERROR(__xludf.DUMMYFUNCTION("IFERROR(FILTER('Fund Investment Data'!$D:$D, 'Fund Investment Data'!$C:$C = $A153, 'Fund Investment Data'!$A:$A = H$1, 'Fund Investment Data'!$B:$B = 12),"""")"),"")</f>
        <v/>
      </c>
      <c r="I153" t="str">
        <f>IFERROR(__xludf.DUMMYFUNCTION("IFERROR(FILTER('Fund Investment Data'!$D:$D, 'Fund Investment Data'!$C:$C = $A153, 'Fund Investment Data'!$A:$A = I$1, 'Fund Investment Data'!$B:$B = 12),"""")"),"")</f>
        <v/>
      </c>
      <c r="J153" t="str">
        <f>IFERROR(__xludf.DUMMYFUNCTION("IFERROR(FILTER('Fund Investment Data'!$D:$D, 'Fund Investment Data'!$C:$C = $A153, 'Fund Investment Data'!$A:$A = J$1, 'Fund Investment Data'!$B:$B = 12),"""")"),"")</f>
        <v/>
      </c>
      <c r="K153" t="str">
        <f>IFERROR(__xludf.DUMMYFUNCTION("IFERROR(FILTER('Fund Investment Data'!$D:$D, 'Fund Investment Data'!$C:$C = $A153, 'Fund Investment Data'!$A:$A = K$1, 'Fund Investment Data'!$B:$B = 12),"""")"),"")</f>
        <v/>
      </c>
      <c r="L153" t="str">
        <f>IFERROR(__xludf.DUMMYFUNCTION("IFERROR(FILTER('Fund Investment Data'!$D:$D, 'Fund Investment Data'!$C:$C = $A153, 'Fund Investment Data'!$A:$A = L$1, 'Fund Investment Data'!$B:$B = 12),"""")"),"")</f>
        <v/>
      </c>
      <c r="M153" t="str">
        <f>IFERROR(__xludf.DUMMYFUNCTION("IFERROR(FILTER('Fund Investment Data'!$D:$D, 'Fund Investment Data'!$C:$C = $A153, 'Fund Investment Data'!$A:$A = M$1, 'Fund Investment Data'!$B:$B = 12),"""")"),"")</f>
        <v/>
      </c>
      <c r="N153" t="str">
        <f>IFERROR(__xludf.DUMMYFUNCTION("IFERROR(FILTER('Fund Investment Data'!$D:$D, 'Fund Investment Data'!$C:$C = $A153, 'Fund Investment Data'!$A:$A = N$1, 'Fund Investment Data'!$B:$B = 12),"""")"),"")</f>
        <v/>
      </c>
      <c r="O153" t="str">
        <f>IFERROR(__xludf.DUMMYFUNCTION("IFERROR(FILTER('Fund Investment Data'!$D:$D, 'Fund Investment Data'!$C:$C = $A153, 'Fund Investment Data'!$A:$A = O$1, 'Fund Investment Data'!$B:$B = 12),"""")"),"")</f>
        <v/>
      </c>
      <c r="P153" t="str">
        <f>IFERROR(__xludf.DUMMYFUNCTION("IFERROR(FILTER('Fund Investment Data'!$D:$D, 'Fund Investment Data'!$C:$C = $A153, 'Fund Investment Data'!$A:$A = P$1, 'Fund Investment Data'!$B:$B = 12),"""")"),"")</f>
        <v/>
      </c>
      <c r="Q153" t="str">
        <f>IFERROR(__xludf.DUMMYFUNCTION("IFERROR(FILTER('Fund Investment Data'!$D:$D, 'Fund Investment Data'!$C:$C = $A153, 'Fund Investment Data'!$A:$A = Q$1, 'Fund Investment Data'!$B:$B = 12),"""")"),"")</f>
        <v/>
      </c>
      <c r="R153" t="str">
        <f>IFERROR(__xludf.DUMMYFUNCTION("IFERROR(FILTER('Fund Investment Data'!$D:$D, 'Fund Investment Data'!$C:$C = $A153, 'Fund Investment Data'!$A:$A = R$1, 'Fund Investment Data'!$B:$B = 12),"""")"),"")</f>
        <v/>
      </c>
      <c r="S153" t="str">
        <f>IFERROR(__xludf.DUMMYFUNCTION("IFERROR(FILTER('Fund Investment Data'!$D:$D, 'Fund Investment Data'!$C:$C = $A153, 'Fund Investment Data'!$A:$A = S$1, 'Fund Investment Data'!$B:$B = 12),"""")"),"")</f>
        <v/>
      </c>
      <c r="T153" t="str">
        <f>IFERROR(__xludf.DUMMYFUNCTION("IFERROR(FILTER('Fund Investment Data'!$D:$D, 'Fund Investment Data'!$C:$C = $A153, 'Fund Investment Data'!$A:$A = T$1, 'Fund Investment Data'!$B:$B = 12),"""")"),"")</f>
        <v/>
      </c>
      <c r="U153" t="str">
        <f>IFERROR(__xludf.DUMMYFUNCTION("IFERROR(FILTER('Fund Investment Data'!$D:$D, 'Fund Investment Data'!$C:$C = $A153, 'Fund Investment Data'!$A:$A = U$1, 'Fund Investment Data'!$B:$B = 12),"""")"),"")</f>
        <v/>
      </c>
      <c r="V153" t="str">
        <f>IFERROR(__xludf.DUMMYFUNCTION("IFERROR(FILTER('Fund Investment Data'!$D:$D, 'Fund Investment Data'!$C:$C = $A153, 'Fund Investment Data'!$A:$A = V$1, 'Fund Investment Data'!$B:$B = 12),"""")"),"")</f>
        <v/>
      </c>
      <c r="W153" t="str">
        <f>IFERROR(__xludf.DUMMYFUNCTION("IFERROR(FILTER('Fund Investment Data'!$D:$D, 'Fund Investment Data'!$C:$C = $A153, 'Fund Investment Data'!$A:$A = W$1, 'Fund Investment Data'!$B:$B = 12),"""")"),"")</f>
        <v/>
      </c>
      <c r="X153" t="str">
        <f>IFERROR(__xludf.DUMMYFUNCTION("IFERROR(FILTER('Fund Investment Data'!$D:$D, 'Fund Investment Data'!$C:$C = $A153, 'Fund Investment Data'!$A:$A = X$1, 'Fund Investment Data'!$B:$B = 12),"""")"),"")</f>
        <v/>
      </c>
      <c r="Y153" t="str">
        <f>IFERROR(__xludf.DUMMYFUNCTION("IFERROR(FILTER('Fund Investment Data'!$D:$D, 'Fund Investment Data'!$C:$C = $A153, 'Fund Investment Data'!$A:$A = Y$1, 'Fund Investment Data'!$B:$B = 12),"""")"),"")</f>
        <v/>
      </c>
      <c r="Z153" t="str">
        <f>IFERROR(__xludf.DUMMYFUNCTION("IFERROR(FILTER('Fund Investment Data'!$D:$D, 'Fund Investment Data'!$C:$C = $A153, 'Fund Investment Data'!$A:$A = Z$1, 'Fund Investment Data'!$B:$B = 12),"""")"),"")</f>
        <v/>
      </c>
      <c r="AA153" t="str">
        <f>IFERROR(__xludf.DUMMYFUNCTION("IFERROR(FILTER('Fund Investment Data'!$D:$D, 'Fund Investment Data'!$C:$C = $A153, 'Fund Investment Data'!$A:$A = AA$1, 'Fund Investment Data'!$B:$B = 12),"""")"),"")</f>
        <v/>
      </c>
      <c r="AB153" t="str">
        <f>IFERROR(__xludf.DUMMYFUNCTION("IFERROR(FILTER('Fund Investment Data'!$D:$D, 'Fund Investment Data'!$C:$C = $A153, 'Fund Investment Data'!$A:$A = AB$1, 'Fund Investment Data'!$B:$B = 12),"""")"),"")</f>
        <v/>
      </c>
      <c r="AC153" t="str">
        <f>IFERROR(__xludf.DUMMYFUNCTION("IFERROR(FILTER('Fund Investment Data'!$D:$D, 'Fund Investment Data'!$C:$C = $A153, 'Fund Investment Data'!$A:$A = AC$1, 'Fund Investment Data'!$B:$B = 12),"""")"),"")</f>
        <v/>
      </c>
      <c r="AD153" t="str">
        <f>IFERROR(__xludf.DUMMYFUNCTION("IFERROR(FILTER('Fund Investment Data'!$D:$D, 'Fund Investment Data'!$C:$C = $A153, 'Fund Investment Data'!$A:$A = AD$1, 'Fund Investment Data'!$B:$B = 12),"""")"),"")</f>
        <v/>
      </c>
      <c r="AE153" t="str">
        <f>IFERROR(__xludf.DUMMYFUNCTION("IFERROR(FILTER('Fund Investment Data'!$D:$D, 'Fund Investment Data'!$C:$C = $A153, 'Fund Investment Data'!$A:$A = AE$1, 'Fund Investment Data'!$B:$B = 12),"""")"),"")</f>
        <v/>
      </c>
    </row>
    <row r="154">
      <c r="A154" s="150" t="str">
        <f>'Endowed Funds'!A:A</f>
        <v/>
      </c>
      <c r="B154" t="str">
        <f>IFERROR(__xludf.DUMMYFUNCTION("IFERROR(FILTER('Fund Investment Data'!$D:$D, 'Fund Investment Data'!$C:$C = $A154, 'Fund Investment Data'!$A:$A = B$1, 'Fund Investment Data'!$B:$B = 12),"""")"),"")</f>
        <v/>
      </c>
      <c r="C154" t="str">
        <f>IFERROR(__xludf.DUMMYFUNCTION("IFERROR(FILTER('Fund Investment Data'!$D:$D, 'Fund Investment Data'!$C:$C = $A154, 'Fund Investment Data'!$A:$A = C$1, 'Fund Investment Data'!$B:$B = 12),"""")"),"")</f>
        <v/>
      </c>
      <c r="D154" t="str">
        <f>IFERROR(__xludf.DUMMYFUNCTION("IFERROR(FILTER('Fund Investment Data'!$D:$D, 'Fund Investment Data'!$C:$C = $A154, 'Fund Investment Data'!$A:$A = D$1, 'Fund Investment Data'!$B:$B = 12),"""")"),"")</f>
        <v/>
      </c>
      <c r="E154" t="str">
        <f>IFERROR(__xludf.DUMMYFUNCTION("IFERROR(FILTER('Fund Investment Data'!$D:$D, 'Fund Investment Data'!$C:$C = $A154, 'Fund Investment Data'!$A:$A = E$1, 'Fund Investment Data'!$B:$B = 12),"""")"),"")</f>
        <v/>
      </c>
      <c r="F154" t="str">
        <f>IFERROR(__xludf.DUMMYFUNCTION("IFERROR(FILTER('Fund Investment Data'!$D:$D, 'Fund Investment Data'!$C:$C = $A154, 'Fund Investment Data'!$A:$A = F$1, 'Fund Investment Data'!$B:$B = 12),"""")"),"")</f>
        <v/>
      </c>
      <c r="G154" t="str">
        <f>IFERROR(__xludf.DUMMYFUNCTION("IFERROR(FILTER('Fund Investment Data'!$D:$D, 'Fund Investment Data'!$C:$C = $A154, 'Fund Investment Data'!$A:$A = G$1, 'Fund Investment Data'!$B:$B = 12),"""")"),"")</f>
        <v/>
      </c>
      <c r="H154" t="str">
        <f>IFERROR(__xludf.DUMMYFUNCTION("IFERROR(FILTER('Fund Investment Data'!$D:$D, 'Fund Investment Data'!$C:$C = $A154, 'Fund Investment Data'!$A:$A = H$1, 'Fund Investment Data'!$B:$B = 12),"""")"),"")</f>
        <v/>
      </c>
      <c r="I154" t="str">
        <f>IFERROR(__xludf.DUMMYFUNCTION("IFERROR(FILTER('Fund Investment Data'!$D:$D, 'Fund Investment Data'!$C:$C = $A154, 'Fund Investment Data'!$A:$A = I$1, 'Fund Investment Data'!$B:$B = 12),"""")"),"")</f>
        <v/>
      </c>
      <c r="J154" t="str">
        <f>IFERROR(__xludf.DUMMYFUNCTION("IFERROR(FILTER('Fund Investment Data'!$D:$D, 'Fund Investment Data'!$C:$C = $A154, 'Fund Investment Data'!$A:$A = J$1, 'Fund Investment Data'!$B:$B = 12),"""")"),"")</f>
        <v/>
      </c>
      <c r="K154" t="str">
        <f>IFERROR(__xludf.DUMMYFUNCTION("IFERROR(FILTER('Fund Investment Data'!$D:$D, 'Fund Investment Data'!$C:$C = $A154, 'Fund Investment Data'!$A:$A = K$1, 'Fund Investment Data'!$B:$B = 12),"""")"),"")</f>
        <v/>
      </c>
      <c r="L154" t="str">
        <f>IFERROR(__xludf.DUMMYFUNCTION("IFERROR(FILTER('Fund Investment Data'!$D:$D, 'Fund Investment Data'!$C:$C = $A154, 'Fund Investment Data'!$A:$A = L$1, 'Fund Investment Data'!$B:$B = 12),"""")"),"")</f>
        <v/>
      </c>
      <c r="M154" t="str">
        <f>IFERROR(__xludf.DUMMYFUNCTION("IFERROR(FILTER('Fund Investment Data'!$D:$D, 'Fund Investment Data'!$C:$C = $A154, 'Fund Investment Data'!$A:$A = M$1, 'Fund Investment Data'!$B:$B = 12),"""")"),"")</f>
        <v/>
      </c>
      <c r="N154" t="str">
        <f>IFERROR(__xludf.DUMMYFUNCTION("IFERROR(FILTER('Fund Investment Data'!$D:$D, 'Fund Investment Data'!$C:$C = $A154, 'Fund Investment Data'!$A:$A = N$1, 'Fund Investment Data'!$B:$B = 12),"""")"),"")</f>
        <v/>
      </c>
      <c r="O154" t="str">
        <f>IFERROR(__xludf.DUMMYFUNCTION("IFERROR(FILTER('Fund Investment Data'!$D:$D, 'Fund Investment Data'!$C:$C = $A154, 'Fund Investment Data'!$A:$A = O$1, 'Fund Investment Data'!$B:$B = 12),"""")"),"")</f>
        <v/>
      </c>
      <c r="P154" t="str">
        <f>IFERROR(__xludf.DUMMYFUNCTION("IFERROR(FILTER('Fund Investment Data'!$D:$D, 'Fund Investment Data'!$C:$C = $A154, 'Fund Investment Data'!$A:$A = P$1, 'Fund Investment Data'!$B:$B = 12),"""")"),"")</f>
        <v/>
      </c>
      <c r="Q154" t="str">
        <f>IFERROR(__xludf.DUMMYFUNCTION("IFERROR(FILTER('Fund Investment Data'!$D:$D, 'Fund Investment Data'!$C:$C = $A154, 'Fund Investment Data'!$A:$A = Q$1, 'Fund Investment Data'!$B:$B = 12),"""")"),"")</f>
        <v/>
      </c>
      <c r="R154" t="str">
        <f>IFERROR(__xludf.DUMMYFUNCTION("IFERROR(FILTER('Fund Investment Data'!$D:$D, 'Fund Investment Data'!$C:$C = $A154, 'Fund Investment Data'!$A:$A = R$1, 'Fund Investment Data'!$B:$B = 12),"""")"),"")</f>
        <v/>
      </c>
      <c r="S154" t="str">
        <f>IFERROR(__xludf.DUMMYFUNCTION("IFERROR(FILTER('Fund Investment Data'!$D:$D, 'Fund Investment Data'!$C:$C = $A154, 'Fund Investment Data'!$A:$A = S$1, 'Fund Investment Data'!$B:$B = 12),"""")"),"")</f>
        <v/>
      </c>
      <c r="T154" t="str">
        <f>IFERROR(__xludf.DUMMYFUNCTION("IFERROR(FILTER('Fund Investment Data'!$D:$D, 'Fund Investment Data'!$C:$C = $A154, 'Fund Investment Data'!$A:$A = T$1, 'Fund Investment Data'!$B:$B = 12),"""")"),"")</f>
        <v/>
      </c>
      <c r="U154" t="str">
        <f>IFERROR(__xludf.DUMMYFUNCTION("IFERROR(FILTER('Fund Investment Data'!$D:$D, 'Fund Investment Data'!$C:$C = $A154, 'Fund Investment Data'!$A:$A = U$1, 'Fund Investment Data'!$B:$B = 12),"""")"),"")</f>
        <v/>
      </c>
      <c r="V154" t="str">
        <f>IFERROR(__xludf.DUMMYFUNCTION("IFERROR(FILTER('Fund Investment Data'!$D:$D, 'Fund Investment Data'!$C:$C = $A154, 'Fund Investment Data'!$A:$A = V$1, 'Fund Investment Data'!$B:$B = 12),"""")"),"")</f>
        <v/>
      </c>
      <c r="W154" t="str">
        <f>IFERROR(__xludf.DUMMYFUNCTION("IFERROR(FILTER('Fund Investment Data'!$D:$D, 'Fund Investment Data'!$C:$C = $A154, 'Fund Investment Data'!$A:$A = W$1, 'Fund Investment Data'!$B:$B = 12),"""")"),"")</f>
        <v/>
      </c>
      <c r="X154" t="str">
        <f>IFERROR(__xludf.DUMMYFUNCTION("IFERROR(FILTER('Fund Investment Data'!$D:$D, 'Fund Investment Data'!$C:$C = $A154, 'Fund Investment Data'!$A:$A = X$1, 'Fund Investment Data'!$B:$B = 12),"""")"),"")</f>
        <v/>
      </c>
      <c r="Y154" t="str">
        <f>IFERROR(__xludf.DUMMYFUNCTION("IFERROR(FILTER('Fund Investment Data'!$D:$D, 'Fund Investment Data'!$C:$C = $A154, 'Fund Investment Data'!$A:$A = Y$1, 'Fund Investment Data'!$B:$B = 12),"""")"),"")</f>
        <v/>
      </c>
      <c r="Z154" t="str">
        <f>IFERROR(__xludf.DUMMYFUNCTION("IFERROR(FILTER('Fund Investment Data'!$D:$D, 'Fund Investment Data'!$C:$C = $A154, 'Fund Investment Data'!$A:$A = Z$1, 'Fund Investment Data'!$B:$B = 12),"""")"),"")</f>
        <v/>
      </c>
      <c r="AA154" t="str">
        <f>IFERROR(__xludf.DUMMYFUNCTION("IFERROR(FILTER('Fund Investment Data'!$D:$D, 'Fund Investment Data'!$C:$C = $A154, 'Fund Investment Data'!$A:$A = AA$1, 'Fund Investment Data'!$B:$B = 12),"""")"),"")</f>
        <v/>
      </c>
      <c r="AB154" t="str">
        <f>IFERROR(__xludf.DUMMYFUNCTION("IFERROR(FILTER('Fund Investment Data'!$D:$D, 'Fund Investment Data'!$C:$C = $A154, 'Fund Investment Data'!$A:$A = AB$1, 'Fund Investment Data'!$B:$B = 12),"""")"),"")</f>
        <v/>
      </c>
      <c r="AC154" t="str">
        <f>IFERROR(__xludf.DUMMYFUNCTION("IFERROR(FILTER('Fund Investment Data'!$D:$D, 'Fund Investment Data'!$C:$C = $A154, 'Fund Investment Data'!$A:$A = AC$1, 'Fund Investment Data'!$B:$B = 12),"""")"),"")</f>
        <v/>
      </c>
      <c r="AD154" t="str">
        <f>IFERROR(__xludf.DUMMYFUNCTION("IFERROR(FILTER('Fund Investment Data'!$D:$D, 'Fund Investment Data'!$C:$C = $A154, 'Fund Investment Data'!$A:$A = AD$1, 'Fund Investment Data'!$B:$B = 12),"""")"),"")</f>
        <v/>
      </c>
      <c r="AE154" t="str">
        <f>IFERROR(__xludf.DUMMYFUNCTION("IFERROR(FILTER('Fund Investment Data'!$D:$D, 'Fund Investment Data'!$C:$C = $A154, 'Fund Investment Data'!$A:$A = AE$1, 'Fund Investment Data'!$B:$B = 12),"""")"),"")</f>
        <v/>
      </c>
    </row>
    <row r="155">
      <c r="A155" s="150" t="str">
        <f>'Endowed Funds'!A:A</f>
        <v/>
      </c>
      <c r="B155" t="str">
        <f>IFERROR(__xludf.DUMMYFUNCTION("IFERROR(FILTER('Fund Investment Data'!$D:$D, 'Fund Investment Data'!$C:$C = $A155, 'Fund Investment Data'!$A:$A = B$1, 'Fund Investment Data'!$B:$B = 12),"""")"),"")</f>
        <v/>
      </c>
      <c r="C155" t="str">
        <f>IFERROR(__xludf.DUMMYFUNCTION("IFERROR(FILTER('Fund Investment Data'!$D:$D, 'Fund Investment Data'!$C:$C = $A155, 'Fund Investment Data'!$A:$A = C$1, 'Fund Investment Data'!$B:$B = 12),"""")"),"")</f>
        <v/>
      </c>
      <c r="D155" t="str">
        <f>IFERROR(__xludf.DUMMYFUNCTION("IFERROR(FILTER('Fund Investment Data'!$D:$D, 'Fund Investment Data'!$C:$C = $A155, 'Fund Investment Data'!$A:$A = D$1, 'Fund Investment Data'!$B:$B = 12),"""")"),"")</f>
        <v/>
      </c>
      <c r="E155" t="str">
        <f>IFERROR(__xludf.DUMMYFUNCTION("IFERROR(FILTER('Fund Investment Data'!$D:$D, 'Fund Investment Data'!$C:$C = $A155, 'Fund Investment Data'!$A:$A = E$1, 'Fund Investment Data'!$B:$B = 12),"""")"),"")</f>
        <v/>
      </c>
      <c r="F155" t="str">
        <f>IFERROR(__xludf.DUMMYFUNCTION("IFERROR(FILTER('Fund Investment Data'!$D:$D, 'Fund Investment Data'!$C:$C = $A155, 'Fund Investment Data'!$A:$A = F$1, 'Fund Investment Data'!$B:$B = 12),"""")"),"")</f>
        <v/>
      </c>
      <c r="G155" t="str">
        <f>IFERROR(__xludf.DUMMYFUNCTION("IFERROR(FILTER('Fund Investment Data'!$D:$D, 'Fund Investment Data'!$C:$C = $A155, 'Fund Investment Data'!$A:$A = G$1, 'Fund Investment Data'!$B:$B = 12),"""")"),"")</f>
        <v/>
      </c>
      <c r="H155" t="str">
        <f>IFERROR(__xludf.DUMMYFUNCTION("IFERROR(FILTER('Fund Investment Data'!$D:$D, 'Fund Investment Data'!$C:$C = $A155, 'Fund Investment Data'!$A:$A = H$1, 'Fund Investment Data'!$B:$B = 12),"""")"),"")</f>
        <v/>
      </c>
      <c r="I155" t="str">
        <f>IFERROR(__xludf.DUMMYFUNCTION("IFERROR(FILTER('Fund Investment Data'!$D:$D, 'Fund Investment Data'!$C:$C = $A155, 'Fund Investment Data'!$A:$A = I$1, 'Fund Investment Data'!$B:$B = 12),"""")"),"")</f>
        <v/>
      </c>
      <c r="J155" t="str">
        <f>IFERROR(__xludf.DUMMYFUNCTION("IFERROR(FILTER('Fund Investment Data'!$D:$D, 'Fund Investment Data'!$C:$C = $A155, 'Fund Investment Data'!$A:$A = J$1, 'Fund Investment Data'!$B:$B = 12),"""")"),"")</f>
        <v/>
      </c>
      <c r="K155" t="str">
        <f>IFERROR(__xludf.DUMMYFUNCTION("IFERROR(FILTER('Fund Investment Data'!$D:$D, 'Fund Investment Data'!$C:$C = $A155, 'Fund Investment Data'!$A:$A = K$1, 'Fund Investment Data'!$B:$B = 12),"""")"),"")</f>
        <v/>
      </c>
      <c r="L155" t="str">
        <f>IFERROR(__xludf.DUMMYFUNCTION("IFERROR(FILTER('Fund Investment Data'!$D:$D, 'Fund Investment Data'!$C:$C = $A155, 'Fund Investment Data'!$A:$A = L$1, 'Fund Investment Data'!$B:$B = 12),"""")"),"")</f>
        <v/>
      </c>
      <c r="M155" t="str">
        <f>IFERROR(__xludf.DUMMYFUNCTION("IFERROR(FILTER('Fund Investment Data'!$D:$D, 'Fund Investment Data'!$C:$C = $A155, 'Fund Investment Data'!$A:$A = M$1, 'Fund Investment Data'!$B:$B = 12),"""")"),"")</f>
        <v/>
      </c>
      <c r="N155" t="str">
        <f>IFERROR(__xludf.DUMMYFUNCTION("IFERROR(FILTER('Fund Investment Data'!$D:$D, 'Fund Investment Data'!$C:$C = $A155, 'Fund Investment Data'!$A:$A = N$1, 'Fund Investment Data'!$B:$B = 12),"""")"),"")</f>
        <v/>
      </c>
      <c r="O155" t="str">
        <f>IFERROR(__xludf.DUMMYFUNCTION("IFERROR(FILTER('Fund Investment Data'!$D:$D, 'Fund Investment Data'!$C:$C = $A155, 'Fund Investment Data'!$A:$A = O$1, 'Fund Investment Data'!$B:$B = 12),"""")"),"")</f>
        <v/>
      </c>
      <c r="P155" t="str">
        <f>IFERROR(__xludf.DUMMYFUNCTION("IFERROR(FILTER('Fund Investment Data'!$D:$D, 'Fund Investment Data'!$C:$C = $A155, 'Fund Investment Data'!$A:$A = P$1, 'Fund Investment Data'!$B:$B = 12),"""")"),"")</f>
        <v/>
      </c>
      <c r="Q155" t="str">
        <f>IFERROR(__xludf.DUMMYFUNCTION("IFERROR(FILTER('Fund Investment Data'!$D:$D, 'Fund Investment Data'!$C:$C = $A155, 'Fund Investment Data'!$A:$A = Q$1, 'Fund Investment Data'!$B:$B = 12),"""")"),"")</f>
        <v/>
      </c>
      <c r="R155" t="str">
        <f>IFERROR(__xludf.DUMMYFUNCTION("IFERROR(FILTER('Fund Investment Data'!$D:$D, 'Fund Investment Data'!$C:$C = $A155, 'Fund Investment Data'!$A:$A = R$1, 'Fund Investment Data'!$B:$B = 12),"""")"),"")</f>
        <v/>
      </c>
      <c r="S155" t="str">
        <f>IFERROR(__xludf.DUMMYFUNCTION("IFERROR(FILTER('Fund Investment Data'!$D:$D, 'Fund Investment Data'!$C:$C = $A155, 'Fund Investment Data'!$A:$A = S$1, 'Fund Investment Data'!$B:$B = 12),"""")"),"")</f>
        <v/>
      </c>
      <c r="T155" t="str">
        <f>IFERROR(__xludf.DUMMYFUNCTION("IFERROR(FILTER('Fund Investment Data'!$D:$D, 'Fund Investment Data'!$C:$C = $A155, 'Fund Investment Data'!$A:$A = T$1, 'Fund Investment Data'!$B:$B = 12),"""")"),"")</f>
        <v/>
      </c>
      <c r="U155" t="str">
        <f>IFERROR(__xludf.DUMMYFUNCTION("IFERROR(FILTER('Fund Investment Data'!$D:$D, 'Fund Investment Data'!$C:$C = $A155, 'Fund Investment Data'!$A:$A = U$1, 'Fund Investment Data'!$B:$B = 12),"""")"),"")</f>
        <v/>
      </c>
      <c r="V155" t="str">
        <f>IFERROR(__xludf.DUMMYFUNCTION("IFERROR(FILTER('Fund Investment Data'!$D:$D, 'Fund Investment Data'!$C:$C = $A155, 'Fund Investment Data'!$A:$A = V$1, 'Fund Investment Data'!$B:$B = 12),"""")"),"")</f>
        <v/>
      </c>
      <c r="W155" t="str">
        <f>IFERROR(__xludf.DUMMYFUNCTION("IFERROR(FILTER('Fund Investment Data'!$D:$D, 'Fund Investment Data'!$C:$C = $A155, 'Fund Investment Data'!$A:$A = W$1, 'Fund Investment Data'!$B:$B = 12),"""")"),"")</f>
        <v/>
      </c>
      <c r="X155" t="str">
        <f>IFERROR(__xludf.DUMMYFUNCTION("IFERROR(FILTER('Fund Investment Data'!$D:$D, 'Fund Investment Data'!$C:$C = $A155, 'Fund Investment Data'!$A:$A = X$1, 'Fund Investment Data'!$B:$B = 12),"""")"),"")</f>
        <v/>
      </c>
      <c r="Y155" t="str">
        <f>IFERROR(__xludf.DUMMYFUNCTION("IFERROR(FILTER('Fund Investment Data'!$D:$D, 'Fund Investment Data'!$C:$C = $A155, 'Fund Investment Data'!$A:$A = Y$1, 'Fund Investment Data'!$B:$B = 12),"""")"),"")</f>
        <v/>
      </c>
      <c r="Z155" t="str">
        <f>IFERROR(__xludf.DUMMYFUNCTION("IFERROR(FILTER('Fund Investment Data'!$D:$D, 'Fund Investment Data'!$C:$C = $A155, 'Fund Investment Data'!$A:$A = Z$1, 'Fund Investment Data'!$B:$B = 12),"""")"),"")</f>
        <v/>
      </c>
      <c r="AA155" t="str">
        <f>IFERROR(__xludf.DUMMYFUNCTION("IFERROR(FILTER('Fund Investment Data'!$D:$D, 'Fund Investment Data'!$C:$C = $A155, 'Fund Investment Data'!$A:$A = AA$1, 'Fund Investment Data'!$B:$B = 12),"""")"),"")</f>
        <v/>
      </c>
      <c r="AB155" t="str">
        <f>IFERROR(__xludf.DUMMYFUNCTION("IFERROR(FILTER('Fund Investment Data'!$D:$D, 'Fund Investment Data'!$C:$C = $A155, 'Fund Investment Data'!$A:$A = AB$1, 'Fund Investment Data'!$B:$B = 12),"""")"),"")</f>
        <v/>
      </c>
      <c r="AC155" t="str">
        <f>IFERROR(__xludf.DUMMYFUNCTION("IFERROR(FILTER('Fund Investment Data'!$D:$D, 'Fund Investment Data'!$C:$C = $A155, 'Fund Investment Data'!$A:$A = AC$1, 'Fund Investment Data'!$B:$B = 12),"""")"),"")</f>
        <v/>
      </c>
      <c r="AD155" t="str">
        <f>IFERROR(__xludf.DUMMYFUNCTION("IFERROR(FILTER('Fund Investment Data'!$D:$D, 'Fund Investment Data'!$C:$C = $A155, 'Fund Investment Data'!$A:$A = AD$1, 'Fund Investment Data'!$B:$B = 12),"""")"),"")</f>
        <v/>
      </c>
      <c r="AE155" t="str">
        <f>IFERROR(__xludf.DUMMYFUNCTION("IFERROR(FILTER('Fund Investment Data'!$D:$D, 'Fund Investment Data'!$C:$C = $A155, 'Fund Investment Data'!$A:$A = AE$1, 'Fund Investment Data'!$B:$B = 12),"""")"),"")</f>
        <v/>
      </c>
    </row>
    <row r="156">
      <c r="A156" s="150" t="str">
        <f>'Endowed Funds'!A:A</f>
        <v/>
      </c>
      <c r="B156" t="str">
        <f>IFERROR(__xludf.DUMMYFUNCTION("IFERROR(FILTER('Fund Investment Data'!$D:$D, 'Fund Investment Data'!$C:$C = $A156, 'Fund Investment Data'!$A:$A = B$1, 'Fund Investment Data'!$B:$B = 12),"""")"),"")</f>
        <v/>
      </c>
      <c r="C156" t="str">
        <f>IFERROR(__xludf.DUMMYFUNCTION("IFERROR(FILTER('Fund Investment Data'!$D:$D, 'Fund Investment Data'!$C:$C = $A156, 'Fund Investment Data'!$A:$A = C$1, 'Fund Investment Data'!$B:$B = 12),"""")"),"")</f>
        <v/>
      </c>
      <c r="D156" t="str">
        <f>IFERROR(__xludf.DUMMYFUNCTION("IFERROR(FILTER('Fund Investment Data'!$D:$D, 'Fund Investment Data'!$C:$C = $A156, 'Fund Investment Data'!$A:$A = D$1, 'Fund Investment Data'!$B:$B = 12),"""")"),"")</f>
        <v/>
      </c>
      <c r="E156" t="str">
        <f>IFERROR(__xludf.DUMMYFUNCTION("IFERROR(FILTER('Fund Investment Data'!$D:$D, 'Fund Investment Data'!$C:$C = $A156, 'Fund Investment Data'!$A:$A = E$1, 'Fund Investment Data'!$B:$B = 12),"""")"),"")</f>
        <v/>
      </c>
      <c r="F156" t="str">
        <f>IFERROR(__xludf.DUMMYFUNCTION("IFERROR(FILTER('Fund Investment Data'!$D:$D, 'Fund Investment Data'!$C:$C = $A156, 'Fund Investment Data'!$A:$A = F$1, 'Fund Investment Data'!$B:$B = 12),"""")"),"")</f>
        <v/>
      </c>
      <c r="G156" t="str">
        <f>IFERROR(__xludf.DUMMYFUNCTION("IFERROR(FILTER('Fund Investment Data'!$D:$D, 'Fund Investment Data'!$C:$C = $A156, 'Fund Investment Data'!$A:$A = G$1, 'Fund Investment Data'!$B:$B = 12),"""")"),"")</f>
        <v/>
      </c>
      <c r="H156" t="str">
        <f>IFERROR(__xludf.DUMMYFUNCTION("IFERROR(FILTER('Fund Investment Data'!$D:$D, 'Fund Investment Data'!$C:$C = $A156, 'Fund Investment Data'!$A:$A = H$1, 'Fund Investment Data'!$B:$B = 12),"""")"),"")</f>
        <v/>
      </c>
      <c r="I156" t="str">
        <f>IFERROR(__xludf.DUMMYFUNCTION("IFERROR(FILTER('Fund Investment Data'!$D:$D, 'Fund Investment Data'!$C:$C = $A156, 'Fund Investment Data'!$A:$A = I$1, 'Fund Investment Data'!$B:$B = 12),"""")"),"")</f>
        <v/>
      </c>
      <c r="J156" t="str">
        <f>IFERROR(__xludf.DUMMYFUNCTION("IFERROR(FILTER('Fund Investment Data'!$D:$D, 'Fund Investment Data'!$C:$C = $A156, 'Fund Investment Data'!$A:$A = J$1, 'Fund Investment Data'!$B:$B = 12),"""")"),"")</f>
        <v/>
      </c>
      <c r="K156" t="str">
        <f>IFERROR(__xludf.DUMMYFUNCTION("IFERROR(FILTER('Fund Investment Data'!$D:$D, 'Fund Investment Data'!$C:$C = $A156, 'Fund Investment Data'!$A:$A = K$1, 'Fund Investment Data'!$B:$B = 12),"""")"),"")</f>
        <v/>
      </c>
      <c r="L156" t="str">
        <f>IFERROR(__xludf.DUMMYFUNCTION("IFERROR(FILTER('Fund Investment Data'!$D:$D, 'Fund Investment Data'!$C:$C = $A156, 'Fund Investment Data'!$A:$A = L$1, 'Fund Investment Data'!$B:$B = 12),"""")"),"")</f>
        <v/>
      </c>
      <c r="M156" t="str">
        <f>IFERROR(__xludf.DUMMYFUNCTION("IFERROR(FILTER('Fund Investment Data'!$D:$D, 'Fund Investment Data'!$C:$C = $A156, 'Fund Investment Data'!$A:$A = M$1, 'Fund Investment Data'!$B:$B = 12),"""")"),"")</f>
        <v/>
      </c>
      <c r="N156" t="str">
        <f>IFERROR(__xludf.DUMMYFUNCTION("IFERROR(FILTER('Fund Investment Data'!$D:$D, 'Fund Investment Data'!$C:$C = $A156, 'Fund Investment Data'!$A:$A = N$1, 'Fund Investment Data'!$B:$B = 12),"""")"),"")</f>
        <v/>
      </c>
      <c r="O156" t="str">
        <f>IFERROR(__xludf.DUMMYFUNCTION("IFERROR(FILTER('Fund Investment Data'!$D:$D, 'Fund Investment Data'!$C:$C = $A156, 'Fund Investment Data'!$A:$A = O$1, 'Fund Investment Data'!$B:$B = 12),"""")"),"")</f>
        <v/>
      </c>
      <c r="P156" t="str">
        <f>IFERROR(__xludf.DUMMYFUNCTION("IFERROR(FILTER('Fund Investment Data'!$D:$D, 'Fund Investment Data'!$C:$C = $A156, 'Fund Investment Data'!$A:$A = P$1, 'Fund Investment Data'!$B:$B = 12),"""")"),"")</f>
        <v/>
      </c>
      <c r="Q156" t="str">
        <f>IFERROR(__xludf.DUMMYFUNCTION("IFERROR(FILTER('Fund Investment Data'!$D:$D, 'Fund Investment Data'!$C:$C = $A156, 'Fund Investment Data'!$A:$A = Q$1, 'Fund Investment Data'!$B:$B = 12),"""")"),"")</f>
        <v/>
      </c>
      <c r="R156" t="str">
        <f>IFERROR(__xludf.DUMMYFUNCTION("IFERROR(FILTER('Fund Investment Data'!$D:$D, 'Fund Investment Data'!$C:$C = $A156, 'Fund Investment Data'!$A:$A = R$1, 'Fund Investment Data'!$B:$B = 12),"""")"),"")</f>
        <v/>
      </c>
      <c r="S156" t="str">
        <f>IFERROR(__xludf.DUMMYFUNCTION("IFERROR(FILTER('Fund Investment Data'!$D:$D, 'Fund Investment Data'!$C:$C = $A156, 'Fund Investment Data'!$A:$A = S$1, 'Fund Investment Data'!$B:$B = 12),"""")"),"")</f>
        <v/>
      </c>
      <c r="T156" t="str">
        <f>IFERROR(__xludf.DUMMYFUNCTION("IFERROR(FILTER('Fund Investment Data'!$D:$D, 'Fund Investment Data'!$C:$C = $A156, 'Fund Investment Data'!$A:$A = T$1, 'Fund Investment Data'!$B:$B = 12),"""")"),"")</f>
        <v/>
      </c>
      <c r="U156" t="str">
        <f>IFERROR(__xludf.DUMMYFUNCTION("IFERROR(FILTER('Fund Investment Data'!$D:$D, 'Fund Investment Data'!$C:$C = $A156, 'Fund Investment Data'!$A:$A = U$1, 'Fund Investment Data'!$B:$B = 12),"""")"),"")</f>
        <v/>
      </c>
      <c r="V156" t="str">
        <f>IFERROR(__xludf.DUMMYFUNCTION("IFERROR(FILTER('Fund Investment Data'!$D:$D, 'Fund Investment Data'!$C:$C = $A156, 'Fund Investment Data'!$A:$A = V$1, 'Fund Investment Data'!$B:$B = 12),"""")"),"")</f>
        <v/>
      </c>
      <c r="W156" t="str">
        <f>IFERROR(__xludf.DUMMYFUNCTION("IFERROR(FILTER('Fund Investment Data'!$D:$D, 'Fund Investment Data'!$C:$C = $A156, 'Fund Investment Data'!$A:$A = W$1, 'Fund Investment Data'!$B:$B = 12),"""")"),"")</f>
        <v/>
      </c>
      <c r="X156" t="str">
        <f>IFERROR(__xludf.DUMMYFUNCTION("IFERROR(FILTER('Fund Investment Data'!$D:$D, 'Fund Investment Data'!$C:$C = $A156, 'Fund Investment Data'!$A:$A = X$1, 'Fund Investment Data'!$B:$B = 12),"""")"),"")</f>
        <v/>
      </c>
      <c r="Y156" t="str">
        <f>IFERROR(__xludf.DUMMYFUNCTION("IFERROR(FILTER('Fund Investment Data'!$D:$D, 'Fund Investment Data'!$C:$C = $A156, 'Fund Investment Data'!$A:$A = Y$1, 'Fund Investment Data'!$B:$B = 12),"""")"),"")</f>
        <v/>
      </c>
      <c r="Z156" t="str">
        <f>IFERROR(__xludf.DUMMYFUNCTION("IFERROR(FILTER('Fund Investment Data'!$D:$D, 'Fund Investment Data'!$C:$C = $A156, 'Fund Investment Data'!$A:$A = Z$1, 'Fund Investment Data'!$B:$B = 12),"""")"),"")</f>
        <v/>
      </c>
      <c r="AA156" t="str">
        <f>IFERROR(__xludf.DUMMYFUNCTION("IFERROR(FILTER('Fund Investment Data'!$D:$D, 'Fund Investment Data'!$C:$C = $A156, 'Fund Investment Data'!$A:$A = AA$1, 'Fund Investment Data'!$B:$B = 12),"""")"),"")</f>
        <v/>
      </c>
      <c r="AB156" t="str">
        <f>IFERROR(__xludf.DUMMYFUNCTION("IFERROR(FILTER('Fund Investment Data'!$D:$D, 'Fund Investment Data'!$C:$C = $A156, 'Fund Investment Data'!$A:$A = AB$1, 'Fund Investment Data'!$B:$B = 12),"""")"),"")</f>
        <v/>
      </c>
      <c r="AC156" t="str">
        <f>IFERROR(__xludf.DUMMYFUNCTION("IFERROR(FILTER('Fund Investment Data'!$D:$D, 'Fund Investment Data'!$C:$C = $A156, 'Fund Investment Data'!$A:$A = AC$1, 'Fund Investment Data'!$B:$B = 12),"""")"),"")</f>
        <v/>
      </c>
      <c r="AD156" t="str">
        <f>IFERROR(__xludf.DUMMYFUNCTION("IFERROR(FILTER('Fund Investment Data'!$D:$D, 'Fund Investment Data'!$C:$C = $A156, 'Fund Investment Data'!$A:$A = AD$1, 'Fund Investment Data'!$B:$B = 12),"""")"),"")</f>
        <v/>
      </c>
      <c r="AE156" t="str">
        <f>IFERROR(__xludf.DUMMYFUNCTION("IFERROR(FILTER('Fund Investment Data'!$D:$D, 'Fund Investment Data'!$C:$C = $A156, 'Fund Investment Data'!$A:$A = AE$1, 'Fund Investment Data'!$B:$B = 12),"""")"),"")</f>
        <v/>
      </c>
    </row>
    <row r="157">
      <c r="A157" s="150" t="str">
        <f>'Endowed Funds'!A:A</f>
        <v/>
      </c>
      <c r="B157" t="str">
        <f>IFERROR(__xludf.DUMMYFUNCTION("IFERROR(FILTER('Fund Investment Data'!$D:$D, 'Fund Investment Data'!$C:$C = $A157, 'Fund Investment Data'!$A:$A = B$1, 'Fund Investment Data'!$B:$B = 12),"""")"),"")</f>
        <v/>
      </c>
      <c r="C157" t="str">
        <f>IFERROR(__xludf.DUMMYFUNCTION("IFERROR(FILTER('Fund Investment Data'!$D:$D, 'Fund Investment Data'!$C:$C = $A157, 'Fund Investment Data'!$A:$A = C$1, 'Fund Investment Data'!$B:$B = 12),"""")"),"")</f>
        <v/>
      </c>
      <c r="D157" t="str">
        <f>IFERROR(__xludf.DUMMYFUNCTION("IFERROR(FILTER('Fund Investment Data'!$D:$D, 'Fund Investment Data'!$C:$C = $A157, 'Fund Investment Data'!$A:$A = D$1, 'Fund Investment Data'!$B:$B = 12),"""")"),"")</f>
        <v/>
      </c>
      <c r="E157" t="str">
        <f>IFERROR(__xludf.DUMMYFUNCTION("IFERROR(FILTER('Fund Investment Data'!$D:$D, 'Fund Investment Data'!$C:$C = $A157, 'Fund Investment Data'!$A:$A = E$1, 'Fund Investment Data'!$B:$B = 12),"""")"),"")</f>
        <v/>
      </c>
      <c r="F157" t="str">
        <f>IFERROR(__xludf.DUMMYFUNCTION("IFERROR(FILTER('Fund Investment Data'!$D:$D, 'Fund Investment Data'!$C:$C = $A157, 'Fund Investment Data'!$A:$A = F$1, 'Fund Investment Data'!$B:$B = 12),"""")"),"")</f>
        <v/>
      </c>
      <c r="G157" t="str">
        <f>IFERROR(__xludf.DUMMYFUNCTION("IFERROR(FILTER('Fund Investment Data'!$D:$D, 'Fund Investment Data'!$C:$C = $A157, 'Fund Investment Data'!$A:$A = G$1, 'Fund Investment Data'!$B:$B = 12),"""")"),"")</f>
        <v/>
      </c>
      <c r="H157" t="str">
        <f>IFERROR(__xludf.DUMMYFUNCTION("IFERROR(FILTER('Fund Investment Data'!$D:$D, 'Fund Investment Data'!$C:$C = $A157, 'Fund Investment Data'!$A:$A = H$1, 'Fund Investment Data'!$B:$B = 12),"""")"),"")</f>
        <v/>
      </c>
      <c r="I157" t="str">
        <f>IFERROR(__xludf.DUMMYFUNCTION("IFERROR(FILTER('Fund Investment Data'!$D:$D, 'Fund Investment Data'!$C:$C = $A157, 'Fund Investment Data'!$A:$A = I$1, 'Fund Investment Data'!$B:$B = 12),"""")"),"")</f>
        <v/>
      </c>
      <c r="J157" t="str">
        <f>IFERROR(__xludf.DUMMYFUNCTION("IFERROR(FILTER('Fund Investment Data'!$D:$D, 'Fund Investment Data'!$C:$C = $A157, 'Fund Investment Data'!$A:$A = J$1, 'Fund Investment Data'!$B:$B = 12),"""")"),"")</f>
        <v/>
      </c>
      <c r="K157" t="str">
        <f>IFERROR(__xludf.DUMMYFUNCTION("IFERROR(FILTER('Fund Investment Data'!$D:$D, 'Fund Investment Data'!$C:$C = $A157, 'Fund Investment Data'!$A:$A = K$1, 'Fund Investment Data'!$B:$B = 12),"""")"),"")</f>
        <v/>
      </c>
      <c r="L157" t="str">
        <f>IFERROR(__xludf.DUMMYFUNCTION("IFERROR(FILTER('Fund Investment Data'!$D:$D, 'Fund Investment Data'!$C:$C = $A157, 'Fund Investment Data'!$A:$A = L$1, 'Fund Investment Data'!$B:$B = 12),"""")"),"")</f>
        <v/>
      </c>
      <c r="M157" t="str">
        <f>IFERROR(__xludf.DUMMYFUNCTION("IFERROR(FILTER('Fund Investment Data'!$D:$D, 'Fund Investment Data'!$C:$C = $A157, 'Fund Investment Data'!$A:$A = M$1, 'Fund Investment Data'!$B:$B = 12),"""")"),"")</f>
        <v/>
      </c>
      <c r="N157" t="str">
        <f>IFERROR(__xludf.DUMMYFUNCTION("IFERROR(FILTER('Fund Investment Data'!$D:$D, 'Fund Investment Data'!$C:$C = $A157, 'Fund Investment Data'!$A:$A = N$1, 'Fund Investment Data'!$B:$B = 12),"""")"),"")</f>
        <v/>
      </c>
      <c r="O157" t="str">
        <f>IFERROR(__xludf.DUMMYFUNCTION("IFERROR(FILTER('Fund Investment Data'!$D:$D, 'Fund Investment Data'!$C:$C = $A157, 'Fund Investment Data'!$A:$A = O$1, 'Fund Investment Data'!$B:$B = 12),"""")"),"")</f>
        <v/>
      </c>
      <c r="P157" t="str">
        <f>IFERROR(__xludf.DUMMYFUNCTION("IFERROR(FILTER('Fund Investment Data'!$D:$D, 'Fund Investment Data'!$C:$C = $A157, 'Fund Investment Data'!$A:$A = P$1, 'Fund Investment Data'!$B:$B = 12),"""")"),"")</f>
        <v/>
      </c>
      <c r="Q157" t="str">
        <f>IFERROR(__xludf.DUMMYFUNCTION("IFERROR(FILTER('Fund Investment Data'!$D:$D, 'Fund Investment Data'!$C:$C = $A157, 'Fund Investment Data'!$A:$A = Q$1, 'Fund Investment Data'!$B:$B = 12),"""")"),"")</f>
        <v/>
      </c>
      <c r="R157" t="str">
        <f>IFERROR(__xludf.DUMMYFUNCTION("IFERROR(FILTER('Fund Investment Data'!$D:$D, 'Fund Investment Data'!$C:$C = $A157, 'Fund Investment Data'!$A:$A = R$1, 'Fund Investment Data'!$B:$B = 12),"""")"),"")</f>
        <v/>
      </c>
      <c r="S157" t="str">
        <f>IFERROR(__xludf.DUMMYFUNCTION("IFERROR(FILTER('Fund Investment Data'!$D:$D, 'Fund Investment Data'!$C:$C = $A157, 'Fund Investment Data'!$A:$A = S$1, 'Fund Investment Data'!$B:$B = 12),"""")"),"")</f>
        <v/>
      </c>
      <c r="T157" t="str">
        <f>IFERROR(__xludf.DUMMYFUNCTION("IFERROR(FILTER('Fund Investment Data'!$D:$D, 'Fund Investment Data'!$C:$C = $A157, 'Fund Investment Data'!$A:$A = T$1, 'Fund Investment Data'!$B:$B = 12),"""")"),"")</f>
        <v/>
      </c>
      <c r="U157" t="str">
        <f>IFERROR(__xludf.DUMMYFUNCTION("IFERROR(FILTER('Fund Investment Data'!$D:$D, 'Fund Investment Data'!$C:$C = $A157, 'Fund Investment Data'!$A:$A = U$1, 'Fund Investment Data'!$B:$B = 12),"""")"),"")</f>
        <v/>
      </c>
      <c r="V157" t="str">
        <f>IFERROR(__xludf.DUMMYFUNCTION("IFERROR(FILTER('Fund Investment Data'!$D:$D, 'Fund Investment Data'!$C:$C = $A157, 'Fund Investment Data'!$A:$A = V$1, 'Fund Investment Data'!$B:$B = 12),"""")"),"")</f>
        <v/>
      </c>
      <c r="W157" t="str">
        <f>IFERROR(__xludf.DUMMYFUNCTION("IFERROR(FILTER('Fund Investment Data'!$D:$D, 'Fund Investment Data'!$C:$C = $A157, 'Fund Investment Data'!$A:$A = W$1, 'Fund Investment Data'!$B:$B = 12),"""")"),"")</f>
        <v/>
      </c>
      <c r="X157" t="str">
        <f>IFERROR(__xludf.DUMMYFUNCTION("IFERROR(FILTER('Fund Investment Data'!$D:$D, 'Fund Investment Data'!$C:$C = $A157, 'Fund Investment Data'!$A:$A = X$1, 'Fund Investment Data'!$B:$B = 12),"""")"),"")</f>
        <v/>
      </c>
      <c r="Y157" t="str">
        <f>IFERROR(__xludf.DUMMYFUNCTION("IFERROR(FILTER('Fund Investment Data'!$D:$D, 'Fund Investment Data'!$C:$C = $A157, 'Fund Investment Data'!$A:$A = Y$1, 'Fund Investment Data'!$B:$B = 12),"""")"),"")</f>
        <v/>
      </c>
      <c r="Z157" t="str">
        <f>IFERROR(__xludf.DUMMYFUNCTION("IFERROR(FILTER('Fund Investment Data'!$D:$D, 'Fund Investment Data'!$C:$C = $A157, 'Fund Investment Data'!$A:$A = Z$1, 'Fund Investment Data'!$B:$B = 12),"""")"),"")</f>
        <v/>
      </c>
    </row>
    <row r="158">
      <c r="A158" s="150" t="str">
        <f>'Endowed Funds'!A:A</f>
        <v/>
      </c>
      <c r="B158" t="str">
        <f>IFERROR(__xludf.DUMMYFUNCTION("IFERROR(FILTER('Fund Investment Data'!$D:$D, 'Fund Investment Data'!$C:$C = $A158, 'Fund Investment Data'!$A:$A = B$1, 'Fund Investment Data'!$B:$B = 12),"""")"),"")</f>
        <v/>
      </c>
      <c r="C158" t="str">
        <f>IFERROR(__xludf.DUMMYFUNCTION("IFERROR(FILTER('Fund Investment Data'!$D:$D, 'Fund Investment Data'!$C:$C = $A158, 'Fund Investment Data'!$A:$A = C$1, 'Fund Investment Data'!$B:$B = 12),"""")"),"")</f>
        <v/>
      </c>
      <c r="D158" t="str">
        <f>IFERROR(__xludf.DUMMYFUNCTION("IFERROR(FILTER('Fund Investment Data'!$D:$D, 'Fund Investment Data'!$C:$C = $A158, 'Fund Investment Data'!$A:$A = D$1, 'Fund Investment Data'!$B:$B = 12),"""")"),"")</f>
        <v/>
      </c>
      <c r="E158" t="str">
        <f>IFERROR(__xludf.DUMMYFUNCTION("IFERROR(FILTER('Fund Investment Data'!$D:$D, 'Fund Investment Data'!$C:$C = $A158, 'Fund Investment Data'!$A:$A = E$1, 'Fund Investment Data'!$B:$B = 12),"""")"),"")</f>
        <v/>
      </c>
      <c r="F158" t="str">
        <f>IFERROR(__xludf.DUMMYFUNCTION("IFERROR(FILTER('Fund Investment Data'!$D:$D, 'Fund Investment Data'!$C:$C = $A158, 'Fund Investment Data'!$A:$A = F$1, 'Fund Investment Data'!$B:$B = 12),"""")"),"")</f>
        <v/>
      </c>
      <c r="G158" t="str">
        <f>IFERROR(__xludf.DUMMYFUNCTION("IFERROR(FILTER('Fund Investment Data'!$D:$D, 'Fund Investment Data'!$C:$C = $A158, 'Fund Investment Data'!$A:$A = G$1, 'Fund Investment Data'!$B:$B = 12),"""")"),"")</f>
        <v/>
      </c>
      <c r="H158" t="str">
        <f>IFERROR(__xludf.DUMMYFUNCTION("IFERROR(FILTER('Fund Investment Data'!$D:$D, 'Fund Investment Data'!$C:$C = $A158, 'Fund Investment Data'!$A:$A = H$1, 'Fund Investment Data'!$B:$B = 12),"""")"),"")</f>
        <v/>
      </c>
      <c r="I158" t="str">
        <f>IFERROR(__xludf.DUMMYFUNCTION("IFERROR(FILTER('Fund Investment Data'!$D:$D, 'Fund Investment Data'!$C:$C = $A158, 'Fund Investment Data'!$A:$A = I$1, 'Fund Investment Data'!$B:$B = 12),"""")"),"")</f>
        <v/>
      </c>
      <c r="J158" t="str">
        <f>IFERROR(__xludf.DUMMYFUNCTION("IFERROR(FILTER('Fund Investment Data'!$D:$D, 'Fund Investment Data'!$C:$C = $A158, 'Fund Investment Data'!$A:$A = J$1, 'Fund Investment Data'!$B:$B = 12),"""")"),"")</f>
        <v/>
      </c>
      <c r="K158" t="str">
        <f>IFERROR(__xludf.DUMMYFUNCTION("IFERROR(FILTER('Fund Investment Data'!$D:$D, 'Fund Investment Data'!$C:$C = $A158, 'Fund Investment Data'!$A:$A = K$1, 'Fund Investment Data'!$B:$B = 12),"""")"),"")</f>
        <v/>
      </c>
      <c r="L158" t="str">
        <f>IFERROR(__xludf.DUMMYFUNCTION("IFERROR(FILTER('Fund Investment Data'!$D:$D, 'Fund Investment Data'!$C:$C = $A158, 'Fund Investment Data'!$A:$A = L$1, 'Fund Investment Data'!$B:$B = 12),"""")"),"")</f>
        <v/>
      </c>
      <c r="M158" t="str">
        <f>IFERROR(__xludf.DUMMYFUNCTION("IFERROR(FILTER('Fund Investment Data'!$D:$D, 'Fund Investment Data'!$C:$C = $A158, 'Fund Investment Data'!$A:$A = M$1, 'Fund Investment Data'!$B:$B = 12),"""")"),"")</f>
        <v/>
      </c>
      <c r="N158" t="str">
        <f>IFERROR(__xludf.DUMMYFUNCTION("IFERROR(FILTER('Fund Investment Data'!$D:$D, 'Fund Investment Data'!$C:$C = $A158, 'Fund Investment Data'!$A:$A = N$1, 'Fund Investment Data'!$B:$B = 12),"""")"),"")</f>
        <v/>
      </c>
      <c r="O158" t="str">
        <f>IFERROR(__xludf.DUMMYFUNCTION("IFERROR(FILTER('Fund Investment Data'!$D:$D, 'Fund Investment Data'!$C:$C = $A158, 'Fund Investment Data'!$A:$A = O$1, 'Fund Investment Data'!$B:$B = 12),"""")"),"")</f>
        <v/>
      </c>
      <c r="P158" t="str">
        <f>IFERROR(__xludf.DUMMYFUNCTION("IFERROR(FILTER('Fund Investment Data'!$D:$D, 'Fund Investment Data'!$C:$C = $A158, 'Fund Investment Data'!$A:$A = P$1, 'Fund Investment Data'!$B:$B = 12),"""")"),"")</f>
        <v/>
      </c>
      <c r="Q158" t="str">
        <f>IFERROR(__xludf.DUMMYFUNCTION("IFERROR(FILTER('Fund Investment Data'!$D:$D, 'Fund Investment Data'!$C:$C = $A158, 'Fund Investment Data'!$A:$A = Q$1, 'Fund Investment Data'!$B:$B = 12),"""")"),"")</f>
        <v/>
      </c>
      <c r="R158" t="str">
        <f>IFERROR(__xludf.DUMMYFUNCTION("IFERROR(FILTER('Fund Investment Data'!$D:$D, 'Fund Investment Data'!$C:$C = $A158, 'Fund Investment Data'!$A:$A = R$1, 'Fund Investment Data'!$B:$B = 12),"""")"),"")</f>
        <v/>
      </c>
      <c r="S158" t="str">
        <f>IFERROR(__xludf.DUMMYFUNCTION("IFERROR(FILTER('Fund Investment Data'!$D:$D, 'Fund Investment Data'!$C:$C = $A158, 'Fund Investment Data'!$A:$A = S$1, 'Fund Investment Data'!$B:$B = 12),"""")"),"")</f>
        <v/>
      </c>
      <c r="T158" t="str">
        <f>IFERROR(__xludf.DUMMYFUNCTION("IFERROR(FILTER('Fund Investment Data'!$D:$D, 'Fund Investment Data'!$C:$C = $A158, 'Fund Investment Data'!$A:$A = T$1, 'Fund Investment Data'!$B:$B = 12),"""")"),"")</f>
        <v/>
      </c>
      <c r="U158" t="str">
        <f>IFERROR(__xludf.DUMMYFUNCTION("IFERROR(FILTER('Fund Investment Data'!$D:$D, 'Fund Investment Data'!$C:$C = $A158, 'Fund Investment Data'!$A:$A = U$1, 'Fund Investment Data'!$B:$B = 12),"""")"),"")</f>
        <v/>
      </c>
      <c r="V158" t="str">
        <f>IFERROR(__xludf.DUMMYFUNCTION("IFERROR(FILTER('Fund Investment Data'!$D:$D, 'Fund Investment Data'!$C:$C = $A158, 'Fund Investment Data'!$A:$A = V$1, 'Fund Investment Data'!$B:$B = 12),"""")"),"")</f>
        <v/>
      </c>
      <c r="W158" t="str">
        <f>IFERROR(__xludf.DUMMYFUNCTION("IFERROR(FILTER('Fund Investment Data'!$D:$D, 'Fund Investment Data'!$C:$C = $A158, 'Fund Investment Data'!$A:$A = W$1, 'Fund Investment Data'!$B:$B = 12),"""")"),"")</f>
        <v/>
      </c>
      <c r="X158" t="str">
        <f>IFERROR(__xludf.DUMMYFUNCTION("IFERROR(FILTER('Fund Investment Data'!$D:$D, 'Fund Investment Data'!$C:$C = $A158, 'Fund Investment Data'!$A:$A = X$1, 'Fund Investment Data'!$B:$B = 12),"""")"),"")</f>
        <v/>
      </c>
      <c r="Y158" t="str">
        <f>IFERROR(__xludf.DUMMYFUNCTION("IFERROR(FILTER('Fund Investment Data'!$D:$D, 'Fund Investment Data'!$C:$C = $A158, 'Fund Investment Data'!$A:$A = Y$1, 'Fund Investment Data'!$B:$B = 12),"""")"),"")</f>
        <v/>
      </c>
      <c r="Z158" t="str">
        <f>IFERROR(__xludf.DUMMYFUNCTION("IFERROR(FILTER('Fund Investment Data'!$D:$D, 'Fund Investment Data'!$C:$C = $A158, 'Fund Investment Data'!$A:$A = Z$1, 'Fund Investment Data'!$B:$B = 12),"""")"),"")</f>
        <v/>
      </c>
    </row>
    <row r="159">
      <c r="A159" s="150" t="str">
        <f>'Endowed Funds'!A:A</f>
        <v/>
      </c>
      <c r="B159" t="str">
        <f>IFERROR(__xludf.DUMMYFUNCTION("IFERROR(FILTER('Fund Investment Data'!$D:$D, 'Fund Investment Data'!$C:$C = $A159, 'Fund Investment Data'!$A:$A = B$1, 'Fund Investment Data'!$B:$B = 12),"""")"),"")</f>
        <v/>
      </c>
      <c r="C159" t="str">
        <f>IFERROR(__xludf.DUMMYFUNCTION("IFERROR(FILTER('Fund Investment Data'!$D:$D, 'Fund Investment Data'!$C:$C = $A159, 'Fund Investment Data'!$A:$A = C$1, 'Fund Investment Data'!$B:$B = 12),"""")"),"")</f>
        <v/>
      </c>
      <c r="D159" t="str">
        <f>IFERROR(__xludf.DUMMYFUNCTION("IFERROR(FILTER('Fund Investment Data'!$D:$D, 'Fund Investment Data'!$C:$C = $A159, 'Fund Investment Data'!$A:$A = D$1, 'Fund Investment Data'!$B:$B = 12),"""")"),"")</f>
        <v/>
      </c>
      <c r="E159" t="str">
        <f>IFERROR(__xludf.DUMMYFUNCTION("IFERROR(FILTER('Fund Investment Data'!$D:$D, 'Fund Investment Data'!$C:$C = $A159, 'Fund Investment Data'!$A:$A = E$1, 'Fund Investment Data'!$B:$B = 12),"""")"),"")</f>
        <v/>
      </c>
      <c r="F159" t="str">
        <f>IFERROR(__xludf.DUMMYFUNCTION("IFERROR(FILTER('Fund Investment Data'!$D:$D, 'Fund Investment Data'!$C:$C = $A159, 'Fund Investment Data'!$A:$A = F$1, 'Fund Investment Data'!$B:$B = 12),"""")"),"")</f>
        <v/>
      </c>
      <c r="G159" t="str">
        <f>IFERROR(__xludf.DUMMYFUNCTION("IFERROR(FILTER('Fund Investment Data'!$D:$D, 'Fund Investment Data'!$C:$C = $A159, 'Fund Investment Data'!$A:$A = G$1, 'Fund Investment Data'!$B:$B = 12),"""")"),"")</f>
        <v/>
      </c>
      <c r="H159" t="str">
        <f>IFERROR(__xludf.DUMMYFUNCTION("IFERROR(FILTER('Fund Investment Data'!$D:$D, 'Fund Investment Data'!$C:$C = $A159, 'Fund Investment Data'!$A:$A = H$1, 'Fund Investment Data'!$B:$B = 12),"""")"),"")</f>
        <v/>
      </c>
      <c r="I159" t="str">
        <f>IFERROR(__xludf.DUMMYFUNCTION("IFERROR(FILTER('Fund Investment Data'!$D:$D, 'Fund Investment Data'!$C:$C = $A159, 'Fund Investment Data'!$A:$A = I$1, 'Fund Investment Data'!$B:$B = 12),"""")"),"")</f>
        <v/>
      </c>
      <c r="J159" t="str">
        <f>IFERROR(__xludf.DUMMYFUNCTION("IFERROR(FILTER('Fund Investment Data'!$D:$D, 'Fund Investment Data'!$C:$C = $A159, 'Fund Investment Data'!$A:$A = J$1, 'Fund Investment Data'!$B:$B = 12),"""")"),"")</f>
        <v/>
      </c>
      <c r="K159" t="str">
        <f>IFERROR(__xludf.DUMMYFUNCTION("IFERROR(FILTER('Fund Investment Data'!$D:$D, 'Fund Investment Data'!$C:$C = $A159, 'Fund Investment Data'!$A:$A = K$1, 'Fund Investment Data'!$B:$B = 12),"""")"),"")</f>
        <v/>
      </c>
      <c r="L159" t="str">
        <f>IFERROR(__xludf.DUMMYFUNCTION("IFERROR(FILTER('Fund Investment Data'!$D:$D, 'Fund Investment Data'!$C:$C = $A159, 'Fund Investment Data'!$A:$A = L$1, 'Fund Investment Data'!$B:$B = 12),"""")"),"")</f>
        <v/>
      </c>
      <c r="M159" t="str">
        <f>IFERROR(__xludf.DUMMYFUNCTION("IFERROR(FILTER('Fund Investment Data'!$D:$D, 'Fund Investment Data'!$C:$C = $A159, 'Fund Investment Data'!$A:$A = M$1, 'Fund Investment Data'!$B:$B = 12),"""")"),"")</f>
        <v/>
      </c>
      <c r="N159" t="str">
        <f>IFERROR(__xludf.DUMMYFUNCTION("IFERROR(FILTER('Fund Investment Data'!$D:$D, 'Fund Investment Data'!$C:$C = $A159, 'Fund Investment Data'!$A:$A = N$1, 'Fund Investment Data'!$B:$B = 12),"""")"),"")</f>
        <v/>
      </c>
      <c r="O159" t="str">
        <f>IFERROR(__xludf.DUMMYFUNCTION("IFERROR(FILTER('Fund Investment Data'!$D:$D, 'Fund Investment Data'!$C:$C = $A159, 'Fund Investment Data'!$A:$A = O$1, 'Fund Investment Data'!$B:$B = 12),"""")"),"")</f>
        <v/>
      </c>
      <c r="P159" t="str">
        <f>IFERROR(__xludf.DUMMYFUNCTION("IFERROR(FILTER('Fund Investment Data'!$D:$D, 'Fund Investment Data'!$C:$C = $A159, 'Fund Investment Data'!$A:$A = P$1, 'Fund Investment Data'!$B:$B = 12),"""")"),"")</f>
        <v/>
      </c>
      <c r="Q159" t="str">
        <f>IFERROR(__xludf.DUMMYFUNCTION("IFERROR(FILTER('Fund Investment Data'!$D:$D, 'Fund Investment Data'!$C:$C = $A159, 'Fund Investment Data'!$A:$A = Q$1, 'Fund Investment Data'!$B:$B = 12),"""")"),"")</f>
        <v/>
      </c>
      <c r="R159" t="str">
        <f>IFERROR(__xludf.DUMMYFUNCTION("IFERROR(FILTER('Fund Investment Data'!$D:$D, 'Fund Investment Data'!$C:$C = $A159, 'Fund Investment Data'!$A:$A = R$1, 'Fund Investment Data'!$B:$B = 12),"""")"),"")</f>
        <v/>
      </c>
      <c r="S159" t="str">
        <f>IFERROR(__xludf.DUMMYFUNCTION("IFERROR(FILTER('Fund Investment Data'!$D:$D, 'Fund Investment Data'!$C:$C = $A159, 'Fund Investment Data'!$A:$A = S$1, 'Fund Investment Data'!$B:$B = 12),"""")"),"")</f>
        <v/>
      </c>
      <c r="T159" t="str">
        <f>IFERROR(__xludf.DUMMYFUNCTION("IFERROR(FILTER('Fund Investment Data'!$D:$D, 'Fund Investment Data'!$C:$C = $A159, 'Fund Investment Data'!$A:$A = T$1, 'Fund Investment Data'!$B:$B = 12),"""")"),"")</f>
        <v/>
      </c>
      <c r="U159" t="str">
        <f>IFERROR(__xludf.DUMMYFUNCTION("IFERROR(FILTER('Fund Investment Data'!$D:$D, 'Fund Investment Data'!$C:$C = $A159, 'Fund Investment Data'!$A:$A = U$1, 'Fund Investment Data'!$B:$B = 12),"""")"),"")</f>
        <v/>
      </c>
      <c r="V159" t="str">
        <f>IFERROR(__xludf.DUMMYFUNCTION("IFERROR(FILTER('Fund Investment Data'!$D:$D, 'Fund Investment Data'!$C:$C = $A159, 'Fund Investment Data'!$A:$A = V$1, 'Fund Investment Data'!$B:$B = 12),"""")"),"")</f>
        <v/>
      </c>
      <c r="W159" t="str">
        <f>IFERROR(__xludf.DUMMYFUNCTION("IFERROR(FILTER('Fund Investment Data'!$D:$D, 'Fund Investment Data'!$C:$C = $A159, 'Fund Investment Data'!$A:$A = W$1, 'Fund Investment Data'!$B:$B = 12),"""")"),"")</f>
        <v/>
      </c>
      <c r="X159" t="str">
        <f>IFERROR(__xludf.DUMMYFUNCTION("IFERROR(FILTER('Fund Investment Data'!$D:$D, 'Fund Investment Data'!$C:$C = $A159, 'Fund Investment Data'!$A:$A = X$1, 'Fund Investment Data'!$B:$B = 12),"""")"),"")</f>
        <v/>
      </c>
      <c r="Y159" t="str">
        <f>IFERROR(__xludf.DUMMYFUNCTION("IFERROR(FILTER('Fund Investment Data'!$D:$D, 'Fund Investment Data'!$C:$C = $A159, 'Fund Investment Data'!$A:$A = Y$1, 'Fund Investment Data'!$B:$B = 12),"""")"),"")</f>
        <v/>
      </c>
      <c r="Z159" t="str">
        <f>IFERROR(__xludf.DUMMYFUNCTION("IFERROR(FILTER('Fund Investment Data'!$D:$D, 'Fund Investment Data'!$C:$C = $A159, 'Fund Investment Data'!$A:$A = Z$1, 'Fund Investment Data'!$B:$B = 12),"""")"),"")</f>
        <v/>
      </c>
    </row>
    <row r="160">
      <c r="A160" s="150" t="str">
        <f>'Endowed Funds'!A:A</f>
        <v/>
      </c>
      <c r="B160" t="str">
        <f>IFERROR(__xludf.DUMMYFUNCTION("IFERROR(FILTER('Fund Investment Data'!$D:$D, 'Fund Investment Data'!$C:$C = $A160, 'Fund Investment Data'!$A:$A = B$1, 'Fund Investment Data'!$B:$B = 12),"""")"),"")</f>
        <v/>
      </c>
      <c r="C160" t="str">
        <f>IFERROR(__xludf.DUMMYFUNCTION("IFERROR(FILTER('Fund Investment Data'!$D:$D, 'Fund Investment Data'!$C:$C = $A160, 'Fund Investment Data'!$A:$A = C$1, 'Fund Investment Data'!$B:$B = 12),"""")"),"")</f>
        <v/>
      </c>
      <c r="D160" t="str">
        <f>IFERROR(__xludf.DUMMYFUNCTION("IFERROR(FILTER('Fund Investment Data'!$D:$D, 'Fund Investment Data'!$C:$C = $A160, 'Fund Investment Data'!$A:$A = D$1, 'Fund Investment Data'!$B:$B = 12),"""")"),"")</f>
        <v/>
      </c>
      <c r="E160" t="str">
        <f>IFERROR(__xludf.DUMMYFUNCTION("IFERROR(FILTER('Fund Investment Data'!$D:$D, 'Fund Investment Data'!$C:$C = $A160, 'Fund Investment Data'!$A:$A = E$1, 'Fund Investment Data'!$B:$B = 12),"""")"),"")</f>
        <v/>
      </c>
      <c r="F160" t="str">
        <f>IFERROR(__xludf.DUMMYFUNCTION("IFERROR(FILTER('Fund Investment Data'!$D:$D, 'Fund Investment Data'!$C:$C = $A160, 'Fund Investment Data'!$A:$A = F$1, 'Fund Investment Data'!$B:$B = 12),"""")"),"")</f>
        <v/>
      </c>
      <c r="G160" t="str">
        <f>IFERROR(__xludf.DUMMYFUNCTION("IFERROR(FILTER('Fund Investment Data'!$D:$D, 'Fund Investment Data'!$C:$C = $A160, 'Fund Investment Data'!$A:$A = G$1, 'Fund Investment Data'!$B:$B = 12),"""")"),"")</f>
        <v/>
      </c>
      <c r="H160" t="str">
        <f>IFERROR(__xludf.DUMMYFUNCTION("IFERROR(FILTER('Fund Investment Data'!$D:$D, 'Fund Investment Data'!$C:$C = $A160, 'Fund Investment Data'!$A:$A = H$1, 'Fund Investment Data'!$B:$B = 12),"""")"),"")</f>
        <v/>
      </c>
      <c r="I160" t="str">
        <f>IFERROR(__xludf.DUMMYFUNCTION("IFERROR(FILTER('Fund Investment Data'!$D:$D, 'Fund Investment Data'!$C:$C = $A160, 'Fund Investment Data'!$A:$A = I$1, 'Fund Investment Data'!$B:$B = 12),"""")"),"")</f>
        <v/>
      </c>
      <c r="J160" t="str">
        <f>IFERROR(__xludf.DUMMYFUNCTION("IFERROR(FILTER('Fund Investment Data'!$D:$D, 'Fund Investment Data'!$C:$C = $A160, 'Fund Investment Data'!$A:$A = J$1, 'Fund Investment Data'!$B:$B = 12),"""")"),"")</f>
        <v/>
      </c>
      <c r="K160" t="str">
        <f>IFERROR(__xludf.DUMMYFUNCTION("IFERROR(FILTER('Fund Investment Data'!$D:$D, 'Fund Investment Data'!$C:$C = $A160, 'Fund Investment Data'!$A:$A = K$1, 'Fund Investment Data'!$B:$B = 12),"""")"),"")</f>
        <v/>
      </c>
      <c r="L160" t="str">
        <f>IFERROR(__xludf.DUMMYFUNCTION("IFERROR(FILTER('Fund Investment Data'!$D:$D, 'Fund Investment Data'!$C:$C = $A160, 'Fund Investment Data'!$A:$A = L$1, 'Fund Investment Data'!$B:$B = 12),"""")"),"")</f>
        <v/>
      </c>
      <c r="M160" t="str">
        <f>IFERROR(__xludf.DUMMYFUNCTION("IFERROR(FILTER('Fund Investment Data'!$D:$D, 'Fund Investment Data'!$C:$C = $A160, 'Fund Investment Data'!$A:$A = M$1, 'Fund Investment Data'!$B:$B = 12),"""")"),"")</f>
        <v/>
      </c>
      <c r="N160" t="str">
        <f>IFERROR(__xludf.DUMMYFUNCTION("IFERROR(FILTER('Fund Investment Data'!$D:$D, 'Fund Investment Data'!$C:$C = $A160, 'Fund Investment Data'!$A:$A = N$1, 'Fund Investment Data'!$B:$B = 12),"""")"),"")</f>
        <v/>
      </c>
      <c r="O160" t="str">
        <f>IFERROR(__xludf.DUMMYFUNCTION("IFERROR(FILTER('Fund Investment Data'!$D:$D, 'Fund Investment Data'!$C:$C = $A160, 'Fund Investment Data'!$A:$A = O$1, 'Fund Investment Data'!$B:$B = 12),"""")"),"")</f>
        <v/>
      </c>
      <c r="P160" t="str">
        <f>IFERROR(__xludf.DUMMYFUNCTION("IFERROR(FILTER('Fund Investment Data'!$D:$D, 'Fund Investment Data'!$C:$C = $A160, 'Fund Investment Data'!$A:$A = P$1, 'Fund Investment Data'!$B:$B = 12),"""")"),"")</f>
        <v/>
      </c>
      <c r="Q160" t="str">
        <f>IFERROR(__xludf.DUMMYFUNCTION("IFERROR(FILTER('Fund Investment Data'!$D:$D, 'Fund Investment Data'!$C:$C = $A160, 'Fund Investment Data'!$A:$A = Q$1, 'Fund Investment Data'!$B:$B = 12),"""")"),"")</f>
        <v/>
      </c>
      <c r="R160" t="str">
        <f>IFERROR(__xludf.DUMMYFUNCTION("IFERROR(FILTER('Fund Investment Data'!$D:$D, 'Fund Investment Data'!$C:$C = $A160, 'Fund Investment Data'!$A:$A = R$1, 'Fund Investment Data'!$B:$B = 12),"""")"),"")</f>
        <v/>
      </c>
      <c r="S160" t="str">
        <f>IFERROR(__xludf.DUMMYFUNCTION("IFERROR(FILTER('Fund Investment Data'!$D:$D, 'Fund Investment Data'!$C:$C = $A160, 'Fund Investment Data'!$A:$A = S$1, 'Fund Investment Data'!$B:$B = 12),"""")"),"")</f>
        <v/>
      </c>
      <c r="T160" t="str">
        <f>IFERROR(__xludf.DUMMYFUNCTION("IFERROR(FILTER('Fund Investment Data'!$D:$D, 'Fund Investment Data'!$C:$C = $A160, 'Fund Investment Data'!$A:$A = T$1, 'Fund Investment Data'!$B:$B = 12),"""")"),"")</f>
        <v/>
      </c>
      <c r="U160" t="str">
        <f>IFERROR(__xludf.DUMMYFUNCTION("IFERROR(FILTER('Fund Investment Data'!$D:$D, 'Fund Investment Data'!$C:$C = $A160, 'Fund Investment Data'!$A:$A = U$1, 'Fund Investment Data'!$B:$B = 12),"""")"),"")</f>
        <v/>
      </c>
      <c r="V160" t="str">
        <f>IFERROR(__xludf.DUMMYFUNCTION("IFERROR(FILTER('Fund Investment Data'!$D:$D, 'Fund Investment Data'!$C:$C = $A160, 'Fund Investment Data'!$A:$A = V$1, 'Fund Investment Data'!$B:$B = 12),"""")"),"")</f>
        <v/>
      </c>
      <c r="W160" t="str">
        <f>IFERROR(__xludf.DUMMYFUNCTION("IFERROR(FILTER('Fund Investment Data'!$D:$D, 'Fund Investment Data'!$C:$C = $A160, 'Fund Investment Data'!$A:$A = W$1, 'Fund Investment Data'!$B:$B = 12),"""")"),"")</f>
        <v/>
      </c>
      <c r="X160" t="str">
        <f>IFERROR(__xludf.DUMMYFUNCTION("IFERROR(FILTER('Fund Investment Data'!$D:$D, 'Fund Investment Data'!$C:$C = $A160, 'Fund Investment Data'!$A:$A = X$1, 'Fund Investment Data'!$B:$B = 12),"""")"),"")</f>
        <v/>
      </c>
      <c r="Y160" t="str">
        <f>IFERROR(__xludf.DUMMYFUNCTION("IFERROR(FILTER('Fund Investment Data'!$D:$D, 'Fund Investment Data'!$C:$C = $A160, 'Fund Investment Data'!$A:$A = Y$1, 'Fund Investment Data'!$B:$B = 12),"""")"),"")</f>
        <v/>
      </c>
      <c r="Z160" t="str">
        <f>IFERROR(__xludf.DUMMYFUNCTION("IFERROR(FILTER('Fund Investment Data'!$D:$D, 'Fund Investment Data'!$C:$C = $A160, 'Fund Investment Data'!$A:$A = Z$1, 'Fund Investment Data'!$B:$B = 12),"""")"),"")</f>
        <v/>
      </c>
    </row>
    <row r="161">
      <c r="A161" s="150" t="str">
        <f>'Endowed Funds'!A:A</f>
        <v/>
      </c>
      <c r="B161" t="str">
        <f>IFERROR(__xludf.DUMMYFUNCTION("IFERROR(FILTER('Fund Investment Data'!$D:$D, 'Fund Investment Data'!$C:$C = $A161, 'Fund Investment Data'!$A:$A = B$1, 'Fund Investment Data'!$B:$B = 12),"""")"),"")</f>
        <v/>
      </c>
      <c r="C161" t="str">
        <f>IFERROR(__xludf.DUMMYFUNCTION("IFERROR(FILTER('Fund Investment Data'!$D:$D, 'Fund Investment Data'!$C:$C = $A161, 'Fund Investment Data'!$A:$A = C$1, 'Fund Investment Data'!$B:$B = 12),"""")"),"")</f>
        <v/>
      </c>
      <c r="D161" t="str">
        <f>IFERROR(__xludf.DUMMYFUNCTION("IFERROR(FILTER('Fund Investment Data'!$D:$D, 'Fund Investment Data'!$C:$C = $A161, 'Fund Investment Data'!$A:$A = D$1, 'Fund Investment Data'!$B:$B = 12),"""")"),"")</f>
        <v/>
      </c>
      <c r="E161" t="str">
        <f>IFERROR(__xludf.DUMMYFUNCTION("IFERROR(FILTER('Fund Investment Data'!$D:$D, 'Fund Investment Data'!$C:$C = $A161, 'Fund Investment Data'!$A:$A = E$1, 'Fund Investment Data'!$B:$B = 12),"""")"),"")</f>
        <v/>
      </c>
      <c r="F161" t="str">
        <f>IFERROR(__xludf.DUMMYFUNCTION("IFERROR(FILTER('Fund Investment Data'!$D:$D, 'Fund Investment Data'!$C:$C = $A161, 'Fund Investment Data'!$A:$A = F$1, 'Fund Investment Data'!$B:$B = 12),"""")"),"")</f>
        <v/>
      </c>
      <c r="G161" t="str">
        <f>IFERROR(__xludf.DUMMYFUNCTION("IFERROR(FILTER('Fund Investment Data'!$D:$D, 'Fund Investment Data'!$C:$C = $A161, 'Fund Investment Data'!$A:$A = G$1, 'Fund Investment Data'!$B:$B = 12),"""")"),"")</f>
        <v/>
      </c>
      <c r="H161" t="str">
        <f>IFERROR(__xludf.DUMMYFUNCTION("IFERROR(FILTER('Fund Investment Data'!$D:$D, 'Fund Investment Data'!$C:$C = $A161, 'Fund Investment Data'!$A:$A = H$1, 'Fund Investment Data'!$B:$B = 12),"""")"),"")</f>
        <v/>
      </c>
      <c r="I161" t="str">
        <f>IFERROR(__xludf.DUMMYFUNCTION("IFERROR(FILTER('Fund Investment Data'!$D:$D, 'Fund Investment Data'!$C:$C = $A161, 'Fund Investment Data'!$A:$A = I$1, 'Fund Investment Data'!$B:$B = 12),"""")"),"")</f>
        <v/>
      </c>
      <c r="J161" t="str">
        <f>IFERROR(__xludf.DUMMYFUNCTION("IFERROR(FILTER('Fund Investment Data'!$D:$D, 'Fund Investment Data'!$C:$C = $A161, 'Fund Investment Data'!$A:$A = J$1, 'Fund Investment Data'!$B:$B = 12),"""")"),"")</f>
        <v/>
      </c>
      <c r="K161" t="str">
        <f>IFERROR(__xludf.DUMMYFUNCTION("IFERROR(FILTER('Fund Investment Data'!$D:$D, 'Fund Investment Data'!$C:$C = $A161, 'Fund Investment Data'!$A:$A = K$1, 'Fund Investment Data'!$B:$B = 12),"""")"),"")</f>
        <v/>
      </c>
      <c r="L161" t="str">
        <f>IFERROR(__xludf.DUMMYFUNCTION("IFERROR(FILTER('Fund Investment Data'!$D:$D, 'Fund Investment Data'!$C:$C = $A161, 'Fund Investment Data'!$A:$A = L$1, 'Fund Investment Data'!$B:$B = 12),"""")"),"")</f>
        <v/>
      </c>
      <c r="M161" t="str">
        <f>IFERROR(__xludf.DUMMYFUNCTION("IFERROR(FILTER('Fund Investment Data'!$D:$D, 'Fund Investment Data'!$C:$C = $A161, 'Fund Investment Data'!$A:$A = M$1, 'Fund Investment Data'!$B:$B = 12),"""")"),"")</f>
        <v/>
      </c>
      <c r="N161" t="str">
        <f>IFERROR(__xludf.DUMMYFUNCTION("IFERROR(FILTER('Fund Investment Data'!$D:$D, 'Fund Investment Data'!$C:$C = $A161, 'Fund Investment Data'!$A:$A = N$1, 'Fund Investment Data'!$B:$B = 12),"""")"),"")</f>
        <v/>
      </c>
      <c r="O161" t="str">
        <f>IFERROR(__xludf.DUMMYFUNCTION("IFERROR(FILTER('Fund Investment Data'!$D:$D, 'Fund Investment Data'!$C:$C = $A161, 'Fund Investment Data'!$A:$A = O$1, 'Fund Investment Data'!$B:$B = 12),"""")"),"")</f>
        <v/>
      </c>
      <c r="P161" t="str">
        <f>IFERROR(__xludf.DUMMYFUNCTION("IFERROR(FILTER('Fund Investment Data'!$D:$D, 'Fund Investment Data'!$C:$C = $A161, 'Fund Investment Data'!$A:$A = P$1, 'Fund Investment Data'!$B:$B = 12),"""")"),"")</f>
        <v/>
      </c>
      <c r="Q161" t="str">
        <f>IFERROR(__xludf.DUMMYFUNCTION("IFERROR(FILTER('Fund Investment Data'!$D:$D, 'Fund Investment Data'!$C:$C = $A161, 'Fund Investment Data'!$A:$A = Q$1, 'Fund Investment Data'!$B:$B = 12),"""")"),"")</f>
        <v/>
      </c>
      <c r="R161" t="str">
        <f>IFERROR(__xludf.DUMMYFUNCTION("IFERROR(FILTER('Fund Investment Data'!$D:$D, 'Fund Investment Data'!$C:$C = $A161, 'Fund Investment Data'!$A:$A = R$1, 'Fund Investment Data'!$B:$B = 12),"""")"),"")</f>
        <v/>
      </c>
      <c r="S161" t="str">
        <f>IFERROR(__xludf.DUMMYFUNCTION("IFERROR(FILTER('Fund Investment Data'!$D:$D, 'Fund Investment Data'!$C:$C = $A161, 'Fund Investment Data'!$A:$A = S$1, 'Fund Investment Data'!$B:$B = 12),"""")"),"")</f>
        <v/>
      </c>
      <c r="T161" t="str">
        <f>IFERROR(__xludf.DUMMYFUNCTION("IFERROR(FILTER('Fund Investment Data'!$D:$D, 'Fund Investment Data'!$C:$C = $A161, 'Fund Investment Data'!$A:$A = T$1, 'Fund Investment Data'!$B:$B = 12),"""")"),"")</f>
        <v/>
      </c>
      <c r="U161" t="str">
        <f>IFERROR(__xludf.DUMMYFUNCTION("IFERROR(FILTER('Fund Investment Data'!$D:$D, 'Fund Investment Data'!$C:$C = $A161, 'Fund Investment Data'!$A:$A = U$1, 'Fund Investment Data'!$B:$B = 12),"""")"),"")</f>
        <v/>
      </c>
      <c r="V161" t="str">
        <f>IFERROR(__xludf.DUMMYFUNCTION("IFERROR(FILTER('Fund Investment Data'!$D:$D, 'Fund Investment Data'!$C:$C = $A161, 'Fund Investment Data'!$A:$A = V$1, 'Fund Investment Data'!$B:$B = 12),"""")"),"")</f>
        <v/>
      </c>
      <c r="W161" t="str">
        <f>IFERROR(__xludf.DUMMYFUNCTION("IFERROR(FILTER('Fund Investment Data'!$D:$D, 'Fund Investment Data'!$C:$C = $A161, 'Fund Investment Data'!$A:$A = W$1, 'Fund Investment Data'!$B:$B = 12),"""")"),"")</f>
        <v/>
      </c>
      <c r="X161" t="str">
        <f>IFERROR(__xludf.DUMMYFUNCTION("IFERROR(FILTER('Fund Investment Data'!$D:$D, 'Fund Investment Data'!$C:$C = $A161, 'Fund Investment Data'!$A:$A = X$1, 'Fund Investment Data'!$B:$B = 12),"""")"),"")</f>
        <v/>
      </c>
      <c r="Y161" t="str">
        <f>IFERROR(__xludf.DUMMYFUNCTION("IFERROR(FILTER('Fund Investment Data'!$D:$D, 'Fund Investment Data'!$C:$C = $A161, 'Fund Investment Data'!$A:$A = Y$1, 'Fund Investment Data'!$B:$B = 12),"""")"),"")</f>
        <v/>
      </c>
      <c r="Z161" t="str">
        <f>IFERROR(__xludf.DUMMYFUNCTION("IFERROR(FILTER('Fund Investment Data'!$D:$D, 'Fund Investment Data'!$C:$C = $A161, 'Fund Investment Data'!$A:$A = Z$1, 'Fund Investment Data'!$B:$B = 12),"""")"),"")</f>
        <v/>
      </c>
    </row>
    <row r="162">
      <c r="A162" s="150" t="str">
        <f>'Endowed Funds'!A:A</f>
        <v/>
      </c>
      <c r="B162" t="str">
        <f>IFERROR(__xludf.DUMMYFUNCTION("IFERROR(FILTER('Fund Investment Data'!$D:$D, 'Fund Investment Data'!$C:$C = $A162, 'Fund Investment Data'!$A:$A = B$1, 'Fund Investment Data'!$B:$B = 12),"""")"),"")</f>
        <v/>
      </c>
      <c r="C162" t="str">
        <f>IFERROR(__xludf.DUMMYFUNCTION("IFERROR(FILTER('Fund Investment Data'!$D:$D, 'Fund Investment Data'!$C:$C = $A162, 'Fund Investment Data'!$A:$A = C$1, 'Fund Investment Data'!$B:$B = 12),"""")"),"")</f>
        <v/>
      </c>
      <c r="D162" t="str">
        <f>IFERROR(__xludf.DUMMYFUNCTION("IFERROR(FILTER('Fund Investment Data'!$D:$D, 'Fund Investment Data'!$C:$C = $A162, 'Fund Investment Data'!$A:$A = D$1, 'Fund Investment Data'!$B:$B = 12),"""")"),"")</f>
        <v/>
      </c>
      <c r="E162" t="str">
        <f>IFERROR(__xludf.DUMMYFUNCTION("IFERROR(FILTER('Fund Investment Data'!$D:$D, 'Fund Investment Data'!$C:$C = $A162, 'Fund Investment Data'!$A:$A = E$1, 'Fund Investment Data'!$B:$B = 12),"""")"),"")</f>
        <v/>
      </c>
      <c r="F162" t="str">
        <f>IFERROR(__xludf.DUMMYFUNCTION("IFERROR(FILTER('Fund Investment Data'!$D:$D, 'Fund Investment Data'!$C:$C = $A162, 'Fund Investment Data'!$A:$A = F$1, 'Fund Investment Data'!$B:$B = 12),"""")"),"")</f>
        <v/>
      </c>
      <c r="G162" t="str">
        <f>IFERROR(__xludf.DUMMYFUNCTION("IFERROR(FILTER('Fund Investment Data'!$D:$D, 'Fund Investment Data'!$C:$C = $A162, 'Fund Investment Data'!$A:$A = G$1, 'Fund Investment Data'!$B:$B = 12),"""")"),"")</f>
        <v/>
      </c>
      <c r="H162" t="str">
        <f>IFERROR(__xludf.DUMMYFUNCTION("IFERROR(FILTER('Fund Investment Data'!$D:$D, 'Fund Investment Data'!$C:$C = $A162, 'Fund Investment Data'!$A:$A = H$1, 'Fund Investment Data'!$B:$B = 12),"""")"),"")</f>
        <v/>
      </c>
      <c r="I162" t="str">
        <f>IFERROR(__xludf.DUMMYFUNCTION("IFERROR(FILTER('Fund Investment Data'!$D:$D, 'Fund Investment Data'!$C:$C = $A162, 'Fund Investment Data'!$A:$A = I$1, 'Fund Investment Data'!$B:$B = 12),"""")"),"")</f>
        <v/>
      </c>
      <c r="J162" t="str">
        <f>IFERROR(__xludf.DUMMYFUNCTION("IFERROR(FILTER('Fund Investment Data'!$D:$D, 'Fund Investment Data'!$C:$C = $A162, 'Fund Investment Data'!$A:$A = J$1, 'Fund Investment Data'!$B:$B = 12),"""")"),"")</f>
        <v/>
      </c>
      <c r="K162" t="str">
        <f>IFERROR(__xludf.DUMMYFUNCTION("IFERROR(FILTER('Fund Investment Data'!$D:$D, 'Fund Investment Data'!$C:$C = $A162, 'Fund Investment Data'!$A:$A = K$1, 'Fund Investment Data'!$B:$B = 12),"""")"),"")</f>
        <v/>
      </c>
      <c r="L162" t="str">
        <f>IFERROR(__xludf.DUMMYFUNCTION("IFERROR(FILTER('Fund Investment Data'!$D:$D, 'Fund Investment Data'!$C:$C = $A162, 'Fund Investment Data'!$A:$A = L$1, 'Fund Investment Data'!$B:$B = 12),"""")"),"")</f>
        <v/>
      </c>
      <c r="M162" t="str">
        <f>IFERROR(__xludf.DUMMYFUNCTION("IFERROR(FILTER('Fund Investment Data'!$D:$D, 'Fund Investment Data'!$C:$C = $A162, 'Fund Investment Data'!$A:$A = M$1, 'Fund Investment Data'!$B:$B = 12),"""")"),"")</f>
        <v/>
      </c>
      <c r="N162" t="str">
        <f>IFERROR(__xludf.DUMMYFUNCTION("IFERROR(FILTER('Fund Investment Data'!$D:$D, 'Fund Investment Data'!$C:$C = $A162, 'Fund Investment Data'!$A:$A = N$1, 'Fund Investment Data'!$B:$B = 12),"""")"),"")</f>
        <v/>
      </c>
      <c r="O162" t="str">
        <f>IFERROR(__xludf.DUMMYFUNCTION("IFERROR(FILTER('Fund Investment Data'!$D:$D, 'Fund Investment Data'!$C:$C = $A162, 'Fund Investment Data'!$A:$A = O$1, 'Fund Investment Data'!$B:$B = 12),"""")"),"")</f>
        <v/>
      </c>
      <c r="P162" t="str">
        <f>IFERROR(__xludf.DUMMYFUNCTION("IFERROR(FILTER('Fund Investment Data'!$D:$D, 'Fund Investment Data'!$C:$C = $A162, 'Fund Investment Data'!$A:$A = P$1, 'Fund Investment Data'!$B:$B = 12),"""")"),"")</f>
        <v/>
      </c>
      <c r="Q162" t="str">
        <f>IFERROR(__xludf.DUMMYFUNCTION("IFERROR(FILTER('Fund Investment Data'!$D:$D, 'Fund Investment Data'!$C:$C = $A162, 'Fund Investment Data'!$A:$A = Q$1, 'Fund Investment Data'!$B:$B = 12),"""")"),"")</f>
        <v/>
      </c>
      <c r="R162" t="str">
        <f>IFERROR(__xludf.DUMMYFUNCTION("IFERROR(FILTER('Fund Investment Data'!$D:$D, 'Fund Investment Data'!$C:$C = $A162, 'Fund Investment Data'!$A:$A = R$1, 'Fund Investment Data'!$B:$B = 12),"""")"),"")</f>
        <v/>
      </c>
      <c r="S162" t="str">
        <f>IFERROR(__xludf.DUMMYFUNCTION("IFERROR(FILTER('Fund Investment Data'!$D:$D, 'Fund Investment Data'!$C:$C = $A162, 'Fund Investment Data'!$A:$A = S$1, 'Fund Investment Data'!$B:$B = 12),"""")"),"")</f>
        <v/>
      </c>
      <c r="T162" t="str">
        <f>IFERROR(__xludf.DUMMYFUNCTION("IFERROR(FILTER('Fund Investment Data'!$D:$D, 'Fund Investment Data'!$C:$C = $A162, 'Fund Investment Data'!$A:$A = T$1, 'Fund Investment Data'!$B:$B = 12),"""")"),"")</f>
        <v/>
      </c>
      <c r="U162" t="str">
        <f>IFERROR(__xludf.DUMMYFUNCTION("IFERROR(FILTER('Fund Investment Data'!$D:$D, 'Fund Investment Data'!$C:$C = $A162, 'Fund Investment Data'!$A:$A = U$1, 'Fund Investment Data'!$B:$B = 12),"""")"),"")</f>
        <v/>
      </c>
      <c r="V162" t="str">
        <f>IFERROR(__xludf.DUMMYFUNCTION("IFERROR(FILTER('Fund Investment Data'!$D:$D, 'Fund Investment Data'!$C:$C = $A162, 'Fund Investment Data'!$A:$A = V$1, 'Fund Investment Data'!$B:$B = 12),"""")"),"")</f>
        <v/>
      </c>
      <c r="W162" t="str">
        <f>IFERROR(__xludf.DUMMYFUNCTION("IFERROR(FILTER('Fund Investment Data'!$D:$D, 'Fund Investment Data'!$C:$C = $A162, 'Fund Investment Data'!$A:$A = W$1, 'Fund Investment Data'!$B:$B = 12),"""")"),"")</f>
        <v/>
      </c>
      <c r="X162" t="str">
        <f>IFERROR(__xludf.DUMMYFUNCTION("IFERROR(FILTER('Fund Investment Data'!$D:$D, 'Fund Investment Data'!$C:$C = $A162, 'Fund Investment Data'!$A:$A = X$1, 'Fund Investment Data'!$B:$B = 12),"""")"),"")</f>
        <v/>
      </c>
      <c r="Y162" t="str">
        <f>IFERROR(__xludf.DUMMYFUNCTION("IFERROR(FILTER('Fund Investment Data'!$D:$D, 'Fund Investment Data'!$C:$C = $A162, 'Fund Investment Data'!$A:$A = Y$1, 'Fund Investment Data'!$B:$B = 12),"""")"),"")</f>
        <v/>
      </c>
      <c r="Z162" t="str">
        <f>IFERROR(__xludf.DUMMYFUNCTION("IFERROR(FILTER('Fund Investment Data'!$D:$D, 'Fund Investment Data'!$C:$C = $A162, 'Fund Investment Data'!$A:$A = Z$1, 'Fund Investment Data'!$B:$B = 12),"""")"),"")</f>
        <v/>
      </c>
    </row>
    <row r="163">
      <c r="A163" s="150" t="str">
        <f>'Endowed Funds'!A:A</f>
        <v/>
      </c>
      <c r="B163" t="str">
        <f>IFERROR(__xludf.DUMMYFUNCTION("IFERROR(FILTER('Fund Investment Data'!$D:$D, 'Fund Investment Data'!$C:$C = $A163, 'Fund Investment Data'!$A:$A = B$1, 'Fund Investment Data'!$B:$B = 12),"""")"),"")</f>
        <v/>
      </c>
      <c r="C163" t="str">
        <f>IFERROR(__xludf.DUMMYFUNCTION("IFERROR(FILTER('Fund Investment Data'!$D:$D, 'Fund Investment Data'!$C:$C = $A163, 'Fund Investment Data'!$A:$A = C$1, 'Fund Investment Data'!$B:$B = 12),"""")"),"")</f>
        <v/>
      </c>
      <c r="D163" t="str">
        <f>IFERROR(__xludf.DUMMYFUNCTION("IFERROR(FILTER('Fund Investment Data'!$D:$D, 'Fund Investment Data'!$C:$C = $A163, 'Fund Investment Data'!$A:$A = D$1, 'Fund Investment Data'!$B:$B = 12),"""")"),"")</f>
        <v/>
      </c>
      <c r="E163" t="str">
        <f>IFERROR(__xludf.DUMMYFUNCTION("IFERROR(FILTER('Fund Investment Data'!$D:$D, 'Fund Investment Data'!$C:$C = $A163, 'Fund Investment Data'!$A:$A = E$1, 'Fund Investment Data'!$B:$B = 12),"""")"),"")</f>
        <v/>
      </c>
      <c r="F163" t="str">
        <f>IFERROR(__xludf.DUMMYFUNCTION("IFERROR(FILTER('Fund Investment Data'!$D:$D, 'Fund Investment Data'!$C:$C = $A163, 'Fund Investment Data'!$A:$A = F$1, 'Fund Investment Data'!$B:$B = 12),"""")"),"")</f>
        <v/>
      </c>
      <c r="G163" t="str">
        <f>IFERROR(__xludf.DUMMYFUNCTION("IFERROR(FILTER('Fund Investment Data'!$D:$D, 'Fund Investment Data'!$C:$C = $A163, 'Fund Investment Data'!$A:$A = G$1, 'Fund Investment Data'!$B:$B = 12),"""")"),"")</f>
        <v/>
      </c>
      <c r="H163" t="str">
        <f>IFERROR(__xludf.DUMMYFUNCTION("IFERROR(FILTER('Fund Investment Data'!$D:$D, 'Fund Investment Data'!$C:$C = $A163, 'Fund Investment Data'!$A:$A = H$1, 'Fund Investment Data'!$B:$B = 12),"""")"),"")</f>
        <v/>
      </c>
      <c r="I163" t="str">
        <f>IFERROR(__xludf.DUMMYFUNCTION("IFERROR(FILTER('Fund Investment Data'!$D:$D, 'Fund Investment Data'!$C:$C = $A163, 'Fund Investment Data'!$A:$A = I$1, 'Fund Investment Data'!$B:$B = 12),"""")"),"")</f>
        <v/>
      </c>
      <c r="J163" t="str">
        <f>IFERROR(__xludf.DUMMYFUNCTION("IFERROR(FILTER('Fund Investment Data'!$D:$D, 'Fund Investment Data'!$C:$C = $A163, 'Fund Investment Data'!$A:$A = J$1, 'Fund Investment Data'!$B:$B = 12),"""")"),"")</f>
        <v/>
      </c>
      <c r="K163" t="str">
        <f>IFERROR(__xludf.DUMMYFUNCTION("IFERROR(FILTER('Fund Investment Data'!$D:$D, 'Fund Investment Data'!$C:$C = $A163, 'Fund Investment Data'!$A:$A = K$1, 'Fund Investment Data'!$B:$B = 12),"""")"),"")</f>
        <v/>
      </c>
      <c r="L163" t="str">
        <f>IFERROR(__xludf.DUMMYFUNCTION("IFERROR(FILTER('Fund Investment Data'!$D:$D, 'Fund Investment Data'!$C:$C = $A163, 'Fund Investment Data'!$A:$A = L$1, 'Fund Investment Data'!$B:$B = 12),"""")"),"")</f>
        <v/>
      </c>
      <c r="M163" t="str">
        <f>IFERROR(__xludf.DUMMYFUNCTION("IFERROR(FILTER('Fund Investment Data'!$D:$D, 'Fund Investment Data'!$C:$C = $A163, 'Fund Investment Data'!$A:$A = M$1, 'Fund Investment Data'!$B:$B = 12),"""")"),"")</f>
        <v/>
      </c>
      <c r="N163" t="str">
        <f>IFERROR(__xludf.DUMMYFUNCTION("IFERROR(FILTER('Fund Investment Data'!$D:$D, 'Fund Investment Data'!$C:$C = $A163, 'Fund Investment Data'!$A:$A = N$1, 'Fund Investment Data'!$B:$B = 12),"""")"),"")</f>
        <v/>
      </c>
      <c r="O163" t="str">
        <f>IFERROR(__xludf.DUMMYFUNCTION("IFERROR(FILTER('Fund Investment Data'!$D:$D, 'Fund Investment Data'!$C:$C = $A163, 'Fund Investment Data'!$A:$A = O$1, 'Fund Investment Data'!$B:$B = 12),"""")"),"")</f>
        <v/>
      </c>
      <c r="P163" t="str">
        <f>IFERROR(__xludf.DUMMYFUNCTION("IFERROR(FILTER('Fund Investment Data'!$D:$D, 'Fund Investment Data'!$C:$C = $A163, 'Fund Investment Data'!$A:$A = P$1, 'Fund Investment Data'!$B:$B = 12),"""")"),"")</f>
        <v/>
      </c>
      <c r="Q163" t="str">
        <f>IFERROR(__xludf.DUMMYFUNCTION("IFERROR(FILTER('Fund Investment Data'!$D:$D, 'Fund Investment Data'!$C:$C = $A163, 'Fund Investment Data'!$A:$A = Q$1, 'Fund Investment Data'!$B:$B = 12),"""")"),"")</f>
        <v/>
      </c>
      <c r="R163" t="str">
        <f>IFERROR(__xludf.DUMMYFUNCTION("IFERROR(FILTER('Fund Investment Data'!$D:$D, 'Fund Investment Data'!$C:$C = $A163, 'Fund Investment Data'!$A:$A = R$1, 'Fund Investment Data'!$B:$B = 12),"""")"),"")</f>
        <v/>
      </c>
      <c r="S163" t="str">
        <f>IFERROR(__xludf.DUMMYFUNCTION("IFERROR(FILTER('Fund Investment Data'!$D:$D, 'Fund Investment Data'!$C:$C = $A163, 'Fund Investment Data'!$A:$A = S$1, 'Fund Investment Data'!$B:$B = 12),"""")"),"")</f>
        <v/>
      </c>
      <c r="T163" t="str">
        <f>IFERROR(__xludf.DUMMYFUNCTION("IFERROR(FILTER('Fund Investment Data'!$D:$D, 'Fund Investment Data'!$C:$C = $A163, 'Fund Investment Data'!$A:$A = T$1, 'Fund Investment Data'!$B:$B = 12),"""")"),"")</f>
        <v/>
      </c>
      <c r="U163" t="str">
        <f>IFERROR(__xludf.DUMMYFUNCTION("IFERROR(FILTER('Fund Investment Data'!$D:$D, 'Fund Investment Data'!$C:$C = $A163, 'Fund Investment Data'!$A:$A = U$1, 'Fund Investment Data'!$B:$B = 12),"""")"),"")</f>
        <v/>
      </c>
      <c r="V163" t="str">
        <f>IFERROR(__xludf.DUMMYFUNCTION("IFERROR(FILTER('Fund Investment Data'!$D:$D, 'Fund Investment Data'!$C:$C = $A163, 'Fund Investment Data'!$A:$A = V$1, 'Fund Investment Data'!$B:$B = 12),"""")"),"")</f>
        <v/>
      </c>
      <c r="W163" t="str">
        <f>IFERROR(__xludf.DUMMYFUNCTION("IFERROR(FILTER('Fund Investment Data'!$D:$D, 'Fund Investment Data'!$C:$C = $A163, 'Fund Investment Data'!$A:$A = W$1, 'Fund Investment Data'!$B:$B = 12),"""")"),"")</f>
        <v/>
      </c>
      <c r="X163" t="str">
        <f>IFERROR(__xludf.DUMMYFUNCTION("IFERROR(FILTER('Fund Investment Data'!$D:$D, 'Fund Investment Data'!$C:$C = $A163, 'Fund Investment Data'!$A:$A = X$1, 'Fund Investment Data'!$B:$B = 12),"""")"),"")</f>
        <v/>
      </c>
      <c r="Y163" t="str">
        <f>IFERROR(__xludf.DUMMYFUNCTION("IFERROR(FILTER('Fund Investment Data'!$D:$D, 'Fund Investment Data'!$C:$C = $A163, 'Fund Investment Data'!$A:$A = Y$1, 'Fund Investment Data'!$B:$B = 12),"""")"),"")</f>
        <v/>
      </c>
      <c r="Z163" t="str">
        <f>IFERROR(__xludf.DUMMYFUNCTION("IFERROR(FILTER('Fund Investment Data'!$D:$D, 'Fund Investment Data'!$C:$C = $A163, 'Fund Investment Data'!$A:$A = Z$1, 'Fund Investment Data'!$B:$B = 12),"""")"),"")</f>
        <v/>
      </c>
    </row>
    <row r="164">
      <c r="A164" s="150" t="str">
        <f>'Endowed Funds'!A:A</f>
        <v/>
      </c>
      <c r="B164" t="str">
        <f>IFERROR(__xludf.DUMMYFUNCTION("IFERROR(FILTER('Fund Investment Data'!$D:$D, 'Fund Investment Data'!$C:$C = $A164, 'Fund Investment Data'!$A:$A = B$1, 'Fund Investment Data'!$B:$B = 12),"""")"),"")</f>
        <v/>
      </c>
      <c r="C164" t="str">
        <f>IFERROR(__xludf.DUMMYFUNCTION("IFERROR(FILTER('Fund Investment Data'!$D:$D, 'Fund Investment Data'!$C:$C = $A164, 'Fund Investment Data'!$A:$A = C$1, 'Fund Investment Data'!$B:$B = 12),"""")"),"")</f>
        <v/>
      </c>
      <c r="D164" t="str">
        <f>IFERROR(__xludf.DUMMYFUNCTION("IFERROR(FILTER('Fund Investment Data'!$D:$D, 'Fund Investment Data'!$C:$C = $A164, 'Fund Investment Data'!$A:$A = D$1, 'Fund Investment Data'!$B:$B = 12),"""")"),"")</f>
        <v/>
      </c>
      <c r="E164" t="str">
        <f>IFERROR(__xludf.DUMMYFUNCTION("IFERROR(FILTER('Fund Investment Data'!$D:$D, 'Fund Investment Data'!$C:$C = $A164, 'Fund Investment Data'!$A:$A = E$1, 'Fund Investment Data'!$B:$B = 12),"""")"),"")</f>
        <v/>
      </c>
      <c r="F164" t="str">
        <f>IFERROR(__xludf.DUMMYFUNCTION("IFERROR(FILTER('Fund Investment Data'!$D:$D, 'Fund Investment Data'!$C:$C = $A164, 'Fund Investment Data'!$A:$A = F$1, 'Fund Investment Data'!$B:$B = 12),"""")"),"")</f>
        <v/>
      </c>
      <c r="G164" t="str">
        <f>IFERROR(__xludf.DUMMYFUNCTION("IFERROR(FILTER('Fund Investment Data'!$D:$D, 'Fund Investment Data'!$C:$C = $A164, 'Fund Investment Data'!$A:$A = G$1, 'Fund Investment Data'!$B:$B = 12),"""")"),"")</f>
        <v/>
      </c>
      <c r="H164" t="str">
        <f>IFERROR(__xludf.DUMMYFUNCTION("IFERROR(FILTER('Fund Investment Data'!$D:$D, 'Fund Investment Data'!$C:$C = $A164, 'Fund Investment Data'!$A:$A = H$1, 'Fund Investment Data'!$B:$B = 12),"""")"),"")</f>
        <v/>
      </c>
      <c r="I164" t="str">
        <f>IFERROR(__xludf.DUMMYFUNCTION("IFERROR(FILTER('Fund Investment Data'!$D:$D, 'Fund Investment Data'!$C:$C = $A164, 'Fund Investment Data'!$A:$A = I$1, 'Fund Investment Data'!$B:$B = 12),"""")"),"")</f>
        <v/>
      </c>
      <c r="J164" t="str">
        <f>IFERROR(__xludf.DUMMYFUNCTION("IFERROR(FILTER('Fund Investment Data'!$D:$D, 'Fund Investment Data'!$C:$C = $A164, 'Fund Investment Data'!$A:$A = J$1, 'Fund Investment Data'!$B:$B = 12),"""")"),"")</f>
        <v/>
      </c>
      <c r="K164" t="str">
        <f>IFERROR(__xludf.DUMMYFUNCTION("IFERROR(FILTER('Fund Investment Data'!$D:$D, 'Fund Investment Data'!$C:$C = $A164, 'Fund Investment Data'!$A:$A = K$1, 'Fund Investment Data'!$B:$B = 12),"""")"),"")</f>
        <v/>
      </c>
      <c r="L164" t="str">
        <f>IFERROR(__xludf.DUMMYFUNCTION("IFERROR(FILTER('Fund Investment Data'!$D:$D, 'Fund Investment Data'!$C:$C = $A164, 'Fund Investment Data'!$A:$A = L$1, 'Fund Investment Data'!$B:$B = 12),"""")"),"")</f>
        <v/>
      </c>
      <c r="M164" t="str">
        <f>IFERROR(__xludf.DUMMYFUNCTION("IFERROR(FILTER('Fund Investment Data'!$D:$D, 'Fund Investment Data'!$C:$C = $A164, 'Fund Investment Data'!$A:$A = M$1, 'Fund Investment Data'!$B:$B = 12),"""")"),"")</f>
        <v/>
      </c>
      <c r="N164" t="str">
        <f>IFERROR(__xludf.DUMMYFUNCTION("IFERROR(FILTER('Fund Investment Data'!$D:$D, 'Fund Investment Data'!$C:$C = $A164, 'Fund Investment Data'!$A:$A = N$1, 'Fund Investment Data'!$B:$B = 12),"""")"),"")</f>
        <v/>
      </c>
      <c r="O164" t="str">
        <f>IFERROR(__xludf.DUMMYFUNCTION("IFERROR(FILTER('Fund Investment Data'!$D:$D, 'Fund Investment Data'!$C:$C = $A164, 'Fund Investment Data'!$A:$A = O$1, 'Fund Investment Data'!$B:$B = 12),"""")"),"")</f>
        <v/>
      </c>
      <c r="P164" t="str">
        <f>IFERROR(__xludf.DUMMYFUNCTION("IFERROR(FILTER('Fund Investment Data'!$D:$D, 'Fund Investment Data'!$C:$C = $A164, 'Fund Investment Data'!$A:$A = P$1, 'Fund Investment Data'!$B:$B = 12),"""")"),"")</f>
        <v/>
      </c>
      <c r="Q164" t="str">
        <f>IFERROR(__xludf.DUMMYFUNCTION("IFERROR(FILTER('Fund Investment Data'!$D:$D, 'Fund Investment Data'!$C:$C = $A164, 'Fund Investment Data'!$A:$A = Q$1, 'Fund Investment Data'!$B:$B = 12),"""")"),"")</f>
        <v/>
      </c>
      <c r="R164" t="str">
        <f>IFERROR(__xludf.DUMMYFUNCTION("IFERROR(FILTER('Fund Investment Data'!$D:$D, 'Fund Investment Data'!$C:$C = $A164, 'Fund Investment Data'!$A:$A = R$1, 'Fund Investment Data'!$B:$B = 12),"""")"),"")</f>
        <v/>
      </c>
      <c r="S164" t="str">
        <f>IFERROR(__xludf.DUMMYFUNCTION("IFERROR(FILTER('Fund Investment Data'!$D:$D, 'Fund Investment Data'!$C:$C = $A164, 'Fund Investment Data'!$A:$A = S$1, 'Fund Investment Data'!$B:$B = 12),"""")"),"")</f>
        <v/>
      </c>
      <c r="T164" t="str">
        <f>IFERROR(__xludf.DUMMYFUNCTION("IFERROR(FILTER('Fund Investment Data'!$D:$D, 'Fund Investment Data'!$C:$C = $A164, 'Fund Investment Data'!$A:$A = T$1, 'Fund Investment Data'!$B:$B = 12),"""")"),"")</f>
        <v/>
      </c>
      <c r="U164" t="str">
        <f>IFERROR(__xludf.DUMMYFUNCTION("IFERROR(FILTER('Fund Investment Data'!$D:$D, 'Fund Investment Data'!$C:$C = $A164, 'Fund Investment Data'!$A:$A = U$1, 'Fund Investment Data'!$B:$B = 12),"""")"),"")</f>
        <v/>
      </c>
      <c r="V164" t="str">
        <f>IFERROR(__xludf.DUMMYFUNCTION("IFERROR(FILTER('Fund Investment Data'!$D:$D, 'Fund Investment Data'!$C:$C = $A164, 'Fund Investment Data'!$A:$A = V$1, 'Fund Investment Data'!$B:$B = 12),"""")"),"")</f>
        <v/>
      </c>
      <c r="W164" t="str">
        <f>IFERROR(__xludf.DUMMYFUNCTION("IFERROR(FILTER('Fund Investment Data'!$D:$D, 'Fund Investment Data'!$C:$C = $A164, 'Fund Investment Data'!$A:$A = W$1, 'Fund Investment Data'!$B:$B = 12),"""")"),"")</f>
        <v/>
      </c>
      <c r="X164" t="str">
        <f>IFERROR(__xludf.DUMMYFUNCTION("IFERROR(FILTER('Fund Investment Data'!$D:$D, 'Fund Investment Data'!$C:$C = $A164, 'Fund Investment Data'!$A:$A = X$1, 'Fund Investment Data'!$B:$B = 12),"""")"),"")</f>
        <v/>
      </c>
      <c r="Y164" t="str">
        <f>IFERROR(__xludf.DUMMYFUNCTION("IFERROR(FILTER('Fund Investment Data'!$D:$D, 'Fund Investment Data'!$C:$C = $A164, 'Fund Investment Data'!$A:$A = Y$1, 'Fund Investment Data'!$B:$B = 12),"""")"),"")</f>
        <v/>
      </c>
      <c r="Z164" t="str">
        <f>IFERROR(__xludf.DUMMYFUNCTION("IFERROR(FILTER('Fund Investment Data'!$D:$D, 'Fund Investment Data'!$C:$C = $A164, 'Fund Investment Data'!$A:$A = Z$1, 'Fund Investment Data'!$B:$B = 12),"""")"),"")</f>
        <v/>
      </c>
    </row>
    <row r="165">
      <c r="A165" s="150" t="str">
        <f>'Endowed Funds'!A:A</f>
        <v/>
      </c>
      <c r="B165" t="str">
        <f>IFERROR(__xludf.DUMMYFUNCTION("IFERROR(FILTER('Fund Investment Data'!$D:$D, 'Fund Investment Data'!$C:$C = $A165, 'Fund Investment Data'!$A:$A = B$1, 'Fund Investment Data'!$B:$B = 12),"""")"),"")</f>
        <v/>
      </c>
      <c r="C165" t="str">
        <f>IFERROR(__xludf.DUMMYFUNCTION("IFERROR(FILTER('Fund Investment Data'!$D:$D, 'Fund Investment Data'!$C:$C = $A165, 'Fund Investment Data'!$A:$A = C$1, 'Fund Investment Data'!$B:$B = 12),"""")"),"")</f>
        <v/>
      </c>
      <c r="D165" t="str">
        <f>IFERROR(__xludf.DUMMYFUNCTION("IFERROR(FILTER('Fund Investment Data'!$D:$D, 'Fund Investment Data'!$C:$C = $A165, 'Fund Investment Data'!$A:$A = D$1, 'Fund Investment Data'!$B:$B = 12),"""")"),"")</f>
        <v/>
      </c>
      <c r="E165" t="str">
        <f>IFERROR(__xludf.DUMMYFUNCTION("IFERROR(FILTER('Fund Investment Data'!$D:$D, 'Fund Investment Data'!$C:$C = $A165, 'Fund Investment Data'!$A:$A = E$1, 'Fund Investment Data'!$B:$B = 12),"""")"),"")</f>
        <v/>
      </c>
      <c r="F165" t="str">
        <f>IFERROR(__xludf.DUMMYFUNCTION("IFERROR(FILTER('Fund Investment Data'!$D:$D, 'Fund Investment Data'!$C:$C = $A165, 'Fund Investment Data'!$A:$A = F$1, 'Fund Investment Data'!$B:$B = 12),"""")"),"")</f>
        <v/>
      </c>
      <c r="G165" t="str">
        <f>IFERROR(__xludf.DUMMYFUNCTION("IFERROR(FILTER('Fund Investment Data'!$D:$D, 'Fund Investment Data'!$C:$C = $A165, 'Fund Investment Data'!$A:$A = G$1, 'Fund Investment Data'!$B:$B = 12),"""")"),"")</f>
        <v/>
      </c>
      <c r="H165" t="str">
        <f>IFERROR(__xludf.DUMMYFUNCTION("IFERROR(FILTER('Fund Investment Data'!$D:$D, 'Fund Investment Data'!$C:$C = $A165, 'Fund Investment Data'!$A:$A = H$1, 'Fund Investment Data'!$B:$B = 12),"""")"),"")</f>
        <v/>
      </c>
      <c r="I165" t="str">
        <f>IFERROR(__xludf.DUMMYFUNCTION("IFERROR(FILTER('Fund Investment Data'!$D:$D, 'Fund Investment Data'!$C:$C = $A165, 'Fund Investment Data'!$A:$A = I$1, 'Fund Investment Data'!$B:$B = 12),"""")"),"")</f>
        <v/>
      </c>
      <c r="J165" t="str">
        <f>IFERROR(__xludf.DUMMYFUNCTION("IFERROR(FILTER('Fund Investment Data'!$D:$D, 'Fund Investment Data'!$C:$C = $A165, 'Fund Investment Data'!$A:$A = J$1, 'Fund Investment Data'!$B:$B = 12),"""")"),"")</f>
        <v/>
      </c>
      <c r="K165" t="str">
        <f>IFERROR(__xludf.DUMMYFUNCTION("IFERROR(FILTER('Fund Investment Data'!$D:$D, 'Fund Investment Data'!$C:$C = $A165, 'Fund Investment Data'!$A:$A = K$1, 'Fund Investment Data'!$B:$B = 12),"""")"),"")</f>
        <v/>
      </c>
      <c r="L165" t="str">
        <f>IFERROR(__xludf.DUMMYFUNCTION("IFERROR(FILTER('Fund Investment Data'!$D:$D, 'Fund Investment Data'!$C:$C = $A165, 'Fund Investment Data'!$A:$A = L$1, 'Fund Investment Data'!$B:$B = 12),"""")"),"")</f>
        <v/>
      </c>
      <c r="M165" t="str">
        <f>IFERROR(__xludf.DUMMYFUNCTION("IFERROR(FILTER('Fund Investment Data'!$D:$D, 'Fund Investment Data'!$C:$C = $A165, 'Fund Investment Data'!$A:$A = M$1, 'Fund Investment Data'!$B:$B = 12),"""")"),"")</f>
        <v/>
      </c>
      <c r="N165" t="str">
        <f>IFERROR(__xludf.DUMMYFUNCTION("IFERROR(FILTER('Fund Investment Data'!$D:$D, 'Fund Investment Data'!$C:$C = $A165, 'Fund Investment Data'!$A:$A = N$1, 'Fund Investment Data'!$B:$B = 12),"""")"),"")</f>
        <v/>
      </c>
      <c r="O165" t="str">
        <f>IFERROR(__xludf.DUMMYFUNCTION("IFERROR(FILTER('Fund Investment Data'!$D:$D, 'Fund Investment Data'!$C:$C = $A165, 'Fund Investment Data'!$A:$A = O$1, 'Fund Investment Data'!$B:$B = 12),"""")"),"")</f>
        <v/>
      </c>
      <c r="P165" t="str">
        <f>IFERROR(__xludf.DUMMYFUNCTION("IFERROR(FILTER('Fund Investment Data'!$D:$D, 'Fund Investment Data'!$C:$C = $A165, 'Fund Investment Data'!$A:$A = P$1, 'Fund Investment Data'!$B:$B = 12),"""")"),"")</f>
        <v/>
      </c>
      <c r="Q165" t="str">
        <f>IFERROR(__xludf.DUMMYFUNCTION("IFERROR(FILTER('Fund Investment Data'!$D:$D, 'Fund Investment Data'!$C:$C = $A165, 'Fund Investment Data'!$A:$A = Q$1, 'Fund Investment Data'!$B:$B = 12),"""")"),"")</f>
        <v/>
      </c>
      <c r="R165" t="str">
        <f>IFERROR(__xludf.DUMMYFUNCTION("IFERROR(FILTER('Fund Investment Data'!$D:$D, 'Fund Investment Data'!$C:$C = $A165, 'Fund Investment Data'!$A:$A = R$1, 'Fund Investment Data'!$B:$B = 12),"""")"),"")</f>
        <v/>
      </c>
      <c r="S165" t="str">
        <f>IFERROR(__xludf.DUMMYFUNCTION("IFERROR(FILTER('Fund Investment Data'!$D:$D, 'Fund Investment Data'!$C:$C = $A165, 'Fund Investment Data'!$A:$A = S$1, 'Fund Investment Data'!$B:$B = 12),"""")"),"")</f>
        <v/>
      </c>
      <c r="T165" t="str">
        <f>IFERROR(__xludf.DUMMYFUNCTION("IFERROR(FILTER('Fund Investment Data'!$D:$D, 'Fund Investment Data'!$C:$C = $A165, 'Fund Investment Data'!$A:$A = T$1, 'Fund Investment Data'!$B:$B = 12),"""")"),"")</f>
        <v/>
      </c>
      <c r="U165" t="str">
        <f>IFERROR(__xludf.DUMMYFUNCTION("IFERROR(FILTER('Fund Investment Data'!$D:$D, 'Fund Investment Data'!$C:$C = $A165, 'Fund Investment Data'!$A:$A = U$1, 'Fund Investment Data'!$B:$B = 12),"""")"),"")</f>
        <v/>
      </c>
      <c r="V165" t="str">
        <f>IFERROR(__xludf.DUMMYFUNCTION("IFERROR(FILTER('Fund Investment Data'!$D:$D, 'Fund Investment Data'!$C:$C = $A165, 'Fund Investment Data'!$A:$A = V$1, 'Fund Investment Data'!$B:$B = 12),"""")"),"")</f>
        <v/>
      </c>
      <c r="W165" t="str">
        <f>IFERROR(__xludf.DUMMYFUNCTION("IFERROR(FILTER('Fund Investment Data'!$D:$D, 'Fund Investment Data'!$C:$C = $A165, 'Fund Investment Data'!$A:$A = W$1, 'Fund Investment Data'!$B:$B = 12),"""")"),"")</f>
        <v/>
      </c>
      <c r="X165" t="str">
        <f>IFERROR(__xludf.DUMMYFUNCTION("IFERROR(FILTER('Fund Investment Data'!$D:$D, 'Fund Investment Data'!$C:$C = $A165, 'Fund Investment Data'!$A:$A = X$1, 'Fund Investment Data'!$B:$B = 12),"""")"),"")</f>
        <v/>
      </c>
      <c r="Y165" t="str">
        <f>IFERROR(__xludf.DUMMYFUNCTION("IFERROR(FILTER('Fund Investment Data'!$D:$D, 'Fund Investment Data'!$C:$C = $A165, 'Fund Investment Data'!$A:$A = Y$1, 'Fund Investment Data'!$B:$B = 12),"""")"),"")</f>
        <v/>
      </c>
      <c r="Z165" t="str">
        <f>IFERROR(__xludf.DUMMYFUNCTION("IFERROR(FILTER('Fund Investment Data'!$D:$D, 'Fund Investment Data'!$C:$C = $A165, 'Fund Investment Data'!$A:$A = Z$1, 'Fund Investment Data'!$B:$B = 12),"""")"),"")</f>
        <v/>
      </c>
    </row>
    <row r="166">
      <c r="A166" s="150" t="str">
        <f>'Endowed Funds'!A:A</f>
        <v/>
      </c>
      <c r="B166" t="str">
        <f>IFERROR(__xludf.DUMMYFUNCTION("IFERROR(FILTER('Fund Investment Data'!$D:$D, 'Fund Investment Data'!$C:$C = $A166, 'Fund Investment Data'!$A:$A = B$1, 'Fund Investment Data'!$B:$B = 12),"""")"),"")</f>
        <v/>
      </c>
      <c r="C166" t="str">
        <f>IFERROR(__xludf.DUMMYFUNCTION("IFERROR(FILTER('Fund Investment Data'!$D:$D, 'Fund Investment Data'!$C:$C = $A166, 'Fund Investment Data'!$A:$A = C$1, 'Fund Investment Data'!$B:$B = 12),"""")"),"")</f>
        <v/>
      </c>
      <c r="D166" t="str">
        <f>IFERROR(__xludf.DUMMYFUNCTION("IFERROR(FILTER('Fund Investment Data'!$D:$D, 'Fund Investment Data'!$C:$C = $A166, 'Fund Investment Data'!$A:$A = D$1, 'Fund Investment Data'!$B:$B = 12),"""")"),"")</f>
        <v/>
      </c>
      <c r="E166" t="str">
        <f>IFERROR(__xludf.DUMMYFUNCTION("IFERROR(FILTER('Fund Investment Data'!$D:$D, 'Fund Investment Data'!$C:$C = $A166, 'Fund Investment Data'!$A:$A = E$1, 'Fund Investment Data'!$B:$B = 12),"""")"),"")</f>
        <v/>
      </c>
      <c r="F166" t="str">
        <f>IFERROR(__xludf.DUMMYFUNCTION("IFERROR(FILTER('Fund Investment Data'!$D:$D, 'Fund Investment Data'!$C:$C = $A166, 'Fund Investment Data'!$A:$A = F$1, 'Fund Investment Data'!$B:$B = 12),"""")"),"")</f>
        <v/>
      </c>
      <c r="G166" t="str">
        <f>IFERROR(__xludf.DUMMYFUNCTION("IFERROR(FILTER('Fund Investment Data'!$D:$D, 'Fund Investment Data'!$C:$C = $A166, 'Fund Investment Data'!$A:$A = G$1, 'Fund Investment Data'!$B:$B = 12),"""")"),"")</f>
        <v/>
      </c>
      <c r="H166" t="str">
        <f>IFERROR(__xludf.DUMMYFUNCTION("IFERROR(FILTER('Fund Investment Data'!$D:$D, 'Fund Investment Data'!$C:$C = $A166, 'Fund Investment Data'!$A:$A = H$1, 'Fund Investment Data'!$B:$B = 12),"""")"),"")</f>
        <v/>
      </c>
      <c r="I166" t="str">
        <f>IFERROR(__xludf.DUMMYFUNCTION("IFERROR(FILTER('Fund Investment Data'!$D:$D, 'Fund Investment Data'!$C:$C = $A166, 'Fund Investment Data'!$A:$A = I$1, 'Fund Investment Data'!$B:$B = 12),"""")"),"")</f>
        <v/>
      </c>
      <c r="J166" t="str">
        <f>IFERROR(__xludf.DUMMYFUNCTION("IFERROR(FILTER('Fund Investment Data'!$D:$D, 'Fund Investment Data'!$C:$C = $A166, 'Fund Investment Data'!$A:$A = J$1, 'Fund Investment Data'!$B:$B = 12),"""")"),"")</f>
        <v/>
      </c>
      <c r="K166" t="str">
        <f>IFERROR(__xludf.DUMMYFUNCTION("IFERROR(FILTER('Fund Investment Data'!$D:$D, 'Fund Investment Data'!$C:$C = $A166, 'Fund Investment Data'!$A:$A = K$1, 'Fund Investment Data'!$B:$B = 12),"""")"),"")</f>
        <v/>
      </c>
      <c r="L166" t="str">
        <f>IFERROR(__xludf.DUMMYFUNCTION("IFERROR(FILTER('Fund Investment Data'!$D:$D, 'Fund Investment Data'!$C:$C = $A166, 'Fund Investment Data'!$A:$A = L$1, 'Fund Investment Data'!$B:$B = 12),"""")"),"")</f>
        <v/>
      </c>
      <c r="M166" t="str">
        <f>IFERROR(__xludf.DUMMYFUNCTION("IFERROR(FILTER('Fund Investment Data'!$D:$D, 'Fund Investment Data'!$C:$C = $A166, 'Fund Investment Data'!$A:$A = M$1, 'Fund Investment Data'!$B:$B = 12),"""")"),"")</f>
        <v/>
      </c>
      <c r="N166" t="str">
        <f>IFERROR(__xludf.DUMMYFUNCTION("IFERROR(FILTER('Fund Investment Data'!$D:$D, 'Fund Investment Data'!$C:$C = $A166, 'Fund Investment Data'!$A:$A = N$1, 'Fund Investment Data'!$B:$B = 12),"""")"),"")</f>
        <v/>
      </c>
      <c r="O166" t="str">
        <f>IFERROR(__xludf.DUMMYFUNCTION("IFERROR(FILTER('Fund Investment Data'!$D:$D, 'Fund Investment Data'!$C:$C = $A166, 'Fund Investment Data'!$A:$A = O$1, 'Fund Investment Data'!$B:$B = 12),"""")"),"")</f>
        <v/>
      </c>
      <c r="P166" t="str">
        <f>IFERROR(__xludf.DUMMYFUNCTION("IFERROR(FILTER('Fund Investment Data'!$D:$D, 'Fund Investment Data'!$C:$C = $A166, 'Fund Investment Data'!$A:$A = P$1, 'Fund Investment Data'!$B:$B = 12),"""")"),"")</f>
        <v/>
      </c>
      <c r="Q166" t="str">
        <f>IFERROR(__xludf.DUMMYFUNCTION("IFERROR(FILTER('Fund Investment Data'!$D:$D, 'Fund Investment Data'!$C:$C = $A166, 'Fund Investment Data'!$A:$A = Q$1, 'Fund Investment Data'!$B:$B = 12),"""")"),"")</f>
        <v/>
      </c>
      <c r="R166" t="str">
        <f>IFERROR(__xludf.DUMMYFUNCTION("IFERROR(FILTER('Fund Investment Data'!$D:$D, 'Fund Investment Data'!$C:$C = $A166, 'Fund Investment Data'!$A:$A = R$1, 'Fund Investment Data'!$B:$B = 12),"""")"),"")</f>
        <v/>
      </c>
      <c r="S166" t="str">
        <f>IFERROR(__xludf.DUMMYFUNCTION("IFERROR(FILTER('Fund Investment Data'!$D:$D, 'Fund Investment Data'!$C:$C = $A166, 'Fund Investment Data'!$A:$A = S$1, 'Fund Investment Data'!$B:$B = 12),"""")"),"")</f>
        <v/>
      </c>
      <c r="T166" t="str">
        <f>IFERROR(__xludf.DUMMYFUNCTION("IFERROR(FILTER('Fund Investment Data'!$D:$D, 'Fund Investment Data'!$C:$C = $A166, 'Fund Investment Data'!$A:$A = T$1, 'Fund Investment Data'!$B:$B = 12),"""")"),"")</f>
        <v/>
      </c>
      <c r="U166" t="str">
        <f>IFERROR(__xludf.DUMMYFUNCTION("IFERROR(FILTER('Fund Investment Data'!$D:$D, 'Fund Investment Data'!$C:$C = $A166, 'Fund Investment Data'!$A:$A = U$1, 'Fund Investment Data'!$B:$B = 12),"""")"),"")</f>
        <v/>
      </c>
      <c r="V166" t="str">
        <f>IFERROR(__xludf.DUMMYFUNCTION("IFERROR(FILTER('Fund Investment Data'!$D:$D, 'Fund Investment Data'!$C:$C = $A166, 'Fund Investment Data'!$A:$A = V$1, 'Fund Investment Data'!$B:$B = 12),"""")"),"")</f>
        <v/>
      </c>
      <c r="W166" t="str">
        <f>IFERROR(__xludf.DUMMYFUNCTION("IFERROR(FILTER('Fund Investment Data'!$D:$D, 'Fund Investment Data'!$C:$C = $A166, 'Fund Investment Data'!$A:$A = W$1, 'Fund Investment Data'!$B:$B = 12),"""")"),"")</f>
        <v/>
      </c>
      <c r="X166" t="str">
        <f>IFERROR(__xludf.DUMMYFUNCTION("IFERROR(FILTER('Fund Investment Data'!$D:$D, 'Fund Investment Data'!$C:$C = $A166, 'Fund Investment Data'!$A:$A = X$1, 'Fund Investment Data'!$B:$B = 12),"""")"),"")</f>
        <v/>
      </c>
      <c r="Y166" t="str">
        <f>IFERROR(__xludf.DUMMYFUNCTION("IFERROR(FILTER('Fund Investment Data'!$D:$D, 'Fund Investment Data'!$C:$C = $A166, 'Fund Investment Data'!$A:$A = Y$1, 'Fund Investment Data'!$B:$B = 12),"""")"),"")</f>
        <v/>
      </c>
      <c r="Z166" t="str">
        <f>IFERROR(__xludf.DUMMYFUNCTION("IFERROR(FILTER('Fund Investment Data'!$D:$D, 'Fund Investment Data'!$C:$C = $A166, 'Fund Investment Data'!$A:$A = Z$1, 'Fund Investment Data'!$B:$B = 12),"""")"),"")</f>
        <v/>
      </c>
    </row>
    <row r="167">
      <c r="A167" s="150" t="str">
        <f>'Endowed Funds'!A:A</f>
        <v/>
      </c>
      <c r="B167" t="str">
        <f>IFERROR(__xludf.DUMMYFUNCTION("IFERROR(FILTER('Fund Investment Data'!$D:$D, 'Fund Investment Data'!$C:$C = $A167, 'Fund Investment Data'!$A:$A = B$1, 'Fund Investment Data'!$B:$B = 12),"""")"),"")</f>
        <v/>
      </c>
      <c r="C167" t="str">
        <f>IFERROR(__xludf.DUMMYFUNCTION("IFERROR(FILTER('Fund Investment Data'!$D:$D, 'Fund Investment Data'!$C:$C = $A167, 'Fund Investment Data'!$A:$A = C$1, 'Fund Investment Data'!$B:$B = 12),"""")"),"")</f>
        <v/>
      </c>
      <c r="D167" t="str">
        <f>IFERROR(__xludf.DUMMYFUNCTION("IFERROR(FILTER('Fund Investment Data'!$D:$D, 'Fund Investment Data'!$C:$C = $A167, 'Fund Investment Data'!$A:$A = D$1, 'Fund Investment Data'!$B:$B = 12),"""")"),"")</f>
        <v/>
      </c>
      <c r="E167" t="str">
        <f>IFERROR(__xludf.DUMMYFUNCTION("IFERROR(FILTER('Fund Investment Data'!$D:$D, 'Fund Investment Data'!$C:$C = $A167, 'Fund Investment Data'!$A:$A = E$1, 'Fund Investment Data'!$B:$B = 12),"""")"),"")</f>
        <v/>
      </c>
      <c r="F167" t="str">
        <f>IFERROR(__xludf.DUMMYFUNCTION("IFERROR(FILTER('Fund Investment Data'!$D:$D, 'Fund Investment Data'!$C:$C = $A167, 'Fund Investment Data'!$A:$A = F$1, 'Fund Investment Data'!$B:$B = 12),"""")"),"")</f>
        <v/>
      </c>
      <c r="G167" t="str">
        <f>IFERROR(__xludf.DUMMYFUNCTION("IFERROR(FILTER('Fund Investment Data'!$D:$D, 'Fund Investment Data'!$C:$C = $A167, 'Fund Investment Data'!$A:$A = G$1, 'Fund Investment Data'!$B:$B = 12),"""")"),"")</f>
        <v/>
      </c>
      <c r="H167" t="str">
        <f>IFERROR(__xludf.DUMMYFUNCTION("IFERROR(FILTER('Fund Investment Data'!$D:$D, 'Fund Investment Data'!$C:$C = $A167, 'Fund Investment Data'!$A:$A = H$1, 'Fund Investment Data'!$B:$B = 12),"""")"),"")</f>
        <v/>
      </c>
      <c r="I167" t="str">
        <f>IFERROR(__xludf.DUMMYFUNCTION("IFERROR(FILTER('Fund Investment Data'!$D:$D, 'Fund Investment Data'!$C:$C = $A167, 'Fund Investment Data'!$A:$A = I$1, 'Fund Investment Data'!$B:$B = 12),"""")"),"")</f>
        <v/>
      </c>
      <c r="J167" t="str">
        <f>IFERROR(__xludf.DUMMYFUNCTION("IFERROR(FILTER('Fund Investment Data'!$D:$D, 'Fund Investment Data'!$C:$C = $A167, 'Fund Investment Data'!$A:$A = J$1, 'Fund Investment Data'!$B:$B = 12),"""")"),"")</f>
        <v/>
      </c>
      <c r="K167" t="str">
        <f>IFERROR(__xludf.DUMMYFUNCTION("IFERROR(FILTER('Fund Investment Data'!$D:$D, 'Fund Investment Data'!$C:$C = $A167, 'Fund Investment Data'!$A:$A = K$1, 'Fund Investment Data'!$B:$B = 12),"""")"),"")</f>
        <v/>
      </c>
      <c r="L167" t="str">
        <f>IFERROR(__xludf.DUMMYFUNCTION("IFERROR(FILTER('Fund Investment Data'!$D:$D, 'Fund Investment Data'!$C:$C = $A167, 'Fund Investment Data'!$A:$A = L$1, 'Fund Investment Data'!$B:$B = 12),"""")"),"")</f>
        <v/>
      </c>
      <c r="M167" t="str">
        <f>IFERROR(__xludf.DUMMYFUNCTION("IFERROR(FILTER('Fund Investment Data'!$D:$D, 'Fund Investment Data'!$C:$C = $A167, 'Fund Investment Data'!$A:$A = M$1, 'Fund Investment Data'!$B:$B = 12),"""")"),"")</f>
        <v/>
      </c>
      <c r="N167" t="str">
        <f>IFERROR(__xludf.DUMMYFUNCTION("IFERROR(FILTER('Fund Investment Data'!$D:$D, 'Fund Investment Data'!$C:$C = $A167, 'Fund Investment Data'!$A:$A = N$1, 'Fund Investment Data'!$B:$B = 12),"""")"),"")</f>
        <v/>
      </c>
      <c r="O167" t="str">
        <f>IFERROR(__xludf.DUMMYFUNCTION("IFERROR(FILTER('Fund Investment Data'!$D:$D, 'Fund Investment Data'!$C:$C = $A167, 'Fund Investment Data'!$A:$A = O$1, 'Fund Investment Data'!$B:$B = 12),"""")"),"")</f>
        <v/>
      </c>
      <c r="P167" t="str">
        <f>IFERROR(__xludf.DUMMYFUNCTION("IFERROR(FILTER('Fund Investment Data'!$D:$D, 'Fund Investment Data'!$C:$C = $A167, 'Fund Investment Data'!$A:$A = P$1, 'Fund Investment Data'!$B:$B = 12),"""")"),"")</f>
        <v/>
      </c>
      <c r="Q167" t="str">
        <f>IFERROR(__xludf.DUMMYFUNCTION("IFERROR(FILTER('Fund Investment Data'!$D:$D, 'Fund Investment Data'!$C:$C = $A167, 'Fund Investment Data'!$A:$A = Q$1, 'Fund Investment Data'!$B:$B = 12),"""")"),"")</f>
        <v/>
      </c>
      <c r="R167" t="str">
        <f>IFERROR(__xludf.DUMMYFUNCTION("IFERROR(FILTER('Fund Investment Data'!$D:$D, 'Fund Investment Data'!$C:$C = $A167, 'Fund Investment Data'!$A:$A = R$1, 'Fund Investment Data'!$B:$B = 12),"""")"),"")</f>
        <v/>
      </c>
      <c r="S167" t="str">
        <f>IFERROR(__xludf.DUMMYFUNCTION("IFERROR(FILTER('Fund Investment Data'!$D:$D, 'Fund Investment Data'!$C:$C = $A167, 'Fund Investment Data'!$A:$A = S$1, 'Fund Investment Data'!$B:$B = 12),"""")"),"")</f>
        <v/>
      </c>
      <c r="T167" t="str">
        <f>IFERROR(__xludf.DUMMYFUNCTION("IFERROR(FILTER('Fund Investment Data'!$D:$D, 'Fund Investment Data'!$C:$C = $A167, 'Fund Investment Data'!$A:$A = T$1, 'Fund Investment Data'!$B:$B = 12),"""")"),"")</f>
        <v/>
      </c>
      <c r="U167" t="str">
        <f>IFERROR(__xludf.DUMMYFUNCTION("IFERROR(FILTER('Fund Investment Data'!$D:$D, 'Fund Investment Data'!$C:$C = $A167, 'Fund Investment Data'!$A:$A = U$1, 'Fund Investment Data'!$B:$B = 12),"""")"),"")</f>
        <v/>
      </c>
      <c r="V167" t="str">
        <f>IFERROR(__xludf.DUMMYFUNCTION("IFERROR(FILTER('Fund Investment Data'!$D:$D, 'Fund Investment Data'!$C:$C = $A167, 'Fund Investment Data'!$A:$A = V$1, 'Fund Investment Data'!$B:$B = 12),"""")"),"")</f>
        <v/>
      </c>
      <c r="W167" t="str">
        <f>IFERROR(__xludf.DUMMYFUNCTION("IFERROR(FILTER('Fund Investment Data'!$D:$D, 'Fund Investment Data'!$C:$C = $A167, 'Fund Investment Data'!$A:$A = W$1, 'Fund Investment Data'!$B:$B = 12),"""")"),"")</f>
        <v/>
      </c>
      <c r="X167" t="str">
        <f>IFERROR(__xludf.DUMMYFUNCTION("IFERROR(FILTER('Fund Investment Data'!$D:$D, 'Fund Investment Data'!$C:$C = $A167, 'Fund Investment Data'!$A:$A = X$1, 'Fund Investment Data'!$B:$B = 12),"""")"),"")</f>
        <v/>
      </c>
      <c r="Y167" t="str">
        <f>IFERROR(__xludf.DUMMYFUNCTION("IFERROR(FILTER('Fund Investment Data'!$D:$D, 'Fund Investment Data'!$C:$C = $A167, 'Fund Investment Data'!$A:$A = Y$1, 'Fund Investment Data'!$B:$B = 12),"""")"),"")</f>
        <v/>
      </c>
      <c r="Z167" t="str">
        <f>IFERROR(__xludf.DUMMYFUNCTION("IFERROR(FILTER('Fund Investment Data'!$D:$D, 'Fund Investment Data'!$C:$C = $A167, 'Fund Investment Data'!$A:$A = Z$1, 'Fund Investment Data'!$B:$B = 12),"""")"),"")</f>
        <v/>
      </c>
    </row>
    <row r="168">
      <c r="A168" s="150" t="str">
        <f>'Endowed Funds'!A:A</f>
        <v/>
      </c>
      <c r="B168" t="str">
        <f>IFERROR(__xludf.DUMMYFUNCTION("IFERROR(FILTER('Fund Investment Data'!$D:$D, 'Fund Investment Data'!$C:$C = $A168, 'Fund Investment Data'!$A:$A = B$1, 'Fund Investment Data'!$B:$B = 12),"""")"),"")</f>
        <v/>
      </c>
      <c r="C168" t="str">
        <f>IFERROR(__xludf.DUMMYFUNCTION("IFERROR(FILTER('Fund Investment Data'!$D:$D, 'Fund Investment Data'!$C:$C = $A168, 'Fund Investment Data'!$A:$A = C$1, 'Fund Investment Data'!$B:$B = 12),"""")"),"")</f>
        <v/>
      </c>
      <c r="D168" t="str">
        <f>IFERROR(__xludf.DUMMYFUNCTION("IFERROR(FILTER('Fund Investment Data'!$D:$D, 'Fund Investment Data'!$C:$C = $A168, 'Fund Investment Data'!$A:$A = D$1, 'Fund Investment Data'!$B:$B = 12),"""")"),"")</f>
        <v/>
      </c>
      <c r="E168" t="str">
        <f>IFERROR(__xludf.DUMMYFUNCTION("IFERROR(FILTER('Fund Investment Data'!$D:$D, 'Fund Investment Data'!$C:$C = $A168, 'Fund Investment Data'!$A:$A = E$1, 'Fund Investment Data'!$B:$B = 12),"""")"),"")</f>
        <v/>
      </c>
      <c r="F168" t="str">
        <f>IFERROR(__xludf.DUMMYFUNCTION("IFERROR(FILTER('Fund Investment Data'!$D:$D, 'Fund Investment Data'!$C:$C = $A168, 'Fund Investment Data'!$A:$A = F$1, 'Fund Investment Data'!$B:$B = 12),"""")"),"")</f>
        <v/>
      </c>
      <c r="G168" t="str">
        <f>IFERROR(__xludf.DUMMYFUNCTION("IFERROR(FILTER('Fund Investment Data'!$D:$D, 'Fund Investment Data'!$C:$C = $A168, 'Fund Investment Data'!$A:$A = G$1, 'Fund Investment Data'!$B:$B = 12),"""")"),"")</f>
        <v/>
      </c>
      <c r="H168" t="str">
        <f>IFERROR(__xludf.DUMMYFUNCTION("IFERROR(FILTER('Fund Investment Data'!$D:$D, 'Fund Investment Data'!$C:$C = $A168, 'Fund Investment Data'!$A:$A = H$1, 'Fund Investment Data'!$B:$B = 12),"""")"),"")</f>
        <v/>
      </c>
      <c r="I168" t="str">
        <f>IFERROR(__xludf.DUMMYFUNCTION("IFERROR(FILTER('Fund Investment Data'!$D:$D, 'Fund Investment Data'!$C:$C = $A168, 'Fund Investment Data'!$A:$A = I$1, 'Fund Investment Data'!$B:$B = 12),"""")"),"")</f>
        <v/>
      </c>
      <c r="J168" t="str">
        <f>IFERROR(__xludf.DUMMYFUNCTION("IFERROR(FILTER('Fund Investment Data'!$D:$D, 'Fund Investment Data'!$C:$C = $A168, 'Fund Investment Data'!$A:$A = J$1, 'Fund Investment Data'!$B:$B = 12),"""")"),"")</f>
        <v/>
      </c>
      <c r="K168" t="str">
        <f>IFERROR(__xludf.DUMMYFUNCTION("IFERROR(FILTER('Fund Investment Data'!$D:$D, 'Fund Investment Data'!$C:$C = $A168, 'Fund Investment Data'!$A:$A = K$1, 'Fund Investment Data'!$B:$B = 12),"""")"),"")</f>
        <v/>
      </c>
      <c r="L168" t="str">
        <f>IFERROR(__xludf.DUMMYFUNCTION("IFERROR(FILTER('Fund Investment Data'!$D:$D, 'Fund Investment Data'!$C:$C = $A168, 'Fund Investment Data'!$A:$A = L$1, 'Fund Investment Data'!$B:$B = 12),"""")"),"")</f>
        <v/>
      </c>
      <c r="M168" t="str">
        <f>IFERROR(__xludf.DUMMYFUNCTION("IFERROR(FILTER('Fund Investment Data'!$D:$D, 'Fund Investment Data'!$C:$C = $A168, 'Fund Investment Data'!$A:$A = M$1, 'Fund Investment Data'!$B:$B = 12),"""")"),"")</f>
        <v/>
      </c>
      <c r="N168" t="str">
        <f>IFERROR(__xludf.DUMMYFUNCTION("IFERROR(FILTER('Fund Investment Data'!$D:$D, 'Fund Investment Data'!$C:$C = $A168, 'Fund Investment Data'!$A:$A = N$1, 'Fund Investment Data'!$B:$B = 12),"""")"),"")</f>
        <v/>
      </c>
      <c r="O168" t="str">
        <f>IFERROR(__xludf.DUMMYFUNCTION("IFERROR(FILTER('Fund Investment Data'!$D:$D, 'Fund Investment Data'!$C:$C = $A168, 'Fund Investment Data'!$A:$A = O$1, 'Fund Investment Data'!$B:$B = 12),"""")"),"")</f>
        <v/>
      </c>
      <c r="P168" t="str">
        <f>IFERROR(__xludf.DUMMYFUNCTION("IFERROR(FILTER('Fund Investment Data'!$D:$D, 'Fund Investment Data'!$C:$C = $A168, 'Fund Investment Data'!$A:$A = P$1, 'Fund Investment Data'!$B:$B = 12),"""")"),"")</f>
        <v/>
      </c>
      <c r="Q168" t="str">
        <f>IFERROR(__xludf.DUMMYFUNCTION("IFERROR(FILTER('Fund Investment Data'!$D:$D, 'Fund Investment Data'!$C:$C = $A168, 'Fund Investment Data'!$A:$A = Q$1, 'Fund Investment Data'!$B:$B = 12),"""")"),"")</f>
        <v/>
      </c>
      <c r="R168" t="str">
        <f>IFERROR(__xludf.DUMMYFUNCTION("IFERROR(FILTER('Fund Investment Data'!$D:$D, 'Fund Investment Data'!$C:$C = $A168, 'Fund Investment Data'!$A:$A = R$1, 'Fund Investment Data'!$B:$B = 12),"""")"),"")</f>
        <v/>
      </c>
      <c r="S168" t="str">
        <f>IFERROR(__xludf.DUMMYFUNCTION("IFERROR(FILTER('Fund Investment Data'!$D:$D, 'Fund Investment Data'!$C:$C = $A168, 'Fund Investment Data'!$A:$A = S$1, 'Fund Investment Data'!$B:$B = 12),"""")"),"")</f>
        <v/>
      </c>
      <c r="T168" t="str">
        <f>IFERROR(__xludf.DUMMYFUNCTION("IFERROR(FILTER('Fund Investment Data'!$D:$D, 'Fund Investment Data'!$C:$C = $A168, 'Fund Investment Data'!$A:$A = T$1, 'Fund Investment Data'!$B:$B = 12),"""")"),"")</f>
        <v/>
      </c>
      <c r="U168" t="str">
        <f>IFERROR(__xludf.DUMMYFUNCTION("IFERROR(FILTER('Fund Investment Data'!$D:$D, 'Fund Investment Data'!$C:$C = $A168, 'Fund Investment Data'!$A:$A = U$1, 'Fund Investment Data'!$B:$B = 12),"""")"),"")</f>
        <v/>
      </c>
      <c r="V168" t="str">
        <f>IFERROR(__xludf.DUMMYFUNCTION("IFERROR(FILTER('Fund Investment Data'!$D:$D, 'Fund Investment Data'!$C:$C = $A168, 'Fund Investment Data'!$A:$A = V$1, 'Fund Investment Data'!$B:$B = 12),"""")"),"")</f>
        <v/>
      </c>
      <c r="W168" t="str">
        <f>IFERROR(__xludf.DUMMYFUNCTION("IFERROR(FILTER('Fund Investment Data'!$D:$D, 'Fund Investment Data'!$C:$C = $A168, 'Fund Investment Data'!$A:$A = W$1, 'Fund Investment Data'!$B:$B = 12),"""")"),"")</f>
        <v/>
      </c>
      <c r="X168" t="str">
        <f>IFERROR(__xludf.DUMMYFUNCTION("IFERROR(FILTER('Fund Investment Data'!$D:$D, 'Fund Investment Data'!$C:$C = $A168, 'Fund Investment Data'!$A:$A = X$1, 'Fund Investment Data'!$B:$B = 12),"""")"),"")</f>
        <v/>
      </c>
      <c r="Y168" t="str">
        <f>IFERROR(__xludf.DUMMYFUNCTION("IFERROR(FILTER('Fund Investment Data'!$D:$D, 'Fund Investment Data'!$C:$C = $A168, 'Fund Investment Data'!$A:$A = Y$1, 'Fund Investment Data'!$B:$B = 12),"""")"),"")</f>
        <v/>
      </c>
      <c r="Z168" t="str">
        <f>IFERROR(__xludf.DUMMYFUNCTION("IFERROR(FILTER('Fund Investment Data'!$D:$D, 'Fund Investment Data'!$C:$C = $A168, 'Fund Investment Data'!$A:$A = Z$1, 'Fund Investment Data'!$B:$B = 12),"""")"),"")</f>
        <v/>
      </c>
    </row>
    <row r="169">
      <c r="A169" s="150" t="str">
        <f>'Endowed Funds'!A:A</f>
        <v/>
      </c>
      <c r="B169" t="str">
        <f>IFERROR(__xludf.DUMMYFUNCTION("IFERROR(FILTER('Fund Investment Data'!$D:$D, 'Fund Investment Data'!$C:$C = $A169, 'Fund Investment Data'!$A:$A = B$1, 'Fund Investment Data'!$B:$B = 12),"""")"),"")</f>
        <v/>
      </c>
      <c r="C169" t="str">
        <f>IFERROR(__xludf.DUMMYFUNCTION("IFERROR(FILTER('Fund Investment Data'!$D:$D, 'Fund Investment Data'!$C:$C = $A169, 'Fund Investment Data'!$A:$A = C$1, 'Fund Investment Data'!$B:$B = 12),"""")"),"")</f>
        <v/>
      </c>
      <c r="D169" t="str">
        <f>IFERROR(__xludf.DUMMYFUNCTION("IFERROR(FILTER('Fund Investment Data'!$D:$D, 'Fund Investment Data'!$C:$C = $A169, 'Fund Investment Data'!$A:$A = D$1, 'Fund Investment Data'!$B:$B = 12),"""")"),"")</f>
        <v/>
      </c>
      <c r="E169" t="str">
        <f>IFERROR(__xludf.DUMMYFUNCTION("IFERROR(FILTER('Fund Investment Data'!$D:$D, 'Fund Investment Data'!$C:$C = $A169, 'Fund Investment Data'!$A:$A = E$1, 'Fund Investment Data'!$B:$B = 12),"""")"),"")</f>
        <v/>
      </c>
      <c r="F169" t="str">
        <f>IFERROR(__xludf.DUMMYFUNCTION("IFERROR(FILTER('Fund Investment Data'!$D:$D, 'Fund Investment Data'!$C:$C = $A169, 'Fund Investment Data'!$A:$A = F$1, 'Fund Investment Data'!$B:$B = 12),"""")"),"")</f>
        <v/>
      </c>
      <c r="G169" t="str">
        <f>IFERROR(__xludf.DUMMYFUNCTION("IFERROR(FILTER('Fund Investment Data'!$D:$D, 'Fund Investment Data'!$C:$C = $A169, 'Fund Investment Data'!$A:$A = G$1, 'Fund Investment Data'!$B:$B = 12),"""")"),"")</f>
        <v/>
      </c>
      <c r="H169" t="str">
        <f>IFERROR(__xludf.DUMMYFUNCTION("IFERROR(FILTER('Fund Investment Data'!$D:$D, 'Fund Investment Data'!$C:$C = $A169, 'Fund Investment Data'!$A:$A = H$1, 'Fund Investment Data'!$B:$B = 12),"""")"),"")</f>
        <v/>
      </c>
      <c r="I169" t="str">
        <f>IFERROR(__xludf.DUMMYFUNCTION("IFERROR(FILTER('Fund Investment Data'!$D:$D, 'Fund Investment Data'!$C:$C = $A169, 'Fund Investment Data'!$A:$A = I$1, 'Fund Investment Data'!$B:$B = 12),"""")"),"")</f>
        <v/>
      </c>
      <c r="J169" t="str">
        <f>IFERROR(__xludf.DUMMYFUNCTION("IFERROR(FILTER('Fund Investment Data'!$D:$D, 'Fund Investment Data'!$C:$C = $A169, 'Fund Investment Data'!$A:$A = J$1, 'Fund Investment Data'!$B:$B = 12),"""")"),"")</f>
        <v/>
      </c>
      <c r="K169" t="str">
        <f>IFERROR(__xludf.DUMMYFUNCTION("IFERROR(FILTER('Fund Investment Data'!$D:$D, 'Fund Investment Data'!$C:$C = $A169, 'Fund Investment Data'!$A:$A = K$1, 'Fund Investment Data'!$B:$B = 12),"""")"),"")</f>
        <v/>
      </c>
      <c r="L169" t="str">
        <f>IFERROR(__xludf.DUMMYFUNCTION("IFERROR(FILTER('Fund Investment Data'!$D:$D, 'Fund Investment Data'!$C:$C = $A169, 'Fund Investment Data'!$A:$A = L$1, 'Fund Investment Data'!$B:$B = 12),"""")"),"")</f>
        <v/>
      </c>
      <c r="M169" t="str">
        <f>IFERROR(__xludf.DUMMYFUNCTION("IFERROR(FILTER('Fund Investment Data'!$D:$D, 'Fund Investment Data'!$C:$C = $A169, 'Fund Investment Data'!$A:$A = M$1, 'Fund Investment Data'!$B:$B = 12),"""")"),"")</f>
        <v/>
      </c>
      <c r="N169" t="str">
        <f>IFERROR(__xludf.DUMMYFUNCTION("IFERROR(FILTER('Fund Investment Data'!$D:$D, 'Fund Investment Data'!$C:$C = $A169, 'Fund Investment Data'!$A:$A = N$1, 'Fund Investment Data'!$B:$B = 12),"""")"),"")</f>
        <v/>
      </c>
      <c r="O169" t="str">
        <f>IFERROR(__xludf.DUMMYFUNCTION("IFERROR(FILTER('Fund Investment Data'!$D:$D, 'Fund Investment Data'!$C:$C = $A169, 'Fund Investment Data'!$A:$A = O$1, 'Fund Investment Data'!$B:$B = 12),"""")"),"")</f>
        <v/>
      </c>
      <c r="P169" t="str">
        <f>IFERROR(__xludf.DUMMYFUNCTION("IFERROR(FILTER('Fund Investment Data'!$D:$D, 'Fund Investment Data'!$C:$C = $A169, 'Fund Investment Data'!$A:$A = P$1, 'Fund Investment Data'!$B:$B = 12),"""")"),"")</f>
        <v/>
      </c>
      <c r="Q169" t="str">
        <f>IFERROR(__xludf.DUMMYFUNCTION("IFERROR(FILTER('Fund Investment Data'!$D:$D, 'Fund Investment Data'!$C:$C = $A169, 'Fund Investment Data'!$A:$A = Q$1, 'Fund Investment Data'!$B:$B = 12),"""")"),"")</f>
        <v/>
      </c>
      <c r="R169" t="str">
        <f>IFERROR(__xludf.DUMMYFUNCTION("IFERROR(FILTER('Fund Investment Data'!$D:$D, 'Fund Investment Data'!$C:$C = $A169, 'Fund Investment Data'!$A:$A = R$1, 'Fund Investment Data'!$B:$B = 12),"""")"),"")</f>
        <v/>
      </c>
      <c r="S169" t="str">
        <f>IFERROR(__xludf.DUMMYFUNCTION("IFERROR(FILTER('Fund Investment Data'!$D:$D, 'Fund Investment Data'!$C:$C = $A169, 'Fund Investment Data'!$A:$A = S$1, 'Fund Investment Data'!$B:$B = 12),"""")"),"")</f>
        <v/>
      </c>
      <c r="T169" t="str">
        <f>IFERROR(__xludf.DUMMYFUNCTION("IFERROR(FILTER('Fund Investment Data'!$D:$D, 'Fund Investment Data'!$C:$C = $A169, 'Fund Investment Data'!$A:$A = T$1, 'Fund Investment Data'!$B:$B = 12),"""")"),"")</f>
        <v/>
      </c>
      <c r="U169" t="str">
        <f>IFERROR(__xludf.DUMMYFUNCTION("IFERROR(FILTER('Fund Investment Data'!$D:$D, 'Fund Investment Data'!$C:$C = $A169, 'Fund Investment Data'!$A:$A = U$1, 'Fund Investment Data'!$B:$B = 12),"""")"),"")</f>
        <v/>
      </c>
      <c r="V169" t="str">
        <f>IFERROR(__xludf.DUMMYFUNCTION("IFERROR(FILTER('Fund Investment Data'!$D:$D, 'Fund Investment Data'!$C:$C = $A169, 'Fund Investment Data'!$A:$A = V$1, 'Fund Investment Data'!$B:$B = 12),"""")"),"")</f>
        <v/>
      </c>
      <c r="W169" t="str">
        <f>IFERROR(__xludf.DUMMYFUNCTION("IFERROR(FILTER('Fund Investment Data'!$D:$D, 'Fund Investment Data'!$C:$C = $A169, 'Fund Investment Data'!$A:$A = W$1, 'Fund Investment Data'!$B:$B = 12),"""")"),"")</f>
        <v/>
      </c>
      <c r="X169" t="str">
        <f>IFERROR(__xludf.DUMMYFUNCTION("IFERROR(FILTER('Fund Investment Data'!$D:$D, 'Fund Investment Data'!$C:$C = $A169, 'Fund Investment Data'!$A:$A = X$1, 'Fund Investment Data'!$B:$B = 12),"""")"),"")</f>
        <v/>
      </c>
      <c r="Y169" t="str">
        <f>IFERROR(__xludf.DUMMYFUNCTION("IFERROR(FILTER('Fund Investment Data'!$D:$D, 'Fund Investment Data'!$C:$C = $A169, 'Fund Investment Data'!$A:$A = Y$1, 'Fund Investment Data'!$B:$B = 12),"""")"),"")</f>
        <v/>
      </c>
      <c r="Z169" t="str">
        <f>IFERROR(__xludf.DUMMYFUNCTION("IFERROR(FILTER('Fund Investment Data'!$D:$D, 'Fund Investment Data'!$C:$C = $A169, 'Fund Investment Data'!$A:$A = Z$1, 'Fund Investment Data'!$B:$B = 12),"""")"),"")</f>
        <v/>
      </c>
    </row>
    <row r="170">
      <c r="B170" t="str">
        <f>IFERROR(__xludf.DUMMYFUNCTION("IFERROR(FILTER('Fund Investment Data'!$D:$D, 'Fund Investment Data'!$C:$C = $A170, 'Fund Investment Data'!$A:$A = B$1, 'Fund Investment Data'!$B:$B = 12),"""")"),"")</f>
        <v/>
      </c>
      <c r="C170" t="str">
        <f>IFERROR(__xludf.DUMMYFUNCTION("IFERROR(FILTER('Fund Investment Data'!$D:$D, 'Fund Investment Data'!$C:$C = $A170, 'Fund Investment Data'!$A:$A = C$1, 'Fund Investment Data'!$B:$B = 12),"""")"),"")</f>
        <v/>
      </c>
      <c r="D170" t="str">
        <f>IFERROR(__xludf.DUMMYFUNCTION("IFERROR(FILTER('Fund Investment Data'!$D:$D, 'Fund Investment Data'!$C:$C = $A170, 'Fund Investment Data'!$A:$A = D$1, 'Fund Investment Data'!$B:$B = 12),"""")"),"")</f>
        <v/>
      </c>
      <c r="E170" t="str">
        <f>IFERROR(__xludf.DUMMYFUNCTION("IFERROR(FILTER('Fund Investment Data'!$D:$D, 'Fund Investment Data'!$C:$C = $A170, 'Fund Investment Data'!$A:$A = E$1, 'Fund Investment Data'!$B:$B = 12),"""")"),"")</f>
        <v/>
      </c>
      <c r="F170" t="str">
        <f>IFERROR(__xludf.DUMMYFUNCTION("IFERROR(FILTER('Fund Investment Data'!$D:$D, 'Fund Investment Data'!$C:$C = $A170, 'Fund Investment Data'!$A:$A = F$1, 'Fund Investment Data'!$B:$B = 12),"""")"),"")</f>
        <v/>
      </c>
      <c r="G170" t="str">
        <f>IFERROR(__xludf.DUMMYFUNCTION("IFERROR(FILTER('Fund Investment Data'!$D:$D, 'Fund Investment Data'!$C:$C = $A170, 'Fund Investment Data'!$A:$A = G$1, 'Fund Investment Data'!$B:$B = 12),"""")"),"")</f>
        <v/>
      </c>
      <c r="H170" t="str">
        <f>IFERROR(__xludf.DUMMYFUNCTION("IFERROR(FILTER('Fund Investment Data'!$D:$D, 'Fund Investment Data'!$C:$C = $A170, 'Fund Investment Data'!$A:$A = H$1, 'Fund Investment Data'!$B:$B = 12),"""")"),"")</f>
        <v/>
      </c>
      <c r="I170" t="str">
        <f>IFERROR(__xludf.DUMMYFUNCTION("IFERROR(FILTER('Fund Investment Data'!$D:$D, 'Fund Investment Data'!$C:$C = $A170, 'Fund Investment Data'!$A:$A = I$1, 'Fund Investment Data'!$B:$B = 12),"""")"),"")</f>
        <v/>
      </c>
      <c r="J170" t="str">
        <f>IFERROR(__xludf.DUMMYFUNCTION("IFERROR(FILTER('Fund Investment Data'!$D:$D, 'Fund Investment Data'!$C:$C = $A170, 'Fund Investment Data'!$A:$A = J$1, 'Fund Investment Data'!$B:$B = 12),"""")"),"")</f>
        <v/>
      </c>
      <c r="K170" t="str">
        <f>IFERROR(__xludf.DUMMYFUNCTION("IFERROR(FILTER('Fund Investment Data'!$D:$D, 'Fund Investment Data'!$C:$C = $A170, 'Fund Investment Data'!$A:$A = K$1, 'Fund Investment Data'!$B:$B = 12),"""")"),"")</f>
        <v/>
      </c>
      <c r="L170" t="str">
        <f>IFERROR(__xludf.DUMMYFUNCTION("IFERROR(FILTER('Fund Investment Data'!$D:$D, 'Fund Investment Data'!$C:$C = $A170, 'Fund Investment Data'!$A:$A = L$1, 'Fund Investment Data'!$B:$B = 12),"""")"),"")</f>
        <v/>
      </c>
      <c r="M170" t="str">
        <f>IFERROR(__xludf.DUMMYFUNCTION("IFERROR(FILTER('Fund Investment Data'!$D:$D, 'Fund Investment Data'!$C:$C = $A170, 'Fund Investment Data'!$A:$A = M$1, 'Fund Investment Data'!$B:$B = 12),"""")"),"")</f>
        <v/>
      </c>
      <c r="N170" t="str">
        <f>IFERROR(__xludf.DUMMYFUNCTION("IFERROR(FILTER('Fund Investment Data'!$D:$D, 'Fund Investment Data'!$C:$C = $A170, 'Fund Investment Data'!$A:$A = N$1, 'Fund Investment Data'!$B:$B = 12),"""")"),"")</f>
        <v/>
      </c>
      <c r="O170" t="str">
        <f>IFERROR(__xludf.DUMMYFUNCTION("IFERROR(FILTER('Fund Investment Data'!$D:$D, 'Fund Investment Data'!$C:$C = $A170, 'Fund Investment Data'!$A:$A = O$1, 'Fund Investment Data'!$B:$B = 12),"""")"),"")</f>
        <v/>
      </c>
      <c r="P170" t="str">
        <f>IFERROR(__xludf.DUMMYFUNCTION("IFERROR(FILTER('Fund Investment Data'!$D:$D, 'Fund Investment Data'!$C:$C = $A170, 'Fund Investment Data'!$A:$A = P$1, 'Fund Investment Data'!$B:$B = 12),"""")"),"")</f>
        <v/>
      </c>
      <c r="Q170" t="str">
        <f>IFERROR(__xludf.DUMMYFUNCTION("IFERROR(FILTER('Fund Investment Data'!$D:$D, 'Fund Investment Data'!$C:$C = $A170, 'Fund Investment Data'!$A:$A = Q$1, 'Fund Investment Data'!$B:$B = 12),"""")"),"")</f>
        <v/>
      </c>
      <c r="R170" t="str">
        <f>IFERROR(__xludf.DUMMYFUNCTION("IFERROR(FILTER('Fund Investment Data'!$D:$D, 'Fund Investment Data'!$C:$C = $A170, 'Fund Investment Data'!$A:$A = R$1, 'Fund Investment Data'!$B:$B = 12),"""")"),"")</f>
        <v/>
      </c>
      <c r="S170" t="str">
        <f>IFERROR(__xludf.DUMMYFUNCTION("IFERROR(FILTER('Fund Investment Data'!$D:$D, 'Fund Investment Data'!$C:$C = $A170, 'Fund Investment Data'!$A:$A = S$1, 'Fund Investment Data'!$B:$B = 12),"""")"),"")</f>
        <v/>
      </c>
      <c r="T170" t="str">
        <f>IFERROR(__xludf.DUMMYFUNCTION("IFERROR(FILTER('Fund Investment Data'!$D:$D, 'Fund Investment Data'!$C:$C = $A170, 'Fund Investment Data'!$A:$A = T$1, 'Fund Investment Data'!$B:$B = 12),"""")"),"")</f>
        <v/>
      </c>
      <c r="U170" t="str">
        <f>IFERROR(__xludf.DUMMYFUNCTION("IFERROR(FILTER('Fund Investment Data'!$D:$D, 'Fund Investment Data'!$C:$C = $A170, 'Fund Investment Data'!$A:$A = U$1, 'Fund Investment Data'!$B:$B = 12),"""")"),"")</f>
        <v/>
      </c>
      <c r="V170" t="str">
        <f>IFERROR(__xludf.DUMMYFUNCTION("IFERROR(FILTER('Fund Investment Data'!$D:$D, 'Fund Investment Data'!$C:$C = $A170, 'Fund Investment Data'!$A:$A = V$1, 'Fund Investment Data'!$B:$B = 12),"""")"),"")</f>
        <v/>
      </c>
      <c r="W170" t="str">
        <f>IFERROR(__xludf.DUMMYFUNCTION("IFERROR(FILTER('Fund Investment Data'!$D:$D, 'Fund Investment Data'!$C:$C = $A170, 'Fund Investment Data'!$A:$A = W$1, 'Fund Investment Data'!$B:$B = 12),"""")"),"")</f>
        <v/>
      </c>
      <c r="X170" t="str">
        <f>IFERROR(__xludf.DUMMYFUNCTION("IFERROR(FILTER('Fund Investment Data'!$D:$D, 'Fund Investment Data'!$C:$C = $A170, 'Fund Investment Data'!$A:$A = X$1, 'Fund Investment Data'!$B:$B = 12),"""")"),"")</f>
        <v/>
      </c>
      <c r="Y170" t="str">
        <f>IFERROR(__xludf.DUMMYFUNCTION("IFERROR(FILTER('Fund Investment Data'!$D:$D, 'Fund Investment Data'!$C:$C = $A170, 'Fund Investment Data'!$A:$A = Y$1, 'Fund Investment Data'!$B:$B = 12),"""")"),"")</f>
        <v/>
      </c>
      <c r="Z170" t="str">
        <f>IFERROR(__xludf.DUMMYFUNCTION("IFERROR(FILTER('Fund Investment Data'!$D:$D, 'Fund Investment Data'!$C:$C = $A170, 'Fund Investment Data'!$A:$A = Z$1, 'Fund Investment Data'!$B:$B = 12),"""")"),"")</f>
        <v/>
      </c>
    </row>
    <row r="171">
      <c r="B171" t="str">
        <f>IFERROR(__xludf.DUMMYFUNCTION("IFERROR(FILTER('Fund Investment Data'!$D:$D, 'Fund Investment Data'!$C:$C = $A171, 'Fund Investment Data'!$A:$A = B$1, 'Fund Investment Data'!$B:$B = 12),"""")"),"")</f>
        <v/>
      </c>
      <c r="C171" t="str">
        <f>IFERROR(__xludf.DUMMYFUNCTION("IFERROR(FILTER('Fund Investment Data'!$D:$D, 'Fund Investment Data'!$C:$C = $A171, 'Fund Investment Data'!$A:$A = C$1, 'Fund Investment Data'!$B:$B = 12),"""")"),"")</f>
        <v/>
      </c>
      <c r="D171" t="str">
        <f>IFERROR(__xludf.DUMMYFUNCTION("IFERROR(FILTER('Fund Investment Data'!$D:$D, 'Fund Investment Data'!$C:$C = $A171, 'Fund Investment Data'!$A:$A = D$1, 'Fund Investment Data'!$B:$B = 12),"""")"),"")</f>
        <v/>
      </c>
      <c r="E171" t="str">
        <f>IFERROR(__xludf.DUMMYFUNCTION("IFERROR(FILTER('Fund Investment Data'!$D:$D, 'Fund Investment Data'!$C:$C = $A171, 'Fund Investment Data'!$A:$A = E$1, 'Fund Investment Data'!$B:$B = 12),"""")"),"")</f>
        <v/>
      </c>
      <c r="F171" t="str">
        <f>IFERROR(__xludf.DUMMYFUNCTION("IFERROR(FILTER('Fund Investment Data'!$D:$D, 'Fund Investment Data'!$C:$C = $A171, 'Fund Investment Data'!$A:$A = F$1, 'Fund Investment Data'!$B:$B = 12),"""")"),"")</f>
        <v/>
      </c>
      <c r="G171" t="str">
        <f>IFERROR(__xludf.DUMMYFUNCTION("IFERROR(FILTER('Fund Investment Data'!$D:$D, 'Fund Investment Data'!$C:$C = $A171, 'Fund Investment Data'!$A:$A = G$1, 'Fund Investment Data'!$B:$B = 12),"""")"),"")</f>
        <v/>
      </c>
      <c r="H171" t="str">
        <f>IFERROR(__xludf.DUMMYFUNCTION("IFERROR(FILTER('Fund Investment Data'!$D:$D, 'Fund Investment Data'!$C:$C = $A171, 'Fund Investment Data'!$A:$A = H$1, 'Fund Investment Data'!$B:$B = 12),"""")"),"")</f>
        <v/>
      </c>
      <c r="I171" t="str">
        <f>IFERROR(__xludf.DUMMYFUNCTION("IFERROR(FILTER('Fund Investment Data'!$D:$D, 'Fund Investment Data'!$C:$C = $A171, 'Fund Investment Data'!$A:$A = I$1, 'Fund Investment Data'!$B:$B = 12),"""")"),"")</f>
        <v/>
      </c>
      <c r="J171" t="str">
        <f>IFERROR(__xludf.DUMMYFUNCTION("IFERROR(FILTER('Fund Investment Data'!$D:$D, 'Fund Investment Data'!$C:$C = $A171, 'Fund Investment Data'!$A:$A = J$1, 'Fund Investment Data'!$B:$B = 12),"""")"),"")</f>
        <v/>
      </c>
      <c r="K171" t="str">
        <f>IFERROR(__xludf.DUMMYFUNCTION("IFERROR(FILTER('Fund Investment Data'!$D:$D, 'Fund Investment Data'!$C:$C = $A171, 'Fund Investment Data'!$A:$A = K$1, 'Fund Investment Data'!$B:$B = 12),"""")"),"")</f>
        <v/>
      </c>
      <c r="L171" t="str">
        <f>IFERROR(__xludf.DUMMYFUNCTION("IFERROR(FILTER('Fund Investment Data'!$D:$D, 'Fund Investment Data'!$C:$C = $A171, 'Fund Investment Data'!$A:$A = L$1, 'Fund Investment Data'!$B:$B = 12),"""")"),"")</f>
        <v/>
      </c>
      <c r="M171" t="str">
        <f>IFERROR(__xludf.DUMMYFUNCTION("IFERROR(FILTER('Fund Investment Data'!$D:$D, 'Fund Investment Data'!$C:$C = $A171, 'Fund Investment Data'!$A:$A = M$1, 'Fund Investment Data'!$B:$B = 12),"""")"),"")</f>
        <v/>
      </c>
      <c r="N171" t="str">
        <f>IFERROR(__xludf.DUMMYFUNCTION("IFERROR(FILTER('Fund Investment Data'!$D:$D, 'Fund Investment Data'!$C:$C = $A171, 'Fund Investment Data'!$A:$A = N$1, 'Fund Investment Data'!$B:$B = 12),"""")"),"")</f>
        <v/>
      </c>
      <c r="O171" t="str">
        <f>IFERROR(__xludf.DUMMYFUNCTION("IFERROR(FILTER('Fund Investment Data'!$D:$D, 'Fund Investment Data'!$C:$C = $A171, 'Fund Investment Data'!$A:$A = O$1, 'Fund Investment Data'!$B:$B = 12),"""")"),"")</f>
        <v/>
      </c>
      <c r="P171" t="str">
        <f>IFERROR(__xludf.DUMMYFUNCTION("IFERROR(FILTER('Fund Investment Data'!$D:$D, 'Fund Investment Data'!$C:$C = $A171, 'Fund Investment Data'!$A:$A = P$1, 'Fund Investment Data'!$B:$B = 12),"""")"),"")</f>
        <v/>
      </c>
      <c r="Q171" t="str">
        <f>IFERROR(__xludf.DUMMYFUNCTION("IFERROR(FILTER('Fund Investment Data'!$D:$D, 'Fund Investment Data'!$C:$C = $A171, 'Fund Investment Data'!$A:$A = Q$1, 'Fund Investment Data'!$B:$B = 12),"""")"),"")</f>
        <v/>
      </c>
      <c r="R171" t="str">
        <f>IFERROR(__xludf.DUMMYFUNCTION("IFERROR(FILTER('Fund Investment Data'!$D:$D, 'Fund Investment Data'!$C:$C = $A171, 'Fund Investment Data'!$A:$A = R$1, 'Fund Investment Data'!$B:$B = 12),"""")"),"")</f>
        <v/>
      </c>
      <c r="S171" t="str">
        <f>IFERROR(__xludf.DUMMYFUNCTION("IFERROR(FILTER('Fund Investment Data'!$D:$D, 'Fund Investment Data'!$C:$C = $A171, 'Fund Investment Data'!$A:$A = S$1, 'Fund Investment Data'!$B:$B = 12),"""")"),"")</f>
        <v/>
      </c>
      <c r="T171" t="str">
        <f>IFERROR(__xludf.DUMMYFUNCTION("IFERROR(FILTER('Fund Investment Data'!$D:$D, 'Fund Investment Data'!$C:$C = $A171, 'Fund Investment Data'!$A:$A = T$1, 'Fund Investment Data'!$B:$B = 12),"""")"),"")</f>
        <v/>
      </c>
      <c r="U171" t="str">
        <f>IFERROR(__xludf.DUMMYFUNCTION("IFERROR(FILTER('Fund Investment Data'!$D:$D, 'Fund Investment Data'!$C:$C = $A171, 'Fund Investment Data'!$A:$A = U$1, 'Fund Investment Data'!$B:$B = 12),"""")"),"")</f>
        <v/>
      </c>
      <c r="V171" t="str">
        <f>IFERROR(__xludf.DUMMYFUNCTION("IFERROR(FILTER('Fund Investment Data'!$D:$D, 'Fund Investment Data'!$C:$C = $A171, 'Fund Investment Data'!$A:$A = V$1, 'Fund Investment Data'!$B:$B = 12),"""")"),"")</f>
        <v/>
      </c>
      <c r="W171" t="str">
        <f>IFERROR(__xludf.DUMMYFUNCTION("IFERROR(FILTER('Fund Investment Data'!$D:$D, 'Fund Investment Data'!$C:$C = $A171, 'Fund Investment Data'!$A:$A = W$1, 'Fund Investment Data'!$B:$B = 12),"""")"),"")</f>
        <v/>
      </c>
      <c r="X171" t="str">
        <f>IFERROR(__xludf.DUMMYFUNCTION("IFERROR(FILTER('Fund Investment Data'!$D:$D, 'Fund Investment Data'!$C:$C = $A171, 'Fund Investment Data'!$A:$A = X$1, 'Fund Investment Data'!$B:$B = 12),"""")"),"")</f>
        <v/>
      </c>
      <c r="Y171" t="str">
        <f>IFERROR(__xludf.DUMMYFUNCTION("IFERROR(FILTER('Fund Investment Data'!$D:$D, 'Fund Investment Data'!$C:$C = $A171, 'Fund Investment Data'!$A:$A = Y$1, 'Fund Investment Data'!$B:$B = 12),"""")"),"")</f>
        <v/>
      </c>
      <c r="Z171" t="str">
        <f>IFERROR(__xludf.DUMMYFUNCTION("IFERROR(FILTER('Fund Investment Data'!$D:$D, 'Fund Investment Data'!$C:$C = $A171, 'Fund Investment Data'!$A:$A = Z$1, 'Fund Investment Data'!$B:$B = 12),"""")"),"")</f>
        <v/>
      </c>
    </row>
    <row r="172">
      <c r="B172" t="str">
        <f>IFERROR(__xludf.DUMMYFUNCTION("IFERROR(FILTER('Fund Investment Data'!$D:$D, 'Fund Investment Data'!$C:$C = $A172, 'Fund Investment Data'!$A:$A = B$1, 'Fund Investment Data'!$B:$B = 12),"""")"),"")</f>
        <v/>
      </c>
      <c r="C172" t="str">
        <f>IFERROR(__xludf.DUMMYFUNCTION("IFERROR(FILTER('Fund Investment Data'!$D:$D, 'Fund Investment Data'!$C:$C = $A172, 'Fund Investment Data'!$A:$A = C$1, 'Fund Investment Data'!$B:$B = 12),"""")"),"")</f>
        <v/>
      </c>
      <c r="D172" t="str">
        <f>IFERROR(__xludf.DUMMYFUNCTION("IFERROR(FILTER('Fund Investment Data'!$D:$D, 'Fund Investment Data'!$C:$C = $A172, 'Fund Investment Data'!$A:$A = D$1, 'Fund Investment Data'!$B:$B = 12),"""")"),"")</f>
        <v/>
      </c>
      <c r="E172" t="str">
        <f>IFERROR(__xludf.DUMMYFUNCTION("IFERROR(FILTER('Fund Investment Data'!$D:$D, 'Fund Investment Data'!$C:$C = $A172, 'Fund Investment Data'!$A:$A = E$1, 'Fund Investment Data'!$B:$B = 12),"""")"),"")</f>
        <v/>
      </c>
      <c r="F172" t="str">
        <f>IFERROR(__xludf.DUMMYFUNCTION("IFERROR(FILTER('Fund Investment Data'!$D:$D, 'Fund Investment Data'!$C:$C = $A172, 'Fund Investment Data'!$A:$A = F$1, 'Fund Investment Data'!$B:$B = 12),"""")"),"")</f>
        <v/>
      </c>
      <c r="G172" t="str">
        <f>IFERROR(__xludf.DUMMYFUNCTION("IFERROR(FILTER('Fund Investment Data'!$D:$D, 'Fund Investment Data'!$C:$C = $A172, 'Fund Investment Data'!$A:$A = G$1, 'Fund Investment Data'!$B:$B = 12),"""")"),"")</f>
        <v/>
      </c>
      <c r="H172" t="str">
        <f>IFERROR(__xludf.DUMMYFUNCTION("IFERROR(FILTER('Fund Investment Data'!$D:$D, 'Fund Investment Data'!$C:$C = $A172, 'Fund Investment Data'!$A:$A = H$1, 'Fund Investment Data'!$B:$B = 12),"""")"),"")</f>
        <v/>
      </c>
      <c r="I172" t="str">
        <f>IFERROR(__xludf.DUMMYFUNCTION("IFERROR(FILTER('Fund Investment Data'!$D:$D, 'Fund Investment Data'!$C:$C = $A172, 'Fund Investment Data'!$A:$A = I$1, 'Fund Investment Data'!$B:$B = 12),"""")"),"")</f>
        <v/>
      </c>
      <c r="J172" t="str">
        <f>IFERROR(__xludf.DUMMYFUNCTION("IFERROR(FILTER('Fund Investment Data'!$D:$D, 'Fund Investment Data'!$C:$C = $A172, 'Fund Investment Data'!$A:$A = J$1, 'Fund Investment Data'!$B:$B = 12),"""")"),"")</f>
        <v/>
      </c>
      <c r="K172" t="str">
        <f>IFERROR(__xludf.DUMMYFUNCTION("IFERROR(FILTER('Fund Investment Data'!$D:$D, 'Fund Investment Data'!$C:$C = $A172, 'Fund Investment Data'!$A:$A = K$1, 'Fund Investment Data'!$B:$B = 12),"""")"),"")</f>
        <v/>
      </c>
      <c r="L172" t="str">
        <f>IFERROR(__xludf.DUMMYFUNCTION("IFERROR(FILTER('Fund Investment Data'!$D:$D, 'Fund Investment Data'!$C:$C = $A172, 'Fund Investment Data'!$A:$A = L$1, 'Fund Investment Data'!$B:$B = 12),"""")"),"")</f>
        <v/>
      </c>
      <c r="M172" t="str">
        <f>IFERROR(__xludf.DUMMYFUNCTION("IFERROR(FILTER('Fund Investment Data'!$D:$D, 'Fund Investment Data'!$C:$C = $A172, 'Fund Investment Data'!$A:$A = M$1, 'Fund Investment Data'!$B:$B = 12),"""")"),"")</f>
        <v/>
      </c>
      <c r="N172" t="str">
        <f>IFERROR(__xludf.DUMMYFUNCTION("IFERROR(FILTER('Fund Investment Data'!$D:$D, 'Fund Investment Data'!$C:$C = $A172, 'Fund Investment Data'!$A:$A = N$1, 'Fund Investment Data'!$B:$B = 12),"""")"),"")</f>
        <v/>
      </c>
      <c r="O172" t="str">
        <f>IFERROR(__xludf.DUMMYFUNCTION("IFERROR(FILTER('Fund Investment Data'!$D:$D, 'Fund Investment Data'!$C:$C = $A172, 'Fund Investment Data'!$A:$A = O$1, 'Fund Investment Data'!$B:$B = 12),"""")"),"")</f>
        <v/>
      </c>
      <c r="P172" t="str">
        <f>IFERROR(__xludf.DUMMYFUNCTION("IFERROR(FILTER('Fund Investment Data'!$D:$D, 'Fund Investment Data'!$C:$C = $A172, 'Fund Investment Data'!$A:$A = P$1, 'Fund Investment Data'!$B:$B = 12),"""")"),"")</f>
        <v/>
      </c>
      <c r="Q172" t="str">
        <f>IFERROR(__xludf.DUMMYFUNCTION("IFERROR(FILTER('Fund Investment Data'!$D:$D, 'Fund Investment Data'!$C:$C = $A172, 'Fund Investment Data'!$A:$A = Q$1, 'Fund Investment Data'!$B:$B = 12),"""")"),"")</f>
        <v/>
      </c>
      <c r="R172" t="str">
        <f>IFERROR(__xludf.DUMMYFUNCTION("IFERROR(FILTER('Fund Investment Data'!$D:$D, 'Fund Investment Data'!$C:$C = $A172, 'Fund Investment Data'!$A:$A = R$1, 'Fund Investment Data'!$B:$B = 12),"""")"),"")</f>
        <v/>
      </c>
      <c r="S172" t="str">
        <f>IFERROR(__xludf.DUMMYFUNCTION("IFERROR(FILTER('Fund Investment Data'!$D:$D, 'Fund Investment Data'!$C:$C = $A172, 'Fund Investment Data'!$A:$A = S$1, 'Fund Investment Data'!$B:$B = 12),"""")"),"")</f>
        <v/>
      </c>
      <c r="T172" t="str">
        <f>IFERROR(__xludf.DUMMYFUNCTION("IFERROR(FILTER('Fund Investment Data'!$D:$D, 'Fund Investment Data'!$C:$C = $A172, 'Fund Investment Data'!$A:$A = T$1, 'Fund Investment Data'!$B:$B = 12),"""")"),"")</f>
        <v/>
      </c>
      <c r="U172" t="str">
        <f>IFERROR(__xludf.DUMMYFUNCTION("IFERROR(FILTER('Fund Investment Data'!$D:$D, 'Fund Investment Data'!$C:$C = $A172, 'Fund Investment Data'!$A:$A = U$1, 'Fund Investment Data'!$B:$B = 12),"""")"),"")</f>
        <v/>
      </c>
      <c r="V172" t="str">
        <f>IFERROR(__xludf.DUMMYFUNCTION("IFERROR(FILTER('Fund Investment Data'!$D:$D, 'Fund Investment Data'!$C:$C = $A172, 'Fund Investment Data'!$A:$A = V$1, 'Fund Investment Data'!$B:$B = 12),"""")"),"")</f>
        <v/>
      </c>
      <c r="W172" t="str">
        <f>IFERROR(__xludf.DUMMYFUNCTION("IFERROR(FILTER('Fund Investment Data'!$D:$D, 'Fund Investment Data'!$C:$C = $A172, 'Fund Investment Data'!$A:$A = W$1, 'Fund Investment Data'!$B:$B = 12),"""")"),"")</f>
        <v/>
      </c>
      <c r="X172" t="str">
        <f>IFERROR(__xludf.DUMMYFUNCTION("IFERROR(FILTER('Fund Investment Data'!$D:$D, 'Fund Investment Data'!$C:$C = $A172, 'Fund Investment Data'!$A:$A = X$1, 'Fund Investment Data'!$B:$B = 12),"""")"),"")</f>
        <v/>
      </c>
      <c r="Y172" t="str">
        <f>IFERROR(__xludf.DUMMYFUNCTION("IFERROR(FILTER('Fund Investment Data'!$D:$D, 'Fund Investment Data'!$C:$C = $A172, 'Fund Investment Data'!$A:$A = Y$1, 'Fund Investment Data'!$B:$B = 12),"""")"),"")</f>
        <v/>
      </c>
      <c r="Z172" t="str">
        <f>IFERROR(__xludf.DUMMYFUNCTION("IFERROR(FILTER('Fund Investment Data'!$D:$D, 'Fund Investment Data'!$C:$C = $A172, 'Fund Investment Data'!$A:$A = Z$1, 'Fund Investment Data'!$B:$B = 12),"""")"),"")</f>
        <v/>
      </c>
    </row>
    <row r="173">
      <c r="B173" t="str">
        <f>IFERROR(__xludf.DUMMYFUNCTION("IFERROR(FILTER('Fund Investment Data'!$D:$D, 'Fund Investment Data'!$C:$C = $A173, 'Fund Investment Data'!$A:$A = B$1, 'Fund Investment Data'!$B:$B = 12),"""")"),"")</f>
        <v/>
      </c>
      <c r="C173" t="str">
        <f>IFERROR(__xludf.DUMMYFUNCTION("IFERROR(FILTER('Fund Investment Data'!$D:$D, 'Fund Investment Data'!$C:$C = $A173, 'Fund Investment Data'!$A:$A = C$1, 'Fund Investment Data'!$B:$B = 12),"""")"),"")</f>
        <v/>
      </c>
      <c r="D173" t="str">
        <f>IFERROR(__xludf.DUMMYFUNCTION("IFERROR(FILTER('Fund Investment Data'!$D:$D, 'Fund Investment Data'!$C:$C = $A173, 'Fund Investment Data'!$A:$A = D$1, 'Fund Investment Data'!$B:$B = 12),"""")"),"")</f>
        <v/>
      </c>
      <c r="E173" t="str">
        <f>IFERROR(__xludf.DUMMYFUNCTION("IFERROR(FILTER('Fund Investment Data'!$D:$D, 'Fund Investment Data'!$C:$C = $A173, 'Fund Investment Data'!$A:$A = E$1, 'Fund Investment Data'!$B:$B = 12),"""")"),"")</f>
        <v/>
      </c>
      <c r="F173" t="str">
        <f>IFERROR(__xludf.DUMMYFUNCTION("IFERROR(FILTER('Fund Investment Data'!$D:$D, 'Fund Investment Data'!$C:$C = $A173, 'Fund Investment Data'!$A:$A = F$1, 'Fund Investment Data'!$B:$B = 12),"""")"),"")</f>
        <v/>
      </c>
      <c r="G173" t="str">
        <f>IFERROR(__xludf.DUMMYFUNCTION("IFERROR(FILTER('Fund Investment Data'!$D:$D, 'Fund Investment Data'!$C:$C = $A173, 'Fund Investment Data'!$A:$A = G$1, 'Fund Investment Data'!$B:$B = 12),"""")"),"")</f>
        <v/>
      </c>
      <c r="H173" t="str">
        <f>IFERROR(__xludf.DUMMYFUNCTION("IFERROR(FILTER('Fund Investment Data'!$D:$D, 'Fund Investment Data'!$C:$C = $A173, 'Fund Investment Data'!$A:$A = H$1, 'Fund Investment Data'!$B:$B = 12),"""")"),"")</f>
        <v/>
      </c>
      <c r="I173" t="str">
        <f>IFERROR(__xludf.DUMMYFUNCTION("IFERROR(FILTER('Fund Investment Data'!$D:$D, 'Fund Investment Data'!$C:$C = $A173, 'Fund Investment Data'!$A:$A = I$1, 'Fund Investment Data'!$B:$B = 12),"""")"),"")</f>
        <v/>
      </c>
      <c r="J173" t="str">
        <f>IFERROR(__xludf.DUMMYFUNCTION("IFERROR(FILTER('Fund Investment Data'!$D:$D, 'Fund Investment Data'!$C:$C = $A173, 'Fund Investment Data'!$A:$A = J$1, 'Fund Investment Data'!$B:$B = 12),"""")"),"")</f>
        <v/>
      </c>
      <c r="K173" t="str">
        <f>IFERROR(__xludf.DUMMYFUNCTION("IFERROR(FILTER('Fund Investment Data'!$D:$D, 'Fund Investment Data'!$C:$C = $A173, 'Fund Investment Data'!$A:$A = K$1, 'Fund Investment Data'!$B:$B = 12),"""")"),"")</f>
        <v/>
      </c>
      <c r="L173" t="str">
        <f>IFERROR(__xludf.DUMMYFUNCTION("IFERROR(FILTER('Fund Investment Data'!$D:$D, 'Fund Investment Data'!$C:$C = $A173, 'Fund Investment Data'!$A:$A = L$1, 'Fund Investment Data'!$B:$B = 12),"""")"),"")</f>
        <v/>
      </c>
      <c r="M173" t="str">
        <f>IFERROR(__xludf.DUMMYFUNCTION("IFERROR(FILTER('Fund Investment Data'!$D:$D, 'Fund Investment Data'!$C:$C = $A173, 'Fund Investment Data'!$A:$A = M$1, 'Fund Investment Data'!$B:$B = 12),"""")"),"")</f>
        <v/>
      </c>
      <c r="N173" t="str">
        <f>IFERROR(__xludf.DUMMYFUNCTION("IFERROR(FILTER('Fund Investment Data'!$D:$D, 'Fund Investment Data'!$C:$C = $A173, 'Fund Investment Data'!$A:$A = N$1, 'Fund Investment Data'!$B:$B = 12),"""")"),"")</f>
        <v/>
      </c>
      <c r="O173" t="str">
        <f>IFERROR(__xludf.DUMMYFUNCTION("IFERROR(FILTER('Fund Investment Data'!$D:$D, 'Fund Investment Data'!$C:$C = $A173, 'Fund Investment Data'!$A:$A = O$1, 'Fund Investment Data'!$B:$B = 12),"""")"),"")</f>
        <v/>
      </c>
      <c r="P173" t="str">
        <f>IFERROR(__xludf.DUMMYFUNCTION("IFERROR(FILTER('Fund Investment Data'!$D:$D, 'Fund Investment Data'!$C:$C = $A173, 'Fund Investment Data'!$A:$A = P$1, 'Fund Investment Data'!$B:$B = 12),"""")"),"")</f>
        <v/>
      </c>
      <c r="Q173" t="str">
        <f>IFERROR(__xludf.DUMMYFUNCTION("IFERROR(FILTER('Fund Investment Data'!$D:$D, 'Fund Investment Data'!$C:$C = $A173, 'Fund Investment Data'!$A:$A = Q$1, 'Fund Investment Data'!$B:$B = 12),"""")"),"")</f>
        <v/>
      </c>
      <c r="R173" t="str">
        <f>IFERROR(__xludf.DUMMYFUNCTION("IFERROR(FILTER('Fund Investment Data'!$D:$D, 'Fund Investment Data'!$C:$C = $A173, 'Fund Investment Data'!$A:$A = R$1, 'Fund Investment Data'!$B:$B = 12),"""")"),"")</f>
        <v/>
      </c>
      <c r="S173" t="str">
        <f>IFERROR(__xludf.DUMMYFUNCTION("IFERROR(FILTER('Fund Investment Data'!$D:$D, 'Fund Investment Data'!$C:$C = $A173, 'Fund Investment Data'!$A:$A = S$1, 'Fund Investment Data'!$B:$B = 12),"""")"),"")</f>
        <v/>
      </c>
      <c r="T173" t="str">
        <f>IFERROR(__xludf.DUMMYFUNCTION("IFERROR(FILTER('Fund Investment Data'!$D:$D, 'Fund Investment Data'!$C:$C = $A173, 'Fund Investment Data'!$A:$A = T$1, 'Fund Investment Data'!$B:$B = 12),"""")"),"")</f>
        <v/>
      </c>
      <c r="U173" t="str">
        <f>IFERROR(__xludf.DUMMYFUNCTION("IFERROR(FILTER('Fund Investment Data'!$D:$D, 'Fund Investment Data'!$C:$C = $A173, 'Fund Investment Data'!$A:$A = U$1, 'Fund Investment Data'!$B:$B = 12),"""")"),"")</f>
        <v/>
      </c>
      <c r="V173" t="str">
        <f>IFERROR(__xludf.DUMMYFUNCTION("IFERROR(FILTER('Fund Investment Data'!$D:$D, 'Fund Investment Data'!$C:$C = $A173, 'Fund Investment Data'!$A:$A = V$1, 'Fund Investment Data'!$B:$B = 12),"""")"),"")</f>
        <v/>
      </c>
      <c r="W173" t="str">
        <f>IFERROR(__xludf.DUMMYFUNCTION("IFERROR(FILTER('Fund Investment Data'!$D:$D, 'Fund Investment Data'!$C:$C = $A173, 'Fund Investment Data'!$A:$A = W$1, 'Fund Investment Data'!$B:$B = 12),"""")"),"")</f>
        <v/>
      </c>
      <c r="X173" t="str">
        <f>IFERROR(__xludf.DUMMYFUNCTION("IFERROR(FILTER('Fund Investment Data'!$D:$D, 'Fund Investment Data'!$C:$C = $A173, 'Fund Investment Data'!$A:$A = X$1, 'Fund Investment Data'!$B:$B = 12),"""")"),"")</f>
        <v/>
      </c>
      <c r="Y173" t="str">
        <f>IFERROR(__xludf.DUMMYFUNCTION("IFERROR(FILTER('Fund Investment Data'!$D:$D, 'Fund Investment Data'!$C:$C = $A173, 'Fund Investment Data'!$A:$A = Y$1, 'Fund Investment Data'!$B:$B = 12),"""")"),"")</f>
        <v/>
      </c>
      <c r="Z173" t="str">
        <f>IFERROR(__xludf.DUMMYFUNCTION("IFERROR(FILTER('Fund Investment Data'!$D:$D, 'Fund Investment Data'!$C:$C = $A173, 'Fund Investment Data'!$A:$A = Z$1, 'Fund Investment Data'!$B:$B = 12),"""")"),"")</f>
        <v/>
      </c>
    </row>
    <row r="174">
      <c r="B174" t="str">
        <f>IFERROR(__xludf.DUMMYFUNCTION("IFERROR(FILTER('Fund Investment Data'!$D:$D, 'Fund Investment Data'!$C:$C = $A174, 'Fund Investment Data'!$A:$A = B$1, 'Fund Investment Data'!$B:$B = 12),"""")"),"")</f>
        <v/>
      </c>
      <c r="C174" t="str">
        <f>IFERROR(__xludf.DUMMYFUNCTION("IFERROR(FILTER('Fund Investment Data'!$D:$D, 'Fund Investment Data'!$C:$C = $A174, 'Fund Investment Data'!$A:$A = C$1, 'Fund Investment Data'!$B:$B = 12),"""")"),"")</f>
        <v/>
      </c>
      <c r="D174" t="str">
        <f>IFERROR(__xludf.DUMMYFUNCTION("IFERROR(FILTER('Fund Investment Data'!$D:$D, 'Fund Investment Data'!$C:$C = $A174, 'Fund Investment Data'!$A:$A = D$1, 'Fund Investment Data'!$B:$B = 12),"""")"),"")</f>
        <v/>
      </c>
      <c r="E174" t="str">
        <f>IFERROR(__xludf.DUMMYFUNCTION("IFERROR(FILTER('Fund Investment Data'!$D:$D, 'Fund Investment Data'!$C:$C = $A174, 'Fund Investment Data'!$A:$A = E$1, 'Fund Investment Data'!$B:$B = 12),"""")"),"")</f>
        <v/>
      </c>
      <c r="F174" t="str">
        <f>IFERROR(__xludf.DUMMYFUNCTION("IFERROR(FILTER('Fund Investment Data'!$D:$D, 'Fund Investment Data'!$C:$C = $A174, 'Fund Investment Data'!$A:$A = F$1, 'Fund Investment Data'!$B:$B = 12),"""")"),"")</f>
        <v/>
      </c>
      <c r="G174" t="str">
        <f>IFERROR(__xludf.DUMMYFUNCTION("IFERROR(FILTER('Fund Investment Data'!$D:$D, 'Fund Investment Data'!$C:$C = $A174, 'Fund Investment Data'!$A:$A = G$1, 'Fund Investment Data'!$B:$B = 12),"""")"),"")</f>
        <v/>
      </c>
      <c r="H174" t="str">
        <f>IFERROR(__xludf.DUMMYFUNCTION("IFERROR(FILTER('Fund Investment Data'!$D:$D, 'Fund Investment Data'!$C:$C = $A174, 'Fund Investment Data'!$A:$A = H$1, 'Fund Investment Data'!$B:$B = 12),"""")"),"")</f>
        <v/>
      </c>
      <c r="I174" t="str">
        <f>IFERROR(__xludf.DUMMYFUNCTION("IFERROR(FILTER('Fund Investment Data'!$D:$D, 'Fund Investment Data'!$C:$C = $A174, 'Fund Investment Data'!$A:$A = I$1, 'Fund Investment Data'!$B:$B = 12),"""")"),"")</f>
        <v/>
      </c>
      <c r="J174" t="str">
        <f>IFERROR(__xludf.DUMMYFUNCTION("IFERROR(FILTER('Fund Investment Data'!$D:$D, 'Fund Investment Data'!$C:$C = $A174, 'Fund Investment Data'!$A:$A = J$1, 'Fund Investment Data'!$B:$B = 12),"""")"),"")</f>
        <v/>
      </c>
      <c r="K174" t="str">
        <f>IFERROR(__xludf.DUMMYFUNCTION("IFERROR(FILTER('Fund Investment Data'!$D:$D, 'Fund Investment Data'!$C:$C = $A174, 'Fund Investment Data'!$A:$A = K$1, 'Fund Investment Data'!$B:$B = 12),"""")"),"")</f>
        <v/>
      </c>
      <c r="L174" t="str">
        <f>IFERROR(__xludf.DUMMYFUNCTION("IFERROR(FILTER('Fund Investment Data'!$D:$D, 'Fund Investment Data'!$C:$C = $A174, 'Fund Investment Data'!$A:$A = L$1, 'Fund Investment Data'!$B:$B = 12),"""")"),"")</f>
        <v/>
      </c>
      <c r="M174" t="str">
        <f>IFERROR(__xludf.DUMMYFUNCTION("IFERROR(FILTER('Fund Investment Data'!$D:$D, 'Fund Investment Data'!$C:$C = $A174, 'Fund Investment Data'!$A:$A = M$1, 'Fund Investment Data'!$B:$B = 12),"""")"),"")</f>
        <v/>
      </c>
      <c r="N174" t="str">
        <f>IFERROR(__xludf.DUMMYFUNCTION("IFERROR(FILTER('Fund Investment Data'!$D:$D, 'Fund Investment Data'!$C:$C = $A174, 'Fund Investment Data'!$A:$A = N$1, 'Fund Investment Data'!$B:$B = 12),"""")"),"")</f>
        <v/>
      </c>
      <c r="O174" t="str">
        <f>IFERROR(__xludf.DUMMYFUNCTION("IFERROR(FILTER('Fund Investment Data'!$D:$D, 'Fund Investment Data'!$C:$C = $A174, 'Fund Investment Data'!$A:$A = O$1, 'Fund Investment Data'!$B:$B = 12),"""")"),"")</f>
        <v/>
      </c>
      <c r="P174" t="str">
        <f>IFERROR(__xludf.DUMMYFUNCTION("IFERROR(FILTER('Fund Investment Data'!$D:$D, 'Fund Investment Data'!$C:$C = $A174, 'Fund Investment Data'!$A:$A = P$1, 'Fund Investment Data'!$B:$B = 12),"""")"),"")</f>
        <v/>
      </c>
      <c r="Q174" t="str">
        <f>IFERROR(__xludf.DUMMYFUNCTION("IFERROR(FILTER('Fund Investment Data'!$D:$D, 'Fund Investment Data'!$C:$C = $A174, 'Fund Investment Data'!$A:$A = Q$1, 'Fund Investment Data'!$B:$B = 12),"""")"),"")</f>
        <v/>
      </c>
      <c r="R174" t="str">
        <f>IFERROR(__xludf.DUMMYFUNCTION("IFERROR(FILTER('Fund Investment Data'!$D:$D, 'Fund Investment Data'!$C:$C = $A174, 'Fund Investment Data'!$A:$A = R$1, 'Fund Investment Data'!$B:$B = 12),"""")"),"")</f>
        <v/>
      </c>
      <c r="S174" t="str">
        <f>IFERROR(__xludf.DUMMYFUNCTION("IFERROR(FILTER('Fund Investment Data'!$D:$D, 'Fund Investment Data'!$C:$C = $A174, 'Fund Investment Data'!$A:$A = S$1, 'Fund Investment Data'!$B:$B = 12),"""")"),"")</f>
        <v/>
      </c>
      <c r="T174" t="str">
        <f>IFERROR(__xludf.DUMMYFUNCTION("IFERROR(FILTER('Fund Investment Data'!$D:$D, 'Fund Investment Data'!$C:$C = $A174, 'Fund Investment Data'!$A:$A = T$1, 'Fund Investment Data'!$B:$B = 12),"""")"),"")</f>
        <v/>
      </c>
      <c r="U174" t="str">
        <f>IFERROR(__xludf.DUMMYFUNCTION("IFERROR(FILTER('Fund Investment Data'!$D:$D, 'Fund Investment Data'!$C:$C = $A174, 'Fund Investment Data'!$A:$A = U$1, 'Fund Investment Data'!$B:$B = 12),"""")"),"")</f>
        <v/>
      </c>
      <c r="V174" t="str">
        <f>IFERROR(__xludf.DUMMYFUNCTION("IFERROR(FILTER('Fund Investment Data'!$D:$D, 'Fund Investment Data'!$C:$C = $A174, 'Fund Investment Data'!$A:$A = V$1, 'Fund Investment Data'!$B:$B = 12),"""")"),"")</f>
        <v/>
      </c>
      <c r="W174" t="str">
        <f>IFERROR(__xludf.DUMMYFUNCTION("IFERROR(FILTER('Fund Investment Data'!$D:$D, 'Fund Investment Data'!$C:$C = $A174, 'Fund Investment Data'!$A:$A = W$1, 'Fund Investment Data'!$B:$B = 12),"""")"),"")</f>
        <v/>
      </c>
      <c r="X174" t="str">
        <f>IFERROR(__xludf.DUMMYFUNCTION("IFERROR(FILTER('Fund Investment Data'!$D:$D, 'Fund Investment Data'!$C:$C = $A174, 'Fund Investment Data'!$A:$A = X$1, 'Fund Investment Data'!$B:$B = 12),"""")"),"")</f>
        <v/>
      </c>
      <c r="Y174" t="str">
        <f>IFERROR(__xludf.DUMMYFUNCTION("IFERROR(FILTER('Fund Investment Data'!$D:$D, 'Fund Investment Data'!$C:$C = $A174, 'Fund Investment Data'!$A:$A = Y$1, 'Fund Investment Data'!$B:$B = 12),"""")"),"")</f>
        <v/>
      </c>
      <c r="Z174" t="str">
        <f>IFERROR(__xludf.DUMMYFUNCTION("IFERROR(FILTER('Fund Investment Data'!$D:$D, 'Fund Investment Data'!$C:$C = $A174, 'Fund Investment Data'!$A:$A = Z$1, 'Fund Investment Data'!$B:$B = 12),"""")"),"")</f>
        <v/>
      </c>
    </row>
    <row r="175">
      <c r="B175" t="str">
        <f>IFERROR(__xludf.DUMMYFUNCTION("IFERROR(FILTER('Fund Investment Data'!$D:$D, 'Fund Investment Data'!$C:$C = $A175, 'Fund Investment Data'!$A:$A = B$1, 'Fund Investment Data'!$B:$B = 12),"""")"),"")</f>
        <v/>
      </c>
      <c r="C175" t="str">
        <f>IFERROR(__xludf.DUMMYFUNCTION("IFERROR(FILTER('Fund Investment Data'!$D:$D, 'Fund Investment Data'!$C:$C = $A175, 'Fund Investment Data'!$A:$A = C$1, 'Fund Investment Data'!$B:$B = 12),"""")"),"")</f>
        <v/>
      </c>
      <c r="D175" t="str">
        <f>IFERROR(__xludf.DUMMYFUNCTION("IFERROR(FILTER('Fund Investment Data'!$D:$D, 'Fund Investment Data'!$C:$C = $A175, 'Fund Investment Data'!$A:$A = D$1, 'Fund Investment Data'!$B:$B = 12),"""")"),"")</f>
        <v/>
      </c>
      <c r="E175" t="str">
        <f>IFERROR(__xludf.DUMMYFUNCTION("IFERROR(FILTER('Fund Investment Data'!$D:$D, 'Fund Investment Data'!$C:$C = $A175, 'Fund Investment Data'!$A:$A = E$1, 'Fund Investment Data'!$B:$B = 12),"""")"),"")</f>
        <v/>
      </c>
      <c r="F175" t="str">
        <f>IFERROR(__xludf.DUMMYFUNCTION("IFERROR(FILTER('Fund Investment Data'!$D:$D, 'Fund Investment Data'!$C:$C = $A175, 'Fund Investment Data'!$A:$A = F$1, 'Fund Investment Data'!$B:$B = 12),"""")"),"")</f>
        <v/>
      </c>
      <c r="G175" t="str">
        <f>IFERROR(__xludf.DUMMYFUNCTION("IFERROR(FILTER('Fund Investment Data'!$D:$D, 'Fund Investment Data'!$C:$C = $A175, 'Fund Investment Data'!$A:$A = G$1, 'Fund Investment Data'!$B:$B = 12),"""")"),"")</f>
        <v/>
      </c>
      <c r="H175" t="str">
        <f>IFERROR(__xludf.DUMMYFUNCTION("IFERROR(FILTER('Fund Investment Data'!$D:$D, 'Fund Investment Data'!$C:$C = $A175, 'Fund Investment Data'!$A:$A = H$1, 'Fund Investment Data'!$B:$B = 12),"""")"),"")</f>
        <v/>
      </c>
      <c r="I175" t="str">
        <f>IFERROR(__xludf.DUMMYFUNCTION("IFERROR(FILTER('Fund Investment Data'!$D:$D, 'Fund Investment Data'!$C:$C = $A175, 'Fund Investment Data'!$A:$A = I$1, 'Fund Investment Data'!$B:$B = 12),"""")"),"")</f>
        <v/>
      </c>
      <c r="J175" t="str">
        <f>IFERROR(__xludf.DUMMYFUNCTION("IFERROR(FILTER('Fund Investment Data'!$D:$D, 'Fund Investment Data'!$C:$C = $A175, 'Fund Investment Data'!$A:$A = J$1, 'Fund Investment Data'!$B:$B = 12),"""")"),"")</f>
        <v/>
      </c>
      <c r="K175" t="str">
        <f>IFERROR(__xludf.DUMMYFUNCTION("IFERROR(FILTER('Fund Investment Data'!$D:$D, 'Fund Investment Data'!$C:$C = $A175, 'Fund Investment Data'!$A:$A = K$1, 'Fund Investment Data'!$B:$B = 12),"""")"),"")</f>
        <v/>
      </c>
      <c r="L175" t="str">
        <f>IFERROR(__xludf.DUMMYFUNCTION("IFERROR(FILTER('Fund Investment Data'!$D:$D, 'Fund Investment Data'!$C:$C = $A175, 'Fund Investment Data'!$A:$A = L$1, 'Fund Investment Data'!$B:$B = 12),"""")"),"")</f>
        <v/>
      </c>
      <c r="M175" t="str">
        <f>IFERROR(__xludf.DUMMYFUNCTION("IFERROR(FILTER('Fund Investment Data'!$D:$D, 'Fund Investment Data'!$C:$C = $A175, 'Fund Investment Data'!$A:$A = M$1, 'Fund Investment Data'!$B:$B = 12),"""")"),"")</f>
        <v/>
      </c>
      <c r="N175" t="str">
        <f>IFERROR(__xludf.DUMMYFUNCTION("IFERROR(FILTER('Fund Investment Data'!$D:$D, 'Fund Investment Data'!$C:$C = $A175, 'Fund Investment Data'!$A:$A = N$1, 'Fund Investment Data'!$B:$B = 12),"""")"),"")</f>
        <v/>
      </c>
      <c r="O175" t="str">
        <f>IFERROR(__xludf.DUMMYFUNCTION("IFERROR(FILTER('Fund Investment Data'!$D:$D, 'Fund Investment Data'!$C:$C = $A175, 'Fund Investment Data'!$A:$A = O$1, 'Fund Investment Data'!$B:$B = 12),"""")"),"")</f>
        <v/>
      </c>
      <c r="P175" t="str">
        <f>IFERROR(__xludf.DUMMYFUNCTION("IFERROR(FILTER('Fund Investment Data'!$D:$D, 'Fund Investment Data'!$C:$C = $A175, 'Fund Investment Data'!$A:$A = P$1, 'Fund Investment Data'!$B:$B = 12),"""")"),"")</f>
        <v/>
      </c>
      <c r="Q175" t="str">
        <f>IFERROR(__xludf.DUMMYFUNCTION("IFERROR(FILTER('Fund Investment Data'!$D:$D, 'Fund Investment Data'!$C:$C = $A175, 'Fund Investment Data'!$A:$A = Q$1, 'Fund Investment Data'!$B:$B = 12),"""")"),"")</f>
        <v/>
      </c>
      <c r="R175" t="str">
        <f>IFERROR(__xludf.DUMMYFUNCTION("IFERROR(FILTER('Fund Investment Data'!$D:$D, 'Fund Investment Data'!$C:$C = $A175, 'Fund Investment Data'!$A:$A = R$1, 'Fund Investment Data'!$B:$B = 12),"""")"),"")</f>
        <v/>
      </c>
      <c r="S175" t="str">
        <f>IFERROR(__xludf.DUMMYFUNCTION("IFERROR(FILTER('Fund Investment Data'!$D:$D, 'Fund Investment Data'!$C:$C = $A175, 'Fund Investment Data'!$A:$A = S$1, 'Fund Investment Data'!$B:$B = 12),"""")"),"")</f>
        <v/>
      </c>
      <c r="T175" t="str">
        <f>IFERROR(__xludf.DUMMYFUNCTION("IFERROR(FILTER('Fund Investment Data'!$D:$D, 'Fund Investment Data'!$C:$C = $A175, 'Fund Investment Data'!$A:$A = T$1, 'Fund Investment Data'!$B:$B = 12),"""")"),"")</f>
        <v/>
      </c>
      <c r="U175" t="str">
        <f>IFERROR(__xludf.DUMMYFUNCTION("IFERROR(FILTER('Fund Investment Data'!$D:$D, 'Fund Investment Data'!$C:$C = $A175, 'Fund Investment Data'!$A:$A = U$1, 'Fund Investment Data'!$B:$B = 12),"""")"),"")</f>
        <v/>
      </c>
      <c r="V175" t="str">
        <f>IFERROR(__xludf.DUMMYFUNCTION("IFERROR(FILTER('Fund Investment Data'!$D:$D, 'Fund Investment Data'!$C:$C = $A175, 'Fund Investment Data'!$A:$A = V$1, 'Fund Investment Data'!$B:$B = 12),"""")"),"")</f>
        <v/>
      </c>
      <c r="W175" t="str">
        <f>IFERROR(__xludf.DUMMYFUNCTION("IFERROR(FILTER('Fund Investment Data'!$D:$D, 'Fund Investment Data'!$C:$C = $A175, 'Fund Investment Data'!$A:$A = W$1, 'Fund Investment Data'!$B:$B = 12),"""")"),"")</f>
        <v/>
      </c>
      <c r="X175" t="str">
        <f>IFERROR(__xludf.DUMMYFUNCTION("IFERROR(FILTER('Fund Investment Data'!$D:$D, 'Fund Investment Data'!$C:$C = $A175, 'Fund Investment Data'!$A:$A = X$1, 'Fund Investment Data'!$B:$B = 12),"""")"),"")</f>
        <v/>
      </c>
      <c r="Y175" t="str">
        <f>IFERROR(__xludf.DUMMYFUNCTION("IFERROR(FILTER('Fund Investment Data'!$D:$D, 'Fund Investment Data'!$C:$C = $A175, 'Fund Investment Data'!$A:$A = Y$1, 'Fund Investment Data'!$B:$B = 12),"""")"),"")</f>
        <v/>
      </c>
      <c r="Z175" t="str">
        <f>IFERROR(__xludf.DUMMYFUNCTION("IFERROR(FILTER('Fund Investment Data'!$D:$D, 'Fund Investment Data'!$C:$C = $A175, 'Fund Investment Data'!$A:$A = Z$1, 'Fund Investment Data'!$B:$B = 12),"""")"),"")</f>
        <v/>
      </c>
    </row>
    <row r="176">
      <c r="B176" t="str">
        <f>IFERROR(__xludf.DUMMYFUNCTION("IFERROR(FILTER('Fund Investment Data'!$D:$D, 'Fund Investment Data'!$C:$C = $A176, 'Fund Investment Data'!$A:$A = B$1, 'Fund Investment Data'!$B:$B = 12),"""")"),"")</f>
        <v/>
      </c>
      <c r="C176" t="str">
        <f>IFERROR(__xludf.DUMMYFUNCTION("IFERROR(FILTER('Fund Investment Data'!$D:$D, 'Fund Investment Data'!$C:$C = $A176, 'Fund Investment Data'!$A:$A = C$1, 'Fund Investment Data'!$B:$B = 12),"""")"),"")</f>
        <v/>
      </c>
      <c r="D176" t="str">
        <f>IFERROR(__xludf.DUMMYFUNCTION("IFERROR(FILTER('Fund Investment Data'!$D:$D, 'Fund Investment Data'!$C:$C = $A176, 'Fund Investment Data'!$A:$A = D$1, 'Fund Investment Data'!$B:$B = 12),"""")"),"")</f>
        <v/>
      </c>
      <c r="E176" t="str">
        <f>IFERROR(__xludf.DUMMYFUNCTION("IFERROR(FILTER('Fund Investment Data'!$D:$D, 'Fund Investment Data'!$C:$C = $A176, 'Fund Investment Data'!$A:$A = E$1, 'Fund Investment Data'!$B:$B = 12),"""")"),"")</f>
        <v/>
      </c>
      <c r="F176" t="str">
        <f>IFERROR(__xludf.DUMMYFUNCTION("IFERROR(FILTER('Fund Investment Data'!$D:$D, 'Fund Investment Data'!$C:$C = $A176, 'Fund Investment Data'!$A:$A = F$1, 'Fund Investment Data'!$B:$B = 12),"""")"),"")</f>
        <v/>
      </c>
      <c r="G176" t="str">
        <f>IFERROR(__xludf.DUMMYFUNCTION("IFERROR(FILTER('Fund Investment Data'!$D:$D, 'Fund Investment Data'!$C:$C = $A176, 'Fund Investment Data'!$A:$A = G$1, 'Fund Investment Data'!$B:$B = 12),"""")"),"")</f>
        <v/>
      </c>
      <c r="H176" t="str">
        <f>IFERROR(__xludf.DUMMYFUNCTION("IFERROR(FILTER('Fund Investment Data'!$D:$D, 'Fund Investment Data'!$C:$C = $A176, 'Fund Investment Data'!$A:$A = H$1, 'Fund Investment Data'!$B:$B = 12),"""")"),"")</f>
        <v/>
      </c>
      <c r="I176" t="str">
        <f>IFERROR(__xludf.DUMMYFUNCTION("IFERROR(FILTER('Fund Investment Data'!$D:$D, 'Fund Investment Data'!$C:$C = $A176, 'Fund Investment Data'!$A:$A = I$1, 'Fund Investment Data'!$B:$B = 12),"""")"),"")</f>
        <v/>
      </c>
      <c r="J176" t="str">
        <f>IFERROR(__xludf.DUMMYFUNCTION("IFERROR(FILTER('Fund Investment Data'!$D:$D, 'Fund Investment Data'!$C:$C = $A176, 'Fund Investment Data'!$A:$A = J$1, 'Fund Investment Data'!$B:$B = 12),"""")"),"")</f>
        <v/>
      </c>
      <c r="K176" t="str">
        <f>IFERROR(__xludf.DUMMYFUNCTION("IFERROR(FILTER('Fund Investment Data'!$D:$D, 'Fund Investment Data'!$C:$C = $A176, 'Fund Investment Data'!$A:$A = K$1, 'Fund Investment Data'!$B:$B = 12),"""")"),"")</f>
        <v/>
      </c>
      <c r="L176" t="str">
        <f>IFERROR(__xludf.DUMMYFUNCTION("IFERROR(FILTER('Fund Investment Data'!$D:$D, 'Fund Investment Data'!$C:$C = $A176, 'Fund Investment Data'!$A:$A = L$1, 'Fund Investment Data'!$B:$B = 12),"""")"),"")</f>
        <v/>
      </c>
      <c r="M176" t="str">
        <f>IFERROR(__xludf.DUMMYFUNCTION("IFERROR(FILTER('Fund Investment Data'!$D:$D, 'Fund Investment Data'!$C:$C = $A176, 'Fund Investment Data'!$A:$A = M$1, 'Fund Investment Data'!$B:$B = 12),"""")"),"")</f>
        <v/>
      </c>
      <c r="N176" t="str">
        <f>IFERROR(__xludf.DUMMYFUNCTION("IFERROR(FILTER('Fund Investment Data'!$D:$D, 'Fund Investment Data'!$C:$C = $A176, 'Fund Investment Data'!$A:$A = N$1, 'Fund Investment Data'!$B:$B = 12),"""")"),"")</f>
        <v/>
      </c>
      <c r="O176" t="str">
        <f>IFERROR(__xludf.DUMMYFUNCTION("IFERROR(FILTER('Fund Investment Data'!$D:$D, 'Fund Investment Data'!$C:$C = $A176, 'Fund Investment Data'!$A:$A = O$1, 'Fund Investment Data'!$B:$B = 12),"""")"),"")</f>
        <v/>
      </c>
      <c r="P176" t="str">
        <f>IFERROR(__xludf.DUMMYFUNCTION("IFERROR(FILTER('Fund Investment Data'!$D:$D, 'Fund Investment Data'!$C:$C = $A176, 'Fund Investment Data'!$A:$A = P$1, 'Fund Investment Data'!$B:$B = 12),"""")"),"")</f>
        <v/>
      </c>
      <c r="Q176" t="str">
        <f>IFERROR(__xludf.DUMMYFUNCTION("IFERROR(FILTER('Fund Investment Data'!$D:$D, 'Fund Investment Data'!$C:$C = $A176, 'Fund Investment Data'!$A:$A = Q$1, 'Fund Investment Data'!$B:$B = 12),"""")"),"")</f>
        <v/>
      </c>
      <c r="R176" t="str">
        <f>IFERROR(__xludf.DUMMYFUNCTION("IFERROR(FILTER('Fund Investment Data'!$D:$D, 'Fund Investment Data'!$C:$C = $A176, 'Fund Investment Data'!$A:$A = R$1, 'Fund Investment Data'!$B:$B = 12),"""")"),"")</f>
        <v/>
      </c>
      <c r="S176" t="str">
        <f>IFERROR(__xludf.DUMMYFUNCTION("IFERROR(FILTER('Fund Investment Data'!$D:$D, 'Fund Investment Data'!$C:$C = $A176, 'Fund Investment Data'!$A:$A = S$1, 'Fund Investment Data'!$B:$B = 12),"""")"),"")</f>
        <v/>
      </c>
      <c r="T176" t="str">
        <f>IFERROR(__xludf.DUMMYFUNCTION("IFERROR(FILTER('Fund Investment Data'!$D:$D, 'Fund Investment Data'!$C:$C = $A176, 'Fund Investment Data'!$A:$A = T$1, 'Fund Investment Data'!$B:$B = 12),"""")"),"")</f>
        <v/>
      </c>
      <c r="U176" t="str">
        <f>IFERROR(__xludf.DUMMYFUNCTION("IFERROR(FILTER('Fund Investment Data'!$D:$D, 'Fund Investment Data'!$C:$C = $A176, 'Fund Investment Data'!$A:$A = U$1, 'Fund Investment Data'!$B:$B = 12),"""")"),"")</f>
        <v/>
      </c>
      <c r="V176" t="str">
        <f>IFERROR(__xludf.DUMMYFUNCTION("IFERROR(FILTER('Fund Investment Data'!$D:$D, 'Fund Investment Data'!$C:$C = $A176, 'Fund Investment Data'!$A:$A = V$1, 'Fund Investment Data'!$B:$B = 12),"""")"),"")</f>
        <v/>
      </c>
      <c r="W176" t="str">
        <f>IFERROR(__xludf.DUMMYFUNCTION("IFERROR(FILTER('Fund Investment Data'!$D:$D, 'Fund Investment Data'!$C:$C = $A176, 'Fund Investment Data'!$A:$A = W$1, 'Fund Investment Data'!$B:$B = 12),"""")"),"")</f>
        <v/>
      </c>
      <c r="X176" t="str">
        <f>IFERROR(__xludf.DUMMYFUNCTION("IFERROR(FILTER('Fund Investment Data'!$D:$D, 'Fund Investment Data'!$C:$C = $A176, 'Fund Investment Data'!$A:$A = X$1, 'Fund Investment Data'!$B:$B = 12),"""")"),"")</f>
        <v/>
      </c>
      <c r="Y176" t="str">
        <f>IFERROR(__xludf.DUMMYFUNCTION("IFERROR(FILTER('Fund Investment Data'!$D:$D, 'Fund Investment Data'!$C:$C = $A176, 'Fund Investment Data'!$A:$A = Y$1, 'Fund Investment Data'!$B:$B = 12),"""")"),"")</f>
        <v/>
      </c>
      <c r="Z176" t="str">
        <f>IFERROR(__xludf.DUMMYFUNCTION("IFERROR(FILTER('Fund Investment Data'!$D:$D, 'Fund Investment Data'!$C:$C = $A176, 'Fund Investment Data'!$A:$A = Z$1, 'Fund Investment Data'!$B:$B = 12),"""")"),"")</f>
        <v/>
      </c>
    </row>
    <row r="177">
      <c r="B177" t="str">
        <f>IFERROR(__xludf.DUMMYFUNCTION("IFERROR(FILTER('Fund Investment Data'!$D:$D, 'Fund Investment Data'!$C:$C = $A177, 'Fund Investment Data'!$A:$A = B$1, 'Fund Investment Data'!$B:$B = 12),"""")"),"")</f>
        <v/>
      </c>
      <c r="C177" t="str">
        <f>IFERROR(__xludf.DUMMYFUNCTION("IFERROR(FILTER('Fund Investment Data'!$D:$D, 'Fund Investment Data'!$C:$C = $A177, 'Fund Investment Data'!$A:$A = C$1, 'Fund Investment Data'!$B:$B = 12),"""")"),"")</f>
        <v/>
      </c>
      <c r="D177" t="str">
        <f>IFERROR(__xludf.DUMMYFUNCTION("IFERROR(FILTER('Fund Investment Data'!$D:$D, 'Fund Investment Data'!$C:$C = $A177, 'Fund Investment Data'!$A:$A = D$1, 'Fund Investment Data'!$B:$B = 12),"""")"),"")</f>
        <v/>
      </c>
      <c r="E177" t="str">
        <f>IFERROR(__xludf.DUMMYFUNCTION("IFERROR(FILTER('Fund Investment Data'!$D:$D, 'Fund Investment Data'!$C:$C = $A177, 'Fund Investment Data'!$A:$A = E$1, 'Fund Investment Data'!$B:$B = 12),"""")"),"")</f>
        <v/>
      </c>
      <c r="F177" t="str">
        <f>IFERROR(__xludf.DUMMYFUNCTION("IFERROR(FILTER('Fund Investment Data'!$D:$D, 'Fund Investment Data'!$C:$C = $A177, 'Fund Investment Data'!$A:$A = F$1, 'Fund Investment Data'!$B:$B = 12),"""")"),"")</f>
        <v/>
      </c>
      <c r="G177" t="str">
        <f>IFERROR(__xludf.DUMMYFUNCTION("IFERROR(FILTER('Fund Investment Data'!$D:$D, 'Fund Investment Data'!$C:$C = $A177, 'Fund Investment Data'!$A:$A = G$1, 'Fund Investment Data'!$B:$B = 12),"""")"),"")</f>
        <v/>
      </c>
      <c r="H177" t="str">
        <f>IFERROR(__xludf.DUMMYFUNCTION("IFERROR(FILTER('Fund Investment Data'!$D:$D, 'Fund Investment Data'!$C:$C = $A177, 'Fund Investment Data'!$A:$A = H$1, 'Fund Investment Data'!$B:$B = 12),"""")"),"")</f>
        <v/>
      </c>
      <c r="I177" t="str">
        <f>IFERROR(__xludf.DUMMYFUNCTION("IFERROR(FILTER('Fund Investment Data'!$D:$D, 'Fund Investment Data'!$C:$C = $A177, 'Fund Investment Data'!$A:$A = I$1, 'Fund Investment Data'!$B:$B = 12),"""")"),"")</f>
        <v/>
      </c>
      <c r="J177" t="str">
        <f>IFERROR(__xludf.DUMMYFUNCTION("IFERROR(FILTER('Fund Investment Data'!$D:$D, 'Fund Investment Data'!$C:$C = $A177, 'Fund Investment Data'!$A:$A = J$1, 'Fund Investment Data'!$B:$B = 12),"""")"),"")</f>
        <v/>
      </c>
      <c r="K177" t="str">
        <f>IFERROR(__xludf.DUMMYFUNCTION("IFERROR(FILTER('Fund Investment Data'!$D:$D, 'Fund Investment Data'!$C:$C = $A177, 'Fund Investment Data'!$A:$A = K$1, 'Fund Investment Data'!$B:$B = 12),"""")"),"")</f>
        <v/>
      </c>
      <c r="L177" t="str">
        <f>IFERROR(__xludf.DUMMYFUNCTION("IFERROR(FILTER('Fund Investment Data'!$D:$D, 'Fund Investment Data'!$C:$C = $A177, 'Fund Investment Data'!$A:$A = L$1, 'Fund Investment Data'!$B:$B = 12),"""")"),"")</f>
        <v/>
      </c>
      <c r="M177" t="str">
        <f>IFERROR(__xludf.DUMMYFUNCTION("IFERROR(FILTER('Fund Investment Data'!$D:$D, 'Fund Investment Data'!$C:$C = $A177, 'Fund Investment Data'!$A:$A = M$1, 'Fund Investment Data'!$B:$B = 12),"""")"),"")</f>
        <v/>
      </c>
      <c r="N177" t="str">
        <f>IFERROR(__xludf.DUMMYFUNCTION("IFERROR(FILTER('Fund Investment Data'!$D:$D, 'Fund Investment Data'!$C:$C = $A177, 'Fund Investment Data'!$A:$A = N$1, 'Fund Investment Data'!$B:$B = 12),"""")"),"")</f>
        <v/>
      </c>
      <c r="O177" t="str">
        <f>IFERROR(__xludf.DUMMYFUNCTION("IFERROR(FILTER('Fund Investment Data'!$D:$D, 'Fund Investment Data'!$C:$C = $A177, 'Fund Investment Data'!$A:$A = O$1, 'Fund Investment Data'!$B:$B = 12),"""")"),"")</f>
        <v/>
      </c>
      <c r="P177" t="str">
        <f>IFERROR(__xludf.DUMMYFUNCTION("IFERROR(FILTER('Fund Investment Data'!$D:$D, 'Fund Investment Data'!$C:$C = $A177, 'Fund Investment Data'!$A:$A = P$1, 'Fund Investment Data'!$B:$B = 12),"""")"),"")</f>
        <v/>
      </c>
      <c r="Q177" t="str">
        <f>IFERROR(__xludf.DUMMYFUNCTION("IFERROR(FILTER('Fund Investment Data'!$D:$D, 'Fund Investment Data'!$C:$C = $A177, 'Fund Investment Data'!$A:$A = Q$1, 'Fund Investment Data'!$B:$B = 12),"""")"),"")</f>
        <v/>
      </c>
      <c r="R177" t="str">
        <f>IFERROR(__xludf.DUMMYFUNCTION("IFERROR(FILTER('Fund Investment Data'!$D:$D, 'Fund Investment Data'!$C:$C = $A177, 'Fund Investment Data'!$A:$A = R$1, 'Fund Investment Data'!$B:$B = 12),"""")"),"")</f>
        <v/>
      </c>
      <c r="S177" t="str">
        <f>IFERROR(__xludf.DUMMYFUNCTION("IFERROR(FILTER('Fund Investment Data'!$D:$D, 'Fund Investment Data'!$C:$C = $A177, 'Fund Investment Data'!$A:$A = S$1, 'Fund Investment Data'!$B:$B = 12),"""")"),"")</f>
        <v/>
      </c>
      <c r="T177" t="str">
        <f>IFERROR(__xludf.DUMMYFUNCTION("IFERROR(FILTER('Fund Investment Data'!$D:$D, 'Fund Investment Data'!$C:$C = $A177, 'Fund Investment Data'!$A:$A = T$1, 'Fund Investment Data'!$B:$B = 12),"""")"),"")</f>
        <v/>
      </c>
      <c r="U177" t="str">
        <f>IFERROR(__xludf.DUMMYFUNCTION("IFERROR(FILTER('Fund Investment Data'!$D:$D, 'Fund Investment Data'!$C:$C = $A177, 'Fund Investment Data'!$A:$A = U$1, 'Fund Investment Data'!$B:$B = 12),"""")"),"")</f>
        <v/>
      </c>
      <c r="V177" t="str">
        <f>IFERROR(__xludf.DUMMYFUNCTION("IFERROR(FILTER('Fund Investment Data'!$D:$D, 'Fund Investment Data'!$C:$C = $A177, 'Fund Investment Data'!$A:$A = V$1, 'Fund Investment Data'!$B:$B = 12),"""")"),"")</f>
        <v/>
      </c>
      <c r="W177" t="str">
        <f>IFERROR(__xludf.DUMMYFUNCTION("IFERROR(FILTER('Fund Investment Data'!$D:$D, 'Fund Investment Data'!$C:$C = $A177, 'Fund Investment Data'!$A:$A = W$1, 'Fund Investment Data'!$B:$B = 12),"""")"),"")</f>
        <v/>
      </c>
      <c r="X177" t="str">
        <f>IFERROR(__xludf.DUMMYFUNCTION("IFERROR(FILTER('Fund Investment Data'!$D:$D, 'Fund Investment Data'!$C:$C = $A177, 'Fund Investment Data'!$A:$A = X$1, 'Fund Investment Data'!$B:$B = 12),"""")"),"")</f>
        <v/>
      </c>
      <c r="Y177" t="str">
        <f>IFERROR(__xludf.DUMMYFUNCTION("IFERROR(FILTER('Fund Investment Data'!$D:$D, 'Fund Investment Data'!$C:$C = $A177, 'Fund Investment Data'!$A:$A = Y$1, 'Fund Investment Data'!$B:$B = 12),"""")"),"")</f>
        <v/>
      </c>
      <c r="Z177" t="str">
        <f>IFERROR(__xludf.DUMMYFUNCTION("IFERROR(FILTER('Fund Investment Data'!$D:$D, 'Fund Investment Data'!$C:$C = $A177, 'Fund Investment Data'!$A:$A = Z$1, 'Fund Investment Data'!$B:$B = 12),"""")"),"")</f>
        <v/>
      </c>
    </row>
    <row r="178">
      <c r="B178" t="str">
        <f>IFERROR(__xludf.DUMMYFUNCTION("IFERROR(FILTER('Fund Investment Data'!$D:$D, 'Fund Investment Data'!$C:$C = $A178, 'Fund Investment Data'!$A:$A = B$1, 'Fund Investment Data'!$B:$B = 12),"""")"),"")</f>
        <v/>
      </c>
      <c r="C178" t="str">
        <f>IFERROR(__xludf.DUMMYFUNCTION("IFERROR(FILTER('Fund Investment Data'!$D:$D, 'Fund Investment Data'!$C:$C = $A178, 'Fund Investment Data'!$A:$A = C$1, 'Fund Investment Data'!$B:$B = 12),"""")"),"")</f>
        <v/>
      </c>
      <c r="D178" t="str">
        <f>IFERROR(__xludf.DUMMYFUNCTION("IFERROR(FILTER('Fund Investment Data'!$D:$D, 'Fund Investment Data'!$C:$C = $A178, 'Fund Investment Data'!$A:$A = D$1, 'Fund Investment Data'!$B:$B = 12),"""")"),"")</f>
        <v/>
      </c>
      <c r="E178" t="str">
        <f>IFERROR(__xludf.DUMMYFUNCTION("IFERROR(FILTER('Fund Investment Data'!$D:$D, 'Fund Investment Data'!$C:$C = $A178, 'Fund Investment Data'!$A:$A = E$1, 'Fund Investment Data'!$B:$B = 12),"""")"),"")</f>
        <v/>
      </c>
      <c r="F178" t="str">
        <f>IFERROR(__xludf.DUMMYFUNCTION("IFERROR(FILTER('Fund Investment Data'!$D:$D, 'Fund Investment Data'!$C:$C = $A178, 'Fund Investment Data'!$A:$A = F$1, 'Fund Investment Data'!$B:$B = 12),"""")"),"")</f>
        <v/>
      </c>
      <c r="G178" t="str">
        <f>IFERROR(__xludf.DUMMYFUNCTION("IFERROR(FILTER('Fund Investment Data'!$D:$D, 'Fund Investment Data'!$C:$C = $A178, 'Fund Investment Data'!$A:$A = G$1, 'Fund Investment Data'!$B:$B = 12),"""")"),"")</f>
        <v/>
      </c>
      <c r="H178" t="str">
        <f>IFERROR(__xludf.DUMMYFUNCTION("IFERROR(FILTER('Fund Investment Data'!$D:$D, 'Fund Investment Data'!$C:$C = $A178, 'Fund Investment Data'!$A:$A = H$1, 'Fund Investment Data'!$B:$B = 12),"""")"),"")</f>
        <v/>
      </c>
      <c r="I178" t="str">
        <f>IFERROR(__xludf.DUMMYFUNCTION("IFERROR(FILTER('Fund Investment Data'!$D:$D, 'Fund Investment Data'!$C:$C = $A178, 'Fund Investment Data'!$A:$A = I$1, 'Fund Investment Data'!$B:$B = 12),"""")"),"")</f>
        <v/>
      </c>
      <c r="J178" t="str">
        <f>IFERROR(__xludf.DUMMYFUNCTION("IFERROR(FILTER('Fund Investment Data'!$D:$D, 'Fund Investment Data'!$C:$C = $A178, 'Fund Investment Data'!$A:$A = J$1, 'Fund Investment Data'!$B:$B = 12),"""")"),"")</f>
        <v/>
      </c>
      <c r="K178" t="str">
        <f>IFERROR(__xludf.DUMMYFUNCTION("IFERROR(FILTER('Fund Investment Data'!$D:$D, 'Fund Investment Data'!$C:$C = $A178, 'Fund Investment Data'!$A:$A = K$1, 'Fund Investment Data'!$B:$B = 12),"""")"),"")</f>
        <v/>
      </c>
      <c r="L178" t="str">
        <f>IFERROR(__xludf.DUMMYFUNCTION("IFERROR(FILTER('Fund Investment Data'!$D:$D, 'Fund Investment Data'!$C:$C = $A178, 'Fund Investment Data'!$A:$A = L$1, 'Fund Investment Data'!$B:$B = 12),"""")"),"")</f>
        <v/>
      </c>
      <c r="M178" t="str">
        <f>IFERROR(__xludf.DUMMYFUNCTION("IFERROR(FILTER('Fund Investment Data'!$D:$D, 'Fund Investment Data'!$C:$C = $A178, 'Fund Investment Data'!$A:$A = M$1, 'Fund Investment Data'!$B:$B = 12),"""")"),"")</f>
        <v/>
      </c>
      <c r="N178" t="str">
        <f>IFERROR(__xludf.DUMMYFUNCTION("IFERROR(FILTER('Fund Investment Data'!$D:$D, 'Fund Investment Data'!$C:$C = $A178, 'Fund Investment Data'!$A:$A = N$1, 'Fund Investment Data'!$B:$B = 12),"""")"),"")</f>
        <v/>
      </c>
      <c r="O178" t="str">
        <f>IFERROR(__xludf.DUMMYFUNCTION("IFERROR(FILTER('Fund Investment Data'!$D:$D, 'Fund Investment Data'!$C:$C = $A178, 'Fund Investment Data'!$A:$A = O$1, 'Fund Investment Data'!$B:$B = 12),"""")"),"")</f>
        <v/>
      </c>
      <c r="P178" t="str">
        <f>IFERROR(__xludf.DUMMYFUNCTION("IFERROR(FILTER('Fund Investment Data'!$D:$D, 'Fund Investment Data'!$C:$C = $A178, 'Fund Investment Data'!$A:$A = P$1, 'Fund Investment Data'!$B:$B = 12),"""")"),"")</f>
        <v/>
      </c>
      <c r="Q178" t="str">
        <f>IFERROR(__xludf.DUMMYFUNCTION("IFERROR(FILTER('Fund Investment Data'!$D:$D, 'Fund Investment Data'!$C:$C = $A178, 'Fund Investment Data'!$A:$A = Q$1, 'Fund Investment Data'!$B:$B = 12),"""")"),"")</f>
        <v/>
      </c>
      <c r="R178" t="str">
        <f>IFERROR(__xludf.DUMMYFUNCTION("IFERROR(FILTER('Fund Investment Data'!$D:$D, 'Fund Investment Data'!$C:$C = $A178, 'Fund Investment Data'!$A:$A = R$1, 'Fund Investment Data'!$B:$B = 12),"""")"),"")</f>
        <v/>
      </c>
      <c r="S178" t="str">
        <f>IFERROR(__xludf.DUMMYFUNCTION("IFERROR(FILTER('Fund Investment Data'!$D:$D, 'Fund Investment Data'!$C:$C = $A178, 'Fund Investment Data'!$A:$A = S$1, 'Fund Investment Data'!$B:$B = 12),"""")"),"")</f>
        <v/>
      </c>
      <c r="T178" t="str">
        <f>IFERROR(__xludf.DUMMYFUNCTION("IFERROR(FILTER('Fund Investment Data'!$D:$D, 'Fund Investment Data'!$C:$C = $A178, 'Fund Investment Data'!$A:$A = T$1, 'Fund Investment Data'!$B:$B = 12),"""")"),"")</f>
        <v/>
      </c>
      <c r="U178" t="str">
        <f>IFERROR(__xludf.DUMMYFUNCTION("IFERROR(FILTER('Fund Investment Data'!$D:$D, 'Fund Investment Data'!$C:$C = $A178, 'Fund Investment Data'!$A:$A = U$1, 'Fund Investment Data'!$B:$B = 12),"""")"),"")</f>
        <v/>
      </c>
      <c r="V178" t="str">
        <f>IFERROR(__xludf.DUMMYFUNCTION("IFERROR(FILTER('Fund Investment Data'!$D:$D, 'Fund Investment Data'!$C:$C = $A178, 'Fund Investment Data'!$A:$A = V$1, 'Fund Investment Data'!$B:$B = 12),"""")"),"")</f>
        <v/>
      </c>
      <c r="W178" t="str">
        <f>IFERROR(__xludf.DUMMYFUNCTION("IFERROR(FILTER('Fund Investment Data'!$D:$D, 'Fund Investment Data'!$C:$C = $A178, 'Fund Investment Data'!$A:$A = W$1, 'Fund Investment Data'!$B:$B = 12),"""")"),"")</f>
        <v/>
      </c>
      <c r="X178" t="str">
        <f>IFERROR(__xludf.DUMMYFUNCTION("IFERROR(FILTER('Fund Investment Data'!$D:$D, 'Fund Investment Data'!$C:$C = $A178, 'Fund Investment Data'!$A:$A = X$1, 'Fund Investment Data'!$B:$B = 12),"""")"),"")</f>
        <v/>
      </c>
      <c r="Y178" t="str">
        <f>IFERROR(__xludf.DUMMYFUNCTION("IFERROR(FILTER('Fund Investment Data'!$D:$D, 'Fund Investment Data'!$C:$C = $A178, 'Fund Investment Data'!$A:$A = Y$1, 'Fund Investment Data'!$B:$B = 12),"""")"),"")</f>
        <v/>
      </c>
      <c r="Z178" t="str">
        <f>IFERROR(__xludf.DUMMYFUNCTION("IFERROR(FILTER('Fund Investment Data'!$D:$D, 'Fund Investment Data'!$C:$C = $A178, 'Fund Investment Data'!$A:$A = Z$1, 'Fund Investment Data'!$B:$B = 12),"""")"),"")</f>
        <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5.0"/>
  </cols>
  <sheetData>
    <row r="1">
      <c r="A1" s="150" t="str">
        <f>'Endowed Funds'!A:A</f>
        <v>Fund</v>
      </c>
      <c r="B1" s="150">
        <v>1990.0</v>
      </c>
      <c r="C1" s="150">
        <v>1991.0</v>
      </c>
      <c r="D1" s="150">
        <v>1992.0</v>
      </c>
      <c r="E1" s="150">
        <v>1993.0</v>
      </c>
      <c r="F1" s="150">
        <v>1994.0</v>
      </c>
      <c r="G1" s="150">
        <v>1995.0</v>
      </c>
      <c r="H1" s="150">
        <v>1996.0</v>
      </c>
      <c r="I1" s="150">
        <v>1997.0</v>
      </c>
      <c r="J1" s="150">
        <v>1998.0</v>
      </c>
      <c r="K1" s="150">
        <v>1999.0</v>
      </c>
      <c r="L1" s="150">
        <v>2000.0</v>
      </c>
      <c r="M1" s="150">
        <v>2001.0</v>
      </c>
      <c r="N1" s="150">
        <v>2002.0</v>
      </c>
      <c r="O1" s="150">
        <v>2003.0</v>
      </c>
      <c r="P1" s="150">
        <v>2004.0</v>
      </c>
      <c r="Q1" s="150">
        <v>2005.0</v>
      </c>
      <c r="R1" s="150">
        <v>2006.0</v>
      </c>
      <c r="S1" s="150">
        <v>2007.0</v>
      </c>
      <c r="T1" s="150">
        <v>2008.0</v>
      </c>
      <c r="U1" s="150">
        <v>2009.0</v>
      </c>
      <c r="V1" s="150">
        <v>2010.0</v>
      </c>
      <c r="W1" s="150">
        <v>2011.0</v>
      </c>
      <c r="X1" s="150">
        <v>2012.0</v>
      </c>
      <c r="Y1" s="150">
        <v>2013.0</v>
      </c>
      <c r="Z1" s="150">
        <v>2014.0</v>
      </c>
      <c r="AA1" s="150">
        <v>2015.0</v>
      </c>
      <c r="AB1" s="150">
        <v>2016.0</v>
      </c>
      <c r="AC1" s="150">
        <v>2017.0</v>
      </c>
      <c r="AD1" s="150">
        <v>2018.0</v>
      </c>
      <c r="AE1" s="150">
        <v>2019.0</v>
      </c>
      <c r="AF1" s="150">
        <v>2020.0</v>
      </c>
    </row>
    <row r="2">
      <c r="A2" s="151" t="str">
        <f>'Endowed Funds'!A:A</f>
        <v>Native American Endowment Fund</v>
      </c>
      <c r="B2" s="152" t="str">
        <f>IFERROR(__xludf.DUMMYFUNCTION("IFERROR(A2 * (1 + AVERAGE(Filter('Inflation Data'!$C:$C, 'Inflation Data'!$A:$A = B$1))) + 'Fund YTD Contributions'!B2, 'Fund YTD Contributions'!B2)"),"  ")</f>
        <v/>
      </c>
      <c r="C2" s="152">
        <f>IFERROR(__xludf.DUMMYFUNCTION("IFERROR(B2 * (1 + AVERAGE(Filter('Inflation Data'!$C:$C,'Inflation Data'!$A:$A = C$1))) + 'Fund YTD Contributions'!C2,'Fund YTD Contributions'!C2)"),0.0)</f>
        <v>0</v>
      </c>
      <c r="D2" s="152">
        <f>IFERROR(__xludf.DUMMYFUNCTION("IFERROR(C2 * (1 + AVERAGE(Filter('Inflation Data'!$C:$C,'Inflation Data'!$A:$A = D$1))) + 'Fund YTD Contributions'!D2,'Fund YTD Contributions'!D2)"),0.0)</f>
        <v>0</v>
      </c>
      <c r="E2" s="152">
        <f>IFERROR(__xludf.DUMMYFUNCTION("IFERROR(D2 * (1 + AVERAGE(Filter('Inflation Data'!$C:$C,'Inflation Data'!$A:$A = E$1))) + 'Fund YTD Contributions'!E2,'Fund YTD Contributions'!E2)"),0.0)</f>
        <v>0</v>
      </c>
      <c r="F2" s="152">
        <f>IFERROR(__xludf.DUMMYFUNCTION("IFERROR(E2 * (1 + AVERAGE(Filter('Inflation Data'!$C:$C,'Inflation Data'!$A:$A = F$1))) + 'Fund YTD Contributions'!F2,'Fund YTD Contributions'!F2)"),0.0)</f>
        <v>0</v>
      </c>
      <c r="G2" s="152">
        <f>IFERROR(__xludf.DUMMYFUNCTION("IFERROR(F2 * (1 + AVERAGE(Filter('Inflation Data'!$C:$C,'Inflation Data'!$A:$A = G$1))) + 'Fund YTD Contributions'!G2,'Fund YTD Contributions'!G2)"),0.0)</f>
        <v>0</v>
      </c>
      <c r="H2" s="152">
        <f>IFERROR(__xludf.DUMMYFUNCTION("IFERROR(G2 * (1 + AVERAGE(Filter('Inflation Data'!$C:$C,'Inflation Data'!$A:$A = H$1))) + 'Fund YTD Contributions'!H2,'Fund YTD Contributions'!H2)"),0.0)</f>
        <v>0</v>
      </c>
      <c r="I2" s="152">
        <f>IFERROR(__xludf.DUMMYFUNCTION("IFERROR(H2 * (1 + AVERAGE(Filter('Inflation Data'!$C:$C,'Inflation Data'!$A:$A = I$1))) + 'Fund YTD Contributions'!I2,'Fund YTD Contributions'!I2)"),0.0)</f>
        <v>0</v>
      </c>
      <c r="J2" s="152">
        <f>IFERROR(__xludf.DUMMYFUNCTION("IFERROR(I2 * (1 + AVERAGE(Filter('Inflation Data'!$C:$C,'Inflation Data'!$A:$A = J$1))) + 'Fund YTD Contributions'!J2,'Fund YTD Contributions'!J2)"),0.0)</f>
        <v>0</v>
      </c>
      <c r="K2" s="152">
        <f>IFERROR(__xludf.DUMMYFUNCTION("IFERROR(J2 * (1 + AVERAGE(Filter('Inflation Data'!$C:$C,'Inflation Data'!$A:$A = K$1))) + 'Fund YTD Contributions'!K2,'Fund YTD Contributions'!K2)"),0.0)</f>
        <v>0</v>
      </c>
      <c r="L2" s="152">
        <f>IFERROR(__xludf.DUMMYFUNCTION("IFERROR(K2 * (1 + AVERAGE(Filter('Inflation Data'!$C:$C,'Inflation Data'!$A:$A = L$1))) + 'Fund YTD Contributions'!L2,'Fund YTD Contributions'!L2)"),20000.0)</f>
        <v>20000</v>
      </c>
      <c r="M2" s="152">
        <f>IFERROR(__xludf.DUMMYFUNCTION("IFERROR(L2 * (1 + AVERAGE(Filter('Inflation Data'!$C:$C,'Inflation Data'!$A:$A = M$1))) + 'Fund YTD Contributions'!M2,'Fund YTD Contributions'!M2)"),31566.342966666667)</f>
        <v>31566.34297</v>
      </c>
      <c r="N2" s="152">
        <f>IFERROR(__xludf.DUMMYFUNCTION("IFERROR(M2 * (1 + AVERAGE(Filter('Inflation Data'!$C:$C,'Inflation Data'!$A:$A = N$1))) + 'Fund YTD Contributions'!N2,'Fund YTD Contributions'!N2)"),42066.85650696512)</f>
        <v>42066.85651</v>
      </c>
      <c r="O2" s="152">
        <f>IFERROR(__xludf.DUMMYFUNCTION("IFERROR(N2 * (1 + AVERAGE(Filter('Inflation Data'!$C:$C,'Inflation Data'!$A:$A = O$1))) + 'Fund YTD Contributions'!O2,'Fund YTD Contributions'!O2)"),53022.72861860281)</f>
        <v>53022.72862</v>
      </c>
      <c r="P2" s="152">
        <f>IFERROR(__xludf.DUMMYFUNCTION("IFERROR(O2 * (1 + AVERAGE(Filter('Inflation Data'!$C:$C,'Inflation Data'!$A:$A = P$1))) + 'Fund YTD Contributions'!P2,'Fund YTD Contributions'!P2)"),64441.5436341412)</f>
        <v>64441.54363</v>
      </c>
      <c r="Q2" s="152">
        <f>IFERROR(__xludf.DUMMYFUNCTION("IFERROR(P2 * (1 + AVERAGE(Filter('Inflation Data'!$C:$C,'Inflation Data'!$A:$A = Q$1))) + 'Fund YTD Contributions'!Q2,'Fund YTD Contributions'!Q2)"),76626.32923337306)</f>
        <v>76626.32923</v>
      </c>
      <c r="R2" s="152">
        <f>IFERROR(__xludf.DUMMYFUNCTION("IFERROR(Q2 * (1 + AVERAGE(Filter('Inflation Data'!$C:$C,'Inflation Data'!$A:$A = R$1))) + 'Fund YTD Contributions'!R2,'Fund YTD Contributions'!R2)"),79105.35961946673)</f>
        <v>79105.35962</v>
      </c>
      <c r="S2" s="152">
        <f>IFERROR(__xludf.DUMMYFUNCTION("IFERROR(R2 * (1 + AVERAGE(Filter('Inflation Data'!$C:$C,'Inflation Data'!$A:$A = S$1))) + 'Fund YTD Contributions'!S2,'Fund YTD Contributions'!S2)"),81361.72349360153)</f>
        <v>81361.72349</v>
      </c>
      <c r="T2" s="152">
        <f>IFERROR(__xludf.DUMMYFUNCTION("IFERROR(S2 * (1 + AVERAGE(Filter('Inflation Data'!$C:$C,'Inflation Data'!$A:$A = T$1))) + 'Fund YTD Contributions'!T2,'Fund YTD Contributions'!T2)"),84490.5967002785)</f>
        <v>84490.5967</v>
      </c>
      <c r="U2" s="152">
        <f>IFERROR(__xludf.DUMMYFUNCTION("IFERROR(T2 * (1 + AVERAGE(Filter('Inflation Data'!$C:$C,'Inflation Data'!$A:$A = U$1))) + 'Fund YTD Contributions'!U2,'Fund YTD Contributions'!U2)"),84205.18746462496)</f>
        <v>84205.18746</v>
      </c>
      <c r="V2" s="152">
        <f>IFERROR(__xludf.DUMMYFUNCTION("IFERROR(U2 * (1 + AVERAGE(Filter('Inflation Data'!$C:$C,'Inflation Data'!$A:$A = V$1))) + 'Fund YTD Contributions'!V2,'Fund YTD Contributions'!V2)"),85589.78979615154)</f>
        <v>85589.7898</v>
      </c>
      <c r="W2" s="152">
        <f>IFERROR(__xludf.DUMMYFUNCTION("IFERROR(V2 * (1 + AVERAGE(Filter('Inflation Data'!$C:$C,'Inflation Data'!$A:$A = W$1))) + 'Fund YTD Contributions'!W2,'Fund YTD Contributions'!W2)"),88290.32006345423)</f>
        <v>88290.32006</v>
      </c>
      <c r="X2" s="152">
        <f>IFERROR(__xludf.DUMMYFUNCTION("IFERROR(W2 * (1 + AVERAGE(Filter('Inflation Data'!$C:$C,'Inflation Data'!$A:$A = X$1))) + 'Fund YTD Contributions'!X2,'Fund YTD Contributions'!X2)"),90120.74855588897)</f>
        <v>90120.74856</v>
      </c>
      <c r="Y2" s="152">
        <f>IFERROR(__xludf.DUMMYFUNCTION("IFERROR(X2 * (1 + AVERAGE(Filter('Inflation Data'!$C:$C,'Inflation Data'!$A:$A = Y$1))) + 'Fund YTD Contributions'!Y2,'Fund YTD Contributions'!Y2)"),91441.95976469916)</f>
        <v>91441.95976</v>
      </c>
      <c r="Z2" s="152">
        <f>IFERROR(__xludf.DUMMYFUNCTION("IFERROR(Y2 * (1 + AVERAGE(Filter('Inflation Data'!$C:$C,'Inflation Data'!$A:$A = Z$1))) + 'Fund YTD Contributions'!Z2,'Fund YTD Contributions'!Z2)"),102925.06130695704)</f>
        <v>102925.0613</v>
      </c>
      <c r="AA2" s="152">
        <f>IFERROR(__xludf.DUMMYFUNCTION("IFERROR(Z2 * (1 + AVERAGE(Filter('Inflation Data'!$C:$C,'Inflation Data'!$A:$A = AA$1))) + 'Fund YTD Contributions'!AA2,'Fund YTD Contributions'!AA2)"),103047.43875026533)</f>
        <v>103047.4388</v>
      </c>
      <c r="AB2" s="152">
        <f>IFERROR(__xludf.DUMMYFUNCTION("IFERROR(AA2 * (1 + AVERAGE(Filter('Inflation Data'!$C:$C,'Inflation Data'!$A:$A = AB$1))) + 'Fund YTD Contributions'!AB2,'Fund YTD Contributions'!AB2)"),104347.7365101308)</f>
        <v>104347.7365</v>
      </c>
      <c r="AC2" s="152">
        <f>IFERROR(__xludf.DUMMYFUNCTION("IFERROR(AB2 * (1 + AVERAGE(Filter('Inflation Data'!$C:$C,'Inflation Data'!$A:$A = AC$1))) + 'Fund YTD Contributions'!AC2,'Fund YTD Contributions'!AC2)"),106572.02843548042)</f>
        <v>106572.0284</v>
      </c>
      <c r="AD2" s="152">
        <f>IFERROR(__xludf.DUMMYFUNCTION("IFERROR(AC2 * (1 + AVERAGE(Filter('Inflation Data'!$C:$C,'Inflation Data'!$A:$A = AD$1))) + 'Fund YTD Contributions'!AD2,'Fund YTD Contributions'!AD2)"),109175.24693533852)</f>
        <v>109175.2469</v>
      </c>
      <c r="AE2" s="152">
        <f>IFERROR(__xludf.DUMMYFUNCTION("IFERROR(AD2 * (1 + AVERAGE(Filter('Inflation Data'!$C:$C,'Inflation Data'!$A:$A = AE$1))) + 'Fund YTD Contributions'!AE2,'Fund YTD Contributions'!AE2)"),111153.32472709248)</f>
        <v>111153.3247</v>
      </c>
      <c r="AF2" s="152">
        <f>IFERROR(__xludf.DUMMYFUNCTION("IFERROR(AE2 * (1 + AVERAGE(Filter('Inflation Data'!$C:$C,'Inflation Data'!$A:$A = AF$1))) + 'Fund YTD Contributions'!AF2,'Fund YTD Contributions'!AF2)"),113832.92349155319)</f>
        <v>113832.9235</v>
      </c>
    </row>
    <row r="3">
      <c r="A3" s="151" t="str">
        <f>'Endowed Funds'!A:A</f>
        <v>Albert G. Boyce, Jr. Family Fund</v>
      </c>
      <c r="B3" s="152" t="str">
        <f>IFERROR(__xludf.DUMMYFUNCTION("IFERROR(A3 * (1 + AVERAGE(Filter('Inflation Data'!$C:$C,'Inflation Data'!$A:$A = B$1))) + 'Fund YTD Contributions'!B3,'Fund YTD Contributions'!B3)"),"  ")</f>
        <v/>
      </c>
      <c r="C3" s="152">
        <f>IFERROR(__xludf.DUMMYFUNCTION("IFERROR(B3 * (1 + AVERAGE(Filter('Inflation Data'!$C:$C,'Inflation Data'!$A:$A = C$1))) + 'Fund YTD Contributions'!C3,'Fund YTD Contributions'!C3)"),0.0)</f>
        <v>0</v>
      </c>
      <c r="D3" s="152">
        <f>IFERROR(__xludf.DUMMYFUNCTION("IFERROR(C3 * (1 + AVERAGE(Filter('Inflation Data'!$C:$C,'Inflation Data'!$A:$A = D$1))) + 'Fund YTD Contributions'!D3,'Fund YTD Contributions'!D3)"),0.0)</f>
        <v>0</v>
      </c>
      <c r="E3" s="152">
        <f>IFERROR(__xludf.DUMMYFUNCTION("IFERROR(D3 * (1 + AVERAGE(Filter('Inflation Data'!$C:$C,'Inflation Data'!$A:$A = E$1))) + 'Fund YTD Contributions'!E3,'Fund YTD Contributions'!E3)"),0.0)</f>
        <v>0</v>
      </c>
      <c r="F3" s="152">
        <f>IFERROR(__xludf.DUMMYFUNCTION("IFERROR(E3 * (1 + AVERAGE(Filter('Inflation Data'!$C:$C,'Inflation Data'!$A:$A = F$1))) + 'Fund YTD Contributions'!F3,'Fund YTD Contributions'!F3)"),0.0)</f>
        <v>0</v>
      </c>
      <c r="G3" s="152">
        <f>IFERROR(__xludf.DUMMYFUNCTION("IFERROR(F3 * (1 + AVERAGE(Filter('Inflation Data'!$C:$C,'Inflation Data'!$A:$A = G$1))) + 'Fund YTD Contributions'!G3,'Fund YTD Contributions'!G3)"),0.0)</f>
        <v>0</v>
      </c>
      <c r="H3" s="152">
        <f>IFERROR(__xludf.DUMMYFUNCTION("IFERROR(G3 * (1 + AVERAGE(Filter('Inflation Data'!$C:$C,'Inflation Data'!$A:$A = H$1))) + 'Fund YTD Contributions'!H3,'Fund YTD Contributions'!H3)"),0.0)</f>
        <v>0</v>
      </c>
      <c r="I3" s="152">
        <f>IFERROR(__xludf.DUMMYFUNCTION("IFERROR(H3 * (1 + AVERAGE(Filter('Inflation Data'!$C:$C,'Inflation Data'!$A:$A = I$1))) + 'Fund YTD Contributions'!I3,'Fund YTD Contributions'!I3)"),0.0)</f>
        <v>0</v>
      </c>
      <c r="J3" s="152">
        <f>IFERROR(__xludf.DUMMYFUNCTION("IFERROR(I3 * (1 + AVERAGE(Filter('Inflation Data'!$C:$C,'Inflation Data'!$A:$A = J$1))) + 'Fund YTD Contributions'!J3,'Fund YTD Contributions'!J3)"),0.0)</f>
        <v>0</v>
      </c>
      <c r="K3" s="152">
        <f>IFERROR(__xludf.DUMMYFUNCTION("IFERROR(J3 * (1 + AVERAGE(Filter('Inflation Data'!$C:$C,'Inflation Data'!$A:$A = K$1))) + 'Fund YTD Contributions'!K3,'Fund YTD Contributions'!K3)"),0.0)</f>
        <v>0</v>
      </c>
      <c r="L3" s="152">
        <f>IFERROR(__xludf.DUMMYFUNCTION("IFERROR(K3 * (1 + AVERAGE(Filter('Inflation Data'!$C:$C,'Inflation Data'!$A:$A = L$1))) + 'Fund YTD Contributions'!L3,'Fund YTD Contributions'!L3)"),0.0)</f>
        <v>0</v>
      </c>
      <c r="M3" s="152">
        <f>IFERROR(__xludf.DUMMYFUNCTION("IFERROR(L3 * (1 + AVERAGE(Filter('Inflation Data'!$C:$C,'Inflation Data'!$A:$A = M$1))) + 'Fund YTD Contributions'!M3,'Fund YTD Contributions'!M3)"),0.0)</f>
        <v>0</v>
      </c>
      <c r="N3" s="152">
        <f>IFERROR(__xludf.DUMMYFUNCTION("IFERROR(M3 * (1 + AVERAGE(Filter('Inflation Data'!$C:$C,'Inflation Data'!$A:$A = N$1))) + 'Fund YTD Contributions'!N3,'Fund YTD Contributions'!N3)"),0.0)</f>
        <v>0</v>
      </c>
      <c r="O3" s="152">
        <f>IFERROR(__xludf.DUMMYFUNCTION("IFERROR(N3 * (1 + AVERAGE(Filter('Inflation Data'!$C:$C,'Inflation Data'!$A:$A = O$1))) + 'Fund YTD Contributions'!O3,'Fund YTD Contributions'!O3)"),0.0)</f>
        <v>0</v>
      </c>
      <c r="P3" s="152">
        <f>IFERROR(__xludf.DUMMYFUNCTION("IFERROR(O3 * (1 + AVERAGE(Filter('Inflation Data'!$C:$C,'Inflation Data'!$A:$A = P$1))) + 'Fund YTD Contributions'!P3,'Fund YTD Contributions'!P3)"),30000.0)</f>
        <v>30000</v>
      </c>
      <c r="Q3" s="152">
        <f>IFERROR(__xludf.DUMMYFUNCTION("IFERROR(P3 * (1 + AVERAGE(Filter('Inflation Data'!$C:$C,'Inflation Data'!$A:$A = Q$1))) + 'Fund YTD Contributions'!Q3,'Fund YTD Contributions'!Q3)"),161017.10114749998)</f>
        <v>161017.1011</v>
      </c>
      <c r="R3" s="152">
        <f>IFERROR(__xludf.DUMMYFUNCTION("IFERROR(Q3 * (1 + AVERAGE(Filter('Inflation Data'!$C:$C,'Inflation Data'!$A:$A = R$1))) + 'Fund YTD Contributions'!R3,'Fund YTD Contributions'!R3)"),196226.35872800695)</f>
        <v>196226.3587</v>
      </c>
      <c r="S3" s="152">
        <f>IFERROR(__xludf.DUMMYFUNCTION("IFERROR(R3 * (1 + AVERAGE(Filter('Inflation Data'!$C:$C,'Inflation Data'!$A:$A = S$1))) + 'Fund YTD Contributions'!S3,'Fund YTD Contributions'!S3)"),231823.42660200133)</f>
        <v>231823.4266</v>
      </c>
      <c r="T3" s="152">
        <f>IFERROR(__xludf.DUMMYFUNCTION("IFERROR(S3 * (1 + AVERAGE(Filter('Inflation Data'!$C:$C,'Inflation Data'!$A:$A = T$1))) + 'Fund YTD Contributions'!T3,'Fund YTD Contributions'!T3)"),270738.5045653152)</f>
        <v>270738.5046</v>
      </c>
      <c r="U3" s="152">
        <f>IFERROR(__xludf.DUMMYFUNCTION("IFERROR(T3 * (1 + AVERAGE(Filter('Inflation Data'!$C:$C,'Inflation Data'!$A:$A = U$1))) + 'Fund YTD Contributions'!U3,'Fund YTD Contributions'!U3)"),269823.9498968936)</f>
        <v>269823.9499</v>
      </c>
      <c r="V3" s="152">
        <f>IFERROR(__xludf.DUMMYFUNCTION("IFERROR(U3 * (1 + AVERAGE(Filter('Inflation Data'!$C:$C,'Inflation Data'!$A:$A = V$1))) + 'Fund YTD Contributions'!V3,'Fund YTD Contributions'!V3)"),274260.71776568907)</f>
        <v>274260.7178</v>
      </c>
      <c r="W3" s="152">
        <f>IFERROR(__xludf.DUMMYFUNCTION("IFERROR(V3 * (1 + AVERAGE(Filter('Inflation Data'!$C:$C,'Inflation Data'!$A:$A = W$1))) + 'Fund YTD Contributions'!W3,'Fund YTD Contributions'!W3)"),282914.19584084733)</f>
        <v>282914.1958</v>
      </c>
      <c r="X3" s="152">
        <f>IFERROR(__xludf.DUMMYFUNCTION("IFERROR(W3 * (1 + AVERAGE(Filter('Inflation Data'!$C:$C,'Inflation Data'!$A:$A = X$1))) + 'Fund YTD Contributions'!X3,'Fund YTD Contributions'!X3)"),288779.552367012)</f>
        <v>288779.5524</v>
      </c>
      <c r="Y3" s="152">
        <f>IFERROR(__xludf.DUMMYFUNCTION("IFERROR(X3 * (1 + AVERAGE(Filter('Inflation Data'!$C:$C,'Inflation Data'!$A:$A = Y$1))) + 'Fund YTD Contributions'!Y3,'Fund YTD Contributions'!Y3)"),293013.1920956686)</f>
        <v>293013.1921</v>
      </c>
      <c r="Z3" s="152">
        <f>IFERROR(__xludf.DUMMYFUNCTION("IFERROR(Y3 * (1 + AVERAGE(Filter('Inflation Data'!$C:$C,'Inflation Data'!$A:$A = Z$1))) + 'Fund YTD Contributions'!Z3,'Fund YTD Contributions'!Z3)"),307826.5871473192)</f>
        <v>307826.5871</v>
      </c>
      <c r="AA3" s="152">
        <f>IFERROR(__xludf.DUMMYFUNCTION("IFERROR(Z3 * (1 + AVERAGE(Filter('Inflation Data'!$C:$C,'Inflation Data'!$A:$A = AA$1))) + 'Fund YTD Contributions'!AA3,'Fund YTD Contributions'!AA3)"),319053.59159986995)</f>
        <v>319053.5916</v>
      </c>
      <c r="AB3" s="152">
        <f>IFERROR(__xludf.DUMMYFUNCTION("IFERROR(AA3 * (1 + AVERAGE(Filter('Inflation Data'!$C:$C,'Inflation Data'!$A:$A = AB$1))) + 'Fund YTD Contributions'!AB3,'Fund YTD Contributions'!AB3)"),334124.54969708924)</f>
        <v>334124.5497</v>
      </c>
      <c r="AC3" s="152">
        <f>IFERROR(__xludf.DUMMYFUNCTION("IFERROR(AB3 * (1 + AVERAGE(Filter('Inflation Data'!$C:$C,'Inflation Data'!$A:$A = AC$1))) + 'Fund YTD Contributions'!AC3,'Fund YTD Contributions'!AC3)"),351339.79846652143)</f>
        <v>351339.7985</v>
      </c>
      <c r="AD3" s="152">
        <f>IFERROR(__xludf.DUMMYFUNCTION("IFERROR(AC3 * (1 + AVERAGE(Filter('Inflation Data'!$C:$C,'Inflation Data'!$A:$A = AD$1))) + 'Fund YTD Contributions'!AD3,'Fund YTD Contributions'!AD3)"),378110.9215294993)</f>
        <v>378110.9215</v>
      </c>
      <c r="AE3" s="152">
        <f>IFERROR(__xludf.DUMMYFUNCTION("IFERROR(AD3 * (1 + AVERAGE(Filter('Inflation Data'!$C:$C,'Inflation Data'!$A:$A = AE$1))) + 'Fund YTD Contributions'!AE3,'Fund YTD Contributions'!AE3)"),392089.68605208903)</f>
        <v>392089.6861</v>
      </c>
      <c r="AF3" s="152">
        <f>IFERROR(__xludf.DUMMYFUNCTION("IFERROR(AE3 * (1 + AVERAGE(Filter('Inflation Data'!$C:$C,'Inflation Data'!$A:$A = AF$1))) + 'Fund YTD Contributions'!AF3,'Fund YTD Contributions'!AF3)"),401541.8822943746)</f>
        <v>401541.8823</v>
      </c>
    </row>
    <row r="4">
      <c r="A4" s="151" t="str">
        <f>'Endowed Funds'!A:A</f>
        <v>Alden C. Hayes Research Fund</v>
      </c>
      <c r="B4" s="152" t="str">
        <f>IFERROR(__xludf.DUMMYFUNCTION("IFERROR(A4 * (1 + AVERAGE(Filter('Inflation Data'!$C:$C,'Inflation Data'!$A:$A = B$1))) + 'Fund YTD Contributions'!B4,'Fund YTD Contributions'!B4)"),"  ")</f>
        <v/>
      </c>
      <c r="C4" s="152">
        <f>IFERROR(__xludf.DUMMYFUNCTION("IFERROR(B4 * (1 + AVERAGE(Filter('Inflation Data'!$C:$C,'Inflation Data'!$A:$A = C$1))) + 'Fund YTD Contributions'!C4,'Fund YTD Contributions'!C4)"),0.0)</f>
        <v>0</v>
      </c>
      <c r="D4" s="152">
        <f>IFERROR(__xludf.DUMMYFUNCTION("IFERROR(C4 * (1 + AVERAGE(Filter('Inflation Data'!$C:$C,'Inflation Data'!$A:$A = D$1))) + 'Fund YTD Contributions'!D4,'Fund YTD Contributions'!D4)"),0.0)</f>
        <v>0</v>
      </c>
      <c r="E4" s="152">
        <f>IFERROR(__xludf.DUMMYFUNCTION("IFERROR(D4 * (1 + AVERAGE(Filter('Inflation Data'!$C:$C,'Inflation Data'!$A:$A = E$1))) + 'Fund YTD Contributions'!E4,'Fund YTD Contributions'!E4)"),0.0)</f>
        <v>0</v>
      </c>
      <c r="F4" s="152">
        <f>IFERROR(__xludf.DUMMYFUNCTION("IFERROR(E4 * (1 + AVERAGE(Filter('Inflation Data'!$C:$C,'Inflation Data'!$A:$A = F$1))) + 'Fund YTD Contributions'!F4,'Fund YTD Contributions'!F4)"),0.0)</f>
        <v>0</v>
      </c>
      <c r="G4" s="152">
        <f>IFERROR(__xludf.DUMMYFUNCTION("IFERROR(F4 * (1 + AVERAGE(Filter('Inflation Data'!$C:$C,'Inflation Data'!$A:$A = G$1))) + 'Fund YTD Contributions'!G4,'Fund YTD Contributions'!G4)"),0.0)</f>
        <v>0</v>
      </c>
      <c r="H4" s="152">
        <f>IFERROR(__xludf.DUMMYFUNCTION("IFERROR(G4 * (1 + AVERAGE(Filter('Inflation Data'!$C:$C,'Inflation Data'!$A:$A = H$1))) + 'Fund YTD Contributions'!H4,'Fund YTD Contributions'!H4)"),80299.0)</f>
        <v>80299</v>
      </c>
      <c r="I4" s="152">
        <f>IFERROR(__xludf.DUMMYFUNCTION("IFERROR(H4 * (1 + AVERAGE(Filter('Inflation Data'!$C:$C,'Inflation Data'!$A:$A = I$1))) + 'Fund YTD Contributions'!I4,'Fund YTD Contributions'!I4)"),82178.8046086875)</f>
        <v>82178.80461</v>
      </c>
      <c r="J4" s="152">
        <f>IFERROR(__xludf.DUMMYFUNCTION("IFERROR(I4 * (1 + AVERAGE(Filter('Inflation Data'!$C:$C,'Inflation Data'!$A:$A = J$1))) + 'Fund YTD Contributions'!J4,'Fund YTD Contributions'!J4)"),106169.29280221931)</f>
        <v>106169.2928</v>
      </c>
      <c r="K4" s="152">
        <f>IFERROR(__xludf.DUMMYFUNCTION("IFERROR(J4 * (1 + AVERAGE(Filter('Inflation Data'!$C:$C,'Inflation Data'!$A:$A = K$1))) + 'Fund YTD Contributions'!K4,'Fund YTD Contributions'!K4)"),116590.54222865678)</f>
        <v>116590.5422</v>
      </c>
      <c r="L4" s="152">
        <f>IFERROR(__xludf.DUMMYFUNCTION("IFERROR(K4 * (1 + AVERAGE(Filter('Inflation Data'!$C:$C,'Inflation Data'!$A:$A = L$1))) + 'Fund YTD Contributions'!L4,'Fund YTD Contributions'!L4)"),141143.68435602833)</f>
        <v>141143.6844</v>
      </c>
      <c r="M4" s="152">
        <f>IFERROR(__xludf.DUMMYFUNCTION("IFERROR(L4 * (1 + AVERAGE(Filter('Inflation Data'!$C:$C,'Inflation Data'!$A:$A = M$1))) + 'Fund YTD Contributions'!M4,'Fund YTD Contributions'!M4)"),166946.00100225117)</f>
        <v>166946.001</v>
      </c>
      <c r="N4" s="152">
        <f>IFERROR(__xludf.DUMMYFUNCTION("IFERROR(M4 * (1 + AVERAGE(Filter('Inflation Data'!$C:$C,'Inflation Data'!$A:$A = N$1))) + 'Fund YTD Contributions'!N4,'Fund YTD Contributions'!N4)"),186070.63413407112)</f>
        <v>186070.6341</v>
      </c>
      <c r="O4" s="152">
        <f>IFERROR(__xludf.DUMMYFUNCTION("IFERROR(N4 * (1 + AVERAGE(Filter('Inflation Data'!$C:$C,'Inflation Data'!$A:$A = O$1))) + 'Fund YTD Contributions'!O4,'Fund YTD Contributions'!O4)"),193298.65934755598)</f>
        <v>193298.6593</v>
      </c>
      <c r="P4" s="152">
        <f>IFERROR(__xludf.DUMMYFUNCTION("IFERROR(O4 * (1 + AVERAGE(Filter('Inflation Data'!$C:$C,'Inflation Data'!$A:$A = P$1))) + 'Fund YTD Contributions'!P4,'Fund YTD Contributions'!P4)"),207585.72460678912)</f>
        <v>207585.7246</v>
      </c>
      <c r="Q4" s="152">
        <f>IFERROR(__xludf.DUMMYFUNCTION("IFERROR(P4 * (1 + AVERAGE(Filter('Inflation Data'!$C:$C,'Inflation Data'!$A:$A = Q$1))) + 'Fund YTD Contributions'!Q4,'Fund YTD Contributions'!Q4)"),225724.58056352858)</f>
        <v>225724.5806</v>
      </c>
      <c r="R4" s="152">
        <f>IFERROR(__xludf.DUMMYFUNCTION("IFERROR(Q4 * (1 + AVERAGE(Filter('Inflation Data'!$C:$C,'Inflation Data'!$A:$A = R$1))) + 'Fund YTD Contributions'!R4,'Fund YTD Contributions'!R4)"),307920.3575081294)</f>
        <v>307920.3575</v>
      </c>
      <c r="S4" s="152">
        <f>IFERROR(__xludf.DUMMYFUNCTION("IFERROR(R4 * (1 + AVERAGE(Filter('Inflation Data'!$C:$C,'Inflation Data'!$A:$A = S$1))) + 'Fund YTD Contributions'!S4,'Fund YTD Contributions'!S4)"),321545.3321906822)</f>
        <v>321545.3322</v>
      </c>
      <c r="T4" s="152">
        <f>IFERROR(__xludf.DUMMYFUNCTION("IFERROR(S4 * (1 + AVERAGE(Filter('Inflation Data'!$C:$C,'Inflation Data'!$A:$A = T$1))) + 'Fund YTD Contributions'!T4,'Fund YTD Contributions'!T4)"),334909.7852738213)</f>
        <v>334909.7853</v>
      </c>
      <c r="U4" s="152">
        <f>IFERROR(__xludf.DUMMYFUNCTION("IFERROR(T4 * (1 + AVERAGE(Filter('Inflation Data'!$C:$C,'Inflation Data'!$A:$A = U$1))) + 'Fund YTD Contributions'!U4,'Fund YTD Contributions'!U4)"),334778.46001916635)</f>
        <v>334778.46</v>
      </c>
      <c r="V4" s="152">
        <f>IFERROR(__xludf.DUMMYFUNCTION("IFERROR(U4 * (1 + AVERAGE(Filter('Inflation Data'!$C:$C,'Inflation Data'!$A:$A = V$1))) + 'Fund YTD Contributions'!V4,'Fund YTD Contributions'!V4)"),341033.2875748576)</f>
        <v>341033.2876</v>
      </c>
      <c r="W4" s="152">
        <f>IFERROR(__xludf.DUMMYFUNCTION("IFERROR(V4 * (1 + AVERAGE(Filter('Inflation Data'!$C:$C,'Inflation Data'!$A:$A = W$1))) + 'Fund YTD Contributions'!W4,'Fund YTD Contributions'!W4)"),352043.5747241439)</f>
        <v>352043.5747</v>
      </c>
      <c r="X4" s="152">
        <f>IFERROR(__xludf.DUMMYFUNCTION("IFERROR(W4 * (1 + AVERAGE(Filter('Inflation Data'!$C:$C,'Inflation Data'!$A:$A = X$1))) + 'Fund YTD Contributions'!X4,'Fund YTD Contributions'!X4)"),359592.11650415475)</f>
        <v>359592.1165</v>
      </c>
      <c r="Y4" s="152">
        <f>IFERROR(__xludf.DUMMYFUNCTION("IFERROR(X4 * (1 + AVERAGE(Filter('Inflation Data'!$C:$C,'Inflation Data'!$A:$A = Y$1))) + 'Fund YTD Contributions'!Y4,'Fund YTD Contributions'!Y4)"),364863.90066638275)</f>
        <v>364863.9007</v>
      </c>
      <c r="Z4" s="152">
        <f>IFERROR(__xludf.DUMMYFUNCTION("IFERROR(Y4 * (1 + AVERAGE(Filter('Inflation Data'!$C:$C,'Inflation Data'!$A:$A = Z$1))) + 'Fund YTD Contributions'!Z4,'Fund YTD Contributions'!Z4)"),370781.6458151633)</f>
        <v>370781.6458</v>
      </c>
      <c r="AA4" s="152">
        <f>IFERROR(__xludf.DUMMYFUNCTION("IFERROR(Z4 * (1 + AVERAGE(Filter('Inflation Data'!$C:$C,'Inflation Data'!$A:$A = AA$1))) + 'Fund YTD Contributions'!AA4,'Fund YTD Contributions'!AA4)"),371222.5035544186)</f>
        <v>371222.5036</v>
      </c>
      <c r="AB4" s="152">
        <f>IFERROR(__xludf.DUMMYFUNCTION("IFERROR(AA4 * (1 + AVERAGE(Filter('Inflation Data'!$C:$C,'Inflation Data'!$A:$A = AB$1))) + 'Fund YTD Contributions'!AB4,'Fund YTD Contributions'!AB4)"),375906.7518544009)</f>
        <v>375906.7519</v>
      </c>
      <c r="AC4" s="152">
        <f>IFERROR(__xludf.DUMMYFUNCTION("IFERROR(AB4 * (1 + AVERAGE(Filter('Inflation Data'!$C:$C,'Inflation Data'!$A:$A = AC$1))) + 'Fund YTD Contributions'!AC4,'Fund YTD Contributions'!AC4)"),383919.63628101203)</f>
        <v>383919.6363</v>
      </c>
      <c r="AD4" s="152">
        <f>IFERROR(__xludf.DUMMYFUNCTION("IFERROR(AC4 * (1 + AVERAGE(Filter('Inflation Data'!$C:$C,'Inflation Data'!$A:$A = AD$1))) + 'Fund YTD Contributions'!AD4,'Fund YTD Contributions'!AD4)"),393297.5820168445)</f>
        <v>393297.582</v>
      </c>
      <c r="AE4" s="152">
        <f>IFERROR(__xludf.DUMMYFUNCTION("IFERROR(AD4 * (1 + AVERAGE(Filter('Inflation Data'!$C:$C,'Inflation Data'!$A:$A = AE$1))) + 'Fund YTD Contributions'!AE4,'Fund YTD Contributions'!AE4)"),400423.494111175)</f>
        <v>400423.4941</v>
      </c>
      <c r="AF4" s="152">
        <f>IFERROR(__xludf.DUMMYFUNCTION("IFERROR(AE4 * (1 + AVERAGE(Filter('Inflation Data'!$C:$C,'Inflation Data'!$A:$A = AF$1))) + 'Fund YTD Contributions'!AF4,'Fund YTD Contributions'!AF4)"),410076.5953811168)</f>
        <v>410076.5954</v>
      </c>
    </row>
    <row r="5">
      <c r="A5" s="151" t="str">
        <f>'Endowed Funds'!A:A</f>
        <v>C. Paul Johnson Family Fund</v>
      </c>
      <c r="B5" s="152" t="str">
        <f>IFERROR(__xludf.DUMMYFUNCTION("IFERROR(A5 * (1 + AVERAGE(Filter('Inflation Data'!$C:$C,'Inflation Data'!$A:$A = B$1))) + 'Fund YTD Contributions'!B5,'Fund YTD Contributions'!B5)"),"  ")</f>
        <v/>
      </c>
      <c r="C5" s="152">
        <f>IFERROR(__xludf.DUMMYFUNCTION("IFERROR(B5 * (1 + AVERAGE(Filter('Inflation Data'!$C:$C,'Inflation Data'!$A:$A = C$1))) + 'Fund YTD Contributions'!C5,'Fund YTD Contributions'!C5)"),0.0)</f>
        <v>0</v>
      </c>
      <c r="D5" s="152">
        <f>IFERROR(__xludf.DUMMYFUNCTION("IFERROR(C5 * (1 + AVERAGE(Filter('Inflation Data'!$C:$C,'Inflation Data'!$A:$A = D$1))) + 'Fund YTD Contributions'!D5,'Fund YTD Contributions'!D5)"),0.0)</f>
        <v>0</v>
      </c>
      <c r="E5" s="152">
        <f>IFERROR(__xludf.DUMMYFUNCTION("IFERROR(D5 * (1 + AVERAGE(Filter('Inflation Data'!$C:$C,'Inflation Data'!$A:$A = E$1))) + 'Fund YTD Contributions'!E5,'Fund YTD Contributions'!E5)"),0.0)</f>
        <v>0</v>
      </c>
      <c r="F5" s="152">
        <f>IFERROR(__xludf.DUMMYFUNCTION("IFERROR(E5 * (1 + AVERAGE(Filter('Inflation Data'!$C:$C,'Inflation Data'!$A:$A = F$1))) + 'Fund YTD Contributions'!F5,'Fund YTD Contributions'!F5)"),0.0)</f>
        <v>0</v>
      </c>
      <c r="G5" s="152">
        <f>IFERROR(__xludf.DUMMYFUNCTION("IFERROR(F5 * (1 + AVERAGE(Filter('Inflation Data'!$C:$C,'Inflation Data'!$A:$A = G$1))) + 'Fund YTD Contributions'!G5,'Fund YTD Contributions'!G5)"),0.0)</f>
        <v>0</v>
      </c>
      <c r="H5" s="152">
        <f>IFERROR(__xludf.DUMMYFUNCTION("IFERROR(G5 * (1 + AVERAGE(Filter('Inflation Data'!$C:$C,'Inflation Data'!$A:$A = H$1))) + 'Fund YTD Contributions'!H5,'Fund YTD Contributions'!H5)"),0.0)</f>
        <v>0</v>
      </c>
      <c r="I5" s="152">
        <f>IFERROR(__xludf.DUMMYFUNCTION("IFERROR(H5 * (1 + AVERAGE(Filter('Inflation Data'!$C:$C,'Inflation Data'!$A:$A = I$1))) + 'Fund YTD Contributions'!I5,'Fund YTD Contributions'!I5)"),0.0)</f>
        <v>0</v>
      </c>
      <c r="J5" s="152">
        <f>IFERROR(__xludf.DUMMYFUNCTION("IFERROR(I5 * (1 + AVERAGE(Filter('Inflation Data'!$C:$C,'Inflation Data'!$A:$A = J$1))) + 'Fund YTD Contributions'!J5,'Fund YTD Contributions'!J5)"),0.0)</f>
        <v>0</v>
      </c>
      <c r="K5" s="152">
        <f>IFERROR(__xludf.DUMMYFUNCTION("IFERROR(J5 * (1 + AVERAGE(Filter('Inflation Data'!$C:$C,'Inflation Data'!$A:$A = K$1))) + 'Fund YTD Contributions'!K5,'Fund YTD Contributions'!K5)"),0.0)</f>
        <v>0</v>
      </c>
      <c r="L5" s="152">
        <f>IFERROR(__xludf.DUMMYFUNCTION("IFERROR(K5 * (1 + AVERAGE(Filter('Inflation Data'!$C:$C,'Inflation Data'!$A:$A = L$1))) + 'Fund YTD Contributions'!L5,'Fund YTD Contributions'!L5)"),174527.73)</f>
        <v>174527.73</v>
      </c>
      <c r="M5" s="152">
        <f>IFERROR(__xludf.DUMMYFUNCTION("IFERROR(L5 * (1 + AVERAGE(Filter('Inflation Data'!$C:$C,'Inflation Data'!$A:$A = M$1))) + 'Fund YTD Contributions'!M5,'Fund YTD Contributions'!M5)"),360789.35761868994)</f>
        <v>360789.3576</v>
      </c>
      <c r="N5" s="152">
        <f>IFERROR(__xludf.DUMMYFUNCTION("IFERROR(M5 * (1 + AVERAGE(Filter('Inflation Data'!$C:$C,'Inflation Data'!$A:$A = N$1))) + 'Fund YTD Contributions'!N5,'Fund YTD Contributions'!N5)"),666556.8463132323)</f>
        <v>666556.8463</v>
      </c>
      <c r="O5" s="152">
        <f>IFERROR(__xludf.DUMMYFUNCTION("IFERROR(N5 * (1 + AVERAGE(Filter('Inflation Data'!$C:$C,'Inflation Data'!$A:$A = O$1))) + 'Fund YTD Contributions'!O5,'Fund YTD Contributions'!O5)"),977791.8104550143)</f>
        <v>977791.8105</v>
      </c>
      <c r="P5" s="152">
        <f>IFERROR(__xludf.DUMMYFUNCTION("IFERROR(O5 * (1 + AVERAGE(Filter('Inflation Data'!$C:$C,'Inflation Data'!$A:$A = P$1))) + 'Fund YTD Contributions'!P5,'Fund YTD Contributions'!P5)"),1513314.2393797135)</f>
        <v>1513314.239</v>
      </c>
      <c r="Q5" s="152">
        <f>IFERROR(__xludf.DUMMYFUNCTION("IFERROR(P5 * (1 + AVERAGE(Filter('Inflation Data'!$C:$C,'Inflation Data'!$A:$A = Q$1))) + 'Fund YTD Contributions'!Q5,'Fund YTD Contributions'!Q5)"),1564620.6943597533)</f>
        <v>1564620.694</v>
      </c>
      <c r="R5" s="152">
        <f>IFERROR(__xludf.DUMMYFUNCTION("IFERROR(Q5 * (1 + AVERAGE(Filter('Inflation Data'!$C:$C,'Inflation Data'!$A:$A = R$1))) + 'Fund YTD Contributions'!R5,'Fund YTD Contributions'!R5)"),2359937.207161284)</f>
        <v>2359937.207</v>
      </c>
      <c r="S5" s="152">
        <f>IFERROR(__xludf.DUMMYFUNCTION("IFERROR(R5 * (1 + AVERAGE(Filter('Inflation Data'!$C:$C,'Inflation Data'!$A:$A = S$1))) + 'Fund YTD Contributions'!S5,'Fund YTD Contributions'!S5)"),2878303.460201376)</f>
        <v>2878303.46</v>
      </c>
      <c r="T5" s="152">
        <f>IFERROR(__xludf.DUMMYFUNCTION("IFERROR(S5 * (1 + AVERAGE(Filter('Inflation Data'!$C:$C,'Inflation Data'!$A:$A = T$1))) + 'Fund YTD Contributions'!T5,'Fund YTD Contributions'!T5)"),3291992.4450287186)</f>
        <v>3291992.445</v>
      </c>
      <c r="U5" s="152">
        <f>IFERROR(__xludf.DUMMYFUNCTION("IFERROR(T5 * (1 + AVERAGE(Filter('Inflation Data'!$C:$C,'Inflation Data'!$A:$A = U$1))) + 'Fund YTD Contributions'!U5,'Fund YTD Contributions'!U5)"),3280872.0945494114)</f>
        <v>3280872.095</v>
      </c>
      <c r="V5" s="152">
        <f>IFERROR(__xludf.DUMMYFUNCTION("IFERROR(U5 * (1 + AVERAGE(Filter('Inflation Data'!$C:$C,'Inflation Data'!$A:$A = V$1))) + 'Fund YTD Contributions'!V5,'Fund YTD Contributions'!V5)"),3334820.114716958)</f>
        <v>3334820.115</v>
      </c>
      <c r="W5" s="152">
        <f>IFERROR(__xludf.DUMMYFUNCTION("IFERROR(V5 * (1 + AVERAGE(Filter('Inflation Data'!$C:$C,'Inflation Data'!$A:$A = W$1))) + 'Fund YTD Contributions'!W5,'Fund YTD Contributions'!W5)"),3440040.406497694)</f>
        <v>3440040.406</v>
      </c>
      <c r="X5" s="152">
        <f>IFERROR(__xludf.DUMMYFUNCTION("IFERROR(W5 * (1 + AVERAGE(Filter('Inflation Data'!$C:$C,'Inflation Data'!$A:$A = X$1))) + 'Fund YTD Contributions'!X5,'Fund YTD Contributions'!X5)"),3511359.0739422645)</f>
        <v>3511359.074</v>
      </c>
      <c r="Y5" s="152">
        <f>IFERROR(__xludf.DUMMYFUNCTION("IFERROR(X5 * (1 + AVERAGE(Filter('Inflation Data'!$C:$C,'Inflation Data'!$A:$A = Y$1))) + 'Fund YTD Contributions'!Y5,'Fund YTD Contributions'!Y5)"),3562837.19680509)</f>
        <v>3562837.197</v>
      </c>
      <c r="Z5" s="152">
        <f>IFERROR(__xludf.DUMMYFUNCTION("IFERROR(Y5 * (1 + AVERAGE(Filter('Inflation Data'!$C:$C,'Inflation Data'!$A:$A = Z$1))) + 'Fund YTD Contributions'!Z5,'Fund YTD Contributions'!Z5)"),3620623.02461316)</f>
        <v>3620623.025</v>
      </c>
      <c r="AA5" s="152">
        <f>IFERROR(__xludf.DUMMYFUNCTION("IFERROR(Z5 * (1 + AVERAGE(Filter('Inflation Data'!$C:$C,'Inflation Data'!$A:$A = AA$1))) + 'Fund YTD Contributions'!AA5,'Fund YTD Contributions'!AA5)"),3624927.92939834)</f>
        <v>3624927.929</v>
      </c>
      <c r="AB5" s="152">
        <f>IFERROR(__xludf.DUMMYFUNCTION("IFERROR(AA5 * (1 + AVERAGE(Filter('Inflation Data'!$C:$C,'Inflation Data'!$A:$A = AB$1))) + 'Fund YTD Contributions'!AB5,'Fund YTD Contributions'!AB5)"),3670668.8592403084)</f>
        <v>3670668.859</v>
      </c>
      <c r="AC5" s="152">
        <f>IFERROR(__xludf.DUMMYFUNCTION("IFERROR(AB5 * (1 + AVERAGE(Filter('Inflation Data'!$C:$C,'Inflation Data'!$A:$A = AC$1))) + 'Fund YTD Contributions'!AC5,'Fund YTD Contributions'!AC5)"),3748913.384491202)</f>
        <v>3748913.384</v>
      </c>
      <c r="AD5" s="152">
        <f>IFERROR(__xludf.DUMMYFUNCTION("IFERROR(AC5 * (1 + AVERAGE(Filter('Inflation Data'!$C:$C,'Inflation Data'!$A:$A = AD$1))) + 'Fund YTD Contributions'!AD5,'Fund YTD Contributions'!AD5)"),3840487.5134642795)</f>
        <v>3840487.513</v>
      </c>
      <c r="AE5" s="152">
        <f>IFERROR(__xludf.DUMMYFUNCTION("IFERROR(AD5 * (1 + AVERAGE(Filter('Inflation Data'!$C:$C,'Inflation Data'!$A:$A = AE$1))) + 'Fund YTD Contributions'!AE5,'Fund YTD Contributions'!AE5)"),3910070.896814824)</f>
        <v>3910070.897</v>
      </c>
      <c r="AF5" s="152">
        <f>IFERROR(__xludf.DUMMYFUNCTION("IFERROR(AE5 * (1 + AVERAGE(Filter('Inflation Data'!$C:$C,'Inflation Data'!$A:$A = AF$1))) + 'Fund YTD Contributions'!AF5,'Fund YTD Contributions'!AF5)"),4004331.8752406454)</f>
        <v>4004331.875</v>
      </c>
    </row>
    <row r="6">
      <c r="A6" s="151" t="str">
        <f>'Endowed Funds'!A:A</f>
        <v>Flora W. Minium Memorial Fund</v>
      </c>
      <c r="B6" s="152" t="str">
        <f>IFERROR(__xludf.DUMMYFUNCTION("IFERROR(A6 * (1 + AVERAGE(Filter('Inflation Data'!$C:$C,'Inflation Data'!$A:$A = B$1))) + 'Fund YTD Contributions'!B6,'Fund YTD Contributions'!B6)"),"  ")</f>
        <v/>
      </c>
      <c r="C6" s="152">
        <f>IFERROR(__xludf.DUMMYFUNCTION("IFERROR(B6 * (1 + AVERAGE(Filter('Inflation Data'!$C:$C,'Inflation Data'!$A:$A = C$1))) + 'Fund YTD Contributions'!C6,'Fund YTD Contributions'!C6)"),0.0)</f>
        <v>0</v>
      </c>
      <c r="D6" s="152">
        <f>IFERROR(__xludf.DUMMYFUNCTION("IFERROR(C6 * (1 + AVERAGE(Filter('Inflation Data'!$C:$C,'Inflation Data'!$A:$A = D$1))) + 'Fund YTD Contributions'!D6,'Fund YTD Contributions'!D6)"),0.0)</f>
        <v>0</v>
      </c>
      <c r="E6" s="152">
        <f>IFERROR(__xludf.DUMMYFUNCTION("IFERROR(D6 * (1 + AVERAGE(Filter('Inflation Data'!$C:$C,'Inflation Data'!$A:$A = E$1))) + 'Fund YTD Contributions'!E6,'Fund YTD Contributions'!E6)"),0.0)</f>
        <v>0</v>
      </c>
      <c r="F6" s="152">
        <f>IFERROR(__xludf.DUMMYFUNCTION("IFERROR(E6 * (1 + AVERAGE(Filter('Inflation Data'!$C:$C,'Inflation Data'!$A:$A = F$1))) + 'Fund YTD Contributions'!F6,'Fund YTD Contributions'!F6)"),0.0)</f>
        <v>0</v>
      </c>
      <c r="G6" s="152">
        <f>IFERROR(__xludf.DUMMYFUNCTION("IFERROR(F6 * (1 + AVERAGE(Filter('Inflation Data'!$C:$C,'Inflation Data'!$A:$A = G$1))) + 'Fund YTD Contributions'!G6,'Fund YTD Contributions'!G6)"),0.0)</f>
        <v>0</v>
      </c>
      <c r="H6" s="152">
        <f>IFERROR(__xludf.DUMMYFUNCTION("IFERROR(G6 * (1 + AVERAGE(Filter('Inflation Data'!$C:$C,'Inflation Data'!$A:$A = H$1))) + 'Fund YTD Contributions'!H6,'Fund YTD Contributions'!H6)"),0.0)</f>
        <v>0</v>
      </c>
      <c r="I6" s="152">
        <f>IFERROR(__xludf.DUMMYFUNCTION("IFERROR(H6 * (1 + AVERAGE(Filter('Inflation Data'!$C:$C,'Inflation Data'!$A:$A = I$1))) + 'Fund YTD Contributions'!I6,'Fund YTD Contributions'!I6)"),0.0)</f>
        <v>0</v>
      </c>
      <c r="J6" s="152">
        <f>IFERROR(__xludf.DUMMYFUNCTION("IFERROR(I6 * (1 + AVERAGE(Filter('Inflation Data'!$C:$C,'Inflation Data'!$A:$A = J$1))) + 'Fund YTD Contributions'!J6,'Fund YTD Contributions'!J6)"),50000.0)</f>
        <v>50000</v>
      </c>
      <c r="K6" s="152">
        <f>IFERROR(__xludf.DUMMYFUNCTION("IFERROR(J6 * (1 + AVERAGE(Filter('Inflation Data'!$C:$C,'Inflation Data'!$A:$A = K$1))) + 'Fund YTD Contributions'!K6,'Fund YTD Contributions'!K6)"),51093.18305)</f>
        <v>51093.18305</v>
      </c>
      <c r="L6" s="152">
        <f>IFERROR(__xludf.DUMMYFUNCTION("IFERROR(K6 * (1 + AVERAGE(Filter('Inflation Data'!$C:$C,'Inflation Data'!$A:$A = L$1))) + 'Fund YTD Contributions'!L6,'Fund YTD Contributions'!L6)"),52818.10881482057)</f>
        <v>52818.10881</v>
      </c>
      <c r="M6" s="152">
        <f>IFERROR(__xludf.DUMMYFUNCTION("IFERROR(L6 * (1 + AVERAGE(Filter('Inflation Data'!$C:$C,'Inflation Data'!$A:$A = M$1))) + 'Fund YTD Contributions'!M6,'Fund YTD Contributions'!M6)"),54313.76703681598)</f>
        <v>54313.76704</v>
      </c>
      <c r="N6" s="152">
        <f>IFERROR(__xludf.DUMMYFUNCTION("IFERROR(M6 * (1 + AVERAGE(Filter('Inflation Data'!$C:$C,'Inflation Data'!$A:$A = N$1))) + 'Fund YTD Contributions'!N6,'Fund YTD Contributions'!N6)"),55174.96200815774)</f>
        <v>55174.96201</v>
      </c>
      <c r="O6" s="152">
        <f>IFERROR(__xludf.DUMMYFUNCTION("IFERROR(N6 * (1 + AVERAGE(Filter('Inflation Data'!$C:$C,'Inflation Data'!$A:$A = O$1))) + 'Fund YTD Contributions'!O6,'Fund YTD Contributions'!O6)"),56428.68552884758)</f>
        <v>56428.68553</v>
      </c>
      <c r="P6" s="152">
        <f>IFERROR(__xludf.DUMMYFUNCTION("IFERROR(O6 * (1 + AVERAGE(Filter('Inflation Data'!$C:$C,'Inflation Data'!$A:$A = P$1))) + 'Fund YTD Contributions'!P6,'Fund YTD Contributions'!P6)"),57938.63924909678)</f>
        <v>57938.63925</v>
      </c>
      <c r="Q6" s="152">
        <f>IFERROR(__xludf.DUMMYFUNCTION("IFERROR(P6 * (1 + AVERAGE(Filter('Inflation Data'!$C:$C,'Inflation Data'!$A:$A = Q$1))) + 'Fund YTD Contributions'!Q6,'Fund YTD Contributions'!Q6)"),59902.9544645916)</f>
        <v>59902.95446</v>
      </c>
      <c r="R6" s="152">
        <f>IFERROR(__xludf.DUMMYFUNCTION("IFERROR(Q6 * (1 + AVERAGE(Filter('Inflation Data'!$C:$C,'Inflation Data'!$A:$A = R$1))) + 'Fund YTD Contributions'!R6,'Fund YTD Contributions'!R6)"),61840.946872948174)</f>
        <v>61840.94687</v>
      </c>
      <c r="S6" s="152">
        <f>IFERROR(__xludf.DUMMYFUNCTION("IFERROR(R6 * (1 + AVERAGE(Filter('Inflation Data'!$C:$C,'Inflation Data'!$A:$A = S$1))) + 'Fund YTD Contributions'!S6,'Fund YTD Contributions'!S6)"),63604.8688010911)</f>
        <v>63604.8688</v>
      </c>
      <c r="T6" s="152">
        <f>IFERROR(__xludf.DUMMYFUNCTION("IFERROR(S6 * (1 + AVERAGE(Filter('Inflation Data'!$C:$C,'Inflation Data'!$A:$A = T$1))) + 'Fund YTD Contributions'!T6,'Fund YTD Contributions'!T6)"),66050.8785617077)</f>
        <v>66050.87856</v>
      </c>
      <c r="U6" s="152">
        <f>IFERROR(__xludf.DUMMYFUNCTION("IFERROR(T6 * (1 + AVERAGE(Filter('Inflation Data'!$C:$C,'Inflation Data'!$A:$A = U$1))) + 'Fund YTD Contributions'!U6,'Fund YTD Contributions'!U6)"),65827.75869392624)</f>
        <v>65827.75869</v>
      </c>
      <c r="V6" s="152">
        <f>IFERROR(__xludf.DUMMYFUNCTION("IFERROR(U6 * (1 + AVERAGE(Filter('Inflation Data'!$C:$C,'Inflation Data'!$A:$A = V$1))) + 'Fund YTD Contributions'!V6,'Fund YTD Contributions'!V6)"),66910.1773775147)</f>
        <v>66910.17738</v>
      </c>
      <c r="W6" s="152">
        <f>IFERROR(__xludf.DUMMYFUNCTION("IFERROR(V6 * (1 + AVERAGE(Filter('Inflation Data'!$C:$C,'Inflation Data'!$A:$A = W$1))) + 'Fund YTD Contributions'!W6,'Fund YTD Contributions'!W6)"),69021.32824760007)</f>
        <v>69021.32825</v>
      </c>
      <c r="X6" s="152">
        <f>IFERROR(__xludf.DUMMYFUNCTION("IFERROR(W6 * (1 + AVERAGE(Filter('Inflation Data'!$C:$C,'Inflation Data'!$A:$A = X$1))) + 'Fund YTD Contributions'!X6,'Fund YTD Contributions'!X6)"),70452.27340352768)</f>
        <v>70452.2734</v>
      </c>
      <c r="Y6" s="152">
        <f>IFERROR(__xludf.DUMMYFUNCTION("IFERROR(X6 * (1 + AVERAGE(Filter('Inflation Data'!$C:$C,'Inflation Data'!$A:$A = Y$1))) + 'Fund YTD Contributions'!Y6,'Fund YTD Contributions'!Y6)"),71485.1358108919)</f>
        <v>71485.13581</v>
      </c>
      <c r="Z6" s="152">
        <f>IFERROR(__xludf.DUMMYFUNCTION("IFERROR(Y6 * (1 + AVERAGE(Filter('Inflation Data'!$C:$C,'Inflation Data'!$A:$A = Z$1))) + 'Fund YTD Contributions'!Z6,'Fund YTD Contributions'!Z6)"),72644.55666585236)</f>
        <v>72644.55667</v>
      </c>
      <c r="AA6" s="152">
        <f>IFERROR(__xludf.DUMMYFUNCTION("IFERROR(Z6 * (1 + AVERAGE(Filter('Inflation Data'!$C:$C,'Inflation Data'!$A:$A = AA$1))) + 'Fund YTD Contributions'!AA6,'Fund YTD Contributions'!AA6)"),72730.93072288127)</f>
        <v>72730.93072</v>
      </c>
      <c r="AB6" s="152">
        <f>IFERROR(__xludf.DUMMYFUNCTION("IFERROR(AA6 * (1 + AVERAGE(Filter('Inflation Data'!$C:$C,'Inflation Data'!$A:$A = AB$1))) + 'Fund YTD Contributions'!AB6,'Fund YTD Contributions'!AB6)"),73648.6814931948)</f>
        <v>73648.68149</v>
      </c>
      <c r="AC6" s="152">
        <f>IFERROR(__xludf.DUMMYFUNCTION("IFERROR(AB6 * (1 + AVERAGE(Filter('Inflation Data'!$C:$C,'Inflation Data'!$A:$A = AC$1))) + 'Fund YTD Contributions'!AC6,'Fund YTD Contributions'!AC6)"),75218.58777996946)</f>
        <v>75218.58778</v>
      </c>
      <c r="AD6" s="152">
        <f>IFERROR(__xludf.DUMMYFUNCTION("IFERROR(AC6 * (1 + AVERAGE(Filter('Inflation Data'!$C:$C,'Inflation Data'!$A:$A = AD$1))) + 'Fund YTD Contributions'!AD6,'Fund YTD Contributions'!AD6)"),77055.94062120361)</f>
        <v>77055.94062</v>
      </c>
      <c r="AE6" s="152">
        <f>IFERROR(__xludf.DUMMYFUNCTION("IFERROR(AD6 * (1 + AVERAGE(Filter('Inflation Data'!$C:$C,'Inflation Data'!$A:$A = AE$1))) + 'Fund YTD Contributions'!AE6,'Fund YTD Contributions'!AE6)"),78452.06885671646)</f>
        <v>78452.06886</v>
      </c>
      <c r="AF6" s="152">
        <f>IFERROR(__xludf.DUMMYFUNCTION("IFERROR(AE6 * (1 + AVERAGE(Filter('Inflation Data'!$C:$C,'Inflation Data'!$A:$A = AF$1))) + 'Fund YTD Contributions'!AF6,'Fund YTD Contributions'!AF6)"),80343.33092462117)</f>
        <v>80343.33092</v>
      </c>
    </row>
    <row r="7">
      <c r="A7" s="151" t="str">
        <f>'Endowed Funds'!A:A</f>
        <v>Fred G. Myers Research Fellowship</v>
      </c>
      <c r="B7" s="152" t="str">
        <f>IFERROR(__xludf.DUMMYFUNCTION("IFERROR(A7 * (1 + AVERAGE(Filter('Inflation Data'!$C:$C,'Inflation Data'!$A:$A = B$1))) + 'Fund YTD Contributions'!B7,'Fund YTD Contributions'!B7)"),"  ")</f>
        <v/>
      </c>
      <c r="C7" s="152">
        <f>IFERROR(__xludf.DUMMYFUNCTION("IFERROR(B7 * (1 + AVERAGE(Filter('Inflation Data'!$C:$C,'Inflation Data'!$A:$A = C$1))) + 'Fund YTD Contributions'!C7,'Fund YTD Contributions'!C7)"),0.0)</f>
        <v>0</v>
      </c>
      <c r="D7" s="152">
        <f>IFERROR(__xludf.DUMMYFUNCTION("IFERROR(C7 * (1 + AVERAGE(Filter('Inflation Data'!$C:$C,'Inflation Data'!$A:$A = D$1))) + 'Fund YTD Contributions'!D7,'Fund YTD Contributions'!D7)"),0.0)</f>
        <v>0</v>
      </c>
      <c r="E7" s="152">
        <f>IFERROR(__xludf.DUMMYFUNCTION("IFERROR(D7 * (1 + AVERAGE(Filter('Inflation Data'!$C:$C,'Inflation Data'!$A:$A = E$1))) + 'Fund YTD Contributions'!E7,'Fund YTD Contributions'!E7)"),0.0)</f>
        <v>0</v>
      </c>
      <c r="F7" s="152">
        <f>IFERROR(__xludf.DUMMYFUNCTION("IFERROR(E7 * (1 + AVERAGE(Filter('Inflation Data'!$C:$C,'Inflation Data'!$A:$A = F$1))) + 'Fund YTD Contributions'!F7,'Fund YTD Contributions'!F7)"),0.0)</f>
        <v>0</v>
      </c>
      <c r="G7" s="152">
        <f>IFERROR(__xludf.DUMMYFUNCTION("IFERROR(F7 * (1 + AVERAGE(Filter('Inflation Data'!$C:$C,'Inflation Data'!$A:$A = G$1))) + 'Fund YTD Contributions'!G7,'Fund YTD Contributions'!G7)"),0.0)</f>
        <v>0</v>
      </c>
      <c r="H7" s="152">
        <f>IFERROR(__xludf.DUMMYFUNCTION("IFERROR(G7 * (1 + AVERAGE(Filter('Inflation Data'!$C:$C,'Inflation Data'!$A:$A = H$1))) + 'Fund YTD Contributions'!H7,'Fund YTD Contributions'!H7)"),11540.75)</f>
        <v>11540.75</v>
      </c>
      <c r="I7" s="152">
        <f>IFERROR(__xludf.DUMMYFUNCTION("IFERROR(H7 * (1 + AVERAGE(Filter('Inflation Data'!$C:$C,'Inflation Data'!$A:$A = I$1))) + 'Fund YTD Contributions'!I7,'Fund YTD Contributions'!I7)"),11810.919678796876)</f>
        <v>11810.91968</v>
      </c>
      <c r="J7" s="152">
        <f>IFERROR(__xludf.DUMMYFUNCTION("IFERROR(I7 * (1 + AVERAGE(Filter('Inflation Data'!$C:$C,'Inflation Data'!$A:$A = J$1))) + 'Fund YTD Contributions'!J7,'Fund YTD Contributions'!J7)"),11994.254348805249)</f>
        <v>11994.25435</v>
      </c>
      <c r="K7" s="152">
        <f>IFERROR(__xludf.DUMMYFUNCTION("IFERROR(J7 * (1 + AVERAGE(Filter('Inflation Data'!$C:$C,'Inflation Data'!$A:$A = K$1))) + 'Fund YTD Contributions'!K7,'Fund YTD Contributions'!K7)"),12256.492659835303)</f>
        <v>12256.49266</v>
      </c>
      <c r="L7" s="152">
        <f>IFERROR(__xludf.DUMMYFUNCTION("IFERROR(K7 * (1 + AVERAGE(Filter('Inflation Data'!$C:$C,'Inflation Data'!$A:$A = L$1))) + 'Fund YTD Contributions'!L7,'Fund YTD Contributions'!L7)"),12670.27662695661)</f>
        <v>12670.27663</v>
      </c>
      <c r="M7" s="152">
        <f>IFERROR(__xludf.DUMMYFUNCTION("IFERROR(L7 * (1 + AVERAGE(Filter('Inflation Data'!$C:$C,'Inflation Data'!$A:$A = M$1))) + 'Fund YTD Contributions'!M7,'Fund YTD Contributions'!M7)"),13029.062729626505)</f>
        <v>13029.06273</v>
      </c>
      <c r="N7" s="152">
        <f>IFERROR(__xludf.DUMMYFUNCTION("IFERROR(M7 * (1 + AVERAGE(Filter('Inflation Data'!$C:$C,'Inflation Data'!$A:$A = N$1))) + 'Fund YTD Contributions'!N7,'Fund YTD Contributions'!N7)"),13235.650560230206)</f>
        <v>13235.65056</v>
      </c>
      <c r="O7" s="152">
        <f>IFERROR(__xludf.DUMMYFUNCTION("IFERROR(N7 * (1 + AVERAGE(Filter('Inflation Data'!$C:$C,'Inflation Data'!$A:$A = O$1))) + 'Fund YTD Contributions'!O7,'Fund YTD Contributions'!O7)"),13536.400136034878)</f>
        <v>13536.40014</v>
      </c>
      <c r="P7" s="152">
        <f>IFERROR(__xludf.DUMMYFUNCTION("IFERROR(O7 * (1 + AVERAGE(Filter('Inflation Data'!$C:$C,'Inflation Data'!$A:$A = P$1))) + 'Fund YTD Contributions'!P7,'Fund YTD Contributions'!P7)"),13898.61551554675)</f>
        <v>13898.61552</v>
      </c>
      <c r="Q7" s="152">
        <f>IFERROR(__xludf.DUMMYFUNCTION("IFERROR(P7 * (1 + AVERAGE(Filter('Inflation Data'!$C:$C,'Inflation Data'!$A:$A = Q$1))) + 'Fund YTD Contributions'!Q7,'Fund YTD Contributions'!Q7)"),14369.825441864212)</f>
        <v>14369.82544</v>
      </c>
      <c r="R7" s="152">
        <f>IFERROR(__xludf.DUMMYFUNCTION("IFERROR(Q7 * (1 + AVERAGE(Filter('Inflation Data'!$C:$C,'Inflation Data'!$A:$A = R$1))) + 'Fund YTD Contributions'!R7,'Fund YTD Contributions'!R7)"),14834.720919301859)</f>
        <v>14834.72092</v>
      </c>
      <c r="S7" s="152">
        <f>IFERROR(__xludf.DUMMYFUNCTION("IFERROR(R7 * (1 + AVERAGE(Filter('Inflation Data'!$C:$C,'Inflation Data'!$A:$A = S$1))) + 'Fund YTD Contributions'!S7,'Fund YTD Contributions'!S7)"),15257.859484453484)</f>
        <v>15257.85948</v>
      </c>
      <c r="T7" s="152">
        <f>IFERROR(__xludf.DUMMYFUNCTION("IFERROR(S7 * (1 + AVERAGE(Filter('Inflation Data'!$C:$C,'Inflation Data'!$A:$A = T$1))) + 'Fund YTD Contributions'!T7,'Fund YTD Contributions'!T7)"),15844.620748623396)</f>
        <v>15844.62075</v>
      </c>
      <c r="U7" s="152">
        <f>IFERROR(__xludf.DUMMYFUNCTION("IFERROR(T7 * (1 + AVERAGE(Filter('Inflation Data'!$C:$C,'Inflation Data'!$A:$A = U$1))) + 'Fund YTD Contributions'!U7,'Fund YTD Contributions'!U7)"),15791.097619734546)</f>
        <v>15791.09762</v>
      </c>
      <c r="V7" s="152">
        <f>IFERROR(__xludf.DUMMYFUNCTION("IFERROR(U7 * (1 + AVERAGE(Filter('Inflation Data'!$C:$C,'Inflation Data'!$A:$A = V$1))) + 'Fund YTD Contributions'!V7,'Fund YTD Contributions'!V7)"),16050.753719791726)</f>
        <v>16050.75372</v>
      </c>
      <c r="W7" s="152">
        <f>IFERROR(__xludf.DUMMYFUNCTION("IFERROR(V7 * (1 + AVERAGE(Filter('Inflation Data'!$C:$C,'Inflation Data'!$A:$A = W$1))) + 'Fund YTD Contributions'!W7,'Fund YTD Contributions'!W7)"),16557.187329881835)</f>
        <v>16557.18733</v>
      </c>
      <c r="X7" s="152">
        <f>IFERROR(__xludf.DUMMYFUNCTION("IFERROR(W7 * (1 + AVERAGE(Filter('Inflation Data'!$C:$C,'Inflation Data'!$A:$A = X$1))) + 'Fund YTD Contributions'!X7,'Fund YTD Contributions'!X7)"),16900.449733069567)</f>
        <v>16900.44973</v>
      </c>
      <c r="Y7" s="152">
        <f>IFERROR(__xludf.DUMMYFUNCTION("IFERROR(X7 * (1 + AVERAGE(Filter('Inflation Data'!$C:$C,'Inflation Data'!$A:$A = Y$1))) + 'Fund YTD Contributions'!Y7,'Fund YTD Contributions'!Y7)"),17148.21802149448)</f>
        <v>17148.21802</v>
      </c>
      <c r="Z7" s="152">
        <f>IFERROR(__xludf.DUMMYFUNCTION("IFERROR(Y7 * (1 + AVERAGE(Filter('Inflation Data'!$C:$C,'Inflation Data'!$A:$A = Z$1))) + 'Fund YTD Contributions'!Z7,'Fund YTD Contributions'!Z7)"),17426.34579412858)</f>
        <v>17426.34579</v>
      </c>
      <c r="AA7" s="152">
        <f>IFERROR(__xludf.DUMMYFUNCTION("IFERROR(Z7 * (1 + AVERAGE(Filter('Inflation Data'!$C:$C,'Inflation Data'!$A:$A = AA$1))) + 'Fund YTD Contributions'!AA7,'Fund YTD Contributions'!AA7)"),17447.065642311438)</f>
        <v>17447.06564</v>
      </c>
      <c r="AB7" s="152">
        <f>IFERROR(__xludf.DUMMYFUNCTION("IFERROR(AA7 * (1 + AVERAGE(Filter('Inflation Data'!$C:$C,'Inflation Data'!$A:$A = AB$1))) + 'Fund YTD Contributions'!AB7,'Fund YTD Contributions'!AB7)"),17667.220365670488)</f>
        <v>17667.22037</v>
      </c>
      <c r="AC7" s="152">
        <f>IFERROR(__xludf.DUMMYFUNCTION("IFERROR(AB7 * (1 + AVERAGE(Filter('Inflation Data'!$C:$C,'Inflation Data'!$A:$A = AC$1))) + 'Fund YTD Contributions'!AC7,'Fund YTD Contributions'!AC7)"),18043.81747181776)</f>
        <v>18043.81747</v>
      </c>
      <c r="AD7" s="152">
        <f>IFERROR(__xludf.DUMMYFUNCTION("IFERROR(AC7 * (1 + AVERAGE(Filter('Inflation Data'!$C:$C,'Inflation Data'!$A:$A = AD$1))) + 'Fund YTD Contributions'!AD7,'Fund YTD Contributions'!AD7)"),18484.57101794301)</f>
        <v>18484.57102</v>
      </c>
      <c r="AE7" s="152">
        <f>IFERROR(__xludf.DUMMYFUNCTION("IFERROR(AD7 * (1 + AVERAGE(Filter('Inflation Data'!$C:$C,'Inflation Data'!$A:$A = AE$1))) + 'Fund YTD Contributions'!AE7,'Fund YTD Contributions'!AE7)"),18819.481361148806)</f>
        <v>18819.48136</v>
      </c>
      <c r="AF7" s="152">
        <f>IFERROR(__xludf.DUMMYFUNCTION("IFERROR(AE7 * (1 + AVERAGE(Filter('Inflation Data'!$C:$C,'Inflation Data'!$A:$A = AF$1))) + 'Fund YTD Contributions'!AF7,'Fund YTD Contributions'!AF7)"),19273.166926802733)</f>
        <v>19273.16693</v>
      </c>
    </row>
    <row r="8">
      <c r="A8" s="151" t="str">
        <f>'Endowed Funds'!A:A</f>
        <v>Gomer W. Walters Research Fund</v>
      </c>
      <c r="B8" s="152" t="str">
        <f>IFERROR(__xludf.DUMMYFUNCTION("IFERROR(A8 * (1 + AVERAGE(Filter('Inflation Data'!$C:$C,'Inflation Data'!$A:$A = B$1))) + 'Fund YTD Contributions'!B8,'Fund YTD Contributions'!B8)"),"  ")</f>
        <v/>
      </c>
      <c r="C8" s="152">
        <f>IFERROR(__xludf.DUMMYFUNCTION("IFERROR(B8 * (1 + AVERAGE(Filter('Inflation Data'!$C:$C,'Inflation Data'!$A:$A = C$1))) + 'Fund YTD Contributions'!C8,'Fund YTD Contributions'!C8)"),0.0)</f>
        <v>0</v>
      </c>
      <c r="D8" s="152">
        <f>IFERROR(__xludf.DUMMYFUNCTION("IFERROR(C8 * (1 + AVERAGE(Filter('Inflation Data'!$C:$C,'Inflation Data'!$A:$A = D$1))) + 'Fund YTD Contributions'!D8,'Fund YTD Contributions'!D8)"),0.0)</f>
        <v>0</v>
      </c>
      <c r="E8" s="152">
        <f>IFERROR(__xludf.DUMMYFUNCTION("IFERROR(D8 * (1 + AVERAGE(Filter('Inflation Data'!$C:$C,'Inflation Data'!$A:$A = E$1))) + 'Fund YTD Contributions'!E8,'Fund YTD Contributions'!E8)"),0.0)</f>
        <v>0</v>
      </c>
      <c r="F8" s="152">
        <f>IFERROR(__xludf.DUMMYFUNCTION("IFERROR(E8 * (1 + AVERAGE(Filter('Inflation Data'!$C:$C,'Inflation Data'!$A:$A = F$1))) + 'Fund YTD Contributions'!F8,'Fund YTD Contributions'!F8)"),0.0)</f>
        <v>0</v>
      </c>
      <c r="G8" s="152">
        <f>IFERROR(__xludf.DUMMYFUNCTION("IFERROR(F8 * (1 + AVERAGE(Filter('Inflation Data'!$C:$C,'Inflation Data'!$A:$A = G$1))) + 'Fund YTD Contributions'!G8,'Fund YTD Contributions'!G8)"),0.0)</f>
        <v>0</v>
      </c>
      <c r="H8" s="152">
        <f>IFERROR(__xludf.DUMMYFUNCTION("IFERROR(G8 * (1 + AVERAGE(Filter('Inflation Data'!$C:$C,'Inflation Data'!$A:$A = H$1))) + 'Fund YTD Contributions'!H8,'Fund YTD Contributions'!H8)"),0.0)</f>
        <v>0</v>
      </c>
      <c r="I8" s="152">
        <f>IFERROR(__xludf.DUMMYFUNCTION("IFERROR(H8 * (1 + AVERAGE(Filter('Inflation Data'!$C:$C,'Inflation Data'!$A:$A = I$1))) + 'Fund YTD Contributions'!I8,'Fund YTD Contributions'!I8)"),0.0)</f>
        <v>0</v>
      </c>
      <c r="J8" s="152">
        <f>IFERROR(__xludf.DUMMYFUNCTION("IFERROR(I8 * (1 + AVERAGE(Filter('Inflation Data'!$C:$C,'Inflation Data'!$A:$A = J$1))) + 'Fund YTD Contributions'!J8,'Fund YTD Contributions'!J8)"),0.0)</f>
        <v>0</v>
      </c>
      <c r="K8" s="152">
        <f>IFERROR(__xludf.DUMMYFUNCTION("IFERROR(J8 * (1 + AVERAGE(Filter('Inflation Data'!$C:$C,'Inflation Data'!$A:$A = K$1))) + 'Fund YTD Contributions'!K8,'Fund YTD Contributions'!K8)"),0.0)</f>
        <v>0</v>
      </c>
      <c r="L8" s="152">
        <f>IFERROR(__xludf.DUMMYFUNCTION("IFERROR(K8 * (1 + AVERAGE(Filter('Inflation Data'!$C:$C,'Inflation Data'!$A:$A = L$1))) + 'Fund YTD Contributions'!L8,'Fund YTD Contributions'!L8)"),0.0)</f>
        <v>0</v>
      </c>
      <c r="M8" s="152">
        <f>IFERROR(__xludf.DUMMYFUNCTION("IFERROR(L8 * (1 + AVERAGE(Filter('Inflation Data'!$C:$C,'Inflation Data'!$A:$A = M$1))) + 'Fund YTD Contributions'!M8,'Fund YTD Contributions'!M8)"),0.0)</f>
        <v>0</v>
      </c>
      <c r="N8" s="152">
        <f>IFERROR(__xludf.DUMMYFUNCTION("IFERROR(M8 * (1 + AVERAGE(Filter('Inflation Data'!$C:$C,'Inflation Data'!$A:$A = N$1))) + 'Fund YTD Contributions'!N8,'Fund YTD Contributions'!N8)"),100000.0)</f>
        <v>100000</v>
      </c>
      <c r="O8" s="152">
        <f>IFERROR(__xludf.DUMMYFUNCTION("IFERROR(N8 * (1 + AVERAGE(Filter('Inflation Data'!$C:$C,'Inflation Data'!$A:$A = O$1))) + 'Fund YTD Contributions'!O8,'Fund YTD Contributions'!O8)"),102272.26893333334)</f>
        <v>102272.2689</v>
      </c>
      <c r="P8" s="152">
        <f>IFERROR(__xludf.DUMMYFUNCTION("IFERROR(O8 * (1 + AVERAGE(Filter('Inflation Data'!$C:$C,'Inflation Data'!$A:$A = P$1))) + 'Fund YTD Contributions'!P8,'Fund YTD Contributions'!P8)"),105808.93365459939)</f>
        <v>105808.9337</v>
      </c>
      <c r="Q8" s="152">
        <f>IFERROR(__xludf.DUMMYFUNCTION("IFERROR(P8 * (1 + AVERAGE(Filter('Inflation Data'!$C:$C,'Inflation Data'!$A:$A = Q$1))) + 'Fund YTD Contributions'!Q8,'Fund YTD Contributions'!Q8)"),109896.21324912753)</f>
        <v>109896.2132</v>
      </c>
      <c r="R8" s="152">
        <f>IFERROR(__xludf.DUMMYFUNCTION("IFERROR(Q8 * (1 + AVERAGE(Filter('Inflation Data'!$C:$C,'Inflation Data'!$A:$A = R$1))) + 'Fund YTD Contributions'!R8,'Fund YTD Contributions'!R8)"),159751.5976018281)</f>
        <v>159751.5976</v>
      </c>
      <c r="S8" s="152">
        <f>IFERROR(__xludf.DUMMYFUNCTION("IFERROR(R8 * (1 + AVERAGE(Filter('Inflation Data'!$C:$C,'Inflation Data'!$A:$A = S$1))) + 'Fund YTD Contributions'!S8,'Fund YTD Contributions'!S8)"),164808.27663594225)</f>
        <v>164808.2766</v>
      </c>
      <c r="T8" s="152">
        <f>IFERROR(__xludf.DUMMYFUNCTION("IFERROR(S8 * (1 + AVERAGE(Filter('Inflation Data'!$C:$C,'Inflation Data'!$A:$A = T$1))) + 'Fund YTD Contributions'!T8,'Fund YTD Contributions'!T8)"),171646.19794417705)</f>
        <v>171646.1979</v>
      </c>
      <c r="U8" s="152">
        <f>IFERROR(__xludf.DUMMYFUNCTION("IFERROR(T8 * (1 + AVERAGE(Filter('Inflation Data'!$C:$C,'Inflation Data'!$A:$A = U$1))) + 'Fund YTD Contributions'!U8,'Fund YTD Contributions'!U8)"),171816.37708752163)</f>
        <v>171816.3771</v>
      </c>
      <c r="V8" s="152">
        <f>IFERROR(__xludf.DUMMYFUNCTION("IFERROR(U8 * (1 + AVERAGE(Filter('Inflation Data'!$C:$C,'Inflation Data'!$A:$A = V$1))) + 'Fund YTD Contributions'!V8,'Fund YTD Contributions'!V8)"),175641.58730880133)</f>
        <v>175641.5873</v>
      </c>
      <c r="W8" s="152">
        <f>IFERROR(__xludf.DUMMYFUNCTION("IFERROR(V8 * (1 + AVERAGE(Filter('Inflation Data'!$C:$C,'Inflation Data'!$A:$A = W$1))) + 'Fund YTD Contributions'!W8,'Fund YTD Contributions'!W8)"),182183.43317446127)</f>
        <v>182183.4332</v>
      </c>
      <c r="X8" s="152">
        <f>IFERROR(__xludf.DUMMYFUNCTION("IFERROR(W8 * (1 + AVERAGE(Filter('Inflation Data'!$C:$C,'Inflation Data'!$A:$A = X$1))) + 'Fund YTD Contributions'!X8,'Fund YTD Contributions'!X8)"),187710.44685718944)</f>
        <v>187710.4469</v>
      </c>
      <c r="Y8" s="152">
        <f>IFERROR(__xludf.DUMMYFUNCTION("IFERROR(X8 * (1 + AVERAGE(Filter('Inflation Data'!$C:$C,'Inflation Data'!$A:$A = Y$1))) + 'Fund YTD Contributions'!Y8,'Fund YTD Contributions'!Y8)"),191462.36747893933)</f>
        <v>191462.3675</v>
      </c>
      <c r="Z8" s="152">
        <f>IFERROR(__xludf.DUMMYFUNCTION("IFERROR(Y8 * (1 + AVERAGE(Filter('Inflation Data'!$C:$C,'Inflation Data'!$A:$A = Z$1))) + 'Fund YTD Contributions'!Z8,'Fund YTD Contributions'!Z8)"),195567.70482322908)</f>
        <v>195567.7048</v>
      </c>
      <c r="AA8" s="152">
        <f>IFERROR(__xludf.DUMMYFUNCTION("IFERROR(Z8 * (1 + AVERAGE(Filter('Inflation Data'!$C:$C,'Inflation Data'!$A:$A = AA$1))) + 'Fund YTD Contributions'!AA8,'Fund YTD Contributions'!AA8)"),195800.23396050654)</f>
        <v>195800.234</v>
      </c>
      <c r="AB8" s="152">
        <f>IFERROR(__xludf.DUMMYFUNCTION("IFERROR(AA8 * (1 + AVERAGE(Filter('Inflation Data'!$C:$C,'Inflation Data'!$A:$A = AB$1))) + 'Fund YTD Contributions'!AB8,'Fund YTD Contributions'!AB8)"),200020.92715470612)</f>
        <v>200020.9272</v>
      </c>
      <c r="AC8" s="152">
        <f>IFERROR(__xludf.DUMMYFUNCTION("IFERROR(AB8 * (1 + AVERAGE(Filter('Inflation Data'!$C:$C,'Inflation Data'!$A:$A = AC$1))) + 'Fund YTD Contributions'!AC8,'Fund YTD Contributions'!AC8)"),205534.60309105922)</f>
        <v>205534.6031</v>
      </c>
      <c r="AD8" s="152">
        <f>IFERROR(__xludf.DUMMYFUNCTION("IFERROR(AC8 * (1 + AVERAGE(Filter('Inflation Data'!$C:$C,'Inflation Data'!$A:$A = AD$1))) + 'Fund YTD Contributions'!AD8,'Fund YTD Contributions'!AD8)"),210555.165137052)</f>
        <v>210555.1651</v>
      </c>
      <c r="AE8" s="152">
        <f>IFERROR(__xludf.DUMMYFUNCTION("IFERROR(AD8 * (1 + AVERAGE(Filter('Inflation Data'!$C:$C,'Inflation Data'!$A:$A = AE$1))) + 'Fund YTD Contributions'!AE8,'Fund YTD Contributions'!AE8)"),214470.08205080414)</f>
        <v>214470.0821</v>
      </c>
      <c r="AF8" s="152">
        <f>IFERROR(__xludf.DUMMYFUNCTION("IFERROR(AE8 * (1 + AVERAGE(Filter('Inflation Data'!$C:$C,'Inflation Data'!$A:$A = AF$1))) + 'Fund YTD Contributions'!AF8,'Fund YTD Contributions'!AF8)"),219640.36164692175)</f>
        <v>219640.3616</v>
      </c>
    </row>
    <row r="9">
      <c r="A9" s="151" t="str">
        <f>'Endowed Funds'!A:A</f>
        <v>Katherine Carhart Graduate Research Fellowship</v>
      </c>
      <c r="B9" s="152" t="str">
        <f>IFERROR(__xludf.DUMMYFUNCTION("IFERROR(A9 * (1 + AVERAGE(Filter('Inflation Data'!$C:$C,'Inflation Data'!$A:$A = B$1))) + 'Fund YTD Contributions'!B9,'Fund YTD Contributions'!B9)"),"  ")</f>
        <v/>
      </c>
      <c r="C9" s="152">
        <f>IFERROR(__xludf.DUMMYFUNCTION("IFERROR(B9 * (1 + AVERAGE(Filter('Inflation Data'!$C:$C,'Inflation Data'!$A:$A = C$1))) + 'Fund YTD Contributions'!C9,'Fund YTD Contributions'!C9)"),0.0)</f>
        <v>0</v>
      </c>
      <c r="D9" s="152">
        <f>IFERROR(__xludf.DUMMYFUNCTION("IFERROR(C9 * (1 + AVERAGE(Filter('Inflation Data'!$C:$C,'Inflation Data'!$A:$A = D$1))) + 'Fund YTD Contributions'!D9,'Fund YTD Contributions'!D9)"),0.0)</f>
        <v>0</v>
      </c>
      <c r="E9" s="152">
        <f>IFERROR(__xludf.DUMMYFUNCTION("IFERROR(D9 * (1 + AVERAGE(Filter('Inflation Data'!$C:$C,'Inflation Data'!$A:$A = E$1))) + 'Fund YTD Contributions'!E9,'Fund YTD Contributions'!E9)"),0.0)</f>
        <v>0</v>
      </c>
      <c r="F9" s="152">
        <f>IFERROR(__xludf.DUMMYFUNCTION("IFERROR(E9 * (1 + AVERAGE(Filter('Inflation Data'!$C:$C,'Inflation Data'!$A:$A = F$1))) + 'Fund YTD Contributions'!F9,'Fund YTD Contributions'!F9)"),0.0)</f>
        <v>0</v>
      </c>
      <c r="G9" s="152">
        <f>IFERROR(__xludf.DUMMYFUNCTION("IFERROR(F9 * (1 + AVERAGE(Filter('Inflation Data'!$C:$C,'Inflation Data'!$A:$A = G$1))) + 'Fund YTD Contributions'!G9,'Fund YTD Contributions'!G9)"),0.0)</f>
        <v>0</v>
      </c>
      <c r="H9" s="152">
        <f>IFERROR(__xludf.DUMMYFUNCTION("IFERROR(G9 * (1 + AVERAGE(Filter('Inflation Data'!$C:$C,'Inflation Data'!$A:$A = H$1))) + 'Fund YTD Contributions'!H9,'Fund YTD Contributions'!H9)"),48839.04)</f>
        <v>48839.04</v>
      </c>
      <c r="I9" s="152">
        <f>IFERROR(__xludf.DUMMYFUNCTION("IFERROR(H9 * (1 + AVERAGE(Filter('Inflation Data'!$C:$C,'Inflation Data'!$A:$A = I$1))) + 'Fund YTD Contributions'!I9,'Fund YTD Contributions'!I9)"),50592.36497884)</f>
        <v>50592.36498</v>
      </c>
      <c r="J9" s="152">
        <f>IFERROR(__xludf.DUMMYFUNCTION("IFERROR(I9 * (1 + AVERAGE(Filter('Inflation Data'!$C:$C,'Inflation Data'!$A:$A = J$1))) + 'Fund YTD Contributions'!J9,'Fund YTD Contributions'!J9)"),51377.683547637826)</f>
        <v>51377.68355</v>
      </c>
      <c r="K9" s="152">
        <f>IFERROR(__xludf.DUMMYFUNCTION("IFERROR(J9 * (1 + AVERAGE(Filter('Inflation Data'!$C:$C,'Inflation Data'!$A:$A = K$1))) + 'Fund YTD Contributions'!K9,'Fund YTD Contributions'!K9)"),52500.98780368866)</f>
        <v>52500.9878</v>
      </c>
      <c r="L9" s="152">
        <f>IFERROR(__xludf.DUMMYFUNCTION("IFERROR(K9 * (1 + AVERAGE(Filter('Inflation Data'!$C:$C,'Inflation Data'!$A:$A = L$1))) + 'Fund YTD Contributions'!L9,'Fund YTD Contributions'!L9)"),54273.44160545102)</f>
        <v>54273.44161</v>
      </c>
      <c r="M9" s="152">
        <f>IFERROR(__xludf.DUMMYFUNCTION("IFERROR(L9 * (1 + AVERAGE(Filter('Inflation Data'!$C:$C,'Inflation Data'!$A:$A = M$1))) + 'Fund YTD Contributions'!M9,'Fund YTD Contributions'!M9)"),55810.31070195308)</f>
        <v>55810.3107</v>
      </c>
      <c r="N9" s="152">
        <f>IFERROR(__xludf.DUMMYFUNCTION("IFERROR(M9 * (1 + AVERAGE(Filter('Inflation Data'!$C:$C,'Inflation Data'!$A:$A = N$1))) + 'Fund YTD Contributions'!N9,'Fund YTD Contributions'!N9)"),56695.23475616136)</f>
        <v>56695.23476</v>
      </c>
      <c r="O9" s="152">
        <f>IFERROR(__xludf.DUMMYFUNCTION("IFERROR(N9 * (1 + AVERAGE(Filter('Inflation Data'!$C:$C,'Inflation Data'!$A:$A = O$1))) + 'Fund YTD Contributions'!O9,'Fund YTD Contributions'!O9)"),57983.50296220602)</f>
        <v>57983.50296</v>
      </c>
      <c r="P9" s="152">
        <f>IFERROR(__xludf.DUMMYFUNCTION("IFERROR(O9 * (1 + AVERAGE(Filter('Inflation Data'!$C:$C,'Inflation Data'!$A:$A = P$1))) + 'Fund YTD Contributions'!P9,'Fund YTD Contributions'!P9)"),59535.061450416855)</f>
        <v>59535.06145</v>
      </c>
      <c r="Q9" s="152">
        <f>IFERROR(__xludf.DUMMYFUNCTION("IFERROR(P9 * (1 + AVERAGE(Filter('Inflation Data'!$C:$C,'Inflation Data'!$A:$A = Q$1))) + 'Fund YTD Contributions'!Q9,'Fund YTD Contributions'!Q9)"),61553.500761006915)</f>
        <v>61553.50076</v>
      </c>
      <c r="R9" s="152">
        <f>IFERROR(__xludf.DUMMYFUNCTION("IFERROR(Q9 * (1 + AVERAGE(Filter('Inflation Data'!$C:$C,'Inflation Data'!$A:$A = R$1))) + 'Fund YTD Contributions'!R9,'Fund YTD Contributions'!R9)"),63544.89197449228)</f>
        <v>63544.89197</v>
      </c>
      <c r="S9" s="152">
        <f>IFERROR(__xludf.DUMMYFUNCTION("IFERROR(R9 * (1 + AVERAGE(Filter('Inflation Data'!$C:$C,'Inflation Data'!$A:$A = S$1))) + 'Fund YTD Contributions'!S9,'Fund YTD Contributions'!S9)"),65357.41642702961)</f>
        <v>65357.41643</v>
      </c>
      <c r="T9" s="152">
        <f>IFERROR(__xludf.DUMMYFUNCTION("IFERROR(S9 * (1 + AVERAGE(Filter('Inflation Data'!$C:$C,'Inflation Data'!$A:$A = T$1))) + 'Fund YTD Contributions'!T9,'Fund YTD Contributions'!T9)"),67870.82273573746)</f>
        <v>67870.82274</v>
      </c>
      <c r="U9" s="152">
        <f>IFERROR(__xludf.DUMMYFUNCTION("IFERROR(T9 * (1 + AVERAGE(Filter('Inflation Data'!$C:$C,'Inflation Data'!$A:$A = U$1))) + 'Fund YTD Contributions'!U9,'Fund YTD Contributions'!U9)"),67641.55509653613)</f>
        <v>67641.5551</v>
      </c>
      <c r="V9" s="152">
        <f>IFERROR(__xludf.DUMMYFUNCTION("IFERROR(U9 * (1 + AVERAGE(Filter('Inflation Data'!$C:$C,'Inflation Data'!$A:$A = V$1))) + 'Fund YTD Contributions'!V9,'Fund YTD Contributions'!V9)"),68753.7983883653)</f>
        <v>68753.79839</v>
      </c>
      <c r="W9" s="152">
        <f>IFERROR(__xludf.DUMMYFUNCTION("IFERROR(V9 * (1 + AVERAGE(Filter('Inflation Data'!$C:$C,'Inflation Data'!$A:$A = W$1))) + 'Fund YTD Contributions'!W9,'Fund YTD Contributions'!W9)"),70923.11921485665)</f>
        <v>70923.11921</v>
      </c>
      <c r="X9" s="152">
        <f>IFERROR(__xludf.DUMMYFUNCTION("IFERROR(W9 * (1 + AVERAGE(Filter('Inflation Data'!$C:$C,'Inflation Data'!$A:$A = X$1))) + 'Fund YTD Contributions'!X9,'Fund YTD Contributions'!X9)"),72393.49216276212)</f>
        <v>72393.49216</v>
      </c>
      <c r="Y9" s="152">
        <f>IFERROR(__xludf.DUMMYFUNCTION("IFERROR(X9 * (1 + AVERAGE(Filter('Inflation Data'!$C:$C,'Inflation Data'!$A:$A = Y$1))) + 'Fund YTD Contributions'!Y9,'Fund YTD Contributions'!Y9)"),73454.81372103831)</f>
        <v>73454.81372</v>
      </c>
      <c r="Z9" s="152">
        <f>IFERROR(__xludf.DUMMYFUNCTION("IFERROR(Y9 * (1 + AVERAGE(Filter('Inflation Data'!$C:$C,'Inflation Data'!$A:$A = Z$1))) + 'Fund YTD Contributions'!Z9,'Fund YTD Contributions'!Z9)"),74646.18087673212)</f>
        <v>74646.18088</v>
      </c>
      <c r="AA9" s="152">
        <f>IFERROR(__xludf.DUMMYFUNCTION("IFERROR(Z9 * (1 + AVERAGE(Filter('Inflation Data'!$C:$C,'Inflation Data'!$A:$A = AA$1))) + 'Fund YTD Contributions'!AA9,'Fund YTD Contributions'!AA9)"),74734.93485610725)</f>
        <v>74734.93486</v>
      </c>
      <c r="AB9" s="152">
        <f>IFERROR(__xludf.DUMMYFUNCTION("IFERROR(AA9 * (1 + AVERAGE(Filter('Inflation Data'!$C:$C,'Inflation Data'!$A:$A = AB$1))) + 'Fund YTD Contributions'!AB9,'Fund YTD Contributions'!AB9)"),75677.97302916265)</f>
        <v>75677.97303</v>
      </c>
      <c r="AC9" s="152">
        <f>IFERROR(__xludf.DUMMYFUNCTION("IFERROR(AB9 * (1 + AVERAGE(Filter('Inflation Data'!$C:$C,'Inflation Data'!$A:$A = AC$1))) + 'Fund YTD Contributions'!AC9,'Fund YTD Contributions'!AC9)"),77291.13599718976)</f>
        <v>77291.136</v>
      </c>
      <c r="AD9" s="152">
        <f>IFERROR(__xludf.DUMMYFUNCTION("IFERROR(AC9 * (1 + AVERAGE(Filter('Inflation Data'!$C:$C,'Inflation Data'!$A:$A = AD$1))) + 'Fund YTD Contributions'!AD9,'Fund YTD Contributions'!AD9)"),79179.1146540354)</f>
        <v>79179.11465</v>
      </c>
      <c r="AE9" s="152">
        <f>IFERROR(__xludf.DUMMYFUNCTION("IFERROR(AD9 * (1 + AVERAGE(Filter('Inflation Data'!$C:$C,'Inflation Data'!$A:$A = AE$1))) + 'Fund YTD Contributions'!AE9,'Fund YTD Contributions'!AE9)"),80613.71134755742)</f>
        <v>80613.71135</v>
      </c>
      <c r="AF9" s="152">
        <f>IFERROR(__xludf.DUMMYFUNCTION("IFERROR(AE9 * (1 + AVERAGE(Filter('Inflation Data'!$C:$C,'Inflation Data'!$A:$A = AF$1))) + 'Fund YTD Contributions'!AF9,'Fund YTD Contributions'!AF9)"),82557.0846281666)</f>
        <v>82557.08463</v>
      </c>
    </row>
    <row r="10">
      <c r="A10" s="151" t="str">
        <f>'Endowed Funds'!A:A</f>
        <v>Richard G. and Mary Lyn Ballantine Fund</v>
      </c>
      <c r="B10" s="152" t="str">
        <f>IFERROR(__xludf.DUMMYFUNCTION("IFERROR(A10 * (1 + AVERAGE(Filter('Inflation Data'!$C:$C,'Inflation Data'!$A:$A = B$1))) + 'Fund YTD Contributions'!B10,'Fund YTD Contributions'!B10)"),"  ")</f>
        <v/>
      </c>
      <c r="C10" s="152">
        <f>IFERROR(__xludf.DUMMYFUNCTION("IFERROR(B10 * (1 + AVERAGE(Filter('Inflation Data'!$C:$C,'Inflation Data'!$A:$A = C$1))) + 'Fund YTD Contributions'!C10,'Fund YTD Contributions'!C10)"),0.0)</f>
        <v>0</v>
      </c>
      <c r="D10" s="152">
        <f>IFERROR(__xludf.DUMMYFUNCTION("IFERROR(C10 * (1 + AVERAGE(Filter('Inflation Data'!$C:$C,'Inflation Data'!$A:$A = D$1))) + 'Fund YTD Contributions'!D10,'Fund YTD Contributions'!D10)"),0.0)</f>
        <v>0</v>
      </c>
      <c r="E10" s="152">
        <f>IFERROR(__xludf.DUMMYFUNCTION("IFERROR(D10 * (1 + AVERAGE(Filter('Inflation Data'!$C:$C,'Inflation Data'!$A:$A = E$1))) + 'Fund YTD Contributions'!E10,'Fund YTD Contributions'!E10)"),0.0)</f>
        <v>0</v>
      </c>
      <c r="F10" s="152">
        <f>IFERROR(__xludf.DUMMYFUNCTION("IFERROR(E10 * (1 + AVERAGE(Filter('Inflation Data'!$C:$C,'Inflation Data'!$A:$A = F$1))) + 'Fund YTD Contributions'!F10,'Fund YTD Contributions'!F10)"),0.0)</f>
        <v>0</v>
      </c>
      <c r="G10" s="152">
        <f>IFERROR(__xludf.DUMMYFUNCTION("IFERROR(F10 * (1 + AVERAGE(Filter('Inflation Data'!$C:$C,'Inflation Data'!$A:$A = G$1))) + 'Fund YTD Contributions'!G10,'Fund YTD Contributions'!G10)"),0.0)</f>
        <v>0</v>
      </c>
      <c r="H10" s="152">
        <f>IFERROR(__xludf.DUMMYFUNCTION("IFERROR(G10 * (1 + AVERAGE(Filter('Inflation Data'!$C:$C,'Inflation Data'!$A:$A = H$1))) + 'Fund YTD Contributions'!H10,'Fund YTD Contributions'!H10)"),0.0)</f>
        <v>0</v>
      </c>
      <c r="I10" s="152">
        <f>IFERROR(__xludf.DUMMYFUNCTION("IFERROR(H10 * (1 + AVERAGE(Filter('Inflation Data'!$C:$C,'Inflation Data'!$A:$A = I$1))) + 'Fund YTD Contributions'!I10,'Fund YTD Contributions'!I10)"),0.0)</f>
        <v>0</v>
      </c>
      <c r="J10" s="152">
        <f>IFERROR(__xludf.DUMMYFUNCTION("IFERROR(I10 * (1 + AVERAGE(Filter('Inflation Data'!$C:$C,'Inflation Data'!$A:$A = J$1))) + 'Fund YTD Contributions'!J10,'Fund YTD Contributions'!J10)"),0.0)</f>
        <v>0</v>
      </c>
      <c r="K10" s="152">
        <f>IFERROR(__xludf.DUMMYFUNCTION("IFERROR(J10 * (1 + AVERAGE(Filter('Inflation Data'!$C:$C,'Inflation Data'!$A:$A = K$1))) + 'Fund YTD Contributions'!K10,'Fund YTD Contributions'!K10)"),0.0)</f>
        <v>0</v>
      </c>
      <c r="L10" s="152">
        <f>IFERROR(__xludf.DUMMYFUNCTION("IFERROR(K10 * (1 + AVERAGE(Filter('Inflation Data'!$C:$C,'Inflation Data'!$A:$A = L$1))) + 'Fund YTD Contributions'!L10,'Fund YTD Contributions'!L10)"),95409.84)</f>
        <v>95409.84</v>
      </c>
      <c r="M10" s="152">
        <f>IFERROR(__xludf.DUMMYFUNCTION("IFERROR(L10 * (1 + AVERAGE(Filter('Inflation Data'!$C:$C,'Inflation Data'!$A:$A = M$1))) + 'Fund YTD Contributions'!M10,'Fund YTD Contributions'!M10)"),289832.2845917396)</f>
        <v>289832.2846</v>
      </c>
      <c r="N10" s="152">
        <f>IFERROR(__xludf.DUMMYFUNCTION("IFERROR(M10 * (1 + AVERAGE(Filter('Inflation Data'!$C:$C,'Inflation Data'!$A:$A = N$1))) + 'Fund YTD Contributions'!N10,'Fund YTD Contributions'!N10)"),414495.603317278)</f>
        <v>414495.6033</v>
      </c>
      <c r="O10" s="152">
        <f>IFERROR(__xludf.DUMMYFUNCTION("IFERROR(N10 * (1 + AVERAGE(Filter('Inflation Data'!$C:$C,'Inflation Data'!$A:$A = O$1))) + 'Fund YTD Contributions'!O10,'Fund YTD Contributions'!O10)"),543940.7581414891)</f>
        <v>543940.7581</v>
      </c>
      <c r="P10" s="152">
        <f>IFERROR(__xludf.DUMMYFUNCTION("IFERROR(O10 * (1 + AVERAGE(Filter('Inflation Data'!$C:$C,'Inflation Data'!$A:$A = P$1))) + 'Fund YTD Contributions'!P10,'Fund YTD Contributions'!P10)"),742559.3118738104)</f>
        <v>742559.3119</v>
      </c>
      <c r="Q10" s="152">
        <f>IFERROR(__xludf.DUMMYFUNCTION("IFERROR(P10 * (1 + AVERAGE(Filter('Inflation Data'!$C:$C,'Inflation Data'!$A:$A = Q$1))) + 'Fund YTD Contributions'!Q10,'Fund YTD Contributions'!Q10)"),906617.7561469325)</f>
        <v>906617.7561</v>
      </c>
      <c r="R10" s="152">
        <f>IFERROR(__xludf.DUMMYFUNCTION("IFERROR(Q10 * (1 + AVERAGE(Filter('Inflation Data'!$C:$C,'Inflation Data'!$A:$A = R$1))) + 'Fund YTD Contributions'!R10,'Fund YTD Contributions'!R10)"),411648.83579731255)</f>
        <v>411648.8358</v>
      </c>
      <c r="S10" s="152">
        <f>IFERROR(__xludf.DUMMYFUNCTION("IFERROR(R10 * (1 + AVERAGE(Filter('Inflation Data'!$C:$C,'Inflation Data'!$A:$A = S$1))) + 'Fund YTD Contributions'!S10,'Fund YTD Contributions'!S10)"),423390.5125483039)</f>
        <v>423390.5125</v>
      </c>
      <c r="T10" s="152">
        <f>IFERROR(__xludf.DUMMYFUNCTION("IFERROR(S10 * (1 + AVERAGE(Filter('Inflation Data'!$C:$C,'Inflation Data'!$A:$A = T$1))) + 'Fund YTD Contributions'!T10,'Fund YTD Contributions'!T10)"),439672.55739434005)</f>
        <v>439672.5574</v>
      </c>
      <c r="U10" s="152">
        <f>IFERROR(__xludf.DUMMYFUNCTION("IFERROR(T10 * (1 + AVERAGE(Filter('Inflation Data'!$C:$C,'Inflation Data'!$A:$A = U$1))) + 'Fund YTD Contributions'!U10,'Fund YTD Contributions'!U10)"),438187.343495462)</f>
        <v>438187.3435</v>
      </c>
      <c r="V10" s="152">
        <f>IFERROR(__xludf.DUMMYFUNCTION("IFERROR(U10 * (1 + AVERAGE(Filter('Inflation Data'!$C:$C,'Inflation Data'!$A:$A = V$1))) + 'Fund YTD Contributions'!V10,'Fund YTD Contributions'!V10)"),445392.543504121)</f>
        <v>445392.5435</v>
      </c>
      <c r="W10" s="152">
        <f>IFERROR(__xludf.DUMMYFUNCTION("IFERROR(V10 * (1 + AVERAGE(Filter('Inflation Data'!$C:$C,'Inflation Data'!$A:$A = W$1))) + 'Fund YTD Contributions'!W10,'Fund YTD Contributions'!W10)"),459445.57538360683)</f>
        <v>459445.5754</v>
      </c>
      <c r="X10" s="152">
        <f>IFERROR(__xludf.DUMMYFUNCTION("IFERROR(W10 * (1 + AVERAGE(Filter('Inflation Data'!$C:$C,'Inflation Data'!$A:$A = X$1))) + 'Fund YTD Contributions'!X10,'Fund YTD Contributions'!X10)"),468970.7676277941)</f>
        <v>468970.7676</v>
      </c>
      <c r="Y10" s="152">
        <f>IFERROR(__xludf.DUMMYFUNCTION("IFERROR(X10 * (1 + AVERAGE(Filter('Inflation Data'!$C:$C,'Inflation Data'!$A:$A = Y$1))) + 'Fund YTD Contributions'!Y10,'Fund YTD Contributions'!Y10)"),475846.09261924046)</f>
        <v>475846.0926</v>
      </c>
      <c r="Z10" s="152">
        <f>IFERROR(__xludf.DUMMYFUNCTION("IFERROR(Y10 * (1 + AVERAGE(Filter('Inflation Data'!$C:$C,'Inflation Data'!$A:$A = Z$1))) + 'Fund YTD Contributions'!Z10,'Fund YTD Contributions'!Z10)"),483563.8632756982)</f>
        <v>483563.8633</v>
      </c>
      <c r="AA10" s="152">
        <f>IFERROR(__xludf.DUMMYFUNCTION("IFERROR(Z10 * (1 + AVERAGE(Filter('Inflation Data'!$C:$C,'Inflation Data'!$A:$A = AA$1))) + 'Fund YTD Contributions'!AA10,'Fund YTD Contributions'!AA10)"),484138.8185733926)</f>
        <v>484138.8186</v>
      </c>
      <c r="AB10" s="152">
        <f>IFERROR(__xludf.DUMMYFUNCTION("IFERROR(AA10 * (1 + AVERAGE(Filter('Inflation Data'!$C:$C,'Inflation Data'!$A:$A = AB$1))) + 'Fund YTD Contributions'!AB10,'Fund YTD Contributions'!AB10)"),490247.89444067876)</f>
        <v>490247.8944</v>
      </c>
      <c r="AC10" s="152">
        <f>IFERROR(__xludf.DUMMYFUNCTION("IFERROR(AB10 * (1 + AVERAGE(Filter('Inflation Data'!$C:$C,'Inflation Data'!$A:$A = AC$1))) + 'Fund YTD Contributions'!AC10,'Fund YTD Contributions'!AC10)"),500698.09172807453)</f>
        <v>500698.0917</v>
      </c>
      <c r="AD10" s="152">
        <f>IFERROR(__xludf.DUMMYFUNCTION("IFERROR(AC10 * (1 + AVERAGE(Filter('Inflation Data'!$C:$C,'Inflation Data'!$A:$A = AD$1))) + 'Fund YTD Contributions'!AD10,'Fund YTD Contributions'!AD10)"),512928.56678203563)</f>
        <v>512928.5668</v>
      </c>
      <c r="AE10" s="152">
        <f>IFERROR(__xludf.DUMMYFUNCTION("IFERROR(AD10 * (1 + AVERAGE(Filter('Inflation Data'!$C:$C,'Inflation Data'!$A:$A = AE$1))) + 'Fund YTD Contributions'!AE10,'Fund YTD Contributions'!AE10)"),522221.9976208837)</f>
        <v>522221.9976</v>
      </c>
      <c r="AF10" s="152">
        <f>IFERROR(__xludf.DUMMYFUNCTION("IFERROR(AE10 * (1 + AVERAGE(Filter('Inflation Data'!$C:$C,'Inflation Data'!$A:$A = AF$1))) + 'Fund YTD Contributions'!AF10,'Fund YTD Contributions'!AF10)"),534811.3234285899)</f>
        <v>534811.3234</v>
      </c>
    </row>
    <row r="11">
      <c r="A11" s="151" t="str">
        <f>'Endowed Funds'!A:A</f>
        <v>Robert &amp; Doris Haugen Research Fund</v>
      </c>
      <c r="B11" s="152" t="str">
        <f>IFERROR(__xludf.DUMMYFUNCTION("IFERROR(A11 * (1 + AVERAGE(Filter('Inflation Data'!$C:$C,'Inflation Data'!$A:$A = B$1))) + 'Fund YTD Contributions'!B11,'Fund YTD Contributions'!B11)"),"  ")</f>
        <v/>
      </c>
      <c r="C11" s="152">
        <f>IFERROR(__xludf.DUMMYFUNCTION("IFERROR(B11 * (1 + AVERAGE(Filter('Inflation Data'!$C:$C,'Inflation Data'!$A:$A = C$1))) + 'Fund YTD Contributions'!C11,'Fund YTD Contributions'!C11)"),0.0)</f>
        <v>0</v>
      </c>
      <c r="D11" s="152">
        <f>IFERROR(__xludf.DUMMYFUNCTION("IFERROR(C11 * (1 + AVERAGE(Filter('Inflation Data'!$C:$C,'Inflation Data'!$A:$A = D$1))) + 'Fund YTD Contributions'!D11,'Fund YTD Contributions'!D11)"),0.0)</f>
        <v>0</v>
      </c>
      <c r="E11" s="152">
        <f>IFERROR(__xludf.DUMMYFUNCTION("IFERROR(D11 * (1 + AVERAGE(Filter('Inflation Data'!$C:$C,'Inflation Data'!$A:$A = E$1))) + 'Fund YTD Contributions'!E11,'Fund YTD Contributions'!E11)"),0.0)</f>
        <v>0</v>
      </c>
      <c r="F11" s="152">
        <f>IFERROR(__xludf.DUMMYFUNCTION("IFERROR(E11 * (1 + AVERAGE(Filter('Inflation Data'!$C:$C,'Inflation Data'!$A:$A = F$1))) + 'Fund YTD Contributions'!F11,'Fund YTD Contributions'!F11)"),0.0)</f>
        <v>0</v>
      </c>
      <c r="G11" s="152">
        <f>IFERROR(__xludf.DUMMYFUNCTION("IFERROR(F11 * (1 + AVERAGE(Filter('Inflation Data'!$C:$C,'Inflation Data'!$A:$A = G$1))) + 'Fund YTD Contributions'!G11,'Fund YTD Contributions'!G11)"),0.0)</f>
        <v>0</v>
      </c>
      <c r="H11" s="152">
        <f>IFERROR(__xludf.DUMMYFUNCTION("IFERROR(G11 * (1 + AVERAGE(Filter('Inflation Data'!$C:$C,'Inflation Data'!$A:$A = H$1))) + 'Fund YTD Contributions'!H11,'Fund YTD Contributions'!H11)"),0.0)</f>
        <v>0</v>
      </c>
      <c r="I11" s="152">
        <f>IFERROR(__xludf.DUMMYFUNCTION("IFERROR(H11 * (1 + AVERAGE(Filter('Inflation Data'!$C:$C,'Inflation Data'!$A:$A = I$1))) + 'Fund YTD Contributions'!I11,'Fund YTD Contributions'!I11)"),0.0)</f>
        <v>0</v>
      </c>
      <c r="J11" s="152">
        <f>IFERROR(__xludf.DUMMYFUNCTION("IFERROR(I11 * (1 + AVERAGE(Filter('Inflation Data'!$C:$C,'Inflation Data'!$A:$A = J$1))) + 'Fund YTD Contributions'!J11,'Fund YTD Contributions'!J11)"),0.0)</f>
        <v>0</v>
      </c>
      <c r="K11" s="152">
        <f>IFERROR(__xludf.DUMMYFUNCTION("IFERROR(J11 * (1 + AVERAGE(Filter('Inflation Data'!$C:$C,'Inflation Data'!$A:$A = K$1))) + 'Fund YTD Contributions'!K11,'Fund YTD Contributions'!K11)"),0.0)</f>
        <v>0</v>
      </c>
      <c r="L11" s="152">
        <f>IFERROR(__xludf.DUMMYFUNCTION("IFERROR(K11 * (1 + AVERAGE(Filter('Inflation Data'!$C:$C,'Inflation Data'!$A:$A = L$1))) + 'Fund YTD Contributions'!L11,'Fund YTD Contributions'!L11)"),0.0)</f>
        <v>0</v>
      </c>
      <c r="M11" s="152">
        <f>IFERROR(__xludf.DUMMYFUNCTION("IFERROR(L11 * (1 + AVERAGE(Filter('Inflation Data'!$C:$C,'Inflation Data'!$A:$A = M$1))) + 'Fund YTD Contributions'!M11,'Fund YTD Contributions'!M11)"),0.0)</f>
        <v>0</v>
      </c>
      <c r="N11" s="152">
        <f>IFERROR(__xludf.DUMMYFUNCTION("IFERROR(M11 * (1 + AVERAGE(Filter('Inflation Data'!$C:$C,'Inflation Data'!$A:$A = N$1))) + 'Fund YTD Contributions'!N11,'Fund YTD Contributions'!N11)"),0.0)</f>
        <v>0</v>
      </c>
      <c r="O11" s="152">
        <f>IFERROR(__xludf.DUMMYFUNCTION("IFERROR(N11 * (1 + AVERAGE(Filter('Inflation Data'!$C:$C,'Inflation Data'!$A:$A = O$1))) + 'Fund YTD Contributions'!O11,'Fund YTD Contributions'!O11)"),0.0)</f>
        <v>0</v>
      </c>
      <c r="P11" s="152">
        <f>IFERROR(__xludf.DUMMYFUNCTION("IFERROR(O11 * (1 + AVERAGE(Filter('Inflation Data'!$C:$C,'Inflation Data'!$A:$A = P$1))) + 'Fund YTD Contributions'!P11,'Fund YTD Contributions'!P11)"),0.0)</f>
        <v>0</v>
      </c>
      <c r="Q11" s="152">
        <f>IFERROR(__xludf.DUMMYFUNCTION("IFERROR(P11 * (1 + AVERAGE(Filter('Inflation Data'!$C:$C,'Inflation Data'!$A:$A = Q$1))) + 'Fund YTD Contributions'!Q11,'Fund YTD Contributions'!Q11)"),0.0)</f>
        <v>0</v>
      </c>
      <c r="R11" s="152">
        <f>IFERROR(__xludf.DUMMYFUNCTION("IFERROR(Q11 * (1 + AVERAGE(Filter('Inflation Data'!$C:$C,'Inflation Data'!$A:$A = R$1))) + 'Fund YTD Contributions'!R11,'Fund YTD Contributions'!R11)"),0.0)</f>
        <v>0</v>
      </c>
      <c r="S11" s="152">
        <f>IFERROR(__xludf.DUMMYFUNCTION("IFERROR(R11 * (1 + AVERAGE(Filter('Inflation Data'!$C:$C,'Inflation Data'!$A:$A = S$1))) + 'Fund YTD Contributions'!S11,'Fund YTD Contributions'!S11)"),0.0)</f>
        <v>0</v>
      </c>
      <c r="T11" s="152">
        <f>IFERROR(__xludf.DUMMYFUNCTION("IFERROR(S11 * (1 + AVERAGE(Filter('Inflation Data'!$C:$C,'Inflation Data'!$A:$A = T$1))) + 'Fund YTD Contributions'!T11,'Fund YTD Contributions'!T11)"),0.0)</f>
        <v>0</v>
      </c>
      <c r="U11" s="152">
        <f>IFERROR(__xludf.DUMMYFUNCTION("IFERROR(T11 * (1 + AVERAGE(Filter('Inflation Data'!$C:$C,'Inflation Data'!$A:$A = U$1))) + 'Fund YTD Contributions'!U11,'Fund YTD Contributions'!U11)"),0.0)</f>
        <v>0</v>
      </c>
      <c r="V11" s="152">
        <f>IFERROR(__xludf.DUMMYFUNCTION("IFERROR(U11 * (1 + AVERAGE(Filter('Inflation Data'!$C:$C,'Inflation Data'!$A:$A = V$1))) + 'Fund YTD Contributions'!V11,'Fund YTD Contributions'!V11)"),0.0)</f>
        <v>0</v>
      </c>
      <c r="W11" s="152">
        <f>IFERROR(__xludf.DUMMYFUNCTION("IFERROR(V11 * (1 + AVERAGE(Filter('Inflation Data'!$C:$C,'Inflation Data'!$A:$A = W$1))) + 'Fund YTD Contributions'!W11,'Fund YTD Contributions'!W11)"),0.0)</f>
        <v>0</v>
      </c>
      <c r="X11" s="152">
        <f>IFERROR(__xludf.DUMMYFUNCTION("IFERROR(W11 * (1 + AVERAGE(Filter('Inflation Data'!$C:$C,'Inflation Data'!$A:$A = X$1))) + 'Fund YTD Contributions'!X11,'Fund YTD Contributions'!X11)"),100000.0)</f>
        <v>100000</v>
      </c>
      <c r="Y11" s="152">
        <f>IFERROR(__xludf.DUMMYFUNCTION("IFERROR(X11 * (1 + AVERAGE(Filter('Inflation Data'!$C:$C,'Inflation Data'!$A:$A = Y$1))) + 'Fund YTD Contributions'!Y11,'Fund YTD Contributions'!Y11)"),101466.04553333334)</f>
        <v>101466.0455</v>
      </c>
      <c r="Z11" s="152">
        <f>IFERROR(__xludf.DUMMYFUNCTION("IFERROR(Y11 * (1 + AVERAGE(Filter('Inflation Data'!$C:$C,'Inflation Data'!$A:$A = Z$1))) + 'Fund YTD Contributions'!Z11,'Fund YTD Contributions'!Z11)"),108111.72820466416)</f>
        <v>108111.7282</v>
      </c>
      <c r="AA11" s="152">
        <f>IFERROR(__xludf.DUMMYFUNCTION("IFERROR(Z11 * (1 + AVERAGE(Filter('Inflation Data'!$C:$C,'Inflation Data'!$A:$A = AA$1))) + 'Fund YTD Contributions'!AA11,'Fund YTD Contributions'!AA11)"),113240.27257200604)</f>
        <v>113240.2726</v>
      </c>
      <c r="AB11" s="152">
        <f>IFERROR(__xludf.DUMMYFUNCTION("IFERROR(AA11 * (1 + AVERAGE(Filter('Inflation Data'!$C:$C,'Inflation Data'!$A:$A = AB$1))) + 'Fund YTD Contributions'!AB11,'Fund YTD Contributions'!AB11)"),119669.18797774246)</f>
        <v>119669.188</v>
      </c>
      <c r="AC11" s="152">
        <f>IFERROR(__xludf.DUMMYFUNCTION("IFERROR(AB11 * (1 + AVERAGE(Filter('Inflation Data'!$C:$C,'Inflation Data'!$A:$A = AC$1))) + 'Fund YTD Contributions'!AC11,'Fund YTD Contributions'!AC11)"),127220.07424930233)</f>
        <v>127220.0742</v>
      </c>
      <c r="AD11" s="152">
        <f>IFERROR(__xludf.DUMMYFUNCTION("IFERROR(AC11 * (1 + AVERAGE(Filter('Inflation Data'!$C:$C,'Inflation Data'!$A:$A = AD$1))) + 'Fund YTD Contributions'!AD11,'Fund YTD Contributions'!AD11)"),135327.6593792936)</f>
        <v>135327.6594</v>
      </c>
      <c r="AE11" s="152">
        <f>IFERROR(__xludf.DUMMYFUNCTION("IFERROR(AD11 * (1 + AVERAGE(Filter('Inflation Data'!$C:$C,'Inflation Data'!$A:$A = AE$1))) + 'Fund YTD Contributions'!AE11,'Fund YTD Contributions'!AE11)"),137779.57632148077)</f>
        <v>137779.5763</v>
      </c>
      <c r="AF11" s="152">
        <f>IFERROR(__xludf.DUMMYFUNCTION("IFERROR(AE11 * (1 + AVERAGE(Filter('Inflation Data'!$C:$C,'Inflation Data'!$A:$A = AF$1))) + 'Fund YTD Contributions'!AF11,'Fund YTD Contributions'!AF11)"),141101.06025716526)</f>
        <v>141101.0603</v>
      </c>
    </row>
    <row r="12">
      <c r="A12" s="151" t="str">
        <f>'Endowed Funds'!A:A</f>
        <v>Stuart Struever Chair in Research</v>
      </c>
      <c r="B12" s="152" t="str">
        <f>IFERROR(__xludf.DUMMYFUNCTION("IFERROR(A12 * (1 + AVERAGE(Filter('Inflation Data'!$C:$C,'Inflation Data'!$A:$A = B$1))) + 'Fund YTD Contributions'!B12,'Fund YTD Contributions'!B12)"),"  ")</f>
        <v/>
      </c>
      <c r="C12" s="152">
        <f>IFERROR(__xludf.DUMMYFUNCTION("IFERROR(B12 * (1 + AVERAGE(Filter('Inflation Data'!$C:$C,'Inflation Data'!$A:$A = C$1))) + 'Fund YTD Contributions'!C12,'Fund YTD Contributions'!C12)"),0.0)</f>
        <v>0</v>
      </c>
      <c r="D12" s="152">
        <f>IFERROR(__xludf.DUMMYFUNCTION("IFERROR(C12 * (1 + AVERAGE(Filter('Inflation Data'!$C:$C,'Inflation Data'!$A:$A = D$1))) + 'Fund YTD Contributions'!D12,'Fund YTD Contributions'!D12)"),250000.0)</f>
        <v>250000</v>
      </c>
      <c r="E12" s="152">
        <f>IFERROR(__xludf.DUMMYFUNCTION("IFERROR(D12 * (1 + AVERAGE(Filter('Inflation Data'!$C:$C,'Inflation Data'!$A:$A = E$1))) + 'Fund YTD Contributions'!E12,'Fund YTD Contributions'!E12)"),257383.89533333335)</f>
        <v>257383.8953</v>
      </c>
      <c r="F12" s="152">
        <f>IFERROR(__xludf.DUMMYFUNCTION("IFERROR(E12 * (1 + AVERAGE(Filter('Inflation Data'!$C:$C,'Inflation Data'!$A:$A = F$1))) + 'Fund YTD Contributions'!F12,'Fund YTD Contributions'!F12)"),264093.4446715059)</f>
        <v>264093.4447</v>
      </c>
      <c r="G12" s="152">
        <f>IFERROR(__xludf.DUMMYFUNCTION("IFERROR(F12 * (1 + AVERAGE(Filter('Inflation Data'!$C:$C,'Inflation Data'!$A:$A = G$1))) + 'Fund YTD Contributions'!G12,'Fund YTD Contributions'!G12)"),271505.0660992104)</f>
        <v>271505.0661</v>
      </c>
      <c r="H12" s="152">
        <f>IFERROR(__xludf.DUMMYFUNCTION("IFERROR(G12 * (1 + AVERAGE(Filter('Inflation Data'!$C:$C,'Inflation Data'!$A:$A = H$1))) + 'Fund YTD Contributions'!H12,'Fund YTD Contributions'!H12)"),279460.6459370249)</f>
        <v>279460.6459</v>
      </c>
      <c r="I12" s="152">
        <f>IFERROR(__xludf.DUMMYFUNCTION("IFERROR(H12 * (1 + AVERAGE(Filter('Inflation Data'!$C:$C,'Inflation Data'!$A:$A = I$1))) + 'Fund YTD Contributions'!I12,'Fund YTD Contributions'!I12)"),286002.837124701)</f>
        <v>286002.8371</v>
      </c>
      <c r="J12" s="152">
        <f>IFERROR(__xludf.DUMMYFUNCTION("IFERROR(I12 * (1 + AVERAGE(Filter('Inflation Data'!$C:$C,'Inflation Data'!$A:$A = J$1))) + 'Fund YTD Contributions'!J12,'Fund YTD Contributions'!J12)"),290442.30815588974)</f>
        <v>290442.3082</v>
      </c>
      <c r="K12" s="152">
        <f>IFERROR(__xludf.DUMMYFUNCTION("IFERROR(J12 * (1 + AVERAGE(Filter('Inflation Data'!$C:$C,'Inflation Data'!$A:$A = K$1))) + 'Fund YTD Contributions'!K12,'Fund YTD Contributions'!K12)"),300167.44032146764)</f>
        <v>300167.4403</v>
      </c>
      <c r="L12" s="152">
        <f>IFERROR(__xludf.DUMMYFUNCTION("IFERROR(K12 * (1 + AVERAGE(Filter('Inflation Data'!$C:$C,'Inflation Data'!$A:$A = L$1))) + 'Fund YTD Contributions'!L12,'Fund YTD Contributions'!L12)"),310301.21004695236)</f>
        <v>310301.21</v>
      </c>
      <c r="M12" s="152">
        <f>IFERROR(__xludf.DUMMYFUNCTION("IFERROR(L12 * (1 + AVERAGE(Filter('Inflation Data'!$C:$C,'Inflation Data'!$A:$A = M$1))) + 'Fund YTD Contributions'!M12,'Fund YTD Contributions'!M12)"),469088.05543986475)</f>
        <v>469088.0554</v>
      </c>
      <c r="N12" s="152">
        <f>IFERROR(__xludf.DUMMYFUNCTION("IFERROR(M12 * (1 + AVERAGE(Filter('Inflation Data'!$C:$C,'Inflation Data'!$A:$A = N$1))) + 'Fund YTD Contributions'!N12,'Fund YTD Contributions'!N12)"),578525.8800744084)</f>
        <v>578525.8801</v>
      </c>
      <c r="O12" s="152">
        <f>IFERROR(__xludf.DUMMYFUNCTION("IFERROR(N12 * (1 + AVERAGE(Filter('Inflation Data'!$C:$C,'Inflation Data'!$A:$A = O$1))) + 'Fund YTD Contributions'!O12,'Fund YTD Contributions'!O12)"),723671.5439186324)</f>
        <v>723671.5439</v>
      </c>
      <c r="P12" s="152">
        <f>IFERROR(__xludf.DUMMYFUNCTION("IFERROR(O12 * (1 + AVERAGE(Filter('Inflation Data'!$C:$C,'Inflation Data'!$A:$A = P$1))) + 'Fund YTD Contributions'!P12,'Fund YTD Contributions'!P12)"),1160035.9953450228)</f>
        <v>1160035.995</v>
      </c>
      <c r="Q12" s="152">
        <f>IFERROR(__xludf.DUMMYFUNCTION("IFERROR(P12 * (1 + AVERAGE(Filter('Inflation Data'!$C:$C,'Inflation Data'!$A:$A = Q$1))) + 'Fund YTD Contributions'!Q12,'Fund YTD Contributions'!Q12)"),1203865.1267452468)</f>
        <v>1203865.127</v>
      </c>
      <c r="R12" s="152">
        <f>IFERROR(__xludf.DUMMYFUNCTION("IFERROR(Q12 * (1 + AVERAGE(Filter('Inflation Data'!$C:$C,'Inflation Data'!$A:$A = R$1))) + 'Fund YTD Contributions'!R12,'Fund YTD Contributions'!R12)"),1246562.8130016332)</f>
        <v>1246562.813</v>
      </c>
      <c r="S12" s="152">
        <f>IFERROR(__xludf.DUMMYFUNCTION("IFERROR(R12 * (1 + AVERAGE(Filter('Inflation Data'!$C:$C,'Inflation Data'!$A:$A = S$1))) + 'Fund YTD Contributions'!S12,'Fund YTD Contributions'!S12)"),1285619.1812632417)</f>
        <v>1285619.181</v>
      </c>
      <c r="T12" s="152">
        <f>IFERROR(__xludf.DUMMYFUNCTION("IFERROR(S12 * (1 + AVERAGE(Filter('Inflation Data'!$C:$C,'Inflation Data'!$A:$A = T$1))) + 'Fund YTD Contributions'!T12,'Fund YTD Contributions'!T12)"),1335059.3754666115)</f>
        <v>1335059.375</v>
      </c>
      <c r="U12" s="152">
        <f>IFERROR(__xludf.DUMMYFUNCTION("IFERROR(T12 * (1 + AVERAGE(Filter('Inflation Data'!$C:$C,'Inflation Data'!$A:$A = U$1))) + 'Fund YTD Contributions'!U12,'Fund YTD Contributions'!U12)"),1330549.5448962853)</f>
        <v>1330549.545</v>
      </c>
      <c r="V12" s="152">
        <f>IFERROR(__xludf.DUMMYFUNCTION("IFERROR(U12 * (1 + AVERAGE(Filter('Inflation Data'!$C:$C,'Inflation Data'!$A:$A = V$1))) + 'Fund YTD Contributions'!V12,'Fund YTD Contributions'!V12)"),1352428.0307419342)</f>
        <v>1352428.031</v>
      </c>
      <c r="W12" s="152">
        <f>IFERROR(__xludf.DUMMYFUNCTION("IFERROR(V12 * (1 + AVERAGE(Filter('Inflation Data'!$C:$C,'Inflation Data'!$A:$A = W$1))) + 'Fund YTD Contributions'!W12,'Fund YTD Contributions'!W12)"),1395099.8592400032)</f>
        <v>1395099.859</v>
      </c>
      <c r="X12" s="152">
        <f>IFERROR(__xludf.DUMMYFUNCTION("IFERROR(W12 * (1 + AVERAGE(Filter('Inflation Data'!$C:$C,'Inflation Data'!$A:$A = X$1))) + 'Fund YTD Contributions'!X12,'Fund YTD Contributions'!X12)"),1424022.968028252)</f>
        <v>1424022.968</v>
      </c>
      <c r="Y12" s="152">
        <f>IFERROR(__xludf.DUMMYFUNCTION("IFERROR(X12 * (1 + AVERAGE(Filter('Inflation Data'!$C:$C,'Inflation Data'!$A:$A = Y$1))) + 'Fund YTD Contributions'!Y12,'Fund YTD Contributions'!Y12)"),1445399.793144671)</f>
        <v>1445399.793</v>
      </c>
      <c r="Z12" s="152">
        <f>IFERROR(__xludf.DUMMYFUNCTION("IFERROR(Y12 * (1 + AVERAGE(Filter('Inflation Data'!$C:$C,'Inflation Data'!$A:$A = Z$1))) + 'Fund YTD Contributions'!Z12,'Fund YTD Contributions'!Z12)"),1483842.8018893243)</f>
        <v>1483842.802</v>
      </c>
      <c r="AA12" s="152">
        <f>IFERROR(__xludf.DUMMYFUNCTION("IFERROR(Z12 * (1 + AVERAGE(Filter('Inflation Data'!$C:$C,'Inflation Data'!$A:$A = AA$1))) + 'Fund YTD Contributions'!AA12,'Fund YTD Contributions'!AA12)"),1490607.0844271316)</f>
        <v>1490607.084</v>
      </c>
      <c r="AB12" s="152">
        <f>IFERROR(__xludf.DUMMYFUNCTION("IFERROR(AA12 * (1 + AVERAGE(Filter('Inflation Data'!$C:$C,'Inflation Data'!$A:$A = AB$1))) + 'Fund YTD Contributions'!AB12,'Fund YTD Contributions'!AB12)"),1509416.2181254225)</f>
        <v>1509416.218</v>
      </c>
      <c r="AC12" s="152">
        <f>IFERROR(__xludf.DUMMYFUNCTION("IFERROR(AB12 * (1 + AVERAGE(Filter('Inflation Data'!$C:$C,'Inflation Data'!$A:$A = AC$1))) + 'Fund YTD Contributions'!AC12,'Fund YTD Contributions'!AC12)"),1541591.1595113545)</f>
        <v>1541591.16</v>
      </c>
      <c r="AD12" s="152">
        <f>IFERROR(__xludf.DUMMYFUNCTION("IFERROR(AC12 * (1 + AVERAGE(Filter('Inflation Data'!$C:$C,'Inflation Data'!$A:$A = AD$1))) + 'Fund YTD Contributions'!AD12,'Fund YTD Contributions'!AD12)"),1579247.3689743022)</f>
        <v>1579247.369</v>
      </c>
      <c r="AE12" s="152">
        <f>IFERROR(__xludf.DUMMYFUNCTION("IFERROR(AD12 * (1 + AVERAGE(Filter('Inflation Data'!$C:$C,'Inflation Data'!$A:$A = AE$1))) + 'Fund YTD Contributions'!AE12,'Fund YTD Contributions'!AE12)"),1607860.7610750236)</f>
        <v>1607860.761</v>
      </c>
      <c r="AF12" s="152">
        <f>IFERROR(__xludf.DUMMYFUNCTION("IFERROR(AE12 * (1 + AVERAGE(Filter('Inflation Data'!$C:$C,'Inflation Data'!$A:$A = AF$1))) + 'Fund YTD Contributions'!AF12,'Fund YTD Contributions'!AF12)"),1646621.8302502343)</f>
        <v>1646621.83</v>
      </c>
    </row>
    <row r="13">
      <c r="A13" s="151" t="str">
        <f>'Endowed Funds'!A:A</f>
        <v>Education Endowment Fund</v>
      </c>
      <c r="B13" s="152" t="str">
        <f>IFERROR(__xludf.DUMMYFUNCTION("IFERROR(A13 * (1 + AVERAGE(Filter('Inflation Data'!$C:$C,'Inflation Data'!$A:$A = B$1))) + 'Fund YTD Contributions'!B13,'Fund YTD Contributions'!B13)"),"  ")</f>
        <v/>
      </c>
      <c r="C13" s="152">
        <f>IFERROR(__xludf.DUMMYFUNCTION("IFERROR(B13 * (1 + AVERAGE(Filter('Inflation Data'!$C:$C,'Inflation Data'!$A:$A = C$1))) + 'Fund YTD Contributions'!C13,'Fund YTD Contributions'!C13)"),0.0)</f>
        <v>0</v>
      </c>
      <c r="D13" s="152">
        <f>IFERROR(__xludf.DUMMYFUNCTION("IFERROR(C13 * (1 + AVERAGE(Filter('Inflation Data'!$C:$C,'Inflation Data'!$A:$A = D$1))) + 'Fund YTD Contributions'!D13,'Fund YTD Contributions'!D13)"),0.0)</f>
        <v>0</v>
      </c>
      <c r="E13" s="152">
        <f>IFERROR(__xludf.DUMMYFUNCTION("IFERROR(D13 * (1 + AVERAGE(Filter('Inflation Data'!$C:$C,'Inflation Data'!$A:$A = E$1))) + 'Fund YTD Contributions'!E13,'Fund YTD Contributions'!E13)"),0.0)</f>
        <v>0</v>
      </c>
      <c r="F13" s="152">
        <f>IFERROR(__xludf.DUMMYFUNCTION("IFERROR(E13 * (1 + AVERAGE(Filter('Inflation Data'!$C:$C,'Inflation Data'!$A:$A = F$1))) + 'Fund YTD Contributions'!F13,'Fund YTD Contributions'!F13)"),0.0)</f>
        <v>0</v>
      </c>
      <c r="G13" s="152">
        <f>IFERROR(__xludf.DUMMYFUNCTION("IFERROR(F13 * (1 + AVERAGE(Filter('Inflation Data'!$C:$C,'Inflation Data'!$A:$A = G$1))) + 'Fund YTD Contributions'!G13,'Fund YTD Contributions'!G13)"),0.0)</f>
        <v>0</v>
      </c>
      <c r="H13" s="152">
        <f>IFERROR(__xludf.DUMMYFUNCTION("IFERROR(G13 * (1 + AVERAGE(Filter('Inflation Data'!$C:$C,'Inflation Data'!$A:$A = H$1))) + 'Fund YTD Contributions'!H13,'Fund YTD Contributions'!H13)"),268867.24)</f>
        <v>268867.24</v>
      </c>
      <c r="I13" s="152">
        <f>IFERROR(__xludf.DUMMYFUNCTION("IFERROR(H13 * (1 + AVERAGE(Filter('Inflation Data'!$C:$C,'Inflation Data'!$A:$A = I$1))) + 'Fund YTD Contributions'!I13,'Fund YTD Contributions'!I13)"),275161.4388926025)</f>
        <v>275161.4389</v>
      </c>
      <c r="J13" s="152">
        <f>IFERROR(__xludf.DUMMYFUNCTION("IFERROR(I13 * (1 + AVERAGE(Filter('Inflation Data'!$C:$C,'Inflation Data'!$A:$A = J$1))) + 'Fund YTD Contributions'!J13,'Fund YTD Contributions'!J13)"),279432.62462329265)</f>
        <v>279432.6246</v>
      </c>
      <c r="K13" s="152">
        <f>IFERROR(__xludf.DUMMYFUNCTION("IFERROR(J13 * (1 + AVERAGE(Filter('Inflation Data'!$C:$C,'Inflation Data'!$A:$A = K$1))) + 'Fund YTD Contributions'!K13,'Fund YTD Contributions'!K13)"),285542.0448003966)</f>
        <v>285542.0448</v>
      </c>
      <c r="L13" s="152">
        <f>IFERROR(__xludf.DUMMYFUNCTION("IFERROR(K13 * (1 + AVERAGE(Filter('Inflation Data'!$C:$C,'Inflation Data'!$A:$A = L$1))) + 'Fund YTD Contributions'!L13,'Fund YTD Contributions'!L13)"),295282.05547527963)</f>
        <v>295282.0555</v>
      </c>
      <c r="M13" s="152">
        <f>IFERROR(__xludf.DUMMYFUNCTION("IFERROR(L13 * (1 + AVERAGE(Filter('Inflation Data'!$C:$C,'Inflation Data'!$A:$A = M$1))) + 'Fund YTD Contributions'!M13,'Fund YTD Contributions'!M13)"),313743.6012403447)</f>
        <v>313743.6012</v>
      </c>
      <c r="N13" s="152">
        <f>IFERROR(__xludf.DUMMYFUNCTION("IFERROR(M13 * (1 + AVERAGE(Filter('Inflation Data'!$C:$C,'Inflation Data'!$A:$A = N$1))) + 'Fund YTD Contributions'!N13,'Fund YTD Contributions'!N13)"),328718.29598938854)</f>
        <v>328718.296</v>
      </c>
      <c r="O13" s="152">
        <f>IFERROR(__xludf.DUMMYFUNCTION("IFERROR(N13 * (1 + AVERAGE(Filter('Inflation Data'!$C:$C,'Inflation Data'!$A:$A = O$1))) + 'Fund YTD Contributions'!O13,'Fund YTD Contributions'!O13)"),346187.65970733814)</f>
        <v>346187.6597</v>
      </c>
      <c r="P13" s="152">
        <f>IFERROR(__xludf.DUMMYFUNCTION("IFERROR(O13 * (1 + AVERAGE(Filter('Inflation Data'!$C:$C,'Inflation Data'!$A:$A = P$1))) + 'Fund YTD Contributions'!P13,'Fund YTD Contributions'!P13)"),375451.16354019335)</f>
        <v>375451.1635</v>
      </c>
      <c r="Q13" s="152">
        <f>IFERROR(__xludf.DUMMYFUNCTION("IFERROR(P13 * (1 + AVERAGE(Filter('Inflation Data'!$C:$C,'Inflation Data'!$A:$A = Q$1))) + 'Fund YTD Contributions'!Q13,'Fund YTD Contributions'!Q13)"),418180.22384909133)</f>
        <v>418180.2238</v>
      </c>
      <c r="R13" s="152">
        <f>IFERROR(__xludf.DUMMYFUNCTION("IFERROR(Q13 * (1 + AVERAGE(Filter('Inflation Data'!$C:$C,'Inflation Data'!$A:$A = R$1))) + 'Fund YTD Contributions'!R13,'Fund YTD Contributions'!R13)"),473709.274400737)</f>
        <v>473709.2744</v>
      </c>
      <c r="S13" s="152">
        <f>IFERROR(__xludf.DUMMYFUNCTION("IFERROR(R13 * (1 + AVERAGE(Filter('Inflation Data'!$C:$C,'Inflation Data'!$A:$A = S$1))) + 'Fund YTD Contributions'!S13,'Fund YTD Contributions'!S13)"),507221.13375820837)</f>
        <v>507221.1338</v>
      </c>
      <c r="T13" s="152">
        <f>IFERROR(__xludf.DUMMYFUNCTION("IFERROR(S13 * (1 + AVERAGE(Filter('Inflation Data'!$C:$C,'Inflation Data'!$A:$A = T$1))) + 'Fund YTD Contributions'!T13,'Fund YTD Contributions'!T13)"),544726.996553767)</f>
        <v>544726.9966</v>
      </c>
      <c r="U13" s="152">
        <f>IFERROR(__xludf.DUMMYFUNCTION("IFERROR(T13 * (1 + AVERAGE(Filter('Inflation Data'!$C:$C,'Inflation Data'!$A:$A = U$1))) + 'Fund YTD Contributions'!U13,'Fund YTD Contributions'!U13)"),542886.9087594084)</f>
        <v>542886.9088</v>
      </c>
      <c r="V13" s="152">
        <f>IFERROR(__xludf.DUMMYFUNCTION("IFERROR(U13 * (1 + AVERAGE(Filter('Inflation Data'!$C:$C,'Inflation Data'!$A:$A = V$1))) + 'Fund YTD Contributions'!V13,'Fund YTD Contributions'!V13)"),551813.7041535677)</f>
        <v>551813.7042</v>
      </c>
      <c r="W13" s="152">
        <f>IFERROR(__xludf.DUMMYFUNCTION("IFERROR(V13 * (1 + AVERAGE(Filter('Inflation Data'!$C:$C,'Inflation Data'!$A:$A = W$1))) + 'Fund YTD Contributions'!W13,'Fund YTD Contributions'!W13)"),569224.5380103664)</f>
        <v>569224.538</v>
      </c>
      <c r="X13" s="152">
        <f>IFERROR(__xludf.DUMMYFUNCTION("IFERROR(W13 * (1 + AVERAGE(Filter('Inflation Data'!$C:$C,'Inflation Data'!$A:$A = X$1))) + 'Fund YTD Contributions'!X13,'Fund YTD Contributions'!X13)"),581025.6597213121)</f>
        <v>581025.6597</v>
      </c>
      <c r="Y13" s="152">
        <f>IFERROR(__xludf.DUMMYFUNCTION("IFERROR(X13 * (1 + AVERAGE(Filter('Inflation Data'!$C:$C,'Inflation Data'!$A:$A = Y$1))) + 'Fund YTD Contributions'!Y13,'Fund YTD Contributions'!Y13)"),589543.7604531769)</f>
        <v>589543.7605</v>
      </c>
      <c r="Z13" s="152">
        <f>IFERROR(__xludf.DUMMYFUNCTION("IFERROR(Y13 * (1 + AVERAGE(Filter('Inflation Data'!$C:$C,'Inflation Data'!$A:$A = Z$1))) + 'Fund YTD Contributions'!Z13,'Fund YTD Contributions'!Z13)"),599105.5990511961)</f>
        <v>599105.5991</v>
      </c>
      <c r="AA13" s="152">
        <f>IFERROR(__xludf.DUMMYFUNCTION("IFERROR(Z13 * (1 + AVERAGE(Filter('Inflation Data'!$C:$C,'Inflation Data'!$A:$A = AA$1))) + 'Fund YTD Contributions'!AA13,'Fund YTD Contributions'!AA13)"),599817.9329624183)</f>
        <v>599817.933</v>
      </c>
      <c r="AB13" s="152">
        <f>IFERROR(__xludf.DUMMYFUNCTION("IFERROR(AA13 * (1 + AVERAGE(Filter('Inflation Data'!$C:$C,'Inflation Data'!$A:$A = AB$1))) + 'Fund YTD Contributions'!AB13,'Fund YTD Contributions'!AB13)"),607386.698610717)</f>
        <v>607386.6986</v>
      </c>
      <c r="AC13" s="152">
        <f>IFERROR(__xludf.DUMMYFUNCTION("IFERROR(AB13 * (1 + AVERAGE(Filter('Inflation Data'!$C:$C,'Inflation Data'!$A:$A = AC$1))) + 'Fund YTD Contributions'!AC13,'Fund YTD Contributions'!AC13)"),620333.8441307677)</f>
        <v>620333.8441</v>
      </c>
      <c r="AD13" s="152">
        <f>IFERROR(__xludf.DUMMYFUNCTION("IFERROR(AC13 * (1 + AVERAGE(Filter('Inflation Data'!$C:$C,'Inflation Data'!$A:$A = AD$1))) + 'Fund YTD Contributions'!AD13,'Fund YTD Contributions'!AD13)"),635486.6432548546)</f>
        <v>635486.6433</v>
      </c>
      <c r="AE13" s="152">
        <f>IFERROR(__xludf.DUMMYFUNCTION("IFERROR(AD13 * (1 + AVERAGE(Filter('Inflation Data'!$C:$C,'Inflation Data'!$A:$A = AE$1))) + 'Fund YTD Contributions'!AE13,'Fund YTD Contributions'!AE13)"),647000.6269761206)</f>
        <v>647000.627</v>
      </c>
      <c r="AF13" s="152">
        <f>IFERROR(__xludf.DUMMYFUNCTION("IFERROR(AE13 * (1 + AVERAGE(Filter('Inflation Data'!$C:$C,'Inflation Data'!$A:$A = AF$1))) + 'Fund YTD Contributions'!AF13,'Fund YTD Contributions'!AF13)"),662598.0199007782)</f>
        <v>662598.0199</v>
      </c>
    </row>
    <row r="14">
      <c r="A14" s="151" t="str">
        <f>'Endowed Funds'!A:A</f>
        <v>Eleanor &amp; Robert A. McClevey Jr., Chair in Education</v>
      </c>
      <c r="B14" s="152" t="str">
        <f>IFERROR(__xludf.DUMMYFUNCTION("IFERROR(A14 * (1 + AVERAGE(Filter('Inflation Data'!$C:$C,'Inflation Data'!$A:$A = B$1))) + 'Fund YTD Contributions'!B14,'Fund YTD Contributions'!B14)"),"  ")</f>
        <v/>
      </c>
      <c r="C14" s="152">
        <f>IFERROR(__xludf.DUMMYFUNCTION("IFERROR(B14 * (1 + AVERAGE(Filter('Inflation Data'!$C:$C,'Inflation Data'!$A:$A = C$1))) + 'Fund YTD Contributions'!C14,'Fund YTD Contributions'!C14)"),0.0)</f>
        <v>0</v>
      </c>
      <c r="D14" s="152">
        <f>IFERROR(__xludf.DUMMYFUNCTION("IFERROR(C14 * (1 + AVERAGE(Filter('Inflation Data'!$C:$C,'Inflation Data'!$A:$A = D$1))) + 'Fund YTD Contributions'!D14,'Fund YTD Contributions'!D14)"),0.0)</f>
        <v>0</v>
      </c>
      <c r="E14" s="152">
        <f>IFERROR(__xludf.DUMMYFUNCTION("IFERROR(D14 * (1 + AVERAGE(Filter('Inflation Data'!$C:$C,'Inflation Data'!$A:$A = E$1))) + 'Fund YTD Contributions'!E14,'Fund YTD Contributions'!E14)"),0.0)</f>
        <v>0</v>
      </c>
      <c r="F14" s="152">
        <f>IFERROR(__xludf.DUMMYFUNCTION("IFERROR(E14 * (1 + AVERAGE(Filter('Inflation Data'!$C:$C,'Inflation Data'!$A:$A = F$1))) + 'Fund YTD Contributions'!F14,'Fund YTD Contributions'!F14)"),0.0)</f>
        <v>0</v>
      </c>
      <c r="G14" s="152">
        <f>IFERROR(__xludf.DUMMYFUNCTION("IFERROR(F14 * (1 + AVERAGE(Filter('Inflation Data'!$C:$C,'Inflation Data'!$A:$A = G$1))) + 'Fund YTD Contributions'!G14,'Fund YTD Contributions'!G14)"),0.0)</f>
        <v>0</v>
      </c>
      <c r="H14" s="152">
        <f>IFERROR(__xludf.DUMMYFUNCTION("IFERROR(G14 * (1 + AVERAGE(Filter('Inflation Data'!$C:$C,'Inflation Data'!$A:$A = H$1))) + 'Fund YTD Contributions'!H14,'Fund YTD Contributions'!H14)"),0.0)</f>
        <v>0</v>
      </c>
      <c r="I14" s="152">
        <f>IFERROR(__xludf.DUMMYFUNCTION("IFERROR(H14 * (1 + AVERAGE(Filter('Inflation Data'!$C:$C,'Inflation Data'!$A:$A = I$1))) + 'Fund YTD Contributions'!I14,'Fund YTD Contributions'!I14)"),0.0)</f>
        <v>0</v>
      </c>
      <c r="J14" s="152">
        <f>IFERROR(__xludf.DUMMYFUNCTION("IFERROR(I14 * (1 + AVERAGE(Filter('Inflation Data'!$C:$C,'Inflation Data'!$A:$A = J$1))) + 'Fund YTD Contributions'!J14,'Fund YTD Contributions'!J14)"),0.0)</f>
        <v>0</v>
      </c>
      <c r="K14" s="152">
        <f>IFERROR(__xludf.DUMMYFUNCTION("IFERROR(J14 * (1 + AVERAGE(Filter('Inflation Data'!$C:$C,'Inflation Data'!$A:$A = K$1))) + 'Fund YTD Contributions'!K14,'Fund YTD Contributions'!K14)"),0.0)</f>
        <v>0</v>
      </c>
      <c r="L14" s="152">
        <f>IFERROR(__xludf.DUMMYFUNCTION("IFERROR(K14 * (1 + AVERAGE(Filter('Inflation Data'!$C:$C,'Inflation Data'!$A:$A = L$1))) + 'Fund YTD Contributions'!L14,'Fund YTD Contributions'!L14)"),0.0)</f>
        <v>0</v>
      </c>
      <c r="M14" s="152">
        <f>IFERROR(__xludf.DUMMYFUNCTION("IFERROR(L14 * (1 + AVERAGE(Filter('Inflation Data'!$C:$C,'Inflation Data'!$A:$A = M$1))) + 'Fund YTD Contributions'!M14,'Fund YTD Contributions'!M14)"),0.0)</f>
        <v>0</v>
      </c>
      <c r="N14" s="152">
        <f>IFERROR(__xludf.DUMMYFUNCTION("IFERROR(M14 * (1 + AVERAGE(Filter('Inflation Data'!$C:$C,'Inflation Data'!$A:$A = N$1))) + 'Fund YTD Contributions'!N14,'Fund YTD Contributions'!N14)"),0.0)</f>
        <v>0</v>
      </c>
      <c r="O14" s="152">
        <f>IFERROR(__xludf.DUMMYFUNCTION("IFERROR(N14 * (1 + AVERAGE(Filter('Inflation Data'!$C:$C,'Inflation Data'!$A:$A = O$1))) + 'Fund YTD Contributions'!O14,'Fund YTD Contributions'!O14)"),0.0)</f>
        <v>0</v>
      </c>
      <c r="P14" s="152">
        <f>IFERROR(__xludf.DUMMYFUNCTION("IFERROR(O14 * (1 + AVERAGE(Filter('Inflation Data'!$C:$C,'Inflation Data'!$A:$A = P$1))) + 'Fund YTD Contributions'!P14,'Fund YTD Contributions'!P14)"),0.0)</f>
        <v>0</v>
      </c>
      <c r="Q14" s="152">
        <f>IFERROR(__xludf.DUMMYFUNCTION("IFERROR(P14 * (1 + AVERAGE(Filter('Inflation Data'!$C:$C,'Inflation Data'!$A:$A = Q$1))) + 'Fund YTD Contributions'!Q14,'Fund YTD Contributions'!Q14)"),0.0)</f>
        <v>0</v>
      </c>
      <c r="R14" s="152">
        <f>IFERROR(__xludf.DUMMYFUNCTION("IFERROR(Q14 * (1 + AVERAGE(Filter('Inflation Data'!$C:$C,'Inflation Data'!$A:$A = R$1))) + 'Fund YTD Contributions'!R14,'Fund YTD Contributions'!R14)"),0.0)</f>
        <v>0</v>
      </c>
      <c r="S14" s="152">
        <f>IFERROR(__xludf.DUMMYFUNCTION("IFERROR(R14 * (1 + AVERAGE(Filter('Inflation Data'!$C:$C,'Inflation Data'!$A:$A = S$1))) + 'Fund YTD Contributions'!S14,'Fund YTD Contributions'!S14)"),0.0)</f>
        <v>0</v>
      </c>
      <c r="T14" s="152">
        <f>IFERROR(__xludf.DUMMYFUNCTION("IFERROR(S14 * (1 + AVERAGE(Filter('Inflation Data'!$C:$C,'Inflation Data'!$A:$A = T$1))) + 'Fund YTD Contributions'!T14,'Fund YTD Contributions'!T14)"),0.0)</f>
        <v>0</v>
      </c>
      <c r="U14" s="152">
        <f>IFERROR(__xludf.DUMMYFUNCTION("IFERROR(T14 * (1 + AVERAGE(Filter('Inflation Data'!$C:$C,'Inflation Data'!$A:$A = U$1))) + 'Fund YTD Contributions'!U14,'Fund YTD Contributions'!U14)"),0.0)</f>
        <v>0</v>
      </c>
      <c r="V14" s="152">
        <f>IFERROR(__xludf.DUMMYFUNCTION("IFERROR(U14 * (1 + AVERAGE(Filter('Inflation Data'!$C:$C,'Inflation Data'!$A:$A = V$1))) + 'Fund YTD Contributions'!V14,'Fund YTD Contributions'!V14)"),0.0)</f>
        <v>0</v>
      </c>
      <c r="W14" s="152">
        <f>IFERROR(__xludf.DUMMYFUNCTION("IFERROR(V14 * (1 + AVERAGE(Filter('Inflation Data'!$C:$C,'Inflation Data'!$A:$A = W$1))) + 'Fund YTD Contributions'!W14,'Fund YTD Contributions'!W14)"),738137.86)</f>
        <v>738137.86</v>
      </c>
      <c r="X14" s="152">
        <f>IFERROR(__xludf.DUMMYFUNCTION("IFERROR(W14 * (1 + AVERAGE(Filter('Inflation Data'!$C:$C,'Inflation Data'!$A:$A = X$1))) + 'Fund YTD Contributions'!X14,'Fund YTD Contributions'!X14)"),753440.8804139906)</f>
        <v>753440.8804</v>
      </c>
      <c r="Y14" s="152">
        <f>IFERROR(__xludf.DUMMYFUNCTION("IFERROR(X14 * (1 + AVERAGE(Filter('Inflation Data'!$C:$C,'Inflation Data'!$A:$A = Y$1))) + 'Fund YTD Contributions'!Y14,'Fund YTD Contributions'!Y14)"),784486.6667876072)</f>
        <v>784486.6668</v>
      </c>
      <c r="Z14" s="152">
        <f>IFERROR(__xludf.DUMMYFUNCTION("IFERROR(Y14 * (1 + AVERAGE(Filter('Inflation Data'!$C:$C,'Inflation Data'!$A:$A = Z$1))) + 'Fund YTD Contributions'!Z14,'Fund YTD Contributions'!Z14)"),797210.2937569693)</f>
        <v>797210.2938</v>
      </c>
      <c r="AA14" s="152">
        <f>IFERROR(__xludf.DUMMYFUNCTION("IFERROR(Z14 * (1 + AVERAGE(Filter('Inflation Data'!$C:$C,'Inflation Data'!$A:$A = AA$1))) + 'Fund YTD Contributions'!AA14,'Fund YTD Contributions'!AA14)"),798158.1732752342)</f>
        <v>798158.1733</v>
      </c>
      <c r="AB14" s="152">
        <f>IFERROR(__xludf.DUMMYFUNCTION("IFERROR(AA14 * (1 + AVERAGE(Filter('Inflation Data'!$C:$C,'Inflation Data'!$A:$A = AB$1))) + 'Fund YTD Contributions'!AB14,'Fund YTD Contributions'!AB14)"),808229.6830314669)</f>
        <v>808229.683</v>
      </c>
      <c r="AC14" s="152">
        <f>IFERROR(__xludf.DUMMYFUNCTION("IFERROR(AB14 * (1 + AVERAGE(Filter('Inflation Data'!$C:$C,'Inflation Data'!$A:$A = AC$1))) + 'Fund YTD Contributions'!AC14,'Fund YTD Contributions'!AC14)"),825458.0275832459)</f>
        <v>825458.0276</v>
      </c>
      <c r="AD14" s="152">
        <f>IFERROR(__xludf.DUMMYFUNCTION("IFERROR(AC14 * (1 + AVERAGE(Filter('Inflation Data'!$C:$C,'Inflation Data'!$A:$A = AD$1))) + 'Fund YTD Contributions'!AD14,'Fund YTD Contributions'!AD14)"),845621.3634961211)</f>
        <v>845621.3635</v>
      </c>
      <c r="AE14" s="152">
        <f>IFERROR(__xludf.DUMMYFUNCTION("IFERROR(AD14 * (1 + AVERAGE(Filter('Inflation Data'!$C:$C,'Inflation Data'!$A:$A = AE$1))) + 'Fund YTD Contributions'!AE14,'Fund YTD Contributions'!AE14)"),860942.6463539018)</f>
        <v>860942.6464</v>
      </c>
      <c r="AF14" s="152">
        <f>IFERROR(__xludf.DUMMYFUNCTION("IFERROR(AE14 * (1 + AVERAGE(Filter('Inflation Data'!$C:$C,'Inflation Data'!$A:$A = AF$1))) + 'Fund YTD Contributions'!AF14,'Fund YTD Contributions'!AF14)"),881697.588746364)</f>
        <v>881697.5887</v>
      </c>
    </row>
    <row r="15">
      <c r="A15" s="151" t="str">
        <f>'Endowed Funds'!A:A</f>
        <v>Four Corners Children's Education Fund</v>
      </c>
      <c r="B15" s="152" t="str">
        <f>IFERROR(__xludf.DUMMYFUNCTION("IFERROR(A15 * (1 + AVERAGE(Filter('Inflation Data'!$C:$C,'Inflation Data'!$A:$A = B$1))) + 'Fund YTD Contributions'!B15,'Fund YTD Contributions'!B15)"),"  ")</f>
        <v/>
      </c>
      <c r="C15" s="152">
        <f>IFERROR(__xludf.DUMMYFUNCTION("IFERROR(B15 * (1 + AVERAGE(Filter('Inflation Data'!$C:$C,'Inflation Data'!$A:$A = C$1))) + 'Fund YTD Contributions'!C15,'Fund YTD Contributions'!C15)"),0.0)</f>
        <v>0</v>
      </c>
      <c r="D15" s="152">
        <f>IFERROR(__xludf.DUMMYFUNCTION("IFERROR(C15 * (1 + AVERAGE(Filter('Inflation Data'!$C:$C,'Inflation Data'!$A:$A = D$1))) + 'Fund YTD Contributions'!D15,'Fund YTD Contributions'!D15)"),0.0)</f>
        <v>0</v>
      </c>
      <c r="E15" s="152">
        <f>IFERROR(__xludf.DUMMYFUNCTION("IFERROR(D15 * (1 + AVERAGE(Filter('Inflation Data'!$C:$C,'Inflation Data'!$A:$A = E$1))) + 'Fund YTD Contributions'!E15,'Fund YTD Contributions'!E15)"),0.0)</f>
        <v>0</v>
      </c>
      <c r="F15" s="152">
        <f>IFERROR(__xludf.DUMMYFUNCTION("IFERROR(E15 * (1 + AVERAGE(Filter('Inflation Data'!$C:$C,'Inflation Data'!$A:$A = F$1))) + 'Fund YTD Contributions'!F15,'Fund YTD Contributions'!F15)"),0.0)</f>
        <v>0</v>
      </c>
      <c r="G15" s="152">
        <f>IFERROR(__xludf.DUMMYFUNCTION("IFERROR(F15 * (1 + AVERAGE(Filter('Inflation Data'!$C:$C,'Inflation Data'!$A:$A = G$1))) + 'Fund YTD Contributions'!G15,'Fund YTD Contributions'!G15)"),0.0)</f>
        <v>0</v>
      </c>
      <c r="H15" s="152">
        <f>IFERROR(__xludf.DUMMYFUNCTION("IFERROR(G15 * (1 + AVERAGE(Filter('Inflation Data'!$C:$C,'Inflation Data'!$A:$A = H$1))) + 'Fund YTD Contributions'!H15,'Fund YTD Contributions'!H15)"),0.0)</f>
        <v>0</v>
      </c>
      <c r="I15" s="152">
        <f>IFERROR(__xludf.DUMMYFUNCTION("IFERROR(H15 * (1 + AVERAGE(Filter('Inflation Data'!$C:$C,'Inflation Data'!$A:$A = I$1))) + 'Fund YTD Contributions'!I15,'Fund YTD Contributions'!I15)"),0.0)</f>
        <v>0</v>
      </c>
      <c r="J15" s="152">
        <f>IFERROR(__xludf.DUMMYFUNCTION("IFERROR(I15 * (1 + AVERAGE(Filter('Inflation Data'!$C:$C,'Inflation Data'!$A:$A = J$1))) + 'Fund YTD Contributions'!J15,'Fund YTD Contributions'!J15)"),0.0)</f>
        <v>0</v>
      </c>
      <c r="K15" s="152">
        <f>IFERROR(__xludf.DUMMYFUNCTION("IFERROR(J15 * (1 + AVERAGE(Filter('Inflation Data'!$C:$C,'Inflation Data'!$A:$A = K$1))) + 'Fund YTD Contributions'!K15,'Fund YTD Contributions'!K15)"),0.0)</f>
        <v>0</v>
      </c>
      <c r="L15" s="152">
        <f>IFERROR(__xludf.DUMMYFUNCTION("IFERROR(K15 * (1 + AVERAGE(Filter('Inflation Data'!$C:$C,'Inflation Data'!$A:$A = L$1))) + 'Fund YTD Contributions'!L15,'Fund YTD Contributions'!L15)"),0.0)</f>
        <v>0</v>
      </c>
      <c r="M15" s="152">
        <f>IFERROR(__xludf.DUMMYFUNCTION("IFERROR(L15 * (1 + AVERAGE(Filter('Inflation Data'!$C:$C,'Inflation Data'!$A:$A = M$1))) + 'Fund YTD Contributions'!M15,'Fund YTD Contributions'!M15)"),0.0)</f>
        <v>0</v>
      </c>
      <c r="N15" s="152">
        <f>IFERROR(__xludf.DUMMYFUNCTION("IFERROR(M15 * (1 + AVERAGE(Filter('Inflation Data'!$C:$C,'Inflation Data'!$A:$A = N$1))) + 'Fund YTD Contributions'!N15,'Fund YTD Contributions'!N15)"),0.0)</f>
        <v>0</v>
      </c>
      <c r="O15" s="152">
        <f>IFERROR(__xludf.DUMMYFUNCTION("IFERROR(N15 * (1 + AVERAGE(Filter('Inflation Data'!$C:$C,'Inflation Data'!$A:$A = O$1))) + 'Fund YTD Contributions'!O15,'Fund YTD Contributions'!O15)"),0.0)</f>
        <v>0</v>
      </c>
      <c r="P15" s="152">
        <f>IFERROR(__xludf.DUMMYFUNCTION("IFERROR(O15 * (1 + AVERAGE(Filter('Inflation Data'!$C:$C,'Inflation Data'!$A:$A = P$1))) + 'Fund YTD Contributions'!P15,'Fund YTD Contributions'!P15)"),104901.77)</f>
        <v>104901.77</v>
      </c>
      <c r="Q15" s="152">
        <f>IFERROR(__xludf.DUMMYFUNCTION("IFERROR(P15 * (1 + AVERAGE(Filter('Inflation Data'!$C:$C,'Inflation Data'!$A:$A = Q$1))) + 'Fund YTD Contributions'!Q15,'Fund YTD Contributions'!Q15)"),227458.29368805938)</f>
        <v>227458.2937</v>
      </c>
      <c r="R15" s="152">
        <f>IFERROR(__xludf.DUMMYFUNCTION("IFERROR(Q15 * (1 + AVERAGE(Filter('Inflation Data'!$C:$C,'Inflation Data'!$A:$A = R$1))) + 'Fund YTD Contributions'!R15,'Fund YTD Contributions'!R15)"),490263.5200677079)</f>
        <v>490263.5201</v>
      </c>
      <c r="S15" s="152">
        <f>IFERROR(__xludf.DUMMYFUNCTION("IFERROR(R15 * (1 + AVERAGE(Filter('Inflation Data'!$C:$C,'Inflation Data'!$A:$A = S$1))) + 'Fund YTD Contributions'!S15,'Fund YTD Contributions'!S15)"),550090.9849011848)</f>
        <v>550090.9849</v>
      </c>
      <c r="T15" s="152">
        <f>IFERROR(__xludf.DUMMYFUNCTION("IFERROR(S15 * (1 + AVERAGE(Filter('Inflation Data'!$C:$C,'Inflation Data'!$A:$A = T$1))) + 'Fund YTD Contributions'!T15,'Fund YTD Contributions'!T15)"),581245.4647964787)</f>
        <v>581245.4648</v>
      </c>
      <c r="U15" s="152">
        <f>IFERROR(__xludf.DUMMYFUNCTION("IFERROR(T15 * (1 + AVERAGE(Filter('Inflation Data'!$C:$C,'Inflation Data'!$A:$A = U$1))) + 'Fund YTD Contributions'!U15,'Fund YTD Contributions'!U15)"),584282.0176163962)</f>
        <v>584282.0176</v>
      </c>
      <c r="V15" s="152">
        <f>IFERROR(__xludf.DUMMYFUNCTION("IFERROR(U15 * (1 + AVERAGE(Filter('Inflation Data'!$C:$C,'Inflation Data'!$A:$A = V$1))) + 'Fund YTD Contributions'!V15,'Fund YTD Contributions'!V15)"),603889.4808644364)</f>
        <v>603889.4809</v>
      </c>
      <c r="W15" s="152">
        <f>IFERROR(__xludf.DUMMYFUNCTION("IFERROR(V15 * (1 + AVERAGE(Filter('Inflation Data'!$C:$C,'Inflation Data'!$A:$A = W$1))) + 'Fund YTD Contributions'!W15,'Fund YTD Contributions'!W15)"),624943.4103700962)</f>
        <v>624943.4104</v>
      </c>
      <c r="X15" s="152">
        <f>IFERROR(__xludf.DUMMYFUNCTION("IFERROR(W15 * (1 + AVERAGE(Filter('Inflation Data'!$C:$C,'Inflation Data'!$A:$A = X$1))) + 'Fund YTD Contributions'!X15,'Fund YTD Contributions'!X15)"),642309.6916892559)</f>
        <v>642309.6917</v>
      </c>
      <c r="Y15" s="152">
        <f>IFERROR(__xludf.DUMMYFUNCTION("IFERROR(X15 * (1 + AVERAGE(Filter('Inflation Data'!$C:$C,'Inflation Data'!$A:$A = Y$1))) + 'Fund YTD Contributions'!Y15,'Fund YTD Contributions'!Y15)"),651726.2442344334)</f>
        <v>651726.2442</v>
      </c>
      <c r="Z15" s="152">
        <f>IFERROR(__xludf.DUMMYFUNCTION("IFERROR(Y15 * (1 + AVERAGE(Filter('Inflation Data'!$C:$C,'Inflation Data'!$A:$A = Z$1))) + 'Fund YTD Contributions'!Z15,'Fund YTD Contributions'!Z15)"),662296.6235268419)</f>
        <v>662296.6235</v>
      </c>
      <c r="AA15" s="152">
        <f>IFERROR(__xludf.DUMMYFUNCTION("IFERROR(Z15 * (1 + AVERAGE(Filter('Inflation Data'!$C:$C,'Inflation Data'!$A:$A = AA$1))) + 'Fund YTD Contributions'!AA15,'Fund YTD Contributions'!AA15)"),663084.0912870718)</f>
        <v>663084.0913</v>
      </c>
      <c r="AB15" s="152">
        <f>IFERROR(__xludf.DUMMYFUNCTION("IFERROR(AA15 * (1 + AVERAGE(Filter('Inflation Data'!$C:$C,'Inflation Data'!$A:$A = AB$1))) + 'Fund YTD Contributions'!AB15,'Fund YTD Contributions'!AB15)"),671451.1770580491)</f>
        <v>671451.1771</v>
      </c>
      <c r="AC15" s="152">
        <f>IFERROR(__xludf.DUMMYFUNCTION("IFERROR(AB15 * (1 + AVERAGE(Filter('Inflation Data'!$C:$C,'Inflation Data'!$A:$A = AC$1))) + 'Fund YTD Contributions'!AC15,'Fund YTD Contributions'!AC15)"),685763.9305623067)</f>
        <v>685763.9306</v>
      </c>
      <c r="AD15" s="152">
        <f>IFERROR(__xludf.DUMMYFUNCTION("IFERROR(AC15 * (1 + AVERAGE(Filter('Inflation Data'!$C:$C,'Inflation Data'!$A:$A = AD$1))) + 'Fund YTD Contributions'!AD15,'Fund YTD Contributions'!AD15)"),702514.980315066)</f>
        <v>702514.9803</v>
      </c>
      <c r="AE15" s="152">
        <f>IFERROR(__xludf.DUMMYFUNCTION("IFERROR(AD15 * (1 + AVERAGE(Filter('Inflation Data'!$C:$C,'Inflation Data'!$A:$A = AE$1))) + 'Fund YTD Contributions'!AE15,'Fund YTD Contributions'!AE15)"),715243.4084152445)</f>
        <v>715243.4084</v>
      </c>
      <c r="AF15" s="152">
        <f>IFERROR(__xludf.DUMMYFUNCTION("IFERROR(AE15 * (1 + AVERAGE(Filter('Inflation Data'!$C:$C,'Inflation Data'!$A:$A = AF$1))) + 'Fund YTD Contributions'!AF15,'Fund YTD Contributions'!AF15)"),732485.9457678949)</f>
        <v>732485.9458</v>
      </c>
    </row>
    <row r="16">
      <c r="A16" s="151" t="str">
        <f>'Endowed Funds'!A:A</f>
        <v>Grace M. and Thor E. Larsen Education Fund</v>
      </c>
      <c r="B16" s="152" t="str">
        <f>IFERROR(__xludf.DUMMYFUNCTION("IFERROR(A16 * (1 + AVERAGE(Filter('Inflation Data'!$C:$C,'Inflation Data'!$A:$A = B$1))) + 'Fund YTD Contributions'!B16,'Fund YTD Contributions'!B16)"),"  ")</f>
        <v/>
      </c>
      <c r="C16" s="152">
        <f>IFERROR(__xludf.DUMMYFUNCTION("IFERROR(B16 * (1 + AVERAGE(Filter('Inflation Data'!$C:$C,'Inflation Data'!$A:$A = C$1))) + 'Fund YTD Contributions'!C16,'Fund YTD Contributions'!C16)"),0.0)</f>
        <v>0</v>
      </c>
      <c r="D16" s="152">
        <f>IFERROR(__xludf.DUMMYFUNCTION("IFERROR(C16 * (1 + AVERAGE(Filter('Inflation Data'!$C:$C,'Inflation Data'!$A:$A = D$1))) + 'Fund YTD Contributions'!D16,'Fund YTD Contributions'!D16)"),0.0)</f>
        <v>0</v>
      </c>
      <c r="E16" s="152">
        <f>IFERROR(__xludf.DUMMYFUNCTION("IFERROR(D16 * (1 + AVERAGE(Filter('Inflation Data'!$C:$C,'Inflation Data'!$A:$A = E$1))) + 'Fund YTD Contributions'!E16,'Fund YTD Contributions'!E16)"),0.0)</f>
        <v>0</v>
      </c>
      <c r="F16" s="152">
        <f>IFERROR(__xludf.DUMMYFUNCTION("IFERROR(E16 * (1 + AVERAGE(Filter('Inflation Data'!$C:$C,'Inflation Data'!$A:$A = F$1))) + 'Fund YTD Contributions'!F16,'Fund YTD Contributions'!F16)"),0.0)</f>
        <v>0</v>
      </c>
      <c r="G16" s="152">
        <f>IFERROR(__xludf.DUMMYFUNCTION("IFERROR(F16 * (1 + AVERAGE(Filter('Inflation Data'!$C:$C,'Inflation Data'!$A:$A = G$1))) + 'Fund YTD Contributions'!G16,'Fund YTD Contributions'!G16)"),0.0)</f>
        <v>0</v>
      </c>
      <c r="H16" s="152">
        <f>IFERROR(__xludf.DUMMYFUNCTION("IFERROR(G16 * (1 + AVERAGE(Filter('Inflation Data'!$C:$C,'Inflation Data'!$A:$A = H$1))) + 'Fund YTD Contributions'!H16,'Fund YTD Contributions'!H16)"),0.0)</f>
        <v>0</v>
      </c>
      <c r="I16" s="152">
        <f>IFERROR(__xludf.DUMMYFUNCTION("IFERROR(H16 * (1 + AVERAGE(Filter('Inflation Data'!$C:$C,'Inflation Data'!$A:$A = I$1))) + 'Fund YTD Contributions'!I16,'Fund YTD Contributions'!I16)"),0.0)</f>
        <v>0</v>
      </c>
      <c r="J16" s="152">
        <f>IFERROR(__xludf.DUMMYFUNCTION("IFERROR(I16 * (1 + AVERAGE(Filter('Inflation Data'!$C:$C,'Inflation Data'!$A:$A = J$1))) + 'Fund YTD Contributions'!J16,'Fund YTD Contributions'!J16)"),0.0)</f>
        <v>0</v>
      </c>
      <c r="K16" s="152">
        <f>IFERROR(__xludf.DUMMYFUNCTION("IFERROR(J16 * (1 + AVERAGE(Filter('Inflation Data'!$C:$C,'Inflation Data'!$A:$A = K$1))) + 'Fund YTD Contributions'!K16,'Fund YTD Contributions'!K16)"),0.0)</f>
        <v>0</v>
      </c>
      <c r="L16" s="152">
        <f>IFERROR(__xludf.DUMMYFUNCTION("IFERROR(K16 * (1 + AVERAGE(Filter('Inflation Data'!$C:$C,'Inflation Data'!$A:$A = L$1))) + 'Fund YTD Contributions'!L16,'Fund YTD Contributions'!L16)"),0.0)</f>
        <v>0</v>
      </c>
      <c r="M16" s="152">
        <f>IFERROR(__xludf.DUMMYFUNCTION("IFERROR(L16 * (1 + AVERAGE(Filter('Inflation Data'!$C:$C,'Inflation Data'!$A:$A = M$1))) + 'Fund YTD Contributions'!M16,'Fund YTD Contributions'!M16)"),0.0)</f>
        <v>0</v>
      </c>
      <c r="N16" s="152">
        <f>IFERROR(__xludf.DUMMYFUNCTION("IFERROR(M16 * (1 + AVERAGE(Filter('Inflation Data'!$C:$C,'Inflation Data'!$A:$A = N$1))) + 'Fund YTD Contributions'!N16,'Fund YTD Contributions'!N16)"),0.0)</f>
        <v>0</v>
      </c>
      <c r="O16" s="152">
        <f>IFERROR(__xludf.DUMMYFUNCTION("IFERROR(N16 * (1 + AVERAGE(Filter('Inflation Data'!$C:$C,'Inflation Data'!$A:$A = O$1))) + 'Fund YTD Contributions'!O16,'Fund YTD Contributions'!O16)"),0.0)</f>
        <v>0</v>
      </c>
      <c r="P16" s="152">
        <f>IFERROR(__xludf.DUMMYFUNCTION("IFERROR(O16 * (1 + AVERAGE(Filter('Inflation Data'!$C:$C,'Inflation Data'!$A:$A = P$1))) + 'Fund YTD Contributions'!P16,'Fund YTD Contributions'!P16)"),0.0)</f>
        <v>0</v>
      </c>
      <c r="Q16" s="152">
        <f>IFERROR(__xludf.DUMMYFUNCTION("IFERROR(P16 * (1 + AVERAGE(Filter('Inflation Data'!$C:$C,'Inflation Data'!$A:$A = Q$1))) + 'Fund YTD Contributions'!Q16,'Fund YTD Contributions'!Q16)"),0.0)</f>
        <v>0</v>
      </c>
      <c r="R16" s="152">
        <f>IFERROR(__xludf.DUMMYFUNCTION("IFERROR(Q16 * (1 + AVERAGE(Filter('Inflation Data'!$C:$C,'Inflation Data'!$A:$A = R$1))) + 'Fund YTD Contributions'!R16,'Fund YTD Contributions'!R16)"),0.0)</f>
        <v>0</v>
      </c>
      <c r="S16" s="152">
        <f>IFERROR(__xludf.DUMMYFUNCTION("IFERROR(R16 * (1 + AVERAGE(Filter('Inflation Data'!$C:$C,'Inflation Data'!$A:$A = S$1))) + 'Fund YTD Contributions'!S16,'Fund YTD Contributions'!S16)"),0.0)</f>
        <v>0</v>
      </c>
      <c r="T16" s="152">
        <f>IFERROR(__xludf.DUMMYFUNCTION("IFERROR(S16 * (1 + AVERAGE(Filter('Inflation Data'!$C:$C,'Inflation Data'!$A:$A = T$1))) + 'Fund YTD Contributions'!T16,'Fund YTD Contributions'!T16)"),10000.0)</f>
        <v>10000</v>
      </c>
      <c r="U16" s="152">
        <f>IFERROR(__xludf.DUMMYFUNCTION("IFERROR(T16 * (1 + AVERAGE(Filter('Inflation Data'!$C:$C,'Inflation Data'!$A:$A = U$1))) + 'Fund YTD Contributions'!U16,'Fund YTD Contributions'!U16)"),19966.22)</f>
        <v>19966.22</v>
      </c>
      <c r="V16" s="152">
        <f>IFERROR(__xludf.DUMMYFUNCTION("IFERROR(U16 * (1 + AVERAGE(Filter('Inflation Data'!$C:$C,'Inflation Data'!$A:$A = V$1))) + 'Fund YTD Contributions'!V16,'Fund YTD Contributions'!V16)"),40294.528452200604)</f>
        <v>40294.52845</v>
      </c>
      <c r="W16" s="152">
        <f>IFERROR(__xludf.DUMMYFUNCTION("IFERROR(V16 * (1 + AVERAGE(Filter('Inflation Data'!$C:$C,'Inflation Data'!$A:$A = W$1))) + 'Fund YTD Contributions'!W16,'Fund YTD Contributions'!W16)"),61565.90198812147)</f>
        <v>61565.90199</v>
      </c>
      <c r="X16" s="152">
        <f>IFERROR(__xludf.DUMMYFUNCTION("IFERROR(W16 * (1 + AVERAGE(Filter('Inflation Data'!$C:$C,'Inflation Data'!$A:$A = X$1))) + 'Fund YTD Contributions'!X16,'Fund YTD Contributions'!X16)"),92842.28178921982)</f>
        <v>92842.28179</v>
      </c>
      <c r="Y16" s="152">
        <f>IFERROR(__xludf.DUMMYFUNCTION("IFERROR(X16 * (1 + AVERAGE(Filter('Inflation Data'!$C:$C,'Inflation Data'!$A:$A = Y$1))) + 'Fund YTD Contributions'!Y16,'Fund YTD Contributions'!Y16)"),104203.39191443543)</f>
        <v>104203.3919</v>
      </c>
      <c r="Z16" s="152">
        <f>IFERROR(__xludf.DUMMYFUNCTION("IFERROR(Y16 * (1 + AVERAGE(Filter('Inflation Data'!$C:$C,'Inflation Data'!$A:$A = Z$1))) + 'Fund YTD Contributions'!Z16,'Fund YTD Contributions'!Z16)"),115893.47173834208)</f>
        <v>115893.4717</v>
      </c>
      <c r="AA16" s="152">
        <f>IFERROR(__xludf.DUMMYFUNCTION("IFERROR(Z16 * (1 + AVERAGE(Filter('Inflation Data'!$C:$C,'Inflation Data'!$A:$A = AA$1))) + 'Fund YTD Contributions'!AA16,'Fund YTD Contributions'!AA16)"),131031.26856437614)</f>
        <v>131031.2686</v>
      </c>
      <c r="AB16" s="152">
        <f>IFERROR(__xludf.DUMMYFUNCTION("IFERROR(AA16 * (1 + AVERAGE(Filter('Inflation Data'!$C:$C,'Inflation Data'!$A:$A = AB$1))) + 'Fund YTD Contributions'!AB16,'Fund YTD Contributions'!AB16)"),147684.67855741343)</f>
        <v>147684.6786</v>
      </c>
      <c r="AC16" s="152">
        <f>IFERROR(__xludf.DUMMYFUNCTION("IFERROR(AB16 * (1 + AVERAGE(Filter('Inflation Data'!$C:$C,'Inflation Data'!$A:$A = AC$1))) + 'Fund YTD Contributions'!AC16,'Fund YTD Contributions'!AC16)"),165832.74720748153)</f>
        <v>165832.7472</v>
      </c>
      <c r="AD16" s="152">
        <f>IFERROR(__xludf.DUMMYFUNCTION("IFERROR(AC16 * (1 + AVERAGE(Filter('Inflation Data'!$C:$C,'Inflation Data'!$A:$A = AD$1))) + 'Fund YTD Contributions'!AD16,'Fund YTD Contributions'!AD16)"),184883.51814381743)</f>
        <v>184883.5181</v>
      </c>
      <c r="AE16" s="152">
        <f>IFERROR(__xludf.DUMMYFUNCTION("IFERROR(AD16 * (1 + AVERAGE(Filter('Inflation Data'!$C:$C,'Inflation Data'!$A:$A = AE$1))) + 'Fund YTD Contributions'!AE16,'Fund YTD Contributions'!AE16)"),203233.30659465762)</f>
        <v>203233.3066</v>
      </c>
      <c r="AF16" s="152">
        <f>IFERROR(__xludf.DUMMYFUNCTION("IFERROR(AE16 * (1 + AVERAGE(Filter('Inflation Data'!$C:$C,'Inflation Data'!$A:$A = AF$1))) + 'Fund YTD Contributions'!AF16,'Fund YTD Contributions'!AF16)"),208132.69866039557)</f>
        <v>208132.6987</v>
      </c>
    </row>
    <row r="17">
      <c r="A17" s="151" t="str">
        <f>'Endowed Funds'!A:A</f>
        <v>Lew Matis Education Fund</v>
      </c>
      <c r="B17" s="152" t="str">
        <f>IFERROR(__xludf.DUMMYFUNCTION("IFERROR(A17 * (1 + AVERAGE(Filter('Inflation Data'!$C:$C,'Inflation Data'!$A:$A = B$1))) + 'Fund YTD Contributions'!B17,'Fund YTD Contributions'!B17)"),"  ")</f>
        <v/>
      </c>
      <c r="C17" s="152">
        <f>IFERROR(__xludf.DUMMYFUNCTION("IFERROR(B17 * (1 + AVERAGE(Filter('Inflation Data'!$C:$C,'Inflation Data'!$A:$A = C$1))) + 'Fund YTD Contributions'!C17,'Fund YTD Contributions'!C17)"),0.0)</f>
        <v>0</v>
      </c>
      <c r="D17" s="152">
        <f>IFERROR(__xludf.DUMMYFUNCTION("IFERROR(C17 * (1 + AVERAGE(Filter('Inflation Data'!$C:$C,'Inflation Data'!$A:$A = D$1))) + 'Fund YTD Contributions'!D17,'Fund YTD Contributions'!D17)"),0.0)</f>
        <v>0</v>
      </c>
      <c r="E17" s="152">
        <f>IFERROR(__xludf.DUMMYFUNCTION("IFERROR(D17 * (1 + AVERAGE(Filter('Inflation Data'!$C:$C,'Inflation Data'!$A:$A = E$1))) + 'Fund YTD Contributions'!E17,'Fund YTD Contributions'!E17)"),0.0)</f>
        <v>0</v>
      </c>
      <c r="F17" s="152">
        <f>IFERROR(__xludf.DUMMYFUNCTION("IFERROR(E17 * (1 + AVERAGE(Filter('Inflation Data'!$C:$C,'Inflation Data'!$A:$A = F$1))) + 'Fund YTD Contributions'!F17,'Fund YTD Contributions'!F17)"),0.0)</f>
        <v>0</v>
      </c>
      <c r="G17" s="152">
        <f>IFERROR(__xludf.DUMMYFUNCTION("IFERROR(F17 * (1 + AVERAGE(Filter('Inflation Data'!$C:$C,'Inflation Data'!$A:$A = G$1))) + 'Fund YTD Contributions'!G17,'Fund YTD Contributions'!G17)"),0.0)</f>
        <v>0</v>
      </c>
      <c r="H17" s="152">
        <f>IFERROR(__xludf.DUMMYFUNCTION("IFERROR(G17 * (1 + AVERAGE(Filter('Inflation Data'!$C:$C,'Inflation Data'!$A:$A = H$1))) + 'Fund YTD Contributions'!H17,'Fund YTD Contributions'!H17)"),0.0)</f>
        <v>0</v>
      </c>
      <c r="I17" s="152">
        <f>IFERROR(__xludf.DUMMYFUNCTION("IFERROR(H17 * (1 + AVERAGE(Filter('Inflation Data'!$C:$C,'Inflation Data'!$A:$A = I$1))) + 'Fund YTD Contributions'!I17,'Fund YTD Contributions'!I17)"),0.0)</f>
        <v>0</v>
      </c>
      <c r="J17" s="152">
        <f>IFERROR(__xludf.DUMMYFUNCTION("IFERROR(I17 * (1 + AVERAGE(Filter('Inflation Data'!$C:$C,'Inflation Data'!$A:$A = J$1))) + 'Fund YTD Contributions'!J17,'Fund YTD Contributions'!J17)"),0.0)</f>
        <v>0</v>
      </c>
      <c r="K17" s="152">
        <f>IFERROR(__xludf.DUMMYFUNCTION("IFERROR(J17 * (1 + AVERAGE(Filter('Inflation Data'!$C:$C,'Inflation Data'!$A:$A = K$1))) + 'Fund YTD Contributions'!K17,'Fund YTD Contributions'!K17)"),0.0)</f>
        <v>0</v>
      </c>
      <c r="L17" s="152">
        <f>IFERROR(__xludf.DUMMYFUNCTION("IFERROR(K17 * (1 + AVERAGE(Filter('Inflation Data'!$C:$C,'Inflation Data'!$A:$A = L$1))) + 'Fund YTD Contributions'!L17,'Fund YTD Contributions'!L17)"),0.0)</f>
        <v>0</v>
      </c>
      <c r="M17" s="152">
        <f>IFERROR(__xludf.DUMMYFUNCTION("IFERROR(L17 * (1 + AVERAGE(Filter('Inflation Data'!$C:$C,'Inflation Data'!$A:$A = M$1))) + 'Fund YTD Contributions'!M17,'Fund YTD Contributions'!M17)"),0.0)</f>
        <v>0</v>
      </c>
      <c r="N17" s="152">
        <f>IFERROR(__xludf.DUMMYFUNCTION("IFERROR(M17 * (1 + AVERAGE(Filter('Inflation Data'!$C:$C,'Inflation Data'!$A:$A = N$1))) + 'Fund YTD Contributions'!N17,'Fund YTD Contributions'!N17)"),0.0)</f>
        <v>0</v>
      </c>
      <c r="O17" s="152">
        <f>IFERROR(__xludf.DUMMYFUNCTION("IFERROR(N17 * (1 + AVERAGE(Filter('Inflation Data'!$C:$C,'Inflation Data'!$A:$A = O$1))) + 'Fund YTD Contributions'!O17,'Fund YTD Contributions'!O17)"),0.0)</f>
        <v>0</v>
      </c>
      <c r="P17" s="152">
        <f>IFERROR(__xludf.DUMMYFUNCTION("IFERROR(O17 * (1 + AVERAGE(Filter('Inflation Data'!$C:$C,'Inflation Data'!$A:$A = P$1))) + 'Fund YTD Contributions'!P17,'Fund YTD Contributions'!P17)"),0.0)</f>
        <v>0</v>
      </c>
      <c r="Q17" s="152">
        <f>IFERROR(__xludf.DUMMYFUNCTION("IFERROR(P17 * (1 + AVERAGE(Filter('Inflation Data'!$C:$C,'Inflation Data'!$A:$A = Q$1))) + 'Fund YTD Contributions'!Q17,'Fund YTD Contributions'!Q17)"),0.0)</f>
        <v>0</v>
      </c>
      <c r="R17" s="152">
        <f>IFERROR(__xludf.DUMMYFUNCTION("IFERROR(Q17 * (1 + AVERAGE(Filter('Inflation Data'!$C:$C,'Inflation Data'!$A:$A = R$1))) + 'Fund YTD Contributions'!R17,'Fund YTD Contributions'!R17)"),125393.74)</f>
        <v>125393.74</v>
      </c>
      <c r="S17" s="152">
        <f>IFERROR(__xludf.DUMMYFUNCTION("IFERROR(R17 * (1 + AVERAGE(Filter('Inflation Data'!$C:$C,'Inflation Data'!$A:$A = S$1))) + 'Fund YTD Contributions'!S17,'Fund YTD Contributions'!S17)"),131820.41174941993)</f>
        <v>131820.4117</v>
      </c>
      <c r="T17" s="152">
        <f>IFERROR(__xludf.DUMMYFUNCTION("IFERROR(S17 * (1 + AVERAGE(Filter('Inflation Data'!$C:$C,'Inflation Data'!$A:$A = T$1))) + 'Fund YTD Contributions'!T17,'Fund YTD Contributions'!T17)"),137289.74087257107)</f>
        <v>137289.7409</v>
      </c>
      <c r="U17" s="152">
        <f>IFERROR(__xludf.DUMMYFUNCTION("IFERROR(T17 * (1 + AVERAGE(Filter('Inflation Data'!$C:$C,'Inflation Data'!$A:$A = U$1))) + 'Fund YTD Contributions'!U17,'Fund YTD Contributions'!U17)"),137075.97612790353)</f>
        <v>137075.9761</v>
      </c>
      <c r="V17" s="152">
        <f>IFERROR(__xludf.DUMMYFUNCTION("IFERROR(U17 * (1 + AVERAGE(Filter('Inflation Data'!$C:$C,'Inflation Data'!$A:$A = V$1))) + 'Fund YTD Contributions'!V17,'Fund YTD Contributions'!V17)"),139579.94315603597)</f>
        <v>139579.9432</v>
      </c>
      <c r="W17" s="152">
        <f>IFERROR(__xludf.DUMMYFUNCTION("IFERROR(V17 * (1 + AVERAGE(Filter('Inflation Data'!$C:$C,'Inflation Data'!$A:$A = W$1))) + 'Fund YTD Contributions'!W17,'Fund YTD Contributions'!W17)"),144233.97151150941)</f>
        <v>144233.9715</v>
      </c>
      <c r="X17" s="152">
        <f>IFERROR(__xludf.DUMMYFUNCTION("IFERROR(W17 * (1 + AVERAGE(Filter('Inflation Data'!$C:$C,'Inflation Data'!$A:$A = X$1))) + 'Fund YTD Contributions'!X17,'Fund YTD Contributions'!X17)"),147534.2197158646)</f>
        <v>147534.2197</v>
      </c>
      <c r="Y17" s="152">
        <f>IFERROR(__xludf.DUMMYFUNCTION("IFERROR(X17 * (1 + AVERAGE(Filter('Inflation Data'!$C:$C,'Inflation Data'!$A:$A = Y$1))) + 'Fund YTD Contributions'!Y17,'Fund YTD Contributions'!Y17)"),149697.13855414724)</f>
        <v>149697.1386</v>
      </c>
      <c r="Z17" s="152">
        <f>IFERROR(__xludf.DUMMYFUNCTION("IFERROR(Y17 * (1 + AVERAGE(Filter('Inflation Data'!$C:$C,'Inflation Data'!$A:$A = Z$1))) + 'Fund YTD Contributions'!Z17,'Fund YTD Contributions'!Z17)"),152125.08364229437)</f>
        <v>152125.0836</v>
      </c>
      <c r="AA17" s="152">
        <f>IFERROR(__xludf.DUMMYFUNCTION("IFERROR(Z17 * (1 + AVERAGE(Filter('Inflation Data'!$C:$C,'Inflation Data'!$A:$A = AA$1))) + 'Fund YTD Contributions'!AA17,'Fund YTD Contributions'!AA17)"),152305.95969485925)</f>
        <v>152305.9597</v>
      </c>
      <c r="AB17" s="152">
        <f>IFERROR(__xludf.DUMMYFUNCTION("IFERROR(AA17 * (1 + AVERAGE(Filter('Inflation Data'!$C:$C,'Inflation Data'!$A:$A = AB$1))) + 'Fund YTD Contributions'!AB17,'Fund YTD Contributions'!AB17)"),154227.82306776015)</f>
        <v>154227.8231</v>
      </c>
      <c r="AC17" s="152">
        <f>IFERROR(__xludf.DUMMYFUNCTION("IFERROR(AB17 * (1 + AVERAGE(Filter('Inflation Data'!$C:$C,'Inflation Data'!$A:$A = AC$1))) + 'Fund YTD Contributions'!AC17,'Fund YTD Contributions'!AC17)"),157515.36636277512)</f>
        <v>157515.3664</v>
      </c>
      <c r="AD17" s="152">
        <f>IFERROR(__xludf.DUMMYFUNCTION("IFERROR(AC17 * (1 + AVERAGE(Filter('Inflation Data'!$C:$C,'Inflation Data'!$A:$A = AD$1))) + 'Fund YTD Contributions'!AD17,'Fund YTD Contributions'!AD17)"),161362.96992017337)</f>
        <v>161362.9699</v>
      </c>
      <c r="AE17" s="152">
        <f>IFERROR(__xludf.DUMMYFUNCTION("IFERROR(AD17 * (1 + AVERAGE(Filter('Inflation Data'!$C:$C,'Inflation Data'!$A:$A = AE$1))) + 'Fund YTD Contributions'!AE17,'Fund YTD Contributions'!AE17)"),164286.60431689338)</f>
        <v>164286.6043</v>
      </c>
      <c r="AF17" s="152">
        <f>IFERROR(__xludf.DUMMYFUNCTION("IFERROR(AE17 * (1 + AVERAGE(Filter('Inflation Data'!$C:$C,'Inflation Data'!$A:$A = AF$1))) + 'Fund YTD Contributions'!AF17,'Fund YTD Contributions'!AF17)"),168247.09927307974)</f>
        <v>168247.0993</v>
      </c>
    </row>
    <row r="18">
      <c r="A18" s="151" t="str">
        <f>'Endowed Funds'!A:A</f>
        <v>National Youth Education Scholarship Fund</v>
      </c>
      <c r="B18" s="152" t="str">
        <f>IFERROR(__xludf.DUMMYFUNCTION("IFERROR(A18 * (1 + AVERAGE(Filter('Inflation Data'!$C:$C,'Inflation Data'!$A:$A = B$1))) + 'Fund YTD Contributions'!B18,'Fund YTD Contributions'!B18)"),"  ")</f>
        <v/>
      </c>
      <c r="C18" s="152">
        <f>IFERROR(__xludf.DUMMYFUNCTION("IFERROR(B18 * (1 + AVERAGE(Filter('Inflation Data'!$C:$C,'Inflation Data'!$A:$A = C$1))) + 'Fund YTD Contributions'!C18,'Fund YTD Contributions'!C18)"),0.0)</f>
        <v>0</v>
      </c>
      <c r="D18" s="152">
        <f>IFERROR(__xludf.DUMMYFUNCTION("IFERROR(C18 * (1 + AVERAGE(Filter('Inflation Data'!$C:$C,'Inflation Data'!$A:$A = D$1))) + 'Fund YTD Contributions'!D18,'Fund YTD Contributions'!D18)"),0.0)</f>
        <v>0</v>
      </c>
      <c r="E18" s="152">
        <f>IFERROR(__xludf.DUMMYFUNCTION("IFERROR(D18 * (1 + AVERAGE(Filter('Inflation Data'!$C:$C,'Inflation Data'!$A:$A = E$1))) + 'Fund YTD Contributions'!E18,'Fund YTD Contributions'!E18)"),0.0)</f>
        <v>0</v>
      </c>
      <c r="F18" s="152">
        <f>IFERROR(__xludf.DUMMYFUNCTION("IFERROR(E18 * (1 + AVERAGE(Filter('Inflation Data'!$C:$C,'Inflation Data'!$A:$A = F$1))) + 'Fund YTD Contributions'!F18,'Fund YTD Contributions'!F18)"),0.0)</f>
        <v>0</v>
      </c>
      <c r="G18" s="152">
        <f>IFERROR(__xludf.DUMMYFUNCTION("IFERROR(F18 * (1 + AVERAGE(Filter('Inflation Data'!$C:$C,'Inflation Data'!$A:$A = G$1))) + 'Fund YTD Contributions'!G18,'Fund YTD Contributions'!G18)"),0.0)</f>
        <v>0</v>
      </c>
      <c r="H18" s="152">
        <f>IFERROR(__xludf.DUMMYFUNCTION("IFERROR(G18 * (1 + AVERAGE(Filter('Inflation Data'!$C:$C,'Inflation Data'!$A:$A = H$1))) + 'Fund YTD Contributions'!H18,'Fund YTD Contributions'!H18)"),0.0)</f>
        <v>0</v>
      </c>
      <c r="I18" s="152">
        <f>IFERROR(__xludf.DUMMYFUNCTION("IFERROR(H18 * (1 + AVERAGE(Filter('Inflation Data'!$C:$C,'Inflation Data'!$A:$A = I$1))) + 'Fund YTD Contributions'!I18,'Fund YTD Contributions'!I18)"),0.0)</f>
        <v>0</v>
      </c>
      <c r="J18" s="152">
        <f>IFERROR(__xludf.DUMMYFUNCTION("IFERROR(I18 * (1 + AVERAGE(Filter('Inflation Data'!$C:$C,'Inflation Data'!$A:$A = J$1))) + 'Fund YTD Contributions'!J18,'Fund YTD Contributions'!J18)"),0.0)</f>
        <v>0</v>
      </c>
      <c r="K18" s="152">
        <f>IFERROR(__xludf.DUMMYFUNCTION("IFERROR(J18 * (1 + AVERAGE(Filter('Inflation Data'!$C:$C,'Inflation Data'!$A:$A = K$1))) + 'Fund YTD Contributions'!K18,'Fund YTD Contributions'!K18)"),35279.57)</f>
        <v>35279.57</v>
      </c>
      <c r="L18" s="152">
        <f>IFERROR(__xludf.DUMMYFUNCTION("IFERROR(K18 * (1 + AVERAGE(Filter('Inflation Data'!$C:$C,'Inflation Data'!$A:$A = L$1))) + 'Fund YTD Contributions'!L18,'Fund YTD Contributions'!L18)"),99282.44202753248)</f>
        <v>99282.44203</v>
      </c>
      <c r="M18" s="152">
        <f>IFERROR(__xludf.DUMMYFUNCTION("IFERROR(L18 * (1 + AVERAGE(Filter('Inflation Data'!$C:$C,'Inflation Data'!$A:$A = M$1))) + 'Fund YTD Contributions'!M18,'Fund YTD Contributions'!M18)"),133879.6576653217)</f>
        <v>133879.6577</v>
      </c>
      <c r="N18" s="152">
        <f>IFERROR(__xludf.DUMMYFUNCTION("IFERROR(M18 * (1 + AVERAGE(Filter('Inflation Data'!$C:$C,'Inflation Data'!$A:$A = N$1))) + 'Fund YTD Contributions'!N18,'Fund YTD Contributions'!N18)"),180840.16336472234)</f>
        <v>180840.1634</v>
      </c>
      <c r="O18" s="152">
        <f>IFERROR(__xludf.DUMMYFUNCTION("IFERROR(N18 * (1 + AVERAGE(Filter('Inflation Data'!$C:$C,'Inflation Data'!$A:$A = O$1))) + 'Fund YTD Contributions'!O18,'Fund YTD Contributions'!O18)"),204949.3382158482)</f>
        <v>204949.3382</v>
      </c>
      <c r="P18" s="152">
        <f>IFERROR(__xludf.DUMMYFUNCTION("IFERROR(O18 * (1 + AVERAGE(Filter('Inflation Data'!$C:$C,'Inflation Data'!$A:$A = P$1))) + 'Fund YTD Contributions'!P18,'Fund YTD Contributions'!P18)"),260275.42955686376)</f>
        <v>260275.4296</v>
      </c>
      <c r="Q18" s="152">
        <f>IFERROR(__xludf.DUMMYFUNCTION("IFERROR(P18 * (1 + AVERAGE(Filter('Inflation Data'!$C:$C,'Inflation Data'!$A:$A = Q$1))) + 'Fund YTD Contributions'!Q18,'Fund YTD Contributions'!Q18)"),428112.6441591418)</f>
        <v>428112.6442</v>
      </c>
      <c r="R18" s="152">
        <f>IFERROR(__xludf.DUMMYFUNCTION("IFERROR(Q18 * (1 + AVERAGE(Filter('Inflation Data'!$C:$C,'Inflation Data'!$A:$A = R$1))) + 'Fund YTD Contributions'!R18,'Fund YTD Contributions'!R18)"),462149.03036659164)</f>
        <v>462149.0304</v>
      </c>
      <c r="S18" s="152">
        <f>IFERROR(__xludf.DUMMYFUNCTION("IFERROR(R18 * (1 + AVERAGE(Filter('Inflation Data'!$C:$C,'Inflation Data'!$A:$A = S$1))) + 'Fund YTD Contributions'!S18,'Fund YTD Contributions'!S18)"),485331.1507893018)</f>
        <v>485331.1508</v>
      </c>
      <c r="T18" s="152">
        <f>IFERROR(__xludf.DUMMYFUNCTION("IFERROR(S18 * (1 + AVERAGE(Filter('Inflation Data'!$C:$C,'Inflation Data'!$A:$A = T$1))) + 'Fund YTD Contributions'!T18,'Fund YTD Contributions'!T18)"),503995.20519800374)</f>
        <v>503995.2052</v>
      </c>
      <c r="U18" s="152">
        <f>IFERROR(__xludf.DUMMYFUNCTION("IFERROR(T18 * (1 + AVERAGE(Filter('Inflation Data'!$C:$C,'Inflation Data'!$A:$A = U$1))) + 'Fund YTD Contributions'!U18,'Fund YTD Contributions'!U18)"),502292.7093948449)</f>
        <v>502292.7094</v>
      </c>
      <c r="V18" s="152">
        <f>IFERROR(__xludf.DUMMYFUNCTION("IFERROR(U18 * (1 + AVERAGE(Filter('Inflation Data'!$C:$C,'Inflation Data'!$A:$A = V$1))) + 'Fund YTD Contributions'!V18,'Fund YTD Contributions'!V18)"),510552.00644621806)</f>
        <v>510552.0064</v>
      </c>
      <c r="W18" s="152">
        <f>IFERROR(__xludf.DUMMYFUNCTION("IFERROR(V18 * (1 + AVERAGE(Filter('Inflation Data'!$C:$C,'Inflation Data'!$A:$A = W$1))) + 'Fund YTD Contributions'!W18,'Fund YTD Contributions'!W18)"),526660.9506289753)</f>
        <v>526660.9506</v>
      </c>
      <c r="X18" s="152">
        <f>IFERROR(__xludf.DUMMYFUNCTION("IFERROR(W18 * (1 + AVERAGE(Filter('Inflation Data'!$C:$C,'Inflation Data'!$A:$A = X$1))) + 'Fund YTD Contributions'!X18,'Fund YTD Contributions'!X18)"),537579.647142831)</f>
        <v>537579.6471</v>
      </c>
      <c r="Y18" s="152">
        <f>IFERROR(__xludf.DUMMYFUNCTION("IFERROR(X18 * (1 + AVERAGE(Filter('Inflation Data'!$C:$C,'Inflation Data'!$A:$A = Y$1))) + 'Fund YTD Contributions'!Y18,'Fund YTD Contributions'!Y18)"),545460.8095478776)</f>
        <v>545460.8095</v>
      </c>
      <c r="Z18" s="152">
        <f>IFERROR(__xludf.DUMMYFUNCTION("IFERROR(Y18 * (1 + AVERAGE(Filter('Inflation Data'!$C:$C,'Inflation Data'!$A:$A = Z$1))) + 'Fund YTD Contributions'!Z18,'Fund YTD Contributions'!Z18)"),554307.6646455085)</f>
        <v>554307.6646</v>
      </c>
      <c r="AA18" s="152">
        <f>IFERROR(__xludf.DUMMYFUNCTION("IFERROR(Z18 * (1 + AVERAGE(Filter('Inflation Data'!$C:$C,'Inflation Data'!$A:$A = AA$1))) + 'Fund YTD Contributions'!AA18,'Fund YTD Contributions'!AA18)"),554966.7340105798)</f>
        <v>554966.734</v>
      </c>
      <c r="AB18" s="152">
        <f>IFERROR(__xludf.DUMMYFUNCTION("IFERROR(AA18 * (1 + AVERAGE(Filter('Inflation Data'!$C:$C,'Inflation Data'!$A:$A = AB$1))) + 'Fund YTD Contributions'!AB18,'Fund YTD Contributions'!AB18)"),561969.547566991)</f>
        <v>561969.5476</v>
      </c>
      <c r="AC18" s="152">
        <f>IFERROR(__xludf.DUMMYFUNCTION("IFERROR(AB18 * (1 + AVERAGE(Filter('Inflation Data'!$C:$C,'Inflation Data'!$A:$A = AC$1))) + 'Fund YTD Contributions'!AC18,'Fund YTD Contributions'!AC18)"),573948.5743168839)</f>
        <v>573948.5743</v>
      </c>
      <c r="AD18" s="152">
        <f>IFERROR(__xludf.DUMMYFUNCTION("IFERROR(AC18 * (1 + AVERAGE(Filter('Inflation Data'!$C:$C,'Inflation Data'!$A:$A = AD$1))) + 'Fund YTD Contributions'!AD18,'Fund YTD Contributions'!AD18)"),587968.3276101549)</f>
        <v>587968.3276</v>
      </c>
      <c r="AE18" s="152">
        <f>IFERROR(__xludf.DUMMYFUNCTION("IFERROR(AD18 * (1 + AVERAGE(Filter('Inflation Data'!$C:$C,'Inflation Data'!$A:$A = AE$1))) + 'Fund YTD Contributions'!AE18,'Fund YTD Contributions'!AE18)"),598621.3567879978)</f>
        <v>598621.3568</v>
      </c>
      <c r="AF18" s="152">
        <f>IFERROR(__xludf.DUMMYFUNCTION("IFERROR(AE18 * (1 + AVERAGE(Filter('Inflation Data'!$C:$C,'Inflation Data'!$A:$A = AF$1))) + 'Fund YTD Contributions'!AF18,'Fund YTD Contributions'!AF18)"),613052.4595189982)</f>
        <v>613052.4595</v>
      </c>
    </row>
    <row r="19">
      <c r="A19" s="151" t="str">
        <f>'Endowed Funds'!A:A</f>
        <v>Navajo Education Fund</v>
      </c>
      <c r="B19" s="152" t="str">
        <f>IFERROR(__xludf.DUMMYFUNCTION("IFERROR(A19 * (1 + AVERAGE(Filter('Inflation Data'!$C:$C,'Inflation Data'!$A:$A = B$1))) + 'Fund YTD Contributions'!B19,'Fund YTD Contributions'!B19)"),"  ")</f>
        <v/>
      </c>
      <c r="C19" s="152">
        <f>IFERROR(__xludf.DUMMYFUNCTION("IFERROR(B19 * (1 + AVERAGE(Filter('Inflation Data'!$C:$C,'Inflation Data'!$A:$A = C$1))) + 'Fund YTD Contributions'!C19,'Fund YTD Contributions'!C19)"),0.0)</f>
        <v>0</v>
      </c>
      <c r="D19" s="152">
        <f>IFERROR(__xludf.DUMMYFUNCTION("IFERROR(C19 * (1 + AVERAGE(Filter('Inflation Data'!$C:$C,'Inflation Data'!$A:$A = D$1))) + 'Fund YTD Contributions'!D19,'Fund YTD Contributions'!D19)"),0.0)</f>
        <v>0</v>
      </c>
      <c r="E19" s="152">
        <f>IFERROR(__xludf.DUMMYFUNCTION("IFERROR(D19 * (1 + AVERAGE(Filter('Inflation Data'!$C:$C,'Inflation Data'!$A:$A = E$1))) + 'Fund YTD Contributions'!E19,'Fund YTD Contributions'!E19)"),0.0)</f>
        <v>0</v>
      </c>
      <c r="F19" s="152">
        <f>IFERROR(__xludf.DUMMYFUNCTION("IFERROR(E19 * (1 + AVERAGE(Filter('Inflation Data'!$C:$C,'Inflation Data'!$A:$A = F$1))) + 'Fund YTD Contributions'!F19,'Fund YTD Contributions'!F19)"),0.0)</f>
        <v>0</v>
      </c>
      <c r="G19" s="152">
        <f>IFERROR(__xludf.DUMMYFUNCTION("IFERROR(F19 * (1 + AVERAGE(Filter('Inflation Data'!$C:$C,'Inflation Data'!$A:$A = G$1))) + 'Fund YTD Contributions'!G19,'Fund YTD Contributions'!G19)"),0.0)</f>
        <v>0</v>
      </c>
      <c r="H19" s="152">
        <f>IFERROR(__xludf.DUMMYFUNCTION("IFERROR(G19 * (1 + AVERAGE(Filter('Inflation Data'!$C:$C,'Inflation Data'!$A:$A = H$1))) + 'Fund YTD Contributions'!H19,'Fund YTD Contributions'!H19)"),0.0)</f>
        <v>0</v>
      </c>
      <c r="I19" s="152">
        <f>IFERROR(__xludf.DUMMYFUNCTION("IFERROR(H19 * (1 + AVERAGE(Filter('Inflation Data'!$C:$C,'Inflation Data'!$A:$A = I$1))) + 'Fund YTD Contributions'!I19,'Fund YTD Contributions'!I19)"),0.0)</f>
        <v>0</v>
      </c>
      <c r="J19" s="152">
        <f>IFERROR(__xludf.DUMMYFUNCTION("IFERROR(I19 * (1 + AVERAGE(Filter('Inflation Data'!$C:$C,'Inflation Data'!$A:$A = J$1))) + 'Fund YTD Contributions'!J19,'Fund YTD Contributions'!J19)"),0.0)</f>
        <v>0</v>
      </c>
      <c r="K19" s="152">
        <f>IFERROR(__xludf.DUMMYFUNCTION("IFERROR(J19 * (1 + AVERAGE(Filter('Inflation Data'!$C:$C,'Inflation Data'!$A:$A = K$1))) + 'Fund YTD Contributions'!K19,'Fund YTD Contributions'!K19)"),0.0)</f>
        <v>0</v>
      </c>
      <c r="L19" s="152">
        <f>IFERROR(__xludf.DUMMYFUNCTION("IFERROR(K19 * (1 + AVERAGE(Filter('Inflation Data'!$C:$C,'Inflation Data'!$A:$A = L$1))) + 'Fund YTD Contributions'!L19,'Fund YTD Contributions'!L19)"),0.0)</f>
        <v>0</v>
      </c>
      <c r="M19" s="152">
        <f>IFERROR(__xludf.DUMMYFUNCTION("IFERROR(L19 * (1 + AVERAGE(Filter('Inflation Data'!$C:$C,'Inflation Data'!$A:$A = M$1))) + 'Fund YTD Contributions'!M19,'Fund YTD Contributions'!M19)"),0.0)</f>
        <v>0</v>
      </c>
      <c r="N19" s="152">
        <f>IFERROR(__xludf.DUMMYFUNCTION("IFERROR(M19 * (1 + AVERAGE(Filter('Inflation Data'!$C:$C,'Inflation Data'!$A:$A = N$1))) + 'Fund YTD Contributions'!N19,'Fund YTD Contributions'!N19)"),0.0)</f>
        <v>0</v>
      </c>
      <c r="O19" s="152">
        <f>IFERROR(__xludf.DUMMYFUNCTION("IFERROR(N19 * (1 + AVERAGE(Filter('Inflation Data'!$C:$C,'Inflation Data'!$A:$A = O$1))) + 'Fund YTD Contributions'!O19,'Fund YTD Contributions'!O19)"),0.0)</f>
        <v>0</v>
      </c>
      <c r="P19" s="152">
        <f>IFERROR(__xludf.DUMMYFUNCTION("IFERROR(O19 * (1 + AVERAGE(Filter('Inflation Data'!$C:$C,'Inflation Data'!$A:$A = P$1))) + 'Fund YTD Contributions'!P19,'Fund YTD Contributions'!P19)"),0.0)</f>
        <v>0</v>
      </c>
      <c r="Q19" s="152">
        <f>IFERROR(__xludf.DUMMYFUNCTION("IFERROR(P19 * (1 + AVERAGE(Filter('Inflation Data'!$C:$C,'Inflation Data'!$A:$A = Q$1))) + 'Fund YTD Contributions'!Q19,'Fund YTD Contributions'!Q19)"),0.0)</f>
        <v>0</v>
      </c>
      <c r="R19" s="152">
        <f>IFERROR(__xludf.DUMMYFUNCTION("IFERROR(Q19 * (1 + AVERAGE(Filter('Inflation Data'!$C:$C,'Inflation Data'!$A:$A = R$1))) + 'Fund YTD Contributions'!R19,'Fund YTD Contributions'!R19)"),176475.0)</f>
        <v>176475</v>
      </c>
      <c r="S19" s="152">
        <f>IFERROR(__xludf.DUMMYFUNCTION("IFERROR(R19 * (1 + AVERAGE(Filter('Inflation Data'!$C:$C,'Inflation Data'!$A:$A = S$1))) + 'Fund YTD Contributions'!S19,'Fund YTD Contributions'!S19)"),189502.68945673748)</f>
        <v>189502.6895</v>
      </c>
      <c r="T19" s="152">
        <f>IFERROR(__xludf.DUMMYFUNCTION("IFERROR(S19 * (1 + AVERAGE(Filter('Inflation Data'!$C:$C,'Inflation Data'!$A:$A = T$1))) + 'Fund YTD Contributions'!T19,'Fund YTD Contributions'!T19)"),196790.2672288706)</f>
        <v>196790.2672</v>
      </c>
      <c r="U19" s="152">
        <f>IFERROR(__xludf.DUMMYFUNCTION("IFERROR(T19 * (1 + AVERAGE(Filter('Inflation Data'!$C:$C,'Inflation Data'!$A:$A = U$1))) + 'Fund YTD Contributions'!U19,'Fund YTD Contributions'!U19)"),196125.50970617146)</f>
        <v>196125.5097</v>
      </c>
      <c r="V19" s="152">
        <f>IFERROR(__xludf.DUMMYFUNCTION("IFERROR(U19 * (1 + AVERAGE(Filter('Inflation Data'!$C:$C,'Inflation Data'!$A:$A = V$1))) + 'Fund YTD Contributions'!V19,'Fund YTD Contributions'!V19)"),199350.439739432)</f>
        <v>199350.4397</v>
      </c>
      <c r="W19" s="152">
        <f>IFERROR(__xludf.DUMMYFUNCTION("IFERROR(V19 * (1 + AVERAGE(Filter('Inflation Data'!$C:$C,'Inflation Data'!$A:$A = W$1))) + 'Fund YTD Contributions'!W19,'Fund YTD Contributions'!W19)"),205640.34765483436)</f>
        <v>205640.3477</v>
      </c>
      <c r="X19" s="152">
        <f>IFERROR(__xludf.DUMMYFUNCTION("IFERROR(W19 * (1 + AVERAGE(Filter('Inflation Data'!$C:$C,'Inflation Data'!$A:$A = X$1))) + 'Fund YTD Contributions'!X19,'Fund YTD Contributions'!X19)"),209903.66838207908)</f>
        <v>209903.6684</v>
      </c>
      <c r="Y19" s="152">
        <f>IFERROR(__xludf.DUMMYFUNCTION("IFERROR(X19 * (1 + AVERAGE(Filter('Inflation Data'!$C:$C,'Inflation Data'!$A:$A = Y$1))) + 'Fund YTD Contributions'!Y19,'Fund YTD Contributions'!Y19)"),212980.95173669737)</f>
        <v>212980.9517</v>
      </c>
      <c r="Z19" s="152">
        <f>IFERROR(__xludf.DUMMYFUNCTION("IFERROR(Y19 * (1 + AVERAGE(Filter('Inflation Data'!$C:$C,'Inflation Data'!$A:$A = Z$1))) + 'Fund YTD Contributions'!Z19,'Fund YTD Contributions'!Z19)"),226435.30003374896)</f>
        <v>226435.3</v>
      </c>
      <c r="AA19" s="152">
        <f>IFERROR(__xludf.DUMMYFUNCTION("IFERROR(Z19 * (1 + AVERAGE(Filter('Inflation Data'!$C:$C,'Inflation Data'!$A:$A = AA$1))) + 'Fund YTD Contributions'!AA19,'Fund YTD Contributions'!AA19)"),226704.53060539984)</f>
        <v>226704.5306</v>
      </c>
      <c r="AB19" s="152">
        <f>IFERROR(__xludf.DUMMYFUNCTION("IFERROR(AA19 * (1 + AVERAGE(Filter('Inflation Data'!$C:$C,'Inflation Data'!$A:$A = AB$1))) + 'Fund YTD Contributions'!AB19,'Fund YTD Contributions'!AB19)"),229565.18776362343)</f>
        <v>229565.1878</v>
      </c>
      <c r="AC19" s="152">
        <f>IFERROR(__xludf.DUMMYFUNCTION("IFERROR(AB19 * (1 + AVERAGE(Filter('Inflation Data'!$C:$C,'Inflation Data'!$A:$A = AC$1))) + 'Fund YTD Contributions'!AC19,'Fund YTD Contributions'!AC19)"),234458.6335685971)</f>
        <v>234458.6336</v>
      </c>
      <c r="AD19" s="152">
        <f>IFERROR(__xludf.DUMMYFUNCTION("IFERROR(AC19 * (1 + AVERAGE(Filter('Inflation Data'!$C:$C,'Inflation Data'!$A:$A = AD$1))) + 'Fund YTD Contributions'!AD19,'Fund YTD Contributions'!AD19)"),240185.71844553304)</f>
        <v>240185.7184</v>
      </c>
      <c r="AE19" s="152">
        <f>IFERROR(__xludf.DUMMYFUNCTION("IFERROR(AD19 * (1 + AVERAGE(Filter('Inflation Data'!$C:$C,'Inflation Data'!$A:$A = AE$1))) + 'Fund YTD Contributions'!AE19,'Fund YTD Contributions'!AE19)"),244537.49276150935)</f>
        <v>244537.4928</v>
      </c>
      <c r="AF19" s="152">
        <f>IFERROR(__xludf.DUMMYFUNCTION("IFERROR(AE19 * (1 + AVERAGE(Filter('Inflation Data'!$C:$C,'Inflation Data'!$A:$A = AF$1))) + 'Fund YTD Contributions'!AF19,'Fund YTD Contributions'!AF19)"),250432.6143431344)</f>
        <v>250432.6143</v>
      </c>
    </row>
    <row r="20">
      <c r="A20" s="151" t="str">
        <f>'Endowed Funds'!A:A</f>
        <v>Pamela &amp; Michael Reese Education Fund</v>
      </c>
      <c r="B20" s="152" t="str">
        <f>IFERROR(__xludf.DUMMYFUNCTION("IFERROR(A20 * (1 + AVERAGE(Filter('Inflation Data'!$C:$C,'Inflation Data'!$A:$A = B$1))) + 'Fund YTD Contributions'!B20,'Fund YTD Contributions'!B20)"),"  ")</f>
        <v/>
      </c>
      <c r="C20" s="152">
        <f>IFERROR(__xludf.DUMMYFUNCTION("IFERROR(B20 * (1 + AVERAGE(Filter('Inflation Data'!$C:$C,'Inflation Data'!$A:$A = C$1))) + 'Fund YTD Contributions'!C20,'Fund YTD Contributions'!C20)"),0.0)</f>
        <v>0</v>
      </c>
      <c r="D20" s="152">
        <f>IFERROR(__xludf.DUMMYFUNCTION("IFERROR(C20 * (1 + AVERAGE(Filter('Inflation Data'!$C:$C,'Inflation Data'!$A:$A = D$1))) + 'Fund YTD Contributions'!D20,'Fund YTD Contributions'!D20)"),0.0)</f>
        <v>0</v>
      </c>
      <c r="E20" s="152">
        <f>IFERROR(__xludf.DUMMYFUNCTION("IFERROR(D20 * (1 + AVERAGE(Filter('Inflation Data'!$C:$C,'Inflation Data'!$A:$A = E$1))) + 'Fund YTD Contributions'!E20,'Fund YTD Contributions'!E20)"),0.0)</f>
        <v>0</v>
      </c>
      <c r="F20" s="152">
        <f>IFERROR(__xludf.DUMMYFUNCTION("IFERROR(E20 * (1 + AVERAGE(Filter('Inflation Data'!$C:$C,'Inflation Data'!$A:$A = F$1))) + 'Fund YTD Contributions'!F20,'Fund YTD Contributions'!F20)"),0.0)</f>
        <v>0</v>
      </c>
      <c r="G20" s="152">
        <f>IFERROR(__xludf.DUMMYFUNCTION("IFERROR(F20 * (1 + AVERAGE(Filter('Inflation Data'!$C:$C,'Inflation Data'!$A:$A = G$1))) + 'Fund YTD Contributions'!G20,'Fund YTD Contributions'!G20)"),0.0)</f>
        <v>0</v>
      </c>
      <c r="H20" s="152">
        <f>IFERROR(__xludf.DUMMYFUNCTION("IFERROR(G20 * (1 + AVERAGE(Filter('Inflation Data'!$C:$C,'Inflation Data'!$A:$A = H$1))) + 'Fund YTD Contributions'!H20,'Fund YTD Contributions'!H20)"),0.0)</f>
        <v>0</v>
      </c>
      <c r="I20" s="152">
        <f>IFERROR(__xludf.DUMMYFUNCTION("IFERROR(H20 * (1 + AVERAGE(Filter('Inflation Data'!$C:$C,'Inflation Data'!$A:$A = I$1))) + 'Fund YTD Contributions'!I20,'Fund YTD Contributions'!I20)"),0.0)</f>
        <v>0</v>
      </c>
      <c r="J20" s="152">
        <f>IFERROR(__xludf.DUMMYFUNCTION("IFERROR(I20 * (1 + AVERAGE(Filter('Inflation Data'!$C:$C,'Inflation Data'!$A:$A = J$1))) + 'Fund YTD Contributions'!J20,'Fund YTD Contributions'!J20)"),0.0)</f>
        <v>0</v>
      </c>
      <c r="K20" s="152">
        <f>IFERROR(__xludf.DUMMYFUNCTION("IFERROR(J20 * (1 + AVERAGE(Filter('Inflation Data'!$C:$C,'Inflation Data'!$A:$A = K$1))) + 'Fund YTD Contributions'!K20,'Fund YTD Contributions'!K20)"),0.0)</f>
        <v>0</v>
      </c>
      <c r="L20" s="152">
        <f>IFERROR(__xludf.DUMMYFUNCTION("IFERROR(K20 * (1 + AVERAGE(Filter('Inflation Data'!$C:$C,'Inflation Data'!$A:$A = L$1))) + 'Fund YTD Contributions'!L20,'Fund YTD Contributions'!L20)"),0.0)</f>
        <v>0</v>
      </c>
      <c r="M20" s="152">
        <f>IFERROR(__xludf.DUMMYFUNCTION("IFERROR(L20 * (1 + AVERAGE(Filter('Inflation Data'!$C:$C,'Inflation Data'!$A:$A = M$1))) + 'Fund YTD Contributions'!M20,'Fund YTD Contributions'!M20)"),0.0)</f>
        <v>0</v>
      </c>
      <c r="N20" s="152">
        <f>IFERROR(__xludf.DUMMYFUNCTION("IFERROR(M20 * (1 + AVERAGE(Filter('Inflation Data'!$C:$C,'Inflation Data'!$A:$A = N$1))) + 'Fund YTD Contributions'!N20,'Fund YTD Contributions'!N20)"),0.0)</f>
        <v>0</v>
      </c>
      <c r="O20" s="152">
        <f>IFERROR(__xludf.DUMMYFUNCTION("IFERROR(N20 * (1 + AVERAGE(Filter('Inflation Data'!$C:$C,'Inflation Data'!$A:$A = O$1))) + 'Fund YTD Contributions'!O20,'Fund YTD Contributions'!O20)"),25000.0)</f>
        <v>25000</v>
      </c>
      <c r="P20" s="152">
        <f>IFERROR(__xludf.DUMMYFUNCTION("IFERROR(O20 * (1 + AVERAGE(Filter('Inflation Data'!$C:$C,'Inflation Data'!$A:$A = P$1))) + 'Fund YTD Contributions'!P20,'Fund YTD Contributions'!P20)"),50668.965485416666)</f>
        <v>50668.96549</v>
      </c>
      <c r="Q20" s="152">
        <f>IFERROR(__xludf.DUMMYFUNCTION("IFERROR(P20 * (1 + AVERAGE(Filter('Inflation Data'!$C:$C,'Inflation Data'!$A:$A = Q$1))) + 'Fund YTD Contributions'!Q20,'Fund YTD Contributions'!Q20)"),77386.81425001184)</f>
        <v>77386.81425</v>
      </c>
      <c r="R20" s="152">
        <f>IFERROR(__xludf.DUMMYFUNCTION("IFERROR(Q20 * (1 + AVERAGE(Filter('Inflation Data'!$C:$C,'Inflation Data'!$A:$A = R$1))) + 'Fund YTD Contributions'!R20,'Fund YTD Contributions'!R20)"),104890.44800003117)</f>
        <v>104890.448</v>
      </c>
      <c r="S20" s="152">
        <f>IFERROR(__xludf.DUMMYFUNCTION("IFERROR(R20 * (1 + AVERAGE(Filter('Inflation Data'!$C:$C,'Inflation Data'!$A:$A = S$1))) + 'Fund YTD Contributions'!S20,'Fund YTD Contributions'!S20)"),107882.2935430839)</f>
        <v>107882.2935</v>
      </c>
      <c r="T20" s="152">
        <f>IFERROR(__xludf.DUMMYFUNCTION("IFERROR(S20 * (1 + AVERAGE(Filter('Inflation Data'!$C:$C,'Inflation Data'!$A:$A = T$1))) + 'Fund YTD Contributions'!T20,'Fund YTD Contributions'!T20)"),112031.0505168513)</f>
        <v>112031.0505</v>
      </c>
      <c r="U20" s="152">
        <f>IFERROR(__xludf.DUMMYFUNCTION("IFERROR(T20 * (1 + AVERAGE(Filter('Inflation Data'!$C:$C,'Inflation Data'!$A:$A = U$1))) + 'Fund YTD Contributions'!U20,'Fund YTD Contributions'!U20)"),111652.60962820538)</f>
        <v>111652.6096</v>
      </c>
      <c r="V20" s="152">
        <f>IFERROR(__xludf.DUMMYFUNCTION("IFERROR(U20 * (1 + AVERAGE(Filter('Inflation Data'!$C:$C,'Inflation Data'!$A:$A = V$1))) + 'Fund YTD Contributions'!V20,'Fund YTD Contributions'!V20)"),113488.5352791896)</f>
        <v>113488.5353</v>
      </c>
      <c r="W20" s="152">
        <f>IFERROR(__xludf.DUMMYFUNCTION("IFERROR(V20 * (1 + AVERAGE(Filter('Inflation Data'!$C:$C,'Inflation Data'!$A:$A = W$1))) + 'Fund YTD Contributions'!W20,'Fund YTD Contributions'!W20)"),117069.32716153022)</f>
        <v>117069.3272</v>
      </c>
      <c r="X20" s="152">
        <f>IFERROR(__xludf.DUMMYFUNCTION("IFERROR(W20 * (1 + AVERAGE(Filter('Inflation Data'!$C:$C,'Inflation Data'!$A:$A = X$1))) + 'Fund YTD Contributions'!X20,'Fund YTD Contributions'!X20)"),119496.3999354495)</f>
        <v>119496.3999</v>
      </c>
      <c r="Y20" s="152">
        <f>IFERROR(__xludf.DUMMYFUNCTION("IFERROR(X20 * (1 + AVERAGE(Filter('Inflation Data'!$C:$C,'Inflation Data'!$A:$A = Y$1))) + 'Fund YTD Contributions'!Y20,'Fund YTD Contributions'!Y20)"),121248.2715691973)</f>
        <v>121248.2716</v>
      </c>
      <c r="Z20" s="152">
        <f>IFERROR(__xludf.DUMMYFUNCTION("IFERROR(Y20 * (1 + AVERAGE(Filter('Inflation Data'!$C:$C,'Inflation Data'!$A:$A = Z$1))) + 'Fund YTD Contributions'!Z20,'Fund YTD Contributions'!Z20)"),123214.80311579916)</f>
        <v>123214.8031</v>
      </c>
      <c r="AA20" s="152">
        <f>IFERROR(__xludf.DUMMYFUNCTION("IFERROR(Z20 * (1 + AVERAGE(Filter('Inflation Data'!$C:$C,'Inflation Data'!$A:$A = AA$1))) + 'Fund YTD Contributions'!AA20,'Fund YTD Contributions'!AA20)"),123361.30497250512)</f>
        <v>123361.305</v>
      </c>
      <c r="AB20" s="152">
        <f>IFERROR(__xludf.DUMMYFUNCTION("IFERROR(AA20 * (1 + AVERAGE(Filter('Inflation Data'!$C:$C,'Inflation Data'!$A:$A = AB$1))) + 'Fund YTD Contributions'!AB20,'Fund YTD Contributions'!AB20)"),124917.93200230032)</f>
        <v>124917.932</v>
      </c>
      <c r="AC20" s="152">
        <f>IFERROR(__xludf.DUMMYFUNCTION("IFERROR(AB20 * (1 + AVERAGE(Filter('Inflation Data'!$C:$C,'Inflation Data'!$A:$A = AC$1))) + 'Fund YTD Contributions'!AC20,'Fund YTD Contributions'!AC20)"),127580.7012848627)</f>
        <v>127580.7013</v>
      </c>
      <c r="AD20" s="152">
        <f>IFERROR(__xludf.DUMMYFUNCTION("IFERROR(AC20 * (1 + AVERAGE(Filter('Inflation Data'!$C:$C,'Inflation Data'!$A:$A = AD$1))) + 'Fund YTD Contributions'!AD20,'Fund YTD Contributions'!AD20)"),130697.09539582489)</f>
        <v>130697.0954</v>
      </c>
      <c r="AE20" s="152">
        <f>IFERROR(__xludf.DUMMYFUNCTION("IFERROR(AD20 * (1 + AVERAGE(Filter('Inflation Data'!$C:$C,'Inflation Data'!$A:$A = AE$1))) + 'Fund YTD Contributions'!AE20,'Fund YTD Contributions'!AE20)"),133065.1140548745)</f>
        <v>133065.1141</v>
      </c>
      <c r="AF20" s="152">
        <f>IFERROR(__xludf.DUMMYFUNCTION("IFERROR(AE20 * (1 + AVERAGE(Filter('Inflation Data'!$C:$C,'Inflation Data'!$A:$A = AF$1))) + 'Fund YTD Contributions'!AF20,'Fund YTD Contributions'!AF20)"),136272.94536437158)</f>
        <v>136272.9454</v>
      </c>
    </row>
    <row r="21">
      <c r="A21" s="151" t="str">
        <f>'Endowed Funds'!A:A</f>
        <v>Shirley &amp; Reinhardt Jahn Education Fund</v>
      </c>
      <c r="B21" s="152" t="str">
        <f>IFERROR(__xludf.DUMMYFUNCTION("IFERROR(A21 * (1 + AVERAGE(Filter('Inflation Data'!$C:$C,'Inflation Data'!$A:$A = B$1))) + 'Fund YTD Contributions'!B21,'Fund YTD Contributions'!B21)"),"  ")</f>
        <v/>
      </c>
      <c r="C21" s="152">
        <f>IFERROR(__xludf.DUMMYFUNCTION("IFERROR(B21 * (1 + AVERAGE(Filter('Inflation Data'!$C:$C,'Inflation Data'!$A:$A = C$1))) + 'Fund YTD Contributions'!C21,'Fund YTD Contributions'!C21)"),0.0)</f>
        <v>0</v>
      </c>
      <c r="D21" s="152">
        <f>IFERROR(__xludf.DUMMYFUNCTION("IFERROR(C21 * (1 + AVERAGE(Filter('Inflation Data'!$C:$C,'Inflation Data'!$A:$A = D$1))) + 'Fund YTD Contributions'!D21,'Fund YTD Contributions'!D21)"),0.0)</f>
        <v>0</v>
      </c>
      <c r="E21" s="152">
        <f>IFERROR(__xludf.DUMMYFUNCTION("IFERROR(D21 * (1 + AVERAGE(Filter('Inflation Data'!$C:$C,'Inflation Data'!$A:$A = E$1))) + 'Fund YTD Contributions'!E21,'Fund YTD Contributions'!E21)"),0.0)</f>
        <v>0</v>
      </c>
      <c r="F21" s="152">
        <f>IFERROR(__xludf.DUMMYFUNCTION("IFERROR(E21 * (1 + AVERAGE(Filter('Inflation Data'!$C:$C,'Inflation Data'!$A:$A = F$1))) + 'Fund YTD Contributions'!F21,'Fund YTD Contributions'!F21)"),0.0)</f>
        <v>0</v>
      </c>
      <c r="G21" s="152">
        <f>IFERROR(__xludf.DUMMYFUNCTION("IFERROR(F21 * (1 + AVERAGE(Filter('Inflation Data'!$C:$C,'Inflation Data'!$A:$A = G$1))) + 'Fund YTD Contributions'!G21,'Fund YTD Contributions'!G21)"),0.0)</f>
        <v>0</v>
      </c>
      <c r="H21" s="152">
        <f>IFERROR(__xludf.DUMMYFUNCTION("IFERROR(G21 * (1 + AVERAGE(Filter('Inflation Data'!$C:$C,'Inflation Data'!$A:$A = H$1))) + 'Fund YTD Contributions'!H21,'Fund YTD Contributions'!H21)"),0.0)</f>
        <v>0</v>
      </c>
      <c r="I21" s="152">
        <f>IFERROR(__xludf.DUMMYFUNCTION("IFERROR(H21 * (1 + AVERAGE(Filter('Inflation Data'!$C:$C,'Inflation Data'!$A:$A = I$1))) + 'Fund YTD Contributions'!I21,'Fund YTD Contributions'!I21)"),0.0)</f>
        <v>0</v>
      </c>
      <c r="J21" s="152">
        <f>IFERROR(__xludf.DUMMYFUNCTION("IFERROR(I21 * (1 + AVERAGE(Filter('Inflation Data'!$C:$C,'Inflation Data'!$A:$A = J$1))) + 'Fund YTD Contributions'!J21,'Fund YTD Contributions'!J21)"),0.0)</f>
        <v>0</v>
      </c>
      <c r="K21" s="152">
        <f>IFERROR(__xludf.DUMMYFUNCTION("IFERROR(J21 * (1 + AVERAGE(Filter('Inflation Data'!$C:$C,'Inflation Data'!$A:$A = K$1))) + 'Fund YTD Contributions'!K21,'Fund YTD Contributions'!K21)"),0.0)</f>
        <v>0</v>
      </c>
      <c r="L21" s="152">
        <f>IFERROR(__xludf.DUMMYFUNCTION("IFERROR(K21 * (1 + AVERAGE(Filter('Inflation Data'!$C:$C,'Inflation Data'!$A:$A = L$1))) + 'Fund YTD Contributions'!L21,'Fund YTD Contributions'!L21)"),0.0)</f>
        <v>0</v>
      </c>
      <c r="M21" s="152">
        <f>IFERROR(__xludf.DUMMYFUNCTION("IFERROR(L21 * (1 + AVERAGE(Filter('Inflation Data'!$C:$C,'Inflation Data'!$A:$A = M$1))) + 'Fund YTD Contributions'!M21,'Fund YTD Contributions'!M21)"),0.0)</f>
        <v>0</v>
      </c>
      <c r="N21" s="152">
        <f>IFERROR(__xludf.DUMMYFUNCTION("IFERROR(M21 * (1 + AVERAGE(Filter('Inflation Data'!$C:$C,'Inflation Data'!$A:$A = N$1))) + 'Fund YTD Contributions'!N21,'Fund YTD Contributions'!N21)"),0.0)</f>
        <v>0</v>
      </c>
      <c r="O21" s="152">
        <f>IFERROR(__xludf.DUMMYFUNCTION("IFERROR(N21 * (1 + AVERAGE(Filter('Inflation Data'!$C:$C,'Inflation Data'!$A:$A = O$1))) + 'Fund YTD Contributions'!O21,'Fund YTD Contributions'!O21)"),0.0)</f>
        <v>0</v>
      </c>
      <c r="P21" s="152">
        <f>IFERROR(__xludf.DUMMYFUNCTION("IFERROR(O21 * (1 + AVERAGE(Filter('Inflation Data'!$C:$C,'Inflation Data'!$A:$A = P$1))) + 'Fund YTD Contributions'!P21,'Fund YTD Contributions'!P21)"),0.0)</f>
        <v>0</v>
      </c>
      <c r="Q21" s="152">
        <f>IFERROR(__xludf.DUMMYFUNCTION("IFERROR(P21 * (1 + AVERAGE(Filter('Inflation Data'!$C:$C,'Inflation Data'!$A:$A = Q$1))) + 'Fund YTD Contributions'!Q21,'Fund YTD Contributions'!Q21)"),250000.0)</f>
        <v>250000</v>
      </c>
      <c r="R21" s="152">
        <f>IFERROR(__xludf.DUMMYFUNCTION("IFERROR(Q21 * (1 + AVERAGE(Filter('Inflation Data'!$C:$C,'Inflation Data'!$A:$A = R$1))) + 'Fund YTD Contributions'!R21,'Fund YTD Contributions'!R21)"),258088.05018749996)</f>
        <v>258088.0502</v>
      </c>
      <c r="S21" s="152">
        <f>IFERROR(__xludf.DUMMYFUNCTION("IFERROR(R21 * (1 + AVERAGE(Filter('Inflation Data'!$C:$C,'Inflation Data'!$A:$A = S$1))) + 'Fund YTD Contributions'!S21,'Fund YTD Contributions'!S21)"),265449.63169841515)</f>
        <v>265449.6317</v>
      </c>
      <c r="T21" s="152">
        <f>IFERROR(__xludf.DUMMYFUNCTION("IFERROR(S21 * (1 + AVERAGE(Filter('Inflation Data'!$C:$C,'Inflation Data'!$A:$A = T$1))) + 'Fund YTD Contributions'!T21,'Fund YTD Contributions'!T21)"),275657.8500679382)</f>
        <v>275657.8501</v>
      </c>
      <c r="U21" s="152">
        <f>IFERROR(__xludf.DUMMYFUNCTION("IFERROR(T21 * (1 + AVERAGE(Filter('Inflation Data'!$C:$C,'Inflation Data'!$A:$A = U$1))) + 'Fund YTD Contributions'!U21,'Fund YTD Contributions'!U21)"),274726.6778504087)</f>
        <v>274726.6779</v>
      </c>
      <c r="V21" s="152">
        <f>IFERROR(__xludf.DUMMYFUNCTION("IFERROR(U21 * (1 + AVERAGE(Filter('Inflation Data'!$C:$C,'Inflation Data'!$A:$A = V$1))) + 'Fund YTD Contributions'!V21,'Fund YTD Contributions'!V21)"),279244.0622317929)</f>
        <v>279244.0622</v>
      </c>
      <c r="W21" s="152">
        <f>IFERROR(__xludf.DUMMYFUNCTION("IFERROR(V21 * (1 + AVERAGE(Filter('Inflation Data'!$C:$C,'Inflation Data'!$A:$A = W$1))) + 'Fund YTD Contributions'!W21,'Fund YTD Contributions'!W21)"),288054.77486255835)</f>
        <v>288054.7749</v>
      </c>
      <c r="X21" s="152">
        <f>IFERROR(__xludf.DUMMYFUNCTION("IFERROR(W21 * (1 + AVERAGE(Filter('Inflation Data'!$C:$C,'Inflation Data'!$A:$A = X$1))) + 'Fund YTD Contributions'!X21,'Fund YTD Contributions'!X21)"),294026.705499024)</f>
        <v>294026.7055</v>
      </c>
      <c r="Y21" s="152">
        <f>IFERROR(__xludf.DUMMYFUNCTION("IFERROR(X21 * (1 + AVERAGE(Filter('Inflation Data'!$C:$C,'Inflation Data'!$A:$A = Y$1))) + 'Fund YTD Contributions'!Y21,'Fund YTD Contributions'!Y21)"),298337.27088179963)</f>
        <v>298337.2709</v>
      </c>
      <c r="Z21" s="152">
        <f>IFERROR(__xludf.DUMMYFUNCTION("IFERROR(Y21 * (1 + AVERAGE(Filter('Inflation Data'!$C:$C,'Inflation Data'!$A:$A = Z$1))) + 'Fund YTD Contributions'!Z21,'Fund YTD Contributions'!Z21)"),303176.01742328197)</f>
        <v>303176.0174</v>
      </c>
      <c r="AA21" s="152">
        <f>IFERROR(__xludf.DUMMYFUNCTION("IFERROR(Z21 * (1 + AVERAGE(Filter('Inflation Data'!$C:$C,'Inflation Data'!$A:$A = AA$1))) + 'Fund YTD Contributions'!AA21,'Fund YTD Contributions'!AA21)"),303536.4923689708)</f>
        <v>303536.4924</v>
      </c>
      <c r="AB21" s="152">
        <f>IFERROR(__xludf.DUMMYFUNCTION("IFERROR(AA21 * (1 + AVERAGE(Filter('Inflation Data'!$C:$C,'Inflation Data'!$A:$A = AB$1))) + 'Fund YTD Contributions'!AB21,'Fund YTD Contributions'!AB21)"),307366.6489051397)</f>
        <v>307366.6489</v>
      </c>
      <c r="AC21" s="152">
        <f>IFERROR(__xludf.DUMMYFUNCTION("IFERROR(AB21 * (1 + AVERAGE(Filter('Inflation Data'!$C:$C,'Inflation Data'!$A:$A = AC$1))) + 'Fund YTD Contributions'!AC21,'Fund YTD Contributions'!AC21)"),313918.52226767404)</f>
        <v>313918.5223</v>
      </c>
      <c r="AD21" s="152">
        <f>IFERROR(__xludf.DUMMYFUNCTION("IFERROR(AC21 * (1 + AVERAGE(Filter('Inflation Data'!$C:$C,'Inflation Data'!$A:$A = AD$1))) + 'Fund YTD Contributions'!AD21,'Fund YTD Contributions'!AD21)"),321586.5615891745)</f>
        <v>321586.5616</v>
      </c>
      <c r="AE21" s="152">
        <f>IFERROR(__xludf.DUMMYFUNCTION("IFERROR(AD21 * (1 + AVERAGE(Filter('Inflation Data'!$C:$C,'Inflation Data'!$A:$A = AE$1))) + 'Fund YTD Contributions'!AE21,'Fund YTD Contributions'!AE21)"),327413.18670304137)</f>
        <v>327413.1867</v>
      </c>
      <c r="AF21" s="152">
        <f>IFERROR(__xludf.DUMMYFUNCTION("IFERROR(AE21 * (1 + AVERAGE(Filter('Inflation Data'!$C:$C,'Inflation Data'!$A:$A = AF$1))) + 'Fund YTD Contributions'!AF21,'Fund YTD Contributions'!AF21)"),335306.21169992455)</f>
        <v>335306.2117</v>
      </c>
    </row>
    <row r="22">
      <c r="A22" s="151" t="str">
        <f>'Endowed Funds'!A:A</f>
        <v>Sidney &amp; Iris Taylor Education Fund</v>
      </c>
      <c r="B22" s="152" t="str">
        <f>IFERROR(__xludf.DUMMYFUNCTION("IFERROR(A22 * (1 + AVERAGE(Filter('Inflation Data'!$C:$C,'Inflation Data'!$A:$A = B$1))) + 'Fund YTD Contributions'!B22,'Fund YTD Contributions'!B22)"),"  ")</f>
        <v/>
      </c>
      <c r="C22" s="152">
        <f>IFERROR(__xludf.DUMMYFUNCTION("IFERROR(B22 * (1 + AVERAGE(Filter('Inflation Data'!$C:$C,'Inflation Data'!$A:$A = C$1))) + 'Fund YTD Contributions'!C22,'Fund YTD Contributions'!C22)"),0.0)</f>
        <v>0</v>
      </c>
      <c r="D22" s="152">
        <f>IFERROR(__xludf.DUMMYFUNCTION("IFERROR(C22 * (1 + AVERAGE(Filter('Inflation Data'!$C:$C,'Inflation Data'!$A:$A = D$1))) + 'Fund YTD Contributions'!D22,'Fund YTD Contributions'!D22)"),0.0)</f>
        <v>0</v>
      </c>
      <c r="E22" s="152">
        <f>IFERROR(__xludf.DUMMYFUNCTION("IFERROR(D22 * (1 + AVERAGE(Filter('Inflation Data'!$C:$C,'Inflation Data'!$A:$A = E$1))) + 'Fund YTD Contributions'!E22,'Fund YTD Contributions'!E22)"),0.0)</f>
        <v>0</v>
      </c>
      <c r="F22" s="152">
        <f>IFERROR(__xludf.DUMMYFUNCTION("IFERROR(E22 * (1 + AVERAGE(Filter('Inflation Data'!$C:$C,'Inflation Data'!$A:$A = F$1))) + 'Fund YTD Contributions'!F22,'Fund YTD Contributions'!F22)"),0.0)</f>
        <v>0</v>
      </c>
      <c r="G22" s="152">
        <f>IFERROR(__xludf.DUMMYFUNCTION("IFERROR(F22 * (1 + AVERAGE(Filter('Inflation Data'!$C:$C,'Inflation Data'!$A:$A = G$1))) + 'Fund YTD Contributions'!G22,'Fund YTD Contributions'!G22)"),0.0)</f>
        <v>0</v>
      </c>
      <c r="H22" s="152">
        <f>IFERROR(__xludf.DUMMYFUNCTION("IFERROR(G22 * (1 + AVERAGE(Filter('Inflation Data'!$C:$C,'Inflation Data'!$A:$A = H$1))) + 'Fund YTD Contributions'!H22,'Fund YTD Contributions'!H22)"),0.0)</f>
        <v>0</v>
      </c>
      <c r="I22" s="152">
        <f>IFERROR(__xludf.DUMMYFUNCTION("IFERROR(H22 * (1 + AVERAGE(Filter('Inflation Data'!$C:$C,'Inflation Data'!$A:$A = I$1))) + 'Fund YTD Contributions'!I22,'Fund YTD Contributions'!I22)"),0.0)</f>
        <v>0</v>
      </c>
      <c r="J22" s="152">
        <f>IFERROR(__xludf.DUMMYFUNCTION("IFERROR(I22 * (1 + AVERAGE(Filter('Inflation Data'!$C:$C,'Inflation Data'!$A:$A = J$1))) + 'Fund YTD Contributions'!J22,'Fund YTD Contributions'!J22)"),0.0)</f>
        <v>0</v>
      </c>
      <c r="K22" s="152">
        <f>IFERROR(__xludf.DUMMYFUNCTION("IFERROR(J22 * (1 + AVERAGE(Filter('Inflation Data'!$C:$C,'Inflation Data'!$A:$A = K$1))) + 'Fund YTD Contributions'!K22,'Fund YTD Contributions'!K22)"),0.0)</f>
        <v>0</v>
      </c>
      <c r="L22" s="152">
        <f>IFERROR(__xludf.DUMMYFUNCTION("IFERROR(K22 * (1 + AVERAGE(Filter('Inflation Data'!$C:$C,'Inflation Data'!$A:$A = L$1))) + 'Fund YTD Contributions'!L22,'Fund YTD Contributions'!L22)"),0.0)</f>
        <v>0</v>
      </c>
      <c r="M22" s="152">
        <f>IFERROR(__xludf.DUMMYFUNCTION("IFERROR(L22 * (1 + AVERAGE(Filter('Inflation Data'!$C:$C,'Inflation Data'!$A:$A = M$1))) + 'Fund YTD Contributions'!M22,'Fund YTD Contributions'!M22)"),0.0)</f>
        <v>0</v>
      </c>
      <c r="N22" s="152">
        <f>IFERROR(__xludf.DUMMYFUNCTION("IFERROR(M22 * (1 + AVERAGE(Filter('Inflation Data'!$C:$C,'Inflation Data'!$A:$A = N$1))) + 'Fund YTD Contributions'!N22,'Fund YTD Contributions'!N22)"),0.0)</f>
        <v>0</v>
      </c>
      <c r="O22" s="152">
        <f>IFERROR(__xludf.DUMMYFUNCTION("IFERROR(N22 * (1 + AVERAGE(Filter('Inflation Data'!$C:$C,'Inflation Data'!$A:$A = O$1))) + 'Fund YTD Contributions'!O22,'Fund YTD Contributions'!O22)"),0.0)</f>
        <v>0</v>
      </c>
      <c r="P22" s="152">
        <f>IFERROR(__xludf.DUMMYFUNCTION("IFERROR(O22 * (1 + AVERAGE(Filter('Inflation Data'!$C:$C,'Inflation Data'!$A:$A = P$1))) + 'Fund YTD Contributions'!P22,'Fund YTD Contributions'!P22)"),0.0)</f>
        <v>0</v>
      </c>
      <c r="Q22" s="152">
        <f>IFERROR(__xludf.DUMMYFUNCTION("IFERROR(P22 * (1 + AVERAGE(Filter('Inflation Data'!$C:$C,'Inflation Data'!$A:$A = Q$1))) + 'Fund YTD Contributions'!Q22,'Fund YTD Contributions'!Q22)"),20000.0)</f>
        <v>20000</v>
      </c>
      <c r="R22" s="152">
        <f>IFERROR(__xludf.DUMMYFUNCTION("IFERROR(Q22 * (1 + AVERAGE(Filter('Inflation Data'!$C:$C,'Inflation Data'!$A:$A = R$1))) + 'Fund YTD Contributions'!R22,'Fund YTD Contributions'!R22)"),40647.044015)</f>
        <v>40647.04402</v>
      </c>
      <c r="S22" s="152">
        <f>IFERROR(__xludf.DUMMYFUNCTION("IFERROR(R22 * (1 + AVERAGE(Filter('Inflation Data'!$C:$C,'Inflation Data'!$A:$A = S$1))) + 'Fund YTD Contributions'!S22,'Fund YTD Contributions'!S22)"),61806.44107920655)</f>
        <v>61806.44108</v>
      </c>
      <c r="T22" s="152">
        <f>IFERROR(__xludf.DUMMYFUNCTION("IFERROR(S22 * (1 + AVERAGE(Filter('Inflation Data'!$C:$C,'Inflation Data'!$A:$A = T$1))) + 'Fund YTD Contributions'!T22,'Fund YTD Contributions'!T22)"),84183.28991166763)</f>
        <v>84183.28991</v>
      </c>
      <c r="U22" s="152">
        <f>IFERROR(__xludf.DUMMYFUNCTION("IFERROR(T22 * (1 + AVERAGE(Filter('Inflation Data'!$C:$C,'Inflation Data'!$A:$A = U$1))) + 'Fund YTD Contributions'!U22,'Fund YTD Contributions'!U22)"),83898.91875834602)</f>
        <v>83898.91876</v>
      </c>
      <c r="V22" s="152">
        <f>IFERROR(__xludf.DUMMYFUNCTION("IFERROR(U22 * (1 + AVERAGE(Filter('Inflation Data'!$C:$C,'Inflation Data'!$A:$A = V$1))) + 'Fund YTD Contributions'!V22,'Fund YTD Contributions'!V22)"),105278.4850537618)</f>
        <v>105278.4851</v>
      </c>
      <c r="W22" s="152">
        <f>IFERROR(__xludf.DUMMYFUNCTION("IFERROR(V22 * (1 + AVERAGE(Filter('Inflation Data'!$C:$C,'Inflation Data'!$A:$A = W$1))) + 'Fund YTD Contributions'!W22,'Fund YTD Contributions'!W22)"),108600.23331439652)</f>
        <v>108600.2333</v>
      </c>
      <c r="X22" s="152">
        <f>IFERROR(__xludf.DUMMYFUNCTION("IFERROR(W22 * (1 + AVERAGE(Filter('Inflation Data'!$C:$C,'Inflation Data'!$A:$A = X$1))) + 'Fund YTD Contributions'!X22,'Fund YTD Contributions'!X22)"),110851.72545080361)</f>
        <v>110851.7255</v>
      </c>
      <c r="Y22" s="152">
        <f>IFERROR(__xludf.DUMMYFUNCTION("IFERROR(X22 * (1 + AVERAGE(Filter('Inflation Data'!$C:$C,'Inflation Data'!$A:$A = Y$1))) + 'Fund YTD Contributions'!Y22,'Fund YTD Contributions'!Y22)"),112476.86222039805)</f>
        <v>112476.8622</v>
      </c>
      <c r="Z22" s="152">
        <f>IFERROR(__xludf.DUMMYFUNCTION("IFERROR(Y22 * (1 + AVERAGE(Filter('Inflation Data'!$C:$C,'Inflation Data'!$A:$A = Z$1))) + 'Fund YTD Contributions'!Z22,'Fund YTD Contributions'!Z22)"),114301.12985701313)</f>
        <v>114301.1299</v>
      </c>
      <c r="AA22" s="152">
        <f>IFERROR(__xludf.DUMMYFUNCTION("IFERROR(Z22 * (1 + AVERAGE(Filter('Inflation Data'!$C:$C,'Inflation Data'!$A:$A = AA$1))) + 'Fund YTD Contributions'!AA22,'Fund YTD Contributions'!AA22)"),114437.03339558313)</f>
        <v>114437.0334</v>
      </c>
      <c r="AB22" s="152">
        <f>IFERROR(__xludf.DUMMYFUNCTION("IFERROR(AA22 * (1 + AVERAGE(Filter('Inflation Data'!$C:$C,'Inflation Data'!$A:$A = AB$1))) + 'Fund YTD Contributions'!AB22,'Fund YTD Contributions'!AB22)"),115881.05005407134)</f>
        <v>115881.0501</v>
      </c>
      <c r="AC22" s="152">
        <f>IFERROR(__xludf.DUMMYFUNCTION("IFERROR(AB22 * (1 + AVERAGE(Filter('Inflation Data'!$C:$C,'Inflation Data'!$A:$A = AC$1))) + 'Fund YTD Contributions'!AC22,'Fund YTD Contributions'!AC22)"),118351.18781227065)</f>
        <v>118351.1878</v>
      </c>
      <c r="AD22" s="152">
        <f>IFERROR(__xludf.DUMMYFUNCTION("IFERROR(AC22 * (1 + AVERAGE(Filter('Inflation Data'!$C:$C,'Inflation Data'!$A:$A = AD$1))) + 'Fund YTD Contributions'!AD22,'Fund YTD Contributions'!AD22)"),121242.13402129029)</f>
        <v>121242.134</v>
      </c>
      <c r="AE22" s="152">
        <f>IFERROR(__xludf.DUMMYFUNCTION("IFERROR(AD22 * (1 + AVERAGE(Filter('Inflation Data'!$C:$C,'Inflation Data'!$A:$A = AE$1))) + 'Fund YTD Contributions'!AE22,'Fund YTD Contributions'!AE22)"),123438.84416818296)</f>
        <v>123438.8442</v>
      </c>
      <c r="AF22" s="152">
        <f>IFERROR(__xludf.DUMMYFUNCTION("IFERROR(AE22 * (1 + AVERAGE(Filter('Inflation Data'!$C:$C,'Inflation Data'!$A:$A = AF$1))) + 'Fund YTD Contributions'!AF22,'Fund YTD Contributions'!AF22)"),126414.6127754795)</f>
        <v>126414.6128</v>
      </c>
    </row>
    <row r="23">
      <c r="A23" s="151" t="str">
        <f>'Endowed Funds'!A:A</f>
        <v>Dorothy Warner McEachren Memorial Fund</v>
      </c>
      <c r="B23" s="152" t="str">
        <f>IFERROR(__xludf.DUMMYFUNCTION("IFERROR(A23 * (1 + AVERAGE(Filter('Inflation Data'!$C:$C,'Inflation Data'!$A:$A = B$1))) + 'Fund YTD Contributions'!B23,'Fund YTD Contributions'!B23)"),"  ")</f>
        <v/>
      </c>
      <c r="C23" s="152">
        <f>IFERROR(__xludf.DUMMYFUNCTION("IFERROR(B23 * (1 + AVERAGE(Filter('Inflation Data'!$C:$C,'Inflation Data'!$A:$A = C$1))) + 'Fund YTD Contributions'!C23,'Fund YTD Contributions'!C23)"),0.0)</f>
        <v>0</v>
      </c>
      <c r="D23" s="152">
        <f>IFERROR(__xludf.DUMMYFUNCTION("IFERROR(C23 * (1 + AVERAGE(Filter('Inflation Data'!$C:$C,'Inflation Data'!$A:$A = D$1))) + 'Fund YTD Contributions'!D23,'Fund YTD Contributions'!D23)"),0.0)</f>
        <v>0</v>
      </c>
      <c r="E23" s="152">
        <f>IFERROR(__xludf.DUMMYFUNCTION("IFERROR(D23 * (1 + AVERAGE(Filter('Inflation Data'!$C:$C,'Inflation Data'!$A:$A = E$1))) + 'Fund YTD Contributions'!E23,'Fund YTD Contributions'!E23)"),0.0)</f>
        <v>0</v>
      </c>
      <c r="F23" s="152">
        <f>IFERROR(__xludf.DUMMYFUNCTION("IFERROR(E23 * (1 + AVERAGE(Filter('Inflation Data'!$C:$C,'Inflation Data'!$A:$A = F$1))) + 'Fund YTD Contributions'!F23,'Fund YTD Contributions'!F23)"),0.0)</f>
        <v>0</v>
      </c>
      <c r="G23" s="152">
        <f>IFERROR(__xludf.DUMMYFUNCTION("IFERROR(F23 * (1 + AVERAGE(Filter('Inflation Data'!$C:$C,'Inflation Data'!$A:$A = G$1))) + 'Fund YTD Contributions'!G23,'Fund YTD Contributions'!G23)"),0.0)</f>
        <v>0</v>
      </c>
      <c r="H23" s="152">
        <f>IFERROR(__xludf.DUMMYFUNCTION("IFERROR(G23 * (1 + AVERAGE(Filter('Inflation Data'!$C:$C,'Inflation Data'!$A:$A = H$1))) + 'Fund YTD Contributions'!H23,'Fund YTD Contributions'!H23)"),0.0)</f>
        <v>0</v>
      </c>
      <c r="I23" s="152">
        <f>IFERROR(__xludf.DUMMYFUNCTION("IFERROR(H23 * (1 + AVERAGE(Filter('Inflation Data'!$C:$C,'Inflation Data'!$A:$A = I$1))) + 'Fund YTD Contributions'!I23,'Fund YTD Contributions'!I23)"),0.0)</f>
        <v>0</v>
      </c>
      <c r="J23" s="152">
        <f>IFERROR(__xludf.DUMMYFUNCTION("IFERROR(I23 * (1 + AVERAGE(Filter('Inflation Data'!$C:$C,'Inflation Data'!$A:$A = J$1))) + 'Fund YTD Contributions'!J23,'Fund YTD Contributions'!J23)"),0.0)</f>
        <v>0</v>
      </c>
      <c r="K23" s="152">
        <f>IFERROR(__xludf.DUMMYFUNCTION("IFERROR(J23 * (1 + AVERAGE(Filter('Inflation Data'!$C:$C,'Inflation Data'!$A:$A = K$1))) + 'Fund YTD Contributions'!K23,'Fund YTD Contributions'!K23)"),0.0)</f>
        <v>0</v>
      </c>
      <c r="L23" s="152">
        <f>IFERROR(__xludf.DUMMYFUNCTION("IFERROR(K23 * (1 + AVERAGE(Filter('Inflation Data'!$C:$C,'Inflation Data'!$A:$A = L$1))) + 'Fund YTD Contributions'!L23,'Fund YTD Contributions'!L23)"),0.0)</f>
        <v>0</v>
      </c>
      <c r="M23" s="152">
        <f>IFERROR(__xludf.DUMMYFUNCTION("IFERROR(L23 * (1 + AVERAGE(Filter('Inflation Data'!$C:$C,'Inflation Data'!$A:$A = M$1))) + 'Fund YTD Contributions'!M23,'Fund YTD Contributions'!M23)"),0.0)</f>
        <v>0</v>
      </c>
      <c r="N23" s="152">
        <f>IFERROR(__xludf.DUMMYFUNCTION("IFERROR(M23 * (1 + AVERAGE(Filter('Inflation Data'!$C:$C,'Inflation Data'!$A:$A = N$1))) + 'Fund YTD Contributions'!N23,'Fund YTD Contributions'!N23)"),0.0)</f>
        <v>0</v>
      </c>
      <c r="O23" s="152">
        <f>IFERROR(__xludf.DUMMYFUNCTION("IFERROR(N23 * (1 + AVERAGE(Filter('Inflation Data'!$C:$C,'Inflation Data'!$A:$A = O$1))) + 'Fund YTD Contributions'!O23,'Fund YTD Contributions'!O23)"),0.0)</f>
        <v>0</v>
      </c>
      <c r="P23" s="152">
        <f>IFERROR(__xludf.DUMMYFUNCTION("IFERROR(O23 * (1 + AVERAGE(Filter('Inflation Data'!$C:$C,'Inflation Data'!$A:$A = P$1))) + 'Fund YTD Contributions'!P23,'Fund YTD Contributions'!P23)"),0.0)</f>
        <v>0</v>
      </c>
      <c r="Q23" s="152">
        <f>IFERROR(__xludf.DUMMYFUNCTION("IFERROR(P23 * (1 + AVERAGE(Filter('Inflation Data'!$C:$C,'Inflation Data'!$A:$A = Q$1))) + 'Fund YTD Contributions'!Q23,'Fund YTD Contributions'!Q23)"),0.0)</f>
        <v>0</v>
      </c>
      <c r="R23" s="152">
        <f>IFERROR(__xludf.DUMMYFUNCTION("IFERROR(Q23 * (1 + AVERAGE(Filter('Inflation Data'!$C:$C,'Inflation Data'!$A:$A = R$1))) + 'Fund YTD Contributions'!R23,'Fund YTD Contributions'!R23)"),366400.0)</f>
        <v>366400</v>
      </c>
      <c r="S23" s="152">
        <f>IFERROR(__xludf.DUMMYFUNCTION("IFERROR(R23 * (1 + AVERAGE(Filter('Inflation Data'!$C:$C,'Inflation Data'!$A:$A = S$1))) + 'Fund YTD Contributions'!S23,'Fund YTD Contributions'!S23)"),376851.0203538666)</f>
        <v>376851.0204</v>
      </c>
      <c r="T23" s="152">
        <f>IFERROR(__xludf.DUMMYFUNCTION("IFERROR(S23 * (1 + AVERAGE(Filter('Inflation Data'!$C:$C,'Inflation Data'!$A:$A = T$1))) + 'Fund YTD Contributions'!T23,'Fund YTD Contributions'!T23)"),391343.3271765806)</f>
        <v>391343.3272</v>
      </c>
      <c r="U23" s="152">
        <f>IFERROR(__xludf.DUMMYFUNCTION("IFERROR(T23 * (1 + AVERAGE(Filter('Inflation Data'!$C:$C,'Inflation Data'!$A:$A = U$1))) + 'Fund YTD Contributions'!U23,'Fund YTD Contributions'!U23)"),390021.36941737816)</f>
        <v>390021.3694</v>
      </c>
      <c r="V23" s="152">
        <f>IFERROR(__xludf.DUMMYFUNCTION("IFERROR(U23 * (1 + AVERAGE(Filter('Inflation Data'!$C:$C,'Inflation Data'!$A:$A = V$1))) + 'Fund YTD Contributions'!V23,'Fund YTD Contributions'!V23)"),396434.56691387866)</f>
        <v>396434.5669</v>
      </c>
      <c r="W23" s="152">
        <f>IFERROR(__xludf.DUMMYFUNCTION("IFERROR(V23 * (1 + AVERAGE(Filter('Inflation Data'!$C:$C,'Inflation Data'!$A:$A = W$1))) + 'Fund YTD Contributions'!W23,'Fund YTD Contributions'!W23)"),408942.87601833796)</f>
        <v>408942.876</v>
      </c>
      <c r="X23" s="152">
        <f>IFERROR(__xludf.DUMMYFUNCTION("IFERROR(W23 * (1 + AVERAGE(Filter('Inflation Data'!$C:$C,'Inflation Data'!$A:$A = X$1))) + 'Fund YTD Contributions'!X23,'Fund YTD Contributions'!X23)"),417421.0499733559)</f>
        <v>417421.05</v>
      </c>
      <c r="Y23" s="152">
        <f>IFERROR(__xludf.DUMMYFUNCTION("IFERROR(X23 * (1 + AVERAGE(Filter('Inflation Data'!$C:$C,'Inflation Data'!$A:$A = Y$1))) + 'Fund YTD Contributions'!Y23,'Fund YTD Contributions'!Y23)"),423540.6326316834)</f>
        <v>423540.6326</v>
      </c>
      <c r="Z23" s="152">
        <f>IFERROR(__xludf.DUMMYFUNCTION("IFERROR(Y23 * (1 + AVERAGE(Filter('Inflation Data'!$C:$C,'Inflation Data'!$A:$A = Z$1))) + 'Fund YTD Contributions'!Z23,'Fund YTD Contributions'!Z23)"),430410.0585175821)</f>
        <v>430410.0585</v>
      </c>
      <c r="AA23" s="152">
        <f>IFERROR(__xludf.DUMMYFUNCTION("IFERROR(Z23 * (1 + AVERAGE(Filter('Inflation Data'!$C:$C,'Inflation Data'!$A:$A = AA$1))) + 'Fund YTD Contributions'!AA23,'Fund YTD Contributions'!AA23)"),430921.8141761817)</f>
        <v>430921.8142</v>
      </c>
      <c r="AB23" s="152">
        <f>IFERROR(__xludf.DUMMYFUNCTION("IFERROR(AA23 * (1 + AVERAGE(Filter('Inflation Data'!$C:$C,'Inflation Data'!$A:$A = AB$1))) + 'Fund YTD Contributions'!AB23,'Fund YTD Contributions'!AB23)"),436359.3745507621)</f>
        <v>436359.3746</v>
      </c>
      <c r="AC23" s="152">
        <f>IFERROR(__xludf.DUMMYFUNCTION("IFERROR(AB23 * (1 + AVERAGE(Filter('Inflation Data'!$C:$C,'Inflation Data'!$A:$A = AC$1))) + 'Fund YTD Contributions'!AC23,'Fund YTD Contributions'!AC23)"),445660.87610532285)</f>
        <v>445660.8761</v>
      </c>
      <c r="AD23" s="152">
        <f>IFERROR(__xludf.DUMMYFUNCTION("IFERROR(AC23 * (1 + AVERAGE(Filter('Inflation Data'!$C:$C,'Inflation Data'!$A:$A = AD$1))) + 'Fund YTD Contributions'!AD23,'Fund YTD Contributions'!AD23)"),456546.9655827575)</f>
        <v>456546.9656</v>
      </c>
      <c r="AE23" s="152">
        <f>IFERROR(__xludf.DUMMYFUNCTION("IFERROR(AD23 * (1 + AVERAGE(Filter('Inflation Data'!$C:$C,'Inflation Data'!$A:$A = AE$1))) + 'Fund YTD Contributions'!AE23,'Fund YTD Contributions'!AE23)"),464818.8535689306)</f>
        <v>464818.8536</v>
      </c>
      <c r="AF23" s="152">
        <f>IFERROR(__xludf.DUMMYFUNCTION("IFERROR(AE23 * (1 + AVERAGE(Filter('Inflation Data'!$C:$C,'Inflation Data'!$A:$A = AF$1))) + 'Fund YTD Contributions'!AF23,'Fund YTD Contributions'!AF23)"),476024.34858025314)</f>
        <v>476024.3486</v>
      </c>
    </row>
    <row r="24">
      <c r="A24" s="151" t="str">
        <f>'Endowed Funds'!A:A</f>
        <v>General Endowment</v>
      </c>
      <c r="B24" s="152" t="str">
        <f>IFERROR(__xludf.DUMMYFUNCTION("IFERROR(A24 * (1 + AVERAGE(Filter('Inflation Data'!$C:$C,'Inflation Data'!$A:$A = B$1))) + 'Fund YTD Contributions'!B24,'Fund YTD Contributions'!B24)"),"  ")</f>
        <v/>
      </c>
      <c r="C24" s="152">
        <f>IFERROR(__xludf.DUMMYFUNCTION("IFERROR(B24 * (1 + AVERAGE(Filter('Inflation Data'!$C:$C,'Inflation Data'!$A:$A = C$1))) + 'Fund YTD Contributions'!C24,'Fund YTD Contributions'!C24)"),0.0)</f>
        <v>0</v>
      </c>
      <c r="D24" s="152">
        <f>IFERROR(__xludf.DUMMYFUNCTION("IFERROR(C24 * (1 + AVERAGE(Filter('Inflation Data'!$C:$C,'Inflation Data'!$A:$A = D$1))) + 'Fund YTD Contributions'!D24,'Fund YTD Contributions'!D24)"),0.0)</f>
        <v>0</v>
      </c>
      <c r="E24" s="152">
        <f>IFERROR(__xludf.DUMMYFUNCTION("IFERROR(D24 * (1 + AVERAGE(Filter('Inflation Data'!$C:$C,'Inflation Data'!$A:$A = E$1))) + 'Fund YTD Contributions'!E24,'Fund YTD Contributions'!E24)"),0.0)</f>
        <v>0</v>
      </c>
      <c r="F24" s="152">
        <f>IFERROR(__xludf.DUMMYFUNCTION("IFERROR(E24 * (1 + AVERAGE(Filter('Inflation Data'!$C:$C,'Inflation Data'!$A:$A = F$1))) + 'Fund YTD Contributions'!F24,'Fund YTD Contributions'!F24)"),0.0)</f>
        <v>0</v>
      </c>
      <c r="G24" s="152">
        <f>IFERROR(__xludf.DUMMYFUNCTION("IFERROR(F24 * (1 + AVERAGE(Filter('Inflation Data'!$C:$C,'Inflation Data'!$A:$A = G$1))) + 'Fund YTD Contributions'!G24,'Fund YTD Contributions'!G24)"),0.0)</f>
        <v>0</v>
      </c>
      <c r="H24" s="152">
        <f>IFERROR(__xludf.DUMMYFUNCTION("IFERROR(G24 * (1 + AVERAGE(Filter('Inflation Data'!$C:$C,'Inflation Data'!$A:$A = H$1))) + 'Fund YTD Contributions'!H24,'Fund YTD Contributions'!H24)"),0.0)</f>
        <v>0</v>
      </c>
      <c r="I24" s="152">
        <f>IFERROR(__xludf.DUMMYFUNCTION("IFERROR(H24 * (1 + AVERAGE(Filter('Inflation Data'!$C:$C,'Inflation Data'!$A:$A = I$1))) + 'Fund YTD Contributions'!I24,'Fund YTD Contributions'!I24)"),0.0)</f>
        <v>0</v>
      </c>
      <c r="J24" s="152">
        <f>IFERROR(__xludf.DUMMYFUNCTION("IFERROR(I24 * (1 + AVERAGE(Filter('Inflation Data'!$C:$C,'Inflation Data'!$A:$A = J$1))) + 'Fund YTD Contributions'!J24,'Fund YTD Contributions'!J24)"),0.0)</f>
        <v>0</v>
      </c>
      <c r="K24" s="152">
        <f>IFERROR(__xludf.DUMMYFUNCTION("IFERROR(J24 * (1 + AVERAGE(Filter('Inflation Data'!$C:$C,'Inflation Data'!$A:$A = K$1))) + 'Fund YTD Contributions'!K24,'Fund YTD Contributions'!K24)"),55000.0)</f>
        <v>55000</v>
      </c>
      <c r="L24" s="152">
        <f>IFERROR(__xludf.DUMMYFUNCTION("IFERROR(K24 * (1 + AVERAGE(Filter('Inflation Data'!$C:$C,'Inflation Data'!$A:$A = L$1))) + 'Fund YTD Contributions'!L24,'Fund YTD Contributions'!L24)"),206817.46142708336)</f>
        <v>206817.4614</v>
      </c>
      <c r="M24" s="152">
        <f>IFERROR(__xludf.DUMMYFUNCTION("IFERROR(L24 * (1 + AVERAGE(Filter('Inflation Data'!$C:$C,'Inflation Data'!$A:$A = M$1))) + 'Fund YTD Contributions'!M24,'Fund YTD Contributions'!M24)"),489159.1121602375)</f>
        <v>489159.1122</v>
      </c>
      <c r="N24" s="152">
        <f>IFERROR(__xludf.DUMMYFUNCTION("IFERROR(M24 * (1 + AVERAGE(Filter('Inflation Data'!$C:$C,'Inflation Data'!$A:$A = N$1))) + 'Fund YTD Contributions'!N24,'Fund YTD Contributions'!N24)"),801236.8319480843)</f>
        <v>801236.8319</v>
      </c>
      <c r="O24" s="152">
        <f>IFERROR(__xludf.DUMMYFUNCTION("IFERROR(N24 * (1 + AVERAGE(Filter('Inflation Data'!$C:$C,'Inflation Data'!$A:$A = O$1))) + 'Fund YTD Contributions'!O24,'Fund YTD Contributions'!O24)"),1049443.0875628649)</f>
        <v>1049443.088</v>
      </c>
      <c r="P24" s="152">
        <f>IFERROR(__xludf.DUMMYFUNCTION("IFERROR(O24 * (1 + AVERAGE(Filter('Inflation Data'!$C:$C,'Inflation Data'!$A:$A = P$1))) + 'Fund YTD Contributions'!P24,'Fund YTD Contributions'!P24)"),1317524.735742411)</f>
        <v>1317524.736</v>
      </c>
      <c r="Q24" s="152">
        <f>IFERROR(__xludf.DUMMYFUNCTION("IFERROR(P24 * (1 + AVERAGE(Filter('Inflation Data'!$C:$C,'Inflation Data'!$A:$A = Q$1))) + 'Fund YTD Contributions'!Q24,'Fund YTD Contributions'!Q24)"),1398193.266428519)</f>
        <v>1398193.266</v>
      </c>
      <c r="R24" s="152">
        <f>IFERROR(__xludf.DUMMYFUNCTION("IFERROR(Q24 * (1 + AVERAGE(Filter('Inflation Data'!$C:$C,'Inflation Data'!$A:$A = R$1))) + 'Fund YTD Contributions'!R24,'Fund YTD Contributions'!R24)"),1519527.8956713125)</f>
        <v>1519527.896</v>
      </c>
      <c r="S24" s="152">
        <f>IFERROR(__xludf.DUMMYFUNCTION("IFERROR(R24 * (1 + AVERAGE(Filter('Inflation Data'!$C:$C,'Inflation Data'!$A:$A = S$1))) + 'Fund YTD Contributions'!S24,'Fund YTD Contributions'!S24)"),1641370.1908840009)</f>
        <v>1641370.191</v>
      </c>
      <c r="T24" s="152">
        <f>IFERROR(__xludf.DUMMYFUNCTION("IFERROR(S24 * (1 + AVERAGE(Filter('Inflation Data'!$C:$C,'Inflation Data'!$A:$A = T$1))) + 'Fund YTD Contributions'!T24,'Fund YTD Contributions'!T24)"),1704491.2629554288)</f>
        <v>1704491.263</v>
      </c>
      <c r="U24" s="152">
        <f>IFERROR(__xludf.DUMMYFUNCTION("IFERROR(T24 * (1 + AVERAGE(Filter('Inflation Data'!$C:$C,'Inflation Data'!$A:$A = U$1))) + 'Fund YTD Contributions'!U24,'Fund YTD Contributions'!U24)"),1698733.4914691653)</f>
        <v>1698733.491</v>
      </c>
      <c r="V24" s="152">
        <f>IFERROR(__xludf.DUMMYFUNCTION("IFERROR(U24 * (1 + AVERAGE(Filter('Inflation Data'!$C:$C,'Inflation Data'!$A:$A = V$1))) + 'Fund YTD Contributions'!V24,'Fund YTD Contributions'!V24)"),1726666.0978055457)</f>
        <v>1726666.098</v>
      </c>
      <c r="W24" s="152">
        <f>IFERROR(__xludf.DUMMYFUNCTION("IFERROR(V24 * (1 + AVERAGE(Filter('Inflation Data'!$C:$C,'Inflation Data'!$A:$A = W$1))) + 'Fund YTD Contributions'!W24,'Fund YTD Contributions'!W24)"),1781145.8911284984)</f>
        <v>1781145.891</v>
      </c>
      <c r="X24" s="152">
        <f>IFERROR(__xludf.DUMMYFUNCTION("IFERROR(W24 * (1 + AVERAGE(Filter('Inflation Data'!$C:$C,'Inflation Data'!$A:$A = X$1))) + 'Fund YTD Contributions'!X24,'Fund YTD Contributions'!X24)"),1818072.4781650107)</f>
        <v>1818072.478</v>
      </c>
      <c r="Y24" s="152">
        <f>IFERROR(__xludf.DUMMYFUNCTION("IFERROR(X24 * (1 + AVERAGE(Filter('Inflation Data'!$C:$C,'Inflation Data'!$A:$A = Y$1))) + 'Fund YTD Contributions'!Y24,'Fund YTD Contributions'!Y24)"),1844726.2485239115)</f>
        <v>1844726.249</v>
      </c>
      <c r="Z24" s="152">
        <f>IFERROR(__xludf.DUMMYFUNCTION("IFERROR(Y24 * (1 + AVERAGE(Filter('Inflation Data'!$C:$C,'Inflation Data'!$A:$A = Z$1))) + 'Fund YTD Contributions'!Z24,'Fund YTD Contributions'!Z24)"),1874645.952249308)</f>
        <v>1874645.952</v>
      </c>
      <c r="AA24" s="152">
        <f>IFERROR(__xludf.DUMMYFUNCTION("IFERROR(Z24 * (1 + AVERAGE(Filter('Inflation Data'!$C:$C,'Inflation Data'!$A:$A = AA$1))) + 'Fund YTD Contributions'!AA24,'Fund YTD Contributions'!AA24)"),1876874.898006846)</f>
        <v>1876874.898</v>
      </c>
      <c r="AB24" s="152">
        <f>IFERROR(__xludf.DUMMYFUNCTION("IFERROR(AA24 * (1 + AVERAGE(Filter('Inflation Data'!$C:$C,'Inflation Data'!$A:$A = AB$1))) + 'Fund YTD Contributions'!AB24,'Fund YTD Contributions'!AB24)"),1900558.128323133)</f>
        <v>1900558.128</v>
      </c>
      <c r="AC24" s="152">
        <f>IFERROR(__xludf.DUMMYFUNCTION("IFERROR(AB24 * (1 + AVERAGE(Filter('Inflation Data'!$C:$C,'Inflation Data'!$A:$A = AC$1))) + 'Fund YTD Contributions'!AC24,'Fund YTD Contributions'!AC24)"),1951070.7090447696)</f>
        <v>1951070.709</v>
      </c>
      <c r="AD24" s="152">
        <f>IFERROR(__xludf.DUMMYFUNCTION("IFERROR(AC24 * (1 + AVERAGE(Filter('Inflation Data'!$C:$C,'Inflation Data'!$A:$A = AD$1))) + 'Fund YTD Contributions'!AD24,'Fund YTD Contributions'!AD24)"),1998729.2123019495)</f>
        <v>1998729.212</v>
      </c>
      <c r="AE24" s="152">
        <f>IFERROR(__xludf.DUMMYFUNCTION("IFERROR(AD24 * (1 + AVERAGE(Filter('Inflation Data'!$C:$C,'Inflation Data'!$A:$A = AE$1))) + 'Fund YTD Contributions'!AE24,'Fund YTD Contributions'!AE24)"),2034942.932697068)</f>
        <v>2034942.933</v>
      </c>
      <c r="AF24" s="152">
        <f>IFERROR(__xludf.DUMMYFUNCTION("IFERROR(AE24 * (1 + AVERAGE(Filter('Inflation Data'!$C:$C,'Inflation Data'!$A:$A = AF$1))) + 'Fund YTD Contributions'!AF24,'Fund YTD Contributions'!AF24)"),2083999.770012471)</f>
        <v>2083999.77</v>
      </c>
    </row>
    <row r="25">
      <c r="A25" s="151" t="str">
        <f>'Endowed Funds'!A:A</f>
        <v>National Endowment for the Humanities I</v>
      </c>
      <c r="B25" s="152" t="str">
        <f>IFERROR(__xludf.DUMMYFUNCTION("IFERROR(A25 * (1 + AVERAGE(Filter('Inflation Data'!$C:$C,'Inflation Data'!$A:$A = B$1))) + 'Fund YTD Contributions'!B25,'Fund YTD Contributions'!B25)"),"  ")</f>
        <v/>
      </c>
      <c r="C25" s="152">
        <f>IFERROR(__xludf.DUMMYFUNCTION("IFERROR(B25 * (1 + AVERAGE(Filter('Inflation Data'!$C:$C,'Inflation Data'!$A:$A = C$1))) + 'Fund YTD Contributions'!C25,'Fund YTD Contributions'!C25)"),0.0)</f>
        <v>0</v>
      </c>
      <c r="D25" s="152">
        <f>IFERROR(__xludf.DUMMYFUNCTION("IFERROR(C25 * (1 + AVERAGE(Filter('Inflation Data'!$C:$C,'Inflation Data'!$A:$A = D$1))) + 'Fund YTD Contributions'!D25,'Fund YTD Contributions'!D25)"),0.0)</f>
        <v>0</v>
      </c>
      <c r="E25" s="152">
        <f>IFERROR(__xludf.DUMMYFUNCTION("IFERROR(D25 * (1 + AVERAGE(Filter('Inflation Data'!$C:$C,'Inflation Data'!$A:$A = E$1))) + 'Fund YTD Contributions'!E25,'Fund YTD Contributions'!E25)"),0.0)</f>
        <v>0</v>
      </c>
      <c r="F25" s="152">
        <f>IFERROR(__xludf.DUMMYFUNCTION("IFERROR(E25 * (1 + AVERAGE(Filter('Inflation Data'!$C:$C,'Inflation Data'!$A:$A = F$1))) + 'Fund YTD Contributions'!F25,'Fund YTD Contributions'!F25)"),0.0)</f>
        <v>0</v>
      </c>
      <c r="G25" s="152">
        <f>IFERROR(__xludf.DUMMYFUNCTION("IFERROR(F25 * (1 + AVERAGE(Filter('Inflation Data'!$C:$C,'Inflation Data'!$A:$A = G$1))) + 'Fund YTD Contributions'!G25,'Fund YTD Contributions'!G25)"),0.0)</f>
        <v>0</v>
      </c>
      <c r="H25" s="152">
        <f>IFERROR(__xludf.DUMMYFUNCTION("IFERROR(G25 * (1 + AVERAGE(Filter('Inflation Data'!$C:$C,'Inflation Data'!$A:$A = H$1))) + 'Fund YTD Contributions'!H25,'Fund YTD Contributions'!H25)"),1183929.39)</f>
        <v>1183929.39</v>
      </c>
      <c r="I25" s="152">
        <f>IFERROR(__xludf.DUMMYFUNCTION("IFERROR(H25 * (1 + AVERAGE(Filter('Inflation Data'!$C:$C,'Inflation Data'!$A:$A = I$1))) + 'Fund YTD Contributions'!I25,'Fund YTD Contributions'!I25)"),1211645.2510154867)</f>
        <v>1211645.251</v>
      </c>
      <c r="J25" s="152">
        <f>IFERROR(__xludf.DUMMYFUNCTION("IFERROR(I25 * (1 + AVERAGE(Filter('Inflation Data'!$C:$C,'Inflation Data'!$A:$A = J$1))) + 'Fund YTD Contributions'!J25,'Fund YTD Contributions'!J25)"),1230452.9804983076)</f>
        <v>1230452.98</v>
      </c>
      <c r="K25" s="152">
        <f>IFERROR(__xludf.DUMMYFUNCTION("IFERROR(J25 * (1 + AVERAGE(Filter('Inflation Data'!$C:$C,'Inflation Data'!$A:$A = K$1))) + 'Fund YTD Contributions'!K25,'Fund YTD Contributions'!K25)"),1257355.1873403622)</f>
        <v>1257355.187</v>
      </c>
      <c r="L25" s="152">
        <f>IFERROR(__xludf.DUMMYFUNCTION("IFERROR(K25 * (1 + AVERAGE(Filter('Inflation Data'!$C:$C,'Inflation Data'!$A:$A = L$1))) + 'Fund YTD Contributions'!L25,'Fund YTD Contributions'!L25)"),1299803.988309598)</f>
        <v>1299803.988</v>
      </c>
      <c r="M25" s="152">
        <f>IFERROR(__xludf.DUMMYFUNCTION("IFERROR(L25 * (1 + AVERAGE(Filter('Inflation Data'!$C:$C,'Inflation Data'!$A:$A = M$1))) + 'Fund YTD Contributions'!M25,'Fund YTD Contributions'!M25)"),1336610.7306508191)</f>
        <v>1336610.731</v>
      </c>
      <c r="N25" s="152">
        <f>IFERROR(__xludf.DUMMYFUNCTION("IFERROR(M25 * (1 + AVERAGE(Filter('Inflation Data'!$C:$C,'Inflation Data'!$A:$A = N$1))) + 'Fund YTD Contributions'!N25,'Fund YTD Contributions'!N25)"),1357803.9290363714)</f>
        <v>1357803.929</v>
      </c>
      <c r="O25" s="152">
        <f>IFERROR(__xludf.DUMMYFUNCTION("IFERROR(N25 * (1 + AVERAGE(Filter('Inflation Data'!$C:$C,'Inflation Data'!$A:$A = O$1))) + 'Fund YTD Contributions'!O25,'Fund YTD Contributions'!O25)"),1388656.8858914443)</f>
        <v>1388656.886</v>
      </c>
      <c r="P25" s="152">
        <f>IFERROR(__xludf.DUMMYFUNCTION("IFERROR(O25 * (1 + AVERAGE(Filter('Inflation Data'!$C:$C,'Inflation Data'!$A:$A = P$1))) + 'Fund YTD Contributions'!P25,'Fund YTD Contributions'!P25)"),1425815.427001347)</f>
        <v>1425815.427</v>
      </c>
      <c r="Q25" s="152">
        <f>IFERROR(__xludf.DUMMYFUNCTION("IFERROR(P25 * (1 + AVERAGE(Filter('Inflation Data'!$C:$C,'Inflation Data'!$A:$A = Q$1))) + 'Fund YTD Contributions'!Q25,'Fund YTD Contributions'!Q25)"),1474155.3772322226)</f>
        <v>1474155.377</v>
      </c>
      <c r="R25" s="152">
        <f>IFERROR(__xludf.DUMMYFUNCTION("IFERROR(Q25 * (1 + AVERAGE(Filter('Inflation Data'!$C:$C,'Inflation Data'!$A:$A = R$1))) + 'Fund YTD Contributions'!R25,'Fund YTD Contributions'!R25)"),1521847.5479331312)</f>
        <v>1521847.548</v>
      </c>
      <c r="S25" s="152">
        <f>IFERROR(__xludf.DUMMYFUNCTION("IFERROR(R25 * (1 + AVERAGE(Filter('Inflation Data'!$C:$C,'Inflation Data'!$A:$A = S$1))) + 'Fund YTD Contributions'!S25,'Fund YTD Contributions'!S25)"),1565256.0078101268)</f>
        <v>1565256.008</v>
      </c>
      <c r="T25" s="152">
        <f>IFERROR(__xludf.DUMMYFUNCTION("IFERROR(S25 * (1 + AVERAGE(Filter('Inflation Data'!$C:$C,'Inflation Data'!$A:$A = T$1))) + 'Fund YTD Contributions'!T25,'Fund YTD Contributions'!T25)"),1625450.0078156996)</f>
        <v>1625450.008</v>
      </c>
      <c r="U25" s="152">
        <f>IFERROR(__xludf.DUMMYFUNCTION("IFERROR(T25 * (1 + AVERAGE(Filter('Inflation Data'!$C:$C,'Inflation Data'!$A:$A = U$1))) + 'Fund YTD Contributions'!U25,'Fund YTD Contributions'!U25)"),1619959.237689298)</f>
        <v>1619959.238</v>
      </c>
      <c r="V25" s="152">
        <f>IFERROR(__xludf.DUMMYFUNCTION("IFERROR(U25 * (1 + AVERAGE(Filter('Inflation Data'!$C:$C,'Inflation Data'!$A:$A = V$1))) + 'Fund YTD Contributions'!V25,'Fund YTD Contributions'!V25)"),1646596.5435966677)</f>
        <v>1646596.544</v>
      </c>
      <c r="W25" s="152">
        <f>IFERROR(__xludf.DUMMYFUNCTION("IFERROR(V25 * (1 + AVERAGE(Filter('Inflation Data'!$C:$C,'Inflation Data'!$A:$A = W$1))) + 'Fund YTD Contributions'!W25,'Fund YTD Contributions'!W25)"),1698549.9812042306)</f>
        <v>1698549.981</v>
      </c>
      <c r="X25" s="152">
        <f>IFERROR(__xludf.DUMMYFUNCTION("IFERROR(W25 * (1 + AVERAGE(Filter('Inflation Data'!$C:$C,'Inflation Data'!$A:$A = X$1))) + 'Fund YTD Contributions'!X25,'Fund YTD Contributions'!X25)"),1733764.1958450454)</f>
        <v>1733764.196</v>
      </c>
      <c r="Y25" s="152">
        <f>IFERROR(__xludf.DUMMYFUNCTION("IFERROR(X25 * (1 + AVERAGE(Filter('Inflation Data'!$C:$C,'Inflation Data'!$A:$A = Y$1))) + 'Fund YTD Contributions'!Y25,'Fund YTD Contributions'!Y25)"),1759181.9683967642)</f>
        <v>1759181.968</v>
      </c>
      <c r="Z25" s="152">
        <f>IFERROR(__xludf.DUMMYFUNCTION("IFERROR(Y25 * (1 + AVERAGE(Filter('Inflation Data'!$C:$C,'Inflation Data'!$A:$A = Z$1))) + 'Fund YTD Contributions'!Z25,'Fund YTD Contributions'!Z25)"),1787714.2253295244)</f>
        <v>1787714.225</v>
      </c>
      <c r="AA25" s="152">
        <f>IFERROR(__xludf.DUMMYFUNCTION("IFERROR(Z25 * (1 + AVERAGE(Filter('Inflation Data'!$C:$C,'Inflation Data'!$A:$A = AA$1))) + 'Fund YTD Contributions'!AA25,'Fund YTD Contributions'!AA25)"),1789839.8096477033)</f>
        <v>1789839.81</v>
      </c>
      <c r="AB25" s="152">
        <f>IFERROR(__xludf.DUMMYFUNCTION("IFERROR(AA25 * (1 + AVERAGE(Filter('Inflation Data'!$C:$C,'Inflation Data'!$A:$A = AB$1))) + 'Fund YTD Contributions'!AB25,'Fund YTD Contributions'!AB25)"),1812424.7930614415)</f>
        <v>1812424.793</v>
      </c>
      <c r="AC25" s="152">
        <f>IFERROR(__xludf.DUMMYFUNCTION("IFERROR(AB25 * (1 + AVERAGE(Filter('Inflation Data'!$C:$C,'Inflation Data'!$A:$A = AC$1))) + 'Fund YTD Contributions'!AC25,'Fund YTD Contributions'!AC25)"),1851058.7104547396)</f>
        <v>1851058.71</v>
      </c>
      <c r="AD25" s="152">
        <f>IFERROR(__xludf.DUMMYFUNCTION("IFERROR(AC25 * (1 + AVERAGE(Filter('Inflation Data'!$C:$C,'Inflation Data'!$A:$A = AD$1))) + 'Fund YTD Contributions'!AD25,'Fund YTD Contributions'!AD25)"),1896274.2360492116)</f>
        <v>1896274.236</v>
      </c>
      <c r="AE25" s="152">
        <f>IFERROR(__xludf.DUMMYFUNCTION("IFERROR(AD25 * (1 + AVERAGE(Filter('Inflation Data'!$C:$C,'Inflation Data'!$A:$A = AE$1))) + 'Fund YTD Contributions'!AE25,'Fund YTD Contributions'!AE25)"),1930631.6390201042)</f>
        <v>1930631.639</v>
      </c>
      <c r="AF25" s="152">
        <f>IFERROR(__xludf.DUMMYFUNCTION("IFERROR(AE25 * (1 + AVERAGE(Filter('Inflation Data'!$C:$C,'Inflation Data'!$A:$A = AF$1))) + 'Fund YTD Contributions'!AF25,'Fund YTD Contributions'!AF25)"),1977173.8199872389)</f>
        <v>1977173.82</v>
      </c>
    </row>
    <row r="26">
      <c r="A26" s="151" t="str">
        <f>'Endowed Funds'!A:A</f>
        <v>National Endowment for the Humanities II</v>
      </c>
      <c r="B26" s="152" t="str">
        <f>IFERROR(__xludf.DUMMYFUNCTION("IFERROR(A26 * (1 + AVERAGE(Filter('Inflation Data'!$C:$C,'Inflation Data'!$A:$A = B$1))) + 'Fund YTD Contributions'!B26,'Fund YTD Contributions'!B26)"),"  ")</f>
        <v/>
      </c>
      <c r="C26" s="152">
        <f>IFERROR(__xludf.DUMMYFUNCTION("IFERROR(B26 * (1 + AVERAGE(Filter('Inflation Data'!$C:$C,'Inflation Data'!$A:$A = C$1))) + 'Fund YTD Contributions'!C26,'Fund YTD Contributions'!C26)"),0.0)</f>
        <v>0</v>
      </c>
      <c r="D26" s="152">
        <f>IFERROR(__xludf.DUMMYFUNCTION("IFERROR(C26 * (1 + AVERAGE(Filter('Inflation Data'!$C:$C,'Inflation Data'!$A:$A = D$1))) + 'Fund YTD Contributions'!D26,'Fund YTD Contributions'!D26)"),0.0)</f>
        <v>0</v>
      </c>
      <c r="E26" s="152">
        <f>IFERROR(__xludf.DUMMYFUNCTION("IFERROR(D26 * (1 + AVERAGE(Filter('Inflation Data'!$C:$C,'Inflation Data'!$A:$A = E$1))) + 'Fund YTD Contributions'!E26,'Fund YTD Contributions'!E26)"),0.0)</f>
        <v>0</v>
      </c>
      <c r="F26" s="152">
        <f>IFERROR(__xludf.DUMMYFUNCTION("IFERROR(E26 * (1 + AVERAGE(Filter('Inflation Data'!$C:$C,'Inflation Data'!$A:$A = F$1))) + 'Fund YTD Contributions'!F26,'Fund YTD Contributions'!F26)"),0.0)</f>
        <v>0</v>
      </c>
      <c r="G26" s="152">
        <f>IFERROR(__xludf.DUMMYFUNCTION("IFERROR(F26 * (1 + AVERAGE(Filter('Inflation Data'!$C:$C,'Inflation Data'!$A:$A = G$1))) + 'Fund YTD Contributions'!G26,'Fund YTD Contributions'!G26)"),0.0)</f>
        <v>0</v>
      </c>
      <c r="H26" s="152">
        <f>IFERROR(__xludf.DUMMYFUNCTION("IFERROR(G26 * (1 + AVERAGE(Filter('Inflation Data'!$C:$C,'Inflation Data'!$A:$A = H$1))) + 'Fund YTD Contributions'!H26,'Fund YTD Contributions'!H26)"),0.0)</f>
        <v>0</v>
      </c>
      <c r="I26" s="152">
        <f>IFERROR(__xludf.DUMMYFUNCTION("IFERROR(H26 * (1 + AVERAGE(Filter('Inflation Data'!$C:$C,'Inflation Data'!$A:$A = I$1))) + 'Fund YTD Contributions'!I26,'Fund YTD Contributions'!I26)"),0.0)</f>
        <v>0</v>
      </c>
      <c r="J26" s="152">
        <f>IFERROR(__xludf.DUMMYFUNCTION("IFERROR(I26 * (1 + AVERAGE(Filter('Inflation Data'!$C:$C,'Inflation Data'!$A:$A = J$1))) + 'Fund YTD Contributions'!J26,'Fund YTD Contributions'!J26)"),0.0)</f>
        <v>0</v>
      </c>
      <c r="K26" s="152">
        <f>IFERROR(__xludf.DUMMYFUNCTION("IFERROR(J26 * (1 + AVERAGE(Filter('Inflation Data'!$C:$C,'Inflation Data'!$A:$A = K$1))) + 'Fund YTD Contributions'!K26,'Fund YTD Contributions'!K26)"),0.0)</f>
        <v>0</v>
      </c>
      <c r="L26" s="152">
        <f>IFERROR(__xludf.DUMMYFUNCTION("IFERROR(K26 * (1 + AVERAGE(Filter('Inflation Data'!$C:$C,'Inflation Data'!$A:$A = L$1))) + 'Fund YTD Contributions'!L26,'Fund YTD Contributions'!L26)"),0.0)</f>
        <v>0</v>
      </c>
      <c r="M26" s="152">
        <f>IFERROR(__xludf.DUMMYFUNCTION("IFERROR(L26 * (1 + AVERAGE(Filter('Inflation Data'!$C:$C,'Inflation Data'!$A:$A = M$1))) + 'Fund YTD Contributions'!M26,'Fund YTD Contributions'!M26)"),350000.0)</f>
        <v>350000</v>
      </c>
      <c r="N26" s="152">
        <f>IFERROR(__xludf.DUMMYFUNCTION("IFERROR(M26 * (1 + AVERAGE(Filter('Inflation Data'!$C:$C,'Inflation Data'!$A:$A = N$1))) + 'Fund YTD Contributions'!N26,'Fund YTD Contributions'!N26)"),355549.5734583333)</f>
        <v>355549.5735</v>
      </c>
      <c r="O26" s="152">
        <f>IFERROR(__xludf.DUMMYFUNCTION("IFERROR(N26 * (1 + AVERAGE(Filter('Inflation Data'!$C:$C,'Inflation Data'!$A:$A = O$1))) + 'Fund YTD Contributions'!O26,'Fund YTD Contributions'!O26)"),513628.61595862627)</f>
        <v>513628.616</v>
      </c>
      <c r="P26" s="152">
        <f>IFERROR(__xludf.DUMMYFUNCTION("IFERROR(O26 * (1 + AVERAGE(Filter('Inflation Data'!$C:$C,'Inflation Data'!$A:$A = P$1))) + 'Fund YTD Contributions'!P26,'Fund YTD Contributions'!P26)"),527372.6086145724)</f>
        <v>527372.6086</v>
      </c>
      <c r="Q26" s="152">
        <f>IFERROR(__xludf.DUMMYFUNCTION("IFERROR(P26 * (1 + AVERAGE(Filter('Inflation Data'!$C:$C,'Inflation Data'!$A:$A = Q$1))) + 'Fund YTD Contributions'!Q26,'Fund YTD Contributions'!Q26)"),545252.3181273041)</f>
        <v>545252.3181</v>
      </c>
      <c r="R26" s="152">
        <f>IFERROR(__xludf.DUMMYFUNCTION("IFERROR(Q26 * (1 + AVERAGE(Filter('Inflation Data'!$C:$C,'Inflation Data'!$A:$A = R$1))) + 'Fund YTD Contributions'!R26,'Fund YTD Contributions'!R26)"),562892.4305827614)</f>
        <v>562892.4306</v>
      </c>
      <c r="S26" s="152">
        <f>IFERROR(__xludf.DUMMYFUNCTION("IFERROR(R26 * (1 + AVERAGE(Filter('Inflation Data'!$C:$C,'Inflation Data'!$A:$A = S$1))) + 'Fund YTD Contributions'!S26,'Fund YTD Contributions'!S26)"),578948.1081183999)</f>
        <v>578948.1081</v>
      </c>
      <c r="T26" s="152">
        <f>IFERROR(__xludf.DUMMYFUNCTION("IFERROR(S26 * (1 + AVERAGE(Filter('Inflation Data'!$C:$C,'Inflation Data'!$A:$A = T$1))) + 'Fund YTD Contributions'!T26,'Fund YTD Contributions'!T26)"),601212.3270381286)</f>
        <v>601212.327</v>
      </c>
      <c r="U26" s="152">
        <f>IFERROR(__xludf.DUMMYFUNCTION("IFERROR(T26 * (1 + AVERAGE(Filter('Inflation Data'!$C:$C,'Inflation Data'!$A:$A = U$1))) + 'Fund YTD Contributions'!U26,'Fund YTD Contributions'!U26)"),599181.4317973938)</f>
        <v>599181.4318</v>
      </c>
      <c r="V26" s="152">
        <f>IFERROR(__xludf.DUMMYFUNCTION("IFERROR(U26 * (1 + AVERAGE(Filter('Inflation Data'!$C:$C,'Inflation Data'!$A:$A = V$1))) + 'Fund YTD Contributions'!V26,'Fund YTD Contributions'!V26)"),609033.8890206811)</f>
        <v>609033.889</v>
      </c>
      <c r="W26" s="152">
        <f>IFERROR(__xludf.DUMMYFUNCTION("IFERROR(V26 * (1 + AVERAGE(Filter('Inflation Data'!$C:$C,'Inflation Data'!$A:$A = W$1))) + 'Fund YTD Contributions'!W26,'Fund YTD Contributions'!W26)"),628250.1349657946)</f>
        <v>628250.135</v>
      </c>
      <c r="X26" s="152">
        <f>IFERROR(__xludf.DUMMYFUNCTION("IFERROR(W26 * (1 + AVERAGE(Filter('Inflation Data'!$C:$C,'Inflation Data'!$A:$A = X$1))) + 'Fund YTD Contributions'!X26,'Fund YTD Contributions'!X26)"),641274.9710587081)</f>
        <v>641274.9711</v>
      </c>
      <c r="Y26" s="152">
        <f>IFERROR(__xludf.DUMMYFUNCTION("IFERROR(X26 * (1 + AVERAGE(Filter('Inflation Data'!$C:$C,'Inflation Data'!$A:$A = Y$1))) + 'Fund YTD Contributions'!Y26,'Fund YTD Contributions'!Y26)"),650676.354128299)</f>
        <v>650676.3541</v>
      </c>
      <c r="Z26" s="152">
        <f>IFERROR(__xludf.DUMMYFUNCTION("IFERROR(Y26 * (1 + AVERAGE(Filter('Inflation Data'!$C:$C,'Inflation Data'!$A:$A = Z$1))) + 'Fund YTD Contributions'!Z26,'Fund YTD Contributions'!Z26)"),661229.7052025939)</f>
        <v>661229.7052</v>
      </c>
      <c r="AA26" s="152">
        <f>IFERROR(__xludf.DUMMYFUNCTION("IFERROR(Z26 * (1 + AVERAGE(Filter('Inflation Data'!$C:$C,'Inflation Data'!$A:$A = AA$1))) + 'Fund YTD Contributions'!AA26,'Fund YTD Contributions'!AA26)"),662015.9044016486)</f>
        <v>662015.9044</v>
      </c>
      <c r="AB26" s="152">
        <f>IFERROR(__xludf.DUMMYFUNCTION("IFERROR(AA26 * (1 + AVERAGE(Filter('Inflation Data'!$C:$C,'Inflation Data'!$A:$A = AB$1))) + 'Fund YTD Contributions'!AB26,'Fund YTD Contributions'!AB26)"),670369.5113221947)</f>
        <v>670369.5113</v>
      </c>
      <c r="AC26" s="152">
        <f>IFERROR(__xludf.DUMMYFUNCTION("IFERROR(AB26 * (1 + AVERAGE(Filter('Inflation Data'!$C:$C,'Inflation Data'!$A:$A = AC$1))) + 'Fund YTD Contributions'!AC26,'Fund YTD Contributions'!AC26)"),684659.2078781882)</f>
        <v>684659.2079</v>
      </c>
      <c r="AD26" s="152">
        <f>IFERROR(__xludf.DUMMYFUNCTION("IFERROR(AC26 * (1 + AVERAGE(Filter('Inflation Data'!$C:$C,'Inflation Data'!$A:$A = AD$1))) + 'Fund YTD Contributions'!AD26,'Fund YTD Contributions'!AD26)"),701383.272740346)</f>
        <v>701383.2727</v>
      </c>
      <c r="AE26" s="152">
        <f>IFERROR(__xludf.DUMMYFUNCTION("IFERROR(AD26 * (1 + AVERAGE(Filter('Inflation Data'!$C:$C,'Inflation Data'!$A:$A = AE$1))) + 'Fund YTD Contributions'!AE26,'Fund YTD Contributions'!AE26)"),714091.1961411247)</f>
        <v>714091.1961</v>
      </c>
      <c r="AF26" s="152">
        <f>IFERROR(__xludf.DUMMYFUNCTION("IFERROR(AE26 * (1 + AVERAGE(Filter('Inflation Data'!$C:$C,'Inflation Data'!$A:$A = AF$1))) + 'Fund YTD Contributions'!AF26,'Fund YTD Contributions'!AF26)"),731305.956847474)</f>
        <v>731305.9568</v>
      </c>
    </row>
    <row r="27">
      <c r="A27" s="151" t="str">
        <f>'Endowed Funds'!A:A</f>
        <v>Jan and Frank Cicero Research Fund</v>
      </c>
      <c r="B27" s="152" t="str">
        <f>IFERROR(__xludf.DUMMYFUNCTION("IFERROR(A27 * (1 + AVERAGE(Filter('Inflation Data'!$C:$C,'Inflation Data'!$A:$A = B$1))) + 'Fund YTD Contributions'!B27,'Fund YTD Contributions'!B27)"),"  ")</f>
        <v/>
      </c>
      <c r="C27" s="152">
        <f>IFERROR(__xludf.DUMMYFUNCTION("IFERROR(B27 * (1 + AVERAGE(Filter('Inflation Data'!$C:$C,'Inflation Data'!$A:$A = C$1))) + 'Fund YTD Contributions'!C27,'Fund YTD Contributions'!C27)"),0.0)</f>
        <v>0</v>
      </c>
      <c r="D27" s="152">
        <f>IFERROR(__xludf.DUMMYFUNCTION("IFERROR(C27 * (1 + AVERAGE(Filter('Inflation Data'!$C:$C,'Inflation Data'!$A:$A = D$1))) + 'Fund YTD Contributions'!D27,'Fund YTD Contributions'!D27)"),0.0)</f>
        <v>0</v>
      </c>
      <c r="E27" s="152">
        <f>IFERROR(__xludf.DUMMYFUNCTION("IFERROR(D27 * (1 + AVERAGE(Filter('Inflation Data'!$C:$C,'Inflation Data'!$A:$A = E$1))) + 'Fund YTD Contributions'!E27,'Fund YTD Contributions'!E27)"),0.0)</f>
        <v>0</v>
      </c>
      <c r="F27" s="152">
        <f>IFERROR(__xludf.DUMMYFUNCTION("IFERROR(E27 * (1 + AVERAGE(Filter('Inflation Data'!$C:$C,'Inflation Data'!$A:$A = F$1))) + 'Fund YTD Contributions'!F27,'Fund YTD Contributions'!F27)"),0.0)</f>
        <v>0</v>
      </c>
      <c r="G27" s="152">
        <f>IFERROR(__xludf.DUMMYFUNCTION("IFERROR(F27 * (1 + AVERAGE(Filter('Inflation Data'!$C:$C,'Inflation Data'!$A:$A = G$1))) + 'Fund YTD Contributions'!G27,'Fund YTD Contributions'!G27)"),0.0)</f>
        <v>0</v>
      </c>
      <c r="H27" s="152">
        <f>IFERROR(__xludf.DUMMYFUNCTION("IFERROR(G27 * (1 + AVERAGE(Filter('Inflation Data'!$C:$C,'Inflation Data'!$A:$A = H$1))) + 'Fund YTD Contributions'!H27,'Fund YTD Contributions'!H27)"),0.0)</f>
        <v>0</v>
      </c>
      <c r="I27" s="152">
        <f>IFERROR(__xludf.DUMMYFUNCTION("IFERROR(H27 * (1 + AVERAGE(Filter('Inflation Data'!$C:$C,'Inflation Data'!$A:$A = I$1))) + 'Fund YTD Contributions'!I27,'Fund YTD Contributions'!I27)"),0.0)</f>
        <v>0</v>
      </c>
      <c r="J27" s="152">
        <f>IFERROR(__xludf.DUMMYFUNCTION("IFERROR(I27 * (1 + AVERAGE(Filter('Inflation Data'!$C:$C,'Inflation Data'!$A:$A = J$1))) + 'Fund YTD Contributions'!J27,'Fund YTD Contributions'!J27)"),0.0)</f>
        <v>0</v>
      </c>
      <c r="K27" s="152">
        <f>IFERROR(__xludf.DUMMYFUNCTION("IFERROR(J27 * (1 + AVERAGE(Filter('Inflation Data'!$C:$C,'Inflation Data'!$A:$A = K$1))) + 'Fund YTD Contributions'!K27,'Fund YTD Contributions'!K27)"),0.0)</f>
        <v>0</v>
      </c>
      <c r="L27" s="152">
        <f>IFERROR(__xludf.DUMMYFUNCTION("IFERROR(K27 * (1 + AVERAGE(Filter('Inflation Data'!$C:$C,'Inflation Data'!$A:$A = L$1))) + 'Fund YTD Contributions'!L27,'Fund YTD Contributions'!L27)"),0.0)</f>
        <v>0</v>
      </c>
      <c r="M27" s="152">
        <f>IFERROR(__xludf.DUMMYFUNCTION("IFERROR(L27 * (1 + AVERAGE(Filter('Inflation Data'!$C:$C,'Inflation Data'!$A:$A = M$1))) + 'Fund YTD Contributions'!M27,'Fund YTD Contributions'!M27)"),0.0)</f>
        <v>0</v>
      </c>
      <c r="N27" s="152">
        <f>IFERROR(__xludf.DUMMYFUNCTION("IFERROR(M27 * (1 + AVERAGE(Filter('Inflation Data'!$C:$C,'Inflation Data'!$A:$A = N$1))) + 'Fund YTD Contributions'!N27,'Fund YTD Contributions'!N27)"),0.0)</f>
        <v>0</v>
      </c>
      <c r="O27" s="152">
        <f>IFERROR(__xludf.DUMMYFUNCTION("IFERROR(N27 * (1 + AVERAGE(Filter('Inflation Data'!$C:$C,'Inflation Data'!$A:$A = O$1))) + 'Fund YTD Contributions'!O27,'Fund YTD Contributions'!O27)"),0.0)</f>
        <v>0</v>
      </c>
      <c r="P27" s="152">
        <f>IFERROR(__xludf.DUMMYFUNCTION("IFERROR(O27 * (1 + AVERAGE(Filter('Inflation Data'!$C:$C,'Inflation Data'!$A:$A = P$1))) + 'Fund YTD Contributions'!P27,'Fund YTD Contributions'!P27)"),19055.26)</f>
        <v>19055.26</v>
      </c>
      <c r="Q27" s="152">
        <f>IFERROR(__xludf.DUMMYFUNCTION("IFERROR(P27 * (1 + AVERAGE(Filter('Inflation Data'!$C:$C,'Inflation Data'!$A:$A = Q$1))) + 'Fund YTD Contributions'!Q27,'Fund YTD Contributions'!Q27)"),41830.297560397026)</f>
        <v>41830.29756</v>
      </c>
      <c r="R27" s="152">
        <f>IFERROR(__xludf.DUMMYFUNCTION("IFERROR(Q27 * (1 + AVERAGE(Filter('Inflation Data'!$C:$C,'Inflation Data'!$A:$A = R$1))) + 'Fund YTD Contributions'!R27,'Fund YTD Contributions'!R27)"),77188.89974450323)</f>
        <v>77188.89974</v>
      </c>
      <c r="S27" s="152">
        <f>IFERROR(__xludf.DUMMYFUNCTION("IFERROR(R27 * (1 + AVERAGE(Filter('Inflation Data'!$C:$C,'Inflation Data'!$A:$A = S$1))) + 'Fund YTD Contributions'!S27,'Fund YTD Contributions'!S27)"),99390.59942333067)</f>
        <v>99390.59942</v>
      </c>
      <c r="T27" s="152">
        <f>IFERROR(__xludf.DUMMYFUNCTION("IFERROR(S27 * (1 + AVERAGE(Filter('Inflation Data'!$C:$C,'Inflation Data'!$A:$A = T$1))) + 'Fund YTD Contributions'!T27,'Fund YTD Contributions'!T27)"),113212.79701426148)</f>
        <v>113212.797</v>
      </c>
      <c r="U27" s="152">
        <f>IFERROR(__xludf.DUMMYFUNCTION("IFERROR(T27 * (1 + AVERAGE(Filter('Inflation Data'!$C:$C,'Inflation Data'!$A:$A = U$1))) + 'Fund YTD Contributions'!U27,'Fund YTD Contributions'!U27)"),117830.3641859473)</f>
        <v>117830.3642</v>
      </c>
      <c r="V27" s="152">
        <f>IFERROR(__xludf.DUMMYFUNCTION("IFERROR(U27 * (1 + AVERAGE(Filter('Inflation Data'!$C:$C,'Inflation Data'!$A:$A = V$1))) + 'Fund YTD Contributions'!V27,'Fund YTD Contributions'!V27)"),119767.87186081623)</f>
        <v>119767.8719</v>
      </c>
      <c r="W27" s="152">
        <f>IFERROR(__xludf.DUMMYFUNCTION("IFERROR(V27 * (1 + AVERAGE(Filter('Inflation Data'!$C:$C,'Inflation Data'!$A:$A = W$1))) + 'Fund YTD Contributions'!W27,'Fund YTD Contributions'!W27)"),123546.78946046089)</f>
        <v>123546.7895</v>
      </c>
      <c r="X27" s="152">
        <f>IFERROR(__xludf.DUMMYFUNCTION("IFERROR(W27 * (1 + AVERAGE(Filter('Inflation Data'!$C:$C,'Inflation Data'!$A:$A = X$1))) + 'Fund YTD Contributions'!X27,'Fund YTD Contributions'!X27)"),141108.15251152622)</f>
        <v>141108.1525</v>
      </c>
      <c r="Y27" s="152">
        <f>IFERROR(__xludf.DUMMYFUNCTION("IFERROR(X27 * (1 + AVERAGE(Filter('Inflation Data'!$C:$C,'Inflation Data'!$A:$A = Y$1))) + 'Fund YTD Contributions'!Y27,'Fund YTD Contributions'!Y27)"),143176.86227859065)</f>
        <v>143176.8623</v>
      </c>
      <c r="Z27" s="152">
        <f>IFERROR(__xludf.DUMMYFUNCTION("IFERROR(Y27 * (1 + AVERAGE(Filter('Inflation Data'!$C:$C,'Inflation Data'!$A:$A = Z$1))) + 'Fund YTD Contributions'!Z27,'Fund YTD Contributions'!Z27)"),165499.0546923079)</f>
        <v>165499.0547</v>
      </c>
      <c r="AA27" s="152">
        <f>IFERROR(__xludf.DUMMYFUNCTION("IFERROR(Z27 * (1 + AVERAGE(Filter('Inflation Data'!$C:$C,'Inflation Data'!$A:$A = AA$1))) + 'Fund YTD Contributions'!AA27,'Fund YTD Contributions'!AA27)"),185695.8323373829)</f>
        <v>185695.8323</v>
      </c>
      <c r="AB27" s="152">
        <f>IFERROR(__xludf.DUMMYFUNCTION("IFERROR(AA27 * (1 + AVERAGE(Filter('Inflation Data'!$C:$C,'Inflation Data'!$A:$A = AB$1))) + 'Fund YTD Contributions'!AB27,'Fund YTD Contributions'!AB27)"),208039.02376196382)</f>
        <v>208039.0238</v>
      </c>
      <c r="AC27" s="152">
        <f>IFERROR(__xludf.DUMMYFUNCTION("IFERROR(AB27 * (1 + AVERAGE(Filter('Inflation Data'!$C:$C,'Inflation Data'!$A:$A = AC$1))) + 'Fund YTD Contributions'!AC27,'Fund YTD Contributions'!AC27)"),212473.61464229814)</f>
        <v>212473.6146</v>
      </c>
      <c r="AD27" s="152">
        <f>IFERROR(__xludf.DUMMYFUNCTION("IFERROR(AC27 * (1 + AVERAGE(Filter('Inflation Data'!$C:$C,'Inflation Data'!$A:$A = AD$1))) + 'Fund YTD Contributions'!AD27,'Fund YTD Contributions'!AD27)"),217663.6748531105)</f>
        <v>217663.6749</v>
      </c>
      <c r="AE27" s="152">
        <f>IFERROR(__xludf.DUMMYFUNCTION("IFERROR(AD27 * (1 + AVERAGE(Filter('Inflation Data'!$C:$C,'Inflation Data'!$A:$A = AE$1))) + 'Fund YTD Contributions'!AE27,'Fund YTD Contributions'!AE27)"),221607.38639381804)</f>
        <v>221607.3864</v>
      </c>
      <c r="AF27" s="152">
        <f>IFERROR(__xludf.DUMMYFUNCTION("IFERROR(AE27 * (1 + AVERAGE(Filter('Inflation Data'!$C:$C,'Inflation Data'!$A:$A = AF$1))) + 'Fund YTD Contributions'!AF27,'Fund YTD Contributions'!AF27)"),226949.7266273127)</f>
        <v>226949.7266</v>
      </c>
    </row>
    <row r="28">
      <c r="A28" s="151" t="str">
        <f>'Endowed Funds'!A:A</f>
        <v>Mark D. Varien Endowment for Research</v>
      </c>
      <c r="B28" s="152" t="str">
        <f>IFERROR(__xludf.DUMMYFUNCTION("IFERROR(A28 * (1 + AVERAGE(Filter('Inflation Data'!$C:$C,'Inflation Data'!$A:$A = B$1))) + 'Fund YTD Contributions'!B28,'Fund YTD Contributions'!B28)"),"  ")</f>
        <v/>
      </c>
      <c r="C28" s="152">
        <f>IFERROR(__xludf.DUMMYFUNCTION("IFERROR(B28 * (1 + AVERAGE(Filter('Inflation Data'!$C:$C,'Inflation Data'!$A:$A = C$1))) + 'Fund YTD Contributions'!C28,'Fund YTD Contributions'!C28)"),0.0)</f>
        <v>0</v>
      </c>
      <c r="D28" s="152">
        <f>IFERROR(__xludf.DUMMYFUNCTION("IFERROR(C28 * (1 + AVERAGE(Filter('Inflation Data'!$C:$C,'Inflation Data'!$A:$A = D$1))) + 'Fund YTD Contributions'!D28,'Fund YTD Contributions'!D28)"),0.0)</f>
        <v>0</v>
      </c>
      <c r="E28" s="152">
        <f>IFERROR(__xludf.DUMMYFUNCTION("IFERROR(D28 * (1 + AVERAGE(Filter('Inflation Data'!$C:$C,'Inflation Data'!$A:$A = E$1))) + 'Fund YTD Contributions'!E28,'Fund YTD Contributions'!E28)"),0.0)</f>
        <v>0</v>
      </c>
      <c r="F28" s="152">
        <f>IFERROR(__xludf.DUMMYFUNCTION("IFERROR(E28 * (1 + AVERAGE(Filter('Inflation Data'!$C:$C,'Inflation Data'!$A:$A = F$1))) + 'Fund YTD Contributions'!F28,'Fund YTD Contributions'!F28)"),0.0)</f>
        <v>0</v>
      </c>
      <c r="G28" s="152">
        <f>IFERROR(__xludf.DUMMYFUNCTION("IFERROR(F28 * (1 + AVERAGE(Filter('Inflation Data'!$C:$C,'Inflation Data'!$A:$A = G$1))) + 'Fund YTD Contributions'!G28,'Fund YTD Contributions'!G28)"),0.0)</f>
        <v>0</v>
      </c>
      <c r="H28" s="152">
        <f>IFERROR(__xludf.DUMMYFUNCTION("IFERROR(G28 * (1 + AVERAGE(Filter('Inflation Data'!$C:$C,'Inflation Data'!$A:$A = H$1))) + 'Fund YTD Contributions'!H28,'Fund YTD Contributions'!H28)"),0.0)</f>
        <v>0</v>
      </c>
      <c r="I28" s="152">
        <f>IFERROR(__xludf.DUMMYFUNCTION("IFERROR(H28 * (1 + AVERAGE(Filter('Inflation Data'!$C:$C,'Inflation Data'!$A:$A = I$1))) + 'Fund YTD Contributions'!I28,'Fund YTD Contributions'!I28)"),0.0)</f>
        <v>0</v>
      </c>
      <c r="J28" s="152">
        <f>IFERROR(__xludf.DUMMYFUNCTION("IFERROR(I28 * (1 + AVERAGE(Filter('Inflation Data'!$C:$C,'Inflation Data'!$A:$A = J$1))) + 'Fund YTD Contributions'!J28,'Fund YTD Contributions'!J28)"),0.0)</f>
        <v>0</v>
      </c>
      <c r="K28" s="152">
        <f>IFERROR(__xludf.DUMMYFUNCTION("IFERROR(J28 * (1 + AVERAGE(Filter('Inflation Data'!$C:$C,'Inflation Data'!$A:$A = K$1))) + 'Fund YTD Contributions'!K28,'Fund YTD Contributions'!K28)"),0.0)</f>
        <v>0</v>
      </c>
      <c r="L28" s="152">
        <f>IFERROR(__xludf.DUMMYFUNCTION("IFERROR(K28 * (1 + AVERAGE(Filter('Inflation Data'!$C:$C,'Inflation Data'!$A:$A = L$1))) + 'Fund YTD Contributions'!L28,'Fund YTD Contributions'!L28)"),0.0)</f>
        <v>0</v>
      </c>
      <c r="M28" s="152">
        <f>IFERROR(__xludf.DUMMYFUNCTION("IFERROR(L28 * (1 + AVERAGE(Filter('Inflation Data'!$C:$C,'Inflation Data'!$A:$A = M$1))) + 'Fund YTD Contributions'!M28,'Fund YTD Contributions'!M28)"),0.0)</f>
        <v>0</v>
      </c>
      <c r="N28" s="152">
        <f>IFERROR(__xludf.DUMMYFUNCTION("IFERROR(M28 * (1 + AVERAGE(Filter('Inflation Data'!$C:$C,'Inflation Data'!$A:$A = N$1))) + 'Fund YTD Contributions'!N28,'Fund YTD Contributions'!N28)"),0.0)</f>
        <v>0</v>
      </c>
      <c r="O28" s="152">
        <f>IFERROR(__xludf.DUMMYFUNCTION("IFERROR(N28 * (1 + AVERAGE(Filter('Inflation Data'!$C:$C,'Inflation Data'!$A:$A = O$1))) + 'Fund YTD Contributions'!O28,'Fund YTD Contributions'!O28)"),0.0)</f>
        <v>0</v>
      </c>
      <c r="P28" s="152">
        <f>IFERROR(__xludf.DUMMYFUNCTION("IFERROR(O28 * (1 + AVERAGE(Filter('Inflation Data'!$C:$C,'Inflation Data'!$A:$A = P$1))) + 'Fund YTD Contributions'!P28,'Fund YTD Contributions'!P28)"),0.0)</f>
        <v>0</v>
      </c>
      <c r="Q28" s="152">
        <f>IFERROR(__xludf.DUMMYFUNCTION("IFERROR(P28 * (1 + AVERAGE(Filter('Inflation Data'!$C:$C,'Inflation Data'!$A:$A = Q$1))) + 'Fund YTD Contributions'!Q28,'Fund YTD Contributions'!Q28)"),0.0)</f>
        <v>0</v>
      </c>
      <c r="R28" s="152">
        <f>IFERROR(__xludf.DUMMYFUNCTION("IFERROR(Q28 * (1 + AVERAGE(Filter('Inflation Data'!$C:$C,'Inflation Data'!$A:$A = R$1))) + 'Fund YTD Contributions'!R28,'Fund YTD Contributions'!R28)"),0.0)</f>
        <v>0</v>
      </c>
      <c r="S28" s="152">
        <f>IFERROR(__xludf.DUMMYFUNCTION("IFERROR(R28 * (1 + AVERAGE(Filter('Inflation Data'!$C:$C,'Inflation Data'!$A:$A = S$1))) + 'Fund YTD Contributions'!S28,'Fund YTD Contributions'!S28)"),0.0)</f>
        <v>0</v>
      </c>
      <c r="T28" s="152">
        <f>IFERROR(__xludf.DUMMYFUNCTION("IFERROR(S28 * (1 + AVERAGE(Filter('Inflation Data'!$C:$C,'Inflation Data'!$A:$A = T$1))) + 'Fund YTD Contributions'!T28,'Fund YTD Contributions'!T28)"),0.0)</f>
        <v>0</v>
      </c>
      <c r="U28" s="152">
        <f>IFERROR(__xludf.DUMMYFUNCTION("IFERROR(T28 * (1 + AVERAGE(Filter('Inflation Data'!$C:$C,'Inflation Data'!$A:$A = U$1))) + 'Fund YTD Contributions'!U28,'Fund YTD Contributions'!U28)"),0.0)</f>
        <v>0</v>
      </c>
      <c r="V28" s="152">
        <f>IFERROR(__xludf.DUMMYFUNCTION("IFERROR(U28 * (1 + AVERAGE(Filter('Inflation Data'!$C:$C,'Inflation Data'!$A:$A = V$1))) + 'Fund YTD Contributions'!V28,'Fund YTD Contributions'!V28)"),0.0)</f>
        <v>0</v>
      </c>
      <c r="W28" s="152">
        <f>IFERROR(__xludf.DUMMYFUNCTION("IFERROR(V28 * (1 + AVERAGE(Filter('Inflation Data'!$C:$C,'Inflation Data'!$A:$A = W$1))) + 'Fund YTD Contributions'!W28,'Fund YTD Contributions'!W28)"),0.0)</f>
        <v>0</v>
      </c>
      <c r="X28" s="152">
        <f>IFERROR(__xludf.DUMMYFUNCTION("IFERROR(W28 * (1 + AVERAGE(Filter('Inflation Data'!$C:$C,'Inflation Data'!$A:$A = X$1))) + 'Fund YTD Contributions'!X28,'Fund YTD Contributions'!X28)"),0.0)</f>
        <v>0</v>
      </c>
      <c r="Y28" s="152">
        <f>IFERROR(__xludf.DUMMYFUNCTION("IFERROR(X28 * (1 + AVERAGE(Filter('Inflation Data'!$C:$C,'Inflation Data'!$A:$A = Y$1))) + 'Fund YTD Contributions'!Y28,'Fund YTD Contributions'!Y28)"),405623.55)</f>
        <v>405623.55</v>
      </c>
      <c r="Z28" s="152">
        <f>IFERROR(__xludf.DUMMYFUNCTION("IFERROR(Y28 * (1 + AVERAGE(Filter('Inflation Data'!$C:$C,'Inflation Data'!$A:$A = Z$1))) + 'Fund YTD Contributions'!Z28,'Fund YTD Contributions'!Z28)"),414702.3778611823)</f>
        <v>414702.3779</v>
      </c>
      <c r="AA28" s="152">
        <f>IFERROR(__xludf.DUMMYFUNCTION("IFERROR(Z28 * (1 + AVERAGE(Filter('Inflation Data'!$C:$C,'Inflation Data'!$A:$A = AA$1))) + 'Fund YTD Contributions'!AA28,'Fund YTD Contributions'!AA28)"),417695.45715685707)</f>
        <v>417695.4572</v>
      </c>
      <c r="AB28" s="152">
        <f>IFERROR(__xludf.DUMMYFUNCTION("IFERROR(AA28 * (1 + AVERAGE(Filter('Inflation Data'!$C:$C,'Inflation Data'!$A:$A = AB$1))) + 'Fund YTD Contributions'!AB28,'Fund YTD Contributions'!AB28)"),425466.12155991234)</f>
        <v>425466.1216</v>
      </c>
      <c r="AC28" s="152">
        <f>IFERROR(__xludf.DUMMYFUNCTION("IFERROR(AB28 * (1 + AVERAGE(Filter('Inflation Data'!$C:$C,'Inflation Data'!$A:$A = AC$1))) + 'Fund YTD Contributions'!AC28,'Fund YTD Contributions'!AC28)"),437835.42090790207)</f>
        <v>437835.4209</v>
      </c>
      <c r="AD28" s="152">
        <f>IFERROR(__xludf.DUMMYFUNCTION("IFERROR(AC28 * (1 + AVERAGE(Filter('Inflation Data'!$C:$C,'Inflation Data'!$A:$A = AD$1))) + 'Fund YTD Contributions'!AD28,'Fund YTD Contributions'!AD28)"),451180.35919830576)</f>
        <v>451180.3592</v>
      </c>
      <c r="AE28" s="152">
        <f>IFERROR(__xludf.DUMMYFUNCTION("IFERROR(AD28 * (1 + AVERAGE(Filter('Inflation Data'!$C:$C,'Inflation Data'!$A:$A = AE$1))) + 'Fund YTD Contributions'!AE28,'Fund YTD Contributions'!AE28)"),460355.0130109445)</f>
        <v>460355.013</v>
      </c>
      <c r="AF28" s="152">
        <f>IFERROR(__xludf.DUMMYFUNCTION("IFERROR(AE28 * (1 + AVERAGE(Filter('Inflation Data'!$C:$C,'Inflation Data'!$A:$A = AF$1))) + 'Fund YTD Contributions'!AF28,'Fund YTD Contributions'!AF28)"),471452.8971912523)</f>
        <v>471452.8972</v>
      </c>
    </row>
    <row r="29">
      <c r="A29" s="151" t="str">
        <f>'Endowed Funds'!A:A</f>
        <v>Research Institute Endowment Fund</v>
      </c>
      <c r="B29" s="152" t="str">
        <f>IFERROR(__xludf.DUMMYFUNCTION("IFERROR(A29 * (1 + AVERAGE(Filter('Inflation Data'!$C:$C,'Inflation Data'!$A:$A = B$1))) + 'Fund YTD Contributions'!B29,'Fund YTD Contributions'!B29)"),"  ")</f>
        <v/>
      </c>
      <c r="C29" s="152">
        <f>IFERROR(__xludf.DUMMYFUNCTION("IFERROR(B29 * (1 + AVERAGE(Filter('Inflation Data'!$C:$C,'Inflation Data'!$A:$A = C$1))) + 'Fund YTD Contributions'!C29,'Fund YTD Contributions'!C29)"),0.0)</f>
        <v>0</v>
      </c>
      <c r="D29" s="152">
        <f>IFERROR(__xludf.DUMMYFUNCTION("IFERROR(C29 * (1 + AVERAGE(Filter('Inflation Data'!$C:$C,'Inflation Data'!$A:$A = D$1))) + 'Fund YTD Contributions'!D29,'Fund YTD Contributions'!D29)"),0.0)</f>
        <v>0</v>
      </c>
      <c r="E29" s="152">
        <f>IFERROR(__xludf.DUMMYFUNCTION("IFERROR(D29 * (1 + AVERAGE(Filter('Inflation Data'!$C:$C,'Inflation Data'!$A:$A = E$1))) + 'Fund YTD Contributions'!E29,'Fund YTD Contributions'!E29)"),0.0)</f>
        <v>0</v>
      </c>
      <c r="F29" s="152">
        <f>IFERROR(__xludf.DUMMYFUNCTION("IFERROR(E29 * (1 + AVERAGE(Filter('Inflation Data'!$C:$C,'Inflation Data'!$A:$A = F$1))) + 'Fund YTD Contributions'!F29,'Fund YTD Contributions'!F29)"),0.0)</f>
        <v>0</v>
      </c>
      <c r="G29" s="152">
        <f>IFERROR(__xludf.DUMMYFUNCTION("IFERROR(F29 * (1 + AVERAGE(Filter('Inflation Data'!$C:$C,'Inflation Data'!$A:$A = G$1))) + 'Fund YTD Contributions'!G29,'Fund YTD Contributions'!G29)"),0.0)</f>
        <v>0</v>
      </c>
      <c r="H29" s="152">
        <f>IFERROR(__xludf.DUMMYFUNCTION("IFERROR(G29 * (1 + AVERAGE(Filter('Inflation Data'!$C:$C,'Inflation Data'!$A:$A = H$1))) + 'Fund YTD Contributions'!H29,'Fund YTD Contributions'!H29)"),0.0)</f>
        <v>0</v>
      </c>
      <c r="I29" s="152">
        <f>IFERROR(__xludf.DUMMYFUNCTION("IFERROR(H29 * (1 + AVERAGE(Filter('Inflation Data'!$C:$C,'Inflation Data'!$A:$A = I$1))) + 'Fund YTD Contributions'!I29,'Fund YTD Contributions'!I29)"),0.0)</f>
        <v>0</v>
      </c>
      <c r="J29" s="152">
        <f>IFERROR(__xludf.DUMMYFUNCTION("IFERROR(I29 * (1 + AVERAGE(Filter('Inflation Data'!$C:$C,'Inflation Data'!$A:$A = J$1))) + 'Fund YTD Contributions'!J29,'Fund YTD Contributions'!J29)"),0.0)</f>
        <v>0</v>
      </c>
      <c r="K29" s="152">
        <f>IFERROR(__xludf.DUMMYFUNCTION("IFERROR(J29 * (1 + AVERAGE(Filter('Inflation Data'!$C:$C,'Inflation Data'!$A:$A = K$1))) + 'Fund YTD Contributions'!K29,'Fund YTD Contributions'!K29)"),0.0)</f>
        <v>0</v>
      </c>
      <c r="L29" s="152">
        <f>IFERROR(__xludf.DUMMYFUNCTION("IFERROR(K29 * (1 + AVERAGE(Filter('Inflation Data'!$C:$C,'Inflation Data'!$A:$A = L$1))) + 'Fund YTD Contributions'!L29,'Fund YTD Contributions'!L29)"),0.0)</f>
        <v>0</v>
      </c>
      <c r="M29" s="152">
        <f>IFERROR(__xludf.DUMMYFUNCTION("IFERROR(L29 * (1 + AVERAGE(Filter('Inflation Data'!$C:$C,'Inflation Data'!$A:$A = M$1))) + 'Fund YTD Contributions'!M29,'Fund YTD Contributions'!M29)"),0.0)</f>
        <v>0</v>
      </c>
      <c r="N29" s="152">
        <f>IFERROR(__xludf.DUMMYFUNCTION("IFERROR(M29 * (1 + AVERAGE(Filter('Inflation Data'!$C:$C,'Inflation Data'!$A:$A = N$1))) + 'Fund YTD Contributions'!N29,'Fund YTD Contributions'!N29)"),0.0)</f>
        <v>0</v>
      </c>
      <c r="O29" s="152">
        <f>IFERROR(__xludf.DUMMYFUNCTION("IFERROR(N29 * (1 + AVERAGE(Filter('Inflation Data'!$C:$C,'Inflation Data'!$A:$A = O$1))) + 'Fund YTD Contributions'!O29,'Fund YTD Contributions'!O29)"),0.0)</f>
        <v>0</v>
      </c>
      <c r="P29" s="152">
        <f>IFERROR(__xludf.DUMMYFUNCTION("IFERROR(O29 * (1 + AVERAGE(Filter('Inflation Data'!$C:$C,'Inflation Data'!$A:$A = P$1))) + 'Fund YTD Contributions'!P29,'Fund YTD Contributions'!P29)"),0.0)</f>
        <v>0</v>
      </c>
      <c r="Q29" s="152">
        <f>IFERROR(__xludf.DUMMYFUNCTION("IFERROR(P29 * (1 + AVERAGE(Filter('Inflation Data'!$C:$C,'Inflation Data'!$A:$A = Q$1))) + 'Fund YTD Contributions'!Q29,'Fund YTD Contributions'!Q29)"),0.0)</f>
        <v>0</v>
      </c>
      <c r="R29" s="152">
        <f>IFERROR(__xludf.DUMMYFUNCTION("IFERROR(Q29 * (1 + AVERAGE(Filter('Inflation Data'!$C:$C,'Inflation Data'!$A:$A = R$1))) + 'Fund YTD Contributions'!R29,'Fund YTD Contributions'!R29)"),0.0)</f>
        <v>0</v>
      </c>
      <c r="S29" s="152">
        <f>IFERROR(__xludf.DUMMYFUNCTION("IFERROR(R29 * (1 + AVERAGE(Filter('Inflation Data'!$C:$C,'Inflation Data'!$A:$A = S$1))) + 'Fund YTD Contributions'!S29,'Fund YTD Contributions'!S29)"),0.0)</f>
        <v>0</v>
      </c>
      <c r="T29" s="152">
        <f>IFERROR(__xludf.DUMMYFUNCTION("IFERROR(S29 * (1 + AVERAGE(Filter('Inflation Data'!$C:$C,'Inflation Data'!$A:$A = T$1))) + 'Fund YTD Contributions'!T29,'Fund YTD Contributions'!T29)"),0.0)</f>
        <v>0</v>
      </c>
      <c r="U29" s="152">
        <f>IFERROR(__xludf.DUMMYFUNCTION("IFERROR(T29 * (1 + AVERAGE(Filter('Inflation Data'!$C:$C,'Inflation Data'!$A:$A = U$1))) + 'Fund YTD Contributions'!U29,'Fund YTD Contributions'!U29)"),0.0)</f>
        <v>0</v>
      </c>
      <c r="V29" s="152">
        <f>IFERROR(__xludf.DUMMYFUNCTION("IFERROR(U29 * (1 + AVERAGE(Filter('Inflation Data'!$C:$C,'Inflation Data'!$A:$A = V$1))) + 'Fund YTD Contributions'!V29,'Fund YTD Contributions'!V29)"),0.0)</f>
        <v>0</v>
      </c>
      <c r="W29" s="152">
        <f>IFERROR(__xludf.DUMMYFUNCTION("IFERROR(V29 * (1 + AVERAGE(Filter('Inflation Data'!$C:$C,'Inflation Data'!$A:$A = W$1))) + 'Fund YTD Contributions'!W29,'Fund YTD Contributions'!W29)"),0.0)</f>
        <v>0</v>
      </c>
      <c r="X29" s="152">
        <f>IFERROR(__xludf.DUMMYFUNCTION("IFERROR(W29 * (1 + AVERAGE(Filter('Inflation Data'!$C:$C,'Inflation Data'!$A:$A = X$1))) + 'Fund YTD Contributions'!X29,'Fund YTD Contributions'!X29)"),0.0)</f>
        <v>0</v>
      </c>
      <c r="Y29" s="152">
        <f>IFERROR(__xludf.DUMMYFUNCTION("IFERROR(X29 * (1 + AVERAGE(Filter('Inflation Data'!$C:$C,'Inflation Data'!$A:$A = Y$1))) + 'Fund YTD Contributions'!Y29,'Fund YTD Contributions'!Y29)"),498636.0)</f>
        <v>498636</v>
      </c>
      <c r="Z29" s="152">
        <f>IFERROR(__xludf.DUMMYFUNCTION("IFERROR(Y29 * (1 + AVERAGE(Filter('Inflation Data'!$C:$C,'Inflation Data'!$A:$A = Z$1))) + 'Fund YTD Contributions'!Z29,'Fund YTD Contributions'!Z29)"),507723.401260081)</f>
        <v>507723.4013</v>
      </c>
      <c r="AA29" s="152">
        <f>IFERROR(__xludf.DUMMYFUNCTION("IFERROR(Z29 * (1 + AVERAGE(Filter('Inflation Data'!$C:$C,'Inflation Data'!$A:$A = AA$1))) + 'Fund YTD Contributions'!AA29,'Fund YTD Contributions'!AA29)"),1009327.0821417342)</f>
        <v>1009327.082</v>
      </c>
      <c r="AB29" s="152">
        <f>IFERROR(__xludf.DUMMYFUNCTION("IFERROR(AA29 * (1 + AVERAGE(Filter('Inflation Data'!$C:$C,'Inflation Data'!$A:$A = AB$1))) + 'Fund YTD Contributions'!AB29,'Fund YTD Contributions'!AB29)"),1023063.2137700137)</f>
        <v>1023063.214</v>
      </c>
      <c r="AC29" s="152">
        <f>IFERROR(__xludf.DUMMYFUNCTION("IFERROR(AB29 * (1 + AVERAGE(Filter('Inflation Data'!$C:$C,'Inflation Data'!$A:$A = AC$1))) + 'Fund YTD Contributions'!AC29,'Fund YTD Contributions'!AC29)"),1048370.9819269199)</f>
        <v>1048370.982</v>
      </c>
      <c r="AD29" s="152">
        <f>IFERROR(__xludf.DUMMYFUNCTION("IFERROR(AC29 * (1 + AVERAGE(Filter('Inflation Data'!$C:$C,'Inflation Data'!$A:$A = AD$1))) + 'Fund YTD Contributions'!AD29,'Fund YTD Contributions'!AD29)"),1148979.378191225)</f>
        <v>1148979.378</v>
      </c>
      <c r="AE29" s="152">
        <f>IFERROR(__xludf.DUMMYFUNCTION("IFERROR(AD29 * (1 + AVERAGE(Filter('Inflation Data'!$C:$C,'Inflation Data'!$A:$A = AE$1))) + 'Fund YTD Contributions'!AE29,'Fund YTD Contributions'!AE29)"),1170797.014560112)</f>
        <v>1170797.015</v>
      </c>
      <c r="AF29" s="152">
        <f>IFERROR(__xludf.DUMMYFUNCTION("IFERROR(AE29 * (1 + AVERAGE(Filter('Inflation Data'!$C:$C,'Inflation Data'!$A:$A = AF$1))) + 'Fund YTD Contributions'!AF29,'Fund YTD Contributions'!AF29)"),1199021.687473426)</f>
        <v>1199021.687</v>
      </c>
    </row>
    <row r="30">
      <c r="A30" s="151" t="str">
        <f>'Endowed Funds'!A:A</f>
        <v>Ricky R. Lightfoot Chair for Research</v>
      </c>
      <c r="B30" s="152" t="str">
        <f>IFERROR(__xludf.DUMMYFUNCTION("IFERROR(A30 * (1 + AVERAGE(Filter('Inflation Data'!$C:$C,'Inflation Data'!$A:$A = B$1))) + 'Fund YTD Contributions'!B30,'Fund YTD Contributions'!B30)"),"  ")</f>
        <v/>
      </c>
      <c r="C30" s="152">
        <f>IFERROR(__xludf.DUMMYFUNCTION("IFERROR(B30 * (1 + AVERAGE(Filter('Inflation Data'!$C:$C,'Inflation Data'!$A:$A = C$1))) + 'Fund YTD Contributions'!C30,'Fund YTD Contributions'!C30)"),0.0)</f>
        <v>0</v>
      </c>
      <c r="D30" s="152">
        <f>IFERROR(__xludf.DUMMYFUNCTION("IFERROR(C30 * (1 + AVERAGE(Filter('Inflation Data'!$C:$C,'Inflation Data'!$A:$A = D$1))) + 'Fund YTD Contributions'!D30,'Fund YTD Contributions'!D30)"),0.0)</f>
        <v>0</v>
      </c>
      <c r="E30" s="152">
        <f>IFERROR(__xludf.DUMMYFUNCTION("IFERROR(D30 * (1 + AVERAGE(Filter('Inflation Data'!$C:$C,'Inflation Data'!$A:$A = E$1))) + 'Fund YTD Contributions'!E30,'Fund YTD Contributions'!E30)"),0.0)</f>
        <v>0</v>
      </c>
      <c r="F30" s="152">
        <f>IFERROR(__xludf.DUMMYFUNCTION("IFERROR(E30 * (1 + AVERAGE(Filter('Inflation Data'!$C:$C,'Inflation Data'!$A:$A = F$1))) + 'Fund YTD Contributions'!F30,'Fund YTD Contributions'!F30)"),0.0)</f>
        <v>0</v>
      </c>
      <c r="G30" s="152">
        <f>IFERROR(__xludf.DUMMYFUNCTION("IFERROR(F30 * (1 + AVERAGE(Filter('Inflation Data'!$C:$C,'Inflation Data'!$A:$A = G$1))) + 'Fund YTD Contributions'!G30,'Fund YTD Contributions'!G30)"),0.0)</f>
        <v>0</v>
      </c>
      <c r="H30" s="152">
        <f>IFERROR(__xludf.DUMMYFUNCTION("IFERROR(G30 * (1 + AVERAGE(Filter('Inflation Data'!$C:$C,'Inflation Data'!$A:$A = H$1))) + 'Fund YTD Contributions'!H30,'Fund YTD Contributions'!H30)"),0.0)</f>
        <v>0</v>
      </c>
      <c r="I30" s="152">
        <f>IFERROR(__xludf.DUMMYFUNCTION("IFERROR(H30 * (1 + AVERAGE(Filter('Inflation Data'!$C:$C,'Inflation Data'!$A:$A = I$1))) + 'Fund YTD Contributions'!I30,'Fund YTD Contributions'!I30)"),0.0)</f>
        <v>0</v>
      </c>
      <c r="J30" s="152">
        <f>IFERROR(__xludf.DUMMYFUNCTION("IFERROR(I30 * (1 + AVERAGE(Filter('Inflation Data'!$C:$C,'Inflation Data'!$A:$A = J$1))) + 'Fund YTD Contributions'!J30,'Fund YTD Contributions'!J30)"),0.0)</f>
        <v>0</v>
      </c>
      <c r="K30" s="152">
        <f>IFERROR(__xludf.DUMMYFUNCTION("IFERROR(J30 * (1 + AVERAGE(Filter('Inflation Data'!$C:$C,'Inflation Data'!$A:$A = K$1))) + 'Fund YTD Contributions'!K30,'Fund YTD Contributions'!K30)"),0.0)</f>
        <v>0</v>
      </c>
      <c r="L30" s="152">
        <f>IFERROR(__xludf.DUMMYFUNCTION("IFERROR(K30 * (1 + AVERAGE(Filter('Inflation Data'!$C:$C,'Inflation Data'!$A:$A = L$1))) + 'Fund YTD Contributions'!L30,'Fund YTD Contributions'!L30)"),0.0)</f>
        <v>0</v>
      </c>
      <c r="M30" s="152">
        <f>IFERROR(__xludf.DUMMYFUNCTION("IFERROR(L30 * (1 + AVERAGE(Filter('Inflation Data'!$C:$C,'Inflation Data'!$A:$A = M$1))) + 'Fund YTD Contributions'!M30,'Fund YTD Contributions'!M30)"),0.0)</f>
        <v>0</v>
      </c>
      <c r="N30" s="152">
        <f>IFERROR(__xludf.DUMMYFUNCTION("IFERROR(M30 * (1 + AVERAGE(Filter('Inflation Data'!$C:$C,'Inflation Data'!$A:$A = N$1))) + 'Fund YTD Contributions'!N30,'Fund YTD Contributions'!N30)"),0.0)</f>
        <v>0</v>
      </c>
      <c r="O30" s="152">
        <f>IFERROR(__xludf.DUMMYFUNCTION("IFERROR(N30 * (1 + AVERAGE(Filter('Inflation Data'!$C:$C,'Inflation Data'!$A:$A = O$1))) + 'Fund YTD Contributions'!O30,'Fund YTD Contributions'!O30)"),0.0)</f>
        <v>0</v>
      </c>
      <c r="P30" s="152">
        <f>IFERROR(__xludf.DUMMYFUNCTION("IFERROR(O30 * (1 + AVERAGE(Filter('Inflation Data'!$C:$C,'Inflation Data'!$A:$A = P$1))) + 'Fund YTD Contributions'!P30,'Fund YTD Contributions'!P30)"),0.0)</f>
        <v>0</v>
      </c>
      <c r="Q30" s="152">
        <f>IFERROR(__xludf.DUMMYFUNCTION("IFERROR(P30 * (1 + AVERAGE(Filter('Inflation Data'!$C:$C,'Inflation Data'!$A:$A = Q$1))) + 'Fund YTD Contributions'!Q30,'Fund YTD Contributions'!Q30)"),0.0)</f>
        <v>0</v>
      </c>
      <c r="R30" s="152">
        <f>IFERROR(__xludf.DUMMYFUNCTION("IFERROR(Q30 * (1 + AVERAGE(Filter('Inflation Data'!$C:$C,'Inflation Data'!$A:$A = R$1))) + 'Fund YTD Contributions'!R30,'Fund YTD Contributions'!R30)"),0.0)</f>
        <v>0</v>
      </c>
      <c r="S30" s="152">
        <f>IFERROR(__xludf.DUMMYFUNCTION("IFERROR(R30 * (1 + AVERAGE(Filter('Inflation Data'!$C:$C,'Inflation Data'!$A:$A = S$1))) + 'Fund YTD Contributions'!S30,'Fund YTD Contributions'!S30)"),0.0)</f>
        <v>0</v>
      </c>
      <c r="T30" s="152">
        <f>IFERROR(__xludf.DUMMYFUNCTION("IFERROR(S30 * (1 + AVERAGE(Filter('Inflation Data'!$C:$C,'Inflation Data'!$A:$A = T$1))) + 'Fund YTD Contributions'!T30,'Fund YTD Contributions'!T30)"),0.0)</f>
        <v>0</v>
      </c>
      <c r="U30" s="152">
        <f>IFERROR(__xludf.DUMMYFUNCTION("IFERROR(T30 * (1 + AVERAGE(Filter('Inflation Data'!$C:$C,'Inflation Data'!$A:$A = U$1))) + 'Fund YTD Contributions'!U30,'Fund YTD Contributions'!U30)"),300000.0)</f>
        <v>300000</v>
      </c>
      <c r="V30" s="152">
        <f>IFERROR(__xludf.DUMMYFUNCTION("IFERROR(U30 * (1 + AVERAGE(Filter('Inflation Data'!$C:$C,'Inflation Data'!$A:$A = V$1))) + 'Fund YTD Contributions'!V30,'Fund YTD Contributions'!V30)"),510432.95855)</f>
        <v>510432.9586</v>
      </c>
      <c r="W30" s="152">
        <f>IFERROR(__xludf.DUMMYFUNCTION("IFERROR(V30 * (1 + AVERAGE(Filter('Inflation Data'!$C:$C,'Inflation Data'!$A:$A = W$1))) + 'Fund YTD Contributions'!W30,'Fund YTD Contributions'!W30)"),1026538.1465318393)</f>
        <v>1026538.147</v>
      </c>
      <c r="X30" s="152">
        <f>IFERROR(__xludf.DUMMYFUNCTION("IFERROR(W30 * (1 + AVERAGE(Filter('Inflation Data'!$C:$C,'Inflation Data'!$A:$A = X$1))) + 'Fund YTD Contributions'!X30,'Fund YTD Contributions'!X30)"),1097820.260705087)</f>
        <v>1097820.261</v>
      </c>
      <c r="Y30" s="152">
        <f>IFERROR(__xludf.DUMMYFUNCTION("IFERROR(X30 * (1 + AVERAGE(Filter('Inflation Data'!$C:$C,'Inflation Data'!$A:$A = Y$1))) + 'Fund YTD Contributions'!Y30,'Fund YTD Contributions'!Y30)"),2063914.8056011824)</f>
        <v>2063914.806</v>
      </c>
      <c r="Z30" s="152">
        <f>IFERROR(__xludf.DUMMYFUNCTION("IFERROR(Y30 * (1 + AVERAGE(Filter('Inflation Data'!$C:$C,'Inflation Data'!$A:$A = Z$1))) + 'Fund YTD Contributions'!Z30,'Fund YTD Contributions'!Z30)"),2097389.5390731315)</f>
        <v>2097389.539</v>
      </c>
      <c r="AA30" s="152">
        <f>IFERROR(__xludf.DUMMYFUNCTION("IFERROR(Z30 * (1 + AVERAGE(Filter('Inflation Data'!$C:$C,'Inflation Data'!$A:$A = AA$1))) + 'Fund YTD Contributions'!AA30,'Fund YTD Contributions'!AA30)"),2099883.3259716188)</f>
        <v>2099883.326</v>
      </c>
      <c r="AB30" s="152">
        <f>IFERROR(__xludf.DUMMYFUNCTION("IFERROR(AA30 * (1 + AVERAGE(Filter('Inflation Data'!$C:$C,'Inflation Data'!$A:$A = AB$1))) + 'Fund YTD Contributions'!AB30,'Fund YTD Contributions'!AB30)"),2126380.5744025772)</f>
        <v>2126380.574</v>
      </c>
      <c r="AC30" s="152">
        <f>IFERROR(__xludf.DUMMYFUNCTION("IFERROR(AB30 * (1 + AVERAGE(Filter('Inflation Data'!$C:$C,'Inflation Data'!$A:$A = AC$1))) + 'Fund YTD Contributions'!AC30,'Fund YTD Contributions'!AC30)"),2171706.8200888433)</f>
        <v>2171706.82</v>
      </c>
      <c r="AD30" s="152">
        <f>IFERROR(__xludf.DUMMYFUNCTION("IFERROR(AC30 * (1 + AVERAGE(Filter('Inflation Data'!$C:$C,'Inflation Data'!$A:$A = AD$1))) + 'Fund YTD Contributions'!AD30,'Fund YTD Contributions'!AD30)"),2224754.767597377)</f>
        <v>2224754.768</v>
      </c>
      <c r="AE30" s="152">
        <f>IFERROR(__xludf.DUMMYFUNCTION("IFERROR(AD30 * (1 + AVERAGE(Filter('Inflation Data'!$C:$C,'Inflation Data'!$A:$A = AE$1))) + 'Fund YTD Contributions'!AE30,'Fund YTD Contributions'!AE30)"),2265063.703197857)</f>
        <v>2265063.703</v>
      </c>
      <c r="AF30" s="152">
        <f>IFERROR(__xludf.DUMMYFUNCTION("IFERROR(AE30 * (1 + AVERAGE(Filter('Inflation Data'!$C:$C,'Inflation Data'!$A:$A = AF$1))) + 'Fund YTD Contributions'!AF30,'Fund YTD Contributions'!AF30)"),2319668.1148554995)</f>
        <v>2319668.115</v>
      </c>
    </row>
    <row r="31">
      <c r="A31" s="151" t="str">
        <f>'Endowed Funds'!A:A</f>
        <v>Robert H. Lister Memorial Fund</v>
      </c>
      <c r="B31" s="152" t="str">
        <f>IFERROR(__xludf.DUMMYFUNCTION("IFERROR(A31 * (1 + AVERAGE(Filter('Inflation Data'!$C:$C,'Inflation Data'!$A:$A = B$1))) + 'Fund YTD Contributions'!B31,'Fund YTD Contributions'!B31)"),"  ")</f>
        <v/>
      </c>
      <c r="C31" s="152">
        <f>IFERROR(__xludf.DUMMYFUNCTION("IFERROR(B31 * (1 + AVERAGE(Filter('Inflation Data'!$C:$C,'Inflation Data'!$A:$A = C$1))) + 'Fund YTD Contributions'!C31,'Fund YTD Contributions'!C31)"),0.0)</f>
        <v>0</v>
      </c>
      <c r="D31" s="152">
        <f>IFERROR(__xludf.DUMMYFUNCTION("IFERROR(C31 * (1 + AVERAGE(Filter('Inflation Data'!$C:$C,'Inflation Data'!$A:$A = D$1))) + 'Fund YTD Contributions'!D31,'Fund YTD Contributions'!D31)"),0.0)</f>
        <v>0</v>
      </c>
      <c r="E31" s="152">
        <f>IFERROR(__xludf.DUMMYFUNCTION("IFERROR(D31 * (1 + AVERAGE(Filter('Inflation Data'!$C:$C,'Inflation Data'!$A:$A = E$1))) + 'Fund YTD Contributions'!E31,'Fund YTD Contributions'!E31)"),0.0)</f>
        <v>0</v>
      </c>
      <c r="F31" s="152">
        <f>IFERROR(__xludf.DUMMYFUNCTION("IFERROR(E31 * (1 + AVERAGE(Filter('Inflation Data'!$C:$C,'Inflation Data'!$A:$A = F$1))) + 'Fund YTD Contributions'!F31,'Fund YTD Contributions'!F31)"),0.0)</f>
        <v>0</v>
      </c>
      <c r="G31" s="152">
        <f>IFERROR(__xludf.DUMMYFUNCTION("IFERROR(F31 * (1 + AVERAGE(Filter('Inflation Data'!$C:$C,'Inflation Data'!$A:$A = G$1))) + 'Fund YTD Contributions'!G31,'Fund YTD Contributions'!G31)"),0.0)</f>
        <v>0</v>
      </c>
      <c r="H31" s="152">
        <f>IFERROR(__xludf.DUMMYFUNCTION("IFERROR(G31 * (1 + AVERAGE(Filter('Inflation Data'!$C:$C,'Inflation Data'!$A:$A = H$1))) + 'Fund YTD Contributions'!H31,'Fund YTD Contributions'!H31)"),38360.45)</f>
        <v>38360.45</v>
      </c>
      <c r="I31" s="152">
        <f>IFERROR(__xludf.DUMMYFUNCTION("IFERROR(H31 * (1 + AVERAGE(Filter('Inflation Data'!$C:$C,'Inflation Data'!$A:$A = I$1))) + 'Fund YTD Contributions'!I31,'Fund YTD Contributions'!I31)"),47613.47053202812)</f>
        <v>47613.47053</v>
      </c>
      <c r="J31" s="152">
        <f>IFERROR(__xludf.DUMMYFUNCTION("IFERROR(I31 * (1 + AVERAGE(Filter('Inflation Data'!$C:$C,'Inflation Data'!$A:$A = J$1))) + 'Fund YTD Contributions'!J31,'Fund YTD Contributions'!J31)"),48688.549295184355)</f>
        <v>48688.5493</v>
      </c>
      <c r="K31" s="152">
        <f>IFERROR(__xludf.DUMMYFUNCTION("IFERROR(J31 * (1 + AVERAGE(Filter('Inflation Data'!$C:$C,'Inflation Data'!$A:$A = K$1))) + 'Fund YTD Contributions'!K31,'Fund YTD Contributions'!K31)"),51528.05923155606)</f>
        <v>51528.05923</v>
      </c>
      <c r="L31" s="152">
        <f>IFERROR(__xludf.DUMMYFUNCTION("IFERROR(K31 * (1 + AVERAGE(Filter('Inflation Data'!$C:$C,'Inflation Data'!$A:$A = L$1))) + 'Fund YTD Contributions'!L31,'Fund YTD Contributions'!L31)"),56017.66658568647)</f>
        <v>56017.66659</v>
      </c>
      <c r="M31" s="152">
        <f>IFERROR(__xludf.DUMMYFUNCTION("IFERROR(L31 * (1 + AVERAGE(Filter('Inflation Data'!$C:$C,'Inflation Data'!$A:$A = M$1))) + 'Fund YTD Contributions'!M31,'Fund YTD Contributions'!M31)"),58903.92715968056)</f>
        <v>58903.92716</v>
      </c>
      <c r="N31" s="152">
        <f>IFERROR(__xludf.DUMMYFUNCTION("IFERROR(M31 * (1 + AVERAGE(Filter('Inflation Data'!$C:$C,'Inflation Data'!$A:$A = N$1))) + 'Fund YTD Contributions'!N31,'Fund YTD Contributions'!N31)"),62087.90336184332)</f>
        <v>62087.90336</v>
      </c>
      <c r="O31" s="152">
        <f>IFERROR(__xludf.DUMMYFUNCTION("IFERROR(N31 * (1 + AVERAGE(Filter('Inflation Data'!$C:$C,'Inflation Data'!$A:$A = O$1))) + 'Fund YTD Contributions'!O31,'Fund YTD Contributions'!O31)"),68698.70750129252)</f>
        <v>68698.7075</v>
      </c>
      <c r="P31" s="152">
        <f>IFERROR(__xludf.DUMMYFUNCTION("IFERROR(O31 * (1 + AVERAGE(Filter('Inflation Data'!$C:$C,'Inflation Data'!$A:$A = P$1))) + 'Fund YTD Contributions'!P31,'Fund YTD Contributions'!P31)"),72486.99006973651)</f>
        <v>72486.99007</v>
      </c>
      <c r="Q31" s="152">
        <f>IFERROR(__xludf.DUMMYFUNCTION("IFERROR(P31 * (1 + AVERAGE(Filter('Inflation Data'!$C:$C,'Inflation Data'!$A:$A = Q$1))) + 'Fund YTD Contributions'!Q31,'Fund YTD Contributions'!Q31)"),77753.54342902817)</f>
        <v>77753.54343</v>
      </c>
      <c r="R31" s="152">
        <f>IFERROR(__xludf.DUMMYFUNCTION("IFERROR(Q31 * (1 + AVERAGE(Filter('Inflation Data'!$C:$C,'Inflation Data'!$A:$A = R$1))) + 'Fund YTD Contributions'!R31,'Fund YTD Contributions'!R31)"),104202.04167506793)</f>
        <v>104202.0417</v>
      </c>
      <c r="S31" s="152">
        <f>IFERROR(__xludf.DUMMYFUNCTION("IFERROR(R31 * (1 + AVERAGE(Filter('Inflation Data'!$C:$C,'Inflation Data'!$A:$A = S$1))) + 'Fund YTD Contributions'!S31,'Fund YTD Contributions'!S31)"),108216.87144160885)</f>
        <v>108216.8714</v>
      </c>
      <c r="T31" s="152">
        <f>IFERROR(__xludf.DUMMYFUNCTION("IFERROR(S31 * (1 + AVERAGE(Filter('Inflation Data'!$C:$C,'Inflation Data'!$A:$A = T$1))) + 'Fund YTD Contributions'!T31,'Fund YTD Contributions'!T31)"),113563.53505311804)</f>
        <v>113563.5351</v>
      </c>
      <c r="U31" s="152">
        <f>IFERROR(__xludf.DUMMYFUNCTION("IFERROR(T31 * (1 + AVERAGE(Filter('Inflation Data'!$C:$C,'Inflation Data'!$A:$A = U$1))) + 'Fund YTD Contributions'!U31,'Fund YTD Contributions'!U31)"),114263.91743170861)</f>
        <v>114263.9174</v>
      </c>
      <c r="V31" s="152">
        <f>IFERROR(__xludf.DUMMYFUNCTION("IFERROR(U31 * (1 + AVERAGE(Filter('Inflation Data'!$C:$C,'Inflation Data'!$A:$A = V$1))) + 'Fund YTD Contributions'!V31,'Fund YTD Contributions'!V31)"),118652.78132654607)</f>
        <v>118652.7813</v>
      </c>
      <c r="W31" s="152">
        <f>IFERROR(__xludf.DUMMYFUNCTION("IFERROR(V31 * (1 + AVERAGE(Filter('Inflation Data'!$C:$C,'Inflation Data'!$A:$A = W$1))) + 'Fund YTD Contributions'!W31,'Fund YTD Contributions'!W31)"),122846.5155737634)</f>
        <v>122846.5156</v>
      </c>
      <c r="X31" s="152">
        <f>IFERROR(__xludf.DUMMYFUNCTION("IFERROR(W31 * (1 + AVERAGE(Filter('Inflation Data'!$C:$C,'Inflation Data'!$A:$A = X$1))) + 'Fund YTD Contributions'!X31,'Fund YTD Contributions'!X31)"),126393.36059755465)</f>
        <v>126393.3606</v>
      </c>
      <c r="Y31" s="152">
        <f>IFERROR(__xludf.DUMMYFUNCTION("IFERROR(X31 * (1 + AVERAGE(Filter('Inflation Data'!$C:$C,'Inflation Data'!$A:$A = Y$1))) + 'Fund YTD Contributions'!Y31,'Fund YTD Contributions'!Y31)"),128746.344815025)</f>
        <v>128746.3448</v>
      </c>
      <c r="Z31" s="152">
        <f>IFERROR(__xludf.DUMMYFUNCTION("IFERROR(Y31 * (1 + AVERAGE(Filter('Inflation Data'!$C:$C,'Inflation Data'!$A:$A = Z$1))) + 'Fund YTD Contributions'!Z31,'Fund YTD Contributions'!Z31)"),131034.4879721333)</f>
        <v>131034.488</v>
      </c>
      <c r="AA31" s="152">
        <f>IFERROR(__xludf.DUMMYFUNCTION("IFERROR(Z31 * (1 + AVERAGE(Filter('Inflation Data'!$C:$C,'Inflation Data'!$A:$A = AA$1))) + 'Fund YTD Contributions'!AA31,'Fund YTD Contributions'!AA31)"),132551.2873995965)</f>
        <v>132551.2874</v>
      </c>
      <c r="AB31" s="152">
        <f>IFERROR(__xludf.DUMMYFUNCTION("IFERROR(AA31 * (1 + AVERAGE(Filter('Inflation Data'!$C:$C,'Inflation Data'!$A:$A = AB$1))) + 'Fund YTD Contributions'!AB31,'Fund YTD Contributions'!AB31)"),147217.8776566982)</f>
        <v>147217.8777</v>
      </c>
      <c r="AC31" s="152">
        <f>IFERROR(__xludf.DUMMYFUNCTION("IFERROR(AB31 * (1 + AVERAGE(Filter('Inflation Data'!$C:$C,'Inflation Data'!$A:$A = AC$1))) + 'Fund YTD Contributions'!AC31,'Fund YTD Contributions'!AC31)"),151442.99590909661)</f>
        <v>151442.9959</v>
      </c>
      <c r="AD31" s="152">
        <f>IFERROR(__xludf.DUMMYFUNCTION("IFERROR(AC31 * (1 + AVERAGE(Filter('Inflation Data'!$C:$C,'Inflation Data'!$A:$A = AD$1))) + 'Fund YTD Contributions'!AD31,'Fund YTD Contributions'!AD31)"),155177.270610086)</f>
        <v>155177.2706</v>
      </c>
      <c r="AE31" s="152">
        <f>IFERROR(__xludf.DUMMYFUNCTION("IFERROR(AD31 * (1 + AVERAGE(Filter('Inflation Data'!$C:$C,'Inflation Data'!$A:$A = AE$1))) + 'Fund YTD Contributions'!AE31,'Fund YTD Contributions'!AE31)"),158496.87020253285)</f>
        <v>158496.8702</v>
      </c>
      <c r="AF31" s="152">
        <f>IFERROR(__xludf.DUMMYFUNCTION("IFERROR(AE31 * (1 + AVERAGE(Filter('Inflation Data'!$C:$C,'Inflation Data'!$A:$A = AF$1))) + 'Fund YTD Contributions'!AF31,'Fund YTD Contributions'!AF31)"),162317.79070678545)</f>
        <v>162317.7907</v>
      </c>
    </row>
    <row r="32">
      <c r="A32" s="151" t="str">
        <f>'Endowed Funds'!A:A</f>
        <v>Segal Family Foundation</v>
      </c>
      <c r="B32" s="152" t="str">
        <f>IFERROR(__xludf.DUMMYFUNCTION("IFERROR(A32 * (1 + AVERAGE(Filter('Inflation Data'!$C:$C,'Inflation Data'!$A:$A = B$1))) + 'Fund YTD Contributions'!B32,'Fund YTD Contributions'!B32)"),"  ")</f>
        <v/>
      </c>
      <c r="C32" s="152">
        <f>IFERROR(__xludf.DUMMYFUNCTION("IFERROR(B32 * (1 + AVERAGE(Filter('Inflation Data'!$C:$C,'Inflation Data'!$A:$A = C$1))) + 'Fund YTD Contributions'!C32,'Fund YTD Contributions'!C32)"),0.0)</f>
        <v>0</v>
      </c>
      <c r="D32" s="152">
        <f>IFERROR(__xludf.DUMMYFUNCTION("IFERROR(C32 * (1 + AVERAGE(Filter('Inflation Data'!$C:$C,'Inflation Data'!$A:$A = D$1))) + 'Fund YTD Contributions'!D32,'Fund YTD Contributions'!D32)"),0.0)</f>
        <v>0</v>
      </c>
      <c r="E32" s="152">
        <f>IFERROR(__xludf.DUMMYFUNCTION("IFERROR(D32 * (1 + AVERAGE(Filter('Inflation Data'!$C:$C,'Inflation Data'!$A:$A = E$1))) + 'Fund YTD Contributions'!E32,'Fund YTD Contributions'!E32)"),0.0)</f>
        <v>0</v>
      </c>
      <c r="F32" s="152">
        <f>IFERROR(__xludf.DUMMYFUNCTION("IFERROR(E32 * (1 + AVERAGE(Filter('Inflation Data'!$C:$C,'Inflation Data'!$A:$A = F$1))) + 'Fund YTD Contributions'!F32,'Fund YTD Contributions'!F32)"),0.0)</f>
        <v>0</v>
      </c>
      <c r="G32" s="152">
        <f>IFERROR(__xludf.DUMMYFUNCTION("IFERROR(F32 * (1 + AVERAGE(Filter('Inflation Data'!$C:$C,'Inflation Data'!$A:$A = G$1))) + 'Fund YTD Contributions'!G32,'Fund YTD Contributions'!G32)"),0.0)</f>
        <v>0</v>
      </c>
      <c r="H32" s="152">
        <f>IFERROR(__xludf.DUMMYFUNCTION("IFERROR(G32 * (1 + AVERAGE(Filter('Inflation Data'!$C:$C,'Inflation Data'!$A:$A = H$1))) + 'Fund YTD Contributions'!H32,'Fund YTD Contributions'!H32)"),0.0)</f>
        <v>0</v>
      </c>
      <c r="I32" s="152">
        <f>IFERROR(__xludf.DUMMYFUNCTION("IFERROR(H32 * (1 + AVERAGE(Filter('Inflation Data'!$C:$C,'Inflation Data'!$A:$A = I$1))) + 'Fund YTD Contributions'!I32,'Fund YTD Contributions'!I32)"),0.0)</f>
        <v>0</v>
      </c>
      <c r="J32" s="152">
        <f>IFERROR(__xludf.DUMMYFUNCTION("IFERROR(I32 * (1 + AVERAGE(Filter('Inflation Data'!$C:$C,'Inflation Data'!$A:$A = J$1))) + 'Fund YTD Contributions'!J32,'Fund YTD Contributions'!J32)"),0.0)</f>
        <v>0</v>
      </c>
      <c r="K32" s="152">
        <f>IFERROR(__xludf.DUMMYFUNCTION("IFERROR(J32 * (1 + AVERAGE(Filter('Inflation Data'!$C:$C,'Inflation Data'!$A:$A = K$1))) + 'Fund YTD Contributions'!K32,'Fund YTD Contributions'!K32)"),0.0)</f>
        <v>0</v>
      </c>
      <c r="L32" s="152">
        <f>IFERROR(__xludf.DUMMYFUNCTION("IFERROR(K32 * (1 + AVERAGE(Filter('Inflation Data'!$C:$C,'Inflation Data'!$A:$A = L$1))) + 'Fund YTD Contributions'!L32,'Fund YTD Contributions'!L32)"),0.0)</f>
        <v>0</v>
      </c>
      <c r="M32" s="152">
        <f>IFERROR(__xludf.DUMMYFUNCTION("IFERROR(L32 * (1 + AVERAGE(Filter('Inflation Data'!$C:$C,'Inflation Data'!$A:$A = M$1))) + 'Fund YTD Contributions'!M32,'Fund YTD Contributions'!M32)"),0.0)</f>
        <v>0</v>
      </c>
      <c r="N32" s="152">
        <f>IFERROR(__xludf.DUMMYFUNCTION("IFERROR(M32 * (1 + AVERAGE(Filter('Inflation Data'!$C:$C,'Inflation Data'!$A:$A = N$1))) + 'Fund YTD Contributions'!N32,'Fund YTD Contributions'!N32)"),0.0)</f>
        <v>0</v>
      </c>
      <c r="O32" s="152">
        <f>IFERROR(__xludf.DUMMYFUNCTION("IFERROR(N32 * (1 + AVERAGE(Filter('Inflation Data'!$C:$C,'Inflation Data'!$A:$A = O$1))) + 'Fund YTD Contributions'!O32,'Fund YTD Contributions'!O32)"),0.0)</f>
        <v>0</v>
      </c>
      <c r="P32" s="152">
        <f>IFERROR(__xludf.DUMMYFUNCTION("IFERROR(O32 * (1 + AVERAGE(Filter('Inflation Data'!$C:$C,'Inflation Data'!$A:$A = P$1))) + 'Fund YTD Contributions'!P32,'Fund YTD Contributions'!P32)"),0.0)</f>
        <v>0</v>
      </c>
      <c r="Q32" s="152">
        <f>IFERROR(__xludf.DUMMYFUNCTION("IFERROR(P32 * (1 + AVERAGE(Filter('Inflation Data'!$C:$C,'Inflation Data'!$A:$A = Q$1))) + 'Fund YTD Contributions'!Q32,'Fund YTD Contributions'!Q32)"),0.0)</f>
        <v>0</v>
      </c>
      <c r="R32" s="152">
        <f>IFERROR(__xludf.DUMMYFUNCTION("IFERROR(Q32 * (1 + AVERAGE(Filter('Inflation Data'!$C:$C,'Inflation Data'!$A:$A = R$1))) + 'Fund YTD Contributions'!R32,'Fund YTD Contributions'!R32)"),0.0)</f>
        <v>0</v>
      </c>
      <c r="S32" s="152">
        <f>IFERROR(__xludf.DUMMYFUNCTION("IFERROR(R32 * (1 + AVERAGE(Filter('Inflation Data'!$C:$C,'Inflation Data'!$A:$A = S$1))) + 'Fund YTD Contributions'!S32,'Fund YTD Contributions'!S32)"),0.0)</f>
        <v>0</v>
      </c>
      <c r="T32" s="152">
        <f>IFERROR(__xludf.DUMMYFUNCTION("IFERROR(S32 * (1 + AVERAGE(Filter('Inflation Data'!$C:$C,'Inflation Data'!$A:$A = T$1))) + 'Fund YTD Contributions'!T32,'Fund YTD Contributions'!T32)"),0.0)</f>
        <v>0</v>
      </c>
      <c r="U32" s="152">
        <f>IFERROR(__xludf.DUMMYFUNCTION("IFERROR(T32 * (1 + AVERAGE(Filter('Inflation Data'!$C:$C,'Inflation Data'!$A:$A = U$1))) + 'Fund YTD Contributions'!U32,'Fund YTD Contributions'!U32)"),0.0)</f>
        <v>0</v>
      </c>
      <c r="V32" s="152">
        <f>IFERROR(__xludf.DUMMYFUNCTION("IFERROR(U32 * (1 + AVERAGE(Filter('Inflation Data'!$C:$C,'Inflation Data'!$A:$A = V$1))) + 'Fund YTD Contributions'!V32,'Fund YTD Contributions'!V32)"),0.0)</f>
        <v>0</v>
      </c>
      <c r="W32" s="152">
        <f>IFERROR(__xludf.DUMMYFUNCTION("IFERROR(V32 * (1 + AVERAGE(Filter('Inflation Data'!$C:$C,'Inflation Data'!$A:$A = W$1))) + 'Fund YTD Contributions'!W32,'Fund YTD Contributions'!W32)"),0.0)</f>
        <v>0</v>
      </c>
      <c r="X32" s="152">
        <f>IFERROR(__xludf.DUMMYFUNCTION("IFERROR(W32 * (1 + AVERAGE(Filter('Inflation Data'!$C:$C,'Inflation Data'!$A:$A = X$1))) + 'Fund YTD Contributions'!X32,'Fund YTD Contributions'!X32)"),0.0)</f>
        <v>0</v>
      </c>
      <c r="Y32" s="152">
        <f>IFERROR(__xludf.DUMMYFUNCTION("IFERROR(X32 * (1 + AVERAGE(Filter('Inflation Data'!$C:$C,'Inflation Data'!$A:$A = Y$1))) + 'Fund YTD Contributions'!Y32,'Fund YTD Contributions'!Y32)"),0.0)</f>
        <v>0</v>
      </c>
      <c r="Z32" s="152">
        <f>IFERROR(__xludf.DUMMYFUNCTION("IFERROR(Y32 * (1 + AVERAGE(Filter('Inflation Data'!$C:$C,'Inflation Data'!$A:$A = Z$1))) + 'Fund YTD Contributions'!Z32,'Fund YTD Contributions'!Z32)"),0.0)</f>
        <v>0</v>
      </c>
      <c r="AA32" s="152">
        <f>IFERROR(__xludf.DUMMYFUNCTION("IFERROR(Z32 * (1 + AVERAGE(Filter('Inflation Data'!$C:$C,'Inflation Data'!$A:$A = AA$1))) + 'Fund YTD Contributions'!AA32,'Fund YTD Contributions'!AA32)"),70000.0)</f>
        <v>70000</v>
      </c>
      <c r="AB32" s="152">
        <f>IFERROR(__xludf.DUMMYFUNCTION("IFERROR(AA32 * (1 + AVERAGE(Filter('Inflation Data'!$C:$C,'Inflation Data'!$A:$A = AB$1))) + 'Fund YTD Contributions'!AB32,'Fund YTD Contributions'!AB32)"),140883.2906891667)</f>
        <v>140883.2907</v>
      </c>
      <c r="AC32" s="152">
        <f>IFERROR(__xludf.DUMMYFUNCTION("IFERROR(AB32 * (1 + AVERAGE(Filter('Inflation Data'!$C:$C,'Inflation Data'!$A:$A = AC$1))) + 'Fund YTD Contributions'!AC32,'Fund YTD Contributions'!AC32)"),213886.3799403281)</f>
        <v>213886.3799</v>
      </c>
      <c r="AD32" s="152">
        <f>IFERROR(__xludf.DUMMYFUNCTION("IFERROR(AC32 * (1 + AVERAGE(Filter('Inflation Data'!$C:$C,'Inflation Data'!$A:$A = AD$1))) + 'Fund YTD Contributions'!AD32,'Fund YTD Contributions'!AD32)"),289110.9495511564)</f>
        <v>289110.9496</v>
      </c>
      <c r="AE32" s="152">
        <f>IFERROR(__xludf.DUMMYFUNCTION("IFERROR(AD32 * (1 + AVERAGE(Filter('Inflation Data'!$C:$C,'Inflation Data'!$A:$A = AE$1))) + 'Fund YTD Contributions'!AE32,'Fund YTD Contributions'!AE32)"),364349.16942895297)</f>
        <v>364349.1694</v>
      </c>
      <c r="AF32" s="152">
        <f>IFERROR(__xludf.DUMMYFUNCTION("IFERROR(AE32 * (1 + AVERAGE(Filter('Inflation Data'!$C:$C,'Inflation Data'!$A:$A = AF$1))) + 'Fund YTD Contributions'!AF32,'Fund YTD Contributions'!AF32)"),373132.6186566857)</f>
        <v>373132.6187</v>
      </c>
    </row>
    <row r="33">
      <c r="A33" s="151" t="str">
        <f>'Endowed Funds'!A:A</f>
        <v>Sue Anschutz-Rodgers Research Fund</v>
      </c>
      <c r="B33" s="152" t="str">
        <f>IFERROR(__xludf.DUMMYFUNCTION("IFERROR(A33 * (1 + AVERAGE(Filter('Inflation Data'!$C:$C,'Inflation Data'!$A:$A = B$1))) + 'Fund YTD Contributions'!B33,'Fund YTD Contributions'!B33)"),"  ")</f>
        <v/>
      </c>
      <c r="C33" s="152">
        <f>IFERROR(__xludf.DUMMYFUNCTION("IFERROR(B33 * (1 + AVERAGE(Filter('Inflation Data'!$C:$C,'Inflation Data'!$A:$A = C$1))) + 'Fund YTD Contributions'!C33,'Fund YTD Contributions'!C33)"),0.0)</f>
        <v>0</v>
      </c>
      <c r="D33" s="152">
        <f>IFERROR(__xludf.DUMMYFUNCTION("IFERROR(C33 * (1 + AVERAGE(Filter('Inflation Data'!$C:$C,'Inflation Data'!$A:$A = D$1))) + 'Fund YTD Contributions'!D33,'Fund YTD Contributions'!D33)"),0.0)</f>
        <v>0</v>
      </c>
      <c r="E33" s="152">
        <f>IFERROR(__xludf.DUMMYFUNCTION("IFERROR(D33 * (1 + AVERAGE(Filter('Inflation Data'!$C:$C,'Inflation Data'!$A:$A = E$1))) + 'Fund YTD Contributions'!E33,'Fund YTD Contributions'!E33)"),0.0)</f>
        <v>0</v>
      </c>
      <c r="F33" s="152">
        <f>IFERROR(__xludf.DUMMYFUNCTION("IFERROR(E33 * (1 + AVERAGE(Filter('Inflation Data'!$C:$C,'Inflation Data'!$A:$A = F$1))) + 'Fund YTD Contributions'!F33,'Fund YTD Contributions'!F33)"),0.0)</f>
        <v>0</v>
      </c>
      <c r="G33" s="152">
        <f>IFERROR(__xludf.DUMMYFUNCTION("IFERROR(F33 * (1 + AVERAGE(Filter('Inflation Data'!$C:$C,'Inflation Data'!$A:$A = G$1))) + 'Fund YTD Contributions'!G33,'Fund YTD Contributions'!G33)"),0.0)</f>
        <v>0</v>
      </c>
      <c r="H33" s="152">
        <f>IFERROR(__xludf.DUMMYFUNCTION("IFERROR(G33 * (1 + AVERAGE(Filter('Inflation Data'!$C:$C,'Inflation Data'!$A:$A = H$1))) + 'Fund YTD Contributions'!H33,'Fund YTD Contributions'!H33)"),0.0)</f>
        <v>0</v>
      </c>
      <c r="I33" s="152">
        <f>IFERROR(__xludf.DUMMYFUNCTION("IFERROR(H33 * (1 + AVERAGE(Filter('Inflation Data'!$C:$C,'Inflation Data'!$A:$A = I$1))) + 'Fund YTD Contributions'!I33,'Fund YTD Contributions'!I33)"),0.0)</f>
        <v>0</v>
      </c>
      <c r="J33" s="152">
        <f>IFERROR(__xludf.DUMMYFUNCTION("IFERROR(I33 * (1 + AVERAGE(Filter('Inflation Data'!$C:$C,'Inflation Data'!$A:$A = J$1))) + 'Fund YTD Contributions'!J33,'Fund YTD Contributions'!J33)"),0.0)</f>
        <v>0</v>
      </c>
      <c r="K33" s="152">
        <f>IFERROR(__xludf.DUMMYFUNCTION("IFERROR(J33 * (1 + AVERAGE(Filter('Inflation Data'!$C:$C,'Inflation Data'!$A:$A = K$1))) + 'Fund YTD Contributions'!K33,'Fund YTD Contributions'!K33)"),0.0)</f>
        <v>0</v>
      </c>
      <c r="L33" s="152">
        <f>IFERROR(__xludf.DUMMYFUNCTION("IFERROR(K33 * (1 + AVERAGE(Filter('Inflation Data'!$C:$C,'Inflation Data'!$A:$A = L$1))) + 'Fund YTD Contributions'!L33,'Fund YTD Contributions'!L33)"),0.0)</f>
        <v>0</v>
      </c>
      <c r="M33" s="152">
        <f>IFERROR(__xludf.DUMMYFUNCTION("IFERROR(L33 * (1 + AVERAGE(Filter('Inflation Data'!$C:$C,'Inflation Data'!$A:$A = M$1))) + 'Fund YTD Contributions'!M33,'Fund YTD Contributions'!M33)"),0.0)</f>
        <v>0</v>
      </c>
      <c r="N33" s="152">
        <f>IFERROR(__xludf.DUMMYFUNCTION("IFERROR(M33 * (1 + AVERAGE(Filter('Inflation Data'!$C:$C,'Inflation Data'!$A:$A = N$1))) + 'Fund YTD Contributions'!N33,'Fund YTD Contributions'!N33)"),0.0)</f>
        <v>0</v>
      </c>
      <c r="O33" s="152">
        <f>IFERROR(__xludf.DUMMYFUNCTION("IFERROR(N33 * (1 + AVERAGE(Filter('Inflation Data'!$C:$C,'Inflation Data'!$A:$A = O$1))) + 'Fund YTD Contributions'!O33,'Fund YTD Contributions'!O33)"),0.0)</f>
        <v>0</v>
      </c>
      <c r="P33" s="152">
        <f>IFERROR(__xludf.DUMMYFUNCTION("IFERROR(O33 * (1 + AVERAGE(Filter('Inflation Data'!$C:$C,'Inflation Data'!$A:$A = P$1))) + 'Fund YTD Contributions'!P33,'Fund YTD Contributions'!P33)"),0.0)</f>
        <v>0</v>
      </c>
      <c r="Q33" s="152">
        <f>IFERROR(__xludf.DUMMYFUNCTION("IFERROR(P33 * (1 + AVERAGE(Filter('Inflation Data'!$C:$C,'Inflation Data'!$A:$A = Q$1))) + 'Fund YTD Contributions'!Q33,'Fund YTD Contributions'!Q33)"),0.0)</f>
        <v>0</v>
      </c>
      <c r="R33" s="152">
        <f>IFERROR(__xludf.DUMMYFUNCTION("IFERROR(Q33 * (1 + AVERAGE(Filter('Inflation Data'!$C:$C,'Inflation Data'!$A:$A = R$1))) + 'Fund YTD Contributions'!R33,'Fund YTD Contributions'!R33)"),0.0)</f>
        <v>0</v>
      </c>
      <c r="S33" s="152">
        <f>IFERROR(__xludf.DUMMYFUNCTION("IFERROR(R33 * (1 + AVERAGE(Filter('Inflation Data'!$C:$C,'Inflation Data'!$A:$A = S$1))) + 'Fund YTD Contributions'!S33,'Fund YTD Contributions'!S33)"),0.0)</f>
        <v>0</v>
      </c>
      <c r="T33" s="152">
        <f>IFERROR(__xludf.DUMMYFUNCTION("IFERROR(S33 * (1 + AVERAGE(Filter('Inflation Data'!$C:$C,'Inflation Data'!$A:$A = T$1))) + 'Fund YTD Contributions'!T33,'Fund YTD Contributions'!T33)"),0.0)</f>
        <v>0</v>
      </c>
      <c r="U33" s="152">
        <f>IFERROR(__xludf.DUMMYFUNCTION("IFERROR(T33 * (1 + AVERAGE(Filter('Inflation Data'!$C:$C,'Inflation Data'!$A:$A = U$1))) + 'Fund YTD Contributions'!U33,'Fund YTD Contributions'!U33)"),0.0)</f>
        <v>0</v>
      </c>
      <c r="V33" s="152">
        <f>IFERROR(__xludf.DUMMYFUNCTION("IFERROR(U33 * (1 + AVERAGE(Filter('Inflation Data'!$C:$C,'Inflation Data'!$A:$A = V$1))) + 'Fund YTD Contributions'!V33,'Fund YTD Contributions'!V33)"),0.0)</f>
        <v>0</v>
      </c>
      <c r="W33" s="152">
        <f>IFERROR(__xludf.DUMMYFUNCTION("IFERROR(V33 * (1 + AVERAGE(Filter('Inflation Data'!$C:$C,'Inflation Data'!$A:$A = W$1))) + 'Fund YTD Contributions'!W33,'Fund YTD Contributions'!W33)"),0.0)</f>
        <v>0</v>
      </c>
      <c r="X33" s="152">
        <f>IFERROR(__xludf.DUMMYFUNCTION("IFERROR(W33 * (1 + AVERAGE(Filter('Inflation Data'!$C:$C,'Inflation Data'!$A:$A = X$1))) + 'Fund YTD Contributions'!X33,'Fund YTD Contributions'!X33)"),0.0)</f>
        <v>0</v>
      </c>
      <c r="Y33" s="152">
        <f>IFERROR(__xludf.DUMMYFUNCTION("IFERROR(X33 * (1 + AVERAGE(Filter('Inflation Data'!$C:$C,'Inflation Data'!$A:$A = Y$1))) + 'Fund YTD Contributions'!Y33,'Fund YTD Contributions'!Y33)"),0.0)</f>
        <v>0</v>
      </c>
      <c r="Z33" s="152">
        <f>IFERROR(__xludf.DUMMYFUNCTION("IFERROR(Y33 * (1 + AVERAGE(Filter('Inflation Data'!$C:$C,'Inflation Data'!$A:$A = Z$1))) + 'Fund YTD Contributions'!Z33,'Fund YTD Contributions'!Z33)"),1000000.0)</f>
        <v>1000000</v>
      </c>
      <c r="AA33" s="152">
        <f>IFERROR(__xludf.DUMMYFUNCTION("IFERROR(Z33 * (1 + AVERAGE(Filter('Inflation Data'!$C:$C,'Inflation Data'!$A:$A = AA$1))) + 'Fund YTD Contributions'!AA33,'Fund YTD Contributions'!AA33)"),1001188.9955833333)</f>
        <v>1001188.996</v>
      </c>
      <c r="AB33" s="152">
        <f>IFERROR(__xludf.DUMMYFUNCTION("IFERROR(AA33 * (1 + AVERAGE(Filter('Inflation Data'!$C:$C,'Inflation Data'!$A:$A = AB$1))) + 'Fund YTD Contributions'!AB33,'Fund YTD Contributions'!AB33)"),1013822.4372675461)</f>
        <v>1013822.437</v>
      </c>
      <c r="AC33" s="152">
        <f>IFERROR(__xludf.DUMMYFUNCTION("IFERROR(AB33 * (1 + AVERAGE(Filter('Inflation Data'!$C:$C,'Inflation Data'!$A:$A = AC$1))) + 'Fund YTD Contributions'!AC33,'Fund YTD Contributions'!AC33)"),1035433.2276533399)</f>
        <v>1035433.228</v>
      </c>
      <c r="AD33" s="152">
        <f>IFERROR(__xludf.DUMMYFUNCTION("IFERROR(AC33 * (1 + AVERAGE(Filter('Inflation Data'!$C:$C,'Inflation Data'!$A:$A = AD$1))) + 'Fund YTD Contributions'!AD33,'Fund YTD Contributions'!AD33)"),1060725.5953896528)</f>
        <v>1060725.595</v>
      </c>
      <c r="AE33" s="152">
        <f>IFERROR(__xludf.DUMMYFUNCTION("IFERROR(AD33 * (1 + AVERAGE(Filter('Inflation Data'!$C:$C,'Inflation Data'!$A:$A = AE$1))) + 'Fund YTD Contributions'!AE33,'Fund YTD Contributions'!AE33)"),1079944.2168472067)</f>
        <v>1079944.217</v>
      </c>
      <c r="AF33" s="152">
        <f>IFERROR(__xludf.DUMMYFUNCTION("IFERROR(AE33 * (1 + AVERAGE(Filter('Inflation Data'!$C:$C,'Inflation Data'!$A:$A = AF$1))) + 'Fund YTD Contributions'!AF33,'Fund YTD Contributions'!AF33)"),1105978.6804699122)</f>
        <v>1105978.68</v>
      </c>
    </row>
    <row r="34">
      <c r="A34" s="151" t="str">
        <f>'Endowed Funds'!A:A</f>
        <v>William D. Lipe Advances in Research Endowment Fund</v>
      </c>
      <c r="B34" s="152" t="str">
        <f>IFERROR(__xludf.DUMMYFUNCTION("IFERROR(A34 * (1 + AVERAGE(Filter('Inflation Data'!$C:$C,'Inflation Data'!$A:$A = B$1))) + 'Fund YTD Contributions'!B34,'Fund YTD Contributions'!B34)"),"  ")</f>
        <v/>
      </c>
      <c r="C34" s="152">
        <f>IFERROR(__xludf.DUMMYFUNCTION("IFERROR(B34 * (1 + AVERAGE(Filter('Inflation Data'!$C:$C,'Inflation Data'!$A:$A = C$1))) + 'Fund YTD Contributions'!C34,'Fund YTD Contributions'!C34)"),0.0)</f>
        <v>0</v>
      </c>
      <c r="D34" s="152">
        <f>IFERROR(__xludf.DUMMYFUNCTION("IFERROR(C34 * (1 + AVERAGE(Filter('Inflation Data'!$C:$C,'Inflation Data'!$A:$A = D$1))) + 'Fund YTD Contributions'!D34,'Fund YTD Contributions'!D34)"),0.0)</f>
        <v>0</v>
      </c>
      <c r="E34" s="152">
        <f>IFERROR(__xludf.DUMMYFUNCTION("IFERROR(D34 * (1 + AVERAGE(Filter('Inflation Data'!$C:$C,'Inflation Data'!$A:$A = E$1))) + 'Fund YTD Contributions'!E34,'Fund YTD Contributions'!E34)"),0.0)</f>
        <v>0</v>
      </c>
      <c r="F34" s="152">
        <f>IFERROR(__xludf.DUMMYFUNCTION("IFERROR(E34 * (1 + AVERAGE(Filter('Inflation Data'!$C:$C,'Inflation Data'!$A:$A = F$1))) + 'Fund YTD Contributions'!F34,'Fund YTD Contributions'!F34)"),0.0)</f>
        <v>0</v>
      </c>
      <c r="G34" s="152">
        <f>IFERROR(__xludf.DUMMYFUNCTION("IFERROR(F34 * (1 + AVERAGE(Filter('Inflation Data'!$C:$C,'Inflation Data'!$A:$A = G$1))) + 'Fund YTD Contributions'!G34,'Fund YTD Contributions'!G34)"),0.0)</f>
        <v>0</v>
      </c>
      <c r="H34" s="152">
        <f>IFERROR(__xludf.DUMMYFUNCTION("IFERROR(G34 * (1 + AVERAGE(Filter('Inflation Data'!$C:$C,'Inflation Data'!$A:$A = H$1))) + 'Fund YTD Contributions'!H34,'Fund YTD Contributions'!H34)"),0.0)</f>
        <v>0</v>
      </c>
      <c r="I34" s="152">
        <f>IFERROR(__xludf.DUMMYFUNCTION("IFERROR(H34 * (1 + AVERAGE(Filter('Inflation Data'!$C:$C,'Inflation Data'!$A:$A = I$1))) + 'Fund YTD Contributions'!I34,'Fund YTD Contributions'!I34)"),0.0)</f>
        <v>0</v>
      </c>
      <c r="J34" s="152">
        <f>IFERROR(__xludf.DUMMYFUNCTION("IFERROR(I34 * (1 + AVERAGE(Filter('Inflation Data'!$C:$C,'Inflation Data'!$A:$A = J$1))) + 'Fund YTD Contributions'!J34,'Fund YTD Contributions'!J34)"),0.0)</f>
        <v>0</v>
      </c>
      <c r="K34" s="152">
        <f>IFERROR(__xludf.DUMMYFUNCTION("IFERROR(J34 * (1 + AVERAGE(Filter('Inflation Data'!$C:$C,'Inflation Data'!$A:$A = K$1))) + 'Fund YTD Contributions'!K34,'Fund YTD Contributions'!K34)"),0.0)</f>
        <v>0</v>
      </c>
      <c r="L34" s="152">
        <f>IFERROR(__xludf.DUMMYFUNCTION("IFERROR(K34 * (1 + AVERAGE(Filter('Inflation Data'!$C:$C,'Inflation Data'!$A:$A = L$1))) + 'Fund YTD Contributions'!L34,'Fund YTD Contributions'!L34)"),0.0)</f>
        <v>0</v>
      </c>
      <c r="M34" s="152">
        <f>IFERROR(__xludf.DUMMYFUNCTION("IFERROR(L34 * (1 + AVERAGE(Filter('Inflation Data'!$C:$C,'Inflation Data'!$A:$A = M$1))) + 'Fund YTD Contributions'!M34,'Fund YTD Contributions'!M34)"),0.0)</f>
        <v>0</v>
      </c>
      <c r="N34" s="152">
        <f>IFERROR(__xludf.DUMMYFUNCTION("IFERROR(M34 * (1 + AVERAGE(Filter('Inflation Data'!$C:$C,'Inflation Data'!$A:$A = N$1))) + 'Fund YTD Contributions'!N34,'Fund YTD Contributions'!N34)"),0.0)</f>
        <v>0</v>
      </c>
      <c r="O34" s="152">
        <f>IFERROR(__xludf.DUMMYFUNCTION("IFERROR(N34 * (1 + AVERAGE(Filter('Inflation Data'!$C:$C,'Inflation Data'!$A:$A = O$1))) + 'Fund YTD Contributions'!O34,'Fund YTD Contributions'!O34)"),0.0)</f>
        <v>0</v>
      </c>
      <c r="P34" s="152">
        <f>IFERROR(__xludf.DUMMYFUNCTION("IFERROR(O34 * (1 + AVERAGE(Filter('Inflation Data'!$C:$C,'Inflation Data'!$A:$A = P$1))) + 'Fund YTD Contributions'!P34,'Fund YTD Contributions'!P34)"),0.0)</f>
        <v>0</v>
      </c>
      <c r="Q34" s="152">
        <f>IFERROR(__xludf.DUMMYFUNCTION("IFERROR(P34 * (1 + AVERAGE(Filter('Inflation Data'!$C:$C,'Inflation Data'!$A:$A = Q$1))) + 'Fund YTD Contributions'!Q34,'Fund YTD Contributions'!Q34)"),0.0)</f>
        <v>0</v>
      </c>
      <c r="R34" s="152">
        <f>IFERROR(__xludf.DUMMYFUNCTION("IFERROR(Q34 * (1 + AVERAGE(Filter('Inflation Data'!$C:$C,'Inflation Data'!$A:$A = R$1))) + 'Fund YTD Contributions'!R34,'Fund YTD Contributions'!R34)"),0.0)</f>
        <v>0</v>
      </c>
      <c r="S34" s="152">
        <f>IFERROR(__xludf.DUMMYFUNCTION("IFERROR(R34 * (1 + AVERAGE(Filter('Inflation Data'!$C:$C,'Inflation Data'!$A:$A = S$1))) + 'Fund YTD Contributions'!S34,'Fund YTD Contributions'!S34)"),0.0)</f>
        <v>0</v>
      </c>
      <c r="T34" s="152">
        <f>IFERROR(__xludf.DUMMYFUNCTION("IFERROR(S34 * (1 + AVERAGE(Filter('Inflation Data'!$C:$C,'Inflation Data'!$A:$A = T$1))) + 'Fund YTD Contributions'!T34,'Fund YTD Contributions'!T34)"),0.0)</f>
        <v>0</v>
      </c>
      <c r="U34" s="152">
        <f>IFERROR(__xludf.DUMMYFUNCTION("IFERROR(T34 * (1 + AVERAGE(Filter('Inflation Data'!$C:$C,'Inflation Data'!$A:$A = U$1))) + 'Fund YTD Contributions'!U34,'Fund YTD Contributions'!U34)"),0.0)</f>
        <v>0</v>
      </c>
      <c r="V34" s="152">
        <f>IFERROR(__xludf.DUMMYFUNCTION("IFERROR(U34 * (1 + AVERAGE(Filter('Inflation Data'!$C:$C,'Inflation Data'!$A:$A = V$1))) + 'Fund YTD Contributions'!V34,'Fund YTD Contributions'!V34)"),0.0)</f>
        <v>0</v>
      </c>
      <c r="W34" s="152">
        <f>IFERROR(__xludf.DUMMYFUNCTION("IFERROR(V34 * (1 + AVERAGE(Filter('Inflation Data'!$C:$C,'Inflation Data'!$A:$A = W$1))) + 'Fund YTD Contributions'!W34,'Fund YTD Contributions'!W34)"),0.0)</f>
        <v>0</v>
      </c>
      <c r="X34" s="152">
        <f>IFERROR(__xludf.DUMMYFUNCTION("IFERROR(W34 * (1 + AVERAGE(Filter('Inflation Data'!$C:$C,'Inflation Data'!$A:$A = X$1))) + 'Fund YTD Contributions'!X34,'Fund YTD Contributions'!X34)"),0.0)</f>
        <v>0</v>
      </c>
      <c r="Y34" s="152">
        <f>IFERROR(__xludf.DUMMYFUNCTION("IFERROR(X34 * (1 + AVERAGE(Filter('Inflation Data'!$C:$C,'Inflation Data'!$A:$A = Y$1))) + 'Fund YTD Contributions'!Y34,'Fund YTD Contributions'!Y34)"),0.0)</f>
        <v>0</v>
      </c>
      <c r="Z34" s="152">
        <f>IFERROR(__xludf.DUMMYFUNCTION("IFERROR(Y34 * (1 + AVERAGE(Filter('Inflation Data'!$C:$C,'Inflation Data'!$A:$A = Z$1))) + 'Fund YTD Contributions'!Z34,'Fund YTD Contributions'!Z34)"),0.0)</f>
        <v>0</v>
      </c>
      <c r="AA34" s="152">
        <f>IFERROR(__xludf.DUMMYFUNCTION("IFERROR(Z34 * (1 + AVERAGE(Filter('Inflation Data'!$C:$C,'Inflation Data'!$A:$A = AA$1))) + 'Fund YTD Contributions'!AA34,'Fund YTD Contributions'!AA34)"),0.0)</f>
        <v>0</v>
      </c>
      <c r="AB34" s="152">
        <f>IFERROR(__xludf.DUMMYFUNCTION("IFERROR(AA34 * (1 + AVERAGE(Filter('Inflation Data'!$C:$C,'Inflation Data'!$A:$A = AB$1))) + 'Fund YTD Contributions'!AB34,'Fund YTD Contributions'!AB34)"),0.0)</f>
        <v>0</v>
      </c>
      <c r="AC34" s="152">
        <f>IFERROR(__xludf.DUMMYFUNCTION("IFERROR(AB34 * (1 + AVERAGE(Filter('Inflation Data'!$C:$C,'Inflation Data'!$A:$A = AC$1))) + 'Fund YTD Contributions'!AC34,'Fund YTD Contributions'!AC34)"),2000000.0)</f>
        <v>2000000</v>
      </c>
      <c r="AD34" s="152">
        <f>IFERROR(__xludf.DUMMYFUNCTION("IFERROR(AC34 * (1 + AVERAGE(Filter('Inflation Data'!$C:$C,'Inflation Data'!$A:$A = AD$1))) + 'Fund YTD Contributions'!AD34,'Fund YTD Contributions'!AD34)"),2048853.6915000002)</f>
        <v>2048853.692</v>
      </c>
      <c r="AE34" s="152">
        <f>IFERROR(__xludf.DUMMYFUNCTION("IFERROR(AD34 * (1 + AVERAGE(Filter('Inflation Data'!$C:$C,'Inflation Data'!$A:$A = AE$1))) + 'Fund YTD Contributions'!AE34,'Fund YTD Contributions'!AE34)"),2085975.5858805974)</f>
        <v>2085975.586</v>
      </c>
      <c r="AF34" s="152">
        <f>IFERROR(__xludf.DUMMYFUNCTION("IFERROR(AE34 * (1 + AVERAGE(Filter('Inflation Data'!$C:$C,'Inflation Data'!$A:$A = AF$1))) + 'Fund YTD Contributions'!AF34,'Fund YTD Contributions'!AF34)"),2136262.6791038057)</f>
        <v>2136262.679</v>
      </c>
    </row>
    <row r="35">
      <c r="A35" s="151" t="str">
        <f>'Endowed Funds'!A:A</f>
        <v>William D. Lipe Chair in Research Endowment Fund</v>
      </c>
      <c r="B35" s="152" t="str">
        <f>IFERROR(__xludf.DUMMYFUNCTION("IFERROR(A35 * (1 + AVERAGE(Filter('Inflation Data'!$C:$C,'Inflation Data'!$A:$A = B$1))) + 'Fund YTD Contributions'!B35,'Fund YTD Contributions'!B35)"),"  ")</f>
        <v/>
      </c>
      <c r="C35" s="152">
        <f>IFERROR(__xludf.DUMMYFUNCTION("IFERROR(B35 * (1 + AVERAGE(Filter('Inflation Data'!$C:$C,'Inflation Data'!$A:$A = C$1))) + 'Fund YTD Contributions'!C35,'Fund YTD Contributions'!C35)"),0.0)</f>
        <v>0</v>
      </c>
      <c r="D35" s="152">
        <f>IFERROR(__xludf.DUMMYFUNCTION("IFERROR(C35 * (1 + AVERAGE(Filter('Inflation Data'!$C:$C,'Inflation Data'!$A:$A = D$1))) + 'Fund YTD Contributions'!D35,'Fund YTD Contributions'!D35)"),0.0)</f>
        <v>0</v>
      </c>
      <c r="E35" s="152">
        <f>IFERROR(__xludf.DUMMYFUNCTION("IFERROR(D35 * (1 + AVERAGE(Filter('Inflation Data'!$C:$C,'Inflation Data'!$A:$A = E$1))) + 'Fund YTD Contributions'!E35,'Fund YTD Contributions'!E35)"),0.0)</f>
        <v>0</v>
      </c>
      <c r="F35" s="152">
        <f>IFERROR(__xludf.DUMMYFUNCTION("IFERROR(E35 * (1 + AVERAGE(Filter('Inflation Data'!$C:$C,'Inflation Data'!$A:$A = F$1))) + 'Fund YTD Contributions'!F35,'Fund YTD Contributions'!F35)"),0.0)</f>
        <v>0</v>
      </c>
      <c r="G35" s="152">
        <f>IFERROR(__xludf.DUMMYFUNCTION("IFERROR(F35 * (1 + AVERAGE(Filter('Inflation Data'!$C:$C,'Inflation Data'!$A:$A = G$1))) + 'Fund YTD Contributions'!G35,'Fund YTD Contributions'!G35)"),0.0)</f>
        <v>0</v>
      </c>
      <c r="H35" s="152">
        <f>IFERROR(__xludf.DUMMYFUNCTION("IFERROR(G35 * (1 + AVERAGE(Filter('Inflation Data'!$C:$C,'Inflation Data'!$A:$A = H$1))) + 'Fund YTD Contributions'!H35,'Fund YTD Contributions'!H35)"),0.0)</f>
        <v>0</v>
      </c>
      <c r="I35" s="152">
        <f>IFERROR(__xludf.DUMMYFUNCTION("IFERROR(H35 * (1 + AVERAGE(Filter('Inflation Data'!$C:$C,'Inflation Data'!$A:$A = I$1))) + 'Fund YTD Contributions'!I35,'Fund YTD Contributions'!I35)"),0.0)</f>
        <v>0</v>
      </c>
      <c r="J35" s="152">
        <f>IFERROR(__xludf.DUMMYFUNCTION("IFERROR(I35 * (1 + AVERAGE(Filter('Inflation Data'!$C:$C,'Inflation Data'!$A:$A = J$1))) + 'Fund YTD Contributions'!J35,'Fund YTD Contributions'!J35)"),0.0)</f>
        <v>0</v>
      </c>
      <c r="K35" s="152">
        <f>IFERROR(__xludf.DUMMYFUNCTION("IFERROR(J35 * (1 + AVERAGE(Filter('Inflation Data'!$C:$C,'Inflation Data'!$A:$A = K$1))) + 'Fund YTD Contributions'!K35,'Fund YTD Contributions'!K35)"),0.0)</f>
        <v>0</v>
      </c>
      <c r="L35" s="152">
        <f>IFERROR(__xludf.DUMMYFUNCTION("IFERROR(K35 * (1 + AVERAGE(Filter('Inflation Data'!$C:$C,'Inflation Data'!$A:$A = L$1))) + 'Fund YTD Contributions'!L35,'Fund YTD Contributions'!L35)"),0.0)</f>
        <v>0</v>
      </c>
      <c r="M35" s="152">
        <f>IFERROR(__xludf.DUMMYFUNCTION("IFERROR(L35 * (1 + AVERAGE(Filter('Inflation Data'!$C:$C,'Inflation Data'!$A:$A = M$1))) + 'Fund YTD Contributions'!M35,'Fund YTD Contributions'!M35)"),0.0)</f>
        <v>0</v>
      </c>
      <c r="N35" s="152">
        <f>IFERROR(__xludf.DUMMYFUNCTION("IFERROR(M35 * (1 + AVERAGE(Filter('Inflation Data'!$C:$C,'Inflation Data'!$A:$A = N$1))) + 'Fund YTD Contributions'!N35,'Fund YTD Contributions'!N35)"),0.0)</f>
        <v>0</v>
      </c>
      <c r="O35" s="152">
        <f>IFERROR(__xludf.DUMMYFUNCTION("IFERROR(N35 * (1 + AVERAGE(Filter('Inflation Data'!$C:$C,'Inflation Data'!$A:$A = O$1))) + 'Fund YTD Contributions'!O35,'Fund YTD Contributions'!O35)"),0.0)</f>
        <v>0</v>
      </c>
      <c r="P35" s="152">
        <f>IFERROR(__xludf.DUMMYFUNCTION("IFERROR(O35 * (1 + AVERAGE(Filter('Inflation Data'!$C:$C,'Inflation Data'!$A:$A = P$1))) + 'Fund YTD Contributions'!P35,'Fund YTD Contributions'!P35)"),0.0)</f>
        <v>0</v>
      </c>
      <c r="Q35" s="152">
        <f>IFERROR(__xludf.DUMMYFUNCTION("IFERROR(P35 * (1 + AVERAGE(Filter('Inflation Data'!$C:$C,'Inflation Data'!$A:$A = Q$1))) + 'Fund YTD Contributions'!Q35,'Fund YTD Contributions'!Q35)"),0.0)</f>
        <v>0</v>
      </c>
      <c r="R35" s="152">
        <f>IFERROR(__xludf.DUMMYFUNCTION("IFERROR(Q35 * (1 + AVERAGE(Filter('Inflation Data'!$C:$C,'Inflation Data'!$A:$A = R$1))) + 'Fund YTD Contributions'!R35,'Fund YTD Contributions'!R35)"),0.0)</f>
        <v>0</v>
      </c>
      <c r="S35" s="152">
        <f>IFERROR(__xludf.DUMMYFUNCTION("IFERROR(R35 * (1 + AVERAGE(Filter('Inflation Data'!$C:$C,'Inflation Data'!$A:$A = S$1))) + 'Fund YTD Contributions'!S35,'Fund YTD Contributions'!S35)"),0.0)</f>
        <v>0</v>
      </c>
      <c r="T35" s="152">
        <f>IFERROR(__xludf.DUMMYFUNCTION("IFERROR(S35 * (1 + AVERAGE(Filter('Inflation Data'!$C:$C,'Inflation Data'!$A:$A = T$1))) + 'Fund YTD Contributions'!T35,'Fund YTD Contributions'!T35)"),0.0)</f>
        <v>0</v>
      </c>
      <c r="U35" s="152">
        <f>IFERROR(__xludf.DUMMYFUNCTION("IFERROR(T35 * (1 + AVERAGE(Filter('Inflation Data'!$C:$C,'Inflation Data'!$A:$A = U$1))) + 'Fund YTD Contributions'!U35,'Fund YTD Contributions'!U35)"),0.0)</f>
        <v>0</v>
      </c>
      <c r="V35" s="152">
        <f>IFERROR(__xludf.DUMMYFUNCTION("IFERROR(U35 * (1 + AVERAGE(Filter('Inflation Data'!$C:$C,'Inflation Data'!$A:$A = V$1))) + 'Fund YTD Contributions'!V35,'Fund YTD Contributions'!V35)"),0.0)</f>
        <v>0</v>
      </c>
      <c r="W35" s="152">
        <f>IFERROR(__xludf.DUMMYFUNCTION("IFERROR(V35 * (1 + AVERAGE(Filter('Inflation Data'!$C:$C,'Inflation Data'!$A:$A = W$1))) + 'Fund YTD Contributions'!W35,'Fund YTD Contributions'!W35)"),0.0)</f>
        <v>0</v>
      </c>
      <c r="X35" s="152">
        <f>IFERROR(__xludf.DUMMYFUNCTION("IFERROR(W35 * (1 + AVERAGE(Filter('Inflation Data'!$C:$C,'Inflation Data'!$A:$A = X$1))) + 'Fund YTD Contributions'!X35,'Fund YTD Contributions'!X35)"),0.0)</f>
        <v>0</v>
      </c>
      <c r="Y35" s="152">
        <f>IFERROR(__xludf.DUMMYFUNCTION("IFERROR(X35 * (1 + AVERAGE(Filter('Inflation Data'!$C:$C,'Inflation Data'!$A:$A = Y$1))) + 'Fund YTD Contributions'!Y35,'Fund YTD Contributions'!Y35)"),0.0)</f>
        <v>0</v>
      </c>
      <c r="Z35" s="152">
        <f>IFERROR(__xludf.DUMMYFUNCTION("IFERROR(Y35 * (1 + AVERAGE(Filter('Inflation Data'!$C:$C,'Inflation Data'!$A:$A = Z$1))) + 'Fund YTD Contributions'!Z35,'Fund YTD Contributions'!Z35)"),0.0)</f>
        <v>0</v>
      </c>
      <c r="AA35" s="152">
        <f>IFERROR(__xludf.DUMMYFUNCTION("IFERROR(Z35 * (1 + AVERAGE(Filter('Inflation Data'!$C:$C,'Inflation Data'!$A:$A = AA$1))) + 'Fund YTD Contributions'!AA35,'Fund YTD Contributions'!AA35)"),0.0)</f>
        <v>0</v>
      </c>
      <c r="AB35" s="152">
        <f>IFERROR(__xludf.DUMMYFUNCTION("IFERROR(AA35 * (1 + AVERAGE(Filter('Inflation Data'!$C:$C,'Inflation Data'!$A:$A = AB$1))) + 'Fund YTD Contributions'!AB35,'Fund YTD Contributions'!AB35)"),0.0)</f>
        <v>0</v>
      </c>
      <c r="AC35" s="152">
        <f>IFERROR(__xludf.DUMMYFUNCTION("IFERROR(AB35 * (1 + AVERAGE(Filter('Inflation Data'!$C:$C,'Inflation Data'!$A:$A = AC$1))) + 'Fund YTD Contributions'!AC35,'Fund YTD Contributions'!AC35)"),2000000.0)</f>
        <v>2000000</v>
      </c>
      <c r="AD35" s="152">
        <f>IFERROR(__xludf.DUMMYFUNCTION("IFERROR(AC35 * (1 + AVERAGE(Filter('Inflation Data'!$C:$C,'Inflation Data'!$A:$A = AD$1))) + 'Fund YTD Contributions'!AD35,'Fund YTD Contributions'!AD35)"),2048853.6915000002)</f>
        <v>2048853.692</v>
      </c>
      <c r="AE35" s="152">
        <f>IFERROR(__xludf.DUMMYFUNCTION("IFERROR(AD35 * (1 + AVERAGE(Filter('Inflation Data'!$C:$C,'Inflation Data'!$A:$A = AE$1))) + 'Fund YTD Contributions'!AE35,'Fund YTD Contributions'!AE35)"),2085975.5858805974)</f>
        <v>2085975.586</v>
      </c>
      <c r="AF35" s="152">
        <f>IFERROR(__xludf.DUMMYFUNCTION("IFERROR(AE35 * (1 + AVERAGE(Filter('Inflation Data'!$C:$C,'Inflation Data'!$A:$A = AF$1))) + 'Fund YTD Contributions'!AF35,'Fund YTD Contributions'!AF35)"),2136262.6791038057)</f>
        <v>2136262.679</v>
      </c>
    </row>
    <row r="36">
      <c r="A36" s="150" t="str">
        <f>'Endowed Funds'!A:A</f>
        <v/>
      </c>
      <c r="B36" s="152">
        <f>IFERROR(__xludf.DUMMYFUNCTION("IFERROR(A36 * (1 + AVERAGE(Filter('Inflation Data'!$C:$C,'Inflation Data'!$A:$A = B$1))) + 'Fund YTD Contributions'!B36,'Fund YTD Contributions'!B36)"),0.0)</f>
        <v>0</v>
      </c>
      <c r="C36" s="152">
        <f>IFERROR(__xludf.DUMMYFUNCTION("IFERROR(B36 * (1 + AVERAGE(Filter('Inflation Data'!$C:$C,'Inflation Data'!$A:$A = C$1))) + 'Fund YTD Contributions'!C36,'Fund YTD Contributions'!C36)"),0.0)</f>
        <v>0</v>
      </c>
      <c r="D36" s="152">
        <f>IFERROR(__xludf.DUMMYFUNCTION("IFERROR(C36 * (1 + AVERAGE(Filter('Inflation Data'!$C:$C,'Inflation Data'!$A:$A = D$1))) + 'Fund YTD Contributions'!D36,'Fund YTD Contributions'!D36)"),0.0)</f>
        <v>0</v>
      </c>
      <c r="E36" s="152">
        <f>IFERROR(__xludf.DUMMYFUNCTION("IFERROR(D36 * (1 + AVERAGE(Filter('Inflation Data'!$C:$C,'Inflation Data'!$A:$A = E$1))) + 'Fund YTD Contributions'!E36,'Fund YTD Contributions'!E36)"),0.0)</f>
        <v>0</v>
      </c>
      <c r="F36" s="152">
        <f>IFERROR(__xludf.DUMMYFUNCTION("IFERROR(E36 * (1 + AVERAGE(Filter('Inflation Data'!$C:$C,'Inflation Data'!$A:$A = F$1))) + 'Fund YTD Contributions'!F36,'Fund YTD Contributions'!F36)"),0.0)</f>
        <v>0</v>
      </c>
      <c r="G36" s="152">
        <f>IFERROR(__xludf.DUMMYFUNCTION("IFERROR(F36 * (1 + AVERAGE(Filter('Inflation Data'!$C:$C,'Inflation Data'!$A:$A = G$1))) + 'Fund YTD Contributions'!G36,'Fund YTD Contributions'!G36)"),0.0)</f>
        <v>0</v>
      </c>
      <c r="H36" s="152">
        <f>IFERROR(__xludf.DUMMYFUNCTION("IFERROR(G36 * (1 + AVERAGE(Filter('Inflation Data'!$C:$C,'Inflation Data'!$A:$A = H$1))) + 'Fund YTD Contributions'!H36,'Fund YTD Contributions'!H36)"),0.0)</f>
        <v>0</v>
      </c>
      <c r="I36" s="152">
        <f>IFERROR(__xludf.DUMMYFUNCTION("IFERROR(H36 * (1 + AVERAGE(Filter('Inflation Data'!$C:$C,'Inflation Data'!$A:$A = I$1))) + 'Fund YTD Contributions'!I36,'Fund YTD Contributions'!I36)"),0.0)</f>
        <v>0</v>
      </c>
      <c r="J36" s="152">
        <f>IFERROR(__xludf.DUMMYFUNCTION("IFERROR(I36 * (1 + AVERAGE(Filter('Inflation Data'!$C:$C,'Inflation Data'!$A:$A = J$1))) + 'Fund YTD Contributions'!J36,'Fund YTD Contributions'!J36)"),0.0)</f>
        <v>0</v>
      </c>
      <c r="K36" s="152">
        <f>IFERROR(__xludf.DUMMYFUNCTION("IFERROR(J36 * (1 + AVERAGE(Filter('Inflation Data'!$C:$C,'Inflation Data'!$A:$A = K$1))) + 'Fund YTD Contributions'!K36,'Fund YTD Contributions'!K36)"),0.0)</f>
        <v>0</v>
      </c>
      <c r="L36" s="152">
        <f>IFERROR(__xludf.DUMMYFUNCTION("IFERROR(K36 * (1 + AVERAGE(Filter('Inflation Data'!$C:$C,'Inflation Data'!$A:$A = L$1))) + 'Fund YTD Contributions'!L36,'Fund YTD Contributions'!L36)"),0.0)</f>
        <v>0</v>
      </c>
      <c r="M36" s="152">
        <f>IFERROR(__xludf.DUMMYFUNCTION("IFERROR(L36 * (1 + AVERAGE(Filter('Inflation Data'!$C:$C,'Inflation Data'!$A:$A = M$1))) + 'Fund YTD Contributions'!M36,'Fund YTD Contributions'!M36)"),0.0)</f>
        <v>0</v>
      </c>
      <c r="N36" s="152">
        <f>IFERROR(__xludf.DUMMYFUNCTION("IFERROR(M36 * (1 + AVERAGE(Filter('Inflation Data'!$C:$C,'Inflation Data'!$A:$A = N$1))) + 'Fund YTD Contributions'!N36,'Fund YTD Contributions'!N36)"),0.0)</f>
        <v>0</v>
      </c>
      <c r="O36" s="152">
        <f>IFERROR(__xludf.DUMMYFUNCTION("IFERROR(N36 * (1 + AVERAGE(Filter('Inflation Data'!$C:$C,'Inflation Data'!$A:$A = O$1))) + 'Fund YTD Contributions'!O36,'Fund YTD Contributions'!O36)"),0.0)</f>
        <v>0</v>
      </c>
      <c r="P36" s="152">
        <f>IFERROR(__xludf.DUMMYFUNCTION("IFERROR(O36 * (1 + AVERAGE(Filter('Inflation Data'!$C:$C,'Inflation Data'!$A:$A = P$1))) + 'Fund YTD Contributions'!P36,'Fund YTD Contributions'!P36)"),0.0)</f>
        <v>0</v>
      </c>
      <c r="Q36" s="152">
        <f>IFERROR(__xludf.DUMMYFUNCTION("IFERROR(P36 * (1 + AVERAGE(Filter('Inflation Data'!$C:$C,'Inflation Data'!$A:$A = Q$1))) + 'Fund YTD Contributions'!Q36,'Fund YTD Contributions'!Q36)"),0.0)</f>
        <v>0</v>
      </c>
      <c r="R36" s="152">
        <f>IFERROR(__xludf.DUMMYFUNCTION("IFERROR(Q36 * (1 + AVERAGE(Filter('Inflation Data'!$C:$C,'Inflation Data'!$A:$A = R$1))) + 'Fund YTD Contributions'!R36,'Fund YTD Contributions'!R36)"),0.0)</f>
        <v>0</v>
      </c>
      <c r="S36" s="152">
        <f>IFERROR(__xludf.DUMMYFUNCTION("IFERROR(R36 * (1 + AVERAGE(Filter('Inflation Data'!$C:$C,'Inflation Data'!$A:$A = S$1))) + 'Fund YTD Contributions'!S36,'Fund YTD Contributions'!S36)"),0.0)</f>
        <v>0</v>
      </c>
      <c r="T36" s="152">
        <f>IFERROR(__xludf.DUMMYFUNCTION("IFERROR(S36 * (1 + AVERAGE(Filter('Inflation Data'!$C:$C,'Inflation Data'!$A:$A = T$1))) + 'Fund YTD Contributions'!T36,'Fund YTD Contributions'!T36)"),0.0)</f>
        <v>0</v>
      </c>
      <c r="U36" s="152">
        <f>IFERROR(__xludf.DUMMYFUNCTION("IFERROR(T36 * (1 + AVERAGE(Filter('Inflation Data'!$C:$C,'Inflation Data'!$A:$A = U$1))) + 'Fund YTD Contributions'!U36,'Fund YTD Contributions'!U36)"),0.0)</f>
        <v>0</v>
      </c>
      <c r="V36" s="152">
        <f>IFERROR(__xludf.DUMMYFUNCTION("IFERROR(U36 * (1 + AVERAGE(Filter('Inflation Data'!$C:$C,'Inflation Data'!$A:$A = V$1))) + 'Fund YTD Contributions'!V36,'Fund YTD Contributions'!V36)"),0.0)</f>
        <v>0</v>
      </c>
      <c r="W36" s="152">
        <f>IFERROR(__xludf.DUMMYFUNCTION("IFERROR(V36 * (1 + AVERAGE(Filter('Inflation Data'!$C:$C,'Inflation Data'!$A:$A = W$1))) + 'Fund YTD Contributions'!W36,'Fund YTD Contributions'!W36)"),0.0)</f>
        <v>0</v>
      </c>
      <c r="X36" s="152">
        <f>IFERROR(__xludf.DUMMYFUNCTION("IFERROR(W36 * (1 + AVERAGE(Filter('Inflation Data'!$C:$C,'Inflation Data'!$A:$A = X$1))) + 'Fund YTD Contributions'!X36,'Fund YTD Contributions'!X36)"),0.0)</f>
        <v>0</v>
      </c>
      <c r="Y36" s="152">
        <f>IFERROR(__xludf.DUMMYFUNCTION("IFERROR(X36 * (1 + AVERAGE(Filter('Inflation Data'!$C:$C,'Inflation Data'!$A:$A = Y$1))) + 'Fund YTD Contributions'!Y36,'Fund YTD Contributions'!Y36)"),0.0)</f>
        <v>0</v>
      </c>
      <c r="Z36" s="152">
        <f>IFERROR(__xludf.DUMMYFUNCTION("IFERROR(Y36 * (1 + AVERAGE(Filter('Inflation Data'!$C:$C,'Inflation Data'!$A:$A = Z$1))) + 'Fund YTD Contributions'!Z36,'Fund YTD Contributions'!Z36)"),0.0)</f>
        <v>0</v>
      </c>
      <c r="AA36" s="152">
        <f>IFERROR(__xludf.DUMMYFUNCTION("IFERROR(Z36 * (1 + AVERAGE(Filter('Inflation Data'!$C:$C,'Inflation Data'!$A:$A = AA$1))) + 'Fund YTD Contributions'!AA36,'Fund YTD Contributions'!AA36)"),0.0)</f>
        <v>0</v>
      </c>
      <c r="AB36" s="152">
        <f>IFERROR(__xludf.DUMMYFUNCTION("IFERROR(AA36 * (1 + AVERAGE(Filter('Inflation Data'!$C:$C,'Inflation Data'!$A:$A = AB$1))) + 'Fund YTD Contributions'!AB36,'Fund YTD Contributions'!AB36)"),0.0)</f>
        <v>0</v>
      </c>
      <c r="AC36" s="152">
        <f>IFERROR(__xludf.DUMMYFUNCTION("IFERROR(AB36 * (1 + AVERAGE(Filter('Inflation Data'!$C:$C,'Inflation Data'!$A:$A = AC$1))) + 'Fund YTD Contributions'!AC36,'Fund YTD Contributions'!AC36)"),0.0)</f>
        <v>0</v>
      </c>
      <c r="AD36" s="152">
        <f>IFERROR(__xludf.DUMMYFUNCTION("IFERROR(AC36 * (1 + AVERAGE(Filter('Inflation Data'!$C:$C,'Inflation Data'!$A:$A = AD$1))) + 'Fund YTD Contributions'!AD36,'Fund YTD Contributions'!AD36)"),0.0)</f>
        <v>0</v>
      </c>
      <c r="AE36" s="152">
        <f>IFERROR(__xludf.DUMMYFUNCTION("IFERROR(AD36 * (1 + AVERAGE(Filter('Inflation Data'!$C:$C,'Inflation Data'!$A:$A = AE$1))) + 'Fund YTD Contributions'!AE36,'Fund YTD Contributions'!AE36)"),0.0)</f>
        <v>0</v>
      </c>
      <c r="AF36" s="152">
        <f>IFERROR(__xludf.DUMMYFUNCTION("IFERROR(AE36 * (1 + AVERAGE(Filter('Inflation Data'!$C:$C,'Inflation Data'!$A:$A = AF$1))) + 'Fund YTD Contributions'!AF36,'Fund YTD Contributions'!AF36)"),0.0)</f>
        <v>0</v>
      </c>
    </row>
    <row r="37">
      <c r="A37" s="150" t="str">
        <f>'Endowed Funds'!A:A</f>
        <v/>
      </c>
      <c r="B37" s="152">
        <f>IFERROR(__xludf.DUMMYFUNCTION("IFERROR(A37 * (1 + AVERAGE(Filter('Inflation Data'!$C:$C,'Inflation Data'!$A:$A = B$1))) + 'Fund YTD Contributions'!B37,'Fund YTD Contributions'!B37)"),0.0)</f>
        <v>0</v>
      </c>
      <c r="C37" s="152">
        <f>IFERROR(__xludf.DUMMYFUNCTION("IFERROR(B37 * (1 + AVERAGE(Filter('Inflation Data'!$C:$C,'Inflation Data'!$A:$A = C$1))) + 'Fund YTD Contributions'!C37,'Fund YTD Contributions'!C37)"),0.0)</f>
        <v>0</v>
      </c>
      <c r="D37" s="152">
        <f>IFERROR(__xludf.DUMMYFUNCTION("IFERROR(C37 * (1 + AVERAGE(Filter('Inflation Data'!$C:$C,'Inflation Data'!$A:$A = D$1))) + 'Fund YTD Contributions'!D37,'Fund YTD Contributions'!D37)"),0.0)</f>
        <v>0</v>
      </c>
      <c r="E37" s="152">
        <f>IFERROR(__xludf.DUMMYFUNCTION("IFERROR(D37 * (1 + AVERAGE(Filter('Inflation Data'!$C:$C,'Inflation Data'!$A:$A = E$1))) + 'Fund YTD Contributions'!E37,'Fund YTD Contributions'!E37)"),0.0)</f>
        <v>0</v>
      </c>
      <c r="F37" s="152">
        <f>IFERROR(__xludf.DUMMYFUNCTION("IFERROR(E37 * (1 + AVERAGE(Filter('Inflation Data'!$C:$C,'Inflation Data'!$A:$A = F$1))) + 'Fund YTD Contributions'!F37,'Fund YTD Contributions'!F37)"),0.0)</f>
        <v>0</v>
      </c>
      <c r="G37" s="152">
        <f>IFERROR(__xludf.DUMMYFUNCTION("IFERROR(F37 * (1 + AVERAGE(Filter('Inflation Data'!$C:$C,'Inflation Data'!$A:$A = G$1))) + 'Fund YTD Contributions'!G37,'Fund YTD Contributions'!G37)"),0.0)</f>
        <v>0</v>
      </c>
      <c r="H37" s="152">
        <f>IFERROR(__xludf.DUMMYFUNCTION("IFERROR(G37 * (1 + AVERAGE(Filter('Inflation Data'!$C:$C,'Inflation Data'!$A:$A = H$1))) + 'Fund YTD Contributions'!H37,'Fund YTD Contributions'!H37)"),0.0)</f>
        <v>0</v>
      </c>
      <c r="I37" s="152">
        <f>IFERROR(__xludf.DUMMYFUNCTION("IFERROR(H37 * (1 + AVERAGE(Filter('Inflation Data'!$C:$C,'Inflation Data'!$A:$A = I$1))) + 'Fund YTD Contributions'!I37,'Fund YTD Contributions'!I37)"),0.0)</f>
        <v>0</v>
      </c>
      <c r="J37" s="152">
        <f>IFERROR(__xludf.DUMMYFUNCTION("IFERROR(I37 * (1 + AVERAGE(Filter('Inflation Data'!$C:$C,'Inflation Data'!$A:$A = J$1))) + 'Fund YTD Contributions'!J37,'Fund YTD Contributions'!J37)"),0.0)</f>
        <v>0</v>
      </c>
      <c r="K37" s="152">
        <f>IFERROR(__xludf.DUMMYFUNCTION("IFERROR(J37 * (1 + AVERAGE(Filter('Inflation Data'!$C:$C,'Inflation Data'!$A:$A = K$1))) + 'Fund YTD Contributions'!K37,'Fund YTD Contributions'!K37)"),0.0)</f>
        <v>0</v>
      </c>
      <c r="L37" s="152">
        <f>IFERROR(__xludf.DUMMYFUNCTION("IFERROR(K37 * (1 + AVERAGE(Filter('Inflation Data'!$C:$C,'Inflation Data'!$A:$A = L$1))) + 'Fund YTD Contributions'!L37,'Fund YTD Contributions'!L37)"),0.0)</f>
        <v>0</v>
      </c>
      <c r="M37" s="152">
        <f>IFERROR(__xludf.DUMMYFUNCTION("IFERROR(L37 * (1 + AVERAGE(Filter('Inflation Data'!$C:$C,'Inflation Data'!$A:$A = M$1))) + 'Fund YTD Contributions'!M37,'Fund YTD Contributions'!M37)"),0.0)</f>
        <v>0</v>
      </c>
      <c r="N37" s="152">
        <f>IFERROR(__xludf.DUMMYFUNCTION("IFERROR(M37 * (1 + AVERAGE(Filter('Inflation Data'!$C:$C,'Inflation Data'!$A:$A = N$1))) + 'Fund YTD Contributions'!N37,'Fund YTD Contributions'!N37)"),0.0)</f>
        <v>0</v>
      </c>
      <c r="O37" s="152">
        <f>IFERROR(__xludf.DUMMYFUNCTION("IFERROR(N37 * (1 + AVERAGE(Filter('Inflation Data'!$C:$C,'Inflation Data'!$A:$A = O$1))) + 'Fund YTD Contributions'!O37,'Fund YTD Contributions'!O37)"),0.0)</f>
        <v>0</v>
      </c>
      <c r="P37" s="152">
        <f>IFERROR(__xludf.DUMMYFUNCTION("IFERROR(O37 * (1 + AVERAGE(Filter('Inflation Data'!$C:$C,'Inflation Data'!$A:$A = P$1))) + 'Fund YTD Contributions'!P37,'Fund YTD Contributions'!P37)"),0.0)</f>
        <v>0</v>
      </c>
      <c r="Q37" s="152">
        <f>IFERROR(__xludf.DUMMYFUNCTION("IFERROR(P37 * (1 + AVERAGE(Filter('Inflation Data'!$C:$C,'Inflation Data'!$A:$A = Q$1))) + 'Fund YTD Contributions'!Q37,'Fund YTD Contributions'!Q37)"),0.0)</f>
        <v>0</v>
      </c>
      <c r="R37" s="152">
        <f>IFERROR(__xludf.DUMMYFUNCTION("IFERROR(Q37 * (1 + AVERAGE(Filter('Inflation Data'!$C:$C,'Inflation Data'!$A:$A = R$1))) + 'Fund YTD Contributions'!R37,'Fund YTD Contributions'!R37)"),0.0)</f>
        <v>0</v>
      </c>
      <c r="S37" s="152">
        <f>IFERROR(__xludf.DUMMYFUNCTION("IFERROR(R37 * (1 + AVERAGE(Filter('Inflation Data'!$C:$C,'Inflation Data'!$A:$A = S$1))) + 'Fund YTD Contributions'!S37,'Fund YTD Contributions'!S37)"),0.0)</f>
        <v>0</v>
      </c>
      <c r="T37" s="152">
        <f>IFERROR(__xludf.DUMMYFUNCTION("IFERROR(S37 * (1 + AVERAGE(Filter('Inflation Data'!$C:$C,'Inflation Data'!$A:$A = T$1))) + 'Fund YTD Contributions'!T37,'Fund YTD Contributions'!T37)"),0.0)</f>
        <v>0</v>
      </c>
      <c r="U37" s="152">
        <f>IFERROR(__xludf.DUMMYFUNCTION("IFERROR(T37 * (1 + AVERAGE(Filter('Inflation Data'!$C:$C,'Inflation Data'!$A:$A = U$1))) + 'Fund YTD Contributions'!U37,'Fund YTD Contributions'!U37)"),0.0)</f>
        <v>0</v>
      </c>
      <c r="V37" s="152">
        <f>IFERROR(__xludf.DUMMYFUNCTION("IFERROR(U37 * (1 + AVERAGE(Filter('Inflation Data'!$C:$C,'Inflation Data'!$A:$A = V$1))) + 'Fund YTD Contributions'!V37,'Fund YTD Contributions'!V37)"),0.0)</f>
        <v>0</v>
      </c>
      <c r="W37" s="152">
        <f>IFERROR(__xludf.DUMMYFUNCTION("IFERROR(V37 * (1 + AVERAGE(Filter('Inflation Data'!$C:$C,'Inflation Data'!$A:$A = W$1))) + 'Fund YTD Contributions'!W37,'Fund YTD Contributions'!W37)"),0.0)</f>
        <v>0</v>
      </c>
      <c r="X37" s="152">
        <f>IFERROR(__xludf.DUMMYFUNCTION("IFERROR(W37 * (1 + AVERAGE(Filter('Inflation Data'!$C:$C,'Inflation Data'!$A:$A = X$1))) + 'Fund YTD Contributions'!X37,'Fund YTD Contributions'!X37)"),0.0)</f>
        <v>0</v>
      </c>
      <c r="Y37" s="152">
        <f>IFERROR(__xludf.DUMMYFUNCTION("IFERROR(X37 * (1 + AVERAGE(Filter('Inflation Data'!$C:$C,'Inflation Data'!$A:$A = Y$1))) + 'Fund YTD Contributions'!Y37,'Fund YTD Contributions'!Y37)"),0.0)</f>
        <v>0</v>
      </c>
      <c r="Z37" s="152">
        <f>IFERROR(__xludf.DUMMYFUNCTION("IFERROR(Y37 * (1 + AVERAGE(Filter('Inflation Data'!$C:$C,'Inflation Data'!$A:$A = Z$1))) + 'Fund YTD Contributions'!Z37,'Fund YTD Contributions'!Z37)"),0.0)</f>
        <v>0</v>
      </c>
      <c r="AA37" s="152">
        <f>IFERROR(__xludf.DUMMYFUNCTION("IFERROR(Z37 * (1 + AVERAGE(Filter('Inflation Data'!$C:$C,'Inflation Data'!$A:$A = AA$1))) + 'Fund YTD Contributions'!AA37,'Fund YTD Contributions'!AA37)"),0.0)</f>
        <v>0</v>
      </c>
      <c r="AB37" s="152">
        <f>IFERROR(__xludf.DUMMYFUNCTION("IFERROR(AA37 * (1 + AVERAGE(Filter('Inflation Data'!$C:$C,'Inflation Data'!$A:$A = AB$1))) + 'Fund YTD Contributions'!AB37,'Fund YTD Contributions'!AB37)"),0.0)</f>
        <v>0</v>
      </c>
      <c r="AC37" s="152">
        <f>IFERROR(__xludf.DUMMYFUNCTION("IFERROR(AB37 * (1 + AVERAGE(Filter('Inflation Data'!$C:$C,'Inflation Data'!$A:$A = AC$1))) + 'Fund YTD Contributions'!AC37,'Fund YTD Contributions'!AC37)"),0.0)</f>
        <v>0</v>
      </c>
      <c r="AD37" s="152">
        <f>IFERROR(__xludf.DUMMYFUNCTION("IFERROR(AC37 * (1 + AVERAGE(Filter('Inflation Data'!$C:$C,'Inflation Data'!$A:$A = AD$1))) + 'Fund YTD Contributions'!AD37,'Fund YTD Contributions'!AD37)"),0.0)</f>
        <v>0</v>
      </c>
      <c r="AE37" s="152">
        <f>IFERROR(__xludf.DUMMYFUNCTION("IFERROR(AD37 * (1 + AVERAGE(Filter('Inflation Data'!$C:$C,'Inflation Data'!$A:$A = AE$1))) + 'Fund YTD Contributions'!AE37,'Fund YTD Contributions'!AE37)"),0.0)</f>
        <v>0</v>
      </c>
      <c r="AF37" s="152">
        <f>IFERROR(__xludf.DUMMYFUNCTION("IFERROR(AE37 * (1 + AVERAGE(Filter('Inflation Data'!$C:$C,'Inflation Data'!$A:$A = AF$1))) + 'Fund YTD Contributions'!AF37,'Fund YTD Contributions'!AF37)"),0.0)</f>
        <v>0</v>
      </c>
    </row>
    <row r="38">
      <c r="A38" s="150" t="str">
        <f>'Endowed Funds'!A:A</f>
        <v/>
      </c>
      <c r="B38" s="152">
        <f>IFERROR(__xludf.DUMMYFUNCTION("IFERROR(A38 * (1 + AVERAGE(Filter('Inflation Data'!$C:$C,'Inflation Data'!$A:$A = B$1))) + 'Fund YTD Contributions'!B38,'Fund YTD Contributions'!B38)"),0.0)</f>
        <v>0</v>
      </c>
      <c r="C38" s="152">
        <f>IFERROR(__xludf.DUMMYFUNCTION("IFERROR(B38 * (1 + AVERAGE(Filter('Inflation Data'!$C:$C,'Inflation Data'!$A:$A = C$1))) + 'Fund YTD Contributions'!C38,'Fund YTD Contributions'!C38)"),0.0)</f>
        <v>0</v>
      </c>
      <c r="D38" s="152">
        <f>IFERROR(__xludf.DUMMYFUNCTION("IFERROR(C38 * (1 + AVERAGE(Filter('Inflation Data'!$C:$C,'Inflation Data'!$A:$A = D$1))) + 'Fund YTD Contributions'!D38,'Fund YTD Contributions'!D38)"),0.0)</f>
        <v>0</v>
      </c>
      <c r="E38" s="152">
        <f>IFERROR(__xludf.DUMMYFUNCTION("IFERROR(D38 * (1 + AVERAGE(Filter('Inflation Data'!$C:$C,'Inflation Data'!$A:$A = E$1))) + 'Fund YTD Contributions'!E38,'Fund YTD Contributions'!E38)"),0.0)</f>
        <v>0</v>
      </c>
      <c r="F38" s="152">
        <f>IFERROR(__xludf.DUMMYFUNCTION("IFERROR(E38 * (1 + AVERAGE(Filter('Inflation Data'!$C:$C,'Inflation Data'!$A:$A = F$1))) + 'Fund YTD Contributions'!F38,'Fund YTD Contributions'!F38)"),0.0)</f>
        <v>0</v>
      </c>
      <c r="G38" s="152">
        <f>IFERROR(__xludf.DUMMYFUNCTION("IFERROR(F38 * (1 + AVERAGE(Filter('Inflation Data'!$C:$C,'Inflation Data'!$A:$A = G$1))) + 'Fund YTD Contributions'!G38,'Fund YTD Contributions'!G38)"),0.0)</f>
        <v>0</v>
      </c>
      <c r="H38" s="152">
        <f>IFERROR(__xludf.DUMMYFUNCTION("IFERROR(G38 * (1 + AVERAGE(Filter('Inflation Data'!$C:$C,'Inflation Data'!$A:$A = H$1))) + 'Fund YTD Contributions'!H38,'Fund YTD Contributions'!H38)"),0.0)</f>
        <v>0</v>
      </c>
      <c r="I38" s="152">
        <f>IFERROR(__xludf.DUMMYFUNCTION("IFERROR(H38 * (1 + AVERAGE(Filter('Inflation Data'!$C:$C,'Inflation Data'!$A:$A = I$1))) + 'Fund YTD Contributions'!I38,'Fund YTD Contributions'!I38)"),0.0)</f>
        <v>0</v>
      </c>
      <c r="J38" s="152">
        <f>IFERROR(__xludf.DUMMYFUNCTION("IFERROR(I38 * (1 + AVERAGE(Filter('Inflation Data'!$C:$C,'Inflation Data'!$A:$A = J$1))) + 'Fund YTD Contributions'!J38,'Fund YTD Contributions'!J38)"),0.0)</f>
        <v>0</v>
      </c>
      <c r="K38" s="152">
        <f>IFERROR(__xludf.DUMMYFUNCTION("IFERROR(J38 * (1 + AVERAGE(Filter('Inflation Data'!$C:$C,'Inflation Data'!$A:$A = K$1))) + 'Fund YTD Contributions'!K38,'Fund YTD Contributions'!K38)"),0.0)</f>
        <v>0</v>
      </c>
      <c r="L38" s="152">
        <f>IFERROR(__xludf.DUMMYFUNCTION("IFERROR(K38 * (1 + AVERAGE(Filter('Inflation Data'!$C:$C,'Inflation Data'!$A:$A = L$1))) + 'Fund YTD Contributions'!L38,'Fund YTD Contributions'!L38)"),0.0)</f>
        <v>0</v>
      </c>
      <c r="M38" s="152">
        <f>IFERROR(__xludf.DUMMYFUNCTION("IFERROR(L38 * (1 + AVERAGE(Filter('Inflation Data'!$C:$C,'Inflation Data'!$A:$A = M$1))) + 'Fund YTD Contributions'!M38,'Fund YTD Contributions'!M38)"),0.0)</f>
        <v>0</v>
      </c>
      <c r="N38" s="152">
        <f>IFERROR(__xludf.DUMMYFUNCTION("IFERROR(M38 * (1 + AVERAGE(Filter('Inflation Data'!$C:$C,'Inflation Data'!$A:$A = N$1))) + 'Fund YTD Contributions'!N38,'Fund YTD Contributions'!N38)"),0.0)</f>
        <v>0</v>
      </c>
      <c r="O38" s="152">
        <f>IFERROR(__xludf.DUMMYFUNCTION("IFERROR(N38 * (1 + AVERAGE(Filter('Inflation Data'!$C:$C,'Inflation Data'!$A:$A = O$1))) + 'Fund YTD Contributions'!O38,'Fund YTD Contributions'!O38)"),0.0)</f>
        <v>0</v>
      </c>
      <c r="P38" s="152">
        <f>IFERROR(__xludf.DUMMYFUNCTION("IFERROR(O38 * (1 + AVERAGE(Filter('Inflation Data'!$C:$C,'Inflation Data'!$A:$A = P$1))) + 'Fund YTD Contributions'!P38,'Fund YTD Contributions'!P38)"),0.0)</f>
        <v>0</v>
      </c>
      <c r="Q38" s="152">
        <f>IFERROR(__xludf.DUMMYFUNCTION("IFERROR(P38 * (1 + AVERAGE(Filter('Inflation Data'!$C:$C,'Inflation Data'!$A:$A = Q$1))) + 'Fund YTD Contributions'!Q38,'Fund YTD Contributions'!Q38)"),0.0)</f>
        <v>0</v>
      </c>
      <c r="R38" s="152">
        <f>IFERROR(__xludf.DUMMYFUNCTION("IFERROR(Q38 * (1 + AVERAGE(Filter('Inflation Data'!$C:$C,'Inflation Data'!$A:$A = R$1))) + 'Fund YTD Contributions'!R38,'Fund YTD Contributions'!R38)"),0.0)</f>
        <v>0</v>
      </c>
      <c r="S38" s="152">
        <f>IFERROR(__xludf.DUMMYFUNCTION("IFERROR(R38 * (1 + AVERAGE(Filter('Inflation Data'!$C:$C,'Inflation Data'!$A:$A = S$1))) + 'Fund YTD Contributions'!S38,'Fund YTD Contributions'!S38)"),0.0)</f>
        <v>0</v>
      </c>
      <c r="T38" s="152">
        <f>IFERROR(__xludf.DUMMYFUNCTION("IFERROR(S38 * (1 + AVERAGE(Filter('Inflation Data'!$C:$C,'Inflation Data'!$A:$A = T$1))) + 'Fund YTD Contributions'!T38,'Fund YTD Contributions'!T38)"),0.0)</f>
        <v>0</v>
      </c>
      <c r="U38" s="152">
        <f>IFERROR(__xludf.DUMMYFUNCTION("IFERROR(T38 * (1 + AVERAGE(Filter('Inflation Data'!$C:$C,'Inflation Data'!$A:$A = U$1))) + 'Fund YTD Contributions'!U38,'Fund YTD Contributions'!U38)"),0.0)</f>
        <v>0</v>
      </c>
      <c r="V38" s="152">
        <f>IFERROR(__xludf.DUMMYFUNCTION("IFERROR(U38 * (1 + AVERAGE(Filter('Inflation Data'!$C:$C,'Inflation Data'!$A:$A = V$1))) + 'Fund YTD Contributions'!V38,'Fund YTD Contributions'!V38)"),0.0)</f>
        <v>0</v>
      </c>
      <c r="W38" s="152">
        <f>IFERROR(__xludf.DUMMYFUNCTION("IFERROR(V38 * (1 + AVERAGE(Filter('Inflation Data'!$C:$C,'Inflation Data'!$A:$A = W$1))) + 'Fund YTD Contributions'!W38,'Fund YTD Contributions'!W38)"),0.0)</f>
        <v>0</v>
      </c>
      <c r="X38" s="152">
        <f>IFERROR(__xludf.DUMMYFUNCTION("IFERROR(W38 * (1 + AVERAGE(Filter('Inflation Data'!$C:$C,'Inflation Data'!$A:$A = X$1))) + 'Fund YTD Contributions'!X38,'Fund YTD Contributions'!X38)"),0.0)</f>
        <v>0</v>
      </c>
      <c r="Y38" s="152">
        <f>IFERROR(__xludf.DUMMYFUNCTION("IFERROR(X38 * (1 + AVERAGE(Filter('Inflation Data'!$C:$C,'Inflation Data'!$A:$A = Y$1))) + 'Fund YTD Contributions'!Y38,'Fund YTD Contributions'!Y38)"),0.0)</f>
        <v>0</v>
      </c>
      <c r="Z38" s="152">
        <f>IFERROR(__xludf.DUMMYFUNCTION("IFERROR(Y38 * (1 + AVERAGE(Filter('Inflation Data'!$C:$C,'Inflation Data'!$A:$A = Z$1))) + 'Fund YTD Contributions'!Z38,'Fund YTD Contributions'!Z38)"),0.0)</f>
        <v>0</v>
      </c>
      <c r="AA38" s="152">
        <f>IFERROR(__xludf.DUMMYFUNCTION("IFERROR(Z38 * (1 + AVERAGE(Filter('Inflation Data'!$C:$C,'Inflation Data'!$A:$A = AA$1))) + 'Fund YTD Contributions'!AA38,'Fund YTD Contributions'!AA38)"),0.0)</f>
        <v>0</v>
      </c>
      <c r="AB38" s="152">
        <f>IFERROR(__xludf.DUMMYFUNCTION("IFERROR(AA38 * (1 + AVERAGE(Filter('Inflation Data'!$C:$C,'Inflation Data'!$A:$A = AB$1))) + 'Fund YTD Contributions'!AB38,'Fund YTD Contributions'!AB38)"),0.0)</f>
        <v>0</v>
      </c>
      <c r="AC38" s="152">
        <f>IFERROR(__xludf.DUMMYFUNCTION("IFERROR(AB38 * (1 + AVERAGE(Filter('Inflation Data'!$C:$C,'Inflation Data'!$A:$A = AC$1))) + 'Fund YTD Contributions'!AC38,'Fund YTD Contributions'!AC38)"),0.0)</f>
        <v>0</v>
      </c>
      <c r="AD38" s="152">
        <f>IFERROR(__xludf.DUMMYFUNCTION("IFERROR(AC38 * (1 + AVERAGE(Filter('Inflation Data'!$C:$C,'Inflation Data'!$A:$A = AD$1))) + 'Fund YTD Contributions'!AD38,'Fund YTD Contributions'!AD38)"),0.0)</f>
        <v>0</v>
      </c>
      <c r="AE38" s="152">
        <f>IFERROR(__xludf.DUMMYFUNCTION("IFERROR(AD38 * (1 + AVERAGE(Filter('Inflation Data'!$C:$C,'Inflation Data'!$A:$A = AE$1))) + 'Fund YTD Contributions'!AE38,'Fund YTD Contributions'!AE38)"),0.0)</f>
        <v>0</v>
      </c>
      <c r="AF38" s="152">
        <f>IFERROR(__xludf.DUMMYFUNCTION("IFERROR(AE38 * (1 + AVERAGE(Filter('Inflation Data'!$C:$C,'Inflation Data'!$A:$A = AF$1))) + 'Fund YTD Contributions'!AF38,'Fund YTD Contributions'!AF38)"),0.0)</f>
        <v>0</v>
      </c>
    </row>
    <row r="39">
      <c r="A39" s="150" t="str">
        <f>'Endowed Funds'!A:A</f>
        <v/>
      </c>
      <c r="B39" s="152">
        <f>IFERROR(__xludf.DUMMYFUNCTION("IFERROR(A39 * (1 + AVERAGE(Filter('Inflation Data'!$C:$C,'Inflation Data'!$A:$A = B$1))) + 'Fund YTD Contributions'!B39,'Fund YTD Contributions'!B39)"),0.0)</f>
        <v>0</v>
      </c>
      <c r="C39" s="152">
        <f>IFERROR(__xludf.DUMMYFUNCTION("IFERROR(B39 * (1 + AVERAGE(Filter('Inflation Data'!$C:$C,'Inflation Data'!$A:$A = C$1))) + 'Fund YTD Contributions'!C39,'Fund YTD Contributions'!C39)"),0.0)</f>
        <v>0</v>
      </c>
      <c r="D39" s="152">
        <f>IFERROR(__xludf.DUMMYFUNCTION("IFERROR(C39 * (1 + AVERAGE(Filter('Inflation Data'!$C:$C,'Inflation Data'!$A:$A = D$1))) + 'Fund YTD Contributions'!D39,'Fund YTD Contributions'!D39)"),0.0)</f>
        <v>0</v>
      </c>
      <c r="E39" s="152">
        <f>IFERROR(__xludf.DUMMYFUNCTION("IFERROR(D39 * (1 + AVERAGE(Filter('Inflation Data'!$C:$C,'Inflation Data'!$A:$A = E$1))) + 'Fund YTD Contributions'!E39,'Fund YTD Contributions'!E39)"),0.0)</f>
        <v>0</v>
      </c>
      <c r="F39" s="152">
        <f>IFERROR(__xludf.DUMMYFUNCTION("IFERROR(E39 * (1 + AVERAGE(Filter('Inflation Data'!$C:$C,'Inflation Data'!$A:$A = F$1))) + 'Fund YTD Contributions'!F39,'Fund YTD Contributions'!F39)"),0.0)</f>
        <v>0</v>
      </c>
      <c r="G39" s="152">
        <f>IFERROR(__xludf.DUMMYFUNCTION("IFERROR(F39 * (1 + AVERAGE(Filter('Inflation Data'!$C:$C,'Inflation Data'!$A:$A = G$1))) + 'Fund YTD Contributions'!G39,'Fund YTD Contributions'!G39)"),0.0)</f>
        <v>0</v>
      </c>
      <c r="H39" s="152">
        <f>IFERROR(__xludf.DUMMYFUNCTION("IFERROR(G39 * (1 + AVERAGE(Filter('Inflation Data'!$C:$C,'Inflation Data'!$A:$A = H$1))) + 'Fund YTD Contributions'!H39,'Fund YTD Contributions'!H39)"),0.0)</f>
        <v>0</v>
      </c>
      <c r="I39" s="152">
        <f>IFERROR(__xludf.DUMMYFUNCTION("IFERROR(H39 * (1 + AVERAGE(Filter('Inflation Data'!$C:$C,'Inflation Data'!$A:$A = I$1))) + 'Fund YTD Contributions'!I39,'Fund YTD Contributions'!I39)"),0.0)</f>
        <v>0</v>
      </c>
      <c r="J39" s="152">
        <f>IFERROR(__xludf.DUMMYFUNCTION("IFERROR(I39 * (1 + AVERAGE(Filter('Inflation Data'!$C:$C,'Inflation Data'!$A:$A = J$1))) + 'Fund YTD Contributions'!J39,'Fund YTD Contributions'!J39)"),0.0)</f>
        <v>0</v>
      </c>
      <c r="K39" s="152">
        <f>IFERROR(__xludf.DUMMYFUNCTION("IFERROR(J39 * (1 + AVERAGE(Filter('Inflation Data'!$C:$C,'Inflation Data'!$A:$A = K$1))) + 'Fund YTD Contributions'!K39,'Fund YTD Contributions'!K39)"),0.0)</f>
        <v>0</v>
      </c>
      <c r="L39" s="152">
        <f>IFERROR(__xludf.DUMMYFUNCTION("IFERROR(K39 * (1 + AVERAGE(Filter('Inflation Data'!$C:$C,'Inflation Data'!$A:$A = L$1))) + 'Fund YTD Contributions'!L39,'Fund YTD Contributions'!L39)"),0.0)</f>
        <v>0</v>
      </c>
      <c r="M39" s="152">
        <f>IFERROR(__xludf.DUMMYFUNCTION("IFERROR(L39 * (1 + AVERAGE(Filter('Inflation Data'!$C:$C,'Inflation Data'!$A:$A = M$1))) + 'Fund YTD Contributions'!M39,'Fund YTD Contributions'!M39)"),0.0)</f>
        <v>0</v>
      </c>
      <c r="N39" s="152">
        <f>IFERROR(__xludf.DUMMYFUNCTION("IFERROR(M39 * (1 + AVERAGE(Filter('Inflation Data'!$C:$C,'Inflation Data'!$A:$A = N$1))) + 'Fund YTD Contributions'!N39,'Fund YTD Contributions'!N39)"),0.0)</f>
        <v>0</v>
      </c>
      <c r="O39" s="152">
        <f>IFERROR(__xludf.DUMMYFUNCTION("IFERROR(N39 * (1 + AVERAGE(Filter('Inflation Data'!$C:$C,'Inflation Data'!$A:$A = O$1))) + 'Fund YTD Contributions'!O39,'Fund YTD Contributions'!O39)"),0.0)</f>
        <v>0</v>
      </c>
      <c r="P39" s="152">
        <f>IFERROR(__xludf.DUMMYFUNCTION("IFERROR(O39 * (1 + AVERAGE(Filter('Inflation Data'!$C:$C,'Inflation Data'!$A:$A = P$1))) + 'Fund YTD Contributions'!P39,'Fund YTD Contributions'!P39)"),0.0)</f>
        <v>0</v>
      </c>
      <c r="Q39" s="152">
        <f>IFERROR(__xludf.DUMMYFUNCTION("IFERROR(P39 * (1 + AVERAGE(Filter('Inflation Data'!$C:$C,'Inflation Data'!$A:$A = Q$1))) + 'Fund YTD Contributions'!Q39,'Fund YTD Contributions'!Q39)"),0.0)</f>
        <v>0</v>
      </c>
      <c r="R39" s="152">
        <f>IFERROR(__xludf.DUMMYFUNCTION("IFERROR(Q39 * (1 + AVERAGE(Filter('Inflation Data'!$C:$C,'Inflation Data'!$A:$A = R$1))) + 'Fund YTD Contributions'!R39,'Fund YTD Contributions'!R39)"),0.0)</f>
        <v>0</v>
      </c>
      <c r="S39" s="152">
        <f>IFERROR(__xludf.DUMMYFUNCTION("IFERROR(R39 * (1 + AVERAGE(Filter('Inflation Data'!$C:$C,'Inflation Data'!$A:$A = S$1))) + 'Fund YTD Contributions'!S39,'Fund YTD Contributions'!S39)"),0.0)</f>
        <v>0</v>
      </c>
      <c r="T39" s="152">
        <f>IFERROR(__xludf.DUMMYFUNCTION("IFERROR(S39 * (1 + AVERAGE(Filter('Inflation Data'!$C:$C,'Inflation Data'!$A:$A = T$1))) + 'Fund YTD Contributions'!T39,'Fund YTD Contributions'!T39)"),0.0)</f>
        <v>0</v>
      </c>
      <c r="U39" s="152">
        <f>IFERROR(__xludf.DUMMYFUNCTION("IFERROR(T39 * (1 + AVERAGE(Filter('Inflation Data'!$C:$C,'Inflation Data'!$A:$A = U$1))) + 'Fund YTD Contributions'!U39,'Fund YTD Contributions'!U39)"),0.0)</f>
        <v>0</v>
      </c>
      <c r="V39" s="152">
        <f>IFERROR(__xludf.DUMMYFUNCTION("IFERROR(U39 * (1 + AVERAGE(Filter('Inflation Data'!$C:$C,'Inflation Data'!$A:$A = V$1))) + 'Fund YTD Contributions'!V39,'Fund YTD Contributions'!V39)"),0.0)</f>
        <v>0</v>
      </c>
      <c r="W39" s="152">
        <f>IFERROR(__xludf.DUMMYFUNCTION("IFERROR(V39 * (1 + AVERAGE(Filter('Inflation Data'!$C:$C,'Inflation Data'!$A:$A = W$1))) + 'Fund YTD Contributions'!W39,'Fund YTD Contributions'!W39)"),0.0)</f>
        <v>0</v>
      </c>
      <c r="X39" s="152">
        <f>IFERROR(__xludf.DUMMYFUNCTION("IFERROR(W39 * (1 + AVERAGE(Filter('Inflation Data'!$C:$C,'Inflation Data'!$A:$A = X$1))) + 'Fund YTD Contributions'!X39,'Fund YTD Contributions'!X39)"),0.0)</f>
        <v>0</v>
      </c>
      <c r="Y39" s="152">
        <f>IFERROR(__xludf.DUMMYFUNCTION("IFERROR(X39 * (1 + AVERAGE(Filter('Inflation Data'!$C:$C,'Inflation Data'!$A:$A = Y$1))) + 'Fund YTD Contributions'!Y39,'Fund YTD Contributions'!Y39)"),0.0)</f>
        <v>0</v>
      </c>
      <c r="Z39" s="152">
        <f>IFERROR(__xludf.DUMMYFUNCTION("IFERROR(Y39 * (1 + AVERAGE(Filter('Inflation Data'!$C:$C,'Inflation Data'!$A:$A = Z$1))) + 'Fund YTD Contributions'!Z39,'Fund YTD Contributions'!Z39)"),0.0)</f>
        <v>0</v>
      </c>
      <c r="AA39" s="152">
        <f>IFERROR(__xludf.DUMMYFUNCTION("IFERROR(Z39 * (1 + AVERAGE(Filter('Inflation Data'!$C:$C,'Inflation Data'!$A:$A = AA$1))) + 'Fund YTD Contributions'!AA39,'Fund YTD Contributions'!AA39)"),0.0)</f>
        <v>0</v>
      </c>
      <c r="AB39" s="152">
        <f>IFERROR(__xludf.DUMMYFUNCTION("IFERROR(AA39 * (1 + AVERAGE(Filter('Inflation Data'!$C:$C,'Inflation Data'!$A:$A = AB$1))) + 'Fund YTD Contributions'!AB39,'Fund YTD Contributions'!AB39)"),0.0)</f>
        <v>0</v>
      </c>
      <c r="AC39" s="152">
        <f>IFERROR(__xludf.DUMMYFUNCTION("IFERROR(AB39 * (1 + AVERAGE(Filter('Inflation Data'!$C:$C,'Inflation Data'!$A:$A = AC$1))) + 'Fund YTD Contributions'!AC39,'Fund YTD Contributions'!AC39)"),0.0)</f>
        <v>0</v>
      </c>
      <c r="AD39" s="152">
        <f>IFERROR(__xludf.DUMMYFUNCTION("IFERROR(AC39 * (1 + AVERAGE(Filter('Inflation Data'!$C:$C,'Inflation Data'!$A:$A = AD$1))) + 'Fund YTD Contributions'!AD39,'Fund YTD Contributions'!AD39)"),0.0)</f>
        <v>0</v>
      </c>
      <c r="AE39" s="152">
        <f>IFERROR(__xludf.DUMMYFUNCTION("IFERROR(AD39 * (1 + AVERAGE(Filter('Inflation Data'!$C:$C,'Inflation Data'!$A:$A = AE$1))) + 'Fund YTD Contributions'!AE39,'Fund YTD Contributions'!AE39)"),0.0)</f>
        <v>0</v>
      </c>
      <c r="AF39" s="152">
        <f>IFERROR(__xludf.DUMMYFUNCTION("IFERROR(AE39 * (1 + AVERAGE(Filter('Inflation Data'!$C:$C,'Inflation Data'!$A:$A = AF$1))) + 'Fund YTD Contributions'!AF39,'Fund YTD Contributions'!AF39)"),0.0)</f>
        <v>0</v>
      </c>
    </row>
    <row r="40">
      <c r="A40" s="150" t="str">
        <f>'Endowed Funds'!A:A</f>
        <v/>
      </c>
      <c r="B40" s="152">
        <f>IFERROR(__xludf.DUMMYFUNCTION("IFERROR(A40 * (1 + AVERAGE(Filter('Inflation Data'!$C:$C,'Inflation Data'!$A:$A = B$1))) + 'Fund YTD Contributions'!B40,'Fund YTD Contributions'!B40)"),0.0)</f>
        <v>0</v>
      </c>
      <c r="C40" s="152">
        <f>IFERROR(__xludf.DUMMYFUNCTION("IFERROR(B40 * (1 + AVERAGE(Filter('Inflation Data'!$C:$C,'Inflation Data'!$A:$A = C$1))) + 'Fund YTD Contributions'!C40,'Fund YTD Contributions'!C40)"),0.0)</f>
        <v>0</v>
      </c>
      <c r="D40" s="152">
        <f>IFERROR(__xludf.DUMMYFUNCTION("IFERROR(C40 * (1 + AVERAGE(Filter('Inflation Data'!$C:$C,'Inflation Data'!$A:$A = D$1))) + 'Fund YTD Contributions'!D40,'Fund YTD Contributions'!D40)"),0.0)</f>
        <v>0</v>
      </c>
      <c r="E40" s="152">
        <f>IFERROR(__xludf.DUMMYFUNCTION("IFERROR(D40 * (1 + AVERAGE(Filter('Inflation Data'!$C:$C,'Inflation Data'!$A:$A = E$1))) + 'Fund YTD Contributions'!E40,'Fund YTD Contributions'!E40)"),0.0)</f>
        <v>0</v>
      </c>
      <c r="F40" s="152">
        <f>IFERROR(__xludf.DUMMYFUNCTION("IFERROR(E40 * (1 + AVERAGE(Filter('Inflation Data'!$C:$C,'Inflation Data'!$A:$A = F$1))) + 'Fund YTD Contributions'!F40,'Fund YTD Contributions'!F40)"),0.0)</f>
        <v>0</v>
      </c>
      <c r="G40" s="152">
        <f>IFERROR(__xludf.DUMMYFUNCTION("IFERROR(F40 * (1 + AVERAGE(Filter('Inflation Data'!$C:$C,'Inflation Data'!$A:$A = G$1))) + 'Fund YTD Contributions'!G40,'Fund YTD Contributions'!G40)"),0.0)</f>
        <v>0</v>
      </c>
      <c r="H40" s="152">
        <f>IFERROR(__xludf.DUMMYFUNCTION("IFERROR(G40 * (1 + AVERAGE(Filter('Inflation Data'!$C:$C,'Inflation Data'!$A:$A = H$1))) + 'Fund YTD Contributions'!H40,'Fund YTD Contributions'!H40)"),0.0)</f>
        <v>0</v>
      </c>
      <c r="I40" s="152">
        <f>IFERROR(__xludf.DUMMYFUNCTION("IFERROR(H40 * (1 + AVERAGE(Filter('Inflation Data'!$C:$C,'Inflation Data'!$A:$A = I$1))) + 'Fund YTD Contributions'!I40,'Fund YTD Contributions'!I40)"),0.0)</f>
        <v>0</v>
      </c>
      <c r="J40" s="152">
        <f>IFERROR(__xludf.DUMMYFUNCTION("IFERROR(I40 * (1 + AVERAGE(Filter('Inflation Data'!$C:$C,'Inflation Data'!$A:$A = J$1))) + 'Fund YTD Contributions'!J40,'Fund YTD Contributions'!J40)"),0.0)</f>
        <v>0</v>
      </c>
      <c r="K40" s="152">
        <f>IFERROR(__xludf.DUMMYFUNCTION("IFERROR(J40 * (1 + AVERAGE(Filter('Inflation Data'!$C:$C,'Inflation Data'!$A:$A = K$1))) + 'Fund YTD Contributions'!K40,'Fund YTD Contributions'!K40)"),0.0)</f>
        <v>0</v>
      </c>
      <c r="L40" s="152">
        <f>IFERROR(__xludf.DUMMYFUNCTION("IFERROR(K40 * (1 + AVERAGE(Filter('Inflation Data'!$C:$C,'Inflation Data'!$A:$A = L$1))) + 'Fund YTD Contributions'!L40,'Fund YTD Contributions'!L40)"),0.0)</f>
        <v>0</v>
      </c>
      <c r="M40" s="152">
        <f>IFERROR(__xludf.DUMMYFUNCTION("IFERROR(L40 * (1 + AVERAGE(Filter('Inflation Data'!$C:$C,'Inflation Data'!$A:$A = M$1))) + 'Fund YTD Contributions'!M40,'Fund YTD Contributions'!M40)"),0.0)</f>
        <v>0</v>
      </c>
      <c r="N40" s="152">
        <f>IFERROR(__xludf.DUMMYFUNCTION("IFERROR(M40 * (1 + AVERAGE(Filter('Inflation Data'!$C:$C,'Inflation Data'!$A:$A = N$1))) + 'Fund YTD Contributions'!N40,'Fund YTD Contributions'!N40)"),0.0)</f>
        <v>0</v>
      </c>
      <c r="O40" s="152">
        <f>IFERROR(__xludf.DUMMYFUNCTION("IFERROR(N40 * (1 + AVERAGE(Filter('Inflation Data'!$C:$C,'Inflation Data'!$A:$A = O$1))) + 'Fund YTD Contributions'!O40,'Fund YTD Contributions'!O40)"),0.0)</f>
        <v>0</v>
      </c>
      <c r="P40" s="152">
        <f>IFERROR(__xludf.DUMMYFUNCTION("IFERROR(O40 * (1 + AVERAGE(Filter('Inflation Data'!$C:$C,'Inflation Data'!$A:$A = P$1))) + 'Fund YTD Contributions'!P40,'Fund YTD Contributions'!P40)"),0.0)</f>
        <v>0</v>
      </c>
      <c r="Q40" s="152">
        <f>IFERROR(__xludf.DUMMYFUNCTION("IFERROR(P40 * (1 + AVERAGE(Filter('Inflation Data'!$C:$C,'Inflation Data'!$A:$A = Q$1))) + 'Fund YTD Contributions'!Q40,'Fund YTD Contributions'!Q40)"),0.0)</f>
        <v>0</v>
      </c>
      <c r="R40" s="152">
        <f>IFERROR(__xludf.DUMMYFUNCTION("IFERROR(Q40 * (1 + AVERAGE(Filter('Inflation Data'!$C:$C,'Inflation Data'!$A:$A = R$1))) + 'Fund YTD Contributions'!R40,'Fund YTD Contributions'!R40)"),0.0)</f>
        <v>0</v>
      </c>
      <c r="S40" s="152">
        <f>IFERROR(__xludf.DUMMYFUNCTION("IFERROR(R40 * (1 + AVERAGE(Filter('Inflation Data'!$C:$C,'Inflation Data'!$A:$A = S$1))) + 'Fund YTD Contributions'!S40,'Fund YTD Contributions'!S40)"),0.0)</f>
        <v>0</v>
      </c>
      <c r="T40" s="152">
        <f>IFERROR(__xludf.DUMMYFUNCTION("IFERROR(S40 * (1 + AVERAGE(Filter('Inflation Data'!$C:$C,'Inflation Data'!$A:$A = T$1))) + 'Fund YTD Contributions'!T40,'Fund YTD Contributions'!T40)"),0.0)</f>
        <v>0</v>
      </c>
      <c r="U40" s="152">
        <f>IFERROR(__xludf.DUMMYFUNCTION("IFERROR(T40 * (1 + AVERAGE(Filter('Inflation Data'!$C:$C,'Inflation Data'!$A:$A = U$1))) + 'Fund YTD Contributions'!U40,'Fund YTD Contributions'!U40)"),0.0)</f>
        <v>0</v>
      </c>
      <c r="V40" s="152">
        <f>IFERROR(__xludf.DUMMYFUNCTION("IFERROR(U40 * (1 + AVERAGE(Filter('Inflation Data'!$C:$C,'Inflation Data'!$A:$A = V$1))) + 'Fund YTD Contributions'!V40,'Fund YTD Contributions'!V40)"),0.0)</f>
        <v>0</v>
      </c>
      <c r="W40" s="152">
        <f>IFERROR(__xludf.DUMMYFUNCTION("IFERROR(V40 * (1 + AVERAGE(Filter('Inflation Data'!$C:$C,'Inflation Data'!$A:$A = W$1))) + 'Fund YTD Contributions'!W40,'Fund YTD Contributions'!W40)"),0.0)</f>
        <v>0</v>
      </c>
      <c r="X40" s="152">
        <f>IFERROR(__xludf.DUMMYFUNCTION("IFERROR(W40 * (1 + AVERAGE(Filter('Inflation Data'!$C:$C,'Inflation Data'!$A:$A = X$1))) + 'Fund YTD Contributions'!X40,'Fund YTD Contributions'!X40)"),0.0)</f>
        <v>0</v>
      </c>
      <c r="Y40" s="152">
        <f>IFERROR(__xludf.DUMMYFUNCTION("IFERROR(X40 * (1 + AVERAGE(Filter('Inflation Data'!$C:$C,'Inflation Data'!$A:$A = Y$1))) + 'Fund YTD Contributions'!Y40,'Fund YTD Contributions'!Y40)"),0.0)</f>
        <v>0</v>
      </c>
      <c r="Z40" s="152">
        <f>IFERROR(__xludf.DUMMYFUNCTION("IFERROR(Y40 * (1 + AVERAGE(Filter('Inflation Data'!$C:$C,'Inflation Data'!$A:$A = Z$1))) + 'Fund YTD Contributions'!Z40,'Fund YTD Contributions'!Z40)"),0.0)</f>
        <v>0</v>
      </c>
      <c r="AA40" s="152">
        <f>IFERROR(__xludf.DUMMYFUNCTION("IFERROR(Z40 * (1 + AVERAGE(Filter('Inflation Data'!$C:$C,'Inflation Data'!$A:$A = AA$1))) + 'Fund YTD Contributions'!AA40,'Fund YTD Contributions'!AA40)"),0.0)</f>
        <v>0</v>
      </c>
      <c r="AB40" s="152">
        <f>IFERROR(__xludf.DUMMYFUNCTION("IFERROR(AA40 * (1 + AVERAGE(Filter('Inflation Data'!$C:$C,'Inflation Data'!$A:$A = AB$1))) + 'Fund YTD Contributions'!AB40,'Fund YTD Contributions'!AB40)"),0.0)</f>
        <v>0</v>
      </c>
      <c r="AC40" s="152">
        <f>IFERROR(__xludf.DUMMYFUNCTION("IFERROR(AB40 * (1 + AVERAGE(Filter('Inflation Data'!$C:$C,'Inflation Data'!$A:$A = AC$1))) + 'Fund YTD Contributions'!AC40,'Fund YTD Contributions'!AC40)"),0.0)</f>
        <v>0</v>
      </c>
      <c r="AD40" s="152">
        <f>IFERROR(__xludf.DUMMYFUNCTION("IFERROR(AC40 * (1 + AVERAGE(Filter('Inflation Data'!$C:$C,'Inflation Data'!$A:$A = AD$1))) + 'Fund YTD Contributions'!AD40,'Fund YTD Contributions'!AD40)"),0.0)</f>
        <v>0</v>
      </c>
      <c r="AE40" s="152">
        <f>IFERROR(__xludf.DUMMYFUNCTION("IFERROR(AD40 * (1 + AVERAGE(Filter('Inflation Data'!$C:$C,'Inflation Data'!$A:$A = AE$1))) + 'Fund YTD Contributions'!AE40,'Fund YTD Contributions'!AE40)"),0.0)</f>
        <v>0</v>
      </c>
      <c r="AF40" s="152">
        <f>IFERROR(__xludf.DUMMYFUNCTION("IFERROR(AE40 * (1 + AVERAGE(Filter('Inflation Data'!$C:$C,'Inflation Data'!$A:$A = AF$1))) + 'Fund YTD Contributions'!AF40,'Fund YTD Contributions'!AF40)"),0.0)</f>
        <v>0</v>
      </c>
    </row>
    <row r="41">
      <c r="A41" s="150" t="str">
        <f>'Endowed Funds'!A:A</f>
        <v/>
      </c>
      <c r="B41" s="152">
        <f>IFERROR(__xludf.DUMMYFUNCTION("IFERROR(A41 * (1 + AVERAGE(Filter('Inflation Data'!$C:$C,'Inflation Data'!$A:$A = B$1))) + 'Fund YTD Contributions'!B41,'Fund YTD Contributions'!B41)"),0.0)</f>
        <v>0</v>
      </c>
      <c r="C41" s="152">
        <f>IFERROR(__xludf.DUMMYFUNCTION("IFERROR(B41 * (1 + AVERAGE(Filter('Inflation Data'!$C:$C,'Inflation Data'!$A:$A = C$1))) + 'Fund YTD Contributions'!C41,'Fund YTD Contributions'!C41)"),0.0)</f>
        <v>0</v>
      </c>
      <c r="D41" s="152">
        <f>IFERROR(__xludf.DUMMYFUNCTION("IFERROR(C41 * (1 + AVERAGE(Filter('Inflation Data'!$C:$C,'Inflation Data'!$A:$A = D$1))) + 'Fund YTD Contributions'!D41,'Fund YTD Contributions'!D41)"),0.0)</f>
        <v>0</v>
      </c>
      <c r="E41" s="152">
        <f>IFERROR(__xludf.DUMMYFUNCTION("IFERROR(D41 * (1 + AVERAGE(Filter('Inflation Data'!$C:$C,'Inflation Data'!$A:$A = E$1))) + 'Fund YTD Contributions'!E41,'Fund YTD Contributions'!E41)"),0.0)</f>
        <v>0</v>
      </c>
      <c r="F41" s="152">
        <f>IFERROR(__xludf.DUMMYFUNCTION("IFERROR(E41 * (1 + AVERAGE(Filter('Inflation Data'!$C:$C,'Inflation Data'!$A:$A = F$1))) + 'Fund YTD Contributions'!F41,'Fund YTD Contributions'!F41)"),0.0)</f>
        <v>0</v>
      </c>
      <c r="G41" s="152">
        <f>IFERROR(__xludf.DUMMYFUNCTION("IFERROR(F41 * (1 + AVERAGE(Filter('Inflation Data'!$C:$C,'Inflation Data'!$A:$A = G$1))) + 'Fund YTD Contributions'!G41,'Fund YTD Contributions'!G41)"),0.0)</f>
        <v>0</v>
      </c>
      <c r="H41" s="152">
        <f>IFERROR(__xludf.DUMMYFUNCTION("IFERROR(G41 * (1 + AVERAGE(Filter('Inflation Data'!$C:$C,'Inflation Data'!$A:$A = H$1))) + 'Fund YTD Contributions'!H41,'Fund YTD Contributions'!H41)"),0.0)</f>
        <v>0</v>
      </c>
      <c r="I41" s="152">
        <f>IFERROR(__xludf.DUMMYFUNCTION("IFERROR(H41 * (1 + AVERAGE(Filter('Inflation Data'!$C:$C,'Inflation Data'!$A:$A = I$1))) + 'Fund YTD Contributions'!I41,'Fund YTD Contributions'!I41)"),0.0)</f>
        <v>0</v>
      </c>
      <c r="J41" s="152">
        <f>IFERROR(__xludf.DUMMYFUNCTION("IFERROR(I41 * (1 + AVERAGE(Filter('Inflation Data'!$C:$C,'Inflation Data'!$A:$A = J$1))) + 'Fund YTD Contributions'!J41,'Fund YTD Contributions'!J41)"),0.0)</f>
        <v>0</v>
      </c>
      <c r="K41" s="152">
        <f>IFERROR(__xludf.DUMMYFUNCTION("IFERROR(J41 * (1 + AVERAGE(Filter('Inflation Data'!$C:$C,'Inflation Data'!$A:$A = K$1))) + 'Fund YTD Contributions'!K41,'Fund YTD Contributions'!K41)"),0.0)</f>
        <v>0</v>
      </c>
      <c r="L41" s="152">
        <f>IFERROR(__xludf.DUMMYFUNCTION("IFERROR(K41 * (1 + AVERAGE(Filter('Inflation Data'!$C:$C,'Inflation Data'!$A:$A = L$1))) + 'Fund YTD Contributions'!L41,'Fund YTD Contributions'!L41)"),0.0)</f>
        <v>0</v>
      </c>
      <c r="M41" s="152">
        <f>IFERROR(__xludf.DUMMYFUNCTION("IFERROR(L41 * (1 + AVERAGE(Filter('Inflation Data'!$C:$C,'Inflation Data'!$A:$A = M$1))) + 'Fund YTD Contributions'!M41,'Fund YTD Contributions'!M41)"),0.0)</f>
        <v>0</v>
      </c>
      <c r="N41" s="152">
        <f>IFERROR(__xludf.DUMMYFUNCTION("IFERROR(M41 * (1 + AVERAGE(Filter('Inflation Data'!$C:$C,'Inflation Data'!$A:$A = N$1))) + 'Fund YTD Contributions'!N41,'Fund YTD Contributions'!N41)"),0.0)</f>
        <v>0</v>
      </c>
      <c r="O41" s="152">
        <f>IFERROR(__xludf.DUMMYFUNCTION("IFERROR(N41 * (1 + AVERAGE(Filter('Inflation Data'!$C:$C,'Inflation Data'!$A:$A = O$1))) + 'Fund YTD Contributions'!O41,'Fund YTD Contributions'!O41)"),0.0)</f>
        <v>0</v>
      </c>
      <c r="P41" s="152">
        <f>IFERROR(__xludf.DUMMYFUNCTION("IFERROR(O41 * (1 + AVERAGE(Filter('Inflation Data'!$C:$C,'Inflation Data'!$A:$A = P$1))) + 'Fund YTD Contributions'!P41,'Fund YTD Contributions'!P41)"),0.0)</f>
        <v>0</v>
      </c>
      <c r="Q41" s="152">
        <f>IFERROR(__xludf.DUMMYFUNCTION("IFERROR(P41 * (1 + AVERAGE(Filter('Inflation Data'!$C:$C,'Inflation Data'!$A:$A = Q$1))) + 'Fund YTD Contributions'!Q41,'Fund YTD Contributions'!Q41)"),0.0)</f>
        <v>0</v>
      </c>
      <c r="R41" s="152">
        <f>IFERROR(__xludf.DUMMYFUNCTION("IFERROR(Q41 * (1 + AVERAGE(Filter('Inflation Data'!$C:$C,'Inflation Data'!$A:$A = R$1))) + 'Fund YTD Contributions'!R41,'Fund YTD Contributions'!R41)"),0.0)</f>
        <v>0</v>
      </c>
      <c r="S41" s="152">
        <f>IFERROR(__xludf.DUMMYFUNCTION("IFERROR(R41 * (1 + AVERAGE(Filter('Inflation Data'!$C:$C,'Inflation Data'!$A:$A = S$1))) + 'Fund YTD Contributions'!S41,'Fund YTD Contributions'!S41)"),0.0)</f>
        <v>0</v>
      </c>
      <c r="T41" s="152">
        <f>IFERROR(__xludf.DUMMYFUNCTION("IFERROR(S41 * (1 + AVERAGE(Filter('Inflation Data'!$C:$C,'Inflation Data'!$A:$A = T$1))) + 'Fund YTD Contributions'!T41,'Fund YTD Contributions'!T41)"),0.0)</f>
        <v>0</v>
      </c>
      <c r="U41" s="152">
        <f>IFERROR(__xludf.DUMMYFUNCTION("IFERROR(T41 * (1 + AVERAGE(Filter('Inflation Data'!$C:$C,'Inflation Data'!$A:$A = U$1))) + 'Fund YTD Contributions'!U41,'Fund YTD Contributions'!U41)"),0.0)</f>
        <v>0</v>
      </c>
      <c r="V41" s="152">
        <f>IFERROR(__xludf.DUMMYFUNCTION("IFERROR(U41 * (1 + AVERAGE(Filter('Inflation Data'!$C:$C,'Inflation Data'!$A:$A = V$1))) + 'Fund YTD Contributions'!V41,'Fund YTD Contributions'!V41)"),0.0)</f>
        <v>0</v>
      </c>
      <c r="W41" s="152">
        <f>IFERROR(__xludf.DUMMYFUNCTION("IFERROR(V41 * (1 + AVERAGE(Filter('Inflation Data'!$C:$C,'Inflation Data'!$A:$A = W$1))) + 'Fund YTD Contributions'!W41,'Fund YTD Contributions'!W41)"),0.0)</f>
        <v>0</v>
      </c>
      <c r="X41" s="152">
        <f>IFERROR(__xludf.DUMMYFUNCTION("IFERROR(W41 * (1 + AVERAGE(Filter('Inflation Data'!$C:$C,'Inflation Data'!$A:$A = X$1))) + 'Fund YTD Contributions'!X41,'Fund YTD Contributions'!X41)"),0.0)</f>
        <v>0</v>
      </c>
      <c r="Y41" s="152">
        <f>IFERROR(__xludf.DUMMYFUNCTION("IFERROR(X41 * (1 + AVERAGE(Filter('Inflation Data'!$C:$C,'Inflation Data'!$A:$A = Y$1))) + 'Fund YTD Contributions'!Y41,'Fund YTD Contributions'!Y41)"),0.0)</f>
        <v>0</v>
      </c>
      <c r="Z41" s="152">
        <f>IFERROR(__xludf.DUMMYFUNCTION("IFERROR(Y41 * (1 + AVERAGE(Filter('Inflation Data'!$C:$C,'Inflation Data'!$A:$A = Z$1))) + 'Fund YTD Contributions'!Z41,'Fund YTD Contributions'!Z41)"),0.0)</f>
        <v>0</v>
      </c>
      <c r="AA41" s="152">
        <f>IFERROR(__xludf.DUMMYFUNCTION("IFERROR(Z41 * (1 + AVERAGE(Filter('Inflation Data'!$C:$C,'Inflation Data'!$A:$A = AA$1))) + 'Fund YTD Contributions'!AA41,'Fund YTD Contributions'!AA41)"),0.0)</f>
        <v>0</v>
      </c>
      <c r="AB41" s="152">
        <f>IFERROR(__xludf.DUMMYFUNCTION("IFERROR(AA41 * (1 + AVERAGE(Filter('Inflation Data'!$C:$C,'Inflation Data'!$A:$A = AB$1))) + 'Fund YTD Contributions'!AB41,'Fund YTD Contributions'!AB41)"),0.0)</f>
        <v>0</v>
      </c>
      <c r="AC41" s="152">
        <f>IFERROR(__xludf.DUMMYFUNCTION("IFERROR(AB41 * (1 + AVERAGE(Filter('Inflation Data'!$C:$C,'Inflation Data'!$A:$A = AC$1))) + 'Fund YTD Contributions'!AC41,'Fund YTD Contributions'!AC41)"),0.0)</f>
        <v>0</v>
      </c>
      <c r="AD41" s="152">
        <f>IFERROR(__xludf.DUMMYFUNCTION("IFERROR(AC41 * (1 + AVERAGE(Filter('Inflation Data'!$C:$C,'Inflation Data'!$A:$A = AD$1))) + 'Fund YTD Contributions'!AD41,'Fund YTD Contributions'!AD41)"),0.0)</f>
        <v>0</v>
      </c>
      <c r="AE41" s="152">
        <f>IFERROR(__xludf.DUMMYFUNCTION("IFERROR(AD41 * (1 + AVERAGE(Filter('Inflation Data'!$C:$C,'Inflation Data'!$A:$A = AE$1))) + 'Fund YTD Contributions'!AE41,'Fund YTD Contributions'!AE41)"),0.0)</f>
        <v>0</v>
      </c>
      <c r="AF41" s="152">
        <f>IFERROR(__xludf.DUMMYFUNCTION("IFERROR(AE41 * (1 + AVERAGE(Filter('Inflation Data'!$C:$C,'Inflation Data'!$A:$A = AF$1))) + 'Fund YTD Contributions'!AF41,'Fund YTD Contributions'!AF41)"),0.0)</f>
        <v>0</v>
      </c>
    </row>
    <row r="42">
      <c r="A42" s="150" t="str">
        <f>'Endowed Funds'!A:A</f>
        <v/>
      </c>
      <c r="B42" s="152">
        <f>IFERROR(__xludf.DUMMYFUNCTION("IFERROR(A42 * (1 + AVERAGE(Filter('Inflation Data'!$C:$C,'Inflation Data'!$A:$A = B$1))) + 'Fund YTD Contributions'!B42,'Fund YTD Contributions'!B42)"),0.0)</f>
        <v>0</v>
      </c>
      <c r="C42" s="152">
        <f>IFERROR(__xludf.DUMMYFUNCTION("IFERROR(B42 * (1 + AVERAGE(Filter('Inflation Data'!$C:$C,'Inflation Data'!$A:$A = C$1))) + 'Fund YTD Contributions'!C42,'Fund YTD Contributions'!C42)"),0.0)</f>
        <v>0</v>
      </c>
      <c r="D42" s="152">
        <f>IFERROR(__xludf.DUMMYFUNCTION("IFERROR(C42 * (1 + AVERAGE(Filter('Inflation Data'!$C:$C,'Inflation Data'!$A:$A = D$1))) + 'Fund YTD Contributions'!D42,'Fund YTD Contributions'!D42)"),0.0)</f>
        <v>0</v>
      </c>
      <c r="E42" s="152">
        <f>IFERROR(__xludf.DUMMYFUNCTION("IFERROR(D42 * (1 + AVERAGE(Filter('Inflation Data'!$C:$C,'Inflation Data'!$A:$A = E$1))) + 'Fund YTD Contributions'!E42,'Fund YTD Contributions'!E42)"),0.0)</f>
        <v>0</v>
      </c>
      <c r="F42" s="152">
        <f>IFERROR(__xludf.DUMMYFUNCTION("IFERROR(E42 * (1 + AVERAGE(Filter('Inflation Data'!$C:$C,'Inflation Data'!$A:$A = F$1))) + 'Fund YTD Contributions'!F42,'Fund YTD Contributions'!F42)"),0.0)</f>
        <v>0</v>
      </c>
      <c r="G42" s="152">
        <f>IFERROR(__xludf.DUMMYFUNCTION("IFERROR(F42 * (1 + AVERAGE(Filter('Inflation Data'!$C:$C,'Inflation Data'!$A:$A = G$1))) + 'Fund YTD Contributions'!G42,'Fund YTD Contributions'!G42)"),0.0)</f>
        <v>0</v>
      </c>
      <c r="H42" s="152">
        <f>IFERROR(__xludf.DUMMYFUNCTION("IFERROR(G42 * (1 + AVERAGE(Filter('Inflation Data'!$C:$C,'Inflation Data'!$A:$A = H$1))) + 'Fund YTD Contributions'!H42,'Fund YTD Contributions'!H42)"),0.0)</f>
        <v>0</v>
      </c>
      <c r="I42" s="152">
        <f>IFERROR(__xludf.DUMMYFUNCTION("IFERROR(H42 * (1 + AVERAGE(Filter('Inflation Data'!$C:$C,'Inflation Data'!$A:$A = I$1))) + 'Fund YTD Contributions'!I42,'Fund YTD Contributions'!I42)"),0.0)</f>
        <v>0</v>
      </c>
      <c r="J42" s="152">
        <f>IFERROR(__xludf.DUMMYFUNCTION("IFERROR(I42 * (1 + AVERAGE(Filter('Inflation Data'!$C:$C,'Inflation Data'!$A:$A = J$1))) + 'Fund YTD Contributions'!J42,'Fund YTD Contributions'!J42)"),0.0)</f>
        <v>0</v>
      </c>
      <c r="K42" s="152">
        <f>IFERROR(__xludf.DUMMYFUNCTION("IFERROR(J42 * (1 + AVERAGE(Filter('Inflation Data'!$C:$C,'Inflation Data'!$A:$A = K$1))) + 'Fund YTD Contributions'!K42,'Fund YTD Contributions'!K42)"),0.0)</f>
        <v>0</v>
      </c>
      <c r="L42" s="152">
        <f>IFERROR(__xludf.DUMMYFUNCTION("IFERROR(K42 * (1 + AVERAGE(Filter('Inflation Data'!$C:$C,'Inflation Data'!$A:$A = L$1))) + 'Fund YTD Contributions'!L42,'Fund YTD Contributions'!L42)"),0.0)</f>
        <v>0</v>
      </c>
      <c r="M42" s="152">
        <f>IFERROR(__xludf.DUMMYFUNCTION("IFERROR(L42 * (1 + AVERAGE(Filter('Inflation Data'!$C:$C,'Inflation Data'!$A:$A = M$1))) + 'Fund YTD Contributions'!M42,'Fund YTD Contributions'!M42)"),0.0)</f>
        <v>0</v>
      </c>
      <c r="N42" s="152">
        <f>IFERROR(__xludf.DUMMYFUNCTION("IFERROR(M42 * (1 + AVERAGE(Filter('Inflation Data'!$C:$C,'Inflation Data'!$A:$A = N$1))) + 'Fund YTD Contributions'!N42,'Fund YTD Contributions'!N42)"),0.0)</f>
        <v>0</v>
      </c>
      <c r="O42" s="152">
        <f>IFERROR(__xludf.DUMMYFUNCTION("IFERROR(N42 * (1 + AVERAGE(Filter('Inflation Data'!$C:$C,'Inflation Data'!$A:$A = O$1))) + 'Fund YTD Contributions'!O42,'Fund YTD Contributions'!O42)"),0.0)</f>
        <v>0</v>
      </c>
      <c r="P42" s="152">
        <f>IFERROR(__xludf.DUMMYFUNCTION("IFERROR(O42 * (1 + AVERAGE(Filter('Inflation Data'!$C:$C,'Inflation Data'!$A:$A = P$1))) + 'Fund YTD Contributions'!P42,'Fund YTD Contributions'!P42)"),0.0)</f>
        <v>0</v>
      </c>
      <c r="Q42" s="152">
        <f>IFERROR(__xludf.DUMMYFUNCTION("IFERROR(P42 * (1 + AVERAGE(Filter('Inflation Data'!$C:$C,'Inflation Data'!$A:$A = Q$1))) + 'Fund YTD Contributions'!Q42,'Fund YTD Contributions'!Q42)"),0.0)</f>
        <v>0</v>
      </c>
      <c r="R42" s="152">
        <f>IFERROR(__xludf.DUMMYFUNCTION("IFERROR(Q42 * (1 + AVERAGE(Filter('Inflation Data'!$C:$C,'Inflation Data'!$A:$A = R$1))) + 'Fund YTD Contributions'!R42,'Fund YTD Contributions'!R42)"),0.0)</f>
        <v>0</v>
      </c>
      <c r="S42" s="152">
        <f>IFERROR(__xludf.DUMMYFUNCTION("IFERROR(R42 * (1 + AVERAGE(Filter('Inflation Data'!$C:$C,'Inflation Data'!$A:$A = S$1))) + 'Fund YTD Contributions'!S42,'Fund YTD Contributions'!S42)"),0.0)</f>
        <v>0</v>
      </c>
      <c r="T42" s="152">
        <f>IFERROR(__xludf.DUMMYFUNCTION("IFERROR(S42 * (1 + AVERAGE(Filter('Inflation Data'!$C:$C,'Inflation Data'!$A:$A = T$1))) + 'Fund YTD Contributions'!T42,'Fund YTD Contributions'!T42)"),0.0)</f>
        <v>0</v>
      </c>
      <c r="U42" s="152">
        <f>IFERROR(__xludf.DUMMYFUNCTION("IFERROR(T42 * (1 + AVERAGE(Filter('Inflation Data'!$C:$C,'Inflation Data'!$A:$A = U$1))) + 'Fund YTD Contributions'!U42,'Fund YTD Contributions'!U42)"),0.0)</f>
        <v>0</v>
      </c>
      <c r="V42" s="152">
        <f>IFERROR(__xludf.DUMMYFUNCTION("IFERROR(U42 * (1 + AVERAGE(Filter('Inflation Data'!$C:$C,'Inflation Data'!$A:$A = V$1))) + 'Fund YTD Contributions'!V42,'Fund YTD Contributions'!V42)"),0.0)</f>
        <v>0</v>
      </c>
      <c r="W42" s="152">
        <f>IFERROR(__xludf.DUMMYFUNCTION("IFERROR(V42 * (1 + AVERAGE(Filter('Inflation Data'!$C:$C,'Inflation Data'!$A:$A = W$1))) + 'Fund YTD Contributions'!W42,'Fund YTD Contributions'!W42)"),0.0)</f>
        <v>0</v>
      </c>
      <c r="X42" s="152">
        <f>IFERROR(__xludf.DUMMYFUNCTION("IFERROR(W42 * (1 + AVERAGE(Filter('Inflation Data'!$C:$C,'Inflation Data'!$A:$A = X$1))) + 'Fund YTD Contributions'!X42,'Fund YTD Contributions'!X42)"),0.0)</f>
        <v>0</v>
      </c>
      <c r="Y42" s="152">
        <f>IFERROR(__xludf.DUMMYFUNCTION("IFERROR(X42 * (1 + AVERAGE(Filter('Inflation Data'!$C:$C,'Inflation Data'!$A:$A = Y$1))) + 'Fund YTD Contributions'!Y42,'Fund YTD Contributions'!Y42)"),0.0)</f>
        <v>0</v>
      </c>
      <c r="Z42" s="152">
        <f>IFERROR(__xludf.DUMMYFUNCTION("IFERROR(Y42 * (1 + AVERAGE(Filter('Inflation Data'!$C:$C,'Inflation Data'!$A:$A = Z$1))) + 'Fund YTD Contributions'!Z42,'Fund YTD Contributions'!Z42)"),0.0)</f>
        <v>0</v>
      </c>
      <c r="AA42" s="152">
        <f>IFERROR(__xludf.DUMMYFUNCTION("IFERROR(Z42 * (1 + AVERAGE(Filter('Inflation Data'!$C:$C,'Inflation Data'!$A:$A = AA$1))) + 'Fund YTD Contributions'!AA42,'Fund YTD Contributions'!AA42)"),0.0)</f>
        <v>0</v>
      </c>
      <c r="AB42" s="152">
        <f>IFERROR(__xludf.DUMMYFUNCTION("IFERROR(AA42 * (1 + AVERAGE(Filter('Inflation Data'!$C:$C,'Inflation Data'!$A:$A = AB$1))) + 'Fund YTD Contributions'!AB42,'Fund YTD Contributions'!AB42)"),0.0)</f>
        <v>0</v>
      </c>
      <c r="AC42" s="152">
        <f>IFERROR(__xludf.DUMMYFUNCTION("IFERROR(AB42 * (1 + AVERAGE(Filter('Inflation Data'!$C:$C,'Inflation Data'!$A:$A = AC$1))) + 'Fund YTD Contributions'!AC42,'Fund YTD Contributions'!AC42)"),0.0)</f>
        <v>0</v>
      </c>
      <c r="AD42" s="152">
        <f>IFERROR(__xludf.DUMMYFUNCTION("IFERROR(AC42 * (1 + AVERAGE(Filter('Inflation Data'!$C:$C,'Inflation Data'!$A:$A = AD$1))) + 'Fund YTD Contributions'!AD42,'Fund YTD Contributions'!AD42)"),0.0)</f>
        <v>0</v>
      </c>
      <c r="AE42" s="152">
        <f>IFERROR(__xludf.DUMMYFUNCTION("IFERROR(AD42 * (1 + AVERAGE(Filter('Inflation Data'!$C:$C,'Inflation Data'!$A:$A = AE$1))) + 'Fund YTD Contributions'!AE42,'Fund YTD Contributions'!AE42)"),0.0)</f>
        <v>0</v>
      </c>
      <c r="AF42" s="152">
        <f>IFERROR(__xludf.DUMMYFUNCTION("IFERROR(AE42 * (1 + AVERAGE(Filter('Inflation Data'!$C:$C,'Inflation Data'!$A:$A = AF$1))) + 'Fund YTD Contributions'!AF42,'Fund YTD Contributions'!AF42)"),0.0)</f>
        <v>0</v>
      </c>
    </row>
    <row r="43">
      <c r="A43" s="150" t="str">
        <f>'Endowed Funds'!A:A</f>
        <v/>
      </c>
      <c r="B43" s="152">
        <f>IFERROR(__xludf.DUMMYFUNCTION("IFERROR(A43 * (1 + AVERAGE(Filter('Inflation Data'!$C:$C,'Inflation Data'!$A:$A = B$1))) + 'Fund YTD Contributions'!B43,'Fund YTD Contributions'!B43)"),0.0)</f>
        <v>0</v>
      </c>
      <c r="C43" s="152">
        <f>IFERROR(__xludf.DUMMYFUNCTION("IFERROR(B43 * (1 + AVERAGE(Filter('Inflation Data'!$C:$C,'Inflation Data'!$A:$A = C$1))) + 'Fund YTD Contributions'!C43,'Fund YTD Contributions'!C43)"),0.0)</f>
        <v>0</v>
      </c>
      <c r="D43" s="152">
        <f>IFERROR(__xludf.DUMMYFUNCTION("IFERROR(C43 * (1 + AVERAGE(Filter('Inflation Data'!$C:$C,'Inflation Data'!$A:$A = D$1))) + 'Fund YTD Contributions'!D43,'Fund YTD Contributions'!D43)"),0.0)</f>
        <v>0</v>
      </c>
      <c r="E43" s="152">
        <f>IFERROR(__xludf.DUMMYFUNCTION("IFERROR(D43 * (1 + AVERAGE(Filter('Inflation Data'!$C:$C,'Inflation Data'!$A:$A = E$1))) + 'Fund YTD Contributions'!E43,'Fund YTD Contributions'!E43)"),0.0)</f>
        <v>0</v>
      </c>
      <c r="F43" s="152">
        <f>IFERROR(__xludf.DUMMYFUNCTION("IFERROR(E43 * (1 + AVERAGE(Filter('Inflation Data'!$C:$C,'Inflation Data'!$A:$A = F$1))) + 'Fund YTD Contributions'!F43,'Fund YTD Contributions'!F43)"),0.0)</f>
        <v>0</v>
      </c>
      <c r="G43" s="152">
        <f>IFERROR(__xludf.DUMMYFUNCTION("IFERROR(F43 * (1 + AVERAGE(Filter('Inflation Data'!$C:$C,'Inflation Data'!$A:$A = G$1))) + 'Fund YTD Contributions'!G43,'Fund YTD Contributions'!G43)"),0.0)</f>
        <v>0</v>
      </c>
      <c r="H43" s="152">
        <f>IFERROR(__xludf.DUMMYFUNCTION("IFERROR(G43 * (1 + AVERAGE(Filter('Inflation Data'!$C:$C,'Inflation Data'!$A:$A = H$1))) + 'Fund YTD Contributions'!H43,'Fund YTD Contributions'!H43)"),0.0)</f>
        <v>0</v>
      </c>
      <c r="I43" s="152">
        <f>IFERROR(__xludf.DUMMYFUNCTION("IFERROR(H43 * (1 + AVERAGE(Filter('Inflation Data'!$C:$C,'Inflation Data'!$A:$A = I$1))) + 'Fund YTD Contributions'!I43,'Fund YTD Contributions'!I43)"),0.0)</f>
        <v>0</v>
      </c>
      <c r="J43" s="152">
        <f>IFERROR(__xludf.DUMMYFUNCTION("IFERROR(I43 * (1 + AVERAGE(Filter('Inflation Data'!$C:$C,'Inflation Data'!$A:$A = J$1))) + 'Fund YTD Contributions'!J43,'Fund YTD Contributions'!J43)"),0.0)</f>
        <v>0</v>
      </c>
      <c r="K43" s="152">
        <f>IFERROR(__xludf.DUMMYFUNCTION("IFERROR(J43 * (1 + AVERAGE(Filter('Inflation Data'!$C:$C,'Inflation Data'!$A:$A = K$1))) + 'Fund YTD Contributions'!K43,'Fund YTD Contributions'!K43)"),0.0)</f>
        <v>0</v>
      </c>
      <c r="L43" s="152">
        <f>IFERROR(__xludf.DUMMYFUNCTION("IFERROR(K43 * (1 + AVERAGE(Filter('Inflation Data'!$C:$C,'Inflation Data'!$A:$A = L$1))) + 'Fund YTD Contributions'!L43,'Fund YTD Contributions'!L43)"),0.0)</f>
        <v>0</v>
      </c>
      <c r="M43" s="152">
        <f>IFERROR(__xludf.DUMMYFUNCTION("IFERROR(L43 * (1 + AVERAGE(Filter('Inflation Data'!$C:$C,'Inflation Data'!$A:$A = M$1))) + 'Fund YTD Contributions'!M43,'Fund YTD Contributions'!M43)"),0.0)</f>
        <v>0</v>
      </c>
      <c r="N43" s="152">
        <f>IFERROR(__xludf.DUMMYFUNCTION("IFERROR(M43 * (1 + AVERAGE(Filter('Inflation Data'!$C:$C,'Inflation Data'!$A:$A = N$1))) + 'Fund YTD Contributions'!N43,'Fund YTD Contributions'!N43)"),0.0)</f>
        <v>0</v>
      </c>
      <c r="O43" s="152">
        <f>IFERROR(__xludf.DUMMYFUNCTION("IFERROR(N43 * (1 + AVERAGE(Filter('Inflation Data'!$C:$C,'Inflation Data'!$A:$A = O$1))) + 'Fund YTD Contributions'!O43,'Fund YTD Contributions'!O43)"),0.0)</f>
        <v>0</v>
      </c>
      <c r="P43" s="152">
        <f>IFERROR(__xludf.DUMMYFUNCTION("IFERROR(O43 * (1 + AVERAGE(Filter('Inflation Data'!$C:$C,'Inflation Data'!$A:$A = P$1))) + 'Fund YTD Contributions'!P43,'Fund YTD Contributions'!P43)"),0.0)</f>
        <v>0</v>
      </c>
      <c r="Q43" s="152">
        <f>IFERROR(__xludf.DUMMYFUNCTION("IFERROR(P43 * (1 + AVERAGE(Filter('Inflation Data'!$C:$C,'Inflation Data'!$A:$A = Q$1))) + 'Fund YTD Contributions'!Q43,'Fund YTD Contributions'!Q43)"),0.0)</f>
        <v>0</v>
      </c>
      <c r="R43" s="152">
        <f>IFERROR(__xludf.DUMMYFUNCTION("IFERROR(Q43 * (1 + AVERAGE(Filter('Inflation Data'!$C:$C,'Inflation Data'!$A:$A = R$1))) + 'Fund YTD Contributions'!R43,'Fund YTD Contributions'!R43)"),0.0)</f>
        <v>0</v>
      </c>
      <c r="S43" s="152">
        <f>IFERROR(__xludf.DUMMYFUNCTION("IFERROR(R43 * (1 + AVERAGE(Filter('Inflation Data'!$C:$C,'Inflation Data'!$A:$A = S$1))) + 'Fund YTD Contributions'!S43,'Fund YTD Contributions'!S43)"),0.0)</f>
        <v>0</v>
      </c>
      <c r="T43" s="152">
        <f>IFERROR(__xludf.DUMMYFUNCTION("IFERROR(S43 * (1 + AVERAGE(Filter('Inflation Data'!$C:$C,'Inflation Data'!$A:$A = T$1))) + 'Fund YTD Contributions'!T43,'Fund YTD Contributions'!T43)"),0.0)</f>
        <v>0</v>
      </c>
      <c r="U43" s="152">
        <f>IFERROR(__xludf.DUMMYFUNCTION("IFERROR(T43 * (1 + AVERAGE(Filter('Inflation Data'!$C:$C,'Inflation Data'!$A:$A = U$1))) + 'Fund YTD Contributions'!U43,'Fund YTD Contributions'!U43)"),0.0)</f>
        <v>0</v>
      </c>
      <c r="V43" s="152">
        <f>IFERROR(__xludf.DUMMYFUNCTION("IFERROR(U43 * (1 + AVERAGE(Filter('Inflation Data'!$C:$C,'Inflation Data'!$A:$A = V$1))) + 'Fund YTD Contributions'!V43,'Fund YTD Contributions'!V43)"),0.0)</f>
        <v>0</v>
      </c>
      <c r="W43" s="152">
        <f>IFERROR(__xludf.DUMMYFUNCTION("IFERROR(V43 * (1 + AVERAGE(Filter('Inflation Data'!$C:$C,'Inflation Data'!$A:$A = W$1))) + 'Fund YTD Contributions'!W43,'Fund YTD Contributions'!W43)"),0.0)</f>
        <v>0</v>
      </c>
      <c r="X43" s="152">
        <f>IFERROR(__xludf.DUMMYFUNCTION("IFERROR(W43 * (1 + AVERAGE(Filter('Inflation Data'!$C:$C,'Inflation Data'!$A:$A = X$1))) + 'Fund YTD Contributions'!X43,'Fund YTD Contributions'!X43)"),0.0)</f>
        <v>0</v>
      </c>
      <c r="Y43" s="152">
        <f>IFERROR(__xludf.DUMMYFUNCTION("IFERROR(X43 * (1 + AVERAGE(Filter('Inflation Data'!$C:$C,'Inflation Data'!$A:$A = Y$1))) + 'Fund YTD Contributions'!Y43,'Fund YTD Contributions'!Y43)"),0.0)</f>
        <v>0</v>
      </c>
      <c r="Z43" s="152">
        <f>IFERROR(__xludf.DUMMYFUNCTION("IFERROR(Y43 * (1 + AVERAGE(Filter('Inflation Data'!$C:$C,'Inflation Data'!$A:$A = Z$1))) + 'Fund YTD Contributions'!Z43,'Fund YTD Contributions'!Z43)"),0.0)</f>
        <v>0</v>
      </c>
      <c r="AA43" s="152">
        <f>IFERROR(__xludf.DUMMYFUNCTION("IFERROR(Z43 * (1 + AVERAGE(Filter('Inflation Data'!$C:$C,'Inflation Data'!$A:$A = AA$1))) + 'Fund YTD Contributions'!AA43,'Fund YTD Contributions'!AA43)"),0.0)</f>
        <v>0</v>
      </c>
      <c r="AB43" s="152">
        <f>IFERROR(__xludf.DUMMYFUNCTION("IFERROR(AA43 * (1 + AVERAGE(Filter('Inflation Data'!$C:$C,'Inflation Data'!$A:$A = AB$1))) + 'Fund YTD Contributions'!AB43,'Fund YTD Contributions'!AB43)"),0.0)</f>
        <v>0</v>
      </c>
      <c r="AC43" s="152">
        <f>IFERROR(__xludf.DUMMYFUNCTION("IFERROR(AB43 * (1 + AVERAGE(Filter('Inflation Data'!$C:$C,'Inflation Data'!$A:$A = AC$1))) + 'Fund YTD Contributions'!AC43,'Fund YTD Contributions'!AC43)"),0.0)</f>
        <v>0</v>
      </c>
      <c r="AD43" s="152">
        <f>IFERROR(__xludf.DUMMYFUNCTION("IFERROR(AC43 * (1 + AVERAGE(Filter('Inflation Data'!$C:$C,'Inflation Data'!$A:$A = AD$1))) + 'Fund YTD Contributions'!AD43,'Fund YTD Contributions'!AD43)"),0.0)</f>
        <v>0</v>
      </c>
      <c r="AE43" s="152">
        <f>IFERROR(__xludf.DUMMYFUNCTION("IFERROR(AD43 * (1 + AVERAGE(Filter('Inflation Data'!$C:$C,'Inflation Data'!$A:$A = AE$1))) + 'Fund YTD Contributions'!AE43,'Fund YTD Contributions'!AE43)"),0.0)</f>
        <v>0</v>
      </c>
      <c r="AF43" s="152">
        <f>IFERROR(__xludf.DUMMYFUNCTION("IFERROR(AE43 * (1 + AVERAGE(Filter('Inflation Data'!$C:$C,'Inflation Data'!$A:$A = AF$1))) + 'Fund YTD Contributions'!AF43,'Fund YTD Contributions'!AF43)"),0.0)</f>
        <v>0</v>
      </c>
    </row>
    <row r="44">
      <c r="A44" s="150" t="str">
        <f>'Endowed Funds'!A:A</f>
        <v/>
      </c>
      <c r="B44" s="152">
        <f>IFERROR(__xludf.DUMMYFUNCTION("IFERROR(A44 * (1 + AVERAGE(Filter('Inflation Data'!$C:$C,'Inflation Data'!$A:$A = B$1))) + 'Fund YTD Contributions'!B44,'Fund YTD Contributions'!B44)"),0.0)</f>
        <v>0</v>
      </c>
      <c r="C44" s="152">
        <f>IFERROR(__xludf.DUMMYFUNCTION("IFERROR(B44 * (1 + AVERAGE(Filter('Inflation Data'!$C:$C,'Inflation Data'!$A:$A = C$1))) + 'Fund YTD Contributions'!C44,'Fund YTD Contributions'!C44)"),0.0)</f>
        <v>0</v>
      </c>
      <c r="D44" s="152">
        <f>IFERROR(__xludf.DUMMYFUNCTION("IFERROR(C44 * (1 + AVERAGE(Filter('Inflation Data'!$C:$C,'Inflation Data'!$A:$A = D$1))) + 'Fund YTD Contributions'!D44,'Fund YTD Contributions'!D44)"),0.0)</f>
        <v>0</v>
      </c>
      <c r="E44" s="152">
        <f>IFERROR(__xludf.DUMMYFUNCTION("IFERROR(D44 * (1 + AVERAGE(Filter('Inflation Data'!$C:$C,'Inflation Data'!$A:$A = E$1))) + 'Fund YTD Contributions'!E44,'Fund YTD Contributions'!E44)"),0.0)</f>
        <v>0</v>
      </c>
      <c r="F44" s="152">
        <f>IFERROR(__xludf.DUMMYFUNCTION("IFERROR(E44 * (1 + AVERAGE(Filter('Inflation Data'!$C:$C,'Inflation Data'!$A:$A = F$1))) + 'Fund YTD Contributions'!F44,'Fund YTD Contributions'!F44)"),0.0)</f>
        <v>0</v>
      </c>
      <c r="G44" s="152">
        <f>IFERROR(__xludf.DUMMYFUNCTION("IFERROR(F44 * (1 + AVERAGE(Filter('Inflation Data'!$C:$C,'Inflation Data'!$A:$A = G$1))) + 'Fund YTD Contributions'!G44,'Fund YTD Contributions'!G44)"),0.0)</f>
        <v>0</v>
      </c>
      <c r="H44" s="152">
        <f>IFERROR(__xludf.DUMMYFUNCTION("IFERROR(G44 * (1 + AVERAGE(Filter('Inflation Data'!$C:$C,'Inflation Data'!$A:$A = H$1))) + 'Fund YTD Contributions'!H44,'Fund YTD Contributions'!H44)"),0.0)</f>
        <v>0</v>
      </c>
      <c r="I44" s="152">
        <f>IFERROR(__xludf.DUMMYFUNCTION("IFERROR(H44 * (1 + AVERAGE(Filter('Inflation Data'!$C:$C,'Inflation Data'!$A:$A = I$1))) + 'Fund YTD Contributions'!I44,'Fund YTD Contributions'!I44)"),0.0)</f>
        <v>0</v>
      </c>
      <c r="J44" s="152">
        <f>IFERROR(__xludf.DUMMYFUNCTION("IFERROR(I44 * (1 + AVERAGE(Filter('Inflation Data'!$C:$C,'Inflation Data'!$A:$A = J$1))) + 'Fund YTD Contributions'!J44,'Fund YTD Contributions'!J44)"),0.0)</f>
        <v>0</v>
      </c>
      <c r="K44" s="152">
        <f>IFERROR(__xludf.DUMMYFUNCTION("IFERROR(J44 * (1 + AVERAGE(Filter('Inflation Data'!$C:$C,'Inflation Data'!$A:$A = K$1))) + 'Fund YTD Contributions'!K44,'Fund YTD Contributions'!K44)"),0.0)</f>
        <v>0</v>
      </c>
      <c r="L44" s="152">
        <f>IFERROR(__xludf.DUMMYFUNCTION("IFERROR(K44 * (1 + AVERAGE(Filter('Inflation Data'!$C:$C,'Inflation Data'!$A:$A = L$1))) + 'Fund YTD Contributions'!L44,'Fund YTD Contributions'!L44)"),0.0)</f>
        <v>0</v>
      </c>
      <c r="M44" s="152">
        <f>IFERROR(__xludf.DUMMYFUNCTION("IFERROR(L44 * (1 + AVERAGE(Filter('Inflation Data'!$C:$C,'Inflation Data'!$A:$A = M$1))) + 'Fund YTD Contributions'!M44,'Fund YTD Contributions'!M44)"),0.0)</f>
        <v>0</v>
      </c>
      <c r="N44" s="152">
        <f>IFERROR(__xludf.DUMMYFUNCTION("IFERROR(M44 * (1 + AVERAGE(Filter('Inflation Data'!$C:$C,'Inflation Data'!$A:$A = N$1))) + 'Fund YTD Contributions'!N44,'Fund YTD Contributions'!N44)"),0.0)</f>
        <v>0</v>
      </c>
      <c r="O44" s="152">
        <f>IFERROR(__xludf.DUMMYFUNCTION("IFERROR(N44 * (1 + AVERAGE(Filter('Inflation Data'!$C:$C,'Inflation Data'!$A:$A = O$1))) + 'Fund YTD Contributions'!O44,'Fund YTD Contributions'!O44)"),0.0)</f>
        <v>0</v>
      </c>
      <c r="P44" s="152">
        <f>IFERROR(__xludf.DUMMYFUNCTION("IFERROR(O44 * (1 + AVERAGE(Filter('Inflation Data'!$C:$C,'Inflation Data'!$A:$A = P$1))) + 'Fund YTD Contributions'!P44,'Fund YTD Contributions'!P44)"),0.0)</f>
        <v>0</v>
      </c>
      <c r="Q44" s="152">
        <f>IFERROR(__xludf.DUMMYFUNCTION("IFERROR(P44 * (1 + AVERAGE(Filter('Inflation Data'!$C:$C,'Inflation Data'!$A:$A = Q$1))) + 'Fund YTD Contributions'!Q44,'Fund YTD Contributions'!Q44)"),0.0)</f>
        <v>0</v>
      </c>
      <c r="R44" s="152">
        <f>IFERROR(__xludf.DUMMYFUNCTION("IFERROR(Q44 * (1 + AVERAGE(Filter('Inflation Data'!$C:$C,'Inflation Data'!$A:$A = R$1))) + 'Fund YTD Contributions'!R44,'Fund YTD Contributions'!R44)"),0.0)</f>
        <v>0</v>
      </c>
      <c r="S44" s="152">
        <f>IFERROR(__xludf.DUMMYFUNCTION("IFERROR(R44 * (1 + AVERAGE(Filter('Inflation Data'!$C:$C,'Inflation Data'!$A:$A = S$1))) + 'Fund YTD Contributions'!S44,'Fund YTD Contributions'!S44)"),0.0)</f>
        <v>0</v>
      </c>
      <c r="T44" s="152">
        <f>IFERROR(__xludf.DUMMYFUNCTION("IFERROR(S44 * (1 + AVERAGE(Filter('Inflation Data'!$C:$C,'Inflation Data'!$A:$A = T$1))) + 'Fund YTD Contributions'!T44,'Fund YTD Contributions'!T44)"),0.0)</f>
        <v>0</v>
      </c>
      <c r="U44" s="152">
        <f>IFERROR(__xludf.DUMMYFUNCTION("IFERROR(T44 * (1 + AVERAGE(Filter('Inflation Data'!$C:$C,'Inflation Data'!$A:$A = U$1))) + 'Fund YTD Contributions'!U44,'Fund YTD Contributions'!U44)"),0.0)</f>
        <v>0</v>
      </c>
      <c r="V44" s="152">
        <f>IFERROR(__xludf.DUMMYFUNCTION("IFERROR(U44 * (1 + AVERAGE(Filter('Inflation Data'!$C:$C,'Inflation Data'!$A:$A = V$1))) + 'Fund YTD Contributions'!V44,'Fund YTD Contributions'!V44)"),0.0)</f>
        <v>0</v>
      </c>
      <c r="W44" s="152">
        <f>IFERROR(__xludf.DUMMYFUNCTION("IFERROR(V44 * (1 + AVERAGE(Filter('Inflation Data'!$C:$C,'Inflation Data'!$A:$A = W$1))) + 'Fund YTD Contributions'!W44,'Fund YTD Contributions'!W44)"),0.0)</f>
        <v>0</v>
      </c>
      <c r="X44" s="152">
        <f>IFERROR(__xludf.DUMMYFUNCTION("IFERROR(W44 * (1 + AVERAGE(Filter('Inflation Data'!$C:$C,'Inflation Data'!$A:$A = X$1))) + 'Fund YTD Contributions'!X44,'Fund YTD Contributions'!X44)"),0.0)</f>
        <v>0</v>
      </c>
      <c r="Y44" s="152">
        <f>IFERROR(__xludf.DUMMYFUNCTION("IFERROR(X44 * (1 + AVERAGE(Filter('Inflation Data'!$C:$C,'Inflation Data'!$A:$A = Y$1))) + 'Fund YTD Contributions'!Y44,'Fund YTD Contributions'!Y44)"),0.0)</f>
        <v>0</v>
      </c>
      <c r="Z44" s="152">
        <f>IFERROR(__xludf.DUMMYFUNCTION("IFERROR(Y44 * (1 + AVERAGE(Filter('Inflation Data'!$C:$C,'Inflation Data'!$A:$A = Z$1))) + 'Fund YTD Contributions'!Z44,'Fund YTD Contributions'!Z44)"),0.0)</f>
        <v>0</v>
      </c>
      <c r="AA44" s="152">
        <f>IFERROR(__xludf.DUMMYFUNCTION("IFERROR(Z44 * (1 + AVERAGE(Filter('Inflation Data'!$C:$C,'Inflation Data'!$A:$A = AA$1))) + 'Fund YTD Contributions'!AA44,'Fund YTD Contributions'!AA44)"),0.0)</f>
        <v>0</v>
      </c>
      <c r="AB44" s="152">
        <f>IFERROR(__xludf.DUMMYFUNCTION("IFERROR(AA44 * (1 + AVERAGE(Filter('Inflation Data'!$C:$C,'Inflation Data'!$A:$A = AB$1))) + 'Fund YTD Contributions'!AB44,'Fund YTD Contributions'!AB44)"),0.0)</f>
        <v>0</v>
      </c>
      <c r="AC44" s="152">
        <f>IFERROR(__xludf.DUMMYFUNCTION("IFERROR(AB44 * (1 + AVERAGE(Filter('Inflation Data'!$C:$C,'Inflation Data'!$A:$A = AC$1))) + 'Fund YTD Contributions'!AC44,'Fund YTD Contributions'!AC44)"),0.0)</f>
        <v>0</v>
      </c>
      <c r="AD44" s="152">
        <f>IFERROR(__xludf.DUMMYFUNCTION("IFERROR(AC44 * (1 + AVERAGE(Filter('Inflation Data'!$C:$C,'Inflation Data'!$A:$A = AD$1))) + 'Fund YTD Contributions'!AD44,'Fund YTD Contributions'!AD44)"),0.0)</f>
        <v>0</v>
      </c>
      <c r="AE44" s="152">
        <f>IFERROR(__xludf.DUMMYFUNCTION("IFERROR(AD44 * (1 + AVERAGE(Filter('Inflation Data'!$C:$C,'Inflation Data'!$A:$A = AE$1))) + 'Fund YTD Contributions'!AE44,'Fund YTD Contributions'!AE44)"),0.0)</f>
        <v>0</v>
      </c>
      <c r="AF44" s="152">
        <f>IFERROR(__xludf.DUMMYFUNCTION("IFERROR(AE44 * (1 + AVERAGE(Filter('Inflation Data'!$C:$C,'Inflation Data'!$A:$A = AF$1))) + 'Fund YTD Contributions'!AF44,'Fund YTD Contributions'!AF44)"),0.0)</f>
        <v>0</v>
      </c>
    </row>
    <row r="45">
      <c r="A45" s="150" t="str">
        <f>'Endowed Funds'!A:A</f>
        <v/>
      </c>
      <c r="B45" s="152">
        <f>IFERROR(__xludf.DUMMYFUNCTION("IFERROR(A45 * (1 + AVERAGE(Filter('Inflation Data'!$C:$C,'Inflation Data'!$A:$A = B$1))) + 'Fund YTD Contributions'!B45,'Fund YTD Contributions'!B45)"),0.0)</f>
        <v>0</v>
      </c>
      <c r="C45" s="152">
        <f>IFERROR(__xludf.DUMMYFUNCTION("IFERROR(B45 * (1 + AVERAGE(Filter('Inflation Data'!$C:$C,'Inflation Data'!$A:$A = C$1))) + 'Fund YTD Contributions'!C45,'Fund YTD Contributions'!C45)"),0.0)</f>
        <v>0</v>
      </c>
      <c r="D45" s="152">
        <f>IFERROR(__xludf.DUMMYFUNCTION("IFERROR(C45 * (1 + AVERAGE(Filter('Inflation Data'!$C:$C,'Inflation Data'!$A:$A = D$1))) + 'Fund YTD Contributions'!D45,'Fund YTD Contributions'!D45)"),0.0)</f>
        <v>0</v>
      </c>
      <c r="E45" s="152">
        <f>IFERROR(__xludf.DUMMYFUNCTION("IFERROR(D45 * (1 + AVERAGE(Filter('Inflation Data'!$C:$C,'Inflation Data'!$A:$A = E$1))) + 'Fund YTD Contributions'!E45,'Fund YTD Contributions'!E45)"),0.0)</f>
        <v>0</v>
      </c>
      <c r="F45" s="152">
        <f>IFERROR(__xludf.DUMMYFUNCTION("IFERROR(E45 * (1 + AVERAGE(Filter('Inflation Data'!$C:$C,'Inflation Data'!$A:$A = F$1))) + 'Fund YTD Contributions'!F45,'Fund YTD Contributions'!F45)"),0.0)</f>
        <v>0</v>
      </c>
      <c r="G45" s="152">
        <f>IFERROR(__xludf.DUMMYFUNCTION("IFERROR(F45 * (1 + AVERAGE(Filter('Inflation Data'!$C:$C,'Inflation Data'!$A:$A = G$1))) + 'Fund YTD Contributions'!G45,'Fund YTD Contributions'!G45)"),0.0)</f>
        <v>0</v>
      </c>
      <c r="H45" s="152">
        <f>IFERROR(__xludf.DUMMYFUNCTION("IFERROR(G45 * (1 + AVERAGE(Filter('Inflation Data'!$C:$C,'Inflation Data'!$A:$A = H$1))) + 'Fund YTD Contributions'!H45,'Fund YTD Contributions'!H45)"),0.0)</f>
        <v>0</v>
      </c>
      <c r="I45" s="152">
        <f>IFERROR(__xludf.DUMMYFUNCTION("IFERROR(H45 * (1 + AVERAGE(Filter('Inflation Data'!$C:$C,'Inflation Data'!$A:$A = I$1))) + 'Fund YTD Contributions'!I45,'Fund YTD Contributions'!I45)"),0.0)</f>
        <v>0</v>
      </c>
      <c r="J45" s="152">
        <f>IFERROR(__xludf.DUMMYFUNCTION("IFERROR(I45 * (1 + AVERAGE(Filter('Inflation Data'!$C:$C,'Inflation Data'!$A:$A = J$1))) + 'Fund YTD Contributions'!J45,'Fund YTD Contributions'!J45)"),0.0)</f>
        <v>0</v>
      </c>
      <c r="K45" s="152">
        <f>IFERROR(__xludf.DUMMYFUNCTION("IFERROR(J45 * (1 + AVERAGE(Filter('Inflation Data'!$C:$C,'Inflation Data'!$A:$A = K$1))) + 'Fund YTD Contributions'!K45,'Fund YTD Contributions'!K45)"),0.0)</f>
        <v>0</v>
      </c>
      <c r="L45" s="152">
        <f>IFERROR(__xludf.DUMMYFUNCTION("IFERROR(K45 * (1 + AVERAGE(Filter('Inflation Data'!$C:$C,'Inflation Data'!$A:$A = L$1))) + 'Fund YTD Contributions'!L45,'Fund YTD Contributions'!L45)"),0.0)</f>
        <v>0</v>
      </c>
      <c r="M45" s="152">
        <f>IFERROR(__xludf.DUMMYFUNCTION("IFERROR(L45 * (1 + AVERAGE(Filter('Inflation Data'!$C:$C,'Inflation Data'!$A:$A = M$1))) + 'Fund YTD Contributions'!M45,'Fund YTD Contributions'!M45)"),0.0)</f>
        <v>0</v>
      </c>
      <c r="N45" s="152">
        <f>IFERROR(__xludf.DUMMYFUNCTION("IFERROR(M45 * (1 + AVERAGE(Filter('Inflation Data'!$C:$C,'Inflation Data'!$A:$A = N$1))) + 'Fund YTD Contributions'!N45,'Fund YTD Contributions'!N45)"),0.0)</f>
        <v>0</v>
      </c>
      <c r="O45" s="152">
        <f>IFERROR(__xludf.DUMMYFUNCTION("IFERROR(N45 * (1 + AVERAGE(Filter('Inflation Data'!$C:$C,'Inflation Data'!$A:$A = O$1))) + 'Fund YTD Contributions'!O45,'Fund YTD Contributions'!O45)"),0.0)</f>
        <v>0</v>
      </c>
      <c r="P45" s="152">
        <f>IFERROR(__xludf.DUMMYFUNCTION("IFERROR(O45 * (1 + AVERAGE(Filter('Inflation Data'!$C:$C,'Inflation Data'!$A:$A = P$1))) + 'Fund YTD Contributions'!P45,'Fund YTD Contributions'!P45)"),0.0)</f>
        <v>0</v>
      </c>
      <c r="Q45" s="152">
        <f>IFERROR(__xludf.DUMMYFUNCTION("IFERROR(P45 * (1 + AVERAGE(Filter('Inflation Data'!$C:$C,'Inflation Data'!$A:$A = Q$1))) + 'Fund YTD Contributions'!Q45,'Fund YTD Contributions'!Q45)"),0.0)</f>
        <v>0</v>
      </c>
      <c r="R45" s="152">
        <f>IFERROR(__xludf.DUMMYFUNCTION("IFERROR(Q45 * (1 + AVERAGE(Filter('Inflation Data'!$C:$C,'Inflation Data'!$A:$A = R$1))) + 'Fund YTD Contributions'!R45,'Fund YTD Contributions'!R45)"),0.0)</f>
        <v>0</v>
      </c>
      <c r="S45" s="152">
        <f>IFERROR(__xludf.DUMMYFUNCTION("IFERROR(R45 * (1 + AVERAGE(Filter('Inflation Data'!$C:$C,'Inflation Data'!$A:$A = S$1))) + 'Fund YTD Contributions'!S45,'Fund YTD Contributions'!S45)"),0.0)</f>
        <v>0</v>
      </c>
      <c r="T45" s="152">
        <f>IFERROR(__xludf.DUMMYFUNCTION("IFERROR(S45 * (1 + AVERAGE(Filter('Inflation Data'!$C:$C,'Inflation Data'!$A:$A = T$1))) + 'Fund YTD Contributions'!T45,'Fund YTD Contributions'!T45)"),0.0)</f>
        <v>0</v>
      </c>
      <c r="U45" s="152">
        <f>IFERROR(__xludf.DUMMYFUNCTION("IFERROR(T45 * (1 + AVERAGE(Filter('Inflation Data'!$C:$C,'Inflation Data'!$A:$A = U$1))) + 'Fund YTD Contributions'!U45,'Fund YTD Contributions'!U45)"),0.0)</f>
        <v>0</v>
      </c>
      <c r="V45" s="152">
        <f>IFERROR(__xludf.DUMMYFUNCTION("IFERROR(U45 * (1 + AVERAGE(Filter('Inflation Data'!$C:$C,'Inflation Data'!$A:$A = V$1))) + 'Fund YTD Contributions'!V45,'Fund YTD Contributions'!V45)"),0.0)</f>
        <v>0</v>
      </c>
      <c r="W45" s="152">
        <f>IFERROR(__xludf.DUMMYFUNCTION("IFERROR(V45 * (1 + AVERAGE(Filter('Inflation Data'!$C:$C,'Inflation Data'!$A:$A = W$1))) + 'Fund YTD Contributions'!W45,'Fund YTD Contributions'!W45)"),0.0)</f>
        <v>0</v>
      </c>
      <c r="X45" s="152">
        <f>IFERROR(__xludf.DUMMYFUNCTION("IFERROR(W45 * (1 + AVERAGE(Filter('Inflation Data'!$C:$C,'Inflation Data'!$A:$A = X$1))) + 'Fund YTD Contributions'!X45,'Fund YTD Contributions'!X45)"),0.0)</f>
        <v>0</v>
      </c>
      <c r="Y45" s="152">
        <f>IFERROR(__xludf.DUMMYFUNCTION("IFERROR(X45 * (1 + AVERAGE(Filter('Inflation Data'!$C:$C,'Inflation Data'!$A:$A = Y$1))) + 'Fund YTD Contributions'!Y45,'Fund YTD Contributions'!Y45)"),0.0)</f>
        <v>0</v>
      </c>
      <c r="Z45" s="152">
        <f>IFERROR(__xludf.DUMMYFUNCTION("IFERROR(Y45 * (1 + AVERAGE(Filter('Inflation Data'!$C:$C,'Inflation Data'!$A:$A = Z$1))) + 'Fund YTD Contributions'!Z45,'Fund YTD Contributions'!Z45)"),0.0)</f>
        <v>0</v>
      </c>
      <c r="AA45" s="152">
        <f>IFERROR(__xludf.DUMMYFUNCTION("IFERROR(Z45 * (1 + AVERAGE(Filter('Inflation Data'!$C:$C,'Inflation Data'!$A:$A = AA$1))) + 'Fund YTD Contributions'!AA45,'Fund YTD Contributions'!AA45)"),0.0)</f>
        <v>0</v>
      </c>
      <c r="AB45" s="152">
        <f>IFERROR(__xludf.DUMMYFUNCTION("IFERROR(AA45 * (1 + AVERAGE(Filter('Inflation Data'!$C:$C,'Inflation Data'!$A:$A = AB$1))) + 'Fund YTD Contributions'!AB45,'Fund YTD Contributions'!AB45)"),0.0)</f>
        <v>0</v>
      </c>
      <c r="AC45" s="152">
        <f>IFERROR(__xludf.DUMMYFUNCTION("IFERROR(AB45 * (1 + AVERAGE(Filter('Inflation Data'!$C:$C,'Inflation Data'!$A:$A = AC$1))) + 'Fund YTD Contributions'!AC45,'Fund YTD Contributions'!AC45)"),0.0)</f>
        <v>0</v>
      </c>
      <c r="AD45" s="152">
        <f>IFERROR(__xludf.DUMMYFUNCTION("IFERROR(AC45 * (1 + AVERAGE(Filter('Inflation Data'!$C:$C,'Inflation Data'!$A:$A = AD$1))) + 'Fund YTD Contributions'!AD45,'Fund YTD Contributions'!AD45)"),0.0)</f>
        <v>0</v>
      </c>
      <c r="AE45" s="152">
        <f>IFERROR(__xludf.DUMMYFUNCTION("IFERROR(AD45 * (1 + AVERAGE(Filter('Inflation Data'!$C:$C,'Inflation Data'!$A:$A = AE$1))) + 'Fund YTD Contributions'!AE45,'Fund YTD Contributions'!AE45)"),0.0)</f>
        <v>0</v>
      </c>
      <c r="AF45" s="152">
        <f>IFERROR(__xludf.DUMMYFUNCTION("IFERROR(AE45 * (1 + AVERAGE(Filter('Inflation Data'!$C:$C,'Inflation Data'!$A:$A = AF$1))) + 'Fund YTD Contributions'!AF45,'Fund YTD Contributions'!AF45)"),0.0)</f>
        <v>0</v>
      </c>
    </row>
    <row r="46">
      <c r="A46" s="150" t="str">
        <f>'Endowed Funds'!A:A</f>
        <v/>
      </c>
      <c r="B46" s="152">
        <f>IFERROR(__xludf.DUMMYFUNCTION("IFERROR(A46 * (1 + AVERAGE(Filter('Inflation Data'!$C:$C,'Inflation Data'!$A:$A = B$1))) + 'Fund YTD Contributions'!B46,'Fund YTD Contributions'!B46)"),0.0)</f>
        <v>0</v>
      </c>
      <c r="C46" s="152">
        <f>IFERROR(__xludf.DUMMYFUNCTION("IFERROR(B46 * (1 + AVERAGE(Filter('Inflation Data'!$C:$C,'Inflation Data'!$A:$A = C$1))) + 'Fund YTD Contributions'!C46,'Fund YTD Contributions'!C46)"),0.0)</f>
        <v>0</v>
      </c>
      <c r="D46" s="152">
        <f>IFERROR(__xludf.DUMMYFUNCTION("IFERROR(C46 * (1 + AVERAGE(Filter('Inflation Data'!$C:$C,'Inflation Data'!$A:$A = D$1))) + 'Fund YTD Contributions'!D46,'Fund YTD Contributions'!D46)"),0.0)</f>
        <v>0</v>
      </c>
      <c r="E46" s="152">
        <f>IFERROR(__xludf.DUMMYFUNCTION("IFERROR(D46 * (1 + AVERAGE(Filter('Inflation Data'!$C:$C,'Inflation Data'!$A:$A = E$1))) + 'Fund YTD Contributions'!E46,'Fund YTD Contributions'!E46)"),0.0)</f>
        <v>0</v>
      </c>
      <c r="F46" s="152">
        <f>IFERROR(__xludf.DUMMYFUNCTION("IFERROR(E46 * (1 + AVERAGE(Filter('Inflation Data'!$C:$C,'Inflation Data'!$A:$A = F$1))) + 'Fund YTD Contributions'!F46,'Fund YTD Contributions'!F46)"),0.0)</f>
        <v>0</v>
      </c>
      <c r="G46" s="152">
        <f>IFERROR(__xludf.DUMMYFUNCTION("IFERROR(F46 * (1 + AVERAGE(Filter('Inflation Data'!$C:$C,'Inflation Data'!$A:$A = G$1))) + 'Fund YTD Contributions'!G46,'Fund YTD Contributions'!G46)"),0.0)</f>
        <v>0</v>
      </c>
      <c r="H46" s="152">
        <f>IFERROR(__xludf.DUMMYFUNCTION("IFERROR(G46 * (1 + AVERAGE(Filter('Inflation Data'!$C:$C,'Inflation Data'!$A:$A = H$1))) + 'Fund YTD Contributions'!H46,'Fund YTD Contributions'!H46)"),0.0)</f>
        <v>0</v>
      </c>
      <c r="I46" s="152">
        <f>IFERROR(__xludf.DUMMYFUNCTION("IFERROR(H46 * (1 + AVERAGE(Filter('Inflation Data'!$C:$C,'Inflation Data'!$A:$A = I$1))) + 'Fund YTD Contributions'!I46,'Fund YTD Contributions'!I46)"),0.0)</f>
        <v>0</v>
      </c>
      <c r="J46" s="152">
        <f>IFERROR(__xludf.DUMMYFUNCTION("IFERROR(I46 * (1 + AVERAGE(Filter('Inflation Data'!$C:$C,'Inflation Data'!$A:$A = J$1))) + 'Fund YTD Contributions'!J46,'Fund YTD Contributions'!J46)"),0.0)</f>
        <v>0</v>
      </c>
      <c r="K46" s="152">
        <f>IFERROR(__xludf.DUMMYFUNCTION("IFERROR(J46 * (1 + AVERAGE(Filter('Inflation Data'!$C:$C,'Inflation Data'!$A:$A = K$1))) + 'Fund YTD Contributions'!K46,'Fund YTD Contributions'!K46)"),0.0)</f>
        <v>0</v>
      </c>
      <c r="L46" s="152">
        <f>IFERROR(__xludf.DUMMYFUNCTION("IFERROR(K46 * (1 + AVERAGE(Filter('Inflation Data'!$C:$C,'Inflation Data'!$A:$A = L$1))) + 'Fund YTD Contributions'!L46,'Fund YTD Contributions'!L46)"),0.0)</f>
        <v>0</v>
      </c>
      <c r="M46" s="152">
        <f>IFERROR(__xludf.DUMMYFUNCTION("IFERROR(L46 * (1 + AVERAGE(Filter('Inflation Data'!$C:$C,'Inflation Data'!$A:$A = M$1))) + 'Fund YTD Contributions'!M46,'Fund YTD Contributions'!M46)"),0.0)</f>
        <v>0</v>
      </c>
      <c r="N46" s="152">
        <f>IFERROR(__xludf.DUMMYFUNCTION("IFERROR(M46 * (1 + AVERAGE(Filter('Inflation Data'!$C:$C,'Inflation Data'!$A:$A = N$1))) + 'Fund YTD Contributions'!N46,'Fund YTD Contributions'!N46)"),0.0)</f>
        <v>0</v>
      </c>
      <c r="O46" s="152">
        <f>IFERROR(__xludf.DUMMYFUNCTION("IFERROR(N46 * (1 + AVERAGE(Filter('Inflation Data'!$C:$C,'Inflation Data'!$A:$A = O$1))) + 'Fund YTD Contributions'!O46,'Fund YTD Contributions'!O46)"),0.0)</f>
        <v>0</v>
      </c>
      <c r="P46" s="152">
        <f>IFERROR(__xludf.DUMMYFUNCTION("IFERROR(O46 * (1 + AVERAGE(Filter('Inflation Data'!$C:$C,'Inflation Data'!$A:$A = P$1))) + 'Fund YTD Contributions'!P46,'Fund YTD Contributions'!P46)"),0.0)</f>
        <v>0</v>
      </c>
      <c r="Q46" s="152">
        <f>IFERROR(__xludf.DUMMYFUNCTION("IFERROR(P46 * (1 + AVERAGE(Filter('Inflation Data'!$C:$C,'Inflation Data'!$A:$A = Q$1))) + 'Fund YTD Contributions'!Q46,'Fund YTD Contributions'!Q46)"),0.0)</f>
        <v>0</v>
      </c>
      <c r="R46" s="152">
        <f>IFERROR(__xludf.DUMMYFUNCTION("IFERROR(Q46 * (1 + AVERAGE(Filter('Inflation Data'!$C:$C,'Inflation Data'!$A:$A = R$1))) + 'Fund YTD Contributions'!R46,'Fund YTD Contributions'!R46)"),0.0)</f>
        <v>0</v>
      </c>
      <c r="S46" s="152">
        <f>IFERROR(__xludf.DUMMYFUNCTION("IFERROR(R46 * (1 + AVERAGE(Filter('Inflation Data'!$C:$C,'Inflation Data'!$A:$A = S$1))) + 'Fund YTD Contributions'!S46,'Fund YTD Contributions'!S46)"),0.0)</f>
        <v>0</v>
      </c>
      <c r="T46" s="152">
        <f>IFERROR(__xludf.DUMMYFUNCTION("IFERROR(S46 * (1 + AVERAGE(Filter('Inflation Data'!$C:$C,'Inflation Data'!$A:$A = T$1))) + 'Fund YTD Contributions'!T46,'Fund YTD Contributions'!T46)"),0.0)</f>
        <v>0</v>
      </c>
      <c r="U46" s="152">
        <f>IFERROR(__xludf.DUMMYFUNCTION("IFERROR(T46 * (1 + AVERAGE(Filter('Inflation Data'!$C:$C,'Inflation Data'!$A:$A = U$1))) + 'Fund YTD Contributions'!U46,'Fund YTD Contributions'!U46)"),0.0)</f>
        <v>0</v>
      </c>
      <c r="V46" s="152">
        <f>IFERROR(__xludf.DUMMYFUNCTION("IFERROR(U46 * (1 + AVERAGE(Filter('Inflation Data'!$C:$C,'Inflation Data'!$A:$A = V$1))) + 'Fund YTD Contributions'!V46,'Fund YTD Contributions'!V46)"),0.0)</f>
        <v>0</v>
      </c>
      <c r="W46" s="152">
        <f>IFERROR(__xludf.DUMMYFUNCTION("IFERROR(V46 * (1 + AVERAGE(Filter('Inflation Data'!$C:$C,'Inflation Data'!$A:$A = W$1))) + 'Fund YTD Contributions'!W46,'Fund YTD Contributions'!W46)"),0.0)</f>
        <v>0</v>
      </c>
      <c r="X46" s="152">
        <f>IFERROR(__xludf.DUMMYFUNCTION("IFERROR(W46 * (1 + AVERAGE(Filter('Inflation Data'!$C:$C,'Inflation Data'!$A:$A = X$1))) + 'Fund YTD Contributions'!X46,'Fund YTD Contributions'!X46)"),0.0)</f>
        <v>0</v>
      </c>
      <c r="Y46" s="152">
        <f>IFERROR(__xludf.DUMMYFUNCTION("IFERROR(X46 * (1 + AVERAGE(Filter('Inflation Data'!$C:$C,'Inflation Data'!$A:$A = Y$1))) + 'Fund YTD Contributions'!Y46,'Fund YTD Contributions'!Y46)"),0.0)</f>
        <v>0</v>
      </c>
      <c r="Z46" s="152">
        <f>IFERROR(__xludf.DUMMYFUNCTION("IFERROR(Y46 * (1 + AVERAGE(Filter('Inflation Data'!$C:$C,'Inflation Data'!$A:$A = Z$1))) + 'Fund YTD Contributions'!Z46,'Fund YTD Contributions'!Z46)"),0.0)</f>
        <v>0</v>
      </c>
      <c r="AA46" s="152">
        <f>IFERROR(__xludf.DUMMYFUNCTION("IFERROR(Z46 * (1 + AVERAGE(Filter('Inflation Data'!$C:$C,'Inflation Data'!$A:$A = AA$1))) + 'Fund YTD Contributions'!AA46,'Fund YTD Contributions'!AA46)"),0.0)</f>
        <v>0</v>
      </c>
      <c r="AB46" s="152">
        <f>IFERROR(__xludf.DUMMYFUNCTION("IFERROR(AA46 * (1 + AVERAGE(Filter('Inflation Data'!$C:$C,'Inflation Data'!$A:$A = AB$1))) + 'Fund YTD Contributions'!AB46,'Fund YTD Contributions'!AB46)"),0.0)</f>
        <v>0</v>
      </c>
      <c r="AC46" s="152">
        <f>IFERROR(__xludf.DUMMYFUNCTION("IFERROR(AB46 * (1 + AVERAGE(Filter('Inflation Data'!$C:$C,'Inflation Data'!$A:$A = AC$1))) + 'Fund YTD Contributions'!AC46,'Fund YTD Contributions'!AC46)"),0.0)</f>
        <v>0</v>
      </c>
      <c r="AD46" s="152">
        <f>IFERROR(__xludf.DUMMYFUNCTION("IFERROR(AC46 * (1 + AVERAGE(Filter('Inflation Data'!$C:$C,'Inflation Data'!$A:$A = AD$1))) + 'Fund YTD Contributions'!AD46,'Fund YTD Contributions'!AD46)"),0.0)</f>
        <v>0</v>
      </c>
      <c r="AE46" s="152">
        <f>IFERROR(__xludf.DUMMYFUNCTION("IFERROR(AD46 * (1 + AVERAGE(Filter('Inflation Data'!$C:$C,'Inflation Data'!$A:$A = AE$1))) + 'Fund YTD Contributions'!AE46,'Fund YTD Contributions'!AE46)"),0.0)</f>
        <v>0</v>
      </c>
      <c r="AF46" s="152">
        <f>IFERROR(__xludf.DUMMYFUNCTION("IFERROR(AE46 * (1 + AVERAGE(Filter('Inflation Data'!$C:$C,'Inflation Data'!$A:$A = AF$1))) + 'Fund YTD Contributions'!AF46,'Fund YTD Contributions'!AF46)"),0.0)</f>
        <v>0</v>
      </c>
    </row>
    <row r="47">
      <c r="A47" s="150" t="str">
        <f>'Endowed Funds'!A:A</f>
        <v/>
      </c>
      <c r="B47" s="152">
        <f>IFERROR(__xludf.DUMMYFUNCTION("IFERROR(A47 * (1 + AVERAGE(Filter('Inflation Data'!$C:$C,'Inflation Data'!$A:$A = B$1))) + 'Fund YTD Contributions'!B47,'Fund YTD Contributions'!B47)"),0.0)</f>
        <v>0</v>
      </c>
      <c r="C47" s="152">
        <f>IFERROR(__xludf.DUMMYFUNCTION("IFERROR(B47 * (1 + AVERAGE(Filter('Inflation Data'!$C:$C,'Inflation Data'!$A:$A = C$1))) + 'Fund YTD Contributions'!C47,'Fund YTD Contributions'!C47)"),0.0)</f>
        <v>0</v>
      </c>
      <c r="D47" s="152">
        <f>IFERROR(__xludf.DUMMYFUNCTION("IFERROR(C47 * (1 + AVERAGE(Filter('Inflation Data'!$C:$C,'Inflation Data'!$A:$A = D$1))) + 'Fund YTD Contributions'!D47,'Fund YTD Contributions'!D47)"),0.0)</f>
        <v>0</v>
      </c>
      <c r="E47" s="152">
        <f>IFERROR(__xludf.DUMMYFUNCTION("IFERROR(D47 * (1 + AVERAGE(Filter('Inflation Data'!$C:$C,'Inflation Data'!$A:$A = E$1))) + 'Fund YTD Contributions'!E47,'Fund YTD Contributions'!E47)"),0.0)</f>
        <v>0</v>
      </c>
      <c r="F47" s="152">
        <f>IFERROR(__xludf.DUMMYFUNCTION("IFERROR(E47 * (1 + AVERAGE(Filter('Inflation Data'!$C:$C,'Inflation Data'!$A:$A = F$1))) + 'Fund YTD Contributions'!F47,'Fund YTD Contributions'!F47)"),0.0)</f>
        <v>0</v>
      </c>
      <c r="G47" s="152">
        <f>IFERROR(__xludf.DUMMYFUNCTION("IFERROR(F47 * (1 + AVERAGE(Filter('Inflation Data'!$C:$C,'Inflation Data'!$A:$A = G$1))) + 'Fund YTD Contributions'!G47,'Fund YTD Contributions'!G47)"),0.0)</f>
        <v>0</v>
      </c>
      <c r="H47" s="152">
        <f>IFERROR(__xludf.DUMMYFUNCTION("IFERROR(G47 * (1 + AVERAGE(Filter('Inflation Data'!$C:$C,'Inflation Data'!$A:$A = H$1))) + 'Fund YTD Contributions'!H47,'Fund YTD Contributions'!H47)"),0.0)</f>
        <v>0</v>
      </c>
      <c r="I47" s="152">
        <f>IFERROR(__xludf.DUMMYFUNCTION("IFERROR(H47 * (1 + AVERAGE(Filter('Inflation Data'!$C:$C,'Inflation Data'!$A:$A = I$1))) + 'Fund YTD Contributions'!I47,'Fund YTD Contributions'!I47)"),0.0)</f>
        <v>0</v>
      </c>
      <c r="J47" s="152">
        <f>IFERROR(__xludf.DUMMYFUNCTION("IFERROR(I47 * (1 + AVERAGE(Filter('Inflation Data'!$C:$C,'Inflation Data'!$A:$A = J$1))) + 'Fund YTD Contributions'!J47,'Fund YTD Contributions'!J47)"),0.0)</f>
        <v>0</v>
      </c>
      <c r="K47" s="152">
        <f>IFERROR(__xludf.DUMMYFUNCTION("IFERROR(J47 * (1 + AVERAGE(Filter('Inflation Data'!$C:$C,'Inflation Data'!$A:$A = K$1))) + 'Fund YTD Contributions'!K47,'Fund YTD Contributions'!K47)"),0.0)</f>
        <v>0</v>
      </c>
      <c r="L47" s="152">
        <f>IFERROR(__xludf.DUMMYFUNCTION("IFERROR(K47 * (1 + AVERAGE(Filter('Inflation Data'!$C:$C,'Inflation Data'!$A:$A = L$1))) + 'Fund YTD Contributions'!L47,'Fund YTD Contributions'!L47)"),0.0)</f>
        <v>0</v>
      </c>
      <c r="M47" s="152">
        <f>IFERROR(__xludf.DUMMYFUNCTION("IFERROR(L47 * (1 + AVERAGE(Filter('Inflation Data'!$C:$C,'Inflation Data'!$A:$A = M$1))) + 'Fund YTD Contributions'!M47,'Fund YTD Contributions'!M47)"),0.0)</f>
        <v>0</v>
      </c>
      <c r="N47" s="152">
        <f>IFERROR(__xludf.DUMMYFUNCTION("IFERROR(M47 * (1 + AVERAGE(Filter('Inflation Data'!$C:$C,'Inflation Data'!$A:$A = N$1))) + 'Fund YTD Contributions'!N47,'Fund YTD Contributions'!N47)"),0.0)</f>
        <v>0</v>
      </c>
      <c r="O47" s="152">
        <f>IFERROR(__xludf.DUMMYFUNCTION("IFERROR(N47 * (1 + AVERAGE(Filter('Inflation Data'!$C:$C,'Inflation Data'!$A:$A = O$1))) + 'Fund YTD Contributions'!O47,'Fund YTD Contributions'!O47)"),0.0)</f>
        <v>0</v>
      </c>
      <c r="P47" s="152">
        <f>IFERROR(__xludf.DUMMYFUNCTION("IFERROR(O47 * (1 + AVERAGE(Filter('Inflation Data'!$C:$C,'Inflation Data'!$A:$A = P$1))) + 'Fund YTD Contributions'!P47,'Fund YTD Contributions'!P47)"),0.0)</f>
        <v>0</v>
      </c>
      <c r="Q47" s="152">
        <f>IFERROR(__xludf.DUMMYFUNCTION("IFERROR(P47 * (1 + AVERAGE(Filter('Inflation Data'!$C:$C,'Inflation Data'!$A:$A = Q$1))) + 'Fund YTD Contributions'!Q47,'Fund YTD Contributions'!Q47)"),0.0)</f>
        <v>0</v>
      </c>
      <c r="R47" s="152">
        <f>IFERROR(__xludf.DUMMYFUNCTION("IFERROR(Q47 * (1 + AVERAGE(Filter('Inflation Data'!$C:$C,'Inflation Data'!$A:$A = R$1))) + 'Fund YTD Contributions'!R47,'Fund YTD Contributions'!R47)"),0.0)</f>
        <v>0</v>
      </c>
      <c r="S47" s="152">
        <f>IFERROR(__xludf.DUMMYFUNCTION("IFERROR(R47 * (1 + AVERAGE(Filter('Inflation Data'!$C:$C,'Inflation Data'!$A:$A = S$1))) + 'Fund YTD Contributions'!S47,'Fund YTD Contributions'!S47)"),0.0)</f>
        <v>0</v>
      </c>
      <c r="T47" s="152">
        <f>IFERROR(__xludf.DUMMYFUNCTION("IFERROR(S47 * (1 + AVERAGE(Filter('Inflation Data'!$C:$C,'Inflation Data'!$A:$A = T$1))) + 'Fund YTD Contributions'!T47,'Fund YTD Contributions'!T47)"),0.0)</f>
        <v>0</v>
      </c>
      <c r="U47" s="152">
        <f>IFERROR(__xludf.DUMMYFUNCTION("IFERROR(T47 * (1 + AVERAGE(Filter('Inflation Data'!$C:$C,'Inflation Data'!$A:$A = U$1))) + 'Fund YTD Contributions'!U47,'Fund YTD Contributions'!U47)"),0.0)</f>
        <v>0</v>
      </c>
      <c r="V47" s="152">
        <f>IFERROR(__xludf.DUMMYFUNCTION("IFERROR(U47 * (1 + AVERAGE(Filter('Inflation Data'!$C:$C,'Inflation Data'!$A:$A = V$1))) + 'Fund YTD Contributions'!V47,'Fund YTD Contributions'!V47)"),0.0)</f>
        <v>0</v>
      </c>
      <c r="W47" s="152">
        <f>IFERROR(__xludf.DUMMYFUNCTION("IFERROR(V47 * (1 + AVERAGE(Filter('Inflation Data'!$C:$C,'Inflation Data'!$A:$A = W$1))) + 'Fund YTD Contributions'!W47,'Fund YTD Contributions'!W47)"),0.0)</f>
        <v>0</v>
      </c>
      <c r="X47" s="152">
        <f>IFERROR(__xludf.DUMMYFUNCTION("IFERROR(W47 * (1 + AVERAGE(Filter('Inflation Data'!$C:$C,'Inflation Data'!$A:$A = X$1))) + 'Fund YTD Contributions'!X47,'Fund YTD Contributions'!X47)"),0.0)</f>
        <v>0</v>
      </c>
      <c r="Y47" s="152">
        <f>IFERROR(__xludf.DUMMYFUNCTION("IFERROR(X47 * (1 + AVERAGE(Filter('Inflation Data'!$C:$C,'Inflation Data'!$A:$A = Y$1))) + 'Fund YTD Contributions'!Y47,'Fund YTD Contributions'!Y47)"),0.0)</f>
        <v>0</v>
      </c>
      <c r="Z47" s="152">
        <f>IFERROR(__xludf.DUMMYFUNCTION("IFERROR(Y47 * (1 + AVERAGE(Filter('Inflation Data'!$C:$C,'Inflation Data'!$A:$A = Z$1))) + 'Fund YTD Contributions'!Z47,'Fund YTD Contributions'!Z47)"),0.0)</f>
        <v>0</v>
      </c>
      <c r="AA47" s="152">
        <f>IFERROR(__xludf.DUMMYFUNCTION("IFERROR(Z47 * (1 + AVERAGE(Filter('Inflation Data'!$C:$C,'Inflation Data'!$A:$A = AA$1))) + 'Fund YTD Contributions'!AA47,'Fund YTD Contributions'!AA47)"),0.0)</f>
        <v>0</v>
      </c>
      <c r="AB47" s="152">
        <f>IFERROR(__xludf.DUMMYFUNCTION("IFERROR(AA47 * (1 + AVERAGE(Filter('Inflation Data'!$C:$C,'Inflation Data'!$A:$A = AB$1))) + 'Fund YTD Contributions'!AB47,'Fund YTD Contributions'!AB47)"),0.0)</f>
        <v>0</v>
      </c>
      <c r="AC47" s="152">
        <f>IFERROR(__xludf.DUMMYFUNCTION("IFERROR(AB47 * (1 + AVERAGE(Filter('Inflation Data'!$C:$C,'Inflation Data'!$A:$A = AC$1))) + 'Fund YTD Contributions'!AC47,'Fund YTD Contributions'!AC47)"),0.0)</f>
        <v>0</v>
      </c>
      <c r="AD47" s="152">
        <f>IFERROR(__xludf.DUMMYFUNCTION("IFERROR(AC47 * (1 + AVERAGE(Filter('Inflation Data'!$C:$C,'Inflation Data'!$A:$A = AD$1))) + 'Fund YTD Contributions'!AD47,'Fund YTD Contributions'!AD47)"),0.0)</f>
        <v>0</v>
      </c>
      <c r="AE47" s="152">
        <f>IFERROR(__xludf.DUMMYFUNCTION("IFERROR(AD47 * (1 + AVERAGE(Filter('Inflation Data'!$C:$C,'Inflation Data'!$A:$A = AE$1))) + 'Fund YTD Contributions'!AE47,'Fund YTD Contributions'!AE47)"),0.0)</f>
        <v>0</v>
      </c>
      <c r="AF47" s="152">
        <f>IFERROR(__xludf.DUMMYFUNCTION("IFERROR(AE47 * (1 + AVERAGE(Filter('Inflation Data'!$C:$C,'Inflation Data'!$A:$A = AF$1))) + 'Fund YTD Contributions'!AF47,'Fund YTD Contributions'!AF47)"),0.0)</f>
        <v>0</v>
      </c>
    </row>
    <row r="48">
      <c r="A48" s="150" t="str">
        <f>'Endowed Funds'!A:A</f>
        <v/>
      </c>
      <c r="B48" s="152">
        <f>IFERROR(__xludf.DUMMYFUNCTION("IFERROR(A48 * (1 + AVERAGE(Filter('Inflation Data'!$C:$C,'Inflation Data'!$A:$A = B$1))) + 'Fund YTD Contributions'!B48,'Fund YTD Contributions'!B48)"),0.0)</f>
        <v>0</v>
      </c>
      <c r="C48" s="152">
        <f>IFERROR(__xludf.DUMMYFUNCTION("IFERROR(B48 * (1 + AVERAGE(Filter('Inflation Data'!$C:$C,'Inflation Data'!$A:$A = C$1))) + 'Fund YTD Contributions'!C48,'Fund YTD Contributions'!C48)"),0.0)</f>
        <v>0</v>
      </c>
      <c r="D48" s="152">
        <f>IFERROR(__xludf.DUMMYFUNCTION("IFERROR(C48 * (1 + AVERAGE(Filter('Inflation Data'!$C:$C,'Inflation Data'!$A:$A = D$1))) + 'Fund YTD Contributions'!D48,'Fund YTD Contributions'!D48)"),0.0)</f>
        <v>0</v>
      </c>
      <c r="E48" s="152">
        <f>IFERROR(__xludf.DUMMYFUNCTION("IFERROR(D48 * (1 + AVERAGE(Filter('Inflation Data'!$C:$C,'Inflation Data'!$A:$A = E$1))) + 'Fund YTD Contributions'!E48,'Fund YTD Contributions'!E48)"),0.0)</f>
        <v>0</v>
      </c>
      <c r="F48" s="152">
        <f>IFERROR(__xludf.DUMMYFUNCTION("IFERROR(E48 * (1 + AVERAGE(Filter('Inflation Data'!$C:$C,'Inflation Data'!$A:$A = F$1))) + 'Fund YTD Contributions'!F48,'Fund YTD Contributions'!F48)"),0.0)</f>
        <v>0</v>
      </c>
      <c r="G48" s="152">
        <f>IFERROR(__xludf.DUMMYFUNCTION("IFERROR(F48 * (1 + AVERAGE(Filter('Inflation Data'!$C:$C,'Inflation Data'!$A:$A = G$1))) + 'Fund YTD Contributions'!G48,'Fund YTD Contributions'!G48)"),0.0)</f>
        <v>0</v>
      </c>
      <c r="H48" s="152">
        <f>IFERROR(__xludf.DUMMYFUNCTION("IFERROR(G48 * (1 + AVERAGE(Filter('Inflation Data'!$C:$C,'Inflation Data'!$A:$A = H$1))) + 'Fund YTD Contributions'!H48,'Fund YTD Contributions'!H48)"),0.0)</f>
        <v>0</v>
      </c>
      <c r="I48" s="152">
        <f>IFERROR(__xludf.DUMMYFUNCTION("IFERROR(H48 * (1 + AVERAGE(Filter('Inflation Data'!$C:$C,'Inflation Data'!$A:$A = I$1))) + 'Fund YTD Contributions'!I48,'Fund YTD Contributions'!I48)"),0.0)</f>
        <v>0</v>
      </c>
      <c r="J48" s="152">
        <f>IFERROR(__xludf.DUMMYFUNCTION("IFERROR(I48 * (1 + AVERAGE(Filter('Inflation Data'!$C:$C,'Inflation Data'!$A:$A = J$1))) + 'Fund YTD Contributions'!J48,'Fund YTD Contributions'!J48)"),0.0)</f>
        <v>0</v>
      </c>
      <c r="K48" s="152">
        <f>IFERROR(__xludf.DUMMYFUNCTION("IFERROR(J48 * (1 + AVERAGE(Filter('Inflation Data'!$C:$C,'Inflation Data'!$A:$A = K$1))) + 'Fund YTD Contributions'!K48,'Fund YTD Contributions'!K48)"),0.0)</f>
        <v>0</v>
      </c>
      <c r="L48" s="152">
        <f>IFERROR(__xludf.DUMMYFUNCTION("IFERROR(K48 * (1 + AVERAGE(Filter('Inflation Data'!$C:$C,'Inflation Data'!$A:$A = L$1))) + 'Fund YTD Contributions'!L48,'Fund YTD Contributions'!L48)"),0.0)</f>
        <v>0</v>
      </c>
      <c r="M48" s="152">
        <f>IFERROR(__xludf.DUMMYFUNCTION("IFERROR(L48 * (1 + AVERAGE(Filter('Inflation Data'!$C:$C,'Inflation Data'!$A:$A = M$1))) + 'Fund YTD Contributions'!M48,'Fund YTD Contributions'!M48)"),0.0)</f>
        <v>0</v>
      </c>
      <c r="N48" s="152">
        <f>IFERROR(__xludf.DUMMYFUNCTION("IFERROR(M48 * (1 + AVERAGE(Filter('Inflation Data'!$C:$C,'Inflation Data'!$A:$A = N$1))) + 'Fund YTD Contributions'!N48,'Fund YTD Contributions'!N48)"),0.0)</f>
        <v>0</v>
      </c>
      <c r="O48" s="152">
        <f>IFERROR(__xludf.DUMMYFUNCTION("IFERROR(N48 * (1 + AVERAGE(Filter('Inflation Data'!$C:$C,'Inflation Data'!$A:$A = O$1))) + 'Fund YTD Contributions'!O48,'Fund YTD Contributions'!O48)"),0.0)</f>
        <v>0</v>
      </c>
      <c r="P48" s="152">
        <f>IFERROR(__xludf.DUMMYFUNCTION("IFERROR(O48 * (1 + AVERAGE(Filter('Inflation Data'!$C:$C,'Inflation Data'!$A:$A = P$1))) + 'Fund YTD Contributions'!P48,'Fund YTD Contributions'!P48)"),0.0)</f>
        <v>0</v>
      </c>
      <c r="Q48" s="152">
        <f>IFERROR(__xludf.DUMMYFUNCTION("IFERROR(P48 * (1 + AVERAGE(Filter('Inflation Data'!$C:$C,'Inflation Data'!$A:$A = Q$1))) + 'Fund YTD Contributions'!Q48,'Fund YTD Contributions'!Q48)"),0.0)</f>
        <v>0</v>
      </c>
      <c r="R48" s="152">
        <f>IFERROR(__xludf.DUMMYFUNCTION("IFERROR(Q48 * (1 + AVERAGE(Filter('Inflation Data'!$C:$C,'Inflation Data'!$A:$A = R$1))) + 'Fund YTD Contributions'!R48,'Fund YTD Contributions'!R48)"),0.0)</f>
        <v>0</v>
      </c>
      <c r="S48" s="152">
        <f>IFERROR(__xludf.DUMMYFUNCTION("IFERROR(R48 * (1 + AVERAGE(Filter('Inflation Data'!$C:$C,'Inflation Data'!$A:$A = S$1))) + 'Fund YTD Contributions'!S48,'Fund YTD Contributions'!S48)"),0.0)</f>
        <v>0</v>
      </c>
      <c r="T48" s="152">
        <f>IFERROR(__xludf.DUMMYFUNCTION("IFERROR(S48 * (1 + AVERAGE(Filter('Inflation Data'!$C:$C,'Inflation Data'!$A:$A = T$1))) + 'Fund YTD Contributions'!T48,'Fund YTD Contributions'!T48)"),0.0)</f>
        <v>0</v>
      </c>
      <c r="U48" s="152">
        <f>IFERROR(__xludf.DUMMYFUNCTION("IFERROR(T48 * (1 + AVERAGE(Filter('Inflation Data'!$C:$C,'Inflation Data'!$A:$A = U$1))) + 'Fund YTD Contributions'!U48,'Fund YTD Contributions'!U48)"),0.0)</f>
        <v>0</v>
      </c>
      <c r="V48" s="152">
        <f>IFERROR(__xludf.DUMMYFUNCTION("IFERROR(U48 * (1 + AVERAGE(Filter('Inflation Data'!$C:$C,'Inflation Data'!$A:$A = V$1))) + 'Fund YTD Contributions'!V48,'Fund YTD Contributions'!V48)"),0.0)</f>
        <v>0</v>
      </c>
      <c r="W48" s="152">
        <f>IFERROR(__xludf.DUMMYFUNCTION("IFERROR(V48 * (1 + AVERAGE(Filter('Inflation Data'!$C:$C,'Inflation Data'!$A:$A = W$1))) + 'Fund YTD Contributions'!W48,'Fund YTD Contributions'!W48)"),0.0)</f>
        <v>0</v>
      </c>
      <c r="X48" s="152">
        <f>IFERROR(__xludf.DUMMYFUNCTION("IFERROR(W48 * (1 + AVERAGE(Filter('Inflation Data'!$C:$C,'Inflation Data'!$A:$A = X$1))) + 'Fund YTD Contributions'!X48,'Fund YTD Contributions'!X48)"),0.0)</f>
        <v>0</v>
      </c>
      <c r="Y48" s="152">
        <f>IFERROR(__xludf.DUMMYFUNCTION("IFERROR(X48 * (1 + AVERAGE(Filter('Inflation Data'!$C:$C,'Inflation Data'!$A:$A = Y$1))) + 'Fund YTD Contributions'!Y48,'Fund YTD Contributions'!Y48)"),0.0)</f>
        <v>0</v>
      </c>
      <c r="Z48" s="152">
        <f>IFERROR(__xludf.DUMMYFUNCTION("IFERROR(Y48 * (1 + AVERAGE(Filter('Inflation Data'!$C:$C,'Inflation Data'!$A:$A = Z$1))) + 'Fund YTD Contributions'!Z48,'Fund YTD Contributions'!Z48)"),0.0)</f>
        <v>0</v>
      </c>
      <c r="AA48" s="152">
        <f>IFERROR(__xludf.DUMMYFUNCTION("IFERROR(Z48 * (1 + AVERAGE(Filter('Inflation Data'!$C:$C,'Inflation Data'!$A:$A = AA$1))) + 'Fund YTD Contributions'!AA48,'Fund YTD Contributions'!AA48)"),0.0)</f>
        <v>0</v>
      </c>
      <c r="AB48" s="152">
        <f>IFERROR(__xludf.DUMMYFUNCTION("IFERROR(AA48 * (1 + AVERAGE(Filter('Inflation Data'!$C:$C,'Inflation Data'!$A:$A = AB$1))) + 'Fund YTD Contributions'!AB48,'Fund YTD Contributions'!AB48)"),0.0)</f>
        <v>0</v>
      </c>
      <c r="AC48" s="152">
        <f>IFERROR(__xludf.DUMMYFUNCTION("IFERROR(AB48 * (1 + AVERAGE(Filter('Inflation Data'!$C:$C,'Inflation Data'!$A:$A = AC$1))) + 'Fund YTD Contributions'!AC48,'Fund YTD Contributions'!AC48)"),0.0)</f>
        <v>0</v>
      </c>
      <c r="AD48" s="152">
        <f>IFERROR(__xludf.DUMMYFUNCTION("IFERROR(AC48 * (1 + AVERAGE(Filter('Inflation Data'!$C:$C,'Inflation Data'!$A:$A = AD$1))) + 'Fund YTD Contributions'!AD48,'Fund YTD Contributions'!AD48)"),0.0)</f>
        <v>0</v>
      </c>
      <c r="AE48" s="152">
        <f>IFERROR(__xludf.DUMMYFUNCTION("IFERROR(AD48 * (1 + AVERAGE(Filter('Inflation Data'!$C:$C,'Inflation Data'!$A:$A = AE$1))) + 'Fund YTD Contributions'!AE48,'Fund YTD Contributions'!AE48)"),0.0)</f>
        <v>0</v>
      </c>
      <c r="AF48" s="152">
        <f>IFERROR(__xludf.DUMMYFUNCTION("IFERROR(AE48 * (1 + AVERAGE(Filter('Inflation Data'!$C:$C,'Inflation Data'!$A:$A = AF$1))) + 'Fund YTD Contributions'!AF48,'Fund YTD Contributions'!AF48)"),0.0)</f>
        <v>0</v>
      </c>
    </row>
    <row r="49">
      <c r="A49" s="150" t="str">
        <f>'Endowed Funds'!A:A</f>
        <v/>
      </c>
      <c r="B49" s="152">
        <f>IFERROR(__xludf.DUMMYFUNCTION("IFERROR(A49 * (1 + AVERAGE(Filter('Inflation Data'!$C:$C,'Inflation Data'!$A:$A = B$1))) + 'Fund YTD Contributions'!B49,'Fund YTD Contributions'!B49)"),0.0)</f>
        <v>0</v>
      </c>
      <c r="C49" s="152">
        <f>IFERROR(__xludf.DUMMYFUNCTION("IFERROR(B49 * (1 + AVERAGE(Filter('Inflation Data'!$C:$C,'Inflation Data'!$A:$A = C$1))) + 'Fund YTD Contributions'!C49,'Fund YTD Contributions'!C49)"),0.0)</f>
        <v>0</v>
      </c>
      <c r="D49" s="152">
        <f>IFERROR(__xludf.DUMMYFUNCTION("IFERROR(C49 * (1 + AVERAGE(Filter('Inflation Data'!$C:$C,'Inflation Data'!$A:$A = D$1))) + 'Fund YTD Contributions'!D49,'Fund YTD Contributions'!D49)"),0.0)</f>
        <v>0</v>
      </c>
      <c r="E49" s="152">
        <f>IFERROR(__xludf.DUMMYFUNCTION("IFERROR(D49 * (1 + AVERAGE(Filter('Inflation Data'!$C:$C,'Inflation Data'!$A:$A = E$1))) + 'Fund YTD Contributions'!E49,'Fund YTD Contributions'!E49)"),0.0)</f>
        <v>0</v>
      </c>
      <c r="F49" s="152">
        <f>IFERROR(__xludf.DUMMYFUNCTION("IFERROR(E49 * (1 + AVERAGE(Filter('Inflation Data'!$C:$C,'Inflation Data'!$A:$A = F$1))) + 'Fund YTD Contributions'!F49,'Fund YTD Contributions'!F49)"),0.0)</f>
        <v>0</v>
      </c>
      <c r="G49" s="152">
        <f>IFERROR(__xludf.DUMMYFUNCTION("IFERROR(F49 * (1 + AVERAGE(Filter('Inflation Data'!$C:$C,'Inflation Data'!$A:$A = G$1))) + 'Fund YTD Contributions'!G49,'Fund YTD Contributions'!G49)"),0.0)</f>
        <v>0</v>
      </c>
      <c r="H49" s="152">
        <f>IFERROR(__xludf.DUMMYFUNCTION("IFERROR(G49 * (1 + AVERAGE(Filter('Inflation Data'!$C:$C,'Inflation Data'!$A:$A = H$1))) + 'Fund YTD Contributions'!H49,'Fund YTD Contributions'!H49)"),0.0)</f>
        <v>0</v>
      </c>
      <c r="I49" s="152">
        <f>IFERROR(__xludf.DUMMYFUNCTION("IFERROR(H49 * (1 + AVERAGE(Filter('Inflation Data'!$C:$C,'Inflation Data'!$A:$A = I$1))) + 'Fund YTD Contributions'!I49,'Fund YTD Contributions'!I49)"),0.0)</f>
        <v>0</v>
      </c>
      <c r="J49" s="152">
        <f>IFERROR(__xludf.DUMMYFUNCTION("IFERROR(I49 * (1 + AVERAGE(Filter('Inflation Data'!$C:$C,'Inflation Data'!$A:$A = J$1))) + 'Fund YTD Contributions'!J49,'Fund YTD Contributions'!J49)"),0.0)</f>
        <v>0</v>
      </c>
      <c r="K49" s="152">
        <f>IFERROR(__xludf.DUMMYFUNCTION("IFERROR(J49 * (1 + AVERAGE(Filter('Inflation Data'!$C:$C,'Inflation Data'!$A:$A = K$1))) + 'Fund YTD Contributions'!K49,'Fund YTD Contributions'!K49)"),0.0)</f>
        <v>0</v>
      </c>
      <c r="L49" s="152">
        <f>IFERROR(__xludf.DUMMYFUNCTION("IFERROR(K49 * (1 + AVERAGE(Filter('Inflation Data'!$C:$C,'Inflation Data'!$A:$A = L$1))) + 'Fund YTD Contributions'!L49,'Fund YTD Contributions'!L49)"),0.0)</f>
        <v>0</v>
      </c>
      <c r="M49" s="152">
        <f>IFERROR(__xludf.DUMMYFUNCTION("IFERROR(L49 * (1 + AVERAGE(Filter('Inflation Data'!$C:$C,'Inflation Data'!$A:$A = M$1))) + 'Fund YTD Contributions'!M49,'Fund YTD Contributions'!M49)"),0.0)</f>
        <v>0</v>
      </c>
      <c r="N49" s="152">
        <f>IFERROR(__xludf.DUMMYFUNCTION("IFERROR(M49 * (1 + AVERAGE(Filter('Inflation Data'!$C:$C,'Inflation Data'!$A:$A = N$1))) + 'Fund YTD Contributions'!N49,'Fund YTD Contributions'!N49)"),0.0)</f>
        <v>0</v>
      </c>
      <c r="O49" s="152">
        <f>IFERROR(__xludf.DUMMYFUNCTION("IFERROR(N49 * (1 + AVERAGE(Filter('Inflation Data'!$C:$C,'Inflation Data'!$A:$A = O$1))) + 'Fund YTD Contributions'!O49,'Fund YTD Contributions'!O49)"),0.0)</f>
        <v>0</v>
      </c>
      <c r="P49" s="152">
        <f>IFERROR(__xludf.DUMMYFUNCTION("IFERROR(O49 * (1 + AVERAGE(Filter('Inflation Data'!$C:$C,'Inflation Data'!$A:$A = P$1))) + 'Fund YTD Contributions'!P49,'Fund YTD Contributions'!P49)"),0.0)</f>
        <v>0</v>
      </c>
      <c r="Q49" s="152">
        <f>IFERROR(__xludf.DUMMYFUNCTION("IFERROR(P49 * (1 + AVERAGE(Filter('Inflation Data'!$C:$C,'Inflation Data'!$A:$A = Q$1))) + 'Fund YTD Contributions'!Q49,'Fund YTD Contributions'!Q49)"),0.0)</f>
        <v>0</v>
      </c>
      <c r="R49" s="152">
        <f>IFERROR(__xludf.DUMMYFUNCTION("IFERROR(Q49 * (1 + AVERAGE(Filter('Inflation Data'!$C:$C,'Inflation Data'!$A:$A = R$1))) + 'Fund YTD Contributions'!R49,'Fund YTD Contributions'!R49)"),0.0)</f>
        <v>0</v>
      </c>
      <c r="S49" s="152">
        <f>IFERROR(__xludf.DUMMYFUNCTION("IFERROR(R49 * (1 + AVERAGE(Filter('Inflation Data'!$C:$C,'Inflation Data'!$A:$A = S$1))) + 'Fund YTD Contributions'!S49,'Fund YTD Contributions'!S49)"),0.0)</f>
        <v>0</v>
      </c>
      <c r="T49" s="152">
        <f>IFERROR(__xludf.DUMMYFUNCTION("IFERROR(S49 * (1 + AVERAGE(Filter('Inflation Data'!$C:$C,'Inflation Data'!$A:$A = T$1))) + 'Fund YTD Contributions'!T49,'Fund YTD Contributions'!T49)"),0.0)</f>
        <v>0</v>
      </c>
      <c r="U49" s="152">
        <f>IFERROR(__xludf.DUMMYFUNCTION("IFERROR(T49 * (1 + AVERAGE(Filter('Inflation Data'!$C:$C,'Inflation Data'!$A:$A = U$1))) + 'Fund YTD Contributions'!U49,'Fund YTD Contributions'!U49)"),0.0)</f>
        <v>0</v>
      </c>
      <c r="V49" s="152">
        <f>IFERROR(__xludf.DUMMYFUNCTION("IFERROR(U49 * (1 + AVERAGE(Filter('Inflation Data'!$C:$C,'Inflation Data'!$A:$A = V$1))) + 'Fund YTD Contributions'!V49,'Fund YTD Contributions'!V49)"),0.0)</f>
        <v>0</v>
      </c>
      <c r="W49" s="152">
        <f>IFERROR(__xludf.DUMMYFUNCTION("IFERROR(V49 * (1 + AVERAGE(Filter('Inflation Data'!$C:$C,'Inflation Data'!$A:$A = W$1))) + 'Fund YTD Contributions'!W49,'Fund YTD Contributions'!W49)"),0.0)</f>
        <v>0</v>
      </c>
      <c r="X49" s="152">
        <f>IFERROR(__xludf.DUMMYFUNCTION("IFERROR(W49 * (1 + AVERAGE(Filter('Inflation Data'!$C:$C,'Inflation Data'!$A:$A = X$1))) + 'Fund YTD Contributions'!X49,'Fund YTD Contributions'!X49)"),0.0)</f>
        <v>0</v>
      </c>
      <c r="Y49" s="152">
        <f>IFERROR(__xludf.DUMMYFUNCTION("IFERROR(X49 * (1 + AVERAGE(Filter('Inflation Data'!$C:$C,'Inflation Data'!$A:$A = Y$1))) + 'Fund YTD Contributions'!Y49,'Fund YTD Contributions'!Y49)"),0.0)</f>
        <v>0</v>
      </c>
      <c r="Z49" s="152">
        <f>IFERROR(__xludf.DUMMYFUNCTION("IFERROR(Y49 * (1 + AVERAGE(Filter('Inflation Data'!$C:$C,'Inflation Data'!$A:$A = Z$1))) + 'Fund YTD Contributions'!Z49,'Fund YTD Contributions'!Z49)"),0.0)</f>
        <v>0</v>
      </c>
      <c r="AA49" s="152">
        <f>IFERROR(__xludf.DUMMYFUNCTION("IFERROR(Z49 * (1 + AVERAGE(Filter('Inflation Data'!$C:$C,'Inflation Data'!$A:$A = AA$1))) + 'Fund YTD Contributions'!AA49,'Fund YTD Contributions'!AA49)"),0.0)</f>
        <v>0</v>
      </c>
      <c r="AB49" s="152">
        <f>IFERROR(__xludf.DUMMYFUNCTION("IFERROR(AA49 * (1 + AVERAGE(Filter('Inflation Data'!$C:$C,'Inflation Data'!$A:$A = AB$1))) + 'Fund YTD Contributions'!AB49,'Fund YTD Contributions'!AB49)"),0.0)</f>
        <v>0</v>
      </c>
      <c r="AC49" s="152">
        <f>IFERROR(__xludf.DUMMYFUNCTION("IFERROR(AB49 * (1 + AVERAGE(Filter('Inflation Data'!$C:$C,'Inflation Data'!$A:$A = AC$1))) + 'Fund YTD Contributions'!AC49,'Fund YTD Contributions'!AC49)"),0.0)</f>
        <v>0</v>
      </c>
      <c r="AD49" s="152">
        <f>IFERROR(__xludf.DUMMYFUNCTION("IFERROR(AC49 * (1 + AVERAGE(Filter('Inflation Data'!$C:$C,'Inflation Data'!$A:$A = AD$1))) + 'Fund YTD Contributions'!AD49,'Fund YTD Contributions'!AD49)"),0.0)</f>
        <v>0</v>
      </c>
      <c r="AE49" s="152">
        <f>IFERROR(__xludf.DUMMYFUNCTION("IFERROR(AD49 * (1 + AVERAGE(Filter('Inflation Data'!$C:$C,'Inflation Data'!$A:$A = AE$1))) + 'Fund YTD Contributions'!AE49,'Fund YTD Contributions'!AE49)"),0.0)</f>
        <v>0</v>
      </c>
      <c r="AF49" s="152">
        <f>IFERROR(__xludf.DUMMYFUNCTION("IFERROR(AE49 * (1 + AVERAGE(Filter('Inflation Data'!$C:$C,'Inflation Data'!$A:$A = AF$1))) + 'Fund YTD Contributions'!AF49,'Fund YTD Contributions'!AF49)"),0.0)</f>
        <v>0</v>
      </c>
    </row>
    <row r="50">
      <c r="A50" s="150" t="str">
        <f>'Endowed Funds'!A:A</f>
        <v/>
      </c>
      <c r="B50" s="152">
        <f>IFERROR(__xludf.DUMMYFUNCTION("IFERROR(A50 * (1 + AVERAGE(Filter('Inflation Data'!$C:$C,'Inflation Data'!$A:$A = B$1))) + 'Fund YTD Contributions'!B50,'Fund YTD Contributions'!B50)"),0.0)</f>
        <v>0</v>
      </c>
      <c r="C50" s="152">
        <f>IFERROR(__xludf.DUMMYFUNCTION("IFERROR(B50 * (1 + AVERAGE(Filter('Inflation Data'!$C:$C,'Inflation Data'!$A:$A = C$1))) + 'Fund YTD Contributions'!C50,'Fund YTD Contributions'!C50)"),0.0)</f>
        <v>0</v>
      </c>
      <c r="D50" s="152">
        <f>IFERROR(__xludf.DUMMYFUNCTION("IFERROR(C50 * (1 + AVERAGE(Filter('Inflation Data'!$C:$C,'Inflation Data'!$A:$A = D$1))) + 'Fund YTD Contributions'!D50,'Fund YTD Contributions'!D50)"),0.0)</f>
        <v>0</v>
      </c>
      <c r="E50" s="152">
        <f>IFERROR(__xludf.DUMMYFUNCTION("IFERROR(D50 * (1 + AVERAGE(Filter('Inflation Data'!$C:$C,'Inflation Data'!$A:$A = E$1))) + 'Fund YTD Contributions'!E50,'Fund YTD Contributions'!E50)"),0.0)</f>
        <v>0</v>
      </c>
      <c r="F50" s="152">
        <f>IFERROR(__xludf.DUMMYFUNCTION("IFERROR(E50 * (1 + AVERAGE(Filter('Inflation Data'!$C:$C,'Inflation Data'!$A:$A = F$1))) + 'Fund YTD Contributions'!F50,'Fund YTD Contributions'!F50)"),0.0)</f>
        <v>0</v>
      </c>
      <c r="G50" s="152">
        <f>IFERROR(__xludf.DUMMYFUNCTION("IFERROR(F50 * (1 + AVERAGE(Filter('Inflation Data'!$C:$C,'Inflation Data'!$A:$A = G$1))) + 'Fund YTD Contributions'!G50,'Fund YTD Contributions'!G50)"),0.0)</f>
        <v>0</v>
      </c>
      <c r="H50" s="152">
        <f>IFERROR(__xludf.DUMMYFUNCTION("IFERROR(G50 * (1 + AVERAGE(Filter('Inflation Data'!$C:$C,'Inflation Data'!$A:$A = H$1))) + 'Fund YTD Contributions'!H50,'Fund YTD Contributions'!H50)"),0.0)</f>
        <v>0</v>
      </c>
      <c r="I50" s="152">
        <f>IFERROR(__xludf.DUMMYFUNCTION("IFERROR(H50 * (1 + AVERAGE(Filter('Inflation Data'!$C:$C,'Inflation Data'!$A:$A = I$1))) + 'Fund YTD Contributions'!I50,'Fund YTD Contributions'!I50)"),0.0)</f>
        <v>0</v>
      </c>
      <c r="J50" s="152">
        <f>IFERROR(__xludf.DUMMYFUNCTION("IFERROR(I50 * (1 + AVERAGE(Filter('Inflation Data'!$C:$C,'Inflation Data'!$A:$A = J$1))) + 'Fund YTD Contributions'!J50,'Fund YTD Contributions'!J50)"),0.0)</f>
        <v>0</v>
      </c>
      <c r="K50" s="152">
        <f>IFERROR(__xludf.DUMMYFUNCTION("IFERROR(J50 * (1 + AVERAGE(Filter('Inflation Data'!$C:$C,'Inflation Data'!$A:$A = K$1))) + 'Fund YTD Contributions'!K50,'Fund YTD Contributions'!K50)"),0.0)</f>
        <v>0</v>
      </c>
      <c r="L50" s="152">
        <f>IFERROR(__xludf.DUMMYFUNCTION("IFERROR(K50 * (1 + AVERAGE(Filter('Inflation Data'!$C:$C,'Inflation Data'!$A:$A = L$1))) + 'Fund YTD Contributions'!L50,'Fund YTD Contributions'!L50)"),0.0)</f>
        <v>0</v>
      </c>
      <c r="M50" s="152">
        <f>IFERROR(__xludf.DUMMYFUNCTION("IFERROR(L50 * (1 + AVERAGE(Filter('Inflation Data'!$C:$C,'Inflation Data'!$A:$A = M$1))) + 'Fund YTD Contributions'!M50,'Fund YTD Contributions'!M50)"),0.0)</f>
        <v>0</v>
      </c>
      <c r="N50" s="152">
        <f>IFERROR(__xludf.DUMMYFUNCTION("IFERROR(M50 * (1 + AVERAGE(Filter('Inflation Data'!$C:$C,'Inflation Data'!$A:$A = N$1))) + 'Fund YTD Contributions'!N50,'Fund YTD Contributions'!N50)"),0.0)</f>
        <v>0</v>
      </c>
      <c r="O50" s="152">
        <f>IFERROR(__xludf.DUMMYFUNCTION("IFERROR(N50 * (1 + AVERAGE(Filter('Inflation Data'!$C:$C,'Inflation Data'!$A:$A = O$1))) + 'Fund YTD Contributions'!O50,'Fund YTD Contributions'!O50)"),0.0)</f>
        <v>0</v>
      </c>
      <c r="P50" s="152">
        <f>IFERROR(__xludf.DUMMYFUNCTION("IFERROR(O50 * (1 + AVERAGE(Filter('Inflation Data'!$C:$C,'Inflation Data'!$A:$A = P$1))) + 'Fund YTD Contributions'!P50,'Fund YTD Contributions'!P50)"),0.0)</f>
        <v>0</v>
      </c>
      <c r="Q50" s="152">
        <f>IFERROR(__xludf.DUMMYFUNCTION("IFERROR(P50 * (1 + AVERAGE(Filter('Inflation Data'!$C:$C,'Inflation Data'!$A:$A = Q$1))) + 'Fund YTD Contributions'!Q50,'Fund YTD Contributions'!Q50)"),0.0)</f>
        <v>0</v>
      </c>
      <c r="R50" s="152">
        <f>IFERROR(__xludf.DUMMYFUNCTION("IFERROR(Q50 * (1 + AVERAGE(Filter('Inflation Data'!$C:$C,'Inflation Data'!$A:$A = R$1))) + 'Fund YTD Contributions'!R50,'Fund YTD Contributions'!R50)"),0.0)</f>
        <v>0</v>
      </c>
      <c r="S50" s="152">
        <f>IFERROR(__xludf.DUMMYFUNCTION("IFERROR(R50 * (1 + AVERAGE(Filter('Inflation Data'!$C:$C,'Inflation Data'!$A:$A = S$1))) + 'Fund YTD Contributions'!S50,'Fund YTD Contributions'!S50)"),0.0)</f>
        <v>0</v>
      </c>
      <c r="T50" s="152">
        <f>IFERROR(__xludf.DUMMYFUNCTION("IFERROR(S50 * (1 + AVERAGE(Filter('Inflation Data'!$C:$C,'Inflation Data'!$A:$A = T$1))) + 'Fund YTD Contributions'!T50,'Fund YTD Contributions'!T50)"),0.0)</f>
        <v>0</v>
      </c>
      <c r="U50" s="152">
        <f>IFERROR(__xludf.DUMMYFUNCTION("IFERROR(T50 * (1 + AVERAGE(Filter('Inflation Data'!$C:$C,'Inflation Data'!$A:$A = U$1))) + 'Fund YTD Contributions'!U50,'Fund YTD Contributions'!U50)"),0.0)</f>
        <v>0</v>
      </c>
      <c r="V50" s="152">
        <f>IFERROR(__xludf.DUMMYFUNCTION("IFERROR(U50 * (1 + AVERAGE(Filter('Inflation Data'!$C:$C,'Inflation Data'!$A:$A = V$1))) + 'Fund YTD Contributions'!V50,'Fund YTD Contributions'!V50)"),0.0)</f>
        <v>0</v>
      </c>
      <c r="W50" s="152">
        <f>IFERROR(__xludf.DUMMYFUNCTION("IFERROR(V50 * (1 + AVERAGE(Filter('Inflation Data'!$C:$C,'Inflation Data'!$A:$A = W$1))) + 'Fund YTD Contributions'!W50,'Fund YTD Contributions'!W50)"),0.0)</f>
        <v>0</v>
      </c>
      <c r="X50" s="152">
        <f>IFERROR(__xludf.DUMMYFUNCTION("IFERROR(W50 * (1 + AVERAGE(Filter('Inflation Data'!$C:$C,'Inflation Data'!$A:$A = X$1))) + 'Fund YTD Contributions'!X50,'Fund YTD Contributions'!X50)"),0.0)</f>
        <v>0</v>
      </c>
      <c r="Y50" s="152">
        <f>IFERROR(__xludf.DUMMYFUNCTION("IFERROR(X50 * (1 + AVERAGE(Filter('Inflation Data'!$C:$C,'Inflation Data'!$A:$A = Y$1))) + 'Fund YTD Contributions'!Y50,'Fund YTD Contributions'!Y50)"),0.0)</f>
        <v>0</v>
      </c>
      <c r="Z50" s="152">
        <f>IFERROR(__xludf.DUMMYFUNCTION("IFERROR(Y50 * (1 + AVERAGE(Filter('Inflation Data'!$C:$C,'Inflation Data'!$A:$A = Z$1))) + 'Fund YTD Contributions'!Z50,'Fund YTD Contributions'!Z50)"),0.0)</f>
        <v>0</v>
      </c>
      <c r="AA50" s="152">
        <f>IFERROR(__xludf.DUMMYFUNCTION("IFERROR(Z50 * (1 + AVERAGE(Filter('Inflation Data'!$C:$C,'Inflation Data'!$A:$A = AA$1))) + 'Fund YTD Contributions'!AA50,'Fund YTD Contributions'!AA50)"),0.0)</f>
        <v>0</v>
      </c>
      <c r="AB50" s="152">
        <f>IFERROR(__xludf.DUMMYFUNCTION("IFERROR(AA50 * (1 + AVERAGE(Filter('Inflation Data'!$C:$C,'Inflation Data'!$A:$A = AB$1))) + 'Fund YTD Contributions'!AB50,'Fund YTD Contributions'!AB50)"),0.0)</f>
        <v>0</v>
      </c>
      <c r="AC50" s="152">
        <f>IFERROR(__xludf.DUMMYFUNCTION("IFERROR(AB50 * (1 + AVERAGE(Filter('Inflation Data'!$C:$C,'Inflation Data'!$A:$A = AC$1))) + 'Fund YTD Contributions'!AC50,'Fund YTD Contributions'!AC50)"),0.0)</f>
        <v>0</v>
      </c>
      <c r="AD50" s="152">
        <f>IFERROR(__xludf.DUMMYFUNCTION("IFERROR(AC50 * (1 + AVERAGE(Filter('Inflation Data'!$C:$C,'Inflation Data'!$A:$A = AD$1))) + 'Fund YTD Contributions'!AD50,'Fund YTD Contributions'!AD50)"),0.0)</f>
        <v>0</v>
      </c>
      <c r="AE50" s="152">
        <f>IFERROR(__xludf.DUMMYFUNCTION("IFERROR(AD50 * (1 + AVERAGE(Filter('Inflation Data'!$C:$C,'Inflation Data'!$A:$A = AE$1))) + 'Fund YTD Contributions'!AE50,'Fund YTD Contributions'!AE50)"),0.0)</f>
        <v>0</v>
      </c>
      <c r="AF50" s="152">
        <f>IFERROR(__xludf.DUMMYFUNCTION("IFERROR(AE50 * (1 + AVERAGE(Filter('Inflation Data'!$C:$C,'Inflation Data'!$A:$A = AF$1))) + 'Fund YTD Contributions'!AF50,'Fund YTD Contributions'!AF50)"),0.0)</f>
        <v>0</v>
      </c>
    </row>
    <row r="51">
      <c r="A51" s="150" t="str">
        <f>'Endowed Funds'!A:A</f>
        <v/>
      </c>
      <c r="B51" s="152">
        <f>IFERROR(__xludf.DUMMYFUNCTION("IFERROR(A51 * (1 + AVERAGE(Filter('Inflation Data'!$C:$C,'Inflation Data'!$A:$A = B$1))) + 'Fund YTD Contributions'!B51,'Fund YTD Contributions'!B51)"),0.0)</f>
        <v>0</v>
      </c>
      <c r="C51" s="152">
        <f>IFERROR(__xludf.DUMMYFUNCTION("IFERROR(B51 * (1 + AVERAGE(Filter('Inflation Data'!$C:$C,'Inflation Data'!$A:$A = C$1))) + 'Fund YTD Contributions'!C51,'Fund YTD Contributions'!C51)"),0.0)</f>
        <v>0</v>
      </c>
      <c r="D51" s="152">
        <f>IFERROR(__xludf.DUMMYFUNCTION("IFERROR(C51 * (1 + AVERAGE(Filter('Inflation Data'!$C:$C,'Inflation Data'!$A:$A = D$1))) + 'Fund YTD Contributions'!D51,'Fund YTD Contributions'!D51)"),0.0)</f>
        <v>0</v>
      </c>
      <c r="E51" s="152">
        <f>IFERROR(__xludf.DUMMYFUNCTION("IFERROR(D51 * (1 + AVERAGE(Filter('Inflation Data'!$C:$C,'Inflation Data'!$A:$A = E$1))) + 'Fund YTD Contributions'!E51,'Fund YTD Contributions'!E51)"),0.0)</f>
        <v>0</v>
      </c>
      <c r="F51" s="152">
        <f>IFERROR(__xludf.DUMMYFUNCTION("IFERROR(E51 * (1 + AVERAGE(Filter('Inflation Data'!$C:$C,'Inflation Data'!$A:$A = F$1))) + 'Fund YTD Contributions'!F51,'Fund YTD Contributions'!F51)"),0.0)</f>
        <v>0</v>
      </c>
      <c r="G51" s="152">
        <f>IFERROR(__xludf.DUMMYFUNCTION("IFERROR(F51 * (1 + AVERAGE(Filter('Inflation Data'!$C:$C,'Inflation Data'!$A:$A = G$1))) + 'Fund YTD Contributions'!G51,'Fund YTD Contributions'!G51)"),0.0)</f>
        <v>0</v>
      </c>
      <c r="H51" s="152">
        <f>IFERROR(__xludf.DUMMYFUNCTION("IFERROR(G51 * (1 + AVERAGE(Filter('Inflation Data'!$C:$C,'Inflation Data'!$A:$A = H$1))) + 'Fund YTD Contributions'!H51,'Fund YTD Contributions'!H51)"),0.0)</f>
        <v>0</v>
      </c>
      <c r="I51" s="152">
        <f>IFERROR(__xludf.DUMMYFUNCTION("IFERROR(H51 * (1 + AVERAGE(Filter('Inflation Data'!$C:$C,'Inflation Data'!$A:$A = I$1))) + 'Fund YTD Contributions'!I51,'Fund YTD Contributions'!I51)"),0.0)</f>
        <v>0</v>
      </c>
      <c r="J51" s="152">
        <f>IFERROR(__xludf.DUMMYFUNCTION("IFERROR(I51 * (1 + AVERAGE(Filter('Inflation Data'!$C:$C,'Inflation Data'!$A:$A = J$1))) + 'Fund YTD Contributions'!J51,'Fund YTD Contributions'!J51)"),0.0)</f>
        <v>0</v>
      </c>
      <c r="K51" s="152">
        <f>IFERROR(__xludf.DUMMYFUNCTION("IFERROR(J51 * (1 + AVERAGE(Filter('Inflation Data'!$C:$C,'Inflation Data'!$A:$A = K$1))) + 'Fund YTD Contributions'!K51,'Fund YTD Contributions'!K51)"),0.0)</f>
        <v>0</v>
      </c>
      <c r="L51" s="152">
        <f>IFERROR(__xludf.DUMMYFUNCTION("IFERROR(K51 * (1 + AVERAGE(Filter('Inflation Data'!$C:$C,'Inflation Data'!$A:$A = L$1))) + 'Fund YTD Contributions'!L51,'Fund YTD Contributions'!L51)"),0.0)</f>
        <v>0</v>
      </c>
      <c r="M51" s="152">
        <f>IFERROR(__xludf.DUMMYFUNCTION("IFERROR(L51 * (1 + AVERAGE(Filter('Inflation Data'!$C:$C,'Inflation Data'!$A:$A = M$1))) + 'Fund YTD Contributions'!M51,'Fund YTD Contributions'!M51)"),0.0)</f>
        <v>0</v>
      </c>
      <c r="N51" s="152">
        <f>IFERROR(__xludf.DUMMYFUNCTION("IFERROR(M51 * (1 + AVERAGE(Filter('Inflation Data'!$C:$C,'Inflation Data'!$A:$A = N$1))) + 'Fund YTD Contributions'!N51,'Fund YTD Contributions'!N51)"),0.0)</f>
        <v>0</v>
      </c>
      <c r="O51" s="152">
        <f>IFERROR(__xludf.DUMMYFUNCTION("IFERROR(N51 * (1 + AVERAGE(Filter('Inflation Data'!$C:$C,'Inflation Data'!$A:$A = O$1))) + 'Fund YTD Contributions'!O51,'Fund YTD Contributions'!O51)"),0.0)</f>
        <v>0</v>
      </c>
      <c r="P51" s="152">
        <f>IFERROR(__xludf.DUMMYFUNCTION("IFERROR(O51 * (1 + AVERAGE(Filter('Inflation Data'!$C:$C,'Inflation Data'!$A:$A = P$1))) + 'Fund YTD Contributions'!P51,'Fund YTD Contributions'!P51)"),0.0)</f>
        <v>0</v>
      </c>
      <c r="Q51" s="152">
        <f>IFERROR(__xludf.DUMMYFUNCTION("IFERROR(P51 * (1 + AVERAGE(Filter('Inflation Data'!$C:$C,'Inflation Data'!$A:$A = Q$1))) + 'Fund YTD Contributions'!Q51,'Fund YTD Contributions'!Q51)"),0.0)</f>
        <v>0</v>
      </c>
      <c r="R51" s="152">
        <f>IFERROR(__xludf.DUMMYFUNCTION("IFERROR(Q51 * (1 + AVERAGE(Filter('Inflation Data'!$C:$C,'Inflation Data'!$A:$A = R$1))) + 'Fund YTD Contributions'!R51,'Fund YTD Contributions'!R51)"),0.0)</f>
        <v>0</v>
      </c>
      <c r="S51" s="152">
        <f>IFERROR(__xludf.DUMMYFUNCTION("IFERROR(R51 * (1 + AVERAGE(Filter('Inflation Data'!$C:$C,'Inflation Data'!$A:$A = S$1))) + 'Fund YTD Contributions'!S51,'Fund YTD Contributions'!S51)"),0.0)</f>
        <v>0</v>
      </c>
      <c r="T51" s="152">
        <f>IFERROR(__xludf.DUMMYFUNCTION("IFERROR(S51 * (1 + AVERAGE(Filter('Inflation Data'!$C:$C,'Inflation Data'!$A:$A = T$1))) + 'Fund YTD Contributions'!T51,'Fund YTD Contributions'!T51)"),0.0)</f>
        <v>0</v>
      </c>
      <c r="U51" s="152">
        <f>IFERROR(__xludf.DUMMYFUNCTION("IFERROR(T51 * (1 + AVERAGE(Filter('Inflation Data'!$C:$C,'Inflation Data'!$A:$A = U$1))) + 'Fund YTD Contributions'!U51,'Fund YTD Contributions'!U51)"),0.0)</f>
        <v>0</v>
      </c>
      <c r="V51" s="152">
        <f>IFERROR(__xludf.DUMMYFUNCTION("IFERROR(U51 * (1 + AVERAGE(Filter('Inflation Data'!$C:$C,'Inflation Data'!$A:$A = V$1))) + 'Fund YTD Contributions'!V51,'Fund YTD Contributions'!V51)"),0.0)</f>
        <v>0</v>
      </c>
      <c r="W51" s="152">
        <f>IFERROR(__xludf.DUMMYFUNCTION("IFERROR(V51 * (1 + AVERAGE(Filter('Inflation Data'!$C:$C,'Inflation Data'!$A:$A = W$1))) + 'Fund YTD Contributions'!W51,'Fund YTD Contributions'!W51)"),0.0)</f>
        <v>0</v>
      </c>
      <c r="X51" s="152">
        <f>IFERROR(__xludf.DUMMYFUNCTION("IFERROR(W51 * (1 + AVERAGE(Filter('Inflation Data'!$C:$C,'Inflation Data'!$A:$A = X$1))) + 'Fund YTD Contributions'!X51,'Fund YTD Contributions'!X51)"),0.0)</f>
        <v>0</v>
      </c>
      <c r="Y51" s="152">
        <f>IFERROR(__xludf.DUMMYFUNCTION("IFERROR(X51 * (1 + AVERAGE(Filter('Inflation Data'!$C:$C,'Inflation Data'!$A:$A = Y$1))) + 'Fund YTD Contributions'!Y51,'Fund YTD Contributions'!Y51)"),0.0)</f>
        <v>0</v>
      </c>
      <c r="Z51" s="152">
        <f>IFERROR(__xludf.DUMMYFUNCTION("IFERROR(Y51 * (1 + AVERAGE(Filter('Inflation Data'!$C:$C,'Inflation Data'!$A:$A = Z$1))) + 'Fund YTD Contributions'!Z51,'Fund YTD Contributions'!Z51)"),0.0)</f>
        <v>0</v>
      </c>
      <c r="AA51" s="152">
        <f>IFERROR(__xludf.DUMMYFUNCTION("IFERROR(Z51 * (1 + AVERAGE(Filter('Inflation Data'!$C:$C,'Inflation Data'!$A:$A = AA$1))) + 'Fund YTD Contributions'!AA51,'Fund YTD Contributions'!AA51)"),0.0)</f>
        <v>0</v>
      </c>
      <c r="AB51" s="152">
        <f>IFERROR(__xludf.DUMMYFUNCTION("IFERROR(AA51 * (1 + AVERAGE(Filter('Inflation Data'!$C:$C,'Inflation Data'!$A:$A = AB$1))) + 'Fund YTD Contributions'!AB51,'Fund YTD Contributions'!AB51)"),0.0)</f>
        <v>0</v>
      </c>
      <c r="AC51" s="152">
        <f>IFERROR(__xludf.DUMMYFUNCTION("IFERROR(AB51 * (1 + AVERAGE(Filter('Inflation Data'!$C:$C,'Inflation Data'!$A:$A = AC$1))) + 'Fund YTD Contributions'!AC51,'Fund YTD Contributions'!AC51)"),0.0)</f>
        <v>0</v>
      </c>
      <c r="AD51" s="152">
        <f>IFERROR(__xludf.DUMMYFUNCTION("IFERROR(AC51 * (1 + AVERAGE(Filter('Inflation Data'!$C:$C,'Inflation Data'!$A:$A = AD$1))) + 'Fund YTD Contributions'!AD51,'Fund YTD Contributions'!AD51)"),0.0)</f>
        <v>0</v>
      </c>
      <c r="AE51" s="152">
        <f>IFERROR(__xludf.DUMMYFUNCTION("IFERROR(AD51 * (1 + AVERAGE(Filter('Inflation Data'!$C:$C,'Inflation Data'!$A:$A = AE$1))) + 'Fund YTD Contributions'!AE51,'Fund YTD Contributions'!AE51)"),0.0)</f>
        <v>0</v>
      </c>
      <c r="AF51" s="152">
        <f>IFERROR(__xludf.DUMMYFUNCTION("IFERROR(AE51 * (1 + AVERAGE(Filter('Inflation Data'!$C:$C,'Inflation Data'!$A:$A = AF$1))) + 'Fund YTD Contributions'!AF51,'Fund YTD Contributions'!AF51)"),0.0)</f>
        <v>0</v>
      </c>
    </row>
    <row r="52">
      <c r="A52" s="150" t="str">
        <f>'Endowed Funds'!A:A</f>
        <v/>
      </c>
      <c r="B52" s="152">
        <f>IFERROR(__xludf.DUMMYFUNCTION("IFERROR(A52 * (1 + AVERAGE(Filter('Inflation Data'!$C:$C,'Inflation Data'!$A:$A = B$1))) + 'Fund YTD Contributions'!B52,'Fund YTD Contributions'!B52)"),0.0)</f>
        <v>0</v>
      </c>
      <c r="C52" s="152">
        <f>IFERROR(__xludf.DUMMYFUNCTION("IFERROR(B52 * (1 + AVERAGE(Filter('Inflation Data'!$C:$C,'Inflation Data'!$A:$A = C$1))) + 'Fund YTD Contributions'!C52,'Fund YTD Contributions'!C52)"),0.0)</f>
        <v>0</v>
      </c>
      <c r="D52" s="152">
        <f>IFERROR(__xludf.DUMMYFUNCTION("IFERROR(C52 * (1 + AVERAGE(Filter('Inflation Data'!$C:$C,'Inflation Data'!$A:$A = D$1))) + 'Fund YTD Contributions'!D52,'Fund YTD Contributions'!D52)"),0.0)</f>
        <v>0</v>
      </c>
      <c r="E52" s="152">
        <f>IFERROR(__xludf.DUMMYFUNCTION("IFERROR(D52 * (1 + AVERAGE(Filter('Inflation Data'!$C:$C,'Inflation Data'!$A:$A = E$1))) + 'Fund YTD Contributions'!E52,'Fund YTD Contributions'!E52)"),0.0)</f>
        <v>0</v>
      </c>
      <c r="F52" s="152">
        <f>IFERROR(__xludf.DUMMYFUNCTION("IFERROR(E52 * (1 + AVERAGE(Filter('Inflation Data'!$C:$C,'Inflation Data'!$A:$A = F$1))) + 'Fund YTD Contributions'!F52,'Fund YTD Contributions'!F52)"),0.0)</f>
        <v>0</v>
      </c>
      <c r="G52" s="152">
        <f>IFERROR(__xludf.DUMMYFUNCTION("IFERROR(F52 * (1 + AVERAGE(Filter('Inflation Data'!$C:$C,'Inflation Data'!$A:$A = G$1))) + 'Fund YTD Contributions'!G52,'Fund YTD Contributions'!G52)"),0.0)</f>
        <v>0</v>
      </c>
      <c r="H52" s="152">
        <f>IFERROR(__xludf.DUMMYFUNCTION("IFERROR(G52 * (1 + AVERAGE(Filter('Inflation Data'!$C:$C,'Inflation Data'!$A:$A = H$1))) + 'Fund YTD Contributions'!H52,'Fund YTD Contributions'!H52)"),0.0)</f>
        <v>0</v>
      </c>
      <c r="I52" s="152">
        <f>IFERROR(__xludf.DUMMYFUNCTION("IFERROR(H52 * (1 + AVERAGE(Filter('Inflation Data'!$C:$C,'Inflation Data'!$A:$A = I$1))) + 'Fund YTD Contributions'!I52,'Fund YTD Contributions'!I52)"),0.0)</f>
        <v>0</v>
      </c>
      <c r="J52" s="152">
        <f>IFERROR(__xludf.DUMMYFUNCTION("IFERROR(I52 * (1 + AVERAGE(Filter('Inflation Data'!$C:$C,'Inflation Data'!$A:$A = J$1))) + 'Fund YTD Contributions'!J52,'Fund YTD Contributions'!J52)"),0.0)</f>
        <v>0</v>
      </c>
      <c r="K52" s="152">
        <f>IFERROR(__xludf.DUMMYFUNCTION("IFERROR(J52 * (1 + AVERAGE(Filter('Inflation Data'!$C:$C,'Inflation Data'!$A:$A = K$1))) + 'Fund YTD Contributions'!K52,'Fund YTD Contributions'!K52)"),0.0)</f>
        <v>0</v>
      </c>
      <c r="L52" s="152">
        <f>IFERROR(__xludf.DUMMYFUNCTION("IFERROR(K52 * (1 + AVERAGE(Filter('Inflation Data'!$C:$C,'Inflation Data'!$A:$A = L$1))) + 'Fund YTD Contributions'!L52,'Fund YTD Contributions'!L52)"),0.0)</f>
        <v>0</v>
      </c>
      <c r="M52" s="152">
        <f>IFERROR(__xludf.DUMMYFUNCTION("IFERROR(L52 * (1 + AVERAGE(Filter('Inflation Data'!$C:$C,'Inflation Data'!$A:$A = M$1))) + 'Fund YTD Contributions'!M52,'Fund YTD Contributions'!M52)"),0.0)</f>
        <v>0</v>
      </c>
      <c r="N52" s="152">
        <f>IFERROR(__xludf.DUMMYFUNCTION("IFERROR(M52 * (1 + AVERAGE(Filter('Inflation Data'!$C:$C,'Inflation Data'!$A:$A = N$1))) + 'Fund YTD Contributions'!N52,'Fund YTD Contributions'!N52)"),0.0)</f>
        <v>0</v>
      </c>
      <c r="O52" s="152">
        <f>IFERROR(__xludf.DUMMYFUNCTION("IFERROR(N52 * (1 + AVERAGE(Filter('Inflation Data'!$C:$C,'Inflation Data'!$A:$A = O$1))) + 'Fund YTD Contributions'!O52,'Fund YTD Contributions'!O52)"),0.0)</f>
        <v>0</v>
      </c>
      <c r="P52" s="152">
        <f>IFERROR(__xludf.DUMMYFUNCTION("IFERROR(O52 * (1 + AVERAGE(Filter('Inflation Data'!$C:$C,'Inflation Data'!$A:$A = P$1))) + 'Fund YTD Contributions'!P52,'Fund YTD Contributions'!P52)"),0.0)</f>
        <v>0</v>
      </c>
      <c r="Q52" s="152">
        <f>IFERROR(__xludf.DUMMYFUNCTION("IFERROR(P52 * (1 + AVERAGE(Filter('Inflation Data'!$C:$C,'Inflation Data'!$A:$A = Q$1))) + 'Fund YTD Contributions'!Q52,'Fund YTD Contributions'!Q52)"),0.0)</f>
        <v>0</v>
      </c>
      <c r="R52" s="152">
        <f>IFERROR(__xludf.DUMMYFUNCTION("IFERROR(Q52 * (1 + AVERAGE(Filter('Inflation Data'!$C:$C,'Inflation Data'!$A:$A = R$1))) + 'Fund YTD Contributions'!R52,'Fund YTD Contributions'!R52)"),0.0)</f>
        <v>0</v>
      </c>
      <c r="S52" s="152">
        <f>IFERROR(__xludf.DUMMYFUNCTION("IFERROR(R52 * (1 + AVERAGE(Filter('Inflation Data'!$C:$C,'Inflation Data'!$A:$A = S$1))) + 'Fund YTD Contributions'!S52,'Fund YTD Contributions'!S52)"),0.0)</f>
        <v>0</v>
      </c>
      <c r="T52" s="152">
        <f>IFERROR(__xludf.DUMMYFUNCTION("IFERROR(S52 * (1 + AVERAGE(Filter('Inflation Data'!$C:$C,'Inflation Data'!$A:$A = T$1))) + 'Fund YTD Contributions'!T52,'Fund YTD Contributions'!T52)"),0.0)</f>
        <v>0</v>
      </c>
      <c r="U52" s="152">
        <f>IFERROR(__xludf.DUMMYFUNCTION("IFERROR(T52 * (1 + AVERAGE(Filter('Inflation Data'!$C:$C,'Inflation Data'!$A:$A = U$1))) + 'Fund YTD Contributions'!U52,'Fund YTD Contributions'!U52)"),0.0)</f>
        <v>0</v>
      </c>
      <c r="V52" s="152">
        <f>IFERROR(__xludf.DUMMYFUNCTION("IFERROR(U52 * (1 + AVERAGE(Filter('Inflation Data'!$C:$C,'Inflation Data'!$A:$A = V$1))) + 'Fund YTD Contributions'!V52,'Fund YTD Contributions'!V52)"),0.0)</f>
        <v>0</v>
      </c>
      <c r="W52" s="152">
        <f>IFERROR(__xludf.DUMMYFUNCTION("IFERROR(V52 * (1 + AVERAGE(Filter('Inflation Data'!$C:$C,'Inflation Data'!$A:$A = W$1))) + 'Fund YTD Contributions'!W52,'Fund YTD Contributions'!W52)"),0.0)</f>
        <v>0</v>
      </c>
      <c r="X52" s="152">
        <f>IFERROR(__xludf.DUMMYFUNCTION("IFERROR(W52 * (1 + AVERAGE(Filter('Inflation Data'!$C:$C,'Inflation Data'!$A:$A = X$1))) + 'Fund YTD Contributions'!X52,'Fund YTD Contributions'!X52)"),0.0)</f>
        <v>0</v>
      </c>
      <c r="Y52" s="152">
        <f>IFERROR(__xludf.DUMMYFUNCTION("IFERROR(X52 * (1 + AVERAGE(Filter('Inflation Data'!$C:$C,'Inflation Data'!$A:$A = Y$1))) + 'Fund YTD Contributions'!Y52,'Fund YTD Contributions'!Y52)"),0.0)</f>
        <v>0</v>
      </c>
      <c r="Z52" s="152">
        <f>IFERROR(__xludf.DUMMYFUNCTION("IFERROR(Y52 * (1 + AVERAGE(Filter('Inflation Data'!$C:$C,'Inflation Data'!$A:$A = Z$1))) + 'Fund YTD Contributions'!Z52,'Fund YTD Contributions'!Z52)"),0.0)</f>
        <v>0</v>
      </c>
      <c r="AA52" s="152">
        <f>IFERROR(__xludf.DUMMYFUNCTION("IFERROR(Z52 * (1 + AVERAGE(Filter('Inflation Data'!$C:$C,'Inflation Data'!$A:$A = AA$1))) + 'Fund YTD Contributions'!AA52,'Fund YTD Contributions'!AA52)"),0.0)</f>
        <v>0</v>
      </c>
      <c r="AB52" s="152">
        <f>IFERROR(__xludf.DUMMYFUNCTION("IFERROR(AA52 * (1 + AVERAGE(Filter('Inflation Data'!$C:$C,'Inflation Data'!$A:$A = AB$1))) + 'Fund YTD Contributions'!AB52,'Fund YTD Contributions'!AB52)"),0.0)</f>
        <v>0</v>
      </c>
      <c r="AC52" s="152">
        <f>IFERROR(__xludf.DUMMYFUNCTION("IFERROR(AB52 * (1 + AVERAGE(Filter('Inflation Data'!$C:$C,'Inflation Data'!$A:$A = AC$1))) + 'Fund YTD Contributions'!AC52,'Fund YTD Contributions'!AC52)"),0.0)</f>
        <v>0</v>
      </c>
      <c r="AD52" s="152">
        <f>IFERROR(__xludf.DUMMYFUNCTION("IFERROR(AC52 * (1 + AVERAGE(Filter('Inflation Data'!$C:$C,'Inflation Data'!$A:$A = AD$1))) + 'Fund YTD Contributions'!AD52,'Fund YTD Contributions'!AD52)"),0.0)</f>
        <v>0</v>
      </c>
      <c r="AE52" s="152">
        <f>IFERROR(__xludf.DUMMYFUNCTION("IFERROR(AD52 * (1 + AVERAGE(Filter('Inflation Data'!$C:$C,'Inflation Data'!$A:$A = AE$1))) + 'Fund YTD Contributions'!AE52,'Fund YTD Contributions'!AE52)"),0.0)</f>
        <v>0</v>
      </c>
      <c r="AF52" s="152">
        <f>IFERROR(__xludf.DUMMYFUNCTION("IFERROR(AE52 * (1 + AVERAGE(Filter('Inflation Data'!$C:$C,'Inflation Data'!$A:$A = AF$1))) + 'Fund YTD Contributions'!AF52,'Fund YTD Contributions'!AF52)"),0.0)</f>
        <v>0</v>
      </c>
    </row>
    <row r="53">
      <c r="A53" s="150" t="str">
        <f>'Endowed Funds'!A:A</f>
        <v/>
      </c>
      <c r="B53" s="152">
        <f>IFERROR(__xludf.DUMMYFUNCTION("IFERROR(A53 * (1 + AVERAGE(Filter('Inflation Data'!$C:$C,'Inflation Data'!$A:$A = B$1))) + 'Fund YTD Contributions'!B53,'Fund YTD Contributions'!B53)"),0.0)</f>
        <v>0</v>
      </c>
      <c r="C53" s="152">
        <f>IFERROR(__xludf.DUMMYFUNCTION("IFERROR(B53 * (1 + AVERAGE(Filter('Inflation Data'!$C:$C,'Inflation Data'!$A:$A = C$1))) + 'Fund YTD Contributions'!C53,'Fund YTD Contributions'!C53)"),0.0)</f>
        <v>0</v>
      </c>
      <c r="D53" s="152">
        <f>IFERROR(__xludf.DUMMYFUNCTION("IFERROR(C53 * (1 + AVERAGE(Filter('Inflation Data'!$C:$C,'Inflation Data'!$A:$A = D$1))) + 'Fund YTD Contributions'!D53,'Fund YTD Contributions'!D53)"),0.0)</f>
        <v>0</v>
      </c>
      <c r="E53" s="152">
        <f>IFERROR(__xludf.DUMMYFUNCTION("IFERROR(D53 * (1 + AVERAGE(Filter('Inflation Data'!$C:$C,'Inflation Data'!$A:$A = E$1))) + 'Fund YTD Contributions'!E53,'Fund YTD Contributions'!E53)"),0.0)</f>
        <v>0</v>
      </c>
      <c r="F53" s="152">
        <f>IFERROR(__xludf.DUMMYFUNCTION("IFERROR(E53 * (1 + AVERAGE(Filter('Inflation Data'!$C:$C,'Inflation Data'!$A:$A = F$1))) + 'Fund YTD Contributions'!F53,'Fund YTD Contributions'!F53)"),0.0)</f>
        <v>0</v>
      </c>
      <c r="G53" s="152">
        <f>IFERROR(__xludf.DUMMYFUNCTION("IFERROR(F53 * (1 + AVERAGE(Filter('Inflation Data'!$C:$C,'Inflation Data'!$A:$A = G$1))) + 'Fund YTD Contributions'!G53,'Fund YTD Contributions'!G53)"),0.0)</f>
        <v>0</v>
      </c>
      <c r="H53" s="152">
        <f>IFERROR(__xludf.DUMMYFUNCTION("IFERROR(G53 * (1 + AVERAGE(Filter('Inflation Data'!$C:$C,'Inflation Data'!$A:$A = H$1))) + 'Fund YTD Contributions'!H53,'Fund YTD Contributions'!H53)"),0.0)</f>
        <v>0</v>
      </c>
      <c r="I53" s="152">
        <f>IFERROR(__xludf.DUMMYFUNCTION("IFERROR(H53 * (1 + AVERAGE(Filter('Inflation Data'!$C:$C,'Inflation Data'!$A:$A = I$1))) + 'Fund YTD Contributions'!I53,'Fund YTD Contributions'!I53)"),0.0)</f>
        <v>0</v>
      </c>
      <c r="J53" s="152">
        <f>IFERROR(__xludf.DUMMYFUNCTION("IFERROR(I53 * (1 + AVERAGE(Filter('Inflation Data'!$C:$C,'Inflation Data'!$A:$A = J$1))) + 'Fund YTD Contributions'!J53,'Fund YTD Contributions'!J53)"),0.0)</f>
        <v>0</v>
      </c>
      <c r="K53" s="152">
        <f>IFERROR(__xludf.DUMMYFUNCTION("IFERROR(J53 * (1 + AVERAGE(Filter('Inflation Data'!$C:$C,'Inflation Data'!$A:$A = K$1))) + 'Fund YTD Contributions'!K53,'Fund YTD Contributions'!K53)"),0.0)</f>
        <v>0</v>
      </c>
      <c r="L53" s="152">
        <f>IFERROR(__xludf.DUMMYFUNCTION("IFERROR(K53 * (1 + AVERAGE(Filter('Inflation Data'!$C:$C,'Inflation Data'!$A:$A = L$1))) + 'Fund YTD Contributions'!L53,'Fund YTD Contributions'!L53)"),0.0)</f>
        <v>0</v>
      </c>
      <c r="M53" s="152">
        <f>IFERROR(__xludf.DUMMYFUNCTION("IFERROR(L53 * (1 + AVERAGE(Filter('Inflation Data'!$C:$C,'Inflation Data'!$A:$A = M$1))) + 'Fund YTD Contributions'!M53,'Fund YTD Contributions'!M53)"),0.0)</f>
        <v>0</v>
      </c>
      <c r="N53" s="152">
        <f>IFERROR(__xludf.DUMMYFUNCTION("IFERROR(M53 * (1 + AVERAGE(Filter('Inflation Data'!$C:$C,'Inflation Data'!$A:$A = N$1))) + 'Fund YTD Contributions'!N53,'Fund YTD Contributions'!N53)"),0.0)</f>
        <v>0</v>
      </c>
      <c r="O53" s="152">
        <f>IFERROR(__xludf.DUMMYFUNCTION("IFERROR(N53 * (1 + AVERAGE(Filter('Inflation Data'!$C:$C,'Inflation Data'!$A:$A = O$1))) + 'Fund YTD Contributions'!O53,'Fund YTD Contributions'!O53)"),0.0)</f>
        <v>0</v>
      </c>
      <c r="P53" s="152">
        <f>IFERROR(__xludf.DUMMYFUNCTION("IFERROR(O53 * (1 + AVERAGE(Filter('Inflation Data'!$C:$C,'Inflation Data'!$A:$A = P$1))) + 'Fund YTD Contributions'!P53,'Fund YTD Contributions'!P53)"),0.0)</f>
        <v>0</v>
      </c>
      <c r="Q53" s="152">
        <f>IFERROR(__xludf.DUMMYFUNCTION("IFERROR(P53 * (1 + AVERAGE(Filter('Inflation Data'!$C:$C,'Inflation Data'!$A:$A = Q$1))) + 'Fund YTD Contributions'!Q53,'Fund YTD Contributions'!Q53)"),0.0)</f>
        <v>0</v>
      </c>
      <c r="R53" s="152">
        <f>IFERROR(__xludf.DUMMYFUNCTION("IFERROR(Q53 * (1 + AVERAGE(Filter('Inflation Data'!$C:$C,'Inflation Data'!$A:$A = R$1))) + 'Fund YTD Contributions'!R53,'Fund YTD Contributions'!R53)"),0.0)</f>
        <v>0</v>
      </c>
      <c r="S53" s="152">
        <f>IFERROR(__xludf.DUMMYFUNCTION("IFERROR(R53 * (1 + AVERAGE(Filter('Inflation Data'!$C:$C,'Inflation Data'!$A:$A = S$1))) + 'Fund YTD Contributions'!S53,'Fund YTD Contributions'!S53)"),0.0)</f>
        <v>0</v>
      </c>
      <c r="T53" s="152">
        <f>IFERROR(__xludf.DUMMYFUNCTION("IFERROR(S53 * (1 + AVERAGE(Filter('Inflation Data'!$C:$C,'Inflation Data'!$A:$A = T$1))) + 'Fund YTD Contributions'!T53,'Fund YTD Contributions'!T53)"),0.0)</f>
        <v>0</v>
      </c>
      <c r="U53" s="152">
        <f>IFERROR(__xludf.DUMMYFUNCTION("IFERROR(T53 * (1 + AVERAGE(Filter('Inflation Data'!$C:$C,'Inflation Data'!$A:$A = U$1))) + 'Fund YTD Contributions'!U53,'Fund YTD Contributions'!U53)"),0.0)</f>
        <v>0</v>
      </c>
      <c r="V53" s="152">
        <f>IFERROR(__xludf.DUMMYFUNCTION("IFERROR(U53 * (1 + AVERAGE(Filter('Inflation Data'!$C:$C,'Inflation Data'!$A:$A = V$1))) + 'Fund YTD Contributions'!V53,'Fund YTD Contributions'!V53)"),0.0)</f>
        <v>0</v>
      </c>
      <c r="W53" s="152">
        <f>IFERROR(__xludf.DUMMYFUNCTION("IFERROR(V53 * (1 + AVERAGE(Filter('Inflation Data'!$C:$C,'Inflation Data'!$A:$A = W$1))) + 'Fund YTD Contributions'!W53,'Fund YTD Contributions'!W53)"),0.0)</f>
        <v>0</v>
      </c>
      <c r="X53" s="152">
        <f>IFERROR(__xludf.DUMMYFUNCTION("IFERROR(W53 * (1 + AVERAGE(Filter('Inflation Data'!$C:$C,'Inflation Data'!$A:$A = X$1))) + 'Fund YTD Contributions'!X53,'Fund YTD Contributions'!X53)"),0.0)</f>
        <v>0</v>
      </c>
      <c r="Y53" s="152">
        <f>IFERROR(__xludf.DUMMYFUNCTION("IFERROR(X53 * (1 + AVERAGE(Filter('Inflation Data'!$C:$C,'Inflation Data'!$A:$A = Y$1))) + 'Fund YTD Contributions'!Y53,'Fund YTD Contributions'!Y53)"),0.0)</f>
        <v>0</v>
      </c>
      <c r="Z53" s="152">
        <f>IFERROR(__xludf.DUMMYFUNCTION("IFERROR(Y53 * (1 + AVERAGE(Filter('Inflation Data'!$C:$C,'Inflation Data'!$A:$A = Z$1))) + 'Fund YTD Contributions'!Z53,'Fund YTD Contributions'!Z53)"),0.0)</f>
        <v>0</v>
      </c>
      <c r="AA53" s="152">
        <f>IFERROR(__xludf.DUMMYFUNCTION("IFERROR(Z53 * (1 + AVERAGE(Filter('Inflation Data'!$C:$C,'Inflation Data'!$A:$A = AA$1))) + 'Fund YTD Contributions'!AA53,'Fund YTD Contributions'!AA53)"),0.0)</f>
        <v>0</v>
      </c>
      <c r="AB53" s="152">
        <f>IFERROR(__xludf.DUMMYFUNCTION("IFERROR(AA53 * (1 + AVERAGE(Filter('Inflation Data'!$C:$C,'Inflation Data'!$A:$A = AB$1))) + 'Fund YTD Contributions'!AB53,'Fund YTD Contributions'!AB53)"),0.0)</f>
        <v>0</v>
      </c>
      <c r="AC53" s="152">
        <f>IFERROR(__xludf.DUMMYFUNCTION("IFERROR(AB53 * (1 + AVERAGE(Filter('Inflation Data'!$C:$C,'Inflation Data'!$A:$A = AC$1))) + 'Fund YTD Contributions'!AC53,'Fund YTD Contributions'!AC53)"),0.0)</f>
        <v>0</v>
      </c>
      <c r="AD53" s="152">
        <f>IFERROR(__xludf.DUMMYFUNCTION("IFERROR(AC53 * (1 + AVERAGE(Filter('Inflation Data'!$C:$C,'Inflation Data'!$A:$A = AD$1))) + 'Fund YTD Contributions'!AD53,'Fund YTD Contributions'!AD53)"),0.0)</f>
        <v>0</v>
      </c>
      <c r="AE53" s="152">
        <f>IFERROR(__xludf.DUMMYFUNCTION("IFERROR(AD53 * (1 + AVERAGE(Filter('Inflation Data'!$C:$C,'Inflation Data'!$A:$A = AE$1))) + 'Fund YTD Contributions'!AE53,'Fund YTD Contributions'!AE53)"),0.0)</f>
        <v>0</v>
      </c>
      <c r="AF53" s="152">
        <f>IFERROR(__xludf.DUMMYFUNCTION("IFERROR(AE53 * (1 + AVERAGE(Filter('Inflation Data'!$C:$C,'Inflation Data'!$A:$A = AF$1))) + 'Fund YTD Contributions'!AF53,'Fund YTD Contributions'!AF53)"),0.0)</f>
        <v>0</v>
      </c>
    </row>
    <row r="54">
      <c r="A54" s="150" t="str">
        <f>'Endowed Funds'!A:A</f>
        <v/>
      </c>
      <c r="B54" s="152">
        <f>IFERROR(__xludf.DUMMYFUNCTION("IFERROR(A54 * (1 + AVERAGE(Filter('Inflation Data'!$C:$C,'Inflation Data'!$A:$A = B$1))) + 'Fund YTD Contributions'!B54,'Fund YTD Contributions'!B54)"),0.0)</f>
        <v>0</v>
      </c>
      <c r="C54" s="152">
        <f>IFERROR(__xludf.DUMMYFUNCTION("IFERROR(B54 * (1 + AVERAGE(Filter('Inflation Data'!$C:$C,'Inflation Data'!$A:$A = C$1))) + 'Fund YTD Contributions'!C54,'Fund YTD Contributions'!C54)"),0.0)</f>
        <v>0</v>
      </c>
      <c r="D54" s="152">
        <f>IFERROR(__xludf.DUMMYFUNCTION("IFERROR(C54 * (1 + AVERAGE(Filter('Inflation Data'!$C:$C,'Inflation Data'!$A:$A = D$1))) + 'Fund YTD Contributions'!D54,'Fund YTD Contributions'!D54)"),0.0)</f>
        <v>0</v>
      </c>
      <c r="E54" s="152">
        <f>IFERROR(__xludf.DUMMYFUNCTION("IFERROR(D54 * (1 + AVERAGE(Filter('Inflation Data'!$C:$C,'Inflation Data'!$A:$A = E$1))) + 'Fund YTD Contributions'!E54,'Fund YTD Contributions'!E54)"),0.0)</f>
        <v>0</v>
      </c>
      <c r="F54" s="152">
        <f>IFERROR(__xludf.DUMMYFUNCTION("IFERROR(E54 * (1 + AVERAGE(Filter('Inflation Data'!$C:$C,'Inflation Data'!$A:$A = F$1))) + 'Fund YTD Contributions'!F54,'Fund YTD Contributions'!F54)"),0.0)</f>
        <v>0</v>
      </c>
      <c r="G54" s="152">
        <f>IFERROR(__xludf.DUMMYFUNCTION("IFERROR(F54 * (1 + AVERAGE(Filter('Inflation Data'!$C:$C,'Inflation Data'!$A:$A = G$1))) + 'Fund YTD Contributions'!G54,'Fund YTD Contributions'!G54)"),0.0)</f>
        <v>0</v>
      </c>
      <c r="H54" s="152">
        <f>IFERROR(__xludf.DUMMYFUNCTION("IFERROR(G54 * (1 + AVERAGE(Filter('Inflation Data'!$C:$C,'Inflation Data'!$A:$A = H$1))) + 'Fund YTD Contributions'!H54,'Fund YTD Contributions'!H54)"),0.0)</f>
        <v>0</v>
      </c>
      <c r="I54" s="152">
        <f>IFERROR(__xludf.DUMMYFUNCTION("IFERROR(H54 * (1 + AVERAGE(Filter('Inflation Data'!$C:$C,'Inflation Data'!$A:$A = I$1))) + 'Fund YTD Contributions'!I54,'Fund YTD Contributions'!I54)"),0.0)</f>
        <v>0</v>
      </c>
      <c r="J54" s="152">
        <f>IFERROR(__xludf.DUMMYFUNCTION("IFERROR(I54 * (1 + AVERAGE(Filter('Inflation Data'!$C:$C,'Inflation Data'!$A:$A = J$1))) + 'Fund YTD Contributions'!J54,'Fund YTD Contributions'!J54)"),0.0)</f>
        <v>0</v>
      </c>
      <c r="K54" s="152">
        <f>IFERROR(__xludf.DUMMYFUNCTION("IFERROR(J54 * (1 + AVERAGE(Filter('Inflation Data'!$C:$C,'Inflation Data'!$A:$A = K$1))) + 'Fund YTD Contributions'!K54,'Fund YTD Contributions'!K54)"),0.0)</f>
        <v>0</v>
      </c>
      <c r="L54" s="152">
        <f>IFERROR(__xludf.DUMMYFUNCTION("IFERROR(K54 * (1 + AVERAGE(Filter('Inflation Data'!$C:$C,'Inflation Data'!$A:$A = L$1))) + 'Fund YTD Contributions'!L54,'Fund YTD Contributions'!L54)"),0.0)</f>
        <v>0</v>
      </c>
      <c r="M54" s="152">
        <f>IFERROR(__xludf.DUMMYFUNCTION("IFERROR(L54 * (1 + AVERAGE(Filter('Inflation Data'!$C:$C,'Inflation Data'!$A:$A = M$1))) + 'Fund YTD Contributions'!M54,'Fund YTD Contributions'!M54)"),0.0)</f>
        <v>0</v>
      </c>
      <c r="N54" s="152">
        <f>IFERROR(__xludf.DUMMYFUNCTION("IFERROR(M54 * (1 + AVERAGE(Filter('Inflation Data'!$C:$C,'Inflation Data'!$A:$A = N$1))) + 'Fund YTD Contributions'!N54,'Fund YTD Contributions'!N54)"),0.0)</f>
        <v>0</v>
      </c>
      <c r="O54" s="152">
        <f>IFERROR(__xludf.DUMMYFUNCTION("IFERROR(N54 * (1 + AVERAGE(Filter('Inflation Data'!$C:$C,'Inflation Data'!$A:$A = O$1))) + 'Fund YTD Contributions'!O54,'Fund YTD Contributions'!O54)"),0.0)</f>
        <v>0</v>
      </c>
      <c r="P54" s="152">
        <f>IFERROR(__xludf.DUMMYFUNCTION("IFERROR(O54 * (1 + AVERAGE(Filter('Inflation Data'!$C:$C,'Inflation Data'!$A:$A = P$1))) + 'Fund YTD Contributions'!P54,'Fund YTD Contributions'!P54)"),0.0)</f>
        <v>0</v>
      </c>
      <c r="Q54" s="152">
        <f>IFERROR(__xludf.DUMMYFUNCTION("IFERROR(P54 * (1 + AVERAGE(Filter('Inflation Data'!$C:$C,'Inflation Data'!$A:$A = Q$1))) + 'Fund YTD Contributions'!Q54,'Fund YTD Contributions'!Q54)"),0.0)</f>
        <v>0</v>
      </c>
      <c r="R54" s="152">
        <f>IFERROR(__xludf.DUMMYFUNCTION("IFERROR(Q54 * (1 + AVERAGE(Filter('Inflation Data'!$C:$C,'Inflation Data'!$A:$A = R$1))) + 'Fund YTD Contributions'!R54,'Fund YTD Contributions'!R54)"),0.0)</f>
        <v>0</v>
      </c>
      <c r="S54" s="152">
        <f>IFERROR(__xludf.DUMMYFUNCTION("IFERROR(R54 * (1 + AVERAGE(Filter('Inflation Data'!$C:$C,'Inflation Data'!$A:$A = S$1))) + 'Fund YTD Contributions'!S54,'Fund YTD Contributions'!S54)"),0.0)</f>
        <v>0</v>
      </c>
      <c r="T54" s="152">
        <f>IFERROR(__xludf.DUMMYFUNCTION("IFERROR(S54 * (1 + AVERAGE(Filter('Inflation Data'!$C:$C,'Inflation Data'!$A:$A = T$1))) + 'Fund YTD Contributions'!T54,'Fund YTD Contributions'!T54)"),0.0)</f>
        <v>0</v>
      </c>
      <c r="U54" s="152">
        <f>IFERROR(__xludf.DUMMYFUNCTION("IFERROR(T54 * (1 + AVERAGE(Filter('Inflation Data'!$C:$C,'Inflation Data'!$A:$A = U$1))) + 'Fund YTD Contributions'!U54,'Fund YTD Contributions'!U54)"),0.0)</f>
        <v>0</v>
      </c>
      <c r="V54" s="152">
        <f>IFERROR(__xludf.DUMMYFUNCTION("IFERROR(U54 * (1 + AVERAGE(Filter('Inflation Data'!$C:$C,'Inflation Data'!$A:$A = V$1))) + 'Fund YTD Contributions'!V54,'Fund YTD Contributions'!V54)"),0.0)</f>
        <v>0</v>
      </c>
      <c r="W54" s="152">
        <f>IFERROR(__xludf.DUMMYFUNCTION("IFERROR(V54 * (1 + AVERAGE(Filter('Inflation Data'!$C:$C,'Inflation Data'!$A:$A = W$1))) + 'Fund YTD Contributions'!W54,'Fund YTD Contributions'!W54)"),0.0)</f>
        <v>0</v>
      </c>
      <c r="X54" s="152">
        <f>IFERROR(__xludf.DUMMYFUNCTION("IFERROR(W54 * (1 + AVERAGE(Filter('Inflation Data'!$C:$C,'Inflation Data'!$A:$A = X$1))) + 'Fund YTD Contributions'!X54,'Fund YTD Contributions'!X54)"),0.0)</f>
        <v>0</v>
      </c>
      <c r="Y54" s="152">
        <f>IFERROR(__xludf.DUMMYFUNCTION("IFERROR(X54 * (1 + AVERAGE(Filter('Inflation Data'!$C:$C,'Inflation Data'!$A:$A = Y$1))) + 'Fund YTD Contributions'!Y54,'Fund YTD Contributions'!Y54)"),0.0)</f>
        <v>0</v>
      </c>
      <c r="Z54" s="152">
        <f>IFERROR(__xludf.DUMMYFUNCTION("IFERROR(Y54 * (1 + AVERAGE(Filter('Inflation Data'!$C:$C,'Inflation Data'!$A:$A = Z$1))) + 'Fund YTD Contributions'!Z54,'Fund YTD Contributions'!Z54)"),0.0)</f>
        <v>0</v>
      </c>
      <c r="AA54" s="152">
        <f>IFERROR(__xludf.DUMMYFUNCTION("IFERROR(Z54 * (1 + AVERAGE(Filter('Inflation Data'!$C:$C,'Inflation Data'!$A:$A = AA$1))) + 'Fund YTD Contributions'!AA54,'Fund YTD Contributions'!AA54)"),0.0)</f>
        <v>0</v>
      </c>
      <c r="AB54" s="152">
        <f>IFERROR(__xludf.DUMMYFUNCTION("IFERROR(AA54 * (1 + AVERAGE(Filter('Inflation Data'!$C:$C,'Inflation Data'!$A:$A = AB$1))) + 'Fund YTD Contributions'!AB54,'Fund YTD Contributions'!AB54)"),0.0)</f>
        <v>0</v>
      </c>
      <c r="AC54" s="152">
        <f>IFERROR(__xludf.DUMMYFUNCTION("IFERROR(AB54 * (1 + AVERAGE(Filter('Inflation Data'!$C:$C,'Inflation Data'!$A:$A = AC$1))) + 'Fund YTD Contributions'!AC54,'Fund YTD Contributions'!AC54)"),0.0)</f>
        <v>0</v>
      </c>
      <c r="AD54" s="152">
        <f>IFERROR(__xludf.DUMMYFUNCTION("IFERROR(AC54 * (1 + AVERAGE(Filter('Inflation Data'!$C:$C,'Inflation Data'!$A:$A = AD$1))) + 'Fund YTD Contributions'!AD54,'Fund YTD Contributions'!AD54)"),0.0)</f>
        <v>0</v>
      </c>
      <c r="AE54" s="152">
        <f>IFERROR(__xludf.DUMMYFUNCTION("IFERROR(AD54 * (1 + AVERAGE(Filter('Inflation Data'!$C:$C,'Inflation Data'!$A:$A = AE$1))) + 'Fund YTD Contributions'!AE54,'Fund YTD Contributions'!AE54)"),0.0)</f>
        <v>0</v>
      </c>
      <c r="AF54" s="152">
        <f>IFERROR(__xludf.DUMMYFUNCTION("IFERROR(AE54 * (1 + AVERAGE(Filter('Inflation Data'!$C:$C,'Inflation Data'!$A:$A = AF$1))) + 'Fund YTD Contributions'!AF54,'Fund YTD Contributions'!AF54)"),0.0)</f>
        <v>0</v>
      </c>
    </row>
    <row r="55">
      <c r="A55" s="150" t="str">
        <f>'Endowed Funds'!A:A</f>
        <v/>
      </c>
      <c r="B55" s="152">
        <f>IFERROR(__xludf.DUMMYFUNCTION("IFERROR(A55 * (1 + AVERAGE(Filter('Inflation Data'!$C:$C,'Inflation Data'!$A:$A = B$1))) + 'Fund YTD Contributions'!B55,'Fund YTD Contributions'!B55)"),0.0)</f>
        <v>0</v>
      </c>
      <c r="C55" s="152">
        <f>IFERROR(__xludf.DUMMYFUNCTION("IFERROR(B55 * (1 + AVERAGE(Filter('Inflation Data'!$C:$C,'Inflation Data'!$A:$A = C$1))) + 'Fund YTD Contributions'!C55,'Fund YTD Contributions'!C55)"),0.0)</f>
        <v>0</v>
      </c>
      <c r="D55" s="152">
        <f>IFERROR(__xludf.DUMMYFUNCTION("IFERROR(C55 * (1 + AVERAGE(Filter('Inflation Data'!$C:$C,'Inflation Data'!$A:$A = D$1))) + 'Fund YTD Contributions'!D55,'Fund YTD Contributions'!D55)"),0.0)</f>
        <v>0</v>
      </c>
      <c r="E55" s="152">
        <f>IFERROR(__xludf.DUMMYFUNCTION("IFERROR(D55 * (1 + AVERAGE(Filter('Inflation Data'!$C:$C,'Inflation Data'!$A:$A = E$1))) + 'Fund YTD Contributions'!E55,'Fund YTD Contributions'!E55)"),0.0)</f>
        <v>0</v>
      </c>
      <c r="F55" s="152">
        <f>IFERROR(__xludf.DUMMYFUNCTION("IFERROR(E55 * (1 + AVERAGE(Filter('Inflation Data'!$C:$C,'Inflation Data'!$A:$A = F$1))) + 'Fund YTD Contributions'!F55,'Fund YTD Contributions'!F55)"),0.0)</f>
        <v>0</v>
      </c>
      <c r="G55" s="152">
        <f>IFERROR(__xludf.DUMMYFUNCTION("IFERROR(F55 * (1 + AVERAGE(Filter('Inflation Data'!$C:$C,'Inflation Data'!$A:$A = G$1))) + 'Fund YTD Contributions'!G55,'Fund YTD Contributions'!G55)"),0.0)</f>
        <v>0</v>
      </c>
      <c r="H55" s="152">
        <f>IFERROR(__xludf.DUMMYFUNCTION("IFERROR(G55 * (1 + AVERAGE(Filter('Inflation Data'!$C:$C,'Inflation Data'!$A:$A = H$1))) + 'Fund YTD Contributions'!H55,'Fund YTD Contributions'!H55)"),0.0)</f>
        <v>0</v>
      </c>
      <c r="I55" s="152">
        <f>IFERROR(__xludf.DUMMYFUNCTION("IFERROR(H55 * (1 + AVERAGE(Filter('Inflation Data'!$C:$C,'Inflation Data'!$A:$A = I$1))) + 'Fund YTD Contributions'!I55,'Fund YTD Contributions'!I55)"),0.0)</f>
        <v>0</v>
      </c>
      <c r="J55" s="152">
        <f>IFERROR(__xludf.DUMMYFUNCTION("IFERROR(I55 * (1 + AVERAGE(Filter('Inflation Data'!$C:$C,'Inflation Data'!$A:$A = J$1))) + 'Fund YTD Contributions'!J55,'Fund YTD Contributions'!J55)"),0.0)</f>
        <v>0</v>
      </c>
      <c r="K55" s="152">
        <f>IFERROR(__xludf.DUMMYFUNCTION("IFERROR(J55 * (1 + AVERAGE(Filter('Inflation Data'!$C:$C,'Inflation Data'!$A:$A = K$1))) + 'Fund YTD Contributions'!K55,'Fund YTD Contributions'!K55)"),0.0)</f>
        <v>0</v>
      </c>
      <c r="L55" s="152">
        <f>IFERROR(__xludf.DUMMYFUNCTION("IFERROR(K55 * (1 + AVERAGE(Filter('Inflation Data'!$C:$C,'Inflation Data'!$A:$A = L$1))) + 'Fund YTD Contributions'!L55,'Fund YTD Contributions'!L55)"),0.0)</f>
        <v>0</v>
      </c>
      <c r="M55" s="152">
        <f>IFERROR(__xludf.DUMMYFUNCTION("IFERROR(L55 * (1 + AVERAGE(Filter('Inflation Data'!$C:$C,'Inflation Data'!$A:$A = M$1))) + 'Fund YTD Contributions'!M55,'Fund YTD Contributions'!M55)"),0.0)</f>
        <v>0</v>
      </c>
      <c r="N55" s="152">
        <f>IFERROR(__xludf.DUMMYFUNCTION("IFERROR(M55 * (1 + AVERAGE(Filter('Inflation Data'!$C:$C,'Inflation Data'!$A:$A = N$1))) + 'Fund YTD Contributions'!N55,'Fund YTD Contributions'!N55)"),0.0)</f>
        <v>0</v>
      </c>
      <c r="O55" s="152">
        <f>IFERROR(__xludf.DUMMYFUNCTION("IFERROR(N55 * (1 + AVERAGE(Filter('Inflation Data'!$C:$C,'Inflation Data'!$A:$A = O$1))) + 'Fund YTD Contributions'!O55,'Fund YTD Contributions'!O55)"),0.0)</f>
        <v>0</v>
      </c>
      <c r="P55" s="152">
        <f>IFERROR(__xludf.DUMMYFUNCTION("IFERROR(O55 * (1 + AVERAGE(Filter('Inflation Data'!$C:$C,'Inflation Data'!$A:$A = P$1))) + 'Fund YTD Contributions'!P55,'Fund YTD Contributions'!P55)"),0.0)</f>
        <v>0</v>
      </c>
      <c r="Q55" s="152">
        <f>IFERROR(__xludf.DUMMYFUNCTION("IFERROR(P55 * (1 + AVERAGE(Filter('Inflation Data'!$C:$C,'Inflation Data'!$A:$A = Q$1))) + 'Fund YTD Contributions'!Q55,'Fund YTD Contributions'!Q55)"),0.0)</f>
        <v>0</v>
      </c>
      <c r="R55" s="152">
        <f>IFERROR(__xludf.DUMMYFUNCTION("IFERROR(Q55 * (1 + AVERAGE(Filter('Inflation Data'!$C:$C,'Inflation Data'!$A:$A = R$1))) + 'Fund YTD Contributions'!R55,'Fund YTD Contributions'!R55)"),0.0)</f>
        <v>0</v>
      </c>
      <c r="S55" s="152">
        <f>IFERROR(__xludf.DUMMYFUNCTION("IFERROR(R55 * (1 + AVERAGE(Filter('Inflation Data'!$C:$C,'Inflation Data'!$A:$A = S$1))) + 'Fund YTD Contributions'!S55,'Fund YTD Contributions'!S55)"),0.0)</f>
        <v>0</v>
      </c>
      <c r="T55" s="152">
        <f>IFERROR(__xludf.DUMMYFUNCTION("IFERROR(S55 * (1 + AVERAGE(Filter('Inflation Data'!$C:$C,'Inflation Data'!$A:$A = T$1))) + 'Fund YTD Contributions'!T55,'Fund YTD Contributions'!T55)"),0.0)</f>
        <v>0</v>
      </c>
      <c r="U55" s="152">
        <f>IFERROR(__xludf.DUMMYFUNCTION("IFERROR(T55 * (1 + AVERAGE(Filter('Inflation Data'!$C:$C,'Inflation Data'!$A:$A = U$1))) + 'Fund YTD Contributions'!U55,'Fund YTD Contributions'!U55)"),0.0)</f>
        <v>0</v>
      </c>
      <c r="V55" s="152">
        <f>IFERROR(__xludf.DUMMYFUNCTION("IFERROR(U55 * (1 + AVERAGE(Filter('Inflation Data'!$C:$C,'Inflation Data'!$A:$A = V$1))) + 'Fund YTD Contributions'!V55,'Fund YTD Contributions'!V55)"),0.0)</f>
        <v>0</v>
      </c>
      <c r="W55" s="152">
        <f>IFERROR(__xludf.DUMMYFUNCTION("IFERROR(V55 * (1 + AVERAGE(Filter('Inflation Data'!$C:$C,'Inflation Data'!$A:$A = W$1))) + 'Fund YTD Contributions'!W55,'Fund YTD Contributions'!W55)"),0.0)</f>
        <v>0</v>
      </c>
      <c r="X55" s="152">
        <f>IFERROR(__xludf.DUMMYFUNCTION("IFERROR(W55 * (1 + AVERAGE(Filter('Inflation Data'!$C:$C,'Inflation Data'!$A:$A = X$1))) + 'Fund YTD Contributions'!X55,'Fund YTD Contributions'!X55)"),0.0)</f>
        <v>0</v>
      </c>
      <c r="Y55" s="152">
        <f>IFERROR(__xludf.DUMMYFUNCTION("IFERROR(X55 * (1 + AVERAGE(Filter('Inflation Data'!$C:$C,'Inflation Data'!$A:$A = Y$1))) + 'Fund YTD Contributions'!Y55,'Fund YTD Contributions'!Y55)"),0.0)</f>
        <v>0</v>
      </c>
      <c r="Z55" s="152">
        <f>IFERROR(__xludf.DUMMYFUNCTION("IFERROR(Y55 * (1 + AVERAGE(Filter('Inflation Data'!$C:$C,'Inflation Data'!$A:$A = Z$1))) + 'Fund YTD Contributions'!Z55,'Fund YTD Contributions'!Z55)"),0.0)</f>
        <v>0</v>
      </c>
      <c r="AA55" s="152">
        <f>IFERROR(__xludf.DUMMYFUNCTION("IFERROR(Z55 * (1 + AVERAGE(Filter('Inflation Data'!$C:$C,'Inflation Data'!$A:$A = AA$1))) + 'Fund YTD Contributions'!AA55,'Fund YTD Contributions'!AA55)"),0.0)</f>
        <v>0</v>
      </c>
      <c r="AB55" s="152">
        <f>IFERROR(__xludf.DUMMYFUNCTION("IFERROR(AA55 * (1 + AVERAGE(Filter('Inflation Data'!$C:$C,'Inflation Data'!$A:$A = AB$1))) + 'Fund YTD Contributions'!AB55,'Fund YTD Contributions'!AB55)"),0.0)</f>
        <v>0</v>
      </c>
      <c r="AC55" s="152">
        <f>IFERROR(__xludf.DUMMYFUNCTION("IFERROR(AB55 * (1 + AVERAGE(Filter('Inflation Data'!$C:$C,'Inflation Data'!$A:$A = AC$1))) + 'Fund YTD Contributions'!AC55,'Fund YTD Contributions'!AC55)"),0.0)</f>
        <v>0</v>
      </c>
      <c r="AD55" s="152">
        <f>IFERROR(__xludf.DUMMYFUNCTION("IFERROR(AC55 * (1 + AVERAGE(Filter('Inflation Data'!$C:$C,'Inflation Data'!$A:$A = AD$1))) + 'Fund YTD Contributions'!AD55,'Fund YTD Contributions'!AD55)"),0.0)</f>
        <v>0</v>
      </c>
      <c r="AE55" s="152">
        <f>IFERROR(__xludf.DUMMYFUNCTION("IFERROR(AD55 * (1 + AVERAGE(Filter('Inflation Data'!$C:$C,'Inflation Data'!$A:$A = AE$1))) + 'Fund YTD Contributions'!AE55,'Fund YTD Contributions'!AE55)"),0.0)</f>
        <v>0</v>
      </c>
      <c r="AF55" s="152">
        <f>IFERROR(__xludf.DUMMYFUNCTION("IFERROR(AE55 * (1 + AVERAGE(Filter('Inflation Data'!$C:$C,'Inflation Data'!$A:$A = AF$1))) + 'Fund YTD Contributions'!AF55,'Fund YTD Contributions'!AF55)"),0.0)</f>
        <v>0</v>
      </c>
    </row>
    <row r="56">
      <c r="A56" s="150" t="str">
        <f>'Endowed Funds'!A:A</f>
        <v/>
      </c>
      <c r="B56" s="152">
        <f>IFERROR(__xludf.DUMMYFUNCTION("IFERROR(A56 * (1 + AVERAGE(Filter('Inflation Data'!$C:$C,'Inflation Data'!$A:$A = B$1))) + 'Fund YTD Contributions'!B56,'Fund YTD Contributions'!B56)"),0.0)</f>
        <v>0</v>
      </c>
      <c r="C56" s="152">
        <f>IFERROR(__xludf.DUMMYFUNCTION("IFERROR(B56 * (1 + AVERAGE(Filter('Inflation Data'!$C:$C,'Inflation Data'!$A:$A = C$1))) + 'Fund YTD Contributions'!C56,'Fund YTD Contributions'!C56)"),0.0)</f>
        <v>0</v>
      </c>
      <c r="D56" s="152">
        <f>IFERROR(__xludf.DUMMYFUNCTION("IFERROR(C56 * (1 + AVERAGE(Filter('Inflation Data'!$C:$C,'Inflation Data'!$A:$A = D$1))) + 'Fund YTD Contributions'!D56,'Fund YTD Contributions'!D56)"),0.0)</f>
        <v>0</v>
      </c>
      <c r="E56" s="152">
        <f>IFERROR(__xludf.DUMMYFUNCTION("IFERROR(D56 * (1 + AVERAGE(Filter('Inflation Data'!$C:$C,'Inflation Data'!$A:$A = E$1))) + 'Fund YTD Contributions'!E56,'Fund YTD Contributions'!E56)"),0.0)</f>
        <v>0</v>
      </c>
      <c r="F56" s="152">
        <f>IFERROR(__xludf.DUMMYFUNCTION("IFERROR(E56 * (1 + AVERAGE(Filter('Inflation Data'!$C:$C,'Inflation Data'!$A:$A = F$1))) + 'Fund YTD Contributions'!F56,'Fund YTD Contributions'!F56)"),0.0)</f>
        <v>0</v>
      </c>
      <c r="G56" s="152">
        <f>IFERROR(__xludf.DUMMYFUNCTION("IFERROR(F56 * (1 + AVERAGE(Filter('Inflation Data'!$C:$C,'Inflation Data'!$A:$A = G$1))) + 'Fund YTD Contributions'!G56,'Fund YTD Contributions'!G56)"),0.0)</f>
        <v>0</v>
      </c>
      <c r="H56" s="152">
        <f>IFERROR(__xludf.DUMMYFUNCTION("IFERROR(G56 * (1 + AVERAGE(Filter('Inflation Data'!$C:$C,'Inflation Data'!$A:$A = H$1))) + 'Fund YTD Contributions'!H56,'Fund YTD Contributions'!H56)"),0.0)</f>
        <v>0</v>
      </c>
      <c r="I56" s="152">
        <f>IFERROR(__xludf.DUMMYFUNCTION("IFERROR(H56 * (1 + AVERAGE(Filter('Inflation Data'!$C:$C,'Inflation Data'!$A:$A = I$1))) + 'Fund YTD Contributions'!I56,'Fund YTD Contributions'!I56)"),0.0)</f>
        <v>0</v>
      </c>
      <c r="J56" s="152">
        <f>IFERROR(__xludf.DUMMYFUNCTION("IFERROR(I56 * (1 + AVERAGE(Filter('Inflation Data'!$C:$C,'Inflation Data'!$A:$A = J$1))) + 'Fund YTD Contributions'!J56,'Fund YTD Contributions'!J56)"),0.0)</f>
        <v>0</v>
      </c>
      <c r="K56" s="152">
        <f>IFERROR(__xludf.DUMMYFUNCTION("IFERROR(J56 * (1 + AVERAGE(Filter('Inflation Data'!$C:$C,'Inflation Data'!$A:$A = K$1))) + 'Fund YTD Contributions'!K56,'Fund YTD Contributions'!K56)"),0.0)</f>
        <v>0</v>
      </c>
      <c r="L56" s="152">
        <f>IFERROR(__xludf.DUMMYFUNCTION("IFERROR(K56 * (1 + AVERAGE(Filter('Inflation Data'!$C:$C,'Inflation Data'!$A:$A = L$1))) + 'Fund YTD Contributions'!L56,'Fund YTD Contributions'!L56)"),0.0)</f>
        <v>0</v>
      </c>
      <c r="M56" s="152">
        <f>IFERROR(__xludf.DUMMYFUNCTION("IFERROR(L56 * (1 + AVERAGE(Filter('Inflation Data'!$C:$C,'Inflation Data'!$A:$A = M$1))) + 'Fund YTD Contributions'!M56,'Fund YTD Contributions'!M56)"),0.0)</f>
        <v>0</v>
      </c>
      <c r="N56" s="152">
        <f>IFERROR(__xludf.DUMMYFUNCTION("IFERROR(M56 * (1 + AVERAGE(Filter('Inflation Data'!$C:$C,'Inflation Data'!$A:$A = N$1))) + 'Fund YTD Contributions'!N56,'Fund YTD Contributions'!N56)"),0.0)</f>
        <v>0</v>
      </c>
      <c r="O56" s="152">
        <f>IFERROR(__xludf.DUMMYFUNCTION("IFERROR(N56 * (1 + AVERAGE(Filter('Inflation Data'!$C:$C,'Inflation Data'!$A:$A = O$1))) + 'Fund YTD Contributions'!O56,'Fund YTD Contributions'!O56)"),0.0)</f>
        <v>0</v>
      </c>
      <c r="P56" s="152">
        <f>IFERROR(__xludf.DUMMYFUNCTION("IFERROR(O56 * (1 + AVERAGE(Filter('Inflation Data'!$C:$C,'Inflation Data'!$A:$A = P$1))) + 'Fund YTD Contributions'!P56,'Fund YTD Contributions'!P56)"),0.0)</f>
        <v>0</v>
      </c>
      <c r="Q56" s="152">
        <f>IFERROR(__xludf.DUMMYFUNCTION("IFERROR(P56 * (1 + AVERAGE(Filter('Inflation Data'!$C:$C,'Inflation Data'!$A:$A = Q$1))) + 'Fund YTD Contributions'!Q56,'Fund YTD Contributions'!Q56)"),0.0)</f>
        <v>0</v>
      </c>
      <c r="R56" s="152">
        <f>IFERROR(__xludf.DUMMYFUNCTION("IFERROR(Q56 * (1 + AVERAGE(Filter('Inflation Data'!$C:$C,'Inflation Data'!$A:$A = R$1))) + 'Fund YTD Contributions'!R56,'Fund YTD Contributions'!R56)"),0.0)</f>
        <v>0</v>
      </c>
      <c r="S56" s="152">
        <f>IFERROR(__xludf.DUMMYFUNCTION("IFERROR(R56 * (1 + AVERAGE(Filter('Inflation Data'!$C:$C,'Inflation Data'!$A:$A = S$1))) + 'Fund YTD Contributions'!S56,'Fund YTD Contributions'!S56)"),0.0)</f>
        <v>0</v>
      </c>
      <c r="T56" s="152">
        <f>IFERROR(__xludf.DUMMYFUNCTION("IFERROR(S56 * (1 + AVERAGE(Filter('Inflation Data'!$C:$C,'Inflation Data'!$A:$A = T$1))) + 'Fund YTD Contributions'!T56,'Fund YTD Contributions'!T56)"),0.0)</f>
        <v>0</v>
      </c>
      <c r="U56" s="152">
        <f>IFERROR(__xludf.DUMMYFUNCTION("IFERROR(T56 * (1 + AVERAGE(Filter('Inflation Data'!$C:$C,'Inflation Data'!$A:$A = U$1))) + 'Fund YTD Contributions'!U56,'Fund YTD Contributions'!U56)"),0.0)</f>
        <v>0</v>
      </c>
      <c r="V56" s="152">
        <f>IFERROR(__xludf.DUMMYFUNCTION("IFERROR(U56 * (1 + AVERAGE(Filter('Inflation Data'!$C:$C,'Inflation Data'!$A:$A = V$1))) + 'Fund YTD Contributions'!V56,'Fund YTD Contributions'!V56)"),0.0)</f>
        <v>0</v>
      </c>
      <c r="W56" s="152">
        <f>IFERROR(__xludf.DUMMYFUNCTION("IFERROR(V56 * (1 + AVERAGE(Filter('Inflation Data'!$C:$C,'Inflation Data'!$A:$A = W$1))) + 'Fund YTD Contributions'!W56,'Fund YTD Contributions'!W56)"),0.0)</f>
        <v>0</v>
      </c>
      <c r="X56" s="152">
        <f>IFERROR(__xludf.DUMMYFUNCTION("IFERROR(W56 * (1 + AVERAGE(Filter('Inflation Data'!$C:$C,'Inflation Data'!$A:$A = X$1))) + 'Fund YTD Contributions'!X56,'Fund YTD Contributions'!X56)"),0.0)</f>
        <v>0</v>
      </c>
      <c r="Y56" s="152">
        <f>IFERROR(__xludf.DUMMYFUNCTION("IFERROR(X56 * (1 + AVERAGE(Filter('Inflation Data'!$C:$C,'Inflation Data'!$A:$A = Y$1))) + 'Fund YTD Contributions'!Y56,'Fund YTD Contributions'!Y56)"),0.0)</f>
        <v>0</v>
      </c>
      <c r="Z56" s="152">
        <f>IFERROR(__xludf.DUMMYFUNCTION("IFERROR(Y56 * (1 + AVERAGE(Filter('Inflation Data'!$C:$C,'Inflation Data'!$A:$A = Z$1))) + 'Fund YTD Contributions'!Z56,'Fund YTD Contributions'!Z56)"),0.0)</f>
        <v>0</v>
      </c>
      <c r="AA56" s="152">
        <f>IFERROR(__xludf.DUMMYFUNCTION("IFERROR(Z56 * (1 + AVERAGE(Filter('Inflation Data'!$C:$C,'Inflation Data'!$A:$A = AA$1))) + 'Fund YTD Contributions'!AA56,'Fund YTD Contributions'!AA56)"),0.0)</f>
        <v>0</v>
      </c>
      <c r="AB56" s="152">
        <f>IFERROR(__xludf.DUMMYFUNCTION("IFERROR(AA56 * (1 + AVERAGE(Filter('Inflation Data'!$C:$C,'Inflation Data'!$A:$A = AB$1))) + 'Fund YTD Contributions'!AB56,'Fund YTD Contributions'!AB56)"),0.0)</f>
        <v>0</v>
      </c>
      <c r="AC56" s="152">
        <f>IFERROR(__xludf.DUMMYFUNCTION("IFERROR(AB56 * (1 + AVERAGE(Filter('Inflation Data'!$C:$C,'Inflation Data'!$A:$A = AC$1))) + 'Fund YTD Contributions'!AC56,'Fund YTD Contributions'!AC56)"),0.0)</f>
        <v>0</v>
      </c>
      <c r="AD56" s="152">
        <f>IFERROR(__xludf.DUMMYFUNCTION("IFERROR(AC56 * (1 + AVERAGE(Filter('Inflation Data'!$C:$C,'Inflation Data'!$A:$A = AD$1))) + 'Fund YTD Contributions'!AD56,'Fund YTD Contributions'!AD56)"),0.0)</f>
        <v>0</v>
      </c>
      <c r="AE56" s="152">
        <f>IFERROR(__xludf.DUMMYFUNCTION("IFERROR(AD56 * (1 + AVERAGE(Filter('Inflation Data'!$C:$C,'Inflation Data'!$A:$A = AE$1))) + 'Fund YTD Contributions'!AE56,'Fund YTD Contributions'!AE56)"),0.0)</f>
        <v>0</v>
      </c>
      <c r="AF56" s="152">
        <f>IFERROR(__xludf.DUMMYFUNCTION("IFERROR(AE56 * (1 + AVERAGE(Filter('Inflation Data'!$C:$C,'Inflation Data'!$A:$A = AF$1))) + 'Fund YTD Contributions'!AF56,'Fund YTD Contributions'!AF56)"),0.0)</f>
        <v>0</v>
      </c>
    </row>
    <row r="57">
      <c r="A57" s="150" t="str">
        <f>'Endowed Funds'!A:A</f>
        <v/>
      </c>
      <c r="B57" s="152">
        <f>IFERROR(__xludf.DUMMYFUNCTION("IFERROR(A57 * (1 + AVERAGE(Filter('Inflation Data'!$C:$C,'Inflation Data'!$A:$A = B$1))) + 'Fund YTD Contributions'!B57,'Fund YTD Contributions'!B57)"),0.0)</f>
        <v>0</v>
      </c>
      <c r="C57" s="152">
        <f>IFERROR(__xludf.DUMMYFUNCTION("IFERROR(B57 * (1 + AVERAGE(Filter('Inflation Data'!$C:$C,'Inflation Data'!$A:$A = C$1))) + 'Fund YTD Contributions'!C57,'Fund YTD Contributions'!C57)"),0.0)</f>
        <v>0</v>
      </c>
      <c r="D57" s="152">
        <f>IFERROR(__xludf.DUMMYFUNCTION("IFERROR(C57 * (1 + AVERAGE(Filter('Inflation Data'!$C:$C,'Inflation Data'!$A:$A = D$1))) + 'Fund YTD Contributions'!D57,'Fund YTD Contributions'!D57)"),0.0)</f>
        <v>0</v>
      </c>
      <c r="E57" s="152">
        <f>IFERROR(__xludf.DUMMYFUNCTION("IFERROR(D57 * (1 + AVERAGE(Filter('Inflation Data'!$C:$C,'Inflation Data'!$A:$A = E$1))) + 'Fund YTD Contributions'!E57,'Fund YTD Contributions'!E57)"),0.0)</f>
        <v>0</v>
      </c>
      <c r="F57" s="152">
        <f>IFERROR(__xludf.DUMMYFUNCTION("IFERROR(E57 * (1 + AVERAGE(Filter('Inflation Data'!$C:$C,'Inflation Data'!$A:$A = F$1))) + 'Fund YTD Contributions'!F57,'Fund YTD Contributions'!F57)"),0.0)</f>
        <v>0</v>
      </c>
      <c r="G57" s="152">
        <f>IFERROR(__xludf.DUMMYFUNCTION("IFERROR(F57 * (1 + AVERAGE(Filter('Inflation Data'!$C:$C,'Inflation Data'!$A:$A = G$1))) + 'Fund YTD Contributions'!G57,'Fund YTD Contributions'!G57)"),0.0)</f>
        <v>0</v>
      </c>
      <c r="H57" s="152">
        <f>IFERROR(__xludf.DUMMYFUNCTION("IFERROR(G57 * (1 + AVERAGE(Filter('Inflation Data'!$C:$C,'Inflation Data'!$A:$A = H$1))) + 'Fund YTD Contributions'!H57,'Fund YTD Contributions'!H57)"),0.0)</f>
        <v>0</v>
      </c>
      <c r="I57" s="152">
        <f>IFERROR(__xludf.DUMMYFUNCTION("IFERROR(H57 * (1 + AVERAGE(Filter('Inflation Data'!$C:$C,'Inflation Data'!$A:$A = I$1))) + 'Fund YTD Contributions'!I57,'Fund YTD Contributions'!I57)"),0.0)</f>
        <v>0</v>
      </c>
      <c r="J57" s="152">
        <f>IFERROR(__xludf.DUMMYFUNCTION("IFERROR(I57 * (1 + AVERAGE(Filter('Inflation Data'!$C:$C,'Inflation Data'!$A:$A = J$1))) + 'Fund YTD Contributions'!J57,'Fund YTD Contributions'!J57)"),0.0)</f>
        <v>0</v>
      </c>
      <c r="K57" s="152">
        <f>IFERROR(__xludf.DUMMYFUNCTION("IFERROR(J57 * (1 + AVERAGE(Filter('Inflation Data'!$C:$C,'Inflation Data'!$A:$A = K$1))) + 'Fund YTD Contributions'!K57,'Fund YTD Contributions'!K57)"),0.0)</f>
        <v>0</v>
      </c>
      <c r="L57" s="152">
        <f>IFERROR(__xludf.DUMMYFUNCTION("IFERROR(K57 * (1 + AVERAGE(Filter('Inflation Data'!$C:$C,'Inflation Data'!$A:$A = L$1))) + 'Fund YTD Contributions'!L57,'Fund YTD Contributions'!L57)"),0.0)</f>
        <v>0</v>
      </c>
      <c r="M57" s="152">
        <f>IFERROR(__xludf.DUMMYFUNCTION("IFERROR(L57 * (1 + AVERAGE(Filter('Inflation Data'!$C:$C,'Inflation Data'!$A:$A = M$1))) + 'Fund YTD Contributions'!M57,'Fund YTD Contributions'!M57)"),0.0)</f>
        <v>0</v>
      </c>
      <c r="N57" s="152">
        <f>IFERROR(__xludf.DUMMYFUNCTION("IFERROR(M57 * (1 + AVERAGE(Filter('Inflation Data'!$C:$C,'Inflation Data'!$A:$A = N$1))) + 'Fund YTD Contributions'!N57,'Fund YTD Contributions'!N57)"),0.0)</f>
        <v>0</v>
      </c>
      <c r="O57" s="152">
        <f>IFERROR(__xludf.DUMMYFUNCTION("IFERROR(N57 * (1 + AVERAGE(Filter('Inflation Data'!$C:$C,'Inflation Data'!$A:$A = O$1))) + 'Fund YTD Contributions'!O57,'Fund YTD Contributions'!O57)"),0.0)</f>
        <v>0</v>
      </c>
      <c r="P57" s="152">
        <f>IFERROR(__xludf.DUMMYFUNCTION("IFERROR(O57 * (1 + AVERAGE(Filter('Inflation Data'!$C:$C,'Inflation Data'!$A:$A = P$1))) + 'Fund YTD Contributions'!P57,'Fund YTD Contributions'!P57)"),0.0)</f>
        <v>0</v>
      </c>
      <c r="Q57" s="152">
        <f>IFERROR(__xludf.DUMMYFUNCTION("IFERROR(P57 * (1 + AVERAGE(Filter('Inflation Data'!$C:$C,'Inflation Data'!$A:$A = Q$1))) + 'Fund YTD Contributions'!Q57,'Fund YTD Contributions'!Q57)"),0.0)</f>
        <v>0</v>
      </c>
      <c r="R57" s="152">
        <f>IFERROR(__xludf.DUMMYFUNCTION("IFERROR(Q57 * (1 + AVERAGE(Filter('Inflation Data'!$C:$C,'Inflation Data'!$A:$A = R$1))) + 'Fund YTD Contributions'!R57,'Fund YTD Contributions'!R57)"),0.0)</f>
        <v>0</v>
      </c>
      <c r="S57" s="152">
        <f>IFERROR(__xludf.DUMMYFUNCTION("IFERROR(R57 * (1 + AVERAGE(Filter('Inflation Data'!$C:$C,'Inflation Data'!$A:$A = S$1))) + 'Fund YTD Contributions'!S57,'Fund YTD Contributions'!S57)"),0.0)</f>
        <v>0</v>
      </c>
      <c r="T57" s="152">
        <f>IFERROR(__xludf.DUMMYFUNCTION("IFERROR(S57 * (1 + AVERAGE(Filter('Inflation Data'!$C:$C,'Inflation Data'!$A:$A = T$1))) + 'Fund YTD Contributions'!T57,'Fund YTD Contributions'!T57)"),0.0)</f>
        <v>0</v>
      </c>
      <c r="U57" s="152">
        <f>IFERROR(__xludf.DUMMYFUNCTION("IFERROR(T57 * (1 + AVERAGE(Filter('Inflation Data'!$C:$C,'Inflation Data'!$A:$A = U$1))) + 'Fund YTD Contributions'!U57,'Fund YTD Contributions'!U57)"),0.0)</f>
        <v>0</v>
      </c>
      <c r="V57" s="152">
        <f>IFERROR(__xludf.DUMMYFUNCTION("IFERROR(U57 * (1 + AVERAGE(Filter('Inflation Data'!$C:$C,'Inflation Data'!$A:$A = V$1))) + 'Fund YTD Contributions'!V57,'Fund YTD Contributions'!V57)"),0.0)</f>
        <v>0</v>
      </c>
      <c r="W57" s="152">
        <f>IFERROR(__xludf.DUMMYFUNCTION("IFERROR(V57 * (1 + AVERAGE(Filter('Inflation Data'!$C:$C,'Inflation Data'!$A:$A = W$1))) + 'Fund YTD Contributions'!W57,'Fund YTD Contributions'!W57)"),0.0)</f>
        <v>0</v>
      </c>
      <c r="X57" s="152">
        <f>IFERROR(__xludf.DUMMYFUNCTION("IFERROR(W57 * (1 + AVERAGE(Filter('Inflation Data'!$C:$C,'Inflation Data'!$A:$A = X$1))) + 'Fund YTD Contributions'!X57,'Fund YTD Contributions'!X57)"),0.0)</f>
        <v>0</v>
      </c>
      <c r="Y57" s="152">
        <f>IFERROR(__xludf.DUMMYFUNCTION("IFERROR(X57 * (1 + AVERAGE(Filter('Inflation Data'!$C:$C,'Inflation Data'!$A:$A = Y$1))) + 'Fund YTD Contributions'!Y57,'Fund YTD Contributions'!Y57)"),0.0)</f>
        <v>0</v>
      </c>
      <c r="Z57" s="152">
        <f>IFERROR(__xludf.DUMMYFUNCTION("IFERROR(Y57 * (1 + AVERAGE(Filter('Inflation Data'!$C:$C,'Inflation Data'!$A:$A = Z$1))) + 'Fund YTD Contributions'!Z57,'Fund YTD Contributions'!Z57)"),0.0)</f>
        <v>0</v>
      </c>
      <c r="AA57" s="152">
        <f>IFERROR(__xludf.DUMMYFUNCTION("IFERROR(Z57 * (1 + AVERAGE(Filter('Inflation Data'!$C:$C,'Inflation Data'!$A:$A = AA$1))) + 'Fund YTD Contributions'!AA57,'Fund YTD Contributions'!AA57)"),0.0)</f>
        <v>0</v>
      </c>
      <c r="AB57" s="152">
        <f>IFERROR(__xludf.DUMMYFUNCTION("IFERROR(AA57 * (1 + AVERAGE(Filter('Inflation Data'!$C:$C,'Inflation Data'!$A:$A = AB$1))) + 'Fund YTD Contributions'!AB57,'Fund YTD Contributions'!AB57)"),0.0)</f>
        <v>0</v>
      </c>
      <c r="AC57" s="152">
        <f>IFERROR(__xludf.DUMMYFUNCTION("IFERROR(AB57 * (1 + AVERAGE(Filter('Inflation Data'!$C:$C,'Inflation Data'!$A:$A = AC$1))) + 'Fund YTD Contributions'!AC57,'Fund YTD Contributions'!AC57)"),0.0)</f>
        <v>0</v>
      </c>
      <c r="AD57" s="152">
        <f>IFERROR(__xludf.DUMMYFUNCTION("IFERROR(AC57 * (1 + AVERAGE(Filter('Inflation Data'!$C:$C,'Inflation Data'!$A:$A = AD$1))) + 'Fund YTD Contributions'!AD57,'Fund YTD Contributions'!AD57)"),0.0)</f>
        <v>0</v>
      </c>
      <c r="AE57" s="152">
        <f>IFERROR(__xludf.DUMMYFUNCTION("IFERROR(AD57 * (1 + AVERAGE(Filter('Inflation Data'!$C:$C,'Inflation Data'!$A:$A = AE$1))) + 'Fund YTD Contributions'!AE57,'Fund YTD Contributions'!AE57)"),0.0)</f>
        <v>0</v>
      </c>
      <c r="AF57" s="152">
        <f>IFERROR(__xludf.DUMMYFUNCTION("IFERROR(AE57 * (1 + AVERAGE(Filter('Inflation Data'!$C:$C,'Inflation Data'!$A:$A = AF$1))) + 'Fund YTD Contributions'!AF57,'Fund YTD Contributions'!AF57)"),0.0)</f>
        <v>0</v>
      </c>
    </row>
    <row r="58">
      <c r="A58" s="150" t="str">
        <f>'Endowed Funds'!A:A</f>
        <v/>
      </c>
      <c r="B58" s="152">
        <f>IFERROR(__xludf.DUMMYFUNCTION("IFERROR(A58 * (1 + AVERAGE(Filter('Inflation Data'!$C:$C,'Inflation Data'!$A:$A = B$1))) + 'Fund YTD Contributions'!B58,'Fund YTD Contributions'!B58)"),0.0)</f>
        <v>0</v>
      </c>
      <c r="C58" s="152">
        <f>IFERROR(__xludf.DUMMYFUNCTION("IFERROR(B58 * (1 + AVERAGE(Filter('Inflation Data'!$C:$C,'Inflation Data'!$A:$A = C$1))) + 'Fund YTD Contributions'!C58,'Fund YTD Contributions'!C58)"),0.0)</f>
        <v>0</v>
      </c>
      <c r="D58" s="152">
        <f>IFERROR(__xludf.DUMMYFUNCTION("IFERROR(C58 * (1 + AVERAGE(Filter('Inflation Data'!$C:$C,'Inflation Data'!$A:$A = D$1))) + 'Fund YTD Contributions'!D58,'Fund YTD Contributions'!D58)"),0.0)</f>
        <v>0</v>
      </c>
      <c r="E58" s="152">
        <f>IFERROR(__xludf.DUMMYFUNCTION("IFERROR(D58 * (1 + AVERAGE(Filter('Inflation Data'!$C:$C,'Inflation Data'!$A:$A = E$1))) + 'Fund YTD Contributions'!E58,'Fund YTD Contributions'!E58)"),0.0)</f>
        <v>0</v>
      </c>
      <c r="F58" s="152">
        <f>IFERROR(__xludf.DUMMYFUNCTION("IFERROR(E58 * (1 + AVERAGE(Filter('Inflation Data'!$C:$C,'Inflation Data'!$A:$A = F$1))) + 'Fund YTD Contributions'!F58,'Fund YTD Contributions'!F58)"),0.0)</f>
        <v>0</v>
      </c>
      <c r="G58" s="152">
        <f>IFERROR(__xludf.DUMMYFUNCTION("IFERROR(F58 * (1 + AVERAGE(Filter('Inflation Data'!$C:$C,'Inflation Data'!$A:$A = G$1))) + 'Fund YTD Contributions'!G58,'Fund YTD Contributions'!G58)"),0.0)</f>
        <v>0</v>
      </c>
      <c r="H58" s="152">
        <f>IFERROR(__xludf.DUMMYFUNCTION("IFERROR(G58 * (1 + AVERAGE(Filter('Inflation Data'!$C:$C,'Inflation Data'!$A:$A = H$1))) + 'Fund YTD Contributions'!H58,'Fund YTD Contributions'!H58)"),0.0)</f>
        <v>0</v>
      </c>
      <c r="I58" s="152">
        <f>IFERROR(__xludf.DUMMYFUNCTION("IFERROR(H58 * (1 + AVERAGE(Filter('Inflation Data'!$C:$C,'Inflation Data'!$A:$A = I$1))) + 'Fund YTD Contributions'!I58,'Fund YTD Contributions'!I58)"),0.0)</f>
        <v>0</v>
      </c>
      <c r="J58" s="152">
        <f>IFERROR(__xludf.DUMMYFUNCTION("IFERROR(I58 * (1 + AVERAGE(Filter('Inflation Data'!$C:$C,'Inflation Data'!$A:$A = J$1))) + 'Fund YTD Contributions'!J58,'Fund YTD Contributions'!J58)"),0.0)</f>
        <v>0</v>
      </c>
      <c r="K58" s="152">
        <f>IFERROR(__xludf.DUMMYFUNCTION("IFERROR(J58 * (1 + AVERAGE(Filter('Inflation Data'!$C:$C,'Inflation Data'!$A:$A = K$1))) + 'Fund YTD Contributions'!K58,'Fund YTD Contributions'!K58)"),0.0)</f>
        <v>0</v>
      </c>
      <c r="L58" s="152">
        <f>IFERROR(__xludf.DUMMYFUNCTION("IFERROR(K58 * (1 + AVERAGE(Filter('Inflation Data'!$C:$C,'Inflation Data'!$A:$A = L$1))) + 'Fund YTD Contributions'!L58,'Fund YTD Contributions'!L58)"),0.0)</f>
        <v>0</v>
      </c>
      <c r="M58" s="152">
        <f>IFERROR(__xludf.DUMMYFUNCTION("IFERROR(L58 * (1 + AVERAGE(Filter('Inflation Data'!$C:$C,'Inflation Data'!$A:$A = M$1))) + 'Fund YTD Contributions'!M58,'Fund YTD Contributions'!M58)"),0.0)</f>
        <v>0</v>
      </c>
      <c r="N58" s="152">
        <f>IFERROR(__xludf.DUMMYFUNCTION("IFERROR(M58 * (1 + AVERAGE(Filter('Inflation Data'!$C:$C,'Inflation Data'!$A:$A = N$1))) + 'Fund YTD Contributions'!N58,'Fund YTD Contributions'!N58)"),0.0)</f>
        <v>0</v>
      </c>
      <c r="O58" s="152">
        <f>IFERROR(__xludf.DUMMYFUNCTION("IFERROR(N58 * (1 + AVERAGE(Filter('Inflation Data'!$C:$C,'Inflation Data'!$A:$A = O$1))) + 'Fund YTD Contributions'!O58,'Fund YTD Contributions'!O58)"),0.0)</f>
        <v>0</v>
      </c>
      <c r="P58" s="152">
        <f>IFERROR(__xludf.DUMMYFUNCTION("IFERROR(O58 * (1 + AVERAGE(Filter('Inflation Data'!$C:$C,'Inflation Data'!$A:$A = P$1))) + 'Fund YTD Contributions'!P58,'Fund YTD Contributions'!P58)"),0.0)</f>
        <v>0</v>
      </c>
      <c r="Q58" s="152">
        <f>IFERROR(__xludf.DUMMYFUNCTION("IFERROR(P58 * (1 + AVERAGE(Filter('Inflation Data'!$C:$C,'Inflation Data'!$A:$A = Q$1))) + 'Fund YTD Contributions'!Q58,'Fund YTD Contributions'!Q58)"),0.0)</f>
        <v>0</v>
      </c>
      <c r="R58" s="152">
        <f>IFERROR(__xludf.DUMMYFUNCTION("IFERROR(Q58 * (1 + AVERAGE(Filter('Inflation Data'!$C:$C,'Inflation Data'!$A:$A = R$1))) + 'Fund YTD Contributions'!R58,'Fund YTD Contributions'!R58)"),0.0)</f>
        <v>0</v>
      </c>
      <c r="S58" s="152">
        <f>IFERROR(__xludf.DUMMYFUNCTION("IFERROR(R58 * (1 + AVERAGE(Filter('Inflation Data'!$C:$C,'Inflation Data'!$A:$A = S$1))) + 'Fund YTD Contributions'!S58,'Fund YTD Contributions'!S58)"),0.0)</f>
        <v>0</v>
      </c>
      <c r="T58" s="152">
        <f>IFERROR(__xludf.DUMMYFUNCTION("IFERROR(S58 * (1 + AVERAGE(Filter('Inflation Data'!$C:$C,'Inflation Data'!$A:$A = T$1))) + 'Fund YTD Contributions'!T58,'Fund YTD Contributions'!T58)"),0.0)</f>
        <v>0</v>
      </c>
      <c r="U58" s="152">
        <f>IFERROR(__xludf.DUMMYFUNCTION("IFERROR(T58 * (1 + AVERAGE(Filter('Inflation Data'!$C:$C,'Inflation Data'!$A:$A = U$1))) + 'Fund YTD Contributions'!U58,'Fund YTD Contributions'!U58)"),0.0)</f>
        <v>0</v>
      </c>
      <c r="V58" s="152">
        <f>IFERROR(__xludf.DUMMYFUNCTION("IFERROR(U58 * (1 + AVERAGE(Filter('Inflation Data'!$C:$C,'Inflation Data'!$A:$A = V$1))) + 'Fund YTD Contributions'!V58,'Fund YTD Contributions'!V58)"),0.0)</f>
        <v>0</v>
      </c>
      <c r="W58" s="152">
        <f>IFERROR(__xludf.DUMMYFUNCTION("IFERROR(V58 * (1 + AVERAGE(Filter('Inflation Data'!$C:$C,'Inflation Data'!$A:$A = W$1))) + 'Fund YTD Contributions'!W58,'Fund YTD Contributions'!W58)"),0.0)</f>
        <v>0</v>
      </c>
      <c r="X58" s="152">
        <f>IFERROR(__xludf.DUMMYFUNCTION("IFERROR(W58 * (1 + AVERAGE(Filter('Inflation Data'!$C:$C,'Inflation Data'!$A:$A = X$1))) + 'Fund YTD Contributions'!X58,'Fund YTD Contributions'!X58)"),0.0)</f>
        <v>0</v>
      </c>
      <c r="Y58" s="152">
        <f>IFERROR(__xludf.DUMMYFUNCTION("IFERROR(X58 * (1 + AVERAGE(Filter('Inflation Data'!$C:$C,'Inflation Data'!$A:$A = Y$1))) + 'Fund YTD Contributions'!Y58,'Fund YTD Contributions'!Y58)"),0.0)</f>
        <v>0</v>
      </c>
      <c r="Z58" s="152">
        <f>IFERROR(__xludf.DUMMYFUNCTION("IFERROR(Y58 * (1 + AVERAGE(Filter('Inflation Data'!$C:$C,'Inflation Data'!$A:$A = Z$1))) + 'Fund YTD Contributions'!Z58,'Fund YTD Contributions'!Z58)"),0.0)</f>
        <v>0</v>
      </c>
      <c r="AA58" s="152">
        <f>IFERROR(__xludf.DUMMYFUNCTION("IFERROR(Z58 * (1 + AVERAGE(Filter('Inflation Data'!$C:$C,'Inflation Data'!$A:$A = AA$1))) + 'Fund YTD Contributions'!AA58,'Fund YTD Contributions'!AA58)"),0.0)</f>
        <v>0</v>
      </c>
      <c r="AB58" s="152">
        <f>IFERROR(__xludf.DUMMYFUNCTION("IFERROR(AA58 * (1 + AVERAGE(Filter('Inflation Data'!$C:$C,'Inflation Data'!$A:$A = AB$1))) + 'Fund YTD Contributions'!AB58,'Fund YTD Contributions'!AB58)"),0.0)</f>
        <v>0</v>
      </c>
      <c r="AC58" s="152">
        <f>IFERROR(__xludf.DUMMYFUNCTION("IFERROR(AB58 * (1 + AVERAGE(Filter('Inflation Data'!$C:$C,'Inflation Data'!$A:$A = AC$1))) + 'Fund YTD Contributions'!AC58,'Fund YTD Contributions'!AC58)"),0.0)</f>
        <v>0</v>
      </c>
      <c r="AD58" s="152">
        <f>IFERROR(__xludf.DUMMYFUNCTION("IFERROR(AC58 * (1 + AVERAGE(Filter('Inflation Data'!$C:$C,'Inflation Data'!$A:$A = AD$1))) + 'Fund YTD Contributions'!AD58,'Fund YTD Contributions'!AD58)"),0.0)</f>
        <v>0</v>
      </c>
      <c r="AE58" s="152">
        <f>IFERROR(__xludf.DUMMYFUNCTION("IFERROR(AD58 * (1 + AVERAGE(Filter('Inflation Data'!$C:$C,'Inflation Data'!$A:$A = AE$1))) + 'Fund YTD Contributions'!AE58,'Fund YTD Contributions'!AE58)"),0.0)</f>
        <v>0</v>
      </c>
      <c r="AF58" s="152">
        <f>IFERROR(__xludf.DUMMYFUNCTION("IFERROR(AE58 * (1 + AVERAGE(Filter('Inflation Data'!$C:$C,'Inflation Data'!$A:$A = AF$1))) + 'Fund YTD Contributions'!AF58,'Fund YTD Contributions'!AF58)"),0.0)</f>
        <v>0</v>
      </c>
    </row>
    <row r="59">
      <c r="A59" s="150" t="str">
        <f>'Endowed Funds'!A:A</f>
        <v/>
      </c>
      <c r="B59" s="152">
        <f>IFERROR(__xludf.DUMMYFUNCTION("IFERROR(A59 * (1 + AVERAGE(Filter('Inflation Data'!$C:$C,'Inflation Data'!$A:$A = B$1))) + 'Fund YTD Contributions'!B59,'Fund YTD Contributions'!B59)"),0.0)</f>
        <v>0</v>
      </c>
      <c r="C59" s="152">
        <f>IFERROR(__xludf.DUMMYFUNCTION("IFERROR(B59 * (1 + AVERAGE(Filter('Inflation Data'!$C:$C,'Inflation Data'!$A:$A = C$1))) + 'Fund YTD Contributions'!C59,'Fund YTD Contributions'!C59)"),0.0)</f>
        <v>0</v>
      </c>
      <c r="D59" s="152">
        <f>IFERROR(__xludf.DUMMYFUNCTION("IFERROR(C59 * (1 + AVERAGE(Filter('Inflation Data'!$C:$C,'Inflation Data'!$A:$A = D$1))) + 'Fund YTD Contributions'!D59,'Fund YTD Contributions'!D59)"),0.0)</f>
        <v>0</v>
      </c>
      <c r="E59" s="152">
        <f>IFERROR(__xludf.DUMMYFUNCTION("IFERROR(D59 * (1 + AVERAGE(Filter('Inflation Data'!$C:$C,'Inflation Data'!$A:$A = E$1))) + 'Fund YTD Contributions'!E59,'Fund YTD Contributions'!E59)"),0.0)</f>
        <v>0</v>
      </c>
      <c r="F59" s="152">
        <f>IFERROR(__xludf.DUMMYFUNCTION("IFERROR(E59 * (1 + AVERAGE(Filter('Inflation Data'!$C:$C,'Inflation Data'!$A:$A = F$1))) + 'Fund YTD Contributions'!F59,'Fund YTD Contributions'!F59)"),0.0)</f>
        <v>0</v>
      </c>
      <c r="G59" s="152">
        <f>IFERROR(__xludf.DUMMYFUNCTION("IFERROR(F59 * (1 + AVERAGE(Filter('Inflation Data'!$C:$C,'Inflation Data'!$A:$A = G$1))) + 'Fund YTD Contributions'!G59,'Fund YTD Contributions'!G59)"),0.0)</f>
        <v>0</v>
      </c>
      <c r="H59" s="152">
        <f>IFERROR(__xludf.DUMMYFUNCTION("IFERROR(G59 * (1 + AVERAGE(Filter('Inflation Data'!$C:$C,'Inflation Data'!$A:$A = H$1))) + 'Fund YTD Contributions'!H59,'Fund YTD Contributions'!H59)"),0.0)</f>
        <v>0</v>
      </c>
      <c r="I59" s="152">
        <f>IFERROR(__xludf.DUMMYFUNCTION("IFERROR(H59 * (1 + AVERAGE(Filter('Inflation Data'!$C:$C,'Inflation Data'!$A:$A = I$1))) + 'Fund YTD Contributions'!I59,'Fund YTD Contributions'!I59)"),0.0)</f>
        <v>0</v>
      </c>
      <c r="J59" s="152">
        <f>IFERROR(__xludf.DUMMYFUNCTION("IFERROR(I59 * (1 + AVERAGE(Filter('Inflation Data'!$C:$C,'Inflation Data'!$A:$A = J$1))) + 'Fund YTD Contributions'!J59,'Fund YTD Contributions'!J59)"),0.0)</f>
        <v>0</v>
      </c>
      <c r="K59" s="152">
        <f>IFERROR(__xludf.DUMMYFUNCTION("IFERROR(J59 * (1 + AVERAGE(Filter('Inflation Data'!$C:$C,'Inflation Data'!$A:$A = K$1))) + 'Fund YTD Contributions'!K59,'Fund YTD Contributions'!K59)"),0.0)</f>
        <v>0</v>
      </c>
      <c r="L59" s="152">
        <f>IFERROR(__xludf.DUMMYFUNCTION("IFERROR(K59 * (1 + AVERAGE(Filter('Inflation Data'!$C:$C,'Inflation Data'!$A:$A = L$1))) + 'Fund YTD Contributions'!L59,'Fund YTD Contributions'!L59)"),0.0)</f>
        <v>0</v>
      </c>
      <c r="M59" s="152">
        <f>IFERROR(__xludf.DUMMYFUNCTION("IFERROR(L59 * (1 + AVERAGE(Filter('Inflation Data'!$C:$C,'Inflation Data'!$A:$A = M$1))) + 'Fund YTD Contributions'!M59,'Fund YTD Contributions'!M59)"),0.0)</f>
        <v>0</v>
      </c>
      <c r="N59" s="152">
        <f>IFERROR(__xludf.DUMMYFUNCTION("IFERROR(M59 * (1 + AVERAGE(Filter('Inflation Data'!$C:$C,'Inflation Data'!$A:$A = N$1))) + 'Fund YTD Contributions'!N59,'Fund YTD Contributions'!N59)"),0.0)</f>
        <v>0</v>
      </c>
      <c r="O59" s="152">
        <f>IFERROR(__xludf.DUMMYFUNCTION("IFERROR(N59 * (1 + AVERAGE(Filter('Inflation Data'!$C:$C,'Inflation Data'!$A:$A = O$1))) + 'Fund YTD Contributions'!O59,'Fund YTD Contributions'!O59)"),0.0)</f>
        <v>0</v>
      </c>
      <c r="P59" s="152">
        <f>IFERROR(__xludf.DUMMYFUNCTION("IFERROR(O59 * (1 + AVERAGE(Filter('Inflation Data'!$C:$C,'Inflation Data'!$A:$A = P$1))) + 'Fund YTD Contributions'!P59,'Fund YTD Contributions'!P59)"),0.0)</f>
        <v>0</v>
      </c>
      <c r="Q59" s="152">
        <f>IFERROR(__xludf.DUMMYFUNCTION("IFERROR(P59 * (1 + AVERAGE(Filter('Inflation Data'!$C:$C,'Inflation Data'!$A:$A = Q$1))) + 'Fund YTD Contributions'!Q59,'Fund YTD Contributions'!Q59)"),0.0)</f>
        <v>0</v>
      </c>
      <c r="R59" s="152">
        <f>IFERROR(__xludf.DUMMYFUNCTION("IFERROR(Q59 * (1 + AVERAGE(Filter('Inflation Data'!$C:$C,'Inflation Data'!$A:$A = R$1))) + 'Fund YTD Contributions'!R59,'Fund YTD Contributions'!R59)"),0.0)</f>
        <v>0</v>
      </c>
      <c r="S59" s="152">
        <f>IFERROR(__xludf.DUMMYFUNCTION("IFERROR(R59 * (1 + AVERAGE(Filter('Inflation Data'!$C:$C,'Inflation Data'!$A:$A = S$1))) + 'Fund YTD Contributions'!S59,'Fund YTD Contributions'!S59)"),0.0)</f>
        <v>0</v>
      </c>
      <c r="T59" s="152">
        <f>IFERROR(__xludf.DUMMYFUNCTION("IFERROR(S59 * (1 + AVERAGE(Filter('Inflation Data'!$C:$C,'Inflation Data'!$A:$A = T$1))) + 'Fund YTD Contributions'!T59,'Fund YTD Contributions'!T59)"),0.0)</f>
        <v>0</v>
      </c>
      <c r="U59" s="152">
        <f>IFERROR(__xludf.DUMMYFUNCTION("IFERROR(T59 * (1 + AVERAGE(Filter('Inflation Data'!$C:$C,'Inflation Data'!$A:$A = U$1))) + 'Fund YTD Contributions'!U59,'Fund YTD Contributions'!U59)"),0.0)</f>
        <v>0</v>
      </c>
      <c r="V59" s="152">
        <f>IFERROR(__xludf.DUMMYFUNCTION("IFERROR(U59 * (1 + AVERAGE(Filter('Inflation Data'!$C:$C,'Inflation Data'!$A:$A = V$1))) + 'Fund YTD Contributions'!V59,'Fund YTD Contributions'!V59)"),0.0)</f>
        <v>0</v>
      </c>
      <c r="W59" s="152">
        <f>IFERROR(__xludf.DUMMYFUNCTION("IFERROR(V59 * (1 + AVERAGE(Filter('Inflation Data'!$C:$C,'Inflation Data'!$A:$A = W$1))) + 'Fund YTD Contributions'!W59,'Fund YTD Contributions'!W59)"),0.0)</f>
        <v>0</v>
      </c>
      <c r="X59" s="152">
        <f>IFERROR(__xludf.DUMMYFUNCTION("IFERROR(W59 * (1 + AVERAGE(Filter('Inflation Data'!$C:$C,'Inflation Data'!$A:$A = X$1))) + 'Fund YTD Contributions'!X59,'Fund YTD Contributions'!X59)"),0.0)</f>
        <v>0</v>
      </c>
      <c r="Y59" s="152">
        <f>IFERROR(__xludf.DUMMYFUNCTION("IFERROR(X59 * (1 + AVERAGE(Filter('Inflation Data'!$C:$C,'Inflation Data'!$A:$A = Y$1))) + 'Fund YTD Contributions'!Y59,'Fund YTD Contributions'!Y59)"),0.0)</f>
        <v>0</v>
      </c>
      <c r="Z59" s="152">
        <f>IFERROR(__xludf.DUMMYFUNCTION("IFERROR(Y59 * (1 + AVERAGE(Filter('Inflation Data'!$C:$C,'Inflation Data'!$A:$A = Z$1))) + 'Fund YTD Contributions'!Z59,'Fund YTD Contributions'!Z59)"),0.0)</f>
        <v>0</v>
      </c>
      <c r="AA59" s="152">
        <f>IFERROR(__xludf.DUMMYFUNCTION("IFERROR(Z59 * (1 + AVERAGE(Filter('Inflation Data'!$C:$C,'Inflation Data'!$A:$A = AA$1))) + 'Fund YTD Contributions'!AA59,'Fund YTD Contributions'!AA59)"),0.0)</f>
        <v>0</v>
      </c>
      <c r="AB59" s="152">
        <f>IFERROR(__xludf.DUMMYFUNCTION("IFERROR(AA59 * (1 + AVERAGE(Filter('Inflation Data'!$C:$C,'Inflation Data'!$A:$A = AB$1))) + 'Fund YTD Contributions'!AB59,'Fund YTD Contributions'!AB59)"),0.0)</f>
        <v>0</v>
      </c>
      <c r="AC59" s="152">
        <f>IFERROR(__xludf.DUMMYFUNCTION("IFERROR(AB59 * (1 + AVERAGE(Filter('Inflation Data'!$C:$C,'Inflation Data'!$A:$A = AC$1))) + 'Fund YTD Contributions'!AC59,'Fund YTD Contributions'!AC59)"),0.0)</f>
        <v>0</v>
      </c>
      <c r="AD59" s="152">
        <f>IFERROR(__xludf.DUMMYFUNCTION("IFERROR(AC59 * (1 + AVERAGE(Filter('Inflation Data'!$C:$C,'Inflation Data'!$A:$A = AD$1))) + 'Fund YTD Contributions'!AD59,'Fund YTD Contributions'!AD59)"),0.0)</f>
        <v>0</v>
      </c>
      <c r="AE59" s="152">
        <f>IFERROR(__xludf.DUMMYFUNCTION("IFERROR(AD59 * (1 + AVERAGE(Filter('Inflation Data'!$C:$C,'Inflation Data'!$A:$A = AE$1))) + 'Fund YTD Contributions'!AE59,'Fund YTD Contributions'!AE59)"),0.0)</f>
        <v>0</v>
      </c>
      <c r="AF59" s="152">
        <f>IFERROR(__xludf.DUMMYFUNCTION("IFERROR(AE59 * (1 + AVERAGE(Filter('Inflation Data'!$C:$C,'Inflation Data'!$A:$A = AF$1))) + 'Fund YTD Contributions'!AF59,'Fund YTD Contributions'!AF59)"),0.0)</f>
        <v>0</v>
      </c>
    </row>
    <row r="60">
      <c r="A60" s="150" t="str">
        <f>'Endowed Funds'!A:A</f>
        <v/>
      </c>
      <c r="B60" s="152">
        <f>IFERROR(__xludf.DUMMYFUNCTION("IFERROR(A60 * (1 + AVERAGE(Filter('Inflation Data'!$C:$C,'Inflation Data'!$A:$A = B$1))) + 'Fund YTD Contributions'!B60,'Fund YTD Contributions'!B60)"),0.0)</f>
        <v>0</v>
      </c>
      <c r="C60" s="152">
        <f>IFERROR(__xludf.DUMMYFUNCTION("IFERROR(B60 * (1 + AVERAGE(Filter('Inflation Data'!$C:$C,'Inflation Data'!$A:$A = C$1))) + 'Fund YTD Contributions'!C60,'Fund YTD Contributions'!C60)"),0.0)</f>
        <v>0</v>
      </c>
      <c r="D60" s="152">
        <f>IFERROR(__xludf.DUMMYFUNCTION("IFERROR(C60 * (1 + AVERAGE(Filter('Inflation Data'!$C:$C,'Inflation Data'!$A:$A = D$1))) + 'Fund YTD Contributions'!D60,'Fund YTD Contributions'!D60)"),0.0)</f>
        <v>0</v>
      </c>
      <c r="E60" s="152">
        <f>IFERROR(__xludf.DUMMYFUNCTION("IFERROR(D60 * (1 + AVERAGE(Filter('Inflation Data'!$C:$C,'Inflation Data'!$A:$A = E$1))) + 'Fund YTD Contributions'!E60,'Fund YTD Contributions'!E60)"),0.0)</f>
        <v>0</v>
      </c>
      <c r="F60" s="152">
        <f>IFERROR(__xludf.DUMMYFUNCTION("IFERROR(E60 * (1 + AVERAGE(Filter('Inflation Data'!$C:$C,'Inflation Data'!$A:$A = F$1))) + 'Fund YTD Contributions'!F60,'Fund YTD Contributions'!F60)"),0.0)</f>
        <v>0</v>
      </c>
      <c r="G60" s="152">
        <f>IFERROR(__xludf.DUMMYFUNCTION("IFERROR(F60 * (1 + AVERAGE(Filter('Inflation Data'!$C:$C,'Inflation Data'!$A:$A = G$1))) + 'Fund YTD Contributions'!G60,'Fund YTD Contributions'!G60)"),0.0)</f>
        <v>0</v>
      </c>
      <c r="H60" s="152">
        <f>IFERROR(__xludf.DUMMYFUNCTION("IFERROR(G60 * (1 + AVERAGE(Filter('Inflation Data'!$C:$C,'Inflation Data'!$A:$A = H$1))) + 'Fund YTD Contributions'!H60,'Fund YTD Contributions'!H60)"),0.0)</f>
        <v>0</v>
      </c>
      <c r="I60" s="152">
        <f>IFERROR(__xludf.DUMMYFUNCTION("IFERROR(H60 * (1 + AVERAGE(Filter('Inflation Data'!$C:$C,'Inflation Data'!$A:$A = I$1))) + 'Fund YTD Contributions'!I60,'Fund YTD Contributions'!I60)"),0.0)</f>
        <v>0</v>
      </c>
      <c r="J60" s="152">
        <f>IFERROR(__xludf.DUMMYFUNCTION("IFERROR(I60 * (1 + AVERAGE(Filter('Inflation Data'!$C:$C,'Inflation Data'!$A:$A = J$1))) + 'Fund YTD Contributions'!J60,'Fund YTD Contributions'!J60)"),0.0)</f>
        <v>0</v>
      </c>
      <c r="K60" s="152">
        <f>IFERROR(__xludf.DUMMYFUNCTION("IFERROR(J60 * (1 + AVERAGE(Filter('Inflation Data'!$C:$C,'Inflation Data'!$A:$A = K$1))) + 'Fund YTD Contributions'!K60,'Fund YTD Contributions'!K60)"),0.0)</f>
        <v>0</v>
      </c>
      <c r="L60" s="152">
        <f>IFERROR(__xludf.DUMMYFUNCTION("IFERROR(K60 * (1 + AVERAGE(Filter('Inflation Data'!$C:$C,'Inflation Data'!$A:$A = L$1))) + 'Fund YTD Contributions'!L60,'Fund YTD Contributions'!L60)"),0.0)</f>
        <v>0</v>
      </c>
      <c r="M60" s="152">
        <f>IFERROR(__xludf.DUMMYFUNCTION("IFERROR(L60 * (1 + AVERAGE(Filter('Inflation Data'!$C:$C,'Inflation Data'!$A:$A = M$1))) + 'Fund YTD Contributions'!M60,'Fund YTD Contributions'!M60)"),0.0)</f>
        <v>0</v>
      </c>
      <c r="N60" s="152">
        <f>IFERROR(__xludf.DUMMYFUNCTION("IFERROR(M60 * (1 + AVERAGE(Filter('Inflation Data'!$C:$C,'Inflation Data'!$A:$A = N$1))) + 'Fund YTD Contributions'!N60,'Fund YTD Contributions'!N60)"),0.0)</f>
        <v>0</v>
      </c>
      <c r="O60" s="152">
        <f>IFERROR(__xludf.DUMMYFUNCTION("IFERROR(N60 * (1 + AVERAGE(Filter('Inflation Data'!$C:$C,'Inflation Data'!$A:$A = O$1))) + 'Fund YTD Contributions'!O60,'Fund YTD Contributions'!O60)"),0.0)</f>
        <v>0</v>
      </c>
      <c r="P60" s="152">
        <f>IFERROR(__xludf.DUMMYFUNCTION("IFERROR(O60 * (1 + AVERAGE(Filter('Inflation Data'!$C:$C,'Inflation Data'!$A:$A = P$1))) + 'Fund YTD Contributions'!P60,'Fund YTD Contributions'!P60)"),0.0)</f>
        <v>0</v>
      </c>
      <c r="Q60" s="152">
        <f>IFERROR(__xludf.DUMMYFUNCTION("IFERROR(P60 * (1 + AVERAGE(Filter('Inflation Data'!$C:$C,'Inflation Data'!$A:$A = Q$1))) + 'Fund YTD Contributions'!Q60,'Fund YTD Contributions'!Q60)"),0.0)</f>
        <v>0</v>
      </c>
      <c r="R60" s="152">
        <f>IFERROR(__xludf.DUMMYFUNCTION("IFERROR(Q60 * (1 + AVERAGE(Filter('Inflation Data'!$C:$C,'Inflation Data'!$A:$A = R$1))) + 'Fund YTD Contributions'!R60,'Fund YTD Contributions'!R60)"),0.0)</f>
        <v>0</v>
      </c>
      <c r="S60" s="152">
        <f>IFERROR(__xludf.DUMMYFUNCTION("IFERROR(R60 * (1 + AVERAGE(Filter('Inflation Data'!$C:$C,'Inflation Data'!$A:$A = S$1))) + 'Fund YTD Contributions'!S60,'Fund YTD Contributions'!S60)"),0.0)</f>
        <v>0</v>
      </c>
      <c r="T60" s="152">
        <f>IFERROR(__xludf.DUMMYFUNCTION("IFERROR(S60 * (1 + AVERAGE(Filter('Inflation Data'!$C:$C,'Inflation Data'!$A:$A = T$1))) + 'Fund YTD Contributions'!T60,'Fund YTD Contributions'!T60)"),0.0)</f>
        <v>0</v>
      </c>
      <c r="U60" s="152">
        <f>IFERROR(__xludf.DUMMYFUNCTION("IFERROR(T60 * (1 + AVERAGE(Filter('Inflation Data'!$C:$C,'Inflation Data'!$A:$A = U$1))) + 'Fund YTD Contributions'!U60,'Fund YTD Contributions'!U60)"),0.0)</f>
        <v>0</v>
      </c>
      <c r="V60" s="152">
        <f>IFERROR(__xludf.DUMMYFUNCTION("IFERROR(U60 * (1 + AVERAGE(Filter('Inflation Data'!$C:$C,'Inflation Data'!$A:$A = V$1))) + 'Fund YTD Contributions'!V60,'Fund YTD Contributions'!V60)"),0.0)</f>
        <v>0</v>
      </c>
      <c r="W60" s="152">
        <f>IFERROR(__xludf.DUMMYFUNCTION("IFERROR(V60 * (1 + AVERAGE(Filter('Inflation Data'!$C:$C,'Inflation Data'!$A:$A = W$1))) + 'Fund YTD Contributions'!W60,'Fund YTD Contributions'!W60)"),0.0)</f>
        <v>0</v>
      </c>
      <c r="X60" s="152">
        <f>IFERROR(__xludf.DUMMYFUNCTION("IFERROR(W60 * (1 + AVERAGE(Filter('Inflation Data'!$C:$C,'Inflation Data'!$A:$A = X$1))) + 'Fund YTD Contributions'!X60,'Fund YTD Contributions'!X60)"),0.0)</f>
        <v>0</v>
      </c>
      <c r="Y60" s="152">
        <f>IFERROR(__xludf.DUMMYFUNCTION("IFERROR(X60 * (1 + AVERAGE(Filter('Inflation Data'!$C:$C,'Inflation Data'!$A:$A = Y$1))) + 'Fund YTD Contributions'!Y60,'Fund YTD Contributions'!Y60)"),0.0)</f>
        <v>0</v>
      </c>
      <c r="Z60" s="152">
        <f>IFERROR(__xludf.DUMMYFUNCTION("IFERROR(Y60 * (1 + AVERAGE(Filter('Inflation Data'!$C:$C,'Inflation Data'!$A:$A = Z$1))) + 'Fund YTD Contributions'!Z60,'Fund YTD Contributions'!Z60)"),0.0)</f>
        <v>0</v>
      </c>
      <c r="AA60" s="152">
        <f>IFERROR(__xludf.DUMMYFUNCTION("IFERROR(Z60 * (1 + AVERAGE(Filter('Inflation Data'!$C:$C,'Inflation Data'!$A:$A = AA$1))) + 'Fund YTD Contributions'!AA60,'Fund YTD Contributions'!AA60)"),0.0)</f>
        <v>0</v>
      </c>
      <c r="AB60" s="152">
        <f>IFERROR(__xludf.DUMMYFUNCTION("IFERROR(AA60 * (1 + AVERAGE(Filter('Inflation Data'!$C:$C,'Inflation Data'!$A:$A = AB$1))) + 'Fund YTD Contributions'!AB60,'Fund YTD Contributions'!AB60)"),0.0)</f>
        <v>0</v>
      </c>
      <c r="AC60" s="152">
        <f>IFERROR(__xludf.DUMMYFUNCTION("IFERROR(AB60 * (1 + AVERAGE(Filter('Inflation Data'!$C:$C,'Inflation Data'!$A:$A = AC$1))) + 'Fund YTD Contributions'!AC60,'Fund YTD Contributions'!AC60)"),0.0)</f>
        <v>0</v>
      </c>
      <c r="AD60" s="152">
        <f>IFERROR(__xludf.DUMMYFUNCTION("IFERROR(AC60 * (1 + AVERAGE(Filter('Inflation Data'!$C:$C,'Inflation Data'!$A:$A = AD$1))) + 'Fund YTD Contributions'!AD60,'Fund YTD Contributions'!AD60)"),0.0)</f>
        <v>0</v>
      </c>
      <c r="AE60" s="152">
        <f>IFERROR(__xludf.DUMMYFUNCTION("IFERROR(AD60 * (1 + AVERAGE(Filter('Inflation Data'!$C:$C,'Inflation Data'!$A:$A = AE$1))) + 'Fund YTD Contributions'!AE60,'Fund YTD Contributions'!AE60)"),0.0)</f>
        <v>0</v>
      </c>
      <c r="AF60" s="152">
        <f>IFERROR(__xludf.DUMMYFUNCTION("IFERROR(AE60 * (1 + AVERAGE(Filter('Inflation Data'!$C:$C,'Inflation Data'!$A:$A = AF$1))) + 'Fund YTD Contributions'!AF60,'Fund YTD Contributions'!AF60)"),0.0)</f>
        <v>0</v>
      </c>
    </row>
    <row r="61">
      <c r="A61" s="150" t="str">
        <f>'Endowed Funds'!A:A</f>
        <v/>
      </c>
      <c r="B61" s="152">
        <f>IFERROR(__xludf.DUMMYFUNCTION("IFERROR(A61 * (1 + AVERAGE(Filter('Inflation Data'!$C:$C,'Inflation Data'!$A:$A = B$1))) + 'Fund YTD Contributions'!B61,'Fund YTD Contributions'!B61)"),0.0)</f>
        <v>0</v>
      </c>
      <c r="C61" s="152">
        <f>IFERROR(__xludf.DUMMYFUNCTION("IFERROR(B61 * (1 + AVERAGE(Filter('Inflation Data'!$C:$C,'Inflation Data'!$A:$A = C$1))) + 'Fund YTD Contributions'!C61,'Fund YTD Contributions'!C61)"),0.0)</f>
        <v>0</v>
      </c>
      <c r="D61" s="152">
        <f>IFERROR(__xludf.DUMMYFUNCTION("IFERROR(C61 * (1 + AVERAGE(Filter('Inflation Data'!$C:$C,'Inflation Data'!$A:$A = D$1))) + 'Fund YTD Contributions'!D61,'Fund YTD Contributions'!D61)"),0.0)</f>
        <v>0</v>
      </c>
      <c r="E61" s="152">
        <f>IFERROR(__xludf.DUMMYFUNCTION("IFERROR(D61 * (1 + AVERAGE(Filter('Inflation Data'!$C:$C,'Inflation Data'!$A:$A = E$1))) + 'Fund YTD Contributions'!E61,'Fund YTD Contributions'!E61)"),0.0)</f>
        <v>0</v>
      </c>
      <c r="F61" s="152">
        <f>IFERROR(__xludf.DUMMYFUNCTION("IFERROR(E61 * (1 + AVERAGE(Filter('Inflation Data'!$C:$C,'Inflation Data'!$A:$A = F$1))) + 'Fund YTD Contributions'!F61,'Fund YTD Contributions'!F61)"),0.0)</f>
        <v>0</v>
      </c>
      <c r="G61" s="152">
        <f>IFERROR(__xludf.DUMMYFUNCTION("IFERROR(F61 * (1 + AVERAGE(Filter('Inflation Data'!$C:$C,'Inflation Data'!$A:$A = G$1))) + 'Fund YTD Contributions'!G61,'Fund YTD Contributions'!G61)"),0.0)</f>
        <v>0</v>
      </c>
      <c r="H61" s="152">
        <f>IFERROR(__xludf.DUMMYFUNCTION("IFERROR(G61 * (1 + AVERAGE(Filter('Inflation Data'!$C:$C,'Inflation Data'!$A:$A = H$1))) + 'Fund YTD Contributions'!H61,'Fund YTD Contributions'!H61)"),0.0)</f>
        <v>0</v>
      </c>
      <c r="I61" s="152">
        <f>IFERROR(__xludf.DUMMYFUNCTION("IFERROR(H61 * (1 + AVERAGE(Filter('Inflation Data'!$C:$C,'Inflation Data'!$A:$A = I$1))) + 'Fund YTD Contributions'!I61,'Fund YTD Contributions'!I61)"),0.0)</f>
        <v>0</v>
      </c>
      <c r="J61" s="152">
        <f>IFERROR(__xludf.DUMMYFUNCTION("IFERROR(I61 * (1 + AVERAGE(Filter('Inflation Data'!$C:$C,'Inflation Data'!$A:$A = J$1))) + 'Fund YTD Contributions'!J61,'Fund YTD Contributions'!J61)"),0.0)</f>
        <v>0</v>
      </c>
      <c r="K61" s="152">
        <f>IFERROR(__xludf.DUMMYFUNCTION("IFERROR(J61 * (1 + AVERAGE(Filter('Inflation Data'!$C:$C,'Inflation Data'!$A:$A = K$1))) + 'Fund YTD Contributions'!K61,'Fund YTD Contributions'!K61)"),0.0)</f>
        <v>0</v>
      </c>
      <c r="L61" s="152">
        <f>IFERROR(__xludf.DUMMYFUNCTION("IFERROR(K61 * (1 + AVERAGE(Filter('Inflation Data'!$C:$C,'Inflation Data'!$A:$A = L$1))) + 'Fund YTD Contributions'!L61,'Fund YTD Contributions'!L61)"),0.0)</f>
        <v>0</v>
      </c>
      <c r="M61" s="152">
        <f>IFERROR(__xludf.DUMMYFUNCTION("IFERROR(L61 * (1 + AVERAGE(Filter('Inflation Data'!$C:$C,'Inflation Data'!$A:$A = M$1))) + 'Fund YTD Contributions'!M61,'Fund YTD Contributions'!M61)"),0.0)</f>
        <v>0</v>
      </c>
      <c r="N61" s="152">
        <f>IFERROR(__xludf.DUMMYFUNCTION("IFERROR(M61 * (1 + AVERAGE(Filter('Inflation Data'!$C:$C,'Inflation Data'!$A:$A = N$1))) + 'Fund YTD Contributions'!N61,'Fund YTD Contributions'!N61)"),0.0)</f>
        <v>0</v>
      </c>
      <c r="O61" s="152">
        <f>IFERROR(__xludf.DUMMYFUNCTION("IFERROR(N61 * (1 + AVERAGE(Filter('Inflation Data'!$C:$C,'Inflation Data'!$A:$A = O$1))) + 'Fund YTD Contributions'!O61,'Fund YTD Contributions'!O61)"),0.0)</f>
        <v>0</v>
      </c>
      <c r="P61" s="152">
        <f>IFERROR(__xludf.DUMMYFUNCTION("IFERROR(O61 * (1 + AVERAGE(Filter('Inflation Data'!$C:$C,'Inflation Data'!$A:$A = P$1))) + 'Fund YTD Contributions'!P61,'Fund YTD Contributions'!P61)"),0.0)</f>
        <v>0</v>
      </c>
      <c r="Q61" s="152">
        <f>IFERROR(__xludf.DUMMYFUNCTION("IFERROR(P61 * (1 + AVERAGE(Filter('Inflation Data'!$C:$C,'Inflation Data'!$A:$A = Q$1))) + 'Fund YTD Contributions'!Q61,'Fund YTD Contributions'!Q61)"),0.0)</f>
        <v>0</v>
      </c>
      <c r="R61" s="152">
        <f>IFERROR(__xludf.DUMMYFUNCTION("IFERROR(Q61 * (1 + AVERAGE(Filter('Inflation Data'!$C:$C,'Inflation Data'!$A:$A = R$1))) + 'Fund YTD Contributions'!R61,'Fund YTD Contributions'!R61)"),0.0)</f>
        <v>0</v>
      </c>
      <c r="S61" s="152">
        <f>IFERROR(__xludf.DUMMYFUNCTION("IFERROR(R61 * (1 + AVERAGE(Filter('Inflation Data'!$C:$C,'Inflation Data'!$A:$A = S$1))) + 'Fund YTD Contributions'!S61,'Fund YTD Contributions'!S61)"),0.0)</f>
        <v>0</v>
      </c>
      <c r="T61" s="152">
        <f>IFERROR(__xludf.DUMMYFUNCTION("IFERROR(S61 * (1 + AVERAGE(Filter('Inflation Data'!$C:$C,'Inflation Data'!$A:$A = T$1))) + 'Fund YTD Contributions'!T61,'Fund YTD Contributions'!T61)"),0.0)</f>
        <v>0</v>
      </c>
      <c r="U61" s="152">
        <f>IFERROR(__xludf.DUMMYFUNCTION("IFERROR(T61 * (1 + AVERAGE(Filter('Inflation Data'!$C:$C,'Inflation Data'!$A:$A = U$1))) + 'Fund YTD Contributions'!U61,'Fund YTD Contributions'!U61)"),0.0)</f>
        <v>0</v>
      </c>
      <c r="V61" s="152">
        <f>IFERROR(__xludf.DUMMYFUNCTION("IFERROR(U61 * (1 + AVERAGE(Filter('Inflation Data'!$C:$C,'Inflation Data'!$A:$A = V$1))) + 'Fund YTD Contributions'!V61,'Fund YTD Contributions'!V61)"),0.0)</f>
        <v>0</v>
      </c>
      <c r="W61" s="152">
        <f>IFERROR(__xludf.DUMMYFUNCTION("IFERROR(V61 * (1 + AVERAGE(Filter('Inflation Data'!$C:$C,'Inflation Data'!$A:$A = W$1))) + 'Fund YTD Contributions'!W61,'Fund YTD Contributions'!W61)"),0.0)</f>
        <v>0</v>
      </c>
      <c r="X61" s="152">
        <f>IFERROR(__xludf.DUMMYFUNCTION("IFERROR(W61 * (1 + AVERAGE(Filter('Inflation Data'!$C:$C,'Inflation Data'!$A:$A = X$1))) + 'Fund YTD Contributions'!X61,'Fund YTD Contributions'!X61)"),0.0)</f>
        <v>0</v>
      </c>
      <c r="Y61" s="152">
        <f>IFERROR(__xludf.DUMMYFUNCTION("IFERROR(X61 * (1 + AVERAGE(Filter('Inflation Data'!$C:$C,'Inflation Data'!$A:$A = Y$1))) + 'Fund YTD Contributions'!Y61,'Fund YTD Contributions'!Y61)"),0.0)</f>
        <v>0</v>
      </c>
      <c r="Z61" s="152">
        <f>IFERROR(__xludf.DUMMYFUNCTION("IFERROR(Y61 * (1 + AVERAGE(Filter('Inflation Data'!$C:$C,'Inflation Data'!$A:$A = Z$1))) + 'Fund YTD Contributions'!Z61,'Fund YTD Contributions'!Z61)"),0.0)</f>
        <v>0</v>
      </c>
      <c r="AA61" s="152">
        <f>IFERROR(__xludf.DUMMYFUNCTION("IFERROR(Z61 * (1 + AVERAGE(Filter('Inflation Data'!$C:$C,'Inflation Data'!$A:$A = AA$1))) + 'Fund YTD Contributions'!AA61,'Fund YTD Contributions'!AA61)"),0.0)</f>
        <v>0</v>
      </c>
      <c r="AB61" s="152">
        <f>IFERROR(__xludf.DUMMYFUNCTION("IFERROR(AA61 * (1 + AVERAGE(Filter('Inflation Data'!$C:$C,'Inflation Data'!$A:$A = AB$1))) + 'Fund YTD Contributions'!AB61,'Fund YTD Contributions'!AB61)"),0.0)</f>
        <v>0</v>
      </c>
      <c r="AC61" s="152">
        <f>IFERROR(__xludf.DUMMYFUNCTION("IFERROR(AB61 * (1 + AVERAGE(Filter('Inflation Data'!$C:$C,'Inflation Data'!$A:$A = AC$1))) + 'Fund YTD Contributions'!AC61,'Fund YTD Contributions'!AC61)"),0.0)</f>
        <v>0</v>
      </c>
      <c r="AD61" s="152">
        <f>IFERROR(__xludf.DUMMYFUNCTION("IFERROR(AC61 * (1 + AVERAGE(Filter('Inflation Data'!$C:$C,'Inflation Data'!$A:$A = AD$1))) + 'Fund YTD Contributions'!AD61,'Fund YTD Contributions'!AD61)"),0.0)</f>
        <v>0</v>
      </c>
      <c r="AE61" s="152">
        <f>IFERROR(__xludf.DUMMYFUNCTION("IFERROR(AD61 * (1 + AVERAGE(Filter('Inflation Data'!$C:$C,'Inflation Data'!$A:$A = AE$1))) + 'Fund YTD Contributions'!AE61,'Fund YTD Contributions'!AE61)"),0.0)</f>
        <v>0</v>
      </c>
      <c r="AF61" s="152">
        <f>IFERROR(__xludf.DUMMYFUNCTION("IFERROR(AE61 * (1 + AVERAGE(Filter('Inflation Data'!$C:$C,'Inflation Data'!$A:$A = AF$1))) + 'Fund YTD Contributions'!AF61,'Fund YTD Contributions'!AF61)"),0.0)</f>
        <v>0</v>
      </c>
    </row>
    <row r="62">
      <c r="A62" s="150" t="str">
        <f>'Endowed Funds'!A:A</f>
        <v/>
      </c>
      <c r="B62" s="152">
        <f>IFERROR(__xludf.DUMMYFUNCTION("IFERROR(A62 * (1 + AVERAGE(Filter('Inflation Data'!$C:$C,'Inflation Data'!$A:$A = B$1))) + 'Fund YTD Contributions'!B62,'Fund YTD Contributions'!B62)"),0.0)</f>
        <v>0</v>
      </c>
      <c r="C62" s="152">
        <f>IFERROR(__xludf.DUMMYFUNCTION("IFERROR(B62 * (1 + AVERAGE(Filter('Inflation Data'!$C:$C,'Inflation Data'!$A:$A = C$1))) + 'Fund YTD Contributions'!C62,'Fund YTD Contributions'!C62)"),0.0)</f>
        <v>0</v>
      </c>
      <c r="D62" s="152">
        <f>IFERROR(__xludf.DUMMYFUNCTION("IFERROR(C62 * (1 + AVERAGE(Filter('Inflation Data'!$C:$C,'Inflation Data'!$A:$A = D$1))) + 'Fund YTD Contributions'!D62,'Fund YTD Contributions'!D62)"),0.0)</f>
        <v>0</v>
      </c>
      <c r="E62" s="152">
        <f>IFERROR(__xludf.DUMMYFUNCTION("IFERROR(D62 * (1 + AVERAGE(Filter('Inflation Data'!$C:$C,'Inflation Data'!$A:$A = E$1))) + 'Fund YTD Contributions'!E62,'Fund YTD Contributions'!E62)"),0.0)</f>
        <v>0</v>
      </c>
      <c r="F62" s="152">
        <f>IFERROR(__xludf.DUMMYFUNCTION("IFERROR(E62 * (1 + AVERAGE(Filter('Inflation Data'!$C:$C,'Inflation Data'!$A:$A = F$1))) + 'Fund YTD Contributions'!F62,'Fund YTD Contributions'!F62)"),0.0)</f>
        <v>0</v>
      </c>
      <c r="G62" s="152">
        <f>IFERROR(__xludf.DUMMYFUNCTION("IFERROR(F62 * (1 + AVERAGE(Filter('Inflation Data'!$C:$C,'Inflation Data'!$A:$A = G$1))) + 'Fund YTD Contributions'!G62,'Fund YTD Contributions'!G62)"),0.0)</f>
        <v>0</v>
      </c>
      <c r="H62" s="152">
        <f>IFERROR(__xludf.DUMMYFUNCTION("IFERROR(G62 * (1 + AVERAGE(Filter('Inflation Data'!$C:$C,'Inflation Data'!$A:$A = H$1))) + 'Fund YTD Contributions'!H62,'Fund YTD Contributions'!H62)"),0.0)</f>
        <v>0</v>
      </c>
      <c r="I62" s="152">
        <f>IFERROR(__xludf.DUMMYFUNCTION("IFERROR(H62 * (1 + AVERAGE(Filter('Inflation Data'!$C:$C,'Inflation Data'!$A:$A = I$1))) + 'Fund YTD Contributions'!I62,'Fund YTD Contributions'!I62)"),0.0)</f>
        <v>0</v>
      </c>
      <c r="J62" s="152">
        <f>IFERROR(__xludf.DUMMYFUNCTION("IFERROR(I62 * (1 + AVERAGE(Filter('Inflation Data'!$C:$C,'Inflation Data'!$A:$A = J$1))) + 'Fund YTD Contributions'!J62,'Fund YTD Contributions'!J62)"),0.0)</f>
        <v>0</v>
      </c>
      <c r="K62" s="152">
        <f>IFERROR(__xludf.DUMMYFUNCTION("IFERROR(J62 * (1 + AVERAGE(Filter('Inflation Data'!$C:$C,'Inflation Data'!$A:$A = K$1))) + 'Fund YTD Contributions'!K62,'Fund YTD Contributions'!K62)"),0.0)</f>
        <v>0</v>
      </c>
      <c r="L62" s="152">
        <f>IFERROR(__xludf.DUMMYFUNCTION("IFERROR(K62 * (1 + AVERAGE(Filter('Inflation Data'!$C:$C,'Inflation Data'!$A:$A = L$1))) + 'Fund YTD Contributions'!L62,'Fund YTD Contributions'!L62)"),0.0)</f>
        <v>0</v>
      </c>
      <c r="M62" s="152">
        <f>IFERROR(__xludf.DUMMYFUNCTION("IFERROR(L62 * (1 + AVERAGE(Filter('Inflation Data'!$C:$C,'Inflation Data'!$A:$A = M$1))) + 'Fund YTD Contributions'!M62,'Fund YTD Contributions'!M62)"),0.0)</f>
        <v>0</v>
      </c>
      <c r="N62" s="152">
        <f>IFERROR(__xludf.DUMMYFUNCTION("IFERROR(M62 * (1 + AVERAGE(Filter('Inflation Data'!$C:$C,'Inflation Data'!$A:$A = N$1))) + 'Fund YTD Contributions'!N62,'Fund YTD Contributions'!N62)"),0.0)</f>
        <v>0</v>
      </c>
      <c r="O62" s="152">
        <f>IFERROR(__xludf.DUMMYFUNCTION("IFERROR(N62 * (1 + AVERAGE(Filter('Inflation Data'!$C:$C,'Inflation Data'!$A:$A = O$1))) + 'Fund YTD Contributions'!O62,'Fund YTD Contributions'!O62)"),0.0)</f>
        <v>0</v>
      </c>
      <c r="P62" s="152">
        <f>IFERROR(__xludf.DUMMYFUNCTION("IFERROR(O62 * (1 + AVERAGE(Filter('Inflation Data'!$C:$C,'Inflation Data'!$A:$A = P$1))) + 'Fund YTD Contributions'!P62,'Fund YTD Contributions'!P62)"),0.0)</f>
        <v>0</v>
      </c>
      <c r="Q62" s="152">
        <f>IFERROR(__xludf.DUMMYFUNCTION("IFERROR(P62 * (1 + AVERAGE(Filter('Inflation Data'!$C:$C,'Inflation Data'!$A:$A = Q$1))) + 'Fund YTD Contributions'!Q62,'Fund YTD Contributions'!Q62)"),0.0)</f>
        <v>0</v>
      </c>
      <c r="R62" s="152">
        <f>IFERROR(__xludf.DUMMYFUNCTION("IFERROR(Q62 * (1 + AVERAGE(Filter('Inflation Data'!$C:$C,'Inflation Data'!$A:$A = R$1))) + 'Fund YTD Contributions'!R62,'Fund YTD Contributions'!R62)"),0.0)</f>
        <v>0</v>
      </c>
      <c r="S62" s="152">
        <f>IFERROR(__xludf.DUMMYFUNCTION("IFERROR(R62 * (1 + AVERAGE(Filter('Inflation Data'!$C:$C,'Inflation Data'!$A:$A = S$1))) + 'Fund YTD Contributions'!S62,'Fund YTD Contributions'!S62)"),0.0)</f>
        <v>0</v>
      </c>
      <c r="T62" s="152">
        <f>IFERROR(__xludf.DUMMYFUNCTION("IFERROR(S62 * (1 + AVERAGE(Filter('Inflation Data'!$C:$C,'Inflation Data'!$A:$A = T$1))) + 'Fund YTD Contributions'!T62,'Fund YTD Contributions'!T62)"),0.0)</f>
        <v>0</v>
      </c>
      <c r="U62" s="152">
        <f>IFERROR(__xludf.DUMMYFUNCTION("IFERROR(T62 * (1 + AVERAGE(Filter('Inflation Data'!$C:$C,'Inflation Data'!$A:$A = U$1))) + 'Fund YTD Contributions'!U62,'Fund YTD Contributions'!U62)"),0.0)</f>
        <v>0</v>
      </c>
      <c r="V62" s="152">
        <f>IFERROR(__xludf.DUMMYFUNCTION("IFERROR(U62 * (1 + AVERAGE(Filter('Inflation Data'!$C:$C,'Inflation Data'!$A:$A = V$1))) + 'Fund YTD Contributions'!V62,'Fund YTD Contributions'!V62)"),0.0)</f>
        <v>0</v>
      </c>
      <c r="W62" s="152">
        <f>IFERROR(__xludf.DUMMYFUNCTION("IFERROR(V62 * (1 + AVERAGE(Filter('Inflation Data'!$C:$C,'Inflation Data'!$A:$A = W$1))) + 'Fund YTD Contributions'!W62,'Fund YTD Contributions'!W62)"),0.0)</f>
        <v>0</v>
      </c>
      <c r="X62" s="152">
        <f>IFERROR(__xludf.DUMMYFUNCTION("IFERROR(W62 * (1 + AVERAGE(Filter('Inflation Data'!$C:$C,'Inflation Data'!$A:$A = X$1))) + 'Fund YTD Contributions'!X62,'Fund YTD Contributions'!X62)"),0.0)</f>
        <v>0</v>
      </c>
      <c r="Y62" s="152">
        <f>IFERROR(__xludf.DUMMYFUNCTION("IFERROR(X62 * (1 + AVERAGE(Filter('Inflation Data'!$C:$C,'Inflation Data'!$A:$A = Y$1))) + 'Fund YTD Contributions'!Y62,'Fund YTD Contributions'!Y62)"),0.0)</f>
        <v>0</v>
      </c>
      <c r="Z62" s="152">
        <f>IFERROR(__xludf.DUMMYFUNCTION("IFERROR(Y62 * (1 + AVERAGE(Filter('Inflation Data'!$C:$C,'Inflation Data'!$A:$A = Z$1))) + 'Fund YTD Contributions'!Z62,'Fund YTD Contributions'!Z62)"),0.0)</f>
        <v>0</v>
      </c>
      <c r="AA62" s="152">
        <f>IFERROR(__xludf.DUMMYFUNCTION("IFERROR(Z62 * (1 + AVERAGE(Filter('Inflation Data'!$C:$C,'Inflation Data'!$A:$A = AA$1))) + 'Fund YTD Contributions'!AA62,'Fund YTD Contributions'!AA62)"),0.0)</f>
        <v>0</v>
      </c>
      <c r="AB62" s="152">
        <f>IFERROR(__xludf.DUMMYFUNCTION("IFERROR(AA62 * (1 + AVERAGE(Filter('Inflation Data'!$C:$C,'Inflation Data'!$A:$A = AB$1))) + 'Fund YTD Contributions'!AB62,'Fund YTD Contributions'!AB62)"),0.0)</f>
        <v>0</v>
      </c>
      <c r="AC62" s="152">
        <f>IFERROR(__xludf.DUMMYFUNCTION("IFERROR(AB62 * (1 + AVERAGE(Filter('Inflation Data'!$C:$C,'Inflation Data'!$A:$A = AC$1))) + 'Fund YTD Contributions'!AC62,'Fund YTD Contributions'!AC62)"),0.0)</f>
        <v>0</v>
      </c>
      <c r="AD62" s="152">
        <f>IFERROR(__xludf.DUMMYFUNCTION("IFERROR(AC62 * (1 + AVERAGE(Filter('Inflation Data'!$C:$C,'Inflation Data'!$A:$A = AD$1))) + 'Fund YTD Contributions'!AD62,'Fund YTD Contributions'!AD62)"),0.0)</f>
        <v>0</v>
      </c>
      <c r="AE62" s="152">
        <f>IFERROR(__xludf.DUMMYFUNCTION("IFERROR(AD62 * (1 + AVERAGE(Filter('Inflation Data'!$C:$C,'Inflation Data'!$A:$A = AE$1))) + 'Fund YTD Contributions'!AE62,'Fund YTD Contributions'!AE62)"),0.0)</f>
        <v>0</v>
      </c>
      <c r="AF62" s="152">
        <f>IFERROR(__xludf.DUMMYFUNCTION("IFERROR(AE62 * (1 + AVERAGE(Filter('Inflation Data'!$C:$C,'Inflation Data'!$A:$A = AF$1))) + 'Fund YTD Contributions'!AF62,'Fund YTD Contributions'!AF62)"),0.0)</f>
        <v>0</v>
      </c>
    </row>
    <row r="63">
      <c r="A63" s="150" t="str">
        <f>'Endowed Funds'!A:A</f>
        <v/>
      </c>
      <c r="B63" s="152">
        <f>IFERROR(__xludf.DUMMYFUNCTION("IFERROR(A63 * (1 + AVERAGE(Filter('Inflation Data'!$C:$C,'Inflation Data'!$A:$A = B$1))) + 'Fund YTD Contributions'!B63,'Fund YTD Contributions'!B63)"),0.0)</f>
        <v>0</v>
      </c>
      <c r="C63" s="152">
        <f>IFERROR(__xludf.DUMMYFUNCTION("IFERROR(B63 * (1 + AVERAGE(Filter('Inflation Data'!$C:$C,'Inflation Data'!$A:$A = C$1))) + 'Fund YTD Contributions'!C63,'Fund YTD Contributions'!C63)"),0.0)</f>
        <v>0</v>
      </c>
      <c r="D63" s="152">
        <f>IFERROR(__xludf.DUMMYFUNCTION("IFERROR(C63 * (1 + AVERAGE(Filter('Inflation Data'!$C:$C,'Inflation Data'!$A:$A = D$1))) + 'Fund YTD Contributions'!D63,'Fund YTD Contributions'!D63)"),0.0)</f>
        <v>0</v>
      </c>
      <c r="E63" s="152">
        <f>IFERROR(__xludf.DUMMYFUNCTION("IFERROR(D63 * (1 + AVERAGE(Filter('Inflation Data'!$C:$C,'Inflation Data'!$A:$A = E$1))) + 'Fund YTD Contributions'!E63,'Fund YTD Contributions'!E63)"),0.0)</f>
        <v>0</v>
      </c>
      <c r="F63" s="152">
        <f>IFERROR(__xludf.DUMMYFUNCTION("IFERROR(E63 * (1 + AVERAGE(Filter('Inflation Data'!$C:$C,'Inflation Data'!$A:$A = F$1))) + 'Fund YTD Contributions'!F63,'Fund YTD Contributions'!F63)"),0.0)</f>
        <v>0</v>
      </c>
      <c r="G63" s="152">
        <f>IFERROR(__xludf.DUMMYFUNCTION("IFERROR(F63 * (1 + AVERAGE(Filter('Inflation Data'!$C:$C,'Inflation Data'!$A:$A = G$1))) + 'Fund YTD Contributions'!G63,'Fund YTD Contributions'!G63)"),0.0)</f>
        <v>0</v>
      </c>
      <c r="H63" s="152">
        <f>IFERROR(__xludf.DUMMYFUNCTION("IFERROR(G63 * (1 + AVERAGE(Filter('Inflation Data'!$C:$C,'Inflation Data'!$A:$A = H$1))) + 'Fund YTD Contributions'!H63,'Fund YTD Contributions'!H63)"),0.0)</f>
        <v>0</v>
      </c>
      <c r="I63" s="152">
        <f>IFERROR(__xludf.DUMMYFUNCTION("IFERROR(H63 * (1 + AVERAGE(Filter('Inflation Data'!$C:$C,'Inflation Data'!$A:$A = I$1))) + 'Fund YTD Contributions'!I63,'Fund YTD Contributions'!I63)"),0.0)</f>
        <v>0</v>
      </c>
      <c r="J63" s="152">
        <f>IFERROR(__xludf.DUMMYFUNCTION("IFERROR(I63 * (1 + AVERAGE(Filter('Inflation Data'!$C:$C,'Inflation Data'!$A:$A = J$1))) + 'Fund YTD Contributions'!J63,'Fund YTD Contributions'!J63)"),0.0)</f>
        <v>0</v>
      </c>
      <c r="K63" s="152">
        <f>IFERROR(__xludf.DUMMYFUNCTION("IFERROR(J63 * (1 + AVERAGE(Filter('Inflation Data'!$C:$C,'Inflation Data'!$A:$A = K$1))) + 'Fund YTD Contributions'!K63,'Fund YTD Contributions'!K63)"),0.0)</f>
        <v>0</v>
      </c>
      <c r="L63" s="152">
        <f>IFERROR(__xludf.DUMMYFUNCTION("IFERROR(K63 * (1 + AVERAGE(Filter('Inflation Data'!$C:$C,'Inflation Data'!$A:$A = L$1))) + 'Fund YTD Contributions'!L63,'Fund YTD Contributions'!L63)"),0.0)</f>
        <v>0</v>
      </c>
      <c r="M63" s="152">
        <f>IFERROR(__xludf.DUMMYFUNCTION("IFERROR(L63 * (1 + AVERAGE(Filter('Inflation Data'!$C:$C,'Inflation Data'!$A:$A = M$1))) + 'Fund YTD Contributions'!M63,'Fund YTD Contributions'!M63)"),0.0)</f>
        <v>0</v>
      </c>
      <c r="N63" s="152">
        <f>IFERROR(__xludf.DUMMYFUNCTION("IFERROR(M63 * (1 + AVERAGE(Filter('Inflation Data'!$C:$C,'Inflation Data'!$A:$A = N$1))) + 'Fund YTD Contributions'!N63,'Fund YTD Contributions'!N63)"),0.0)</f>
        <v>0</v>
      </c>
      <c r="O63" s="152">
        <f>IFERROR(__xludf.DUMMYFUNCTION("IFERROR(N63 * (1 + AVERAGE(Filter('Inflation Data'!$C:$C,'Inflation Data'!$A:$A = O$1))) + 'Fund YTD Contributions'!O63,'Fund YTD Contributions'!O63)"),0.0)</f>
        <v>0</v>
      </c>
      <c r="P63" s="152">
        <f>IFERROR(__xludf.DUMMYFUNCTION("IFERROR(O63 * (1 + AVERAGE(Filter('Inflation Data'!$C:$C,'Inflation Data'!$A:$A = P$1))) + 'Fund YTD Contributions'!P63,'Fund YTD Contributions'!P63)"),0.0)</f>
        <v>0</v>
      </c>
      <c r="Q63" s="152">
        <f>IFERROR(__xludf.DUMMYFUNCTION("IFERROR(P63 * (1 + AVERAGE(Filter('Inflation Data'!$C:$C,'Inflation Data'!$A:$A = Q$1))) + 'Fund YTD Contributions'!Q63,'Fund YTD Contributions'!Q63)"),0.0)</f>
        <v>0</v>
      </c>
      <c r="R63" s="152">
        <f>IFERROR(__xludf.DUMMYFUNCTION("IFERROR(Q63 * (1 + AVERAGE(Filter('Inflation Data'!$C:$C,'Inflation Data'!$A:$A = R$1))) + 'Fund YTD Contributions'!R63,'Fund YTD Contributions'!R63)"),0.0)</f>
        <v>0</v>
      </c>
      <c r="S63" s="152">
        <f>IFERROR(__xludf.DUMMYFUNCTION("IFERROR(R63 * (1 + AVERAGE(Filter('Inflation Data'!$C:$C,'Inflation Data'!$A:$A = S$1))) + 'Fund YTD Contributions'!S63,'Fund YTD Contributions'!S63)"),0.0)</f>
        <v>0</v>
      </c>
      <c r="T63" s="152">
        <f>IFERROR(__xludf.DUMMYFUNCTION("IFERROR(S63 * (1 + AVERAGE(Filter('Inflation Data'!$C:$C,'Inflation Data'!$A:$A = T$1))) + 'Fund YTD Contributions'!T63,'Fund YTD Contributions'!T63)"),0.0)</f>
        <v>0</v>
      </c>
      <c r="U63" s="152">
        <f>IFERROR(__xludf.DUMMYFUNCTION("IFERROR(T63 * (1 + AVERAGE(Filter('Inflation Data'!$C:$C,'Inflation Data'!$A:$A = U$1))) + 'Fund YTD Contributions'!U63,'Fund YTD Contributions'!U63)"),0.0)</f>
        <v>0</v>
      </c>
      <c r="V63" s="152">
        <f>IFERROR(__xludf.DUMMYFUNCTION("IFERROR(U63 * (1 + AVERAGE(Filter('Inflation Data'!$C:$C,'Inflation Data'!$A:$A = V$1))) + 'Fund YTD Contributions'!V63,'Fund YTD Contributions'!V63)"),0.0)</f>
        <v>0</v>
      </c>
      <c r="W63" s="152">
        <f>IFERROR(__xludf.DUMMYFUNCTION("IFERROR(V63 * (1 + AVERAGE(Filter('Inflation Data'!$C:$C,'Inflation Data'!$A:$A = W$1))) + 'Fund YTD Contributions'!W63,'Fund YTD Contributions'!W63)"),0.0)</f>
        <v>0</v>
      </c>
      <c r="X63" s="152">
        <f>IFERROR(__xludf.DUMMYFUNCTION("IFERROR(W63 * (1 + AVERAGE(Filter('Inflation Data'!$C:$C,'Inflation Data'!$A:$A = X$1))) + 'Fund YTD Contributions'!X63,'Fund YTD Contributions'!X63)"),0.0)</f>
        <v>0</v>
      </c>
      <c r="Y63" s="152">
        <f>IFERROR(__xludf.DUMMYFUNCTION("IFERROR(X63 * (1 + AVERAGE(Filter('Inflation Data'!$C:$C,'Inflation Data'!$A:$A = Y$1))) + 'Fund YTD Contributions'!Y63,'Fund YTD Contributions'!Y63)"),0.0)</f>
        <v>0</v>
      </c>
      <c r="Z63" s="152">
        <f>IFERROR(__xludf.DUMMYFUNCTION("IFERROR(Y63 * (1 + AVERAGE(Filter('Inflation Data'!$C:$C,'Inflation Data'!$A:$A = Z$1))) + 'Fund YTD Contributions'!Z63,'Fund YTD Contributions'!Z63)"),0.0)</f>
        <v>0</v>
      </c>
      <c r="AA63" s="152">
        <f>IFERROR(__xludf.DUMMYFUNCTION("IFERROR(Z63 * (1 + AVERAGE(Filter('Inflation Data'!$C:$C,'Inflation Data'!$A:$A = AA$1))) + 'Fund YTD Contributions'!AA63,'Fund YTD Contributions'!AA63)"),0.0)</f>
        <v>0</v>
      </c>
      <c r="AB63" s="152">
        <f>IFERROR(__xludf.DUMMYFUNCTION("IFERROR(AA63 * (1 + AVERAGE(Filter('Inflation Data'!$C:$C,'Inflation Data'!$A:$A = AB$1))) + 'Fund YTD Contributions'!AB63,'Fund YTD Contributions'!AB63)"),0.0)</f>
        <v>0</v>
      </c>
      <c r="AC63" s="152">
        <f>IFERROR(__xludf.DUMMYFUNCTION("IFERROR(AB63 * (1 + AVERAGE(Filter('Inflation Data'!$C:$C,'Inflation Data'!$A:$A = AC$1))) + 'Fund YTD Contributions'!AC63,'Fund YTD Contributions'!AC63)"),0.0)</f>
        <v>0</v>
      </c>
      <c r="AD63" s="152">
        <f>IFERROR(__xludf.DUMMYFUNCTION("IFERROR(AC63 * (1 + AVERAGE(Filter('Inflation Data'!$C:$C,'Inflation Data'!$A:$A = AD$1))) + 'Fund YTD Contributions'!AD63,'Fund YTD Contributions'!AD63)"),0.0)</f>
        <v>0</v>
      </c>
      <c r="AE63" s="152">
        <f>IFERROR(__xludf.DUMMYFUNCTION("IFERROR(AD63 * (1 + AVERAGE(Filter('Inflation Data'!$C:$C,'Inflation Data'!$A:$A = AE$1))) + 'Fund YTD Contributions'!AE63,'Fund YTD Contributions'!AE63)"),0.0)</f>
        <v>0</v>
      </c>
      <c r="AF63" s="152">
        <f>IFERROR(__xludf.DUMMYFUNCTION("IFERROR(AE63 * (1 + AVERAGE(Filter('Inflation Data'!$C:$C,'Inflation Data'!$A:$A = AF$1))) + 'Fund YTD Contributions'!AF63,'Fund YTD Contributions'!AF63)"),0.0)</f>
        <v>0</v>
      </c>
    </row>
    <row r="64">
      <c r="A64" s="150" t="str">
        <f>'Endowed Funds'!A:A</f>
        <v/>
      </c>
      <c r="B64" s="152">
        <f>IFERROR(__xludf.DUMMYFUNCTION("IFERROR(A64 * (1 + AVERAGE(Filter('Inflation Data'!$C:$C,'Inflation Data'!$A:$A = B$1))) + 'Fund YTD Contributions'!B64,'Fund YTD Contributions'!B64)"),0.0)</f>
        <v>0</v>
      </c>
      <c r="C64" s="152">
        <f>IFERROR(__xludf.DUMMYFUNCTION("IFERROR(B64 * (1 + AVERAGE(Filter('Inflation Data'!$C:$C,'Inflation Data'!$A:$A = C$1))) + 'Fund YTD Contributions'!C64,'Fund YTD Contributions'!C64)"),0.0)</f>
        <v>0</v>
      </c>
      <c r="D64" s="152">
        <f>IFERROR(__xludf.DUMMYFUNCTION("IFERROR(C64 * (1 + AVERAGE(Filter('Inflation Data'!$C:$C,'Inflation Data'!$A:$A = D$1))) + 'Fund YTD Contributions'!D64,'Fund YTD Contributions'!D64)"),0.0)</f>
        <v>0</v>
      </c>
      <c r="E64" s="152">
        <f>IFERROR(__xludf.DUMMYFUNCTION("IFERROR(D64 * (1 + AVERAGE(Filter('Inflation Data'!$C:$C,'Inflation Data'!$A:$A = E$1))) + 'Fund YTD Contributions'!E64,'Fund YTD Contributions'!E64)"),0.0)</f>
        <v>0</v>
      </c>
      <c r="F64" s="152">
        <f>IFERROR(__xludf.DUMMYFUNCTION("IFERROR(E64 * (1 + AVERAGE(Filter('Inflation Data'!$C:$C,'Inflation Data'!$A:$A = F$1))) + 'Fund YTD Contributions'!F64,'Fund YTD Contributions'!F64)"),0.0)</f>
        <v>0</v>
      </c>
      <c r="G64" s="152">
        <f>IFERROR(__xludf.DUMMYFUNCTION("IFERROR(F64 * (1 + AVERAGE(Filter('Inflation Data'!$C:$C,'Inflation Data'!$A:$A = G$1))) + 'Fund YTD Contributions'!G64,'Fund YTD Contributions'!G64)"),0.0)</f>
        <v>0</v>
      </c>
      <c r="H64" s="152">
        <f>IFERROR(__xludf.DUMMYFUNCTION("IFERROR(G64 * (1 + AVERAGE(Filter('Inflation Data'!$C:$C,'Inflation Data'!$A:$A = H$1))) + 'Fund YTD Contributions'!H64,'Fund YTD Contributions'!H64)"),0.0)</f>
        <v>0</v>
      </c>
      <c r="I64" s="152">
        <f>IFERROR(__xludf.DUMMYFUNCTION("IFERROR(H64 * (1 + AVERAGE(Filter('Inflation Data'!$C:$C,'Inflation Data'!$A:$A = I$1))) + 'Fund YTD Contributions'!I64,'Fund YTD Contributions'!I64)"),0.0)</f>
        <v>0</v>
      </c>
      <c r="J64" s="152">
        <f>IFERROR(__xludf.DUMMYFUNCTION("IFERROR(I64 * (1 + AVERAGE(Filter('Inflation Data'!$C:$C,'Inflation Data'!$A:$A = J$1))) + 'Fund YTD Contributions'!J64,'Fund YTD Contributions'!J64)"),0.0)</f>
        <v>0</v>
      </c>
      <c r="K64" s="152">
        <f>IFERROR(__xludf.DUMMYFUNCTION("IFERROR(J64 * (1 + AVERAGE(Filter('Inflation Data'!$C:$C,'Inflation Data'!$A:$A = K$1))) + 'Fund YTD Contributions'!K64,'Fund YTD Contributions'!K64)"),0.0)</f>
        <v>0</v>
      </c>
      <c r="L64" s="152">
        <f>IFERROR(__xludf.DUMMYFUNCTION("IFERROR(K64 * (1 + AVERAGE(Filter('Inflation Data'!$C:$C,'Inflation Data'!$A:$A = L$1))) + 'Fund YTD Contributions'!L64,'Fund YTD Contributions'!L64)"),0.0)</f>
        <v>0</v>
      </c>
      <c r="M64" s="152">
        <f>IFERROR(__xludf.DUMMYFUNCTION("IFERROR(L64 * (1 + AVERAGE(Filter('Inflation Data'!$C:$C,'Inflation Data'!$A:$A = M$1))) + 'Fund YTD Contributions'!M64,'Fund YTD Contributions'!M64)"),0.0)</f>
        <v>0</v>
      </c>
      <c r="N64" s="152">
        <f>IFERROR(__xludf.DUMMYFUNCTION("IFERROR(M64 * (1 + AVERAGE(Filter('Inflation Data'!$C:$C,'Inflation Data'!$A:$A = N$1))) + 'Fund YTD Contributions'!N64,'Fund YTD Contributions'!N64)"),0.0)</f>
        <v>0</v>
      </c>
      <c r="O64" s="152">
        <f>IFERROR(__xludf.DUMMYFUNCTION("IFERROR(N64 * (1 + AVERAGE(Filter('Inflation Data'!$C:$C,'Inflation Data'!$A:$A = O$1))) + 'Fund YTD Contributions'!O64,'Fund YTD Contributions'!O64)"),0.0)</f>
        <v>0</v>
      </c>
      <c r="P64" s="152">
        <f>IFERROR(__xludf.DUMMYFUNCTION("IFERROR(O64 * (1 + AVERAGE(Filter('Inflation Data'!$C:$C,'Inflation Data'!$A:$A = P$1))) + 'Fund YTD Contributions'!P64,'Fund YTD Contributions'!P64)"),0.0)</f>
        <v>0</v>
      </c>
      <c r="Q64" s="152">
        <f>IFERROR(__xludf.DUMMYFUNCTION("IFERROR(P64 * (1 + AVERAGE(Filter('Inflation Data'!$C:$C,'Inflation Data'!$A:$A = Q$1))) + 'Fund YTD Contributions'!Q64,'Fund YTD Contributions'!Q64)"),0.0)</f>
        <v>0</v>
      </c>
      <c r="R64" s="152">
        <f>IFERROR(__xludf.DUMMYFUNCTION("IFERROR(Q64 * (1 + AVERAGE(Filter('Inflation Data'!$C:$C,'Inflation Data'!$A:$A = R$1))) + 'Fund YTD Contributions'!R64,'Fund YTD Contributions'!R64)"),0.0)</f>
        <v>0</v>
      </c>
      <c r="S64" s="152">
        <f>IFERROR(__xludf.DUMMYFUNCTION("IFERROR(R64 * (1 + AVERAGE(Filter('Inflation Data'!$C:$C,'Inflation Data'!$A:$A = S$1))) + 'Fund YTD Contributions'!S64,'Fund YTD Contributions'!S64)"),0.0)</f>
        <v>0</v>
      </c>
      <c r="T64" s="152">
        <f>IFERROR(__xludf.DUMMYFUNCTION("IFERROR(S64 * (1 + AVERAGE(Filter('Inflation Data'!$C:$C,'Inflation Data'!$A:$A = T$1))) + 'Fund YTD Contributions'!T64,'Fund YTD Contributions'!T64)"),0.0)</f>
        <v>0</v>
      </c>
      <c r="U64" s="152">
        <f>IFERROR(__xludf.DUMMYFUNCTION("IFERROR(T64 * (1 + AVERAGE(Filter('Inflation Data'!$C:$C,'Inflation Data'!$A:$A = U$1))) + 'Fund YTD Contributions'!U64,'Fund YTD Contributions'!U64)"),0.0)</f>
        <v>0</v>
      </c>
      <c r="V64" s="152">
        <f>IFERROR(__xludf.DUMMYFUNCTION("IFERROR(U64 * (1 + AVERAGE(Filter('Inflation Data'!$C:$C,'Inflation Data'!$A:$A = V$1))) + 'Fund YTD Contributions'!V64,'Fund YTD Contributions'!V64)"),0.0)</f>
        <v>0</v>
      </c>
      <c r="W64" s="152">
        <f>IFERROR(__xludf.DUMMYFUNCTION("IFERROR(V64 * (1 + AVERAGE(Filter('Inflation Data'!$C:$C,'Inflation Data'!$A:$A = W$1))) + 'Fund YTD Contributions'!W64,'Fund YTD Contributions'!W64)"),0.0)</f>
        <v>0</v>
      </c>
      <c r="X64" s="152">
        <f>IFERROR(__xludf.DUMMYFUNCTION("IFERROR(W64 * (1 + AVERAGE(Filter('Inflation Data'!$C:$C,'Inflation Data'!$A:$A = X$1))) + 'Fund YTD Contributions'!X64,'Fund YTD Contributions'!X64)"),0.0)</f>
        <v>0</v>
      </c>
      <c r="Y64" s="152">
        <f>IFERROR(__xludf.DUMMYFUNCTION("IFERROR(X64 * (1 + AVERAGE(Filter('Inflation Data'!$C:$C,'Inflation Data'!$A:$A = Y$1))) + 'Fund YTD Contributions'!Y64,'Fund YTD Contributions'!Y64)"),0.0)</f>
        <v>0</v>
      </c>
      <c r="Z64" s="152">
        <f>IFERROR(__xludf.DUMMYFUNCTION("IFERROR(Y64 * (1 + AVERAGE(Filter('Inflation Data'!$C:$C,'Inflation Data'!$A:$A = Z$1))) + 'Fund YTD Contributions'!Z64,'Fund YTD Contributions'!Z64)"),0.0)</f>
        <v>0</v>
      </c>
      <c r="AA64" s="152">
        <f>IFERROR(__xludf.DUMMYFUNCTION("IFERROR(Z64 * (1 + AVERAGE(Filter('Inflation Data'!$C:$C,'Inflation Data'!$A:$A = AA$1))) + 'Fund YTD Contributions'!AA64,'Fund YTD Contributions'!AA64)"),0.0)</f>
        <v>0</v>
      </c>
      <c r="AB64" s="152">
        <f>IFERROR(__xludf.DUMMYFUNCTION("IFERROR(AA64 * (1 + AVERAGE(Filter('Inflation Data'!$C:$C,'Inflation Data'!$A:$A = AB$1))) + 'Fund YTD Contributions'!AB64,'Fund YTD Contributions'!AB64)"),0.0)</f>
        <v>0</v>
      </c>
      <c r="AC64" s="152">
        <f>IFERROR(__xludf.DUMMYFUNCTION("IFERROR(AB64 * (1 + AVERAGE(Filter('Inflation Data'!$C:$C,'Inflation Data'!$A:$A = AC$1))) + 'Fund YTD Contributions'!AC64,'Fund YTD Contributions'!AC64)"),0.0)</f>
        <v>0</v>
      </c>
      <c r="AD64" s="152">
        <f>IFERROR(__xludf.DUMMYFUNCTION("IFERROR(AC64 * (1 + AVERAGE(Filter('Inflation Data'!$C:$C,'Inflation Data'!$A:$A = AD$1))) + 'Fund YTD Contributions'!AD64,'Fund YTD Contributions'!AD64)"),0.0)</f>
        <v>0</v>
      </c>
      <c r="AE64" s="152">
        <f>IFERROR(__xludf.DUMMYFUNCTION("IFERROR(AD64 * (1 + AVERAGE(Filter('Inflation Data'!$C:$C,'Inflation Data'!$A:$A = AE$1))) + 'Fund YTD Contributions'!AE64,'Fund YTD Contributions'!AE64)"),0.0)</f>
        <v>0</v>
      </c>
      <c r="AF64" s="152">
        <f>IFERROR(__xludf.DUMMYFUNCTION("IFERROR(AE64 * (1 + AVERAGE(Filter('Inflation Data'!$C:$C,'Inflation Data'!$A:$A = AF$1))) + 'Fund YTD Contributions'!AF64,'Fund YTD Contributions'!AF64)"),0.0)</f>
        <v>0</v>
      </c>
    </row>
    <row r="65">
      <c r="A65" s="150" t="str">
        <f>'Endowed Funds'!A:A</f>
        <v/>
      </c>
      <c r="B65" s="152">
        <f>IFERROR(__xludf.DUMMYFUNCTION("IFERROR(A65 * (1 + AVERAGE(Filter('Inflation Data'!$C:$C,'Inflation Data'!$A:$A = B$1))) + 'Fund YTD Contributions'!B65,'Fund YTD Contributions'!B65)"),0.0)</f>
        <v>0</v>
      </c>
      <c r="C65" s="152">
        <f>IFERROR(__xludf.DUMMYFUNCTION("IFERROR(B65 * (1 + AVERAGE(Filter('Inflation Data'!$C:$C,'Inflation Data'!$A:$A = C$1))) + 'Fund YTD Contributions'!C65,'Fund YTD Contributions'!C65)"),0.0)</f>
        <v>0</v>
      </c>
      <c r="D65" s="152">
        <f>IFERROR(__xludf.DUMMYFUNCTION("IFERROR(C65 * (1 + AVERAGE(Filter('Inflation Data'!$C:$C,'Inflation Data'!$A:$A = D$1))) + 'Fund YTD Contributions'!D65,'Fund YTD Contributions'!D65)"),0.0)</f>
        <v>0</v>
      </c>
      <c r="E65" s="152">
        <f>IFERROR(__xludf.DUMMYFUNCTION("IFERROR(D65 * (1 + AVERAGE(Filter('Inflation Data'!$C:$C,'Inflation Data'!$A:$A = E$1))) + 'Fund YTD Contributions'!E65,'Fund YTD Contributions'!E65)"),0.0)</f>
        <v>0</v>
      </c>
      <c r="F65" s="152">
        <f>IFERROR(__xludf.DUMMYFUNCTION("IFERROR(E65 * (1 + AVERAGE(Filter('Inflation Data'!$C:$C,'Inflation Data'!$A:$A = F$1))) + 'Fund YTD Contributions'!F65,'Fund YTD Contributions'!F65)"),0.0)</f>
        <v>0</v>
      </c>
      <c r="G65" s="152">
        <f>IFERROR(__xludf.DUMMYFUNCTION("IFERROR(F65 * (1 + AVERAGE(Filter('Inflation Data'!$C:$C,'Inflation Data'!$A:$A = G$1))) + 'Fund YTD Contributions'!G65,'Fund YTD Contributions'!G65)"),0.0)</f>
        <v>0</v>
      </c>
      <c r="H65" s="152">
        <f>IFERROR(__xludf.DUMMYFUNCTION("IFERROR(G65 * (1 + AVERAGE(Filter('Inflation Data'!$C:$C,'Inflation Data'!$A:$A = H$1))) + 'Fund YTD Contributions'!H65,'Fund YTD Contributions'!H65)"),0.0)</f>
        <v>0</v>
      </c>
      <c r="I65" s="152">
        <f>IFERROR(__xludf.DUMMYFUNCTION("IFERROR(H65 * (1 + AVERAGE(Filter('Inflation Data'!$C:$C,'Inflation Data'!$A:$A = I$1))) + 'Fund YTD Contributions'!I65,'Fund YTD Contributions'!I65)"),0.0)</f>
        <v>0</v>
      </c>
      <c r="J65" s="152">
        <f>IFERROR(__xludf.DUMMYFUNCTION("IFERROR(I65 * (1 + AVERAGE(Filter('Inflation Data'!$C:$C,'Inflation Data'!$A:$A = J$1))) + 'Fund YTD Contributions'!J65,'Fund YTD Contributions'!J65)"),0.0)</f>
        <v>0</v>
      </c>
      <c r="K65" s="152">
        <f>IFERROR(__xludf.DUMMYFUNCTION("IFERROR(J65 * (1 + AVERAGE(Filter('Inflation Data'!$C:$C,'Inflation Data'!$A:$A = K$1))) + 'Fund YTD Contributions'!K65,'Fund YTD Contributions'!K65)"),0.0)</f>
        <v>0</v>
      </c>
      <c r="L65" s="152">
        <f>IFERROR(__xludf.DUMMYFUNCTION("IFERROR(K65 * (1 + AVERAGE(Filter('Inflation Data'!$C:$C,'Inflation Data'!$A:$A = L$1))) + 'Fund YTD Contributions'!L65,'Fund YTD Contributions'!L65)"),0.0)</f>
        <v>0</v>
      </c>
      <c r="M65" s="152">
        <f>IFERROR(__xludf.DUMMYFUNCTION("IFERROR(L65 * (1 + AVERAGE(Filter('Inflation Data'!$C:$C,'Inflation Data'!$A:$A = M$1))) + 'Fund YTD Contributions'!M65,'Fund YTD Contributions'!M65)"),0.0)</f>
        <v>0</v>
      </c>
      <c r="N65" s="152">
        <f>IFERROR(__xludf.DUMMYFUNCTION("IFERROR(M65 * (1 + AVERAGE(Filter('Inflation Data'!$C:$C,'Inflation Data'!$A:$A = N$1))) + 'Fund YTD Contributions'!N65,'Fund YTD Contributions'!N65)"),0.0)</f>
        <v>0</v>
      </c>
      <c r="O65" s="152">
        <f>IFERROR(__xludf.DUMMYFUNCTION("IFERROR(N65 * (1 + AVERAGE(Filter('Inflation Data'!$C:$C,'Inflation Data'!$A:$A = O$1))) + 'Fund YTD Contributions'!O65,'Fund YTD Contributions'!O65)"),0.0)</f>
        <v>0</v>
      </c>
      <c r="P65" s="152">
        <f>IFERROR(__xludf.DUMMYFUNCTION("IFERROR(O65 * (1 + AVERAGE(Filter('Inflation Data'!$C:$C,'Inflation Data'!$A:$A = P$1))) + 'Fund YTD Contributions'!P65,'Fund YTD Contributions'!P65)"),0.0)</f>
        <v>0</v>
      </c>
      <c r="Q65" s="152">
        <f>IFERROR(__xludf.DUMMYFUNCTION("IFERROR(P65 * (1 + AVERAGE(Filter('Inflation Data'!$C:$C,'Inflation Data'!$A:$A = Q$1))) + 'Fund YTD Contributions'!Q65,'Fund YTD Contributions'!Q65)"),0.0)</f>
        <v>0</v>
      </c>
      <c r="R65" s="152">
        <f>IFERROR(__xludf.DUMMYFUNCTION("IFERROR(Q65 * (1 + AVERAGE(Filter('Inflation Data'!$C:$C,'Inflation Data'!$A:$A = R$1))) + 'Fund YTD Contributions'!R65,'Fund YTD Contributions'!R65)"),0.0)</f>
        <v>0</v>
      </c>
      <c r="S65" s="152">
        <f>IFERROR(__xludf.DUMMYFUNCTION("IFERROR(R65 * (1 + AVERAGE(Filter('Inflation Data'!$C:$C,'Inflation Data'!$A:$A = S$1))) + 'Fund YTD Contributions'!S65,'Fund YTD Contributions'!S65)"),0.0)</f>
        <v>0</v>
      </c>
      <c r="T65" s="152">
        <f>IFERROR(__xludf.DUMMYFUNCTION("IFERROR(S65 * (1 + AVERAGE(Filter('Inflation Data'!$C:$C,'Inflation Data'!$A:$A = T$1))) + 'Fund YTD Contributions'!T65,'Fund YTD Contributions'!T65)"),0.0)</f>
        <v>0</v>
      </c>
      <c r="U65" s="152">
        <f>IFERROR(__xludf.DUMMYFUNCTION("IFERROR(T65 * (1 + AVERAGE(Filter('Inflation Data'!$C:$C,'Inflation Data'!$A:$A = U$1))) + 'Fund YTD Contributions'!U65,'Fund YTD Contributions'!U65)"),0.0)</f>
        <v>0</v>
      </c>
      <c r="V65" s="152">
        <f>IFERROR(__xludf.DUMMYFUNCTION("IFERROR(U65 * (1 + AVERAGE(Filter('Inflation Data'!$C:$C,'Inflation Data'!$A:$A = V$1))) + 'Fund YTD Contributions'!V65,'Fund YTD Contributions'!V65)"),0.0)</f>
        <v>0</v>
      </c>
      <c r="W65" s="152">
        <f>IFERROR(__xludf.DUMMYFUNCTION("IFERROR(V65 * (1 + AVERAGE(Filter('Inflation Data'!$C:$C,'Inflation Data'!$A:$A = W$1))) + 'Fund YTD Contributions'!W65,'Fund YTD Contributions'!W65)"),0.0)</f>
        <v>0</v>
      </c>
      <c r="X65" s="152">
        <f>IFERROR(__xludf.DUMMYFUNCTION("IFERROR(W65 * (1 + AVERAGE(Filter('Inflation Data'!$C:$C,'Inflation Data'!$A:$A = X$1))) + 'Fund YTD Contributions'!X65,'Fund YTD Contributions'!X65)"),0.0)</f>
        <v>0</v>
      </c>
      <c r="Y65" s="152">
        <f>IFERROR(__xludf.DUMMYFUNCTION("IFERROR(X65 * (1 + AVERAGE(Filter('Inflation Data'!$C:$C,'Inflation Data'!$A:$A = Y$1))) + 'Fund YTD Contributions'!Y65,'Fund YTD Contributions'!Y65)"),0.0)</f>
        <v>0</v>
      </c>
      <c r="Z65" s="152">
        <f>IFERROR(__xludf.DUMMYFUNCTION("IFERROR(Y65 * (1 + AVERAGE(Filter('Inflation Data'!$C:$C,'Inflation Data'!$A:$A = Z$1))) + 'Fund YTD Contributions'!Z65,'Fund YTD Contributions'!Z65)"),0.0)</f>
        <v>0</v>
      </c>
      <c r="AA65" s="152">
        <f>IFERROR(__xludf.DUMMYFUNCTION("IFERROR(Z65 * (1 + AVERAGE(Filter('Inflation Data'!$C:$C,'Inflation Data'!$A:$A = AA$1))) + 'Fund YTD Contributions'!AA65,'Fund YTD Contributions'!AA65)"),0.0)</f>
        <v>0</v>
      </c>
      <c r="AB65" s="152">
        <f>IFERROR(__xludf.DUMMYFUNCTION("IFERROR(AA65 * (1 + AVERAGE(Filter('Inflation Data'!$C:$C,'Inflation Data'!$A:$A = AB$1))) + 'Fund YTD Contributions'!AB65,'Fund YTD Contributions'!AB65)"),0.0)</f>
        <v>0</v>
      </c>
      <c r="AC65" s="152">
        <f>IFERROR(__xludf.DUMMYFUNCTION("IFERROR(AB65 * (1 + AVERAGE(Filter('Inflation Data'!$C:$C,'Inflation Data'!$A:$A = AC$1))) + 'Fund YTD Contributions'!AC65,'Fund YTD Contributions'!AC65)"),0.0)</f>
        <v>0</v>
      </c>
      <c r="AD65" s="152">
        <f>IFERROR(__xludf.DUMMYFUNCTION("IFERROR(AC65 * (1 + AVERAGE(Filter('Inflation Data'!$C:$C,'Inflation Data'!$A:$A = AD$1))) + 'Fund YTD Contributions'!AD65,'Fund YTD Contributions'!AD65)"),0.0)</f>
        <v>0</v>
      </c>
      <c r="AE65" s="152">
        <f>IFERROR(__xludf.DUMMYFUNCTION("IFERROR(AD65 * (1 + AVERAGE(Filter('Inflation Data'!$C:$C,'Inflation Data'!$A:$A = AE$1))) + 'Fund YTD Contributions'!AE65,'Fund YTD Contributions'!AE65)"),0.0)</f>
        <v>0</v>
      </c>
      <c r="AF65" s="152">
        <f>IFERROR(__xludf.DUMMYFUNCTION("IFERROR(AE65 * (1 + AVERAGE(Filter('Inflation Data'!$C:$C,'Inflation Data'!$A:$A = AF$1))) + 'Fund YTD Contributions'!AF65,'Fund YTD Contributions'!AF65)"),0.0)</f>
        <v>0</v>
      </c>
    </row>
    <row r="66">
      <c r="A66" s="150" t="str">
        <f>'Endowed Funds'!A:A</f>
        <v/>
      </c>
      <c r="B66" s="152">
        <f>IFERROR(__xludf.DUMMYFUNCTION("IFERROR(A66 * (1 + AVERAGE(Filter('Inflation Data'!$C:$C,'Inflation Data'!$A:$A = B$1))) + 'Fund YTD Contributions'!B66,'Fund YTD Contributions'!B66)"),0.0)</f>
        <v>0</v>
      </c>
      <c r="C66" s="152">
        <f>IFERROR(__xludf.DUMMYFUNCTION("IFERROR(B66 * (1 + AVERAGE(Filter('Inflation Data'!$C:$C,'Inflation Data'!$A:$A = C$1))) + 'Fund YTD Contributions'!C66,'Fund YTD Contributions'!C66)"),0.0)</f>
        <v>0</v>
      </c>
      <c r="D66" s="152">
        <f>IFERROR(__xludf.DUMMYFUNCTION("IFERROR(C66 * (1 + AVERAGE(Filter('Inflation Data'!$C:$C,'Inflation Data'!$A:$A = D$1))) + 'Fund YTD Contributions'!D66,'Fund YTD Contributions'!D66)"),0.0)</f>
        <v>0</v>
      </c>
      <c r="E66" s="152">
        <f>IFERROR(__xludf.DUMMYFUNCTION("IFERROR(D66 * (1 + AVERAGE(Filter('Inflation Data'!$C:$C,'Inflation Data'!$A:$A = E$1))) + 'Fund YTD Contributions'!E66,'Fund YTD Contributions'!E66)"),0.0)</f>
        <v>0</v>
      </c>
      <c r="F66" s="152">
        <f>IFERROR(__xludf.DUMMYFUNCTION("IFERROR(E66 * (1 + AVERAGE(Filter('Inflation Data'!$C:$C,'Inflation Data'!$A:$A = F$1))) + 'Fund YTD Contributions'!F66,'Fund YTD Contributions'!F66)"),0.0)</f>
        <v>0</v>
      </c>
      <c r="G66" s="152">
        <f>IFERROR(__xludf.DUMMYFUNCTION("IFERROR(F66 * (1 + AVERAGE(Filter('Inflation Data'!$C:$C,'Inflation Data'!$A:$A = G$1))) + 'Fund YTD Contributions'!G66,'Fund YTD Contributions'!G66)"),0.0)</f>
        <v>0</v>
      </c>
      <c r="H66" s="152">
        <f>IFERROR(__xludf.DUMMYFUNCTION("IFERROR(G66 * (1 + AVERAGE(Filter('Inflation Data'!$C:$C,'Inflation Data'!$A:$A = H$1))) + 'Fund YTD Contributions'!H66,'Fund YTD Contributions'!H66)"),0.0)</f>
        <v>0</v>
      </c>
      <c r="I66" s="152">
        <f>IFERROR(__xludf.DUMMYFUNCTION("IFERROR(H66 * (1 + AVERAGE(Filter('Inflation Data'!$C:$C,'Inflation Data'!$A:$A = I$1))) + 'Fund YTD Contributions'!I66,'Fund YTD Contributions'!I66)"),0.0)</f>
        <v>0</v>
      </c>
      <c r="J66" s="152">
        <f>IFERROR(__xludf.DUMMYFUNCTION("IFERROR(I66 * (1 + AVERAGE(Filter('Inflation Data'!$C:$C,'Inflation Data'!$A:$A = J$1))) + 'Fund YTD Contributions'!J66,'Fund YTD Contributions'!J66)"),0.0)</f>
        <v>0</v>
      </c>
      <c r="K66" s="152">
        <f>IFERROR(__xludf.DUMMYFUNCTION("IFERROR(J66 * (1 + AVERAGE(Filter('Inflation Data'!$C:$C,'Inflation Data'!$A:$A = K$1))) + 'Fund YTD Contributions'!K66,'Fund YTD Contributions'!K66)"),0.0)</f>
        <v>0</v>
      </c>
      <c r="L66" s="152">
        <f>IFERROR(__xludf.DUMMYFUNCTION("IFERROR(K66 * (1 + AVERAGE(Filter('Inflation Data'!$C:$C,'Inflation Data'!$A:$A = L$1))) + 'Fund YTD Contributions'!L66,'Fund YTD Contributions'!L66)"),0.0)</f>
        <v>0</v>
      </c>
      <c r="M66" s="152">
        <f>IFERROR(__xludf.DUMMYFUNCTION("IFERROR(L66 * (1 + AVERAGE(Filter('Inflation Data'!$C:$C,'Inflation Data'!$A:$A = M$1))) + 'Fund YTD Contributions'!M66,'Fund YTD Contributions'!M66)"),0.0)</f>
        <v>0</v>
      </c>
      <c r="N66" s="152">
        <f>IFERROR(__xludf.DUMMYFUNCTION("IFERROR(M66 * (1 + AVERAGE(Filter('Inflation Data'!$C:$C,'Inflation Data'!$A:$A = N$1))) + 'Fund YTD Contributions'!N66,'Fund YTD Contributions'!N66)"),0.0)</f>
        <v>0</v>
      </c>
      <c r="O66" s="152">
        <f>IFERROR(__xludf.DUMMYFUNCTION("IFERROR(N66 * (1 + AVERAGE(Filter('Inflation Data'!$C:$C,'Inflation Data'!$A:$A = O$1))) + 'Fund YTD Contributions'!O66,'Fund YTD Contributions'!O66)"),0.0)</f>
        <v>0</v>
      </c>
      <c r="P66" s="152">
        <f>IFERROR(__xludf.DUMMYFUNCTION("IFERROR(O66 * (1 + AVERAGE(Filter('Inflation Data'!$C:$C,'Inflation Data'!$A:$A = P$1))) + 'Fund YTD Contributions'!P66,'Fund YTD Contributions'!P66)"),0.0)</f>
        <v>0</v>
      </c>
      <c r="Q66" s="152">
        <f>IFERROR(__xludf.DUMMYFUNCTION("IFERROR(P66 * (1 + AVERAGE(Filter('Inflation Data'!$C:$C,'Inflation Data'!$A:$A = Q$1))) + 'Fund YTD Contributions'!Q66,'Fund YTD Contributions'!Q66)"),0.0)</f>
        <v>0</v>
      </c>
      <c r="R66" s="152">
        <f>IFERROR(__xludf.DUMMYFUNCTION("IFERROR(Q66 * (1 + AVERAGE(Filter('Inflation Data'!$C:$C,'Inflation Data'!$A:$A = R$1))) + 'Fund YTD Contributions'!R66,'Fund YTD Contributions'!R66)"),0.0)</f>
        <v>0</v>
      </c>
      <c r="S66" s="152">
        <f>IFERROR(__xludf.DUMMYFUNCTION("IFERROR(R66 * (1 + AVERAGE(Filter('Inflation Data'!$C:$C,'Inflation Data'!$A:$A = S$1))) + 'Fund YTD Contributions'!S66,'Fund YTD Contributions'!S66)"),0.0)</f>
        <v>0</v>
      </c>
      <c r="T66" s="152">
        <f>IFERROR(__xludf.DUMMYFUNCTION("IFERROR(S66 * (1 + AVERAGE(Filter('Inflation Data'!$C:$C,'Inflation Data'!$A:$A = T$1))) + 'Fund YTD Contributions'!T66,'Fund YTD Contributions'!T66)"),0.0)</f>
        <v>0</v>
      </c>
      <c r="U66" s="152">
        <f>IFERROR(__xludf.DUMMYFUNCTION("IFERROR(T66 * (1 + AVERAGE(Filter('Inflation Data'!$C:$C,'Inflation Data'!$A:$A = U$1))) + 'Fund YTD Contributions'!U66,'Fund YTD Contributions'!U66)"),0.0)</f>
        <v>0</v>
      </c>
      <c r="V66" s="152">
        <f>IFERROR(__xludf.DUMMYFUNCTION("IFERROR(U66 * (1 + AVERAGE(Filter('Inflation Data'!$C:$C,'Inflation Data'!$A:$A = V$1))) + 'Fund YTD Contributions'!V66,'Fund YTD Contributions'!V66)"),0.0)</f>
        <v>0</v>
      </c>
      <c r="W66" s="152">
        <f>IFERROR(__xludf.DUMMYFUNCTION("IFERROR(V66 * (1 + AVERAGE(Filter('Inflation Data'!$C:$C,'Inflation Data'!$A:$A = W$1))) + 'Fund YTD Contributions'!W66,'Fund YTD Contributions'!W66)"),0.0)</f>
        <v>0</v>
      </c>
      <c r="X66" s="152">
        <f>IFERROR(__xludf.DUMMYFUNCTION("IFERROR(W66 * (1 + AVERAGE(Filter('Inflation Data'!$C:$C,'Inflation Data'!$A:$A = X$1))) + 'Fund YTD Contributions'!X66,'Fund YTD Contributions'!X66)"),0.0)</f>
        <v>0</v>
      </c>
      <c r="Y66" s="152">
        <f>IFERROR(__xludf.DUMMYFUNCTION("IFERROR(X66 * (1 + AVERAGE(Filter('Inflation Data'!$C:$C,'Inflation Data'!$A:$A = Y$1))) + 'Fund YTD Contributions'!Y66,'Fund YTD Contributions'!Y66)"),0.0)</f>
        <v>0</v>
      </c>
      <c r="Z66" s="152">
        <f>IFERROR(__xludf.DUMMYFUNCTION("IFERROR(Y66 * (1 + AVERAGE(Filter('Inflation Data'!$C:$C,'Inflation Data'!$A:$A = Z$1))) + 'Fund YTD Contributions'!Z66,'Fund YTD Contributions'!Z66)"),0.0)</f>
        <v>0</v>
      </c>
      <c r="AA66" s="152">
        <f>IFERROR(__xludf.DUMMYFUNCTION("IFERROR(Z66 * (1 + AVERAGE(Filter('Inflation Data'!$C:$C,'Inflation Data'!$A:$A = AA$1))) + 'Fund YTD Contributions'!AA66,'Fund YTD Contributions'!AA66)"),0.0)</f>
        <v>0</v>
      </c>
      <c r="AB66" s="152">
        <f>IFERROR(__xludf.DUMMYFUNCTION("IFERROR(AA66 * (1 + AVERAGE(Filter('Inflation Data'!$C:$C,'Inflation Data'!$A:$A = AB$1))) + 'Fund YTD Contributions'!AB66,'Fund YTD Contributions'!AB66)"),0.0)</f>
        <v>0</v>
      </c>
      <c r="AC66" s="152">
        <f>IFERROR(__xludf.DUMMYFUNCTION("IFERROR(AB66 * (1 + AVERAGE(Filter('Inflation Data'!$C:$C,'Inflation Data'!$A:$A = AC$1))) + 'Fund YTD Contributions'!AC66,'Fund YTD Contributions'!AC66)"),0.0)</f>
        <v>0</v>
      </c>
      <c r="AD66" s="152">
        <f>IFERROR(__xludf.DUMMYFUNCTION("IFERROR(AC66 * (1 + AVERAGE(Filter('Inflation Data'!$C:$C,'Inflation Data'!$A:$A = AD$1))) + 'Fund YTD Contributions'!AD66,'Fund YTD Contributions'!AD66)"),0.0)</f>
        <v>0</v>
      </c>
      <c r="AE66" s="152">
        <f>IFERROR(__xludf.DUMMYFUNCTION("IFERROR(AD66 * (1 + AVERAGE(Filter('Inflation Data'!$C:$C,'Inflation Data'!$A:$A = AE$1))) + 'Fund YTD Contributions'!AE66,'Fund YTD Contributions'!AE66)"),0.0)</f>
        <v>0</v>
      </c>
      <c r="AF66" s="152">
        <f>IFERROR(__xludf.DUMMYFUNCTION("IFERROR(AE66 * (1 + AVERAGE(Filter('Inflation Data'!$C:$C,'Inflation Data'!$A:$A = AF$1))) + 'Fund YTD Contributions'!AF66,'Fund YTD Contributions'!AF66)"),0.0)</f>
        <v>0</v>
      </c>
    </row>
    <row r="67">
      <c r="A67" s="150" t="str">
        <f>'Endowed Funds'!A:A</f>
        <v/>
      </c>
      <c r="B67" s="152">
        <f>IFERROR(__xludf.DUMMYFUNCTION("IFERROR(A67 * (1 + AVERAGE(Filter('Inflation Data'!$C:$C,'Inflation Data'!$A:$A = B$1))) + 'Fund YTD Contributions'!B67,'Fund YTD Contributions'!B67)"),0.0)</f>
        <v>0</v>
      </c>
      <c r="C67" s="152">
        <f>IFERROR(__xludf.DUMMYFUNCTION("IFERROR(B67 * (1 + AVERAGE(Filter('Inflation Data'!$C:$C,'Inflation Data'!$A:$A = C$1))) + 'Fund YTD Contributions'!C67,'Fund YTD Contributions'!C67)"),0.0)</f>
        <v>0</v>
      </c>
      <c r="D67" s="152">
        <f>IFERROR(__xludf.DUMMYFUNCTION("IFERROR(C67 * (1 + AVERAGE(Filter('Inflation Data'!$C:$C,'Inflation Data'!$A:$A = D$1))) + 'Fund YTD Contributions'!D67,'Fund YTD Contributions'!D67)"),0.0)</f>
        <v>0</v>
      </c>
      <c r="E67" s="152">
        <f>IFERROR(__xludf.DUMMYFUNCTION("IFERROR(D67 * (1 + AVERAGE(Filter('Inflation Data'!$C:$C,'Inflation Data'!$A:$A = E$1))) + 'Fund YTD Contributions'!E67,'Fund YTD Contributions'!E67)"),0.0)</f>
        <v>0</v>
      </c>
      <c r="F67" s="152">
        <f>IFERROR(__xludf.DUMMYFUNCTION("IFERROR(E67 * (1 + AVERAGE(Filter('Inflation Data'!$C:$C,'Inflation Data'!$A:$A = F$1))) + 'Fund YTD Contributions'!F67,'Fund YTD Contributions'!F67)"),0.0)</f>
        <v>0</v>
      </c>
      <c r="G67" s="152">
        <f>IFERROR(__xludf.DUMMYFUNCTION("IFERROR(F67 * (1 + AVERAGE(Filter('Inflation Data'!$C:$C,'Inflation Data'!$A:$A = G$1))) + 'Fund YTD Contributions'!G67,'Fund YTD Contributions'!G67)"),0.0)</f>
        <v>0</v>
      </c>
      <c r="H67" s="152">
        <f>IFERROR(__xludf.DUMMYFUNCTION("IFERROR(G67 * (1 + AVERAGE(Filter('Inflation Data'!$C:$C,'Inflation Data'!$A:$A = H$1))) + 'Fund YTD Contributions'!H67,'Fund YTD Contributions'!H67)"),0.0)</f>
        <v>0</v>
      </c>
      <c r="I67" s="152">
        <f>IFERROR(__xludf.DUMMYFUNCTION("IFERROR(H67 * (1 + AVERAGE(Filter('Inflation Data'!$C:$C,'Inflation Data'!$A:$A = I$1))) + 'Fund YTD Contributions'!I67,'Fund YTD Contributions'!I67)"),0.0)</f>
        <v>0</v>
      </c>
      <c r="J67" s="152">
        <f>IFERROR(__xludf.DUMMYFUNCTION("IFERROR(I67 * (1 + AVERAGE(Filter('Inflation Data'!$C:$C,'Inflation Data'!$A:$A = J$1))) + 'Fund YTD Contributions'!J67,'Fund YTD Contributions'!J67)"),0.0)</f>
        <v>0</v>
      </c>
      <c r="K67" s="152">
        <f>IFERROR(__xludf.DUMMYFUNCTION("IFERROR(J67 * (1 + AVERAGE(Filter('Inflation Data'!$C:$C,'Inflation Data'!$A:$A = K$1))) + 'Fund YTD Contributions'!K67,'Fund YTD Contributions'!K67)"),0.0)</f>
        <v>0</v>
      </c>
      <c r="L67" s="152">
        <f>IFERROR(__xludf.DUMMYFUNCTION("IFERROR(K67 * (1 + AVERAGE(Filter('Inflation Data'!$C:$C,'Inflation Data'!$A:$A = L$1))) + 'Fund YTD Contributions'!L67,'Fund YTD Contributions'!L67)"),0.0)</f>
        <v>0</v>
      </c>
      <c r="M67" s="152">
        <f>IFERROR(__xludf.DUMMYFUNCTION("IFERROR(L67 * (1 + AVERAGE(Filter('Inflation Data'!$C:$C,'Inflation Data'!$A:$A = M$1))) + 'Fund YTD Contributions'!M67,'Fund YTD Contributions'!M67)"),0.0)</f>
        <v>0</v>
      </c>
      <c r="N67" s="152">
        <f>IFERROR(__xludf.DUMMYFUNCTION("IFERROR(M67 * (1 + AVERAGE(Filter('Inflation Data'!$C:$C,'Inflation Data'!$A:$A = N$1))) + 'Fund YTD Contributions'!N67,'Fund YTD Contributions'!N67)"),0.0)</f>
        <v>0</v>
      </c>
      <c r="O67" s="152">
        <f>IFERROR(__xludf.DUMMYFUNCTION("IFERROR(N67 * (1 + AVERAGE(Filter('Inflation Data'!$C:$C,'Inflation Data'!$A:$A = O$1))) + 'Fund YTD Contributions'!O67,'Fund YTD Contributions'!O67)"),0.0)</f>
        <v>0</v>
      </c>
      <c r="P67" s="152">
        <f>IFERROR(__xludf.DUMMYFUNCTION("IFERROR(O67 * (1 + AVERAGE(Filter('Inflation Data'!$C:$C,'Inflation Data'!$A:$A = P$1))) + 'Fund YTD Contributions'!P67,'Fund YTD Contributions'!P67)"),0.0)</f>
        <v>0</v>
      </c>
      <c r="Q67" s="152">
        <f>IFERROR(__xludf.DUMMYFUNCTION("IFERROR(P67 * (1 + AVERAGE(Filter('Inflation Data'!$C:$C,'Inflation Data'!$A:$A = Q$1))) + 'Fund YTD Contributions'!Q67,'Fund YTD Contributions'!Q67)"),0.0)</f>
        <v>0</v>
      </c>
      <c r="R67" s="152">
        <f>IFERROR(__xludf.DUMMYFUNCTION("IFERROR(Q67 * (1 + AVERAGE(Filter('Inflation Data'!$C:$C,'Inflation Data'!$A:$A = R$1))) + 'Fund YTD Contributions'!R67,'Fund YTD Contributions'!R67)"),0.0)</f>
        <v>0</v>
      </c>
      <c r="S67" s="152">
        <f>IFERROR(__xludf.DUMMYFUNCTION("IFERROR(R67 * (1 + AVERAGE(Filter('Inflation Data'!$C:$C,'Inflation Data'!$A:$A = S$1))) + 'Fund YTD Contributions'!S67,'Fund YTD Contributions'!S67)"),0.0)</f>
        <v>0</v>
      </c>
      <c r="T67" s="152">
        <f>IFERROR(__xludf.DUMMYFUNCTION("IFERROR(S67 * (1 + AVERAGE(Filter('Inflation Data'!$C:$C,'Inflation Data'!$A:$A = T$1))) + 'Fund YTD Contributions'!T67,'Fund YTD Contributions'!T67)"),0.0)</f>
        <v>0</v>
      </c>
      <c r="U67" s="152">
        <f>IFERROR(__xludf.DUMMYFUNCTION("IFERROR(T67 * (1 + AVERAGE(Filter('Inflation Data'!$C:$C,'Inflation Data'!$A:$A = U$1))) + 'Fund YTD Contributions'!U67,'Fund YTD Contributions'!U67)"),0.0)</f>
        <v>0</v>
      </c>
      <c r="V67" s="152">
        <f>IFERROR(__xludf.DUMMYFUNCTION("IFERROR(U67 * (1 + AVERAGE(Filter('Inflation Data'!$C:$C,'Inflation Data'!$A:$A = V$1))) + 'Fund YTD Contributions'!V67,'Fund YTD Contributions'!V67)"),0.0)</f>
        <v>0</v>
      </c>
      <c r="W67" s="152">
        <f>IFERROR(__xludf.DUMMYFUNCTION("IFERROR(V67 * (1 + AVERAGE(Filter('Inflation Data'!$C:$C,'Inflation Data'!$A:$A = W$1))) + 'Fund YTD Contributions'!W67,'Fund YTD Contributions'!W67)"),0.0)</f>
        <v>0</v>
      </c>
      <c r="X67" s="152">
        <f>IFERROR(__xludf.DUMMYFUNCTION("IFERROR(W67 * (1 + AVERAGE(Filter('Inflation Data'!$C:$C,'Inflation Data'!$A:$A = X$1))) + 'Fund YTD Contributions'!X67,'Fund YTD Contributions'!X67)"),0.0)</f>
        <v>0</v>
      </c>
      <c r="Y67" s="152">
        <f>IFERROR(__xludf.DUMMYFUNCTION("IFERROR(X67 * (1 + AVERAGE(Filter('Inflation Data'!$C:$C,'Inflation Data'!$A:$A = Y$1))) + 'Fund YTD Contributions'!Y67,'Fund YTD Contributions'!Y67)"),0.0)</f>
        <v>0</v>
      </c>
      <c r="Z67" s="152">
        <f>IFERROR(__xludf.DUMMYFUNCTION("IFERROR(Y67 * (1 + AVERAGE(Filter('Inflation Data'!$C:$C,'Inflation Data'!$A:$A = Z$1))) + 'Fund YTD Contributions'!Z67,'Fund YTD Contributions'!Z67)"),0.0)</f>
        <v>0</v>
      </c>
      <c r="AA67" s="152">
        <f>IFERROR(__xludf.DUMMYFUNCTION("IFERROR(Z67 * (1 + AVERAGE(Filter('Inflation Data'!$C:$C,'Inflation Data'!$A:$A = AA$1))) + 'Fund YTD Contributions'!AA67,'Fund YTD Contributions'!AA67)"),0.0)</f>
        <v>0</v>
      </c>
      <c r="AB67" s="152">
        <f>IFERROR(__xludf.DUMMYFUNCTION("IFERROR(AA67 * (1 + AVERAGE(Filter('Inflation Data'!$C:$C,'Inflation Data'!$A:$A = AB$1))) + 'Fund YTD Contributions'!AB67,'Fund YTD Contributions'!AB67)"),0.0)</f>
        <v>0</v>
      </c>
      <c r="AC67" s="152">
        <f>IFERROR(__xludf.DUMMYFUNCTION("IFERROR(AB67 * (1 + AVERAGE(Filter('Inflation Data'!$C:$C,'Inflation Data'!$A:$A = AC$1))) + 'Fund YTD Contributions'!AC67,'Fund YTD Contributions'!AC67)"),0.0)</f>
        <v>0</v>
      </c>
      <c r="AD67" s="152">
        <f>IFERROR(__xludf.DUMMYFUNCTION("IFERROR(AC67 * (1 + AVERAGE(Filter('Inflation Data'!$C:$C,'Inflation Data'!$A:$A = AD$1))) + 'Fund YTD Contributions'!AD67,'Fund YTD Contributions'!AD67)"),0.0)</f>
        <v>0</v>
      </c>
      <c r="AE67" s="152">
        <f>IFERROR(__xludf.DUMMYFUNCTION("IFERROR(AD67 * (1 + AVERAGE(Filter('Inflation Data'!$C:$C,'Inflation Data'!$A:$A = AE$1))) + 'Fund YTD Contributions'!AE67,'Fund YTD Contributions'!AE67)"),0.0)</f>
        <v>0</v>
      </c>
      <c r="AF67" s="152">
        <f>IFERROR(__xludf.DUMMYFUNCTION("IFERROR(AE67 * (1 + AVERAGE(Filter('Inflation Data'!$C:$C,'Inflation Data'!$A:$A = AF$1))) + 'Fund YTD Contributions'!AF67,'Fund YTD Contributions'!AF67)"),0.0)</f>
        <v>0</v>
      </c>
    </row>
    <row r="68">
      <c r="A68" s="150" t="str">
        <f>'Endowed Funds'!A:A</f>
        <v/>
      </c>
      <c r="B68" s="152">
        <f>IFERROR(__xludf.DUMMYFUNCTION("IFERROR(A68 * (1 + AVERAGE(Filter('Inflation Data'!$C:$C,'Inflation Data'!$A:$A = B$1))) + 'Fund YTD Contributions'!B68,'Fund YTD Contributions'!B68)"),0.0)</f>
        <v>0</v>
      </c>
      <c r="C68" s="152">
        <f>IFERROR(__xludf.DUMMYFUNCTION("IFERROR(B68 * (1 + AVERAGE(Filter('Inflation Data'!$C:$C,'Inflation Data'!$A:$A = C$1))) + 'Fund YTD Contributions'!C68,'Fund YTD Contributions'!C68)"),0.0)</f>
        <v>0</v>
      </c>
      <c r="D68" s="152">
        <f>IFERROR(__xludf.DUMMYFUNCTION("IFERROR(C68 * (1 + AVERAGE(Filter('Inflation Data'!$C:$C,'Inflation Data'!$A:$A = D$1))) + 'Fund YTD Contributions'!D68,'Fund YTD Contributions'!D68)"),0.0)</f>
        <v>0</v>
      </c>
      <c r="E68" s="152">
        <f>IFERROR(__xludf.DUMMYFUNCTION("IFERROR(D68 * (1 + AVERAGE(Filter('Inflation Data'!$C:$C,'Inflation Data'!$A:$A = E$1))) + 'Fund YTD Contributions'!E68,'Fund YTD Contributions'!E68)"),0.0)</f>
        <v>0</v>
      </c>
      <c r="F68" s="152">
        <f>IFERROR(__xludf.DUMMYFUNCTION("IFERROR(E68 * (1 + AVERAGE(Filter('Inflation Data'!$C:$C,'Inflation Data'!$A:$A = F$1))) + 'Fund YTD Contributions'!F68,'Fund YTD Contributions'!F68)"),0.0)</f>
        <v>0</v>
      </c>
      <c r="G68" s="152">
        <f>IFERROR(__xludf.DUMMYFUNCTION("IFERROR(F68 * (1 + AVERAGE(Filter('Inflation Data'!$C:$C,'Inflation Data'!$A:$A = G$1))) + 'Fund YTD Contributions'!G68,'Fund YTD Contributions'!G68)"),0.0)</f>
        <v>0</v>
      </c>
      <c r="H68" s="152">
        <f>IFERROR(__xludf.DUMMYFUNCTION("IFERROR(G68 * (1 + AVERAGE(Filter('Inflation Data'!$C:$C,'Inflation Data'!$A:$A = H$1))) + 'Fund YTD Contributions'!H68,'Fund YTD Contributions'!H68)"),0.0)</f>
        <v>0</v>
      </c>
      <c r="I68" s="152">
        <f>IFERROR(__xludf.DUMMYFUNCTION("IFERROR(H68 * (1 + AVERAGE(Filter('Inflation Data'!$C:$C,'Inflation Data'!$A:$A = I$1))) + 'Fund YTD Contributions'!I68,'Fund YTD Contributions'!I68)"),0.0)</f>
        <v>0</v>
      </c>
      <c r="J68" s="152">
        <f>IFERROR(__xludf.DUMMYFUNCTION("IFERROR(I68 * (1 + AVERAGE(Filter('Inflation Data'!$C:$C,'Inflation Data'!$A:$A = J$1))) + 'Fund YTD Contributions'!J68,'Fund YTD Contributions'!J68)"),0.0)</f>
        <v>0</v>
      </c>
      <c r="K68" s="152">
        <f>IFERROR(__xludf.DUMMYFUNCTION("IFERROR(J68 * (1 + AVERAGE(Filter('Inflation Data'!$C:$C,'Inflation Data'!$A:$A = K$1))) + 'Fund YTD Contributions'!K68,'Fund YTD Contributions'!K68)"),0.0)</f>
        <v>0</v>
      </c>
      <c r="L68" s="152">
        <f>IFERROR(__xludf.DUMMYFUNCTION("IFERROR(K68 * (1 + AVERAGE(Filter('Inflation Data'!$C:$C,'Inflation Data'!$A:$A = L$1))) + 'Fund YTD Contributions'!L68,'Fund YTD Contributions'!L68)"),0.0)</f>
        <v>0</v>
      </c>
      <c r="M68" s="152">
        <f>IFERROR(__xludf.DUMMYFUNCTION("IFERROR(L68 * (1 + AVERAGE(Filter('Inflation Data'!$C:$C,'Inflation Data'!$A:$A = M$1))) + 'Fund YTD Contributions'!M68,'Fund YTD Contributions'!M68)"),0.0)</f>
        <v>0</v>
      </c>
      <c r="N68" s="152">
        <f>IFERROR(__xludf.DUMMYFUNCTION("IFERROR(M68 * (1 + AVERAGE(Filter('Inflation Data'!$C:$C,'Inflation Data'!$A:$A = N$1))) + 'Fund YTD Contributions'!N68,'Fund YTD Contributions'!N68)"),0.0)</f>
        <v>0</v>
      </c>
      <c r="O68" s="152">
        <f>IFERROR(__xludf.DUMMYFUNCTION("IFERROR(N68 * (1 + AVERAGE(Filter('Inflation Data'!$C:$C,'Inflation Data'!$A:$A = O$1))) + 'Fund YTD Contributions'!O68,'Fund YTD Contributions'!O68)"),0.0)</f>
        <v>0</v>
      </c>
      <c r="P68" s="152">
        <f>IFERROR(__xludf.DUMMYFUNCTION("IFERROR(O68 * (1 + AVERAGE(Filter('Inflation Data'!$C:$C,'Inflation Data'!$A:$A = P$1))) + 'Fund YTD Contributions'!P68,'Fund YTD Contributions'!P68)"),0.0)</f>
        <v>0</v>
      </c>
      <c r="Q68" s="152">
        <f>IFERROR(__xludf.DUMMYFUNCTION("IFERROR(P68 * (1 + AVERAGE(Filter('Inflation Data'!$C:$C,'Inflation Data'!$A:$A = Q$1))) + 'Fund YTD Contributions'!Q68,'Fund YTD Contributions'!Q68)"),0.0)</f>
        <v>0</v>
      </c>
      <c r="R68" s="152">
        <f>IFERROR(__xludf.DUMMYFUNCTION("IFERROR(Q68 * (1 + AVERAGE(Filter('Inflation Data'!$C:$C,'Inflation Data'!$A:$A = R$1))) + 'Fund YTD Contributions'!R68,'Fund YTD Contributions'!R68)"),0.0)</f>
        <v>0</v>
      </c>
      <c r="S68" s="152">
        <f>IFERROR(__xludf.DUMMYFUNCTION("IFERROR(R68 * (1 + AVERAGE(Filter('Inflation Data'!$C:$C,'Inflation Data'!$A:$A = S$1))) + 'Fund YTD Contributions'!S68,'Fund YTD Contributions'!S68)"),0.0)</f>
        <v>0</v>
      </c>
      <c r="T68" s="152">
        <f>IFERROR(__xludf.DUMMYFUNCTION("IFERROR(S68 * (1 + AVERAGE(Filter('Inflation Data'!$C:$C,'Inflation Data'!$A:$A = T$1))) + 'Fund YTD Contributions'!T68,'Fund YTD Contributions'!T68)"),0.0)</f>
        <v>0</v>
      </c>
      <c r="U68" s="152">
        <f>IFERROR(__xludf.DUMMYFUNCTION("IFERROR(T68 * (1 + AVERAGE(Filter('Inflation Data'!$C:$C,'Inflation Data'!$A:$A = U$1))) + 'Fund YTD Contributions'!U68,'Fund YTD Contributions'!U68)"),0.0)</f>
        <v>0</v>
      </c>
      <c r="V68" s="152">
        <f>IFERROR(__xludf.DUMMYFUNCTION("IFERROR(U68 * (1 + AVERAGE(Filter('Inflation Data'!$C:$C,'Inflation Data'!$A:$A = V$1))) + 'Fund YTD Contributions'!V68,'Fund YTD Contributions'!V68)"),0.0)</f>
        <v>0</v>
      </c>
      <c r="W68" s="152">
        <f>IFERROR(__xludf.DUMMYFUNCTION("IFERROR(V68 * (1 + AVERAGE(Filter('Inflation Data'!$C:$C,'Inflation Data'!$A:$A = W$1))) + 'Fund YTD Contributions'!W68,'Fund YTD Contributions'!W68)"),0.0)</f>
        <v>0</v>
      </c>
      <c r="X68" s="152">
        <f>IFERROR(__xludf.DUMMYFUNCTION("IFERROR(W68 * (1 + AVERAGE(Filter('Inflation Data'!$C:$C,'Inflation Data'!$A:$A = X$1))) + 'Fund YTD Contributions'!X68,'Fund YTD Contributions'!X68)"),0.0)</f>
        <v>0</v>
      </c>
      <c r="Y68" s="152">
        <f>IFERROR(__xludf.DUMMYFUNCTION("IFERROR(X68 * (1 + AVERAGE(Filter('Inflation Data'!$C:$C,'Inflation Data'!$A:$A = Y$1))) + 'Fund YTD Contributions'!Y68,'Fund YTD Contributions'!Y68)"),0.0)</f>
        <v>0</v>
      </c>
      <c r="Z68" s="152">
        <f>IFERROR(__xludf.DUMMYFUNCTION("IFERROR(Y68 * (1 + AVERAGE(Filter('Inflation Data'!$C:$C,'Inflation Data'!$A:$A = Z$1))) + 'Fund YTD Contributions'!Z68,'Fund YTD Contributions'!Z68)"),0.0)</f>
        <v>0</v>
      </c>
      <c r="AA68" s="152">
        <f>IFERROR(__xludf.DUMMYFUNCTION("IFERROR(Z68 * (1 + AVERAGE(Filter('Inflation Data'!$C:$C,'Inflation Data'!$A:$A = AA$1))) + 'Fund YTD Contributions'!AA68,'Fund YTD Contributions'!AA68)"),0.0)</f>
        <v>0</v>
      </c>
      <c r="AB68" s="152">
        <f>IFERROR(__xludf.DUMMYFUNCTION("IFERROR(AA68 * (1 + AVERAGE(Filter('Inflation Data'!$C:$C,'Inflation Data'!$A:$A = AB$1))) + 'Fund YTD Contributions'!AB68,'Fund YTD Contributions'!AB68)"),0.0)</f>
        <v>0</v>
      </c>
      <c r="AC68" s="152">
        <f>IFERROR(__xludf.DUMMYFUNCTION("IFERROR(AB68 * (1 + AVERAGE(Filter('Inflation Data'!$C:$C,'Inflation Data'!$A:$A = AC$1))) + 'Fund YTD Contributions'!AC68,'Fund YTD Contributions'!AC68)"),0.0)</f>
        <v>0</v>
      </c>
      <c r="AD68" s="152">
        <f>IFERROR(__xludf.DUMMYFUNCTION("IFERROR(AC68 * (1 + AVERAGE(Filter('Inflation Data'!$C:$C,'Inflation Data'!$A:$A = AD$1))) + 'Fund YTD Contributions'!AD68,'Fund YTD Contributions'!AD68)"),0.0)</f>
        <v>0</v>
      </c>
      <c r="AE68" s="152">
        <f>IFERROR(__xludf.DUMMYFUNCTION("IFERROR(AD68 * (1 + AVERAGE(Filter('Inflation Data'!$C:$C,'Inflation Data'!$A:$A = AE$1))) + 'Fund YTD Contributions'!AE68,'Fund YTD Contributions'!AE68)"),0.0)</f>
        <v>0</v>
      </c>
      <c r="AF68" s="152">
        <f>IFERROR(__xludf.DUMMYFUNCTION("IFERROR(AE68 * (1 + AVERAGE(Filter('Inflation Data'!$C:$C,'Inflation Data'!$A:$A = AF$1))) + 'Fund YTD Contributions'!AF68,'Fund YTD Contributions'!AF68)"),0.0)</f>
        <v>0</v>
      </c>
    </row>
    <row r="69">
      <c r="A69" s="150" t="str">
        <f>'Endowed Funds'!A:A</f>
        <v/>
      </c>
      <c r="B69" s="152">
        <f>IFERROR(__xludf.DUMMYFUNCTION("IFERROR(A69 * (1 + AVERAGE(Filter('Inflation Data'!$C:$C,'Inflation Data'!$A:$A = B$1))) + 'Fund YTD Contributions'!B69,'Fund YTD Contributions'!B69)"),0.0)</f>
        <v>0</v>
      </c>
      <c r="C69" s="152">
        <f>IFERROR(__xludf.DUMMYFUNCTION("IFERROR(B69 * (1 + AVERAGE(Filter('Inflation Data'!$C:$C,'Inflation Data'!$A:$A = C$1))) + 'Fund YTD Contributions'!C69,'Fund YTD Contributions'!C69)"),0.0)</f>
        <v>0</v>
      </c>
      <c r="D69" s="152">
        <f>IFERROR(__xludf.DUMMYFUNCTION("IFERROR(C69 * (1 + AVERAGE(Filter('Inflation Data'!$C:$C,'Inflation Data'!$A:$A = D$1))) + 'Fund YTD Contributions'!D69,'Fund YTD Contributions'!D69)"),0.0)</f>
        <v>0</v>
      </c>
      <c r="E69" s="152">
        <f>IFERROR(__xludf.DUMMYFUNCTION("IFERROR(D69 * (1 + AVERAGE(Filter('Inflation Data'!$C:$C,'Inflation Data'!$A:$A = E$1))) + 'Fund YTD Contributions'!E69,'Fund YTD Contributions'!E69)"),0.0)</f>
        <v>0</v>
      </c>
      <c r="F69" s="152">
        <f>IFERROR(__xludf.DUMMYFUNCTION("IFERROR(E69 * (1 + AVERAGE(Filter('Inflation Data'!$C:$C,'Inflation Data'!$A:$A = F$1))) + 'Fund YTD Contributions'!F69,'Fund YTD Contributions'!F69)"),0.0)</f>
        <v>0</v>
      </c>
      <c r="G69" s="152">
        <f>IFERROR(__xludf.DUMMYFUNCTION("IFERROR(F69 * (1 + AVERAGE(Filter('Inflation Data'!$C:$C,'Inflation Data'!$A:$A = G$1))) + 'Fund YTD Contributions'!G69,'Fund YTD Contributions'!G69)"),0.0)</f>
        <v>0</v>
      </c>
      <c r="H69" s="152">
        <f>IFERROR(__xludf.DUMMYFUNCTION("IFERROR(G69 * (1 + AVERAGE(Filter('Inflation Data'!$C:$C,'Inflation Data'!$A:$A = H$1))) + 'Fund YTD Contributions'!H69,'Fund YTD Contributions'!H69)"),0.0)</f>
        <v>0</v>
      </c>
      <c r="I69" s="152">
        <f>IFERROR(__xludf.DUMMYFUNCTION("IFERROR(H69 * (1 + AVERAGE(Filter('Inflation Data'!$C:$C,'Inflation Data'!$A:$A = I$1))) + 'Fund YTD Contributions'!I69,'Fund YTD Contributions'!I69)"),0.0)</f>
        <v>0</v>
      </c>
      <c r="J69" s="152">
        <f>IFERROR(__xludf.DUMMYFUNCTION("IFERROR(I69 * (1 + AVERAGE(Filter('Inflation Data'!$C:$C,'Inflation Data'!$A:$A = J$1))) + 'Fund YTD Contributions'!J69,'Fund YTD Contributions'!J69)"),0.0)</f>
        <v>0</v>
      </c>
      <c r="K69" s="152">
        <f>IFERROR(__xludf.DUMMYFUNCTION("IFERROR(J69 * (1 + AVERAGE(Filter('Inflation Data'!$C:$C,'Inflation Data'!$A:$A = K$1))) + 'Fund YTD Contributions'!K69,'Fund YTD Contributions'!K69)"),0.0)</f>
        <v>0</v>
      </c>
      <c r="L69" s="152">
        <f>IFERROR(__xludf.DUMMYFUNCTION("IFERROR(K69 * (1 + AVERAGE(Filter('Inflation Data'!$C:$C,'Inflation Data'!$A:$A = L$1))) + 'Fund YTD Contributions'!L69,'Fund YTD Contributions'!L69)"),0.0)</f>
        <v>0</v>
      </c>
      <c r="M69" s="152">
        <f>IFERROR(__xludf.DUMMYFUNCTION("IFERROR(L69 * (1 + AVERAGE(Filter('Inflation Data'!$C:$C,'Inflation Data'!$A:$A = M$1))) + 'Fund YTD Contributions'!M69,'Fund YTD Contributions'!M69)"),0.0)</f>
        <v>0</v>
      </c>
      <c r="N69" s="152">
        <f>IFERROR(__xludf.DUMMYFUNCTION("IFERROR(M69 * (1 + AVERAGE(Filter('Inflation Data'!$C:$C,'Inflation Data'!$A:$A = N$1))) + 'Fund YTD Contributions'!N69,'Fund YTD Contributions'!N69)"),0.0)</f>
        <v>0</v>
      </c>
      <c r="O69" s="152">
        <f>IFERROR(__xludf.DUMMYFUNCTION("IFERROR(N69 * (1 + AVERAGE(Filter('Inflation Data'!$C:$C,'Inflation Data'!$A:$A = O$1))) + 'Fund YTD Contributions'!O69,'Fund YTD Contributions'!O69)"),0.0)</f>
        <v>0</v>
      </c>
      <c r="P69" s="152">
        <f>IFERROR(__xludf.DUMMYFUNCTION("IFERROR(O69 * (1 + AVERAGE(Filter('Inflation Data'!$C:$C,'Inflation Data'!$A:$A = P$1))) + 'Fund YTD Contributions'!P69,'Fund YTD Contributions'!P69)"),0.0)</f>
        <v>0</v>
      </c>
      <c r="Q69" s="152">
        <f>IFERROR(__xludf.DUMMYFUNCTION("IFERROR(P69 * (1 + AVERAGE(Filter('Inflation Data'!$C:$C,'Inflation Data'!$A:$A = Q$1))) + 'Fund YTD Contributions'!Q69,'Fund YTD Contributions'!Q69)"),0.0)</f>
        <v>0</v>
      </c>
      <c r="R69" s="152">
        <f>IFERROR(__xludf.DUMMYFUNCTION("IFERROR(Q69 * (1 + AVERAGE(Filter('Inflation Data'!$C:$C,'Inflation Data'!$A:$A = R$1))) + 'Fund YTD Contributions'!R69,'Fund YTD Contributions'!R69)"),0.0)</f>
        <v>0</v>
      </c>
      <c r="S69" s="152">
        <f>IFERROR(__xludf.DUMMYFUNCTION("IFERROR(R69 * (1 + AVERAGE(Filter('Inflation Data'!$C:$C,'Inflation Data'!$A:$A = S$1))) + 'Fund YTD Contributions'!S69,'Fund YTD Contributions'!S69)"),0.0)</f>
        <v>0</v>
      </c>
      <c r="T69" s="152">
        <f>IFERROR(__xludf.DUMMYFUNCTION("IFERROR(S69 * (1 + AVERAGE(Filter('Inflation Data'!$C:$C,'Inflation Data'!$A:$A = T$1))) + 'Fund YTD Contributions'!T69,'Fund YTD Contributions'!T69)"),0.0)</f>
        <v>0</v>
      </c>
      <c r="U69" s="152">
        <f>IFERROR(__xludf.DUMMYFUNCTION("IFERROR(T69 * (1 + AVERAGE(Filter('Inflation Data'!$C:$C,'Inflation Data'!$A:$A = U$1))) + 'Fund YTD Contributions'!U69,'Fund YTD Contributions'!U69)"),0.0)</f>
        <v>0</v>
      </c>
      <c r="V69" s="152">
        <f>IFERROR(__xludf.DUMMYFUNCTION("IFERROR(U69 * (1 + AVERAGE(Filter('Inflation Data'!$C:$C,'Inflation Data'!$A:$A = V$1))) + 'Fund YTD Contributions'!V69,'Fund YTD Contributions'!V69)"),0.0)</f>
        <v>0</v>
      </c>
      <c r="W69" s="152">
        <f>IFERROR(__xludf.DUMMYFUNCTION("IFERROR(V69 * (1 + AVERAGE(Filter('Inflation Data'!$C:$C,'Inflation Data'!$A:$A = W$1))) + 'Fund YTD Contributions'!W69,'Fund YTD Contributions'!W69)"),0.0)</f>
        <v>0</v>
      </c>
      <c r="X69" s="152">
        <f>IFERROR(__xludf.DUMMYFUNCTION("IFERROR(W69 * (1 + AVERAGE(Filter('Inflation Data'!$C:$C,'Inflation Data'!$A:$A = X$1))) + 'Fund YTD Contributions'!X69,'Fund YTD Contributions'!X69)"),0.0)</f>
        <v>0</v>
      </c>
      <c r="Y69" s="152">
        <f>IFERROR(__xludf.DUMMYFUNCTION("IFERROR(X69 * (1 + AVERAGE(Filter('Inflation Data'!$C:$C,'Inflation Data'!$A:$A = Y$1))) + 'Fund YTD Contributions'!Y69,'Fund YTD Contributions'!Y69)"),0.0)</f>
        <v>0</v>
      </c>
      <c r="Z69" s="152">
        <f>IFERROR(__xludf.DUMMYFUNCTION("IFERROR(Y69 * (1 + AVERAGE(Filter('Inflation Data'!$C:$C,'Inflation Data'!$A:$A = Z$1))) + 'Fund YTD Contributions'!Z69,'Fund YTD Contributions'!Z69)"),0.0)</f>
        <v>0</v>
      </c>
      <c r="AA69" s="152">
        <f>IFERROR(__xludf.DUMMYFUNCTION("IFERROR(Z69 * (1 + AVERAGE(Filter('Inflation Data'!$C:$C,'Inflation Data'!$A:$A = AA$1))) + 'Fund YTD Contributions'!AA69,'Fund YTD Contributions'!AA69)"),0.0)</f>
        <v>0</v>
      </c>
      <c r="AB69" s="152">
        <f>IFERROR(__xludf.DUMMYFUNCTION("IFERROR(AA69 * (1 + AVERAGE(Filter('Inflation Data'!$C:$C,'Inflation Data'!$A:$A = AB$1))) + 'Fund YTD Contributions'!AB69,'Fund YTD Contributions'!AB69)"),0.0)</f>
        <v>0</v>
      </c>
      <c r="AC69" s="152">
        <f>IFERROR(__xludf.DUMMYFUNCTION("IFERROR(AB69 * (1 + AVERAGE(Filter('Inflation Data'!$C:$C,'Inflation Data'!$A:$A = AC$1))) + 'Fund YTD Contributions'!AC69,'Fund YTD Contributions'!AC69)"),0.0)</f>
        <v>0</v>
      </c>
      <c r="AD69" s="152">
        <f>IFERROR(__xludf.DUMMYFUNCTION("IFERROR(AC69 * (1 + AVERAGE(Filter('Inflation Data'!$C:$C,'Inflation Data'!$A:$A = AD$1))) + 'Fund YTD Contributions'!AD69,'Fund YTD Contributions'!AD69)"),0.0)</f>
        <v>0</v>
      </c>
      <c r="AE69" s="152">
        <f>IFERROR(__xludf.DUMMYFUNCTION("IFERROR(AD69 * (1 + AVERAGE(Filter('Inflation Data'!$C:$C,'Inflation Data'!$A:$A = AE$1))) + 'Fund YTD Contributions'!AE69,'Fund YTD Contributions'!AE69)"),0.0)</f>
        <v>0</v>
      </c>
      <c r="AF69" s="152">
        <f>IFERROR(__xludf.DUMMYFUNCTION("IFERROR(AE69 * (1 + AVERAGE(Filter('Inflation Data'!$C:$C,'Inflation Data'!$A:$A = AF$1))) + 'Fund YTD Contributions'!AF69,'Fund YTD Contributions'!AF69)"),0.0)</f>
        <v>0</v>
      </c>
    </row>
    <row r="70">
      <c r="A70" s="150" t="str">
        <f>'Endowed Funds'!A:A</f>
        <v/>
      </c>
      <c r="B70" s="152">
        <f>IFERROR(__xludf.DUMMYFUNCTION("IFERROR(A70 * (1 + AVERAGE(Filter('Inflation Data'!$C:$C,'Inflation Data'!$A:$A = B$1))) + 'Fund YTD Contributions'!B70,'Fund YTD Contributions'!B70)"),0.0)</f>
        <v>0</v>
      </c>
      <c r="C70" s="152">
        <f>IFERROR(__xludf.DUMMYFUNCTION("IFERROR(B70 * (1 + AVERAGE(Filter('Inflation Data'!$C:$C,'Inflation Data'!$A:$A = C$1))) + 'Fund YTD Contributions'!C70,'Fund YTD Contributions'!C70)"),0.0)</f>
        <v>0</v>
      </c>
      <c r="D70" s="152">
        <f>IFERROR(__xludf.DUMMYFUNCTION("IFERROR(C70 * (1 + AVERAGE(Filter('Inflation Data'!$C:$C,'Inflation Data'!$A:$A = D$1))) + 'Fund YTD Contributions'!D70,'Fund YTD Contributions'!D70)"),0.0)</f>
        <v>0</v>
      </c>
      <c r="E70" s="152">
        <f>IFERROR(__xludf.DUMMYFUNCTION("IFERROR(D70 * (1 + AVERAGE(Filter('Inflation Data'!$C:$C,'Inflation Data'!$A:$A = E$1))) + 'Fund YTD Contributions'!E70,'Fund YTD Contributions'!E70)"),0.0)</f>
        <v>0</v>
      </c>
      <c r="F70" s="152">
        <f>IFERROR(__xludf.DUMMYFUNCTION("IFERROR(E70 * (1 + AVERAGE(Filter('Inflation Data'!$C:$C,'Inflation Data'!$A:$A = F$1))) + 'Fund YTD Contributions'!F70,'Fund YTD Contributions'!F70)"),0.0)</f>
        <v>0</v>
      </c>
      <c r="G70" s="152">
        <f>IFERROR(__xludf.DUMMYFUNCTION("IFERROR(F70 * (1 + AVERAGE(Filter('Inflation Data'!$C:$C,'Inflation Data'!$A:$A = G$1))) + 'Fund YTD Contributions'!G70,'Fund YTD Contributions'!G70)"),0.0)</f>
        <v>0</v>
      </c>
      <c r="H70" s="152">
        <f>IFERROR(__xludf.DUMMYFUNCTION("IFERROR(G70 * (1 + AVERAGE(Filter('Inflation Data'!$C:$C,'Inflation Data'!$A:$A = H$1))) + 'Fund YTD Contributions'!H70,'Fund YTD Contributions'!H70)"),0.0)</f>
        <v>0</v>
      </c>
      <c r="I70" s="152">
        <f>IFERROR(__xludf.DUMMYFUNCTION("IFERROR(H70 * (1 + AVERAGE(Filter('Inflation Data'!$C:$C,'Inflation Data'!$A:$A = I$1))) + 'Fund YTD Contributions'!I70,'Fund YTD Contributions'!I70)"),0.0)</f>
        <v>0</v>
      </c>
      <c r="J70" s="152">
        <f>IFERROR(__xludf.DUMMYFUNCTION("IFERROR(I70 * (1 + AVERAGE(Filter('Inflation Data'!$C:$C,'Inflation Data'!$A:$A = J$1))) + 'Fund YTD Contributions'!J70,'Fund YTD Contributions'!J70)"),0.0)</f>
        <v>0</v>
      </c>
      <c r="K70" s="152">
        <f>IFERROR(__xludf.DUMMYFUNCTION("IFERROR(J70 * (1 + AVERAGE(Filter('Inflation Data'!$C:$C,'Inflation Data'!$A:$A = K$1))) + 'Fund YTD Contributions'!K70,'Fund YTD Contributions'!K70)"),0.0)</f>
        <v>0</v>
      </c>
      <c r="L70" s="152">
        <f>IFERROR(__xludf.DUMMYFUNCTION("IFERROR(K70 * (1 + AVERAGE(Filter('Inflation Data'!$C:$C,'Inflation Data'!$A:$A = L$1))) + 'Fund YTD Contributions'!L70,'Fund YTD Contributions'!L70)"),0.0)</f>
        <v>0</v>
      </c>
      <c r="M70" s="152">
        <f>IFERROR(__xludf.DUMMYFUNCTION("IFERROR(L70 * (1 + AVERAGE(Filter('Inflation Data'!$C:$C,'Inflation Data'!$A:$A = M$1))) + 'Fund YTD Contributions'!M70,'Fund YTD Contributions'!M70)"),0.0)</f>
        <v>0</v>
      </c>
      <c r="N70" s="152">
        <f>IFERROR(__xludf.DUMMYFUNCTION("IFERROR(M70 * (1 + AVERAGE(Filter('Inflation Data'!$C:$C,'Inflation Data'!$A:$A = N$1))) + 'Fund YTD Contributions'!N70,'Fund YTD Contributions'!N70)"),0.0)</f>
        <v>0</v>
      </c>
      <c r="O70" s="152">
        <f>IFERROR(__xludf.DUMMYFUNCTION("IFERROR(N70 * (1 + AVERAGE(Filter('Inflation Data'!$C:$C,'Inflation Data'!$A:$A = O$1))) + 'Fund YTD Contributions'!O70,'Fund YTD Contributions'!O70)"),0.0)</f>
        <v>0</v>
      </c>
      <c r="P70" s="152">
        <f>IFERROR(__xludf.DUMMYFUNCTION("IFERROR(O70 * (1 + AVERAGE(Filter('Inflation Data'!$C:$C,'Inflation Data'!$A:$A = P$1))) + 'Fund YTD Contributions'!P70,'Fund YTD Contributions'!P70)"),0.0)</f>
        <v>0</v>
      </c>
      <c r="Q70" s="152">
        <f>IFERROR(__xludf.DUMMYFUNCTION("IFERROR(P70 * (1 + AVERAGE(Filter('Inflation Data'!$C:$C,'Inflation Data'!$A:$A = Q$1))) + 'Fund YTD Contributions'!Q70,'Fund YTD Contributions'!Q70)"),0.0)</f>
        <v>0</v>
      </c>
      <c r="R70" s="152">
        <f>IFERROR(__xludf.DUMMYFUNCTION("IFERROR(Q70 * (1 + AVERAGE(Filter('Inflation Data'!$C:$C,'Inflation Data'!$A:$A = R$1))) + 'Fund YTD Contributions'!R70,'Fund YTD Contributions'!R70)"),0.0)</f>
        <v>0</v>
      </c>
      <c r="S70" s="152">
        <f>IFERROR(__xludf.DUMMYFUNCTION("IFERROR(R70 * (1 + AVERAGE(Filter('Inflation Data'!$C:$C,'Inflation Data'!$A:$A = S$1))) + 'Fund YTD Contributions'!S70,'Fund YTD Contributions'!S70)"),0.0)</f>
        <v>0</v>
      </c>
      <c r="T70" s="152">
        <f>IFERROR(__xludf.DUMMYFUNCTION("IFERROR(S70 * (1 + AVERAGE(Filter('Inflation Data'!$C:$C,'Inflation Data'!$A:$A = T$1))) + 'Fund YTD Contributions'!T70,'Fund YTD Contributions'!T70)"),0.0)</f>
        <v>0</v>
      </c>
      <c r="U70" s="152">
        <f>IFERROR(__xludf.DUMMYFUNCTION("IFERROR(T70 * (1 + AVERAGE(Filter('Inflation Data'!$C:$C,'Inflation Data'!$A:$A = U$1))) + 'Fund YTD Contributions'!U70,'Fund YTD Contributions'!U70)"),0.0)</f>
        <v>0</v>
      </c>
      <c r="V70" s="152">
        <f>IFERROR(__xludf.DUMMYFUNCTION("IFERROR(U70 * (1 + AVERAGE(Filter('Inflation Data'!$C:$C,'Inflation Data'!$A:$A = V$1))) + 'Fund YTD Contributions'!V70,'Fund YTD Contributions'!V70)"),0.0)</f>
        <v>0</v>
      </c>
      <c r="W70" s="152">
        <f>IFERROR(__xludf.DUMMYFUNCTION("IFERROR(V70 * (1 + AVERAGE(Filter('Inflation Data'!$C:$C,'Inflation Data'!$A:$A = W$1))) + 'Fund YTD Contributions'!W70,'Fund YTD Contributions'!W70)"),0.0)</f>
        <v>0</v>
      </c>
      <c r="X70" s="152">
        <f>IFERROR(__xludf.DUMMYFUNCTION("IFERROR(W70 * (1 + AVERAGE(Filter('Inflation Data'!$C:$C,'Inflation Data'!$A:$A = X$1))) + 'Fund YTD Contributions'!X70,'Fund YTD Contributions'!X70)"),0.0)</f>
        <v>0</v>
      </c>
      <c r="Y70" s="152">
        <f>IFERROR(__xludf.DUMMYFUNCTION("IFERROR(X70 * (1 + AVERAGE(Filter('Inflation Data'!$C:$C,'Inflation Data'!$A:$A = Y$1))) + 'Fund YTD Contributions'!Y70,'Fund YTD Contributions'!Y70)"),0.0)</f>
        <v>0</v>
      </c>
      <c r="Z70" s="152">
        <f>IFERROR(__xludf.DUMMYFUNCTION("IFERROR(Y70 * (1 + AVERAGE(Filter('Inflation Data'!$C:$C,'Inflation Data'!$A:$A = Z$1))) + 'Fund YTD Contributions'!Z70,'Fund YTD Contributions'!Z70)"),0.0)</f>
        <v>0</v>
      </c>
      <c r="AA70" s="152">
        <f>IFERROR(__xludf.DUMMYFUNCTION("IFERROR(Z70 * (1 + AVERAGE(Filter('Inflation Data'!$C:$C,'Inflation Data'!$A:$A = AA$1))) + 'Fund YTD Contributions'!AA70,'Fund YTD Contributions'!AA70)"),0.0)</f>
        <v>0</v>
      </c>
      <c r="AB70" s="152">
        <f>IFERROR(__xludf.DUMMYFUNCTION("IFERROR(AA70 * (1 + AVERAGE(Filter('Inflation Data'!$C:$C,'Inflation Data'!$A:$A = AB$1))) + 'Fund YTD Contributions'!AB70,'Fund YTD Contributions'!AB70)"),0.0)</f>
        <v>0</v>
      </c>
      <c r="AC70" s="152">
        <f>IFERROR(__xludf.DUMMYFUNCTION("IFERROR(AB70 * (1 + AVERAGE(Filter('Inflation Data'!$C:$C,'Inflation Data'!$A:$A = AC$1))) + 'Fund YTD Contributions'!AC70,'Fund YTD Contributions'!AC70)"),0.0)</f>
        <v>0</v>
      </c>
      <c r="AD70" s="152">
        <f>IFERROR(__xludf.DUMMYFUNCTION("IFERROR(AC70 * (1 + AVERAGE(Filter('Inflation Data'!$C:$C,'Inflation Data'!$A:$A = AD$1))) + 'Fund YTD Contributions'!AD70,'Fund YTD Contributions'!AD70)"),0.0)</f>
        <v>0</v>
      </c>
      <c r="AE70" s="152">
        <f>IFERROR(__xludf.DUMMYFUNCTION("IFERROR(AD70 * (1 + AVERAGE(Filter('Inflation Data'!$C:$C,'Inflation Data'!$A:$A = AE$1))) + 'Fund YTD Contributions'!AE70,'Fund YTD Contributions'!AE70)"),0.0)</f>
        <v>0</v>
      </c>
      <c r="AF70" s="152">
        <f>IFERROR(__xludf.DUMMYFUNCTION("IFERROR(AE70 * (1 + AVERAGE(Filter('Inflation Data'!$C:$C,'Inflation Data'!$A:$A = AF$1))) + 'Fund YTD Contributions'!AF70,'Fund YTD Contributions'!AF70)"),0.0)</f>
        <v>0</v>
      </c>
    </row>
    <row r="71">
      <c r="A71" s="150" t="str">
        <f>'Endowed Funds'!A:A</f>
        <v/>
      </c>
      <c r="B71" s="152">
        <f>IFERROR(__xludf.DUMMYFUNCTION("IFERROR(A71 * (1 + AVERAGE(Filter('Inflation Data'!$C:$C,'Inflation Data'!$A:$A = B$1))) + 'Fund YTD Contributions'!B71,'Fund YTD Contributions'!B71)"),0.0)</f>
        <v>0</v>
      </c>
      <c r="C71" s="152">
        <f>IFERROR(__xludf.DUMMYFUNCTION("IFERROR(B71 * (1 + AVERAGE(Filter('Inflation Data'!$C:$C,'Inflation Data'!$A:$A = C$1))) + 'Fund YTD Contributions'!C71,'Fund YTD Contributions'!C71)"),0.0)</f>
        <v>0</v>
      </c>
      <c r="D71" s="152">
        <f>IFERROR(__xludf.DUMMYFUNCTION("IFERROR(C71 * (1 + AVERAGE(Filter('Inflation Data'!$C:$C,'Inflation Data'!$A:$A = D$1))) + 'Fund YTD Contributions'!D71,'Fund YTD Contributions'!D71)"),0.0)</f>
        <v>0</v>
      </c>
      <c r="E71" s="152">
        <f>IFERROR(__xludf.DUMMYFUNCTION("IFERROR(D71 * (1 + AVERAGE(Filter('Inflation Data'!$C:$C,'Inflation Data'!$A:$A = E$1))) + 'Fund YTD Contributions'!E71,'Fund YTD Contributions'!E71)"),0.0)</f>
        <v>0</v>
      </c>
      <c r="F71" s="152">
        <f>IFERROR(__xludf.DUMMYFUNCTION("IFERROR(E71 * (1 + AVERAGE(Filter('Inflation Data'!$C:$C,'Inflation Data'!$A:$A = F$1))) + 'Fund YTD Contributions'!F71,'Fund YTD Contributions'!F71)"),0.0)</f>
        <v>0</v>
      </c>
      <c r="G71" s="152">
        <f>IFERROR(__xludf.DUMMYFUNCTION("IFERROR(F71 * (1 + AVERAGE(Filter('Inflation Data'!$C:$C,'Inflation Data'!$A:$A = G$1))) + 'Fund YTD Contributions'!G71,'Fund YTD Contributions'!G71)"),0.0)</f>
        <v>0</v>
      </c>
      <c r="H71" s="152">
        <f>IFERROR(__xludf.DUMMYFUNCTION("IFERROR(G71 * (1 + AVERAGE(Filter('Inflation Data'!$C:$C,'Inflation Data'!$A:$A = H$1))) + 'Fund YTD Contributions'!H71,'Fund YTD Contributions'!H71)"),0.0)</f>
        <v>0</v>
      </c>
      <c r="I71" s="152">
        <f>IFERROR(__xludf.DUMMYFUNCTION("IFERROR(H71 * (1 + AVERAGE(Filter('Inflation Data'!$C:$C,'Inflation Data'!$A:$A = I$1))) + 'Fund YTD Contributions'!I71,'Fund YTD Contributions'!I71)"),0.0)</f>
        <v>0</v>
      </c>
      <c r="J71" s="152">
        <f>IFERROR(__xludf.DUMMYFUNCTION("IFERROR(I71 * (1 + AVERAGE(Filter('Inflation Data'!$C:$C,'Inflation Data'!$A:$A = J$1))) + 'Fund YTD Contributions'!J71,'Fund YTD Contributions'!J71)"),0.0)</f>
        <v>0</v>
      </c>
      <c r="K71" s="152">
        <f>IFERROR(__xludf.DUMMYFUNCTION("IFERROR(J71 * (1 + AVERAGE(Filter('Inflation Data'!$C:$C,'Inflation Data'!$A:$A = K$1))) + 'Fund YTD Contributions'!K71,'Fund YTD Contributions'!K71)"),0.0)</f>
        <v>0</v>
      </c>
      <c r="L71" s="152">
        <f>IFERROR(__xludf.DUMMYFUNCTION("IFERROR(K71 * (1 + AVERAGE(Filter('Inflation Data'!$C:$C,'Inflation Data'!$A:$A = L$1))) + 'Fund YTD Contributions'!L71,'Fund YTD Contributions'!L71)"),0.0)</f>
        <v>0</v>
      </c>
      <c r="M71" s="152">
        <f>IFERROR(__xludf.DUMMYFUNCTION("IFERROR(L71 * (1 + AVERAGE(Filter('Inflation Data'!$C:$C,'Inflation Data'!$A:$A = M$1))) + 'Fund YTD Contributions'!M71,'Fund YTD Contributions'!M71)"),0.0)</f>
        <v>0</v>
      </c>
      <c r="N71" s="152">
        <f>IFERROR(__xludf.DUMMYFUNCTION("IFERROR(M71 * (1 + AVERAGE(Filter('Inflation Data'!$C:$C,'Inflation Data'!$A:$A = N$1))) + 'Fund YTD Contributions'!N71,'Fund YTD Contributions'!N71)"),0.0)</f>
        <v>0</v>
      </c>
      <c r="O71" s="152">
        <f>IFERROR(__xludf.DUMMYFUNCTION("IFERROR(N71 * (1 + AVERAGE(Filter('Inflation Data'!$C:$C,'Inflation Data'!$A:$A = O$1))) + 'Fund YTD Contributions'!O71,'Fund YTD Contributions'!O71)"),0.0)</f>
        <v>0</v>
      </c>
      <c r="P71" s="152">
        <f>IFERROR(__xludf.DUMMYFUNCTION("IFERROR(O71 * (1 + AVERAGE(Filter('Inflation Data'!$C:$C,'Inflation Data'!$A:$A = P$1))) + 'Fund YTD Contributions'!P71,'Fund YTD Contributions'!P71)"),0.0)</f>
        <v>0</v>
      </c>
      <c r="Q71" s="152">
        <f>IFERROR(__xludf.DUMMYFUNCTION("IFERROR(P71 * (1 + AVERAGE(Filter('Inflation Data'!$C:$C,'Inflation Data'!$A:$A = Q$1))) + 'Fund YTD Contributions'!Q71,'Fund YTD Contributions'!Q71)"),0.0)</f>
        <v>0</v>
      </c>
      <c r="R71" s="152">
        <f>IFERROR(__xludf.DUMMYFUNCTION("IFERROR(Q71 * (1 + AVERAGE(Filter('Inflation Data'!$C:$C,'Inflation Data'!$A:$A = R$1))) + 'Fund YTD Contributions'!R71,'Fund YTD Contributions'!R71)"),0.0)</f>
        <v>0</v>
      </c>
      <c r="S71" s="152">
        <f>IFERROR(__xludf.DUMMYFUNCTION("IFERROR(R71 * (1 + AVERAGE(Filter('Inflation Data'!$C:$C,'Inflation Data'!$A:$A = S$1))) + 'Fund YTD Contributions'!S71,'Fund YTD Contributions'!S71)"),0.0)</f>
        <v>0</v>
      </c>
      <c r="T71" s="152">
        <f>IFERROR(__xludf.DUMMYFUNCTION("IFERROR(S71 * (1 + AVERAGE(Filter('Inflation Data'!$C:$C,'Inflation Data'!$A:$A = T$1))) + 'Fund YTD Contributions'!T71,'Fund YTD Contributions'!T71)"),0.0)</f>
        <v>0</v>
      </c>
      <c r="U71" s="152">
        <f>IFERROR(__xludf.DUMMYFUNCTION("IFERROR(T71 * (1 + AVERAGE(Filter('Inflation Data'!$C:$C,'Inflation Data'!$A:$A = U$1))) + 'Fund YTD Contributions'!U71,'Fund YTD Contributions'!U71)"),0.0)</f>
        <v>0</v>
      </c>
      <c r="V71" s="152">
        <f>IFERROR(__xludf.DUMMYFUNCTION("IFERROR(U71 * (1 + AVERAGE(Filter('Inflation Data'!$C:$C,'Inflation Data'!$A:$A = V$1))) + 'Fund YTD Contributions'!V71,'Fund YTD Contributions'!V71)"),0.0)</f>
        <v>0</v>
      </c>
      <c r="W71" s="152">
        <f>IFERROR(__xludf.DUMMYFUNCTION("IFERROR(V71 * (1 + AVERAGE(Filter('Inflation Data'!$C:$C,'Inflation Data'!$A:$A = W$1))) + 'Fund YTD Contributions'!W71,'Fund YTD Contributions'!W71)"),0.0)</f>
        <v>0</v>
      </c>
      <c r="X71" s="152">
        <f>IFERROR(__xludf.DUMMYFUNCTION("IFERROR(W71 * (1 + AVERAGE(Filter('Inflation Data'!$C:$C,'Inflation Data'!$A:$A = X$1))) + 'Fund YTD Contributions'!X71,'Fund YTD Contributions'!X71)"),0.0)</f>
        <v>0</v>
      </c>
      <c r="Y71" s="152">
        <f>IFERROR(__xludf.DUMMYFUNCTION("IFERROR(X71 * (1 + AVERAGE(Filter('Inflation Data'!$C:$C,'Inflation Data'!$A:$A = Y$1))) + 'Fund YTD Contributions'!Y71,'Fund YTD Contributions'!Y71)"),0.0)</f>
        <v>0</v>
      </c>
      <c r="Z71" s="152">
        <f>IFERROR(__xludf.DUMMYFUNCTION("IFERROR(Y71 * (1 + AVERAGE(Filter('Inflation Data'!$C:$C,'Inflation Data'!$A:$A = Z$1))) + 'Fund YTD Contributions'!Z71,'Fund YTD Contributions'!Z71)"),0.0)</f>
        <v>0</v>
      </c>
      <c r="AA71" s="152">
        <f>IFERROR(__xludf.DUMMYFUNCTION("IFERROR(Z71 * (1 + AVERAGE(Filter('Inflation Data'!$C:$C,'Inflation Data'!$A:$A = AA$1))) + 'Fund YTD Contributions'!AA71,'Fund YTD Contributions'!AA71)"),0.0)</f>
        <v>0</v>
      </c>
      <c r="AB71" s="152">
        <f>IFERROR(__xludf.DUMMYFUNCTION("IFERROR(AA71 * (1 + AVERAGE(Filter('Inflation Data'!$C:$C,'Inflation Data'!$A:$A = AB$1))) + 'Fund YTD Contributions'!AB71,'Fund YTD Contributions'!AB71)"),0.0)</f>
        <v>0</v>
      </c>
      <c r="AC71" s="152">
        <f>IFERROR(__xludf.DUMMYFUNCTION("IFERROR(AB71 * (1 + AVERAGE(Filter('Inflation Data'!$C:$C,'Inflation Data'!$A:$A = AC$1))) + 'Fund YTD Contributions'!AC71,'Fund YTD Contributions'!AC71)"),0.0)</f>
        <v>0</v>
      </c>
      <c r="AD71" s="152">
        <f>IFERROR(__xludf.DUMMYFUNCTION("IFERROR(AC71 * (1 + AVERAGE(Filter('Inflation Data'!$C:$C,'Inflation Data'!$A:$A = AD$1))) + 'Fund YTD Contributions'!AD71,'Fund YTD Contributions'!AD71)"),0.0)</f>
        <v>0</v>
      </c>
      <c r="AE71" s="152">
        <f>IFERROR(__xludf.DUMMYFUNCTION("IFERROR(AD71 * (1 + AVERAGE(Filter('Inflation Data'!$C:$C,'Inflation Data'!$A:$A = AE$1))) + 'Fund YTD Contributions'!AE71,'Fund YTD Contributions'!AE71)"),0.0)</f>
        <v>0</v>
      </c>
      <c r="AF71" s="152">
        <f>IFERROR(__xludf.DUMMYFUNCTION("IFERROR(AE71 * (1 + AVERAGE(Filter('Inflation Data'!$C:$C,'Inflation Data'!$A:$A = AF$1))) + 'Fund YTD Contributions'!AF71,'Fund YTD Contributions'!AF71)"),0.0)</f>
        <v>0</v>
      </c>
    </row>
    <row r="72">
      <c r="A72" s="150" t="str">
        <f>'Endowed Funds'!A:A</f>
        <v/>
      </c>
      <c r="B72" s="152">
        <f>IFERROR(__xludf.DUMMYFUNCTION("IFERROR(A72 * (1 + AVERAGE(Filter('Inflation Data'!$C:$C,'Inflation Data'!$A:$A = B$1))) + 'Fund YTD Contributions'!B72,'Fund YTD Contributions'!B72)"),0.0)</f>
        <v>0</v>
      </c>
      <c r="C72" s="152">
        <f>IFERROR(__xludf.DUMMYFUNCTION("IFERROR(B72 * (1 + AVERAGE(Filter('Inflation Data'!$C:$C,'Inflation Data'!$A:$A = C$1))) + 'Fund YTD Contributions'!C72,'Fund YTD Contributions'!C72)"),0.0)</f>
        <v>0</v>
      </c>
      <c r="D72" s="152">
        <f>IFERROR(__xludf.DUMMYFUNCTION("IFERROR(C72 * (1 + AVERAGE(Filter('Inflation Data'!$C:$C,'Inflation Data'!$A:$A = D$1))) + 'Fund YTD Contributions'!D72,'Fund YTD Contributions'!D72)"),0.0)</f>
        <v>0</v>
      </c>
      <c r="E72" s="152">
        <f>IFERROR(__xludf.DUMMYFUNCTION("IFERROR(D72 * (1 + AVERAGE(Filter('Inflation Data'!$C:$C,'Inflation Data'!$A:$A = E$1))) + 'Fund YTD Contributions'!E72,'Fund YTD Contributions'!E72)"),0.0)</f>
        <v>0</v>
      </c>
      <c r="F72" s="152">
        <f>IFERROR(__xludf.DUMMYFUNCTION("IFERROR(E72 * (1 + AVERAGE(Filter('Inflation Data'!$C:$C,'Inflation Data'!$A:$A = F$1))) + 'Fund YTD Contributions'!F72,'Fund YTD Contributions'!F72)"),0.0)</f>
        <v>0</v>
      </c>
      <c r="G72" s="152">
        <f>IFERROR(__xludf.DUMMYFUNCTION("IFERROR(F72 * (1 + AVERAGE(Filter('Inflation Data'!$C:$C,'Inflation Data'!$A:$A = G$1))) + 'Fund YTD Contributions'!G72,'Fund YTD Contributions'!G72)"),0.0)</f>
        <v>0</v>
      </c>
      <c r="H72" s="152">
        <f>IFERROR(__xludf.DUMMYFUNCTION("IFERROR(G72 * (1 + AVERAGE(Filter('Inflation Data'!$C:$C,'Inflation Data'!$A:$A = H$1))) + 'Fund YTD Contributions'!H72,'Fund YTD Contributions'!H72)"),0.0)</f>
        <v>0</v>
      </c>
      <c r="I72" s="152">
        <f>IFERROR(__xludf.DUMMYFUNCTION("IFERROR(H72 * (1 + AVERAGE(Filter('Inflation Data'!$C:$C,'Inflation Data'!$A:$A = I$1))) + 'Fund YTD Contributions'!I72,'Fund YTD Contributions'!I72)"),0.0)</f>
        <v>0</v>
      </c>
      <c r="J72" s="152">
        <f>IFERROR(__xludf.DUMMYFUNCTION("IFERROR(I72 * (1 + AVERAGE(Filter('Inflation Data'!$C:$C,'Inflation Data'!$A:$A = J$1))) + 'Fund YTD Contributions'!J72,'Fund YTD Contributions'!J72)"),0.0)</f>
        <v>0</v>
      </c>
      <c r="K72" s="152">
        <f>IFERROR(__xludf.DUMMYFUNCTION("IFERROR(J72 * (1 + AVERAGE(Filter('Inflation Data'!$C:$C,'Inflation Data'!$A:$A = K$1))) + 'Fund YTD Contributions'!K72,'Fund YTD Contributions'!K72)"),0.0)</f>
        <v>0</v>
      </c>
      <c r="L72" s="152">
        <f>IFERROR(__xludf.DUMMYFUNCTION("IFERROR(K72 * (1 + AVERAGE(Filter('Inflation Data'!$C:$C,'Inflation Data'!$A:$A = L$1))) + 'Fund YTD Contributions'!L72,'Fund YTD Contributions'!L72)"),0.0)</f>
        <v>0</v>
      </c>
      <c r="M72" s="152">
        <f>IFERROR(__xludf.DUMMYFUNCTION("IFERROR(L72 * (1 + AVERAGE(Filter('Inflation Data'!$C:$C,'Inflation Data'!$A:$A = M$1))) + 'Fund YTD Contributions'!M72,'Fund YTD Contributions'!M72)"),0.0)</f>
        <v>0</v>
      </c>
      <c r="N72" s="152">
        <f>IFERROR(__xludf.DUMMYFUNCTION("IFERROR(M72 * (1 + AVERAGE(Filter('Inflation Data'!$C:$C,'Inflation Data'!$A:$A = N$1))) + 'Fund YTD Contributions'!N72,'Fund YTD Contributions'!N72)"),0.0)</f>
        <v>0</v>
      </c>
      <c r="O72" s="152">
        <f>IFERROR(__xludf.DUMMYFUNCTION("IFERROR(N72 * (1 + AVERAGE(Filter('Inflation Data'!$C:$C,'Inflation Data'!$A:$A = O$1))) + 'Fund YTD Contributions'!O72,'Fund YTD Contributions'!O72)"),0.0)</f>
        <v>0</v>
      </c>
      <c r="P72" s="152">
        <f>IFERROR(__xludf.DUMMYFUNCTION("IFERROR(O72 * (1 + AVERAGE(Filter('Inflation Data'!$C:$C,'Inflation Data'!$A:$A = P$1))) + 'Fund YTD Contributions'!P72,'Fund YTD Contributions'!P72)"),0.0)</f>
        <v>0</v>
      </c>
      <c r="Q72" s="152">
        <f>IFERROR(__xludf.DUMMYFUNCTION("IFERROR(P72 * (1 + AVERAGE(Filter('Inflation Data'!$C:$C,'Inflation Data'!$A:$A = Q$1))) + 'Fund YTD Contributions'!Q72,'Fund YTD Contributions'!Q72)"),0.0)</f>
        <v>0</v>
      </c>
      <c r="R72" s="152">
        <f>IFERROR(__xludf.DUMMYFUNCTION("IFERROR(Q72 * (1 + AVERAGE(Filter('Inflation Data'!$C:$C,'Inflation Data'!$A:$A = R$1))) + 'Fund YTD Contributions'!R72,'Fund YTD Contributions'!R72)"),0.0)</f>
        <v>0</v>
      </c>
      <c r="S72" s="152">
        <f>IFERROR(__xludf.DUMMYFUNCTION("IFERROR(R72 * (1 + AVERAGE(Filter('Inflation Data'!$C:$C,'Inflation Data'!$A:$A = S$1))) + 'Fund YTD Contributions'!S72,'Fund YTD Contributions'!S72)"),0.0)</f>
        <v>0</v>
      </c>
      <c r="T72" s="152">
        <f>IFERROR(__xludf.DUMMYFUNCTION("IFERROR(S72 * (1 + AVERAGE(Filter('Inflation Data'!$C:$C,'Inflation Data'!$A:$A = T$1))) + 'Fund YTD Contributions'!T72,'Fund YTD Contributions'!T72)"),0.0)</f>
        <v>0</v>
      </c>
      <c r="U72" s="152">
        <f>IFERROR(__xludf.DUMMYFUNCTION("IFERROR(T72 * (1 + AVERAGE(Filter('Inflation Data'!$C:$C,'Inflation Data'!$A:$A = U$1))) + 'Fund YTD Contributions'!U72,'Fund YTD Contributions'!U72)"),0.0)</f>
        <v>0</v>
      </c>
      <c r="V72" s="152">
        <f>IFERROR(__xludf.DUMMYFUNCTION("IFERROR(U72 * (1 + AVERAGE(Filter('Inflation Data'!$C:$C,'Inflation Data'!$A:$A = V$1))) + 'Fund YTD Contributions'!V72,'Fund YTD Contributions'!V72)"),0.0)</f>
        <v>0</v>
      </c>
      <c r="W72" s="152">
        <f>IFERROR(__xludf.DUMMYFUNCTION("IFERROR(V72 * (1 + AVERAGE(Filter('Inflation Data'!$C:$C,'Inflation Data'!$A:$A = W$1))) + 'Fund YTD Contributions'!W72,'Fund YTD Contributions'!W72)"),0.0)</f>
        <v>0</v>
      </c>
      <c r="X72" s="152">
        <f>IFERROR(__xludf.DUMMYFUNCTION("IFERROR(W72 * (1 + AVERAGE(Filter('Inflation Data'!$C:$C,'Inflation Data'!$A:$A = X$1))) + 'Fund YTD Contributions'!X72,'Fund YTD Contributions'!X72)"),0.0)</f>
        <v>0</v>
      </c>
      <c r="Y72" s="152">
        <f>IFERROR(__xludf.DUMMYFUNCTION("IFERROR(X72 * (1 + AVERAGE(Filter('Inflation Data'!$C:$C,'Inflation Data'!$A:$A = Y$1))) + 'Fund YTD Contributions'!Y72,'Fund YTD Contributions'!Y72)"),0.0)</f>
        <v>0</v>
      </c>
      <c r="Z72" s="152">
        <f>IFERROR(__xludf.DUMMYFUNCTION("IFERROR(Y72 * (1 + AVERAGE(Filter('Inflation Data'!$C:$C,'Inflation Data'!$A:$A = Z$1))) + 'Fund YTD Contributions'!Z72,'Fund YTD Contributions'!Z72)"),0.0)</f>
        <v>0</v>
      </c>
      <c r="AA72" s="152">
        <f>IFERROR(__xludf.DUMMYFUNCTION("IFERROR(Z72 * (1 + AVERAGE(Filter('Inflation Data'!$C:$C,'Inflation Data'!$A:$A = AA$1))) + 'Fund YTD Contributions'!AA72,'Fund YTD Contributions'!AA72)"),0.0)</f>
        <v>0</v>
      </c>
      <c r="AB72" s="152">
        <f>IFERROR(__xludf.DUMMYFUNCTION("IFERROR(AA72 * (1 + AVERAGE(Filter('Inflation Data'!$C:$C,'Inflation Data'!$A:$A = AB$1))) + 'Fund YTD Contributions'!AB72,'Fund YTD Contributions'!AB72)"),0.0)</f>
        <v>0</v>
      </c>
      <c r="AC72" s="152">
        <f>IFERROR(__xludf.DUMMYFUNCTION("IFERROR(AB72 * (1 + AVERAGE(Filter('Inflation Data'!$C:$C,'Inflation Data'!$A:$A = AC$1))) + 'Fund YTD Contributions'!AC72,'Fund YTD Contributions'!AC72)"),0.0)</f>
        <v>0</v>
      </c>
      <c r="AD72" s="152">
        <f>IFERROR(__xludf.DUMMYFUNCTION("IFERROR(AC72 * (1 + AVERAGE(Filter('Inflation Data'!$C:$C,'Inflation Data'!$A:$A = AD$1))) + 'Fund YTD Contributions'!AD72,'Fund YTD Contributions'!AD72)"),0.0)</f>
        <v>0</v>
      </c>
      <c r="AE72" s="152">
        <f>IFERROR(__xludf.DUMMYFUNCTION("IFERROR(AD72 * (1 + AVERAGE(Filter('Inflation Data'!$C:$C,'Inflation Data'!$A:$A = AE$1))) + 'Fund YTD Contributions'!AE72,'Fund YTD Contributions'!AE72)"),0.0)</f>
        <v>0</v>
      </c>
      <c r="AF72" s="152">
        <f>IFERROR(__xludf.DUMMYFUNCTION("IFERROR(AE72 * (1 + AVERAGE(Filter('Inflation Data'!$C:$C,'Inflation Data'!$A:$A = AF$1))) + 'Fund YTD Contributions'!AF72,'Fund YTD Contributions'!AF72)"),0.0)</f>
        <v>0</v>
      </c>
    </row>
    <row r="73">
      <c r="A73" s="150" t="str">
        <f>'Endowed Funds'!A:A</f>
        <v/>
      </c>
      <c r="B73" s="152">
        <f>IFERROR(__xludf.DUMMYFUNCTION("IFERROR(A73 * (1 + AVERAGE(Filter('Inflation Data'!$C:$C,'Inflation Data'!$A:$A = B$1))) + 'Fund YTD Contributions'!B73,'Fund YTD Contributions'!B73)"),0.0)</f>
        <v>0</v>
      </c>
      <c r="C73" s="152">
        <f>IFERROR(__xludf.DUMMYFUNCTION("IFERROR(B73 * (1 + AVERAGE(Filter('Inflation Data'!$C:$C,'Inflation Data'!$A:$A = C$1))) + 'Fund YTD Contributions'!C73,'Fund YTD Contributions'!C73)"),0.0)</f>
        <v>0</v>
      </c>
      <c r="D73" s="152">
        <f>IFERROR(__xludf.DUMMYFUNCTION("IFERROR(C73 * (1 + AVERAGE(Filter('Inflation Data'!$C:$C,'Inflation Data'!$A:$A = D$1))) + 'Fund YTD Contributions'!D73,'Fund YTD Contributions'!D73)"),0.0)</f>
        <v>0</v>
      </c>
      <c r="E73" s="152">
        <f>IFERROR(__xludf.DUMMYFUNCTION("IFERROR(D73 * (1 + AVERAGE(Filter('Inflation Data'!$C:$C,'Inflation Data'!$A:$A = E$1))) + 'Fund YTD Contributions'!E73,'Fund YTD Contributions'!E73)"),0.0)</f>
        <v>0</v>
      </c>
      <c r="F73" s="152">
        <f>IFERROR(__xludf.DUMMYFUNCTION("IFERROR(E73 * (1 + AVERAGE(Filter('Inflation Data'!$C:$C,'Inflation Data'!$A:$A = F$1))) + 'Fund YTD Contributions'!F73,'Fund YTD Contributions'!F73)"),0.0)</f>
        <v>0</v>
      </c>
      <c r="G73" s="152">
        <f>IFERROR(__xludf.DUMMYFUNCTION("IFERROR(F73 * (1 + AVERAGE(Filter('Inflation Data'!$C:$C,'Inflation Data'!$A:$A = G$1))) + 'Fund YTD Contributions'!G73,'Fund YTD Contributions'!G73)"),0.0)</f>
        <v>0</v>
      </c>
      <c r="H73" s="152">
        <f>IFERROR(__xludf.DUMMYFUNCTION("IFERROR(G73 * (1 + AVERAGE(Filter('Inflation Data'!$C:$C,'Inflation Data'!$A:$A = H$1))) + 'Fund YTD Contributions'!H73,'Fund YTD Contributions'!H73)"),0.0)</f>
        <v>0</v>
      </c>
      <c r="I73" s="152">
        <f>IFERROR(__xludf.DUMMYFUNCTION("IFERROR(H73 * (1 + AVERAGE(Filter('Inflation Data'!$C:$C,'Inflation Data'!$A:$A = I$1))) + 'Fund YTD Contributions'!I73,'Fund YTD Contributions'!I73)"),0.0)</f>
        <v>0</v>
      </c>
      <c r="J73" s="152">
        <f>IFERROR(__xludf.DUMMYFUNCTION("IFERROR(I73 * (1 + AVERAGE(Filter('Inflation Data'!$C:$C,'Inflation Data'!$A:$A = J$1))) + 'Fund YTD Contributions'!J73,'Fund YTD Contributions'!J73)"),0.0)</f>
        <v>0</v>
      </c>
      <c r="K73" s="152">
        <f>IFERROR(__xludf.DUMMYFUNCTION("IFERROR(J73 * (1 + AVERAGE(Filter('Inflation Data'!$C:$C,'Inflation Data'!$A:$A = K$1))) + 'Fund YTD Contributions'!K73,'Fund YTD Contributions'!K73)"),0.0)</f>
        <v>0</v>
      </c>
      <c r="L73" s="152">
        <f>IFERROR(__xludf.DUMMYFUNCTION("IFERROR(K73 * (1 + AVERAGE(Filter('Inflation Data'!$C:$C,'Inflation Data'!$A:$A = L$1))) + 'Fund YTD Contributions'!L73,'Fund YTD Contributions'!L73)"),0.0)</f>
        <v>0</v>
      </c>
      <c r="M73" s="152">
        <f>IFERROR(__xludf.DUMMYFUNCTION("IFERROR(L73 * (1 + AVERAGE(Filter('Inflation Data'!$C:$C,'Inflation Data'!$A:$A = M$1))) + 'Fund YTD Contributions'!M73,'Fund YTD Contributions'!M73)"),0.0)</f>
        <v>0</v>
      </c>
      <c r="N73" s="152">
        <f>IFERROR(__xludf.DUMMYFUNCTION("IFERROR(M73 * (1 + AVERAGE(Filter('Inflation Data'!$C:$C,'Inflation Data'!$A:$A = N$1))) + 'Fund YTD Contributions'!N73,'Fund YTD Contributions'!N73)"),0.0)</f>
        <v>0</v>
      </c>
      <c r="O73" s="152">
        <f>IFERROR(__xludf.DUMMYFUNCTION("IFERROR(N73 * (1 + AVERAGE(Filter('Inflation Data'!$C:$C,'Inflation Data'!$A:$A = O$1))) + 'Fund YTD Contributions'!O73,'Fund YTD Contributions'!O73)"),0.0)</f>
        <v>0</v>
      </c>
      <c r="P73" s="152">
        <f>IFERROR(__xludf.DUMMYFUNCTION("IFERROR(O73 * (1 + AVERAGE(Filter('Inflation Data'!$C:$C,'Inflation Data'!$A:$A = P$1))) + 'Fund YTD Contributions'!P73,'Fund YTD Contributions'!P73)"),0.0)</f>
        <v>0</v>
      </c>
      <c r="Q73" s="152">
        <f>IFERROR(__xludf.DUMMYFUNCTION("IFERROR(P73 * (1 + AVERAGE(Filter('Inflation Data'!$C:$C,'Inflation Data'!$A:$A = Q$1))) + 'Fund YTD Contributions'!Q73,'Fund YTD Contributions'!Q73)"),0.0)</f>
        <v>0</v>
      </c>
      <c r="R73" s="152">
        <f>IFERROR(__xludf.DUMMYFUNCTION("IFERROR(Q73 * (1 + AVERAGE(Filter('Inflation Data'!$C:$C,'Inflation Data'!$A:$A = R$1))) + 'Fund YTD Contributions'!R73,'Fund YTD Contributions'!R73)"),0.0)</f>
        <v>0</v>
      </c>
      <c r="S73" s="152">
        <f>IFERROR(__xludf.DUMMYFUNCTION("IFERROR(R73 * (1 + AVERAGE(Filter('Inflation Data'!$C:$C,'Inflation Data'!$A:$A = S$1))) + 'Fund YTD Contributions'!S73,'Fund YTD Contributions'!S73)"),0.0)</f>
        <v>0</v>
      </c>
      <c r="T73" s="152">
        <f>IFERROR(__xludf.DUMMYFUNCTION("IFERROR(S73 * (1 + AVERAGE(Filter('Inflation Data'!$C:$C,'Inflation Data'!$A:$A = T$1))) + 'Fund YTD Contributions'!T73,'Fund YTD Contributions'!T73)"),0.0)</f>
        <v>0</v>
      </c>
      <c r="U73" s="152">
        <f>IFERROR(__xludf.DUMMYFUNCTION("IFERROR(T73 * (1 + AVERAGE(Filter('Inflation Data'!$C:$C,'Inflation Data'!$A:$A = U$1))) + 'Fund YTD Contributions'!U73,'Fund YTD Contributions'!U73)"),0.0)</f>
        <v>0</v>
      </c>
      <c r="V73" s="152">
        <f>IFERROR(__xludf.DUMMYFUNCTION("IFERROR(U73 * (1 + AVERAGE(Filter('Inflation Data'!$C:$C,'Inflation Data'!$A:$A = V$1))) + 'Fund YTD Contributions'!V73,'Fund YTD Contributions'!V73)"),0.0)</f>
        <v>0</v>
      </c>
      <c r="W73" s="152">
        <f>IFERROR(__xludf.DUMMYFUNCTION("IFERROR(V73 * (1 + AVERAGE(Filter('Inflation Data'!$C:$C,'Inflation Data'!$A:$A = W$1))) + 'Fund YTD Contributions'!W73,'Fund YTD Contributions'!W73)"),0.0)</f>
        <v>0</v>
      </c>
      <c r="X73" s="152">
        <f>IFERROR(__xludf.DUMMYFUNCTION("IFERROR(W73 * (1 + AVERAGE(Filter('Inflation Data'!$C:$C,'Inflation Data'!$A:$A = X$1))) + 'Fund YTD Contributions'!X73,'Fund YTD Contributions'!X73)"),0.0)</f>
        <v>0</v>
      </c>
      <c r="Y73" s="152">
        <f>IFERROR(__xludf.DUMMYFUNCTION("IFERROR(X73 * (1 + AVERAGE(Filter('Inflation Data'!$C:$C,'Inflation Data'!$A:$A = Y$1))) + 'Fund YTD Contributions'!Y73,'Fund YTD Contributions'!Y73)"),0.0)</f>
        <v>0</v>
      </c>
      <c r="Z73" s="152">
        <f>IFERROR(__xludf.DUMMYFUNCTION("IFERROR(Y73 * (1 + AVERAGE(Filter('Inflation Data'!$C:$C,'Inflation Data'!$A:$A = Z$1))) + 'Fund YTD Contributions'!Z73,'Fund YTD Contributions'!Z73)"),0.0)</f>
        <v>0</v>
      </c>
      <c r="AA73" s="152">
        <f>IFERROR(__xludf.DUMMYFUNCTION("IFERROR(Z73 * (1 + AVERAGE(Filter('Inflation Data'!$C:$C,'Inflation Data'!$A:$A = AA$1))) + 'Fund YTD Contributions'!AA73,'Fund YTD Contributions'!AA73)"),0.0)</f>
        <v>0</v>
      </c>
      <c r="AB73" s="152">
        <f>IFERROR(__xludf.DUMMYFUNCTION("IFERROR(AA73 * (1 + AVERAGE(Filter('Inflation Data'!$C:$C,'Inflation Data'!$A:$A = AB$1))) + 'Fund YTD Contributions'!AB73,'Fund YTD Contributions'!AB73)"),0.0)</f>
        <v>0</v>
      </c>
      <c r="AC73" s="152">
        <f>IFERROR(__xludf.DUMMYFUNCTION("IFERROR(AB73 * (1 + AVERAGE(Filter('Inflation Data'!$C:$C,'Inflation Data'!$A:$A = AC$1))) + 'Fund YTD Contributions'!AC73,'Fund YTD Contributions'!AC73)"),0.0)</f>
        <v>0</v>
      </c>
      <c r="AD73" s="152">
        <f>IFERROR(__xludf.DUMMYFUNCTION("IFERROR(AC73 * (1 + AVERAGE(Filter('Inflation Data'!$C:$C,'Inflation Data'!$A:$A = AD$1))) + 'Fund YTD Contributions'!AD73,'Fund YTD Contributions'!AD73)"),0.0)</f>
        <v>0</v>
      </c>
      <c r="AE73" s="152">
        <f>IFERROR(__xludf.DUMMYFUNCTION("IFERROR(AD73 * (1 + AVERAGE(Filter('Inflation Data'!$C:$C,'Inflation Data'!$A:$A = AE$1))) + 'Fund YTD Contributions'!AE73,'Fund YTD Contributions'!AE73)"),0.0)</f>
        <v>0</v>
      </c>
      <c r="AF73" s="152">
        <f>IFERROR(__xludf.DUMMYFUNCTION("IFERROR(AE73 * (1 + AVERAGE(Filter('Inflation Data'!$C:$C,'Inflation Data'!$A:$A = AF$1))) + 'Fund YTD Contributions'!AF73,'Fund YTD Contributions'!AF73)"),0.0)</f>
        <v>0</v>
      </c>
    </row>
    <row r="74">
      <c r="A74" s="150" t="str">
        <f>'Endowed Funds'!A:A</f>
        <v/>
      </c>
      <c r="B74" s="152">
        <f>IFERROR(__xludf.DUMMYFUNCTION("IFERROR(A74 * (1 + AVERAGE(Filter('Inflation Data'!$C:$C,'Inflation Data'!$A:$A = B$1))) + 'Fund YTD Contributions'!B74,'Fund YTD Contributions'!B74)"),0.0)</f>
        <v>0</v>
      </c>
      <c r="C74" s="152">
        <f>IFERROR(__xludf.DUMMYFUNCTION("IFERROR(B74 * (1 + AVERAGE(Filter('Inflation Data'!$C:$C,'Inflation Data'!$A:$A = C$1))) + 'Fund YTD Contributions'!C74,'Fund YTD Contributions'!C74)"),0.0)</f>
        <v>0</v>
      </c>
      <c r="D74" s="152">
        <f>IFERROR(__xludf.DUMMYFUNCTION("IFERROR(C74 * (1 + AVERAGE(Filter('Inflation Data'!$C:$C,'Inflation Data'!$A:$A = D$1))) + 'Fund YTD Contributions'!D74,'Fund YTD Contributions'!D74)"),0.0)</f>
        <v>0</v>
      </c>
      <c r="E74" s="152">
        <f>IFERROR(__xludf.DUMMYFUNCTION("IFERROR(D74 * (1 + AVERAGE(Filter('Inflation Data'!$C:$C,'Inflation Data'!$A:$A = E$1))) + 'Fund YTD Contributions'!E74,'Fund YTD Contributions'!E74)"),0.0)</f>
        <v>0</v>
      </c>
      <c r="F74" s="152">
        <f>IFERROR(__xludf.DUMMYFUNCTION("IFERROR(E74 * (1 + AVERAGE(Filter('Inflation Data'!$C:$C,'Inflation Data'!$A:$A = F$1))) + 'Fund YTD Contributions'!F74,'Fund YTD Contributions'!F74)"),0.0)</f>
        <v>0</v>
      </c>
      <c r="G74" s="152">
        <f>IFERROR(__xludf.DUMMYFUNCTION("IFERROR(F74 * (1 + AVERAGE(Filter('Inflation Data'!$C:$C,'Inflation Data'!$A:$A = G$1))) + 'Fund YTD Contributions'!G74,'Fund YTD Contributions'!G74)"),0.0)</f>
        <v>0</v>
      </c>
      <c r="H74" s="152">
        <f>IFERROR(__xludf.DUMMYFUNCTION("IFERROR(G74 * (1 + AVERAGE(Filter('Inflation Data'!$C:$C,'Inflation Data'!$A:$A = H$1))) + 'Fund YTD Contributions'!H74,'Fund YTD Contributions'!H74)"),0.0)</f>
        <v>0</v>
      </c>
      <c r="I74" s="152">
        <f>IFERROR(__xludf.DUMMYFUNCTION("IFERROR(H74 * (1 + AVERAGE(Filter('Inflation Data'!$C:$C,'Inflation Data'!$A:$A = I$1))) + 'Fund YTD Contributions'!I74,'Fund YTD Contributions'!I74)"),0.0)</f>
        <v>0</v>
      </c>
      <c r="J74" s="152">
        <f>IFERROR(__xludf.DUMMYFUNCTION("IFERROR(I74 * (1 + AVERAGE(Filter('Inflation Data'!$C:$C,'Inflation Data'!$A:$A = J$1))) + 'Fund YTD Contributions'!J74,'Fund YTD Contributions'!J74)"),0.0)</f>
        <v>0</v>
      </c>
      <c r="K74" s="152">
        <f>IFERROR(__xludf.DUMMYFUNCTION("IFERROR(J74 * (1 + AVERAGE(Filter('Inflation Data'!$C:$C,'Inflation Data'!$A:$A = K$1))) + 'Fund YTD Contributions'!K74,'Fund YTD Contributions'!K74)"),0.0)</f>
        <v>0</v>
      </c>
      <c r="L74" s="152">
        <f>IFERROR(__xludf.DUMMYFUNCTION("IFERROR(K74 * (1 + AVERAGE(Filter('Inflation Data'!$C:$C,'Inflation Data'!$A:$A = L$1))) + 'Fund YTD Contributions'!L74,'Fund YTD Contributions'!L74)"),0.0)</f>
        <v>0</v>
      </c>
      <c r="M74" s="152">
        <f>IFERROR(__xludf.DUMMYFUNCTION("IFERROR(L74 * (1 + AVERAGE(Filter('Inflation Data'!$C:$C,'Inflation Data'!$A:$A = M$1))) + 'Fund YTD Contributions'!M74,'Fund YTD Contributions'!M74)"),0.0)</f>
        <v>0</v>
      </c>
      <c r="N74" s="152">
        <f>IFERROR(__xludf.DUMMYFUNCTION("IFERROR(M74 * (1 + AVERAGE(Filter('Inflation Data'!$C:$C,'Inflation Data'!$A:$A = N$1))) + 'Fund YTD Contributions'!N74,'Fund YTD Contributions'!N74)"),0.0)</f>
        <v>0</v>
      </c>
      <c r="O74" s="152">
        <f>IFERROR(__xludf.DUMMYFUNCTION("IFERROR(N74 * (1 + AVERAGE(Filter('Inflation Data'!$C:$C,'Inflation Data'!$A:$A = O$1))) + 'Fund YTD Contributions'!O74,'Fund YTD Contributions'!O74)"),0.0)</f>
        <v>0</v>
      </c>
      <c r="P74" s="152">
        <f>IFERROR(__xludf.DUMMYFUNCTION("IFERROR(O74 * (1 + AVERAGE(Filter('Inflation Data'!$C:$C,'Inflation Data'!$A:$A = P$1))) + 'Fund YTD Contributions'!P74,'Fund YTD Contributions'!P74)"),0.0)</f>
        <v>0</v>
      </c>
      <c r="Q74" s="152">
        <f>IFERROR(__xludf.DUMMYFUNCTION("IFERROR(P74 * (1 + AVERAGE(Filter('Inflation Data'!$C:$C,'Inflation Data'!$A:$A = Q$1))) + 'Fund YTD Contributions'!Q74,'Fund YTD Contributions'!Q74)"),0.0)</f>
        <v>0</v>
      </c>
      <c r="R74" s="152">
        <f>IFERROR(__xludf.DUMMYFUNCTION("IFERROR(Q74 * (1 + AVERAGE(Filter('Inflation Data'!$C:$C,'Inflation Data'!$A:$A = R$1))) + 'Fund YTD Contributions'!R74,'Fund YTD Contributions'!R74)"),0.0)</f>
        <v>0</v>
      </c>
      <c r="S74" s="152">
        <f>IFERROR(__xludf.DUMMYFUNCTION("IFERROR(R74 * (1 + AVERAGE(Filter('Inflation Data'!$C:$C,'Inflation Data'!$A:$A = S$1))) + 'Fund YTD Contributions'!S74,'Fund YTD Contributions'!S74)"),0.0)</f>
        <v>0</v>
      </c>
      <c r="T74" s="152">
        <f>IFERROR(__xludf.DUMMYFUNCTION("IFERROR(S74 * (1 + AVERAGE(Filter('Inflation Data'!$C:$C,'Inflation Data'!$A:$A = T$1))) + 'Fund YTD Contributions'!T74,'Fund YTD Contributions'!T74)"),0.0)</f>
        <v>0</v>
      </c>
      <c r="U74" s="152">
        <f>IFERROR(__xludf.DUMMYFUNCTION("IFERROR(T74 * (1 + AVERAGE(Filter('Inflation Data'!$C:$C,'Inflation Data'!$A:$A = U$1))) + 'Fund YTD Contributions'!U74,'Fund YTD Contributions'!U74)"),0.0)</f>
        <v>0</v>
      </c>
      <c r="V74" s="152">
        <f>IFERROR(__xludf.DUMMYFUNCTION("IFERROR(U74 * (1 + AVERAGE(Filter('Inflation Data'!$C:$C,'Inflation Data'!$A:$A = V$1))) + 'Fund YTD Contributions'!V74,'Fund YTD Contributions'!V74)"),0.0)</f>
        <v>0</v>
      </c>
      <c r="W74" s="152">
        <f>IFERROR(__xludf.DUMMYFUNCTION("IFERROR(V74 * (1 + AVERAGE(Filter('Inflation Data'!$C:$C,'Inflation Data'!$A:$A = W$1))) + 'Fund YTD Contributions'!W74,'Fund YTD Contributions'!W74)"),0.0)</f>
        <v>0</v>
      </c>
      <c r="X74" s="152">
        <f>IFERROR(__xludf.DUMMYFUNCTION("IFERROR(W74 * (1 + AVERAGE(Filter('Inflation Data'!$C:$C,'Inflation Data'!$A:$A = X$1))) + 'Fund YTD Contributions'!X74,'Fund YTD Contributions'!X74)"),0.0)</f>
        <v>0</v>
      </c>
      <c r="Y74" s="152">
        <f>IFERROR(__xludf.DUMMYFUNCTION("IFERROR(X74 * (1 + AVERAGE(Filter('Inflation Data'!$C:$C,'Inflation Data'!$A:$A = Y$1))) + 'Fund YTD Contributions'!Y74,'Fund YTD Contributions'!Y74)"),0.0)</f>
        <v>0</v>
      </c>
      <c r="Z74" s="152">
        <f>IFERROR(__xludf.DUMMYFUNCTION("IFERROR(Y74 * (1 + AVERAGE(Filter('Inflation Data'!$C:$C,'Inflation Data'!$A:$A = Z$1))) + 'Fund YTD Contributions'!Z74,'Fund YTD Contributions'!Z74)"),0.0)</f>
        <v>0</v>
      </c>
      <c r="AA74" s="152">
        <f>IFERROR(__xludf.DUMMYFUNCTION("IFERROR(Z74 * (1 + AVERAGE(Filter('Inflation Data'!$C:$C,'Inflation Data'!$A:$A = AA$1))) + 'Fund YTD Contributions'!AA74,'Fund YTD Contributions'!AA74)"),0.0)</f>
        <v>0</v>
      </c>
      <c r="AB74" s="152">
        <f>IFERROR(__xludf.DUMMYFUNCTION("IFERROR(AA74 * (1 + AVERAGE(Filter('Inflation Data'!$C:$C,'Inflation Data'!$A:$A = AB$1))) + 'Fund YTD Contributions'!AB74,'Fund YTD Contributions'!AB74)"),0.0)</f>
        <v>0</v>
      </c>
      <c r="AC74" s="152">
        <f>IFERROR(__xludf.DUMMYFUNCTION("IFERROR(AB74 * (1 + AVERAGE(Filter('Inflation Data'!$C:$C,'Inflation Data'!$A:$A = AC$1))) + 'Fund YTD Contributions'!AC74,'Fund YTD Contributions'!AC74)"),0.0)</f>
        <v>0</v>
      </c>
      <c r="AD74" s="152">
        <f>IFERROR(__xludf.DUMMYFUNCTION("IFERROR(AC74 * (1 + AVERAGE(Filter('Inflation Data'!$C:$C,'Inflation Data'!$A:$A = AD$1))) + 'Fund YTD Contributions'!AD74,'Fund YTD Contributions'!AD74)"),0.0)</f>
        <v>0</v>
      </c>
      <c r="AE74" s="152">
        <f>IFERROR(__xludf.DUMMYFUNCTION("IFERROR(AD74 * (1 + AVERAGE(Filter('Inflation Data'!$C:$C,'Inflation Data'!$A:$A = AE$1))) + 'Fund YTD Contributions'!AE74,'Fund YTD Contributions'!AE74)"),0.0)</f>
        <v>0</v>
      </c>
      <c r="AF74" s="152">
        <f>IFERROR(__xludf.DUMMYFUNCTION("IFERROR(AE74 * (1 + AVERAGE(Filter('Inflation Data'!$C:$C,'Inflation Data'!$A:$A = AF$1))) + 'Fund YTD Contributions'!AF74,'Fund YTD Contributions'!AF74)"),0.0)</f>
        <v>0</v>
      </c>
    </row>
    <row r="75">
      <c r="A75" s="150" t="str">
        <f>'Endowed Funds'!A:A</f>
        <v/>
      </c>
      <c r="B75" s="152">
        <f>IFERROR(__xludf.DUMMYFUNCTION("IFERROR(A75 * (1 + AVERAGE(Filter('Inflation Data'!$C:$C,'Inflation Data'!$A:$A = B$1))) + 'Fund YTD Contributions'!B75,'Fund YTD Contributions'!B75)"),0.0)</f>
        <v>0</v>
      </c>
      <c r="C75" s="152">
        <f>IFERROR(__xludf.DUMMYFUNCTION("IFERROR(B75 * (1 + AVERAGE(Filter('Inflation Data'!$C:$C,'Inflation Data'!$A:$A = C$1))) + 'Fund YTD Contributions'!C75,'Fund YTD Contributions'!C75)"),0.0)</f>
        <v>0</v>
      </c>
      <c r="D75" s="152">
        <f>IFERROR(__xludf.DUMMYFUNCTION("IFERROR(C75 * (1 + AVERAGE(Filter('Inflation Data'!$C:$C,'Inflation Data'!$A:$A = D$1))) + 'Fund YTD Contributions'!D75,'Fund YTD Contributions'!D75)"),0.0)</f>
        <v>0</v>
      </c>
      <c r="E75" s="152">
        <f>IFERROR(__xludf.DUMMYFUNCTION("IFERROR(D75 * (1 + AVERAGE(Filter('Inflation Data'!$C:$C,'Inflation Data'!$A:$A = E$1))) + 'Fund YTD Contributions'!E75,'Fund YTD Contributions'!E75)"),0.0)</f>
        <v>0</v>
      </c>
      <c r="F75" s="152">
        <f>IFERROR(__xludf.DUMMYFUNCTION("IFERROR(E75 * (1 + AVERAGE(Filter('Inflation Data'!$C:$C,'Inflation Data'!$A:$A = F$1))) + 'Fund YTD Contributions'!F75,'Fund YTD Contributions'!F75)"),0.0)</f>
        <v>0</v>
      </c>
      <c r="G75" s="152">
        <f>IFERROR(__xludf.DUMMYFUNCTION("IFERROR(F75 * (1 + AVERAGE(Filter('Inflation Data'!$C:$C,'Inflation Data'!$A:$A = G$1))) + 'Fund YTD Contributions'!G75,'Fund YTD Contributions'!G75)"),0.0)</f>
        <v>0</v>
      </c>
      <c r="H75" s="152">
        <f>IFERROR(__xludf.DUMMYFUNCTION("IFERROR(G75 * (1 + AVERAGE(Filter('Inflation Data'!$C:$C,'Inflation Data'!$A:$A = H$1))) + 'Fund YTD Contributions'!H75,'Fund YTD Contributions'!H75)"),0.0)</f>
        <v>0</v>
      </c>
      <c r="I75" s="152">
        <f>IFERROR(__xludf.DUMMYFUNCTION("IFERROR(H75 * (1 + AVERAGE(Filter('Inflation Data'!$C:$C,'Inflation Data'!$A:$A = I$1))) + 'Fund YTD Contributions'!I75,'Fund YTD Contributions'!I75)"),0.0)</f>
        <v>0</v>
      </c>
      <c r="J75" s="152">
        <f>IFERROR(__xludf.DUMMYFUNCTION("IFERROR(I75 * (1 + AVERAGE(Filter('Inflation Data'!$C:$C,'Inflation Data'!$A:$A = J$1))) + 'Fund YTD Contributions'!J75,'Fund YTD Contributions'!J75)"),0.0)</f>
        <v>0</v>
      </c>
      <c r="K75" s="152">
        <f>IFERROR(__xludf.DUMMYFUNCTION("IFERROR(J75 * (1 + AVERAGE(Filter('Inflation Data'!$C:$C,'Inflation Data'!$A:$A = K$1))) + 'Fund YTD Contributions'!K75,'Fund YTD Contributions'!K75)"),0.0)</f>
        <v>0</v>
      </c>
      <c r="L75" s="152">
        <f>IFERROR(__xludf.DUMMYFUNCTION("IFERROR(K75 * (1 + AVERAGE(Filter('Inflation Data'!$C:$C,'Inflation Data'!$A:$A = L$1))) + 'Fund YTD Contributions'!L75,'Fund YTD Contributions'!L75)"),0.0)</f>
        <v>0</v>
      </c>
      <c r="M75" s="152">
        <f>IFERROR(__xludf.DUMMYFUNCTION("IFERROR(L75 * (1 + AVERAGE(Filter('Inflation Data'!$C:$C,'Inflation Data'!$A:$A = M$1))) + 'Fund YTD Contributions'!M75,'Fund YTD Contributions'!M75)"),0.0)</f>
        <v>0</v>
      </c>
      <c r="N75" s="152">
        <f>IFERROR(__xludf.DUMMYFUNCTION("IFERROR(M75 * (1 + AVERAGE(Filter('Inflation Data'!$C:$C,'Inflation Data'!$A:$A = N$1))) + 'Fund YTD Contributions'!N75,'Fund YTD Contributions'!N75)"),0.0)</f>
        <v>0</v>
      </c>
      <c r="O75" s="152">
        <f>IFERROR(__xludf.DUMMYFUNCTION("IFERROR(N75 * (1 + AVERAGE(Filter('Inflation Data'!$C:$C,'Inflation Data'!$A:$A = O$1))) + 'Fund YTD Contributions'!O75,'Fund YTD Contributions'!O75)"),0.0)</f>
        <v>0</v>
      </c>
      <c r="P75" s="152">
        <f>IFERROR(__xludf.DUMMYFUNCTION("IFERROR(O75 * (1 + AVERAGE(Filter('Inflation Data'!$C:$C,'Inflation Data'!$A:$A = P$1))) + 'Fund YTD Contributions'!P75,'Fund YTD Contributions'!P75)"),0.0)</f>
        <v>0</v>
      </c>
      <c r="Q75" s="152">
        <f>IFERROR(__xludf.DUMMYFUNCTION("IFERROR(P75 * (1 + AVERAGE(Filter('Inflation Data'!$C:$C,'Inflation Data'!$A:$A = Q$1))) + 'Fund YTD Contributions'!Q75,'Fund YTD Contributions'!Q75)"),0.0)</f>
        <v>0</v>
      </c>
      <c r="R75" s="152">
        <f>IFERROR(__xludf.DUMMYFUNCTION("IFERROR(Q75 * (1 + AVERAGE(Filter('Inflation Data'!$C:$C,'Inflation Data'!$A:$A = R$1))) + 'Fund YTD Contributions'!R75,'Fund YTD Contributions'!R75)"),0.0)</f>
        <v>0</v>
      </c>
      <c r="S75" s="152">
        <f>IFERROR(__xludf.DUMMYFUNCTION("IFERROR(R75 * (1 + AVERAGE(Filter('Inflation Data'!$C:$C,'Inflation Data'!$A:$A = S$1))) + 'Fund YTD Contributions'!S75,'Fund YTD Contributions'!S75)"),0.0)</f>
        <v>0</v>
      </c>
      <c r="T75" s="152">
        <f>IFERROR(__xludf.DUMMYFUNCTION("IFERROR(S75 * (1 + AVERAGE(Filter('Inflation Data'!$C:$C,'Inflation Data'!$A:$A = T$1))) + 'Fund YTD Contributions'!T75,'Fund YTD Contributions'!T75)"),0.0)</f>
        <v>0</v>
      </c>
      <c r="U75" s="152">
        <f>IFERROR(__xludf.DUMMYFUNCTION("IFERROR(T75 * (1 + AVERAGE(Filter('Inflation Data'!$C:$C,'Inflation Data'!$A:$A = U$1))) + 'Fund YTD Contributions'!U75,'Fund YTD Contributions'!U75)"),0.0)</f>
        <v>0</v>
      </c>
      <c r="V75" s="152">
        <f>IFERROR(__xludf.DUMMYFUNCTION("IFERROR(U75 * (1 + AVERAGE(Filter('Inflation Data'!$C:$C,'Inflation Data'!$A:$A = V$1))) + 'Fund YTD Contributions'!V75,'Fund YTD Contributions'!V75)"),0.0)</f>
        <v>0</v>
      </c>
      <c r="W75" s="152">
        <f>IFERROR(__xludf.DUMMYFUNCTION("IFERROR(V75 * (1 + AVERAGE(Filter('Inflation Data'!$C:$C,'Inflation Data'!$A:$A = W$1))) + 'Fund YTD Contributions'!W75,'Fund YTD Contributions'!W75)"),0.0)</f>
        <v>0</v>
      </c>
      <c r="X75" s="152">
        <f>IFERROR(__xludf.DUMMYFUNCTION("IFERROR(W75 * (1 + AVERAGE(Filter('Inflation Data'!$C:$C,'Inflation Data'!$A:$A = X$1))) + 'Fund YTD Contributions'!X75,'Fund YTD Contributions'!X75)"),0.0)</f>
        <v>0</v>
      </c>
      <c r="Y75" s="152">
        <f>IFERROR(__xludf.DUMMYFUNCTION("IFERROR(X75 * (1 + AVERAGE(Filter('Inflation Data'!$C:$C,'Inflation Data'!$A:$A = Y$1))) + 'Fund YTD Contributions'!Y75,'Fund YTD Contributions'!Y75)"),0.0)</f>
        <v>0</v>
      </c>
      <c r="Z75" s="152">
        <f>IFERROR(__xludf.DUMMYFUNCTION("IFERROR(Y75 * (1 + AVERAGE(Filter('Inflation Data'!$C:$C,'Inflation Data'!$A:$A = Z$1))) + 'Fund YTD Contributions'!Z75,'Fund YTD Contributions'!Z75)"),0.0)</f>
        <v>0</v>
      </c>
      <c r="AA75" s="152">
        <f>IFERROR(__xludf.DUMMYFUNCTION("IFERROR(Z75 * (1 + AVERAGE(Filter('Inflation Data'!$C:$C,'Inflation Data'!$A:$A = AA$1))) + 'Fund YTD Contributions'!AA75,'Fund YTD Contributions'!AA75)"),0.0)</f>
        <v>0</v>
      </c>
      <c r="AB75" s="152">
        <f>IFERROR(__xludf.DUMMYFUNCTION("IFERROR(AA75 * (1 + AVERAGE(Filter('Inflation Data'!$C:$C,'Inflation Data'!$A:$A = AB$1))) + 'Fund YTD Contributions'!AB75,'Fund YTD Contributions'!AB75)"),0.0)</f>
        <v>0</v>
      </c>
      <c r="AC75" s="152">
        <f>IFERROR(__xludf.DUMMYFUNCTION("IFERROR(AB75 * (1 + AVERAGE(Filter('Inflation Data'!$C:$C,'Inflation Data'!$A:$A = AC$1))) + 'Fund YTD Contributions'!AC75,'Fund YTD Contributions'!AC75)"),0.0)</f>
        <v>0</v>
      </c>
      <c r="AD75" s="152">
        <f>IFERROR(__xludf.DUMMYFUNCTION("IFERROR(AC75 * (1 + AVERAGE(Filter('Inflation Data'!$C:$C,'Inflation Data'!$A:$A = AD$1))) + 'Fund YTD Contributions'!AD75,'Fund YTD Contributions'!AD75)"),0.0)</f>
        <v>0</v>
      </c>
      <c r="AE75" s="152">
        <f>IFERROR(__xludf.DUMMYFUNCTION("IFERROR(AD75 * (1 + AVERAGE(Filter('Inflation Data'!$C:$C,'Inflation Data'!$A:$A = AE$1))) + 'Fund YTD Contributions'!AE75,'Fund YTD Contributions'!AE75)"),0.0)</f>
        <v>0</v>
      </c>
      <c r="AF75" s="152">
        <f>IFERROR(__xludf.DUMMYFUNCTION("IFERROR(AE75 * (1 + AVERAGE(Filter('Inflation Data'!$C:$C,'Inflation Data'!$A:$A = AF$1))) + 'Fund YTD Contributions'!AF75,'Fund YTD Contributions'!AF75)"),0.0)</f>
        <v>0</v>
      </c>
    </row>
    <row r="76">
      <c r="A76" s="150" t="str">
        <f>'Endowed Funds'!A:A</f>
        <v/>
      </c>
      <c r="B76" s="152">
        <f>IFERROR(__xludf.DUMMYFUNCTION("IFERROR(A76 * (1 + AVERAGE(Filter('Inflation Data'!$C:$C,'Inflation Data'!$A:$A = B$1))) + 'Fund YTD Contributions'!B76,'Fund YTD Contributions'!B76)"),0.0)</f>
        <v>0</v>
      </c>
      <c r="C76" s="152">
        <f>IFERROR(__xludf.DUMMYFUNCTION("IFERROR(B76 * (1 + AVERAGE(Filter('Inflation Data'!$C:$C,'Inflation Data'!$A:$A = C$1))) + 'Fund YTD Contributions'!C76,'Fund YTD Contributions'!C76)"),0.0)</f>
        <v>0</v>
      </c>
      <c r="D76" s="152">
        <f>IFERROR(__xludf.DUMMYFUNCTION("IFERROR(C76 * (1 + AVERAGE(Filter('Inflation Data'!$C:$C,'Inflation Data'!$A:$A = D$1))) + 'Fund YTD Contributions'!D76,'Fund YTD Contributions'!D76)"),0.0)</f>
        <v>0</v>
      </c>
      <c r="E76" s="152">
        <f>IFERROR(__xludf.DUMMYFUNCTION("IFERROR(D76 * (1 + AVERAGE(Filter('Inflation Data'!$C:$C,'Inflation Data'!$A:$A = E$1))) + 'Fund YTD Contributions'!E76,'Fund YTD Contributions'!E76)"),0.0)</f>
        <v>0</v>
      </c>
      <c r="F76" s="152">
        <f>IFERROR(__xludf.DUMMYFUNCTION("IFERROR(E76 * (1 + AVERAGE(Filter('Inflation Data'!$C:$C,'Inflation Data'!$A:$A = F$1))) + 'Fund YTD Contributions'!F76,'Fund YTD Contributions'!F76)"),0.0)</f>
        <v>0</v>
      </c>
      <c r="G76" s="152">
        <f>IFERROR(__xludf.DUMMYFUNCTION("IFERROR(F76 * (1 + AVERAGE(Filter('Inflation Data'!$C:$C,'Inflation Data'!$A:$A = G$1))) + 'Fund YTD Contributions'!G76,'Fund YTD Contributions'!G76)"),0.0)</f>
        <v>0</v>
      </c>
      <c r="H76" s="152">
        <f>IFERROR(__xludf.DUMMYFUNCTION("IFERROR(G76 * (1 + AVERAGE(Filter('Inflation Data'!$C:$C,'Inflation Data'!$A:$A = H$1))) + 'Fund YTD Contributions'!H76,'Fund YTD Contributions'!H76)"),0.0)</f>
        <v>0</v>
      </c>
      <c r="I76" s="152">
        <f>IFERROR(__xludf.DUMMYFUNCTION("IFERROR(H76 * (1 + AVERAGE(Filter('Inflation Data'!$C:$C,'Inflation Data'!$A:$A = I$1))) + 'Fund YTD Contributions'!I76,'Fund YTD Contributions'!I76)"),0.0)</f>
        <v>0</v>
      </c>
      <c r="J76" s="152">
        <f>IFERROR(__xludf.DUMMYFUNCTION("IFERROR(I76 * (1 + AVERAGE(Filter('Inflation Data'!$C:$C,'Inflation Data'!$A:$A = J$1))) + 'Fund YTD Contributions'!J76,'Fund YTD Contributions'!J76)"),0.0)</f>
        <v>0</v>
      </c>
      <c r="K76" s="152">
        <f>IFERROR(__xludf.DUMMYFUNCTION("IFERROR(J76 * (1 + AVERAGE(Filter('Inflation Data'!$C:$C,'Inflation Data'!$A:$A = K$1))) + 'Fund YTD Contributions'!K76,'Fund YTD Contributions'!K76)"),0.0)</f>
        <v>0</v>
      </c>
      <c r="L76" s="152">
        <f>IFERROR(__xludf.DUMMYFUNCTION("IFERROR(K76 * (1 + AVERAGE(Filter('Inflation Data'!$C:$C,'Inflation Data'!$A:$A = L$1))) + 'Fund YTD Contributions'!L76,'Fund YTD Contributions'!L76)"),0.0)</f>
        <v>0</v>
      </c>
      <c r="M76" s="152">
        <f>IFERROR(__xludf.DUMMYFUNCTION("IFERROR(L76 * (1 + AVERAGE(Filter('Inflation Data'!$C:$C,'Inflation Data'!$A:$A = M$1))) + 'Fund YTD Contributions'!M76,'Fund YTD Contributions'!M76)"),0.0)</f>
        <v>0</v>
      </c>
      <c r="N76" s="152">
        <f>IFERROR(__xludf.DUMMYFUNCTION("IFERROR(M76 * (1 + AVERAGE(Filter('Inflation Data'!$C:$C,'Inflation Data'!$A:$A = N$1))) + 'Fund YTD Contributions'!N76,'Fund YTD Contributions'!N76)"),0.0)</f>
        <v>0</v>
      </c>
      <c r="O76" s="152">
        <f>IFERROR(__xludf.DUMMYFUNCTION("IFERROR(N76 * (1 + AVERAGE(Filter('Inflation Data'!$C:$C,'Inflation Data'!$A:$A = O$1))) + 'Fund YTD Contributions'!O76,'Fund YTD Contributions'!O76)"),0.0)</f>
        <v>0</v>
      </c>
      <c r="P76" s="152">
        <f>IFERROR(__xludf.DUMMYFUNCTION("IFERROR(O76 * (1 + AVERAGE(Filter('Inflation Data'!$C:$C,'Inflation Data'!$A:$A = P$1))) + 'Fund YTD Contributions'!P76,'Fund YTD Contributions'!P76)"),0.0)</f>
        <v>0</v>
      </c>
      <c r="Q76" s="152">
        <f>IFERROR(__xludf.DUMMYFUNCTION("IFERROR(P76 * (1 + AVERAGE(Filter('Inflation Data'!$C:$C,'Inflation Data'!$A:$A = Q$1))) + 'Fund YTD Contributions'!Q76,'Fund YTD Contributions'!Q76)"),0.0)</f>
        <v>0</v>
      </c>
      <c r="R76" s="152">
        <f>IFERROR(__xludf.DUMMYFUNCTION("IFERROR(Q76 * (1 + AVERAGE(Filter('Inflation Data'!$C:$C,'Inflation Data'!$A:$A = R$1))) + 'Fund YTD Contributions'!R76,'Fund YTD Contributions'!R76)"),0.0)</f>
        <v>0</v>
      </c>
      <c r="S76" s="152">
        <f>IFERROR(__xludf.DUMMYFUNCTION("IFERROR(R76 * (1 + AVERAGE(Filter('Inflation Data'!$C:$C,'Inflation Data'!$A:$A = S$1))) + 'Fund YTD Contributions'!S76,'Fund YTD Contributions'!S76)"),0.0)</f>
        <v>0</v>
      </c>
      <c r="T76" s="152">
        <f>IFERROR(__xludf.DUMMYFUNCTION("IFERROR(S76 * (1 + AVERAGE(Filter('Inflation Data'!$C:$C,'Inflation Data'!$A:$A = T$1))) + 'Fund YTD Contributions'!T76,'Fund YTD Contributions'!T76)"),0.0)</f>
        <v>0</v>
      </c>
      <c r="U76" s="152">
        <f>IFERROR(__xludf.DUMMYFUNCTION("IFERROR(T76 * (1 + AVERAGE(Filter('Inflation Data'!$C:$C,'Inflation Data'!$A:$A = U$1))) + 'Fund YTD Contributions'!U76,'Fund YTD Contributions'!U76)"),0.0)</f>
        <v>0</v>
      </c>
      <c r="V76" s="152">
        <f>IFERROR(__xludf.DUMMYFUNCTION("IFERROR(U76 * (1 + AVERAGE(Filter('Inflation Data'!$C:$C,'Inflation Data'!$A:$A = V$1))) + 'Fund YTD Contributions'!V76,'Fund YTD Contributions'!V76)"),0.0)</f>
        <v>0</v>
      </c>
      <c r="W76" s="152">
        <f>IFERROR(__xludf.DUMMYFUNCTION("IFERROR(V76 * (1 + AVERAGE(Filter('Inflation Data'!$C:$C,'Inflation Data'!$A:$A = W$1))) + 'Fund YTD Contributions'!W76,'Fund YTD Contributions'!W76)"),0.0)</f>
        <v>0</v>
      </c>
      <c r="X76" s="152">
        <f>IFERROR(__xludf.DUMMYFUNCTION("IFERROR(W76 * (1 + AVERAGE(Filter('Inflation Data'!$C:$C,'Inflation Data'!$A:$A = X$1))) + 'Fund YTD Contributions'!X76,'Fund YTD Contributions'!X76)"),0.0)</f>
        <v>0</v>
      </c>
      <c r="Y76" s="152">
        <f>IFERROR(__xludf.DUMMYFUNCTION("IFERROR(X76 * (1 + AVERAGE(Filter('Inflation Data'!$C:$C,'Inflation Data'!$A:$A = Y$1))) + 'Fund YTD Contributions'!Y76,'Fund YTD Contributions'!Y76)"),0.0)</f>
        <v>0</v>
      </c>
      <c r="Z76" s="152">
        <f>IFERROR(__xludf.DUMMYFUNCTION("IFERROR(Y76 * (1 + AVERAGE(Filter('Inflation Data'!$C:$C,'Inflation Data'!$A:$A = Z$1))) + 'Fund YTD Contributions'!Z76,'Fund YTD Contributions'!Z76)"),0.0)</f>
        <v>0</v>
      </c>
      <c r="AA76" s="152">
        <f>IFERROR(__xludf.DUMMYFUNCTION("IFERROR(Z76 * (1 + AVERAGE(Filter('Inflation Data'!$C:$C,'Inflation Data'!$A:$A = AA$1))) + 'Fund YTD Contributions'!AA76,'Fund YTD Contributions'!AA76)"),0.0)</f>
        <v>0</v>
      </c>
      <c r="AB76" s="152">
        <f>IFERROR(__xludf.DUMMYFUNCTION("IFERROR(AA76 * (1 + AVERAGE(Filter('Inflation Data'!$C:$C,'Inflation Data'!$A:$A = AB$1))) + 'Fund YTD Contributions'!AB76,'Fund YTD Contributions'!AB76)"),0.0)</f>
        <v>0</v>
      </c>
      <c r="AC76" s="152">
        <f>IFERROR(__xludf.DUMMYFUNCTION("IFERROR(AB76 * (1 + AVERAGE(Filter('Inflation Data'!$C:$C,'Inflation Data'!$A:$A = AC$1))) + 'Fund YTD Contributions'!AC76,'Fund YTD Contributions'!AC76)"),0.0)</f>
        <v>0</v>
      </c>
      <c r="AD76" s="152">
        <f>IFERROR(__xludf.DUMMYFUNCTION("IFERROR(AC76 * (1 + AVERAGE(Filter('Inflation Data'!$C:$C,'Inflation Data'!$A:$A = AD$1))) + 'Fund YTD Contributions'!AD76,'Fund YTD Contributions'!AD76)"),0.0)</f>
        <v>0</v>
      </c>
      <c r="AE76" s="152">
        <f>IFERROR(__xludf.DUMMYFUNCTION("IFERROR(AD76 * (1 + AVERAGE(Filter('Inflation Data'!$C:$C,'Inflation Data'!$A:$A = AE$1))) + 'Fund YTD Contributions'!AE76,'Fund YTD Contributions'!AE76)"),0.0)</f>
        <v>0</v>
      </c>
      <c r="AF76" s="152">
        <f>IFERROR(__xludf.DUMMYFUNCTION("IFERROR(AE76 * (1 + AVERAGE(Filter('Inflation Data'!$C:$C,'Inflation Data'!$A:$A = AF$1))) + 'Fund YTD Contributions'!AF76,'Fund YTD Contributions'!AF76)"),0.0)</f>
        <v>0</v>
      </c>
    </row>
    <row r="77">
      <c r="A77" s="150" t="str">
        <f>'Endowed Funds'!A:A</f>
        <v/>
      </c>
      <c r="B77" s="152">
        <f>IFERROR(__xludf.DUMMYFUNCTION("IFERROR(A77 * (1 + AVERAGE(Filter('Inflation Data'!$C:$C,'Inflation Data'!$A:$A = B$1))) + 'Fund YTD Contributions'!B77,'Fund YTD Contributions'!B77)"),0.0)</f>
        <v>0</v>
      </c>
      <c r="C77" s="152">
        <f>IFERROR(__xludf.DUMMYFUNCTION("IFERROR(B77 * (1 + AVERAGE(Filter('Inflation Data'!$C:$C,'Inflation Data'!$A:$A = C$1))) + 'Fund YTD Contributions'!C77,'Fund YTD Contributions'!C77)"),0.0)</f>
        <v>0</v>
      </c>
      <c r="D77" s="152">
        <f>IFERROR(__xludf.DUMMYFUNCTION("IFERROR(C77 * (1 + AVERAGE(Filter('Inflation Data'!$C:$C,'Inflation Data'!$A:$A = D$1))) + 'Fund YTD Contributions'!D77,'Fund YTD Contributions'!D77)"),0.0)</f>
        <v>0</v>
      </c>
      <c r="E77" s="152">
        <f>IFERROR(__xludf.DUMMYFUNCTION("IFERROR(D77 * (1 + AVERAGE(Filter('Inflation Data'!$C:$C,'Inflation Data'!$A:$A = E$1))) + 'Fund YTD Contributions'!E77,'Fund YTD Contributions'!E77)"),0.0)</f>
        <v>0</v>
      </c>
      <c r="F77" s="152">
        <f>IFERROR(__xludf.DUMMYFUNCTION("IFERROR(E77 * (1 + AVERAGE(Filter('Inflation Data'!$C:$C,'Inflation Data'!$A:$A = F$1))) + 'Fund YTD Contributions'!F77,'Fund YTD Contributions'!F77)"),0.0)</f>
        <v>0</v>
      </c>
      <c r="G77" s="152">
        <f>IFERROR(__xludf.DUMMYFUNCTION("IFERROR(F77 * (1 + AVERAGE(Filter('Inflation Data'!$C:$C,'Inflation Data'!$A:$A = G$1))) + 'Fund YTD Contributions'!G77,'Fund YTD Contributions'!G77)"),0.0)</f>
        <v>0</v>
      </c>
      <c r="H77" s="152">
        <f>IFERROR(__xludf.DUMMYFUNCTION("IFERROR(G77 * (1 + AVERAGE(Filter('Inflation Data'!$C:$C,'Inflation Data'!$A:$A = H$1))) + 'Fund YTD Contributions'!H77,'Fund YTD Contributions'!H77)"),0.0)</f>
        <v>0</v>
      </c>
      <c r="I77" s="152">
        <f>IFERROR(__xludf.DUMMYFUNCTION("IFERROR(H77 * (1 + AVERAGE(Filter('Inflation Data'!$C:$C,'Inflation Data'!$A:$A = I$1))) + 'Fund YTD Contributions'!I77,'Fund YTD Contributions'!I77)"),0.0)</f>
        <v>0</v>
      </c>
      <c r="J77" s="152">
        <f>IFERROR(__xludf.DUMMYFUNCTION("IFERROR(I77 * (1 + AVERAGE(Filter('Inflation Data'!$C:$C,'Inflation Data'!$A:$A = J$1))) + 'Fund YTD Contributions'!J77,'Fund YTD Contributions'!J77)"),0.0)</f>
        <v>0</v>
      </c>
      <c r="K77" s="152">
        <f>IFERROR(__xludf.DUMMYFUNCTION("IFERROR(J77 * (1 + AVERAGE(Filter('Inflation Data'!$C:$C,'Inflation Data'!$A:$A = K$1))) + 'Fund YTD Contributions'!K77,'Fund YTD Contributions'!K77)"),0.0)</f>
        <v>0</v>
      </c>
      <c r="L77" s="152">
        <f>IFERROR(__xludf.DUMMYFUNCTION("IFERROR(K77 * (1 + AVERAGE(Filter('Inflation Data'!$C:$C,'Inflation Data'!$A:$A = L$1))) + 'Fund YTD Contributions'!L77,'Fund YTD Contributions'!L77)"),0.0)</f>
        <v>0</v>
      </c>
      <c r="M77" s="152">
        <f>IFERROR(__xludf.DUMMYFUNCTION("IFERROR(L77 * (1 + AVERAGE(Filter('Inflation Data'!$C:$C,'Inflation Data'!$A:$A = M$1))) + 'Fund YTD Contributions'!M77,'Fund YTD Contributions'!M77)"),0.0)</f>
        <v>0</v>
      </c>
      <c r="N77" s="152">
        <f>IFERROR(__xludf.DUMMYFUNCTION("IFERROR(M77 * (1 + AVERAGE(Filter('Inflation Data'!$C:$C,'Inflation Data'!$A:$A = N$1))) + 'Fund YTD Contributions'!N77,'Fund YTD Contributions'!N77)"),0.0)</f>
        <v>0</v>
      </c>
      <c r="O77" s="152">
        <f>IFERROR(__xludf.DUMMYFUNCTION("IFERROR(N77 * (1 + AVERAGE(Filter('Inflation Data'!$C:$C,'Inflation Data'!$A:$A = O$1))) + 'Fund YTD Contributions'!O77,'Fund YTD Contributions'!O77)"),0.0)</f>
        <v>0</v>
      </c>
      <c r="P77" s="152">
        <f>IFERROR(__xludf.DUMMYFUNCTION("IFERROR(O77 * (1 + AVERAGE(Filter('Inflation Data'!$C:$C,'Inflation Data'!$A:$A = P$1))) + 'Fund YTD Contributions'!P77,'Fund YTD Contributions'!P77)"),0.0)</f>
        <v>0</v>
      </c>
      <c r="Q77" s="152">
        <f>IFERROR(__xludf.DUMMYFUNCTION("IFERROR(P77 * (1 + AVERAGE(Filter('Inflation Data'!$C:$C,'Inflation Data'!$A:$A = Q$1))) + 'Fund YTD Contributions'!Q77,'Fund YTD Contributions'!Q77)"),0.0)</f>
        <v>0</v>
      </c>
      <c r="R77" s="152">
        <f>IFERROR(__xludf.DUMMYFUNCTION("IFERROR(Q77 * (1 + AVERAGE(Filter('Inflation Data'!$C:$C,'Inflation Data'!$A:$A = R$1))) + 'Fund YTD Contributions'!R77,'Fund YTD Contributions'!R77)"),0.0)</f>
        <v>0</v>
      </c>
      <c r="S77" s="152">
        <f>IFERROR(__xludf.DUMMYFUNCTION("IFERROR(R77 * (1 + AVERAGE(Filter('Inflation Data'!$C:$C,'Inflation Data'!$A:$A = S$1))) + 'Fund YTD Contributions'!S77,'Fund YTD Contributions'!S77)"),0.0)</f>
        <v>0</v>
      </c>
      <c r="T77" s="152">
        <f>IFERROR(__xludf.DUMMYFUNCTION("IFERROR(S77 * (1 + AVERAGE(Filter('Inflation Data'!$C:$C,'Inflation Data'!$A:$A = T$1))) + 'Fund YTD Contributions'!T77,'Fund YTD Contributions'!T77)"),0.0)</f>
        <v>0</v>
      </c>
      <c r="U77" s="152">
        <f>IFERROR(__xludf.DUMMYFUNCTION("IFERROR(T77 * (1 + AVERAGE(Filter('Inflation Data'!$C:$C,'Inflation Data'!$A:$A = U$1))) + 'Fund YTD Contributions'!U77,'Fund YTD Contributions'!U77)"),0.0)</f>
        <v>0</v>
      </c>
      <c r="V77" s="152">
        <f>IFERROR(__xludf.DUMMYFUNCTION("IFERROR(U77 * (1 + AVERAGE(Filter('Inflation Data'!$C:$C,'Inflation Data'!$A:$A = V$1))) + 'Fund YTD Contributions'!V77,'Fund YTD Contributions'!V77)"),0.0)</f>
        <v>0</v>
      </c>
      <c r="W77" s="152">
        <f>IFERROR(__xludf.DUMMYFUNCTION("IFERROR(V77 * (1 + AVERAGE(Filter('Inflation Data'!$C:$C,'Inflation Data'!$A:$A = W$1))) + 'Fund YTD Contributions'!W77,'Fund YTD Contributions'!W77)"),0.0)</f>
        <v>0</v>
      </c>
      <c r="X77" s="152">
        <f>IFERROR(__xludf.DUMMYFUNCTION("IFERROR(W77 * (1 + AVERAGE(Filter('Inflation Data'!$C:$C,'Inflation Data'!$A:$A = X$1))) + 'Fund YTD Contributions'!X77,'Fund YTD Contributions'!X77)"),0.0)</f>
        <v>0</v>
      </c>
      <c r="Y77" s="152">
        <f>IFERROR(__xludf.DUMMYFUNCTION("IFERROR(X77 * (1 + AVERAGE(Filter('Inflation Data'!$C:$C,'Inflation Data'!$A:$A = Y$1))) + 'Fund YTD Contributions'!Y77,'Fund YTD Contributions'!Y77)"),0.0)</f>
        <v>0</v>
      </c>
      <c r="Z77" s="152">
        <f>IFERROR(__xludf.DUMMYFUNCTION("IFERROR(Y77 * (1 + AVERAGE(Filter('Inflation Data'!$C:$C,'Inflation Data'!$A:$A = Z$1))) + 'Fund YTD Contributions'!Z77,'Fund YTD Contributions'!Z77)"),0.0)</f>
        <v>0</v>
      </c>
      <c r="AA77" s="152">
        <f>IFERROR(__xludf.DUMMYFUNCTION("IFERROR(Z77 * (1 + AVERAGE(Filter('Inflation Data'!$C:$C,'Inflation Data'!$A:$A = AA$1))) + 'Fund YTD Contributions'!AA77,'Fund YTD Contributions'!AA77)"),0.0)</f>
        <v>0</v>
      </c>
      <c r="AB77" s="152">
        <f>IFERROR(__xludf.DUMMYFUNCTION("IFERROR(AA77 * (1 + AVERAGE(Filter('Inflation Data'!$C:$C,'Inflation Data'!$A:$A = AB$1))) + 'Fund YTD Contributions'!AB77,'Fund YTD Contributions'!AB77)"),0.0)</f>
        <v>0</v>
      </c>
      <c r="AC77" s="152">
        <f>IFERROR(__xludf.DUMMYFUNCTION("IFERROR(AB77 * (1 + AVERAGE(Filter('Inflation Data'!$C:$C,'Inflation Data'!$A:$A = AC$1))) + 'Fund YTD Contributions'!AC77,'Fund YTD Contributions'!AC77)"),0.0)</f>
        <v>0</v>
      </c>
      <c r="AD77" s="152">
        <f>IFERROR(__xludf.DUMMYFUNCTION("IFERROR(AC77 * (1 + AVERAGE(Filter('Inflation Data'!$C:$C,'Inflation Data'!$A:$A = AD$1))) + 'Fund YTD Contributions'!AD77,'Fund YTD Contributions'!AD77)"),0.0)</f>
        <v>0</v>
      </c>
      <c r="AE77" s="152">
        <f>IFERROR(__xludf.DUMMYFUNCTION("IFERROR(AD77 * (1 + AVERAGE(Filter('Inflation Data'!$C:$C,'Inflation Data'!$A:$A = AE$1))) + 'Fund YTD Contributions'!AE77,'Fund YTD Contributions'!AE77)"),0.0)</f>
        <v>0</v>
      </c>
      <c r="AF77" s="152">
        <f>IFERROR(__xludf.DUMMYFUNCTION("IFERROR(AE77 * (1 + AVERAGE(Filter('Inflation Data'!$C:$C,'Inflation Data'!$A:$A = AF$1))) + 'Fund YTD Contributions'!AF77,'Fund YTD Contributions'!AF77)"),0.0)</f>
        <v>0</v>
      </c>
    </row>
    <row r="78">
      <c r="A78" s="150" t="str">
        <f>'Endowed Funds'!A:A</f>
        <v/>
      </c>
      <c r="B78" s="152">
        <f>IFERROR(__xludf.DUMMYFUNCTION("IFERROR(A78 * (1 + AVERAGE(Filter('Inflation Data'!$C:$C,'Inflation Data'!$A:$A = B$1))) + 'Fund YTD Contributions'!B78,'Fund YTD Contributions'!B78)"),0.0)</f>
        <v>0</v>
      </c>
      <c r="C78" s="152">
        <f>IFERROR(__xludf.DUMMYFUNCTION("IFERROR(B78 * (1 + AVERAGE(Filter('Inflation Data'!$C:$C,'Inflation Data'!$A:$A = C$1))) + 'Fund YTD Contributions'!C78,'Fund YTD Contributions'!C78)"),0.0)</f>
        <v>0</v>
      </c>
      <c r="D78" s="152">
        <f>IFERROR(__xludf.DUMMYFUNCTION("IFERROR(C78 * (1 + AVERAGE(Filter('Inflation Data'!$C:$C,'Inflation Data'!$A:$A = D$1))) + 'Fund YTD Contributions'!D78,'Fund YTD Contributions'!D78)"),0.0)</f>
        <v>0</v>
      </c>
      <c r="E78" s="152">
        <f>IFERROR(__xludf.DUMMYFUNCTION("IFERROR(D78 * (1 + AVERAGE(Filter('Inflation Data'!$C:$C,'Inflation Data'!$A:$A = E$1))) + 'Fund YTD Contributions'!E78,'Fund YTD Contributions'!E78)"),0.0)</f>
        <v>0</v>
      </c>
      <c r="F78" s="152">
        <f>IFERROR(__xludf.DUMMYFUNCTION("IFERROR(E78 * (1 + AVERAGE(Filter('Inflation Data'!$C:$C,'Inflation Data'!$A:$A = F$1))) + 'Fund YTD Contributions'!F78,'Fund YTD Contributions'!F78)"),0.0)</f>
        <v>0</v>
      </c>
      <c r="G78" s="152">
        <f>IFERROR(__xludf.DUMMYFUNCTION("IFERROR(F78 * (1 + AVERAGE(Filter('Inflation Data'!$C:$C,'Inflation Data'!$A:$A = G$1))) + 'Fund YTD Contributions'!G78,'Fund YTD Contributions'!G78)"),0.0)</f>
        <v>0</v>
      </c>
      <c r="H78" s="152">
        <f>IFERROR(__xludf.DUMMYFUNCTION("IFERROR(G78 * (1 + AVERAGE(Filter('Inflation Data'!$C:$C,'Inflation Data'!$A:$A = H$1))) + 'Fund YTD Contributions'!H78,'Fund YTD Contributions'!H78)"),0.0)</f>
        <v>0</v>
      </c>
      <c r="I78" s="152">
        <f>IFERROR(__xludf.DUMMYFUNCTION("IFERROR(H78 * (1 + AVERAGE(Filter('Inflation Data'!$C:$C,'Inflation Data'!$A:$A = I$1))) + 'Fund YTD Contributions'!I78,'Fund YTD Contributions'!I78)"),0.0)</f>
        <v>0</v>
      </c>
      <c r="J78" s="152">
        <f>IFERROR(__xludf.DUMMYFUNCTION("IFERROR(I78 * (1 + AVERAGE(Filter('Inflation Data'!$C:$C,'Inflation Data'!$A:$A = J$1))) + 'Fund YTD Contributions'!J78,'Fund YTD Contributions'!J78)"),0.0)</f>
        <v>0</v>
      </c>
      <c r="K78" s="152">
        <f>IFERROR(__xludf.DUMMYFUNCTION("IFERROR(J78 * (1 + AVERAGE(Filter('Inflation Data'!$C:$C,'Inflation Data'!$A:$A = K$1))) + 'Fund YTD Contributions'!K78,'Fund YTD Contributions'!K78)"),0.0)</f>
        <v>0</v>
      </c>
      <c r="L78" s="152">
        <f>IFERROR(__xludf.DUMMYFUNCTION("IFERROR(K78 * (1 + AVERAGE(Filter('Inflation Data'!$C:$C,'Inflation Data'!$A:$A = L$1))) + 'Fund YTD Contributions'!L78,'Fund YTD Contributions'!L78)"),0.0)</f>
        <v>0</v>
      </c>
      <c r="M78" s="152">
        <f>IFERROR(__xludf.DUMMYFUNCTION("IFERROR(L78 * (1 + AVERAGE(Filter('Inflation Data'!$C:$C,'Inflation Data'!$A:$A = M$1))) + 'Fund YTD Contributions'!M78,'Fund YTD Contributions'!M78)"),0.0)</f>
        <v>0</v>
      </c>
      <c r="N78" s="152">
        <f>IFERROR(__xludf.DUMMYFUNCTION("IFERROR(M78 * (1 + AVERAGE(Filter('Inflation Data'!$C:$C,'Inflation Data'!$A:$A = N$1))) + 'Fund YTD Contributions'!N78,'Fund YTD Contributions'!N78)"),0.0)</f>
        <v>0</v>
      </c>
      <c r="O78" s="152">
        <f>IFERROR(__xludf.DUMMYFUNCTION("IFERROR(N78 * (1 + AVERAGE(Filter('Inflation Data'!$C:$C,'Inflation Data'!$A:$A = O$1))) + 'Fund YTD Contributions'!O78,'Fund YTD Contributions'!O78)"),0.0)</f>
        <v>0</v>
      </c>
      <c r="P78" s="152">
        <f>IFERROR(__xludf.DUMMYFUNCTION("IFERROR(O78 * (1 + AVERAGE(Filter('Inflation Data'!$C:$C,'Inflation Data'!$A:$A = P$1))) + 'Fund YTD Contributions'!P78,'Fund YTD Contributions'!P78)"),0.0)</f>
        <v>0</v>
      </c>
      <c r="Q78" s="152">
        <f>IFERROR(__xludf.DUMMYFUNCTION("IFERROR(P78 * (1 + AVERAGE(Filter('Inflation Data'!$C:$C,'Inflation Data'!$A:$A = Q$1))) + 'Fund YTD Contributions'!Q78,'Fund YTD Contributions'!Q78)"),0.0)</f>
        <v>0</v>
      </c>
      <c r="R78" s="152">
        <f>IFERROR(__xludf.DUMMYFUNCTION("IFERROR(Q78 * (1 + AVERAGE(Filter('Inflation Data'!$C:$C,'Inflation Data'!$A:$A = R$1))) + 'Fund YTD Contributions'!R78,'Fund YTD Contributions'!R78)"),0.0)</f>
        <v>0</v>
      </c>
      <c r="S78" s="152">
        <f>IFERROR(__xludf.DUMMYFUNCTION("IFERROR(R78 * (1 + AVERAGE(Filter('Inflation Data'!$C:$C,'Inflation Data'!$A:$A = S$1))) + 'Fund YTD Contributions'!S78,'Fund YTD Contributions'!S78)"),0.0)</f>
        <v>0</v>
      </c>
      <c r="T78" s="152">
        <f>IFERROR(__xludf.DUMMYFUNCTION("IFERROR(S78 * (1 + AVERAGE(Filter('Inflation Data'!$C:$C,'Inflation Data'!$A:$A = T$1))) + 'Fund YTD Contributions'!T78,'Fund YTD Contributions'!T78)"),0.0)</f>
        <v>0</v>
      </c>
      <c r="U78" s="152">
        <f>IFERROR(__xludf.DUMMYFUNCTION("IFERROR(T78 * (1 + AVERAGE(Filter('Inflation Data'!$C:$C,'Inflation Data'!$A:$A = U$1))) + 'Fund YTD Contributions'!U78,'Fund YTD Contributions'!U78)"),0.0)</f>
        <v>0</v>
      </c>
      <c r="V78" s="152">
        <f>IFERROR(__xludf.DUMMYFUNCTION("IFERROR(U78 * (1 + AVERAGE(Filter('Inflation Data'!$C:$C,'Inflation Data'!$A:$A = V$1))) + 'Fund YTD Contributions'!V78,'Fund YTD Contributions'!V78)"),0.0)</f>
        <v>0</v>
      </c>
      <c r="W78" s="152">
        <f>IFERROR(__xludf.DUMMYFUNCTION("IFERROR(V78 * (1 + AVERAGE(Filter('Inflation Data'!$C:$C,'Inflation Data'!$A:$A = W$1))) + 'Fund YTD Contributions'!W78,'Fund YTD Contributions'!W78)"),0.0)</f>
        <v>0</v>
      </c>
      <c r="X78" s="152">
        <f>IFERROR(__xludf.DUMMYFUNCTION("IFERROR(W78 * (1 + AVERAGE(Filter('Inflation Data'!$C:$C,'Inflation Data'!$A:$A = X$1))) + 'Fund YTD Contributions'!X78,'Fund YTD Contributions'!X78)"),0.0)</f>
        <v>0</v>
      </c>
      <c r="Y78" s="152">
        <f>IFERROR(__xludf.DUMMYFUNCTION("IFERROR(X78 * (1 + AVERAGE(Filter('Inflation Data'!$C:$C,'Inflation Data'!$A:$A = Y$1))) + 'Fund YTD Contributions'!Y78,'Fund YTD Contributions'!Y78)"),0.0)</f>
        <v>0</v>
      </c>
      <c r="Z78" s="152">
        <f>IFERROR(__xludf.DUMMYFUNCTION("IFERROR(Y78 * (1 + AVERAGE(Filter('Inflation Data'!$C:$C,'Inflation Data'!$A:$A = Z$1))) + 'Fund YTD Contributions'!Z78,'Fund YTD Contributions'!Z78)"),0.0)</f>
        <v>0</v>
      </c>
      <c r="AA78" s="152">
        <f>IFERROR(__xludf.DUMMYFUNCTION("IFERROR(Z78 * (1 + AVERAGE(Filter('Inflation Data'!$C:$C,'Inflation Data'!$A:$A = AA$1))) + 'Fund YTD Contributions'!AA78,'Fund YTD Contributions'!AA78)"),0.0)</f>
        <v>0</v>
      </c>
      <c r="AB78" s="152">
        <f>IFERROR(__xludf.DUMMYFUNCTION("IFERROR(AA78 * (1 + AVERAGE(Filter('Inflation Data'!$C:$C,'Inflation Data'!$A:$A = AB$1))) + 'Fund YTD Contributions'!AB78,'Fund YTD Contributions'!AB78)"),0.0)</f>
        <v>0</v>
      </c>
      <c r="AC78" s="152">
        <f>IFERROR(__xludf.DUMMYFUNCTION("IFERROR(AB78 * (1 + AVERAGE(Filter('Inflation Data'!$C:$C,'Inflation Data'!$A:$A = AC$1))) + 'Fund YTD Contributions'!AC78,'Fund YTD Contributions'!AC78)"),0.0)</f>
        <v>0</v>
      </c>
      <c r="AD78" s="152">
        <f>IFERROR(__xludf.DUMMYFUNCTION("IFERROR(AC78 * (1 + AVERAGE(Filter('Inflation Data'!$C:$C,'Inflation Data'!$A:$A = AD$1))) + 'Fund YTD Contributions'!AD78,'Fund YTD Contributions'!AD78)"),0.0)</f>
        <v>0</v>
      </c>
      <c r="AE78" s="152">
        <f>IFERROR(__xludf.DUMMYFUNCTION("IFERROR(AD78 * (1 + AVERAGE(Filter('Inflation Data'!$C:$C,'Inflation Data'!$A:$A = AE$1))) + 'Fund YTD Contributions'!AE78,'Fund YTD Contributions'!AE78)"),0.0)</f>
        <v>0</v>
      </c>
      <c r="AF78" s="152">
        <f>IFERROR(__xludf.DUMMYFUNCTION("IFERROR(AE78 * (1 + AVERAGE(Filter('Inflation Data'!$C:$C,'Inflation Data'!$A:$A = AF$1))) + 'Fund YTD Contributions'!AF78,'Fund YTD Contributions'!AF78)"),0.0)</f>
        <v>0</v>
      </c>
    </row>
    <row r="79">
      <c r="A79" s="150" t="str">
        <f>'Endowed Funds'!A:A</f>
        <v/>
      </c>
      <c r="B79" s="152">
        <f>IFERROR(__xludf.DUMMYFUNCTION("IFERROR(A79 * (1 + AVERAGE(Filter('Inflation Data'!$C:$C,'Inflation Data'!$A:$A = B$1))) + 'Fund YTD Contributions'!B79,'Fund YTD Contributions'!B79)"),0.0)</f>
        <v>0</v>
      </c>
      <c r="C79" s="152">
        <f>IFERROR(__xludf.DUMMYFUNCTION("IFERROR(B79 * (1 + AVERAGE(Filter('Inflation Data'!$C:$C,'Inflation Data'!$A:$A = C$1))) + 'Fund YTD Contributions'!C79,'Fund YTD Contributions'!C79)"),0.0)</f>
        <v>0</v>
      </c>
      <c r="D79" s="152">
        <f>IFERROR(__xludf.DUMMYFUNCTION("IFERROR(C79 * (1 + AVERAGE(Filter('Inflation Data'!$C:$C,'Inflation Data'!$A:$A = D$1))) + 'Fund YTD Contributions'!D79,'Fund YTD Contributions'!D79)"),0.0)</f>
        <v>0</v>
      </c>
      <c r="E79" s="152">
        <f>IFERROR(__xludf.DUMMYFUNCTION("IFERROR(D79 * (1 + AVERAGE(Filter('Inflation Data'!$C:$C,'Inflation Data'!$A:$A = E$1))) + 'Fund YTD Contributions'!E79,'Fund YTD Contributions'!E79)"),0.0)</f>
        <v>0</v>
      </c>
      <c r="F79" s="152">
        <f>IFERROR(__xludf.DUMMYFUNCTION("IFERROR(E79 * (1 + AVERAGE(Filter('Inflation Data'!$C:$C,'Inflation Data'!$A:$A = F$1))) + 'Fund YTD Contributions'!F79,'Fund YTD Contributions'!F79)"),0.0)</f>
        <v>0</v>
      </c>
      <c r="G79" s="152">
        <f>IFERROR(__xludf.DUMMYFUNCTION("IFERROR(F79 * (1 + AVERAGE(Filter('Inflation Data'!$C:$C,'Inflation Data'!$A:$A = G$1))) + 'Fund YTD Contributions'!G79,'Fund YTD Contributions'!G79)"),0.0)</f>
        <v>0</v>
      </c>
      <c r="H79" s="152">
        <f>IFERROR(__xludf.DUMMYFUNCTION("IFERROR(G79 * (1 + AVERAGE(Filter('Inflation Data'!$C:$C,'Inflation Data'!$A:$A = H$1))) + 'Fund YTD Contributions'!H79,'Fund YTD Contributions'!H79)"),0.0)</f>
        <v>0</v>
      </c>
      <c r="I79" s="152">
        <f>IFERROR(__xludf.DUMMYFUNCTION("IFERROR(H79 * (1 + AVERAGE(Filter('Inflation Data'!$C:$C,'Inflation Data'!$A:$A = I$1))) + 'Fund YTD Contributions'!I79,'Fund YTD Contributions'!I79)"),0.0)</f>
        <v>0</v>
      </c>
      <c r="J79" s="152">
        <f>IFERROR(__xludf.DUMMYFUNCTION("IFERROR(I79 * (1 + AVERAGE(Filter('Inflation Data'!$C:$C,'Inflation Data'!$A:$A = J$1))) + 'Fund YTD Contributions'!J79,'Fund YTD Contributions'!J79)"),0.0)</f>
        <v>0</v>
      </c>
      <c r="K79" s="152">
        <f>IFERROR(__xludf.DUMMYFUNCTION("IFERROR(J79 * (1 + AVERAGE(Filter('Inflation Data'!$C:$C,'Inflation Data'!$A:$A = K$1))) + 'Fund YTD Contributions'!K79,'Fund YTD Contributions'!K79)"),0.0)</f>
        <v>0</v>
      </c>
      <c r="L79" s="152">
        <f>IFERROR(__xludf.DUMMYFUNCTION("IFERROR(K79 * (1 + AVERAGE(Filter('Inflation Data'!$C:$C,'Inflation Data'!$A:$A = L$1))) + 'Fund YTD Contributions'!L79,'Fund YTD Contributions'!L79)"),0.0)</f>
        <v>0</v>
      </c>
      <c r="M79" s="152">
        <f>IFERROR(__xludf.DUMMYFUNCTION("IFERROR(L79 * (1 + AVERAGE(Filter('Inflation Data'!$C:$C,'Inflation Data'!$A:$A = M$1))) + 'Fund YTD Contributions'!M79,'Fund YTD Contributions'!M79)"),0.0)</f>
        <v>0</v>
      </c>
      <c r="N79" s="152">
        <f>IFERROR(__xludf.DUMMYFUNCTION("IFERROR(M79 * (1 + AVERAGE(Filter('Inflation Data'!$C:$C,'Inflation Data'!$A:$A = N$1))) + 'Fund YTD Contributions'!N79,'Fund YTD Contributions'!N79)"),0.0)</f>
        <v>0</v>
      </c>
      <c r="O79" s="152">
        <f>IFERROR(__xludf.DUMMYFUNCTION("IFERROR(N79 * (1 + AVERAGE(Filter('Inflation Data'!$C:$C,'Inflation Data'!$A:$A = O$1))) + 'Fund YTD Contributions'!O79,'Fund YTD Contributions'!O79)"),0.0)</f>
        <v>0</v>
      </c>
      <c r="P79" s="152">
        <f>IFERROR(__xludf.DUMMYFUNCTION("IFERROR(O79 * (1 + AVERAGE(Filter('Inflation Data'!$C:$C,'Inflation Data'!$A:$A = P$1))) + 'Fund YTD Contributions'!P79,'Fund YTD Contributions'!P79)"),0.0)</f>
        <v>0</v>
      </c>
      <c r="Q79" s="152">
        <f>IFERROR(__xludf.DUMMYFUNCTION("IFERROR(P79 * (1 + AVERAGE(Filter('Inflation Data'!$C:$C,'Inflation Data'!$A:$A = Q$1))) + 'Fund YTD Contributions'!Q79,'Fund YTD Contributions'!Q79)"),0.0)</f>
        <v>0</v>
      </c>
      <c r="R79" s="152">
        <f>IFERROR(__xludf.DUMMYFUNCTION("IFERROR(Q79 * (1 + AVERAGE(Filter('Inflation Data'!$C:$C,'Inflation Data'!$A:$A = R$1))) + 'Fund YTD Contributions'!R79,'Fund YTD Contributions'!R79)"),0.0)</f>
        <v>0</v>
      </c>
      <c r="S79" s="152">
        <f>IFERROR(__xludf.DUMMYFUNCTION("IFERROR(R79 * (1 + AVERAGE(Filter('Inflation Data'!$C:$C,'Inflation Data'!$A:$A = S$1))) + 'Fund YTD Contributions'!S79,'Fund YTD Contributions'!S79)"),0.0)</f>
        <v>0</v>
      </c>
      <c r="T79" s="152">
        <f>IFERROR(__xludf.DUMMYFUNCTION("IFERROR(S79 * (1 + AVERAGE(Filter('Inflation Data'!$C:$C,'Inflation Data'!$A:$A = T$1))) + 'Fund YTD Contributions'!T79,'Fund YTD Contributions'!T79)"),0.0)</f>
        <v>0</v>
      </c>
      <c r="U79" s="152">
        <f>IFERROR(__xludf.DUMMYFUNCTION("IFERROR(T79 * (1 + AVERAGE(Filter('Inflation Data'!$C:$C,'Inflation Data'!$A:$A = U$1))) + 'Fund YTD Contributions'!U79,'Fund YTD Contributions'!U79)"),0.0)</f>
        <v>0</v>
      </c>
      <c r="V79" s="152">
        <f>IFERROR(__xludf.DUMMYFUNCTION("IFERROR(U79 * (1 + AVERAGE(Filter('Inflation Data'!$C:$C,'Inflation Data'!$A:$A = V$1))) + 'Fund YTD Contributions'!V79,'Fund YTD Contributions'!V79)"),0.0)</f>
        <v>0</v>
      </c>
      <c r="W79" s="152">
        <f>IFERROR(__xludf.DUMMYFUNCTION("IFERROR(V79 * (1 + AVERAGE(Filter('Inflation Data'!$C:$C,'Inflation Data'!$A:$A = W$1))) + 'Fund YTD Contributions'!W79,'Fund YTD Contributions'!W79)"),0.0)</f>
        <v>0</v>
      </c>
      <c r="X79" s="152">
        <f>IFERROR(__xludf.DUMMYFUNCTION("IFERROR(W79 * (1 + AVERAGE(Filter('Inflation Data'!$C:$C,'Inflation Data'!$A:$A = X$1))) + 'Fund YTD Contributions'!X79,'Fund YTD Contributions'!X79)"),0.0)</f>
        <v>0</v>
      </c>
      <c r="Y79" s="152">
        <f>IFERROR(__xludf.DUMMYFUNCTION("IFERROR(X79 * (1 + AVERAGE(Filter('Inflation Data'!$C:$C,'Inflation Data'!$A:$A = Y$1))) + 'Fund YTD Contributions'!Y79,'Fund YTD Contributions'!Y79)"),0.0)</f>
        <v>0</v>
      </c>
      <c r="Z79" s="152">
        <f>IFERROR(__xludf.DUMMYFUNCTION("IFERROR(Y79 * (1 + AVERAGE(Filter('Inflation Data'!$C:$C,'Inflation Data'!$A:$A = Z$1))) + 'Fund YTD Contributions'!Z79,'Fund YTD Contributions'!Z79)"),0.0)</f>
        <v>0</v>
      </c>
      <c r="AA79" s="152">
        <f>IFERROR(__xludf.DUMMYFUNCTION("IFERROR(Z79 * (1 + AVERAGE(Filter('Inflation Data'!$C:$C,'Inflation Data'!$A:$A = AA$1))) + 'Fund YTD Contributions'!AA79,'Fund YTD Contributions'!AA79)"),0.0)</f>
        <v>0</v>
      </c>
      <c r="AB79" s="152">
        <f>IFERROR(__xludf.DUMMYFUNCTION("IFERROR(AA79 * (1 + AVERAGE(Filter('Inflation Data'!$C:$C,'Inflation Data'!$A:$A = AB$1))) + 'Fund YTD Contributions'!AB79,'Fund YTD Contributions'!AB79)"),0.0)</f>
        <v>0</v>
      </c>
      <c r="AC79" s="152">
        <f>IFERROR(__xludf.DUMMYFUNCTION("IFERROR(AB79 * (1 + AVERAGE(Filter('Inflation Data'!$C:$C,'Inflation Data'!$A:$A = AC$1))) + 'Fund YTD Contributions'!AC79,'Fund YTD Contributions'!AC79)"),0.0)</f>
        <v>0</v>
      </c>
      <c r="AD79" s="152">
        <f>IFERROR(__xludf.DUMMYFUNCTION("IFERROR(AC79 * (1 + AVERAGE(Filter('Inflation Data'!$C:$C,'Inflation Data'!$A:$A = AD$1))) + 'Fund YTD Contributions'!AD79,'Fund YTD Contributions'!AD79)"),0.0)</f>
        <v>0</v>
      </c>
      <c r="AE79" s="152">
        <f>IFERROR(__xludf.DUMMYFUNCTION("IFERROR(AD79 * (1 + AVERAGE(Filter('Inflation Data'!$C:$C,'Inflation Data'!$A:$A = AE$1))) + 'Fund YTD Contributions'!AE79,'Fund YTD Contributions'!AE79)"),0.0)</f>
        <v>0</v>
      </c>
      <c r="AF79" s="152">
        <f>IFERROR(__xludf.DUMMYFUNCTION("IFERROR(AE79 * (1 + AVERAGE(Filter('Inflation Data'!$C:$C,'Inflation Data'!$A:$A = AF$1))) + 'Fund YTD Contributions'!AF79,'Fund YTD Contributions'!AF79)"),0.0)</f>
        <v>0</v>
      </c>
    </row>
    <row r="80">
      <c r="A80" s="150" t="str">
        <f>'Endowed Funds'!A:A</f>
        <v/>
      </c>
      <c r="B80" s="152">
        <f>IFERROR(__xludf.DUMMYFUNCTION("IFERROR(A80 * (1 + AVERAGE(Filter('Inflation Data'!$C:$C,'Inflation Data'!$A:$A = B$1))) + 'Fund YTD Contributions'!B80,'Fund YTD Contributions'!B80)"),0.0)</f>
        <v>0</v>
      </c>
      <c r="C80" s="152">
        <f>IFERROR(__xludf.DUMMYFUNCTION("IFERROR(B80 * (1 + AVERAGE(Filter('Inflation Data'!$C:$C,'Inflation Data'!$A:$A = C$1))) + 'Fund YTD Contributions'!C80,'Fund YTD Contributions'!C80)"),0.0)</f>
        <v>0</v>
      </c>
      <c r="D80" s="152">
        <f>IFERROR(__xludf.DUMMYFUNCTION("IFERROR(C80 * (1 + AVERAGE(Filter('Inflation Data'!$C:$C,'Inflation Data'!$A:$A = D$1))) + 'Fund YTD Contributions'!D80,'Fund YTD Contributions'!D80)"),0.0)</f>
        <v>0</v>
      </c>
      <c r="E80" s="152">
        <f>IFERROR(__xludf.DUMMYFUNCTION("IFERROR(D80 * (1 + AVERAGE(Filter('Inflation Data'!$C:$C,'Inflation Data'!$A:$A = E$1))) + 'Fund YTD Contributions'!E80,'Fund YTD Contributions'!E80)"),0.0)</f>
        <v>0</v>
      </c>
      <c r="F80" s="152">
        <f>IFERROR(__xludf.DUMMYFUNCTION("IFERROR(E80 * (1 + AVERAGE(Filter('Inflation Data'!$C:$C,'Inflation Data'!$A:$A = F$1))) + 'Fund YTD Contributions'!F80,'Fund YTD Contributions'!F80)"),0.0)</f>
        <v>0</v>
      </c>
      <c r="G80" s="152">
        <f>IFERROR(__xludf.DUMMYFUNCTION("IFERROR(F80 * (1 + AVERAGE(Filter('Inflation Data'!$C:$C,'Inflation Data'!$A:$A = G$1))) + 'Fund YTD Contributions'!G80,'Fund YTD Contributions'!G80)"),0.0)</f>
        <v>0</v>
      </c>
      <c r="H80" s="152">
        <f>IFERROR(__xludf.DUMMYFUNCTION("IFERROR(G80 * (1 + AVERAGE(Filter('Inflation Data'!$C:$C,'Inflation Data'!$A:$A = H$1))) + 'Fund YTD Contributions'!H80,'Fund YTD Contributions'!H80)"),0.0)</f>
        <v>0</v>
      </c>
      <c r="I80" s="152">
        <f>IFERROR(__xludf.DUMMYFUNCTION("IFERROR(H80 * (1 + AVERAGE(Filter('Inflation Data'!$C:$C,'Inflation Data'!$A:$A = I$1))) + 'Fund YTD Contributions'!I80,'Fund YTD Contributions'!I80)"),0.0)</f>
        <v>0</v>
      </c>
      <c r="J80" s="152">
        <f>IFERROR(__xludf.DUMMYFUNCTION("IFERROR(I80 * (1 + AVERAGE(Filter('Inflation Data'!$C:$C,'Inflation Data'!$A:$A = J$1))) + 'Fund YTD Contributions'!J80,'Fund YTD Contributions'!J80)"),0.0)</f>
        <v>0</v>
      </c>
      <c r="K80" s="152">
        <f>IFERROR(__xludf.DUMMYFUNCTION("IFERROR(J80 * (1 + AVERAGE(Filter('Inflation Data'!$C:$C,'Inflation Data'!$A:$A = K$1))) + 'Fund YTD Contributions'!K80,'Fund YTD Contributions'!K80)"),0.0)</f>
        <v>0</v>
      </c>
      <c r="L80" s="152">
        <f>IFERROR(__xludf.DUMMYFUNCTION("IFERROR(K80 * (1 + AVERAGE(Filter('Inflation Data'!$C:$C,'Inflation Data'!$A:$A = L$1))) + 'Fund YTD Contributions'!L80,'Fund YTD Contributions'!L80)"),0.0)</f>
        <v>0</v>
      </c>
      <c r="M80" s="152">
        <f>IFERROR(__xludf.DUMMYFUNCTION("IFERROR(L80 * (1 + AVERAGE(Filter('Inflation Data'!$C:$C,'Inflation Data'!$A:$A = M$1))) + 'Fund YTD Contributions'!M80,'Fund YTD Contributions'!M80)"),0.0)</f>
        <v>0</v>
      </c>
      <c r="N80" s="152">
        <f>IFERROR(__xludf.DUMMYFUNCTION("IFERROR(M80 * (1 + AVERAGE(Filter('Inflation Data'!$C:$C,'Inflation Data'!$A:$A = N$1))) + 'Fund YTD Contributions'!N80,'Fund YTD Contributions'!N80)"),0.0)</f>
        <v>0</v>
      </c>
      <c r="O80" s="152">
        <f>IFERROR(__xludf.DUMMYFUNCTION("IFERROR(N80 * (1 + AVERAGE(Filter('Inflation Data'!$C:$C,'Inflation Data'!$A:$A = O$1))) + 'Fund YTD Contributions'!O80,'Fund YTD Contributions'!O80)"),0.0)</f>
        <v>0</v>
      </c>
      <c r="P80" s="152">
        <f>IFERROR(__xludf.DUMMYFUNCTION("IFERROR(O80 * (1 + AVERAGE(Filter('Inflation Data'!$C:$C,'Inflation Data'!$A:$A = P$1))) + 'Fund YTD Contributions'!P80,'Fund YTD Contributions'!P80)"),0.0)</f>
        <v>0</v>
      </c>
      <c r="Q80" s="152">
        <f>IFERROR(__xludf.DUMMYFUNCTION("IFERROR(P80 * (1 + AVERAGE(Filter('Inflation Data'!$C:$C,'Inflation Data'!$A:$A = Q$1))) + 'Fund YTD Contributions'!Q80,'Fund YTD Contributions'!Q80)"),0.0)</f>
        <v>0</v>
      </c>
      <c r="R80" s="152">
        <f>IFERROR(__xludf.DUMMYFUNCTION("IFERROR(Q80 * (1 + AVERAGE(Filter('Inflation Data'!$C:$C,'Inflation Data'!$A:$A = R$1))) + 'Fund YTD Contributions'!R80,'Fund YTD Contributions'!R80)"),0.0)</f>
        <v>0</v>
      </c>
      <c r="S80" s="152">
        <f>IFERROR(__xludf.DUMMYFUNCTION("IFERROR(R80 * (1 + AVERAGE(Filter('Inflation Data'!$C:$C,'Inflation Data'!$A:$A = S$1))) + 'Fund YTD Contributions'!S80,'Fund YTD Contributions'!S80)"),0.0)</f>
        <v>0</v>
      </c>
      <c r="T80" s="152">
        <f>IFERROR(__xludf.DUMMYFUNCTION("IFERROR(S80 * (1 + AVERAGE(Filter('Inflation Data'!$C:$C,'Inflation Data'!$A:$A = T$1))) + 'Fund YTD Contributions'!T80,'Fund YTD Contributions'!T80)"),0.0)</f>
        <v>0</v>
      </c>
      <c r="U80" s="152">
        <f>IFERROR(__xludf.DUMMYFUNCTION("IFERROR(T80 * (1 + AVERAGE(Filter('Inflation Data'!$C:$C,'Inflation Data'!$A:$A = U$1))) + 'Fund YTD Contributions'!U80,'Fund YTD Contributions'!U80)"),0.0)</f>
        <v>0</v>
      </c>
      <c r="V80" s="152">
        <f>IFERROR(__xludf.DUMMYFUNCTION("IFERROR(U80 * (1 + AVERAGE(Filter('Inflation Data'!$C:$C,'Inflation Data'!$A:$A = V$1))) + 'Fund YTD Contributions'!V80,'Fund YTD Contributions'!V80)"),0.0)</f>
        <v>0</v>
      </c>
      <c r="W80" s="152">
        <f>IFERROR(__xludf.DUMMYFUNCTION("IFERROR(V80 * (1 + AVERAGE(Filter('Inflation Data'!$C:$C,'Inflation Data'!$A:$A = W$1))) + 'Fund YTD Contributions'!W80,'Fund YTD Contributions'!W80)"),0.0)</f>
        <v>0</v>
      </c>
      <c r="X80" s="152">
        <f>IFERROR(__xludf.DUMMYFUNCTION("IFERROR(W80 * (1 + AVERAGE(Filter('Inflation Data'!$C:$C,'Inflation Data'!$A:$A = X$1))) + 'Fund YTD Contributions'!X80,'Fund YTD Contributions'!X80)"),0.0)</f>
        <v>0</v>
      </c>
      <c r="Y80" s="152">
        <f>IFERROR(__xludf.DUMMYFUNCTION("IFERROR(X80 * (1 + AVERAGE(Filter('Inflation Data'!$C:$C,'Inflation Data'!$A:$A = Y$1))) + 'Fund YTD Contributions'!Y80,'Fund YTD Contributions'!Y80)"),0.0)</f>
        <v>0</v>
      </c>
      <c r="Z80" s="152">
        <f>IFERROR(__xludf.DUMMYFUNCTION("IFERROR(Y80 * (1 + AVERAGE(Filter('Inflation Data'!$C:$C,'Inflation Data'!$A:$A = Z$1))) + 'Fund YTD Contributions'!Z80,'Fund YTD Contributions'!Z80)"),0.0)</f>
        <v>0</v>
      </c>
      <c r="AA80" s="152">
        <f>IFERROR(__xludf.DUMMYFUNCTION("IFERROR(Z80 * (1 + AVERAGE(Filter('Inflation Data'!$C:$C,'Inflation Data'!$A:$A = AA$1))) + 'Fund YTD Contributions'!AA80,'Fund YTD Contributions'!AA80)"),0.0)</f>
        <v>0</v>
      </c>
      <c r="AB80" s="152">
        <f>IFERROR(__xludf.DUMMYFUNCTION("IFERROR(AA80 * (1 + AVERAGE(Filter('Inflation Data'!$C:$C,'Inflation Data'!$A:$A = AB$1))) + 'Fund YTD Contributions'!AB80,'Fund YTD Contributions'!AB80)"),0.0)</f>
        <v>0</v>
      </c>
      <c r="AC80" s="152">
        <f>IFERROR(__xludf.DUMMYFUNCTION("IFERROR(AB80 * (1 + AVERAGE(Filter('Inflation Data'!$C:$C,'Inflation Data'!$A:$A = AC$1))) + 'Fund YTD Contributions'!AC80,'Fund YTD Contributions'!AC80)"),0.0)</f>
        <v>0</v>
      </c>
      <c r="AD80" s="152">
        <f>IFERROR(__xludf.DUMMYFUNCTION("IFERROR(AC80 * (1 + AVERAGE(Filter('Inflation Data'!$C:$C,'Inflation Data'!$A:$A = AD$1))) + 'Fund YTD Contributions'!AD80,'Fund YTD Contributions'!AD80)"),0.0)</f>
        <v>0</v>
      </c>
      <c r="AE80" s="152">
        <f>IFERROR(__xludf.DUMMYFUNCTION("IFERROR(AD80 * (1 + AVERAGE(Filter('Inflation Data'!$C:$C,'Inflation Data'!$A:$A = AE$1))) + 'Fund YTD Contributions'!AE80,'Fund YTD Contributions'!AE80)"),0.0)</f>
        <v>0</v>
      </c>
      <c r="AF80" s="152">
        <f>IFERROR(__xludf.DUMMYFUNCTION("IFERROR(AE80 * (1 + AVERAGE(Filter('Inflation Data'!$C:$C,'Inflation Data'!$A:$A = AF$1))) + 'Fund YTD Contributions'!AF80,'Fund YTD Contributions'!AF80)"),0.0)</f>
        <v>0</v>
      </c>
    </row>
    <row r="81">
      <c r="A81" s="150" t="str">
        <f>'Endowed Funds'!A:A</f>
        <v/>
      </c>
      <c r="B81" s="152">
        <f>IFERROR(__xludf.DUMMYFUNCTION("IFERROR(A81 * (1 + AVERAGE(Filter('Inflation Data'!$C:$C,'Inflation Data'!$A:$A = B$1))) + 'Fund YTD Contributions'!B81,'Fund YTD Contributions'!B81)"),0.0)</f>
        <v>0</v>
      </c>
      <c r="C81" s="152">
        <f>IFERROR(__xludf.DUMMYFUNCTION("IFERROR(B81 * (1 + AVERAGE(Filter('Inflation Data'!$C:$C,'Inflation Data'!$A:$A = C$1))) + 'Fund YTD Contributions'!C81,'Fund YTD Contributions'!C81)"),0.0)</f>
        <v>0</v>
      </c>
      <c r="D81" s="152">
        <f>IFERROR(__xludf.DUMMYFUNCTION("IFERROR(C81 * (1 + AVERAGE(Filter('Inflation Data'!$C:$C,'Inflation Data'!$A:$A = D$1))) + 'Fund YTD Contributions'!D81,'Fund YTD Contributions'!D81)"),0.0)</f>
        <v>0</v>
      </c>
      <c r="E81" s="152">
        <f>IFERROR(__xludf.DUMMYFUNCTION("IFERROR(D81 * (1 + AVERAGE(Filter('Inflation Data'!$C:$C,'Inflation Data'!$A:$A = E$1))) + 'Fund YTD Contributions'!E81,'Fund YTD Contributions'!E81)"),0.0)</f>
        <v>0</v>
      </c>
      <c r="F81" s="152">
        <f>IFERROR(__xludf.DUMMYFUNCTION("IFERROR(E81 * (1 + AVERAGE(Filter('Inflation Data'!$C:$C,'Inflation Data'!$A:$A = F$1))) + 'Fund YTD Contributions'!F81,'Fund YTD Contributions'!F81)"),0.0)</f>
        <v>0</v>
      </c>
      <c r="G81" s="152">
        <f>IFERROR(__xludf.DUMMYFUNCTION("IFERROR(F81 * (1 + AVERAGE(Filter('Inflation Data'!$C:$C,'Inflation Data'!$A:$A = G$1))) + 'Fund YTD Contributions'!G81,'Fund YTD Contributions'!G81)"),0.0)</f>
        <v>0</v>
      </c>
      <c r="H81" s="152">
        <f>IFERROR(__xludf.DUMMYFUNCTION("IFERROR(G81 * (1 + AVERAGE(Filter('Inflation Data'!$C:$C,'Inflation Data'!$A:$A = H$1))) + 'Fund YTD Contributions'!H81,'Fund YTD Contributions'!H81)"),0.0)</f>
        <v>0</v>
      </c>
      <c r="I81" s="152">
        <f>IFERROR(__xludf.DUMMYFUNCTION("IFERROR(H81 * (1 + AVERAGE(Filter('Inflation Data'!$C:$C,'Inflation Data'!$A:$A = I$1))) + 'Fund YTD Contributions'!I81,'Fund YTD Contributions'!I81)"),0.0)</f>
        <v>0</v>
      </c>
      <c r="J81" s="152">
        <f>IFERROR(__xludf.DUMMYFUNCTION("IFERROR(I81 * (1 + AVERAGE(Filter('Inflation Data'!$C:$C,'Inflation Data'!$A:$A = J$1))) + 'Fund YTD Contributions'!J81,'Fund YTD Contributions'!J81)"),0.0)</f>
        <v>0</v>
      </c>
      <c r="K81" s="152">
        <f>IFERROR(__xludf.DUMMYFUNCTION("IFERROR(J81 * (1 + AVERAGE(Filter('Inflation Data'!$C:$C,'Inflation Data'!$A:$A = K$1))) + 'Fund YTD Contributions'!K81,'Fund YTD Contributions'!K81)"),0.0)</f>
        <v>0</v>
      </c>
      <c r="L81" s="152">
        <f>IFERROR(__xludf.DUMMYFUNCTION("IFERROR(K81 * (1 + AVERAGE(Filter('Inflation Data'!$C:$C,'Inflation Data'!$A:$A = L$1))) + 'Fund YTD Contributions'!L81,'Fund YTD Contributions'!L81)"),0.0)</f>
        <v>0</v>
      </c>
      <c r="M81" s="152">
        <f>IFERROR(__xludf.DUMMYFUNCTION("IFERROR(L81 * (1 + AVERAGE(Filter('Inflation Data'!$C:$C,'Inflation Data'!$A:$A = M$1))) + 'Fund YTD Contributions'!M81,'Fund YTD Contributions'!M81)"),0.0)</f>
        <v>0</v>
      </c>
      <c r="N81" s="152">
        <f>IFERROR(__xludf.DUMMYFUNCTION("IFERROR(M81 * (1 + AVERAGE(Filter('Inflation Data'!$C:$C,'Inflation Data'!$A:$A = N$1))) + 'Fund YTD Contributions'!N81,'Fund YTD Contributions'!N81)"),0.0)</f>
        <v>0</v>
      </c>
      <c r="O81" s="152">
        <f>IFERROR(__xludf.DUMMYFUNCTION("IFERROR(N81 * (1 + AVERAGE(Filter('Inflation Data'!$C:$C,'Inflation Data'!$A:$A = O$1))) + 'Fund YTD Contributions'!O81,'Fund YTD Contributions'!O81)"),0.0)</f>
        <v>0</v>
      </c>
      <c r="P81" s="152">
        <f>IFERROR(__xludf.DUMMYFUNCTION("IFERROR(O81 * (1 + AVERAGE(Filter('Inflation Data'!$C:$C,'Inflation Data'!$A:$A = P$1))) + 'Fund YTD Contributions'!P81,'Fund YTD Contributions'!P81)"),0.0)</f>
        <v>0</v>
      </c>
      <c r="Q81" s="152">
        <f>IFERROR(__xludf.DUMMYFUNCTION("IFERROR(P81 * (1 + AVERAGE(Filter('Inflation Data'!$C:$C,'Inflation Data'!$A:$A = Q$1))) + 'Fund YTD Contributions'!Q81,'Fund YTD Contributions'!Q81)"),0.0)</f>
        <v>0</v>
      </c>
      <c r="R81" s="152">
        <f>IFERROR(__xludf.DUMMYFUNCTION("IFERROR(Q81 * (1 + AVERAGE(Filter('Inflation Data'!$C:$C,'Inflation Data'!$A:$A = R$1))) + 'Fund YTD Contributions'!R81,'Fund YTD Contributions'!R81)"),0.0)</f>
        <v>0</v>
      </c>
      <c r="S81" s="152">
        <f>IFERROR(__xludf.DUMMYFUNCTION("IFERROR(R81 * (1 + AVERAGE(Filter('Inflation Data'!$C:$C,'Inflation Data'!$A:$A = S$1))) + 'Fund YTD Contributions'!S81,'Fund YTD Contributions'!S81)"),0.0)</f>
        <v>0</v>
      </c>
      <c r="T81" s="152">
        <f>IFERROR(__xludf.DUMMYFUNCTION("IFERROR(S81 * (1 + AVERAGE(Filter('Inflation Data'!$C:$C,'Inflation Data'!$A:$A = T$1))) + 'Fund YTD Contributions'!T81,'Fund YTD Contributions'!T81)"),0.0)</f>
        <v>0</v>
      </c>
      <c r="U81" s="152">
        <f>IFERROR(__xludf.DUMMYFUNCTION("IFERROR(T81 * (1 + AVERAGE(Filter('Inflation Data'!$C:$C,'Inflation Data'!$A:$A = U$1))) + 'Fund YTD Contributions'!U81,'Fund YTD Contributions'!U81)"),0.0)</f>
        <v>0</v>
      </c>
      <c r="V81" s="152">
        <f>IFERROR(__xludf.DUMMYFUNCTION("IFERROR(U81 * (1 + AVERAGE(Filter('Inflation Data'!$C:$C,'Inflation Data'!$A:$A = V$1))) + 'Fund YTD Contributions'!V81,'Fund YTD Contributions'!V81)"),0.0)</f>
        <v>0</v>
      </c>
      <c r="W81" s="152">
        <f>IFERROR(__xludf.DUMMYFUNCTION("IFERROR(V81 * (1 + AVERAGE(Filter('Inflation Data'!$C:$C,'Inflation Data'!$A:$A = W$1))) + 'Fund YTD Contributions'!W81,'Fund YTD Contributions'!W81)"),0.0)</f>
        <v>0</v>
      </c>
      <c r="X81" s="152">
        <f>IFERROR(__xludf.DUMMYFUNCTION("IFERROR(W81 * (1 + AVERAGE(Filter('Inflation Data'!$C:$C,'Inflation Data'!$A:$A = X$1))) + 'Fund YTD Contributions'!X81,'Fund YTD Contributions'!X81)"),0.0)</f>
        <v>0</v>
      </c>
      <c r="Y81" s="152">
        <f>IFERROR(__xludf.DUMMYFUNCTION("IFERROR(X81 * (1 + AVERAGE(Filter('Inflation Data'!$C:$C,'Inflation Data'!$A:$A = Y$1))) + 'Fund YTD Contributions'!Y81,'Fund YTD Contributions'!Y81)"),0.0)</f>
        <v>0</v>
      </c>
      <c r="Z81" s="152">
        <f>IFERROR(__xludf.DUMMYFUNCTION("IFERROR(Y81 * (1 + AVERAGE(Filter('Inflation Data'!$C:$C,'Inflation Data'!$A:$A = Z$1))) + 'Fund YTD Contributions'!Z81,'Fund YTD Contributions'!Z81)"),0.0)</f>
        <v>0</v>
      </c>
      <c r="AA81" s="152">
        <f>IFERROR(__xludf.DUMMYFUNCTION("IFERROR(Z81 * (1 + AVERAGE(Filter('Inflation Data'!$C:$C,'Inflation Data'!$A:$A = AA$1))) + 'Fund YTD Contributions'!AA81,'Fund YTD Contributions'!AA81)"),0.0)</f>
        <v>0</v>
      </c>
      <c r="AB81" s="152">
        <f>IFERROR(__xludf.DUMMYFUNCTION("IFERROR(AA81 * (1 + AVERAGE(Filter('Inflation Data'!$C:$C,'Inflation Data'!$A:$A = AB$1))) + 'Fund YTD Contributions'!AB81,'Fund YTD Contributions'!AB81)"),0.0)</f>
        <v>0</v>
      </c>
      <c r="AC81" s="152">
        <f>IFERROR(__xludf.DUMMYFUNCTION("IFERROR(AB81 * (1 + AVERAGE(Filter('Inflation Data'!$C:$C,'Inflation Data'!$A:$A = AC$1))) + 'Fund YTD Contributions'!AC81,'Fund YTD Contributions'!AC81)"),0.0)</f>
        <v>0</v>
      </c>
      <c r="AD81" s="152">
        <f>IFERROR(__xludf.DUMMYFUNCTION("IFERROR(AC81 * (1 + AVERAGE(Filter('Inflation Data'!$C:$C,'Inflation Data'!$A:$A = AD$1))) + 'Fund YTD Contributions'!AD81,'Fund YTD Contributions'!AD81)"),0.0)</f>
        <v>0</v>
      </c>
      <c r="AE81" s="152">
        <f>IFERROR(__xludf.DUMMYFUNCTION("IFERROR(AD81 * (1 + AVERAGE(Filter('Inflation Data'!$C:$C,'Inflation Data'!$A:$A = AE$1))) + 'Fund YTD Contributions'!AE81,'Fund YTD Contributions'!AE81)"),0.0)</f>
        <v>0</v>
      </c>
      <c r="AF81" s="152">
        <f>IFERROR(__xludf.DUMMYFUNCTION("IFERROR(AE81 * (1 + AVERAGE(Filter('Inflation Data'!$C:$C,'Inflation Data'!$A:$A = AF$1))) + 'Fund YTD Contributions'!AF81,'Fund YTD Contributions'!AF81)"),0.0)</f>
        <v>0</v>
      </c>
    </row>
    <row r="82">
      <c r="A82" s="150" t="str">
        <f>'Endowed Funds'!A:A</f>
        <v/>
      </c>
      <c r="B82" s="152">
        <f>IFERROR(__xludf.DUMMYFUNCTION("IFERROR(A82 * (1 + AVERAGE(Filter('Inflation Data'!$C:$C,'Inflation Data'!$A:$A = B$1))) + 'Fund YTD Contributions'!B82,'Fund YTD Contributions'!B82)"),0.0)</f>
        <v>0</v>
      </c>
      <c r="C82" s="152">
        <f>IFERROR(__xludf.DUMMYFUNCTION("IFERROR(B82 * (1 + AVERAGE(Filter('Inflation Data'!$C:$C,'Inflation Data'!$A:$A = C$1))) + 'Fund YTD Contributions'!C82,'Fund YTD Contributions'!C82)"),0.0)</f>
        <v>0</v>
      </c>
      <c r="D82" s="152">
        <f>IFERROR(__xludf.DUMMYFUNCTION("IFERROR(C82 * (1 + AVERAGE(Filter('Inflation Data'!$C:$C,'Inflation Data'!$A:$A = D$1))) + 'Fund YTD Contributions'!D82,'Fund YTD Contributions'!D82)"),0.0)</f>
        <v>0</v>
      </c>
      <c r="E82" s="152">
        <f>IFERROR(__xludf.DUMMYFUNCTION("IFERROR(D82 * (1 + AVERAGE(Filter('Inflation Data'!$C:$C,'Inflation Data'!$A:$A = E$1))) + 'Fund YTD Contributions'!E82,'Fund YTD Contributions'!E82)"),0.0)</f>
        <v>0</v>
      </c>
      <c r="F82" s="152">
        <f>IFERROR(__xludf.DUMMYFUNCTION("IFERROR(E82 * (1 + AVERAGE(Filter('Inflation Data'!$C:$C,'Inflation Data'!$A:$A = F$1))) + 'Fund YTD Contributions'!F82,'Fund YTD Contributions'!F82)"),0.0)</f>
        <v>0</v>
      </c>
      <c r="G82" s="152">
        <f>IFERROR(__xludf.DUMMYFUNCTION("IFERROR(F82 * (1 + AVERAGE(Filter('Inflation Data'!$C:$C,'Inflation Data'!$A:$A = G$1))) + 'Fund YTD Contributions'!G82,'Fund YTD Contributions'!G82)"),0.0)</f>
        <v>0</v>
      </c>
      <c r="H82" s="152">
        <f>IFERROR(__xludf.DUMMYFUNCTION("IFERROR(G82 * (1 + AVERAGE(Filter('Inflation Data'!$C:$C,'Inflation Data'!$A:$A = H$1))) + 'Fund YTD Contributions'!H82,'Fund YTD Contributions'!H82)"),0.0)</f>
        <v>0</v>
      </c>
      <c r="I82" s="152">
        <f>IFERROR(__xludf.DUMMYFUNCTION("IFERROR(H82 * (1 + AVERAGE(Filter('Inflation Data'!$C:$C,'Inflation Data'!$A:$A = I$1))) + 'Fund YTD Contributions'!I82,'Fund YTD Contributions'!I82)"),0.0)</f>
        <v>0</v>
      </c>
      <c r="J82" s="152">
        <f>IFERROR(__xludf.DUMMYFUNCTION("IFERROR(I82 * (1 + AVERAGE(Filter('Inflation Data'!$C:$C,'Inflation Data'!$A:$A = J$1))) + 'Fund YTD Contributions'!J82,'Fund YTD Contributions'!J82)"),0.0)</f>
        <v>0</v>
      </c>
      <c r="K82" s="152">
        <f>IFERROR(__xludf.DUMMYFUNCTION("IFERROR(J82 * (1 + AVERAGE(Filter('Inflation Data'!$C:$C,'Inflation Data'!$A:$A = K$1))) + 'Fund YTD Contributions'!K82,'Fund YTD Contributions'!K82)"),0.0)</f>
        <v>0</v>
      </c>
      <c r="L82" s="152">
        <f>IFERROR(__xludf.DUMMYFUNCTION("IFERROR(K82 * (1 + AVERAGE(Filter('Inflation Data'!$C:$C,'Inflation Data'!$A:$A = L$1))) + 'Fund YTD Contributions'!L82,'Fund YTD Contributions'!L82)"),0.0)</f>
        <v>0</v>
      </c>
      <c r="M82" s="152">
        <f>IFERROR(__xludf.DUMMYFUNCTION("IFERROR(L82 * (1 + AVERAGE(Filter('Inflation Data'!$C:$C,'Inflation Data'!$A:$A = M$1))) + 'Fund YTD Contributions'!M82,'Fund YTD Contributions'!M82)"),0.0)</f>
        <v>0</v>
      </c>
      <c r="N82" s="152">
        <f>IFERROR(__xludf.DUMMYFUNCTION("IFERROR(M82 * (1 + AVERAGE(Filter('Inflation Data'!$C:$C,'Inflation Data'!$A:$A = N$1))) + 'Fund YTD Contributions'!N82,'Fund YTD Contributions'!N82)"),0.0)</f>
        <v>0</v>
      </c>
      <c r="O82" s="152">
        <f>IFERROR(__xludf.DUMMYFUNCTION("IFERROR(N82 * (1 + AVERAGE(Filter('Inflation Data'!$C:$C,'Inflation Data'!$A:$A = O$1))) + 'Fund YTD Contributions'!O82,'Fund YTD Contributions'!O82)"),0.0)</f>
        <v>0</v>
      </c>
      <c r="P82" s="152">
        <f>IFERROR(__xludf.DUMMYFUNCTION("IFERROR(O82 * (1 + AVERAGE(Filter('Inflation Data'!$C:$C,'Inflation Data'!$A:$A = P$1))) + 'Fund YTD Contributions'!P82,'Fund YTD Contributions'!P82)"),0.0)</f>
        <v>0</v>
      </c>
      <c r="Q82" s="152">
        <f>IFERROR(__xludf.DUMMYFUNCTION("IFERROR(P82 * (1 + AVERAGE(Filter('Inflation Data'!$C:$C,'Inflation Data'!$A:$A = Q$1))) + 'Fund YTD Contributions'!Q82,'Fund YTD Contributions'!Q82)"),0.0)</f>
        <v>0</v>
      </c>
      <c r="R82" s="152">
        <f>IFERROR(__xludf.DUMMYFUNCTION("IFERROR(Q82 * (1 + AVERAGE(Filter('Inflation Data'!$C:$C,'Inflation Data'!$A:$A = R$1))) + 'Fund YTD Contributions'!R82,'Fund YTD Contributions'!R82)"),0.0)</f>
        <v>0</v>
      </c>
      <c r="S82" s="152">
        <f>IFERROR(__xludf.DUMMYFUNCTION("IFERROR(R82 * (1 + AVERAGE(Filter('Inflation Data'!$C:$C,'Inflation Data'!$A:$A = S$1))) + 'Fund YTD Contributions'!S82,'Fund YTD Contributions'!S82)"),0.0)</f>
        <v>0</v>
      </c>
      <c r="T82" s="152">
        <f>IFERROR(__xludf.DUMMYFUNCTION("IFERROR(S82 * (1 + AVERAGE(Filter('Inflation Data'!$C:$C,'Inflation Data'!$A:$A = T$1))) + 'Fund YTD Contributions'!T82,'Fund YTD Contributions'!T82)"),0.0)</f>
        <v>0</v>
      </c>
      <c r="U82" s="152">
        <f>IFERROR(__xludf.DUMMYFUNCTION("IFERROR(T82 * (1 + AVERAGE(Filter('Inflation Data'!$C:$C,'Inflation Data'!$A:$A = U$1))) + 'Fund YTD Contributions'!U82,'Fund YTD Contributions'!U82)"),0.0)</f>
        <v>0</v>
      </c>
      <c r="V82" s="152">
        <f>IFERROR(__xludf.DUMMYFUNCTION("IFERROR(U82 * (1 + AVERAGE(Filter('Inflation Data'!$C:$C,'Inflation Data'!$A:$A = V$1))) + 'Fund YTD Contributions'!V82,'Fund YTD Contributions'!V82)"),0.0)</f>
        <v>0</v>
      </c>
      <c r="W82" s="152">
        <f>IFERROR(__xludf.DUMMYFUNCTION("IFERROR(V82 * (1 + AVERAGE(Filter('Inflation Data'!$C:$C,'Inflation Data'!$A:$A = W$1))) + 'Fund YTD Contributions'!W82,'Fund YTD Contributions'!W82)"),0.0)</f>
        <v>0</v>
      </c>
      <c r="X82" s="152">
        <f>IFERROR(__xludf.DUMMYFUNCTION("IFERROR(W82 * (1 + AVERAGE(Filter('Inflation Data'!$C:$C,'Inflation Data'!$A:$A = X$1))) + 'Fund YTD Contributions'!X82,'Fund YTD Contributions'!X82)"),0.0)</f>
        <v>0</v>
      </c>
      <c r="Y82" s="152">
        <f>IFERROR(__xludf.DUMMYFUNCTION("IFERROR(X82 * (1 + AVERAGE(Filter('Inflation Data'!$C:$C,'Inflation Data'!$A:$A = Y$1))) + 'Fund YTD Contributions'!Y82,'Fund YTD Contributions'!Y82)"),0.0)</f>
        <v>0</v>
      </c>
      <c r="Z82" s="152">
        <f>IFERROR(__xludf.DUMMYFUNCTION("IFERROR(Y82 * (1 + AVERAGE(Filter('Inflation Data'!$C:$C,'Inflation Data'!$A:$A = Z$1))) + 'Fund YTD Contributions'!Z82,'Fund YTD Contributions'!Z82)"),0.0)</f>
        <v>0</v>
      </c>
      <c r="AA82" s="152">
        <f>IFERROR(__xludf.DUMMYFUNCTION("IFERROR(Z82 * (1 + AVERAGE(Filter('Inflation Data'!$C:$C,'Inflation Data'!$A:$A = AA$1))) + 'Fund YTD Contributions'!AA82,'Fund YTD Contributions'!AA82)"),0.0)</f>
        <v>0</v>
      </c>
      <c r="AB82" s="152">
        <f>IFERROR(__xludf.DUMMYFUNCTION("IFERROR(AA82 * (1 + AVERAGE(Filter('Inflation Data'!$C:$C,'Inflation Data'!$A:$A = AB$1))) + 'Fund YTD Contributions'!AB82,'Fund YTD Contributions'!AB82)"),0.0)</f>
        <v>0</v>
      </c>
      <c r="AC82" s="152">
        <f>IFERROR(__xludf.DUMMYFUNCTION("IFERROR(AB82 * (1 + AVERAGE(Filter('Inflation Data'!$C:$C,'Inflation Data'!$A:$A = AC$1))) + 'Fund YTD Contributions'!AC82,'Fund YTD Contributions'!AC82)"),0.0)</f>
        <v>0</v>
      </c>
      <c r="AD82" s="152">
        <f>IFERROR(__xludf.DUMMYFUNCTION("IFERROR(AC82 * (1 + AVERAGE(Filter('Inflation Data'!$C:$C,'Inflation Data'!$A:$A = AD$1))) + 'Fund YTD Contributions'!AD82,'Fund YTD Contributions'!AD82)"),0.0)</f>
        <v>0</v>
      </c>
      <c r="AE82" s="152">
        <f>IFERROR(__xludf.DUMMYFUNCTION("IFERROR(AD82 * (1 + AVERAGE(Filter('Inflation Data'!$C:$C,'Inflation Data'!$A:$A = AE$1))) + 'Fund YTD Contributions'!AE82,'Fund YTD Contributions'!AE82)"),0.0)</f>
        <v>0</v>
      </c>
      <c r="AF82" s="152">
        <f>IFERROR(__xludf.DUMMYFUNCTION("IFERROR(AE82 * (1 + AVERAGE(Filter('Inflation Data'!$C:$C,'Inflation Data'!$A:$A = AF$1))) + 'Fund YTD Contributions'!AF82,'Fund YTD Contributions'!AF82)"),0.0)</f>
        <v>0</v>
      </c>
    </row>
    <row r="83">
      <c r="A83" s="150" t="str">
        <f>'Endowed Funds'!A:A</f>
        <v/>
      </c>
      <c r="B83" s="152">
        <f>IFERROR(__xludf.DUMMYFUNCTION("IFERROR(A83 * (1 + AVERAGE(Filter('Inflation Data'!$C:$C,'Inflation Data'!$A:$A = B$1))) + 'Fund YTD Contributions'!B83,'Fund YTD Contributions'!B83)"),0.0)</f>
        <v>0</v>
      </c>
      <c r="C83" s="152">
        <f>IFERROR(__xludf.DUMMYFUNCTION("IFERROR(B83 * (1 + AVERAGE(Filter('Inflation Data'!$C:$C,'Inflation Data'!$A:$A = C$1))) + 'Fund YTD Contributions'!C83,'Fund YTD Contributions'!C83)"),0.0)</f>
        <v>0</v>
      </c>
      <c r="D83" s="152">
        <f>IFERROR(__xludf.DUMMYFUNCTION("IFERROR(C83 * (1 + AVERAGE(Filter('Inflation Data'!$C:$C,'Inflation Data'!$A:$A = D$1))) + 'Fund YTD Contributions'!D83,'Fund YTD Contributions'!D83)"),0.0)</f>
        <v>0</v>
      </c>
      <c r="E83" s="152">
        <f>IFERROR(__xludf.DUMMYFUNCTION("IFERROR(D83 * (1 + AVERAGE(Filter('Inflation Data'!$C:$C,'Inflation Data'!$A:$A = E$1))) + 'Fund YTD Contributions'!E83,'Fund YTD Contributions'!E83)"),0.0)</f>
        <v>0</v>
      </c>
      <c r="F83" s="152">
        <f>IFERROR(__xludf.DUMMYFUNCTION("IFERROR(E83 * (1 + AVERAGE(Filter('Inflation Data'!$C:$C,'Inflation Data'!$A:$A = F$1))) + 'Fund YTD Contributions'!F83,'Fund YTD Contributions'!F83)"),0.0)</f>
        <v>0</v>
      </c>
      <c r="G83" s="152">
        <f>IFERROR(__xludf.DUMMYFUNCTION("IFERROR(F83 * (1 + AVERAGE(Filter('Inflation Data'!$C:$C,'Inflation Data'!$A:$A = G$1))) + 'Fund YTD Contributions'!G83,'Fund YTD Contributions'!G83)"),0.0)</f>
        <v>0</v>
      </c>
      <c r="H83" s="152">
        <f>IFERROR(__xludf.DUMMYFUNCTION("IFERROR(G83 * (1 + AVERAGE(Filter('Inflation Data'!$C:$C,'Inflation Data'!$A:$A = H$1))) + 'Fund YTD Contributions'!H83,'Fund YTD Contributions'!H83)"),0.0)</f>
        <v>0</v>
      </c>
      <c r="I83" s="152">
        <f>IFERROR(__xludf.DUMMYFUNCTION("IFERROR(H83 * (1 + AVERAGE(Filter('Inflation Data'!$C:$C,'Inflation Data'!$A:$A = I$1))) + 'Fund YTD Contributions'!I83,'Fund YTD Contributions'!I83)"),0.0)</f>
        <v>0</v>
      </c>
      <c r="J83" s="152">
        <f>IFERROR(__xludf.DUMMYFUNCTION("IFERROR(I83 * (1 + AVERAGE(Filter('Inflation Data'!$C:$C,'Inflation Data'!$A:$A = J$1))) + 'Fund YTD Contributions'!J83,'Fund YTD Contributions'!J83)"),0.0)</f>
        <v>0</v>
      </c>
      <c r="K83" s="152">
        <f>IFERROR(__xludf.DUMMYFUNCTION("IFERROR(J83 * (1 + AVERAGE(Filter('Inflation Data'!$C:$C,'Inflation Data'!$A:$A = K$1))) + 'Fund YTD Contributions'!K83,'Fund YTD Contributions'!K83)"),0.0)</f>
        <v>0</v>
      </c>
      <c r="L83" s="152">
        <f>IFERROR(__xludf.DUMMYFUNCTION("IFERROR(K83 * (1 + AVERAGE(Filter('Inflation Data'!$C:$C,'Inflation Data'!$A:$A = L$1))) + 'Fund YTD Contributions'!L83,'Fund YTD Contributions'!L83)"),0.0)</f>
        <v>0</v>
      </c>
      <c r="M83" s="152">
        <f>IFERROR(__xludf.DUMMYFUNCTION("IFERROR(L83 * (1 + AVERAGE(Filter('Inflation Data'!$C:$C,'Inflation Data'!$A:$A = M$1))) + 'Fund YTD Contributions'!M83,'Fund YTD Contributions'!M83)"),0.0)</f>
        <v>0</v>
      </c>
      <c r="N83" s="152">
        <f>IFERROR(__xludf.DUMMYFUNCTION("IFERROR(M83 * (1 + AVERAGE(Filter('Inflation Data'!$C:$C,'Inflation Data'!$A:$A = N$1))) + 'Fund YTD Contributions'!N83,'Fund YTD Contributions'!N83)"),0.0)</f>
        <v>0</v>
      </c>
      <c r="O83" s="152">
        <f>IFERROR(__xludf.DUMMYFUNCTION("IFERROR(N83 * (1 + AVERAGE(Filter('Inflation Data'!$C:$C,'Inflation Data'!$A:$A = O$1))) + 'Fund YTD Contributions'!O83,'Fund YTD Contributions'!O83)"),0.0)</f>
        <v>0</v>
      </c>
      <c r="P83" s="152">
        <f>IFERROR(__xludf.DUMMYFUNCTION("IFERROR(O83 * (1 + AVERAGE(Filter('Inflation Data'!$C:$C,'Inflation Data'!$A:$A = P$1))) + 'Fund YTD Contributions'!P83,'Fund YTD Contributions'!P83)"),0.0)</f>
        <v>0</v>
      </c>
      <c r="Q83" s="152">
        <f>IFERROR(__xludf.DUMMYFUNCTION("IFERROR(P83 * (1 + AVERAGE(Filter('Inflation Data'!$C:$C,'Inflation Data'!$A:$A = Q$1))) + 'Fund YTD Contributions'!Q83,'Fund YTD Contributions'!Q83)"),0.0)</f>
        <v>0</v>
      </c>
      <c r="R83" s="152">
        <f>IFERROR(__xludf.DUMMYFUNCTION("IFERROR(Q83 * (1 + AVERAGE(Filter('Inflation Data'!$C:$C,'Inflation Data'!$A:$A = R$1))) + 'Fund YTD Contributions'!R83,'Fund YTD Contributions'!R83)"),0.0)</f>
        <v>0</v>
      </c>
      <c r="S83" s="152">
        <f>IFERROR(__xludf.DUMMYFUNCTION("IFERROR(R83 * (1 + AVERAGE(Filter('Inflation Data'!$C:$C,'Inflation Data'!$A:$A = S$1))) + 'Fund YTD Contributions'!S83,'Fund YTD Contributions'!S83)"),0.0)</f>
        <v>0</v>
      </c>
      <c r="T83" s="152">
        <f>IFERROR(__xludf.DUMMYFUNCTION("IFERROR(S83 * (1 + AVERAGE(Filter('Inflation Data'!$C:$C,'Inflation Data'!$A:$A = T$1))) + 'Fund YTD Contributions'!T83,'Fund YTD Contributions'!T83)"),0.0)</f>
        <v>0</v>
      </c>
      <c r="U83" s="152">
        <f>IFERROR(__xludf.DUMMYFUNCTION("IFERROR(T83 * (1 + AVERAGE(Filter('Inflation Data'!$C:$C,'Inflation Data'!$A:$A = U$1))) + 'Fund YTD Contributions'!U83,'Fund YTD Contributions'!U83)"),0.0)</f>
        <v>0</v>
      </c>
      <c r="V83" s="152">
        <f>IFERROR(__xludf.DUMMYFUNCTION("IFERROR(U83 * (1 + AVERAGE(Filter('Inflation Data'!$C:$C,'Inflation Data'!$A:$A = V$1))) + 'Fund YTD Contributions'!V83,'Fund YTD Contributions'!V83)"),0.0)</f>
        <v>0</v>
      </c>
      <c r="W83" s="152">
        <f>IFERROR(__xludf.DUMMYFUNCTION("IFERROR(V83 * (1 + AVERAGE(Filter('Inflation Data'!$C:$C,'Inflation Data'!$A:$A = W$1))) + 'Fund YTD Contributions'!W83,'Fund YTD Contributions'!W83)"),0.0)</f>
        <v>0</v>
      </c>
      <c r="X83" s="152">
        <f>IFERROR(__xludf.DUMMYFUNCTION("IFERROR(W83 * (1 + AVERAGE(Filter('Inflation Data'!$C:$C,'Inflation Data'!$A:$A = X$1))) + 'Fund YTD Contributions'!X83,'Fund YTD Contributions'!X83)"),0.0)</f>
        <v>0</v>
      </c>
      <c r="Y83" s="152">
        <f>IFERROR(__xludf.DUMMYFUNCTION("IFERROR(X83 * (1 + AVERAGE(Filter('Inflation Data'!$C:$C,'Inflation Data'!$A:$A = Y$1))) + 'Fund YTD Contributions'!Y83,'Fund YTD Contributions'!Y83)"),0.0)</f>
        <v>0</v>
      </c>
      <c r="Z83" s="152">
        <f>IFERROR(__xludf.DUMMYFUNCTION("IFERROR(Y83 * (1 + AVERAGE(Filter('Inflation Data'!$C:$C,'Inflation Data'!$A:$A = Z$1))) + 'Fund YTD Contributions'!Z83,'Fund YTD Contributions'!Z83)"),0.0)</f>
        <v>0</v>
      </c>
      <c r="AA83" s="152">
        <f>IFERROR(__xludf.DUMMYFUNCTION("IFERROR(Z83 * (1 + AVERAGE(Filter('Inflation Data'!$C:$C,'Inflation Data'!$A:$A = AA$1))) + 'Fund YTD Contributions'!AA83,'Fund YTD Contributions'!AA83)"),0.0)</f>
        <v>0</v>
      </c>
      <c r="AB83" s="152">
        <f>IFERROR(__xludf.DUMMYFUNCTION("IFERROR(AA83 * (1 + AVERAGE(Filter('Inflation Data'!$C:$C,'Inflation Data'!$A:$A = AB$1))) + 'Fund YTD Contributions'!AB83,'Fund YTD Contributions'!AB83)"),0.0)</f>
        <v>0</v>
      </c>
      <c r="AC83" s="152">
        <f>IFERROR(__xludf.DUMMYFUNCTION("IFERROR(AB83 * (1 + AVERAGE(Filter('Inflation Data'!$C:$C,'Inflation Data'!$A:$A = AC$1))) + 'Fund YTD Contributions'!AC83,'Fund YTD Contributions'!AC83)"),0.0)</f>
        <v>0</v>
      </c>
      <c r="AD83" s="152">
        <f>IFERROR(__xludf.DUMMYFUNCTION("IFERROR(AC83 * (1 + AVERAGE(Filter('Inflation Data'!$C:$C,'Inflation Data'!$A:$A = AD$1))) + 'Fund YTD Contributions'!AD83,'Fund YTD Contributions'!AD83)"),0.0)</f>
        <v>0</v>
      </c>
      <c r="AE83" s="152">
        <f>IFERROR(__xludf.DUMMYFUNCTION("IFERROR(AD83 * (1 + AVERAGE(Filter('Inflation Data'!$C:$C,'Inflation Data'!$A:$A = AE$1))) + 'Fund YTD Contributions'!AE83,'Fund YTD Contributions'!AE83)"),0.0)</f>
        <v>0</v>
      </c>
      <c r="AF83" s="152">
        <f>IFERROR(__xludf.DUMMYFUNCTION("IFERROR(AE83 * (1 + AVERAGE(Filter('Inflation Data'!$C:$C,'Inflation Data'!$A:$A = AF$1))) + 'Fund YTD Contributions'!AF83,'Fund YTD Contributions'!AF83)"),0.0)</f>
        <v>0</v>
      </c>
    </row>
    <row r="84">
      <c r="A84" s="150" t="str">
        <f>'Endowed Funds'!A:A</f>
        <v/>
      </c>
      <c r="B84" s="152">
        <f>IFERROR(__xludf.DUMMYFUNCTION("IFERROR(A84 * (1 + AVERAGE(Filter('Inflation Data'!$C:$C,'Inflation Data'!$A:$A = B$1))) + 'Fund YTD Contributions'!B84,'Fund YTD Contributions'!B84)"),0.0)</f>
        <v>0</v>
      </c>
      <c r="C84" s="152">
        <f>IFERROR(__xludf.DUMMYFUNCTION("IFERROR(B84 * (1 + AVERAGE(Filter('Inflation Data'!$C:$C,'Inflation Data'!$A:$A = C$1))) + 'Fund YTD Contributions'!C84,'Fund YTD Contributions'!C84)"),0.0)</f>
        <v>0</v>
      </c>
      <c r="D84" s="152">
        <f>IFERROR(__xludf.DUMMYFUNCTION("IFERROR(C84 * (1 + AVERAGE(Filter('Inflation Data'!$C:$C,'Inflation Data'!$A:$A = D$1))) + 'Fund YTD Contributions'!D84,'Fund YTD Contributions'!D84)"),0.0)</f>
        <v>0</v>
      </c>
      <c r="E84" s="152">
        <f>IFERROR(__xludf.DUMMYFUNCTION("IFERROR(D84 * (1 + AVERAGE(Filter('Inflation Data'!$C:$C,'Inflation Data'!$A:$A = E$1))) + 'Fund YTD Contributions'!E84,'Fund YTD Contributions'!E84)"),0.0)</f>
        <v>0</v>
      </c>
      <c r="F84" s="152">
        <f>IFERROR(__xludf.DUMMYFUNCTION("IFERROR(E84 * (1 + AVERAGE(Filter('Inflation Data'!$C:$C,'Inflation Data'!$A:$A = F$1))) + 'Fund YTD Contributions'!F84,'Fund YTD Contributions'!F84)"),0.0)</f>
        <v>0</v>
      </c>
      <c r="G84" s="152">
        <f>IFERROR(__xludf.DUMMYFUNCTION("IFERROR(F84 * (1 + AVERAGE(Filter('Inflation Data'!$C:$C,'Inflation Data'!$A:$A = G$1))) + 'Fund YTD Contributions'!G84,'Fund YTD Contributions'!G84)"),0.0)</f>
        <v>0</v>
      </c>
      <c r="H84" s="152">
        <f>IFERROR(__xludf.DUMMYFUNCTION("IFERROR(G84 * (1 + AVERAGE(Filter('Inflation Data'!$C:$C,'Inflation Data'!$A:$A = H$1))) + 'Fund YTD Contributions'!H84,'Fund YTD Contributions'!H84)"),0.0)</f>
        <v>0</v>
      </c>
      <c r="I84" s="152">
        <f>IFERROR(__xludf.DUMMYFUNCTION("IFERROR(H84 * (1 + AVERAGE(Filter('Inflation Data'!$C:$C,'Inflation Data'!$A:$A = I$1))) + 'Fund YTD Contributions'!I84,'Fund YTD Contributions'!I84)"),0.0)</f>
        <v>0</v>
      </c>
      <c r="J84" s="152">
        <f>IFERROR(__xludf.DUMMYFUNCTION("IFERROR(I84 * (1 + AVERAGE(Filter('Inflation Data'!$C:$C,'Inflation Data'!$A:$A = J$1))) + 'Fund YTD Contributions'!J84,'Fund YTD Contributions'!J84)"),0.0)</f>
        <v>0</v>
      </c>
      <c r="K84" s="152">
        <f>IFERROR(__xludf.DUMMYFUNCTION("IFERROR(J84 * (1 + AVERAGE(Filter('Inflation Data'!$C:$C,'Inflation Data'!$A:$A = K$1))) + 'Fund YTD Contributions'!K84,'Fund YTD Contributions'!K84)"),0.0)</f>
        <v>0</v>
      </c>
      <c r="L84" s="152">
        <f>IFERROR(__xludf.DUMMYFUNCTION("IFERROR(K84 * (1 + AVERAGE(Filter('Inflation Data'!$C:$C,'Inflation Data'!$A:$A = L$1))) + 'Fund YTD Contributions'!L84,'Fund YTD Contributions'!L84)"),0.0)</f>
        <v>0</v>
      </c>
      <c r="M84" s="152">
        <f>IFERROR(__xludf.DUMMYFUNCTION("IFERROR(L84 * (1 + AVERAGE(Filter('Inflation Data'!$C:$C,'Inflation Data'!$A:$A = M$1))) + 'Fund YTD Contributions'!M84,'Fund YTD Contributions'!M84)"),0.0)</f>
        <v>0</v>
      </c>
      <c r="N84" s="152">
        <f>IFERROR(__xludf.DUMMYFUNCTION("IFERROR(M84 * (1 + AVERAGE(Filter('Inflation Data'!$C:$C,'Inflation Data'!$A:$A = N$1))) + 'Fund YTD Contributions'!N84,'Fund YTD Contributions'!N84)"),0.0)</f>
        <v>0</v>
      </c>
      <c r="O84" s="152">
        <f>IFERROR(__xludf.DUMMYFUNCTION("IFERROR(N84 * (1 + AVERAGE(Filter('Inflation Data'!$C:$C,'Inflation Data'!$A:$A = O$1))) + 'Fund YTD Contributions'!O84,'Fund YTD Contributions'!O84)"),0.0)</f>
        <v>0</v>
      </c>
      <c r="P84" s="152">
        <f>IFERROR(__xludf.DUMMYFUNCTION("IFERROR(O84 * (1 + AVERAGE(Filter('Inflation Data'!$C:$C,'Inflation Data'!$A:$A = P$1))) + 'Fund YTD Contributions'!P84,'Fund YTD Contributions'!P84)"),0.0)</f>
        <v>0</v>
      </c>
      <c r="Q84" s="152">
        <f>IFERROR(__xludf.DUMMYFUNCTION("IFERROR(P84 * (1 + AVERAGE(Filter('Inflation Data'!$C:$C,'Inflation Data'!$A:$A = Q$1))) + 'Fund YTD Contributions'!Q84,'Fund YTD Contributions'!Q84)"),0.0)</f>
        <v>0</v>
      </c>
      <c r="R84" s="152">
        <f>IFERROR(__xludf.DUMMYFUNCTION("IFERROR(Q84 * (1 + AVERAGE(Filter('Inflation Data'!$C:$C,'Inflation Data'!$A:$A = R$1))) + 'Fund YTD Contributions'!R84,'Fund YTD Contributions'!R84)"),0.0)</f>
        <v>0</v>
      </c>
      <c r="S84" s="152">
        <f>IFERROR(__xludf.DUMMYFUNCTION("IFERROR(R84 * (1 + AVERAGE(Filter('Inflation Data'!$C:$C,'Inflation Data'!$A:$A = S$1))) + 'Fund YTD Contributions'!S84,'Fund YTD Contributions'!S84)"),0.0)</f>
        <v>0</v>
      </c>
      <c r="T84" s="152">
        <f>IFERROR(__xludf.DUMMYFUNCTION("IFERROR(S84 * (1 + AVERAGE(Filter('Inflation Data'!$C:$C,'Inflation Data'!$A:$A = T$1))) + 'Fund YTD Contributions'!T84,'Fund YTD Contributions'!T84)"),0.0)</f>
        <v>0</v>
      </c>
      <c r="U84" s="152">
        <f>IFERROR(__xludf.DUMMYFUNCTION("IFERROR(T84 * (1 + AVERAGE(Filter('Inflation Data'!$C:$C,'Inflation Data'!$A:$A = U$1))) + 'Fund YTD Contributions'!U84,'Fund YTD Contributions'!U84)"),0.0)</f>
        <v>0</v>
      </c>
      <c r="V84" s="152">
        <f>IFERROR(__xludf.DUMMYFUNCTION("IFERROR(U84 * (1 + AVERAGE(Filter('Inflation Data'!$C:$C,'Inflation Data'!$A:$A = V$1))) + 'Fund YTD Contributions'!V84,'Fund YTD Contributions'!V84)"),0.0)</f>
        <v>0</v>
      </c>
      <c r="W84" s="152">
        <f>IFERROR(__xludf.DUMMYFUNCTION("IFERROR(V84 * (1 + AVERAGE(Filter('Inflation Data'!$C:$C,'Inflation Data'!$A:$A = W$1))) + 'Fund YTD Contributions'!W84,'Fund YTD Contributions'!W84)"),0.0)</f>
        <v>0</v>
      </c>
      <c r="X84" s="152">
        <f>IFERROR(__xludf.DUMMYFUNCTION("IFERROR(W84 * (1 + AVERAGE(Filter('Inflation Data'!$C:$C,'Inflation Data'!$A:$A = X$1))) + 'Fund YTD Contributions'!X84,'Fund YTD Contributions'!X84)"),0.0)</f>
        <v>0</v>
      </c>
      <c r="Y84" s="152">
        <f>IFERROR(__xludf.DUMMYFUNCTION("IFERROR(X84 * (1 + AVERAGE(Filter('Inflation Data'!$C:$C,'Inflation Data'!$A:$A = Y$1))) + 'Fund YTD Contributions'!Y84,'Fund YTD Contributions'!Y84)"),0.0)</f>
        <v>0</v>
      </c>
      <c r="Z84" s="152">
        <f>IFERROR(__xludf.DUMMYFUNCTION("IFERROR(Y84 * (1 + AVERAGE(Filter('Inflation Data'!$C:$C,'Inflation Data'!$A:$A = Z$1))) + 'Fund YTD Contributions'!Z84,'Fund YTD Contributions'!Z84)"),0.0)</f>
        <v>0</v>
      </c>
      <c r="AA84" s="152">
        <f>IFERROR(__xludf.DUMMYFUNCTION("IFERROR(Z84 * (1 + AVERAGE(Filter('Inflation Data'!$C:$C,'Inflation Data'!$A:$A = AA$1))) + 'Fund YTD Contributions'!AA84,'Fund YTD Contributions'!AA84)"),0.0)</f>
        <v>0</v>
      </c>
      <c r="AB84" s="152">
        <f>IFERROR(__xludf.DUMMYFUNCTION("IFERROR(AA84 * (1 + AVERAGE(Filter('Inflation Data'!$C:$C,'Inflation Data'!$A:$A = AB$1))) + 'Fund YTD Contributions'!AB84,'Fund YTD Contributions'!AB84)"),0.0)</f>
        <v>0</v>
      </c>
      <c r="AC84" s="152">
        <f>IFERROR(__xludf.DUMMYFUNCTION("IFERROR(AB84 * (1 + AVERAGE(Filter('Inflation Data'!$C:$C,'Inflation Data'!$A:$A = AC$1))) + 'Fund YTD Contributions'!AC84,'Fund YTD Contributions'!AC84)"),0.0)</f>
        <v>0</v>
      </c>
      <c r="AD84" s="152">
        <f>IFERROR(__xludf.DUMMYFUNCTION("IFERROR(AC84 * (1 + AVERAGE(Filter('Inflation Data'!$C:$C,'Inflation Data'!$A:$A = AD$1))) + 'Fund YTD Contributions'!AD84,'Fund YTD Contributions'!AD84)"),0.0)</f>
        <v>0</v>
      </c>
      <c r="AE84" s="152">
        <f>IFERROR(__xludf.DUMMYFUNCTION("IFERROR(AD84 * (1 + AVERAGE(Filter('Inflation Data'!$C:$C,'Inflation Data'!$A:$A = AE$1))) + 'Fund YTD Contributions'!AE84,'Fund YTD Contributions'!AE84)"),0.0)</f>
        <v>0</v>
      </c>
      <c r="AF84" s="152">
        <f>IFERROR(__xludf.DUMMYFUNCTION("IFERROR(AE84 * (1 + AVERAGE(Filter('Inflation Data'!$C:$C,'Inflation Data'!$A:$A = AF$1))) + 'Fund YTD Contributions'!AF84,'Fund YTD Contributions'!AF84)"),0.0)</f>
        <v>0</v>
      </c>
    </row>
    <row r="85">
      <c r="A85" s="150" t="str">
        <f>'Endowed Funds'!A:A</f>
        <v/>
      </c>
      <c r="B85" s="152">
        <f>IFERROR(__xludf.DUMMYFUNCTION("IFERROR(A85 * (1 + AVERAGE(Filter('Inflation Data'!$C:$C,'Inflation Data'!$A:$A = B$1))) + 'Fund YTD Contributions'!B85,'Fund YTD Contributions'!B85)"),0.0)</f>
        <v>0</v>
      </c>
      <c r="C85" s="152">
        <f>IFERROR(__xludf.DUMMYFUNCTION("IFERROR(B85 * (1 + AVERAGE(Filter('Inflation Data'!$C:$C,'Inflation Data'!$A:$A = C$1))) + 'Fund YTD Contributions'!C85,'Fund YTD Contributions'!C85)"),0.0)</f>
        <v>0</v>
      </c>
      <c r="D85" s="152">
        <f>IFERROR(__xludf.DUMMYFUNCTION("IFERROR(C85 * (1 + AVERAGE(Filter('Inflation Data'!$C:$C,'Inflation Data'!$A:$A = D$1))) + 'Fund YTD Contributions'!D85,'Fund YTD Contributions'!D85)"),0.0)</f>
        <v>0</v>
      </c>
      <c r="E85" s="152">
        <f>IFERROR(__xludf.DUMMYFUNCTION("IFERROR(D85 * (1 + AVERAGE(Filter('Inflation Data'!$C:$C,'Inflation Data'!$A:$A = E$1))) + 'Fund YTD Contributions'!E85,'Fund YTD Contributions'!E85)"),0.0)</f>
        <v>0</v>
      </c>
      <c r="F85" s="152">
        <f>IFERROR(__xludf.DUMMYFUNCTION("IFERROR(E85 * (1 + AVERAGE(Filter('Inflation Data'!$C:$C,'Inflation Data'!$A:$A = F$1))) + 'Fund YTD Contributions'!F85,'Fund YTD Contributions'!F85)"),0.0)</f>
        <v>0</v>
      </c>
      <c r="G85" s="152">
        <f>IFERROR(__xludf.DUMMYFUNCTION("IFERROR(F85 * (1 + AVERAGE(Filter('Inflation Data'!$C:$C,'Inflation Data'!$A:$A = G$1))) + 'Fund YTD Contributions'!G85,'Fund YTD Contributions'!G85)"),0.0)</f>
        <v>0</v>
      </c>
      <c r="H85" s="152">
        <f>IFERROR(__xludf.DUMMYFUNCTION("IFERROR(G85 * (1 + AVERAGE(Filter('Inflation Data'!$C:$C,'Inflation Data'!$A:$A = H$1))) + 'Fund YTD Contributions'!H85,'Fund YTD Contributions'!H85)"),0.0)</f>
        <v>0</v>
      </c>
      <c r="I85" s="152">
        <f>IFERROR(__xludf.DUMMYFUNCTION("IFERROR(H85 * (1 + AVERAGE(Filter('Inflation Data'!$C:$C,'Inflation Data'!$A:$A = I$1))) + 'Fund YTD Contributions'!I85,'Fund YTD Contributions'!I85)"),0.0)</f>
        <v>0</v>
      </c>
      <c r="J85" s="152">
        <f>IFERROR(__xludf.DUMMYFUNCTION("IFERROR(I85 * (1 + AVERAGE(Filter('Inflation Data'!$C:$C,'Inflation Data'!$A:$A = J$1))) + 'Fund YTD Contributions'!J85,'Fund YTD Contributions'!J85)"),0.0)</f>
        <v>0</v>
      </c>
      <c r="K85" s="152">
        <f>IFERROR(__xludf.DUMMYFUNCTION("IFERROR(J85 * (1 + AVERAGE(Filter('Inflation Data'!$C:$C,'Inflation Data'!$A:$A = K$1))) + 'Fund YTD Contributions'!K85,'Fund YTD Contributions'!K85)"),0.0)</f>
        <v>0</v>
      </c>
      <c r="L85" s="152">
        <f>IFERROR(__xludf.DUMMYFUNCTION("IFERROR(K85 * (1 + AVERAGE(Filter('Inflation Data'!$C:$C,'Inflation Data'!$A:$A = L$1))) + 'Fund YTD Contributions'!L85,'Fund YTD Contributions'!L85)"),0.0)</f>
        <v>0</v>
      </c>
      <c r="M85" s="152">
        <f>IFERROR(__xludf.DUMMYFUNCTION("IFERROR(L85 * (1 + AVERAGE(Filter('Inflation Data'!$C:$C,'Inflation Data'!$A:$A = M$1))) + 'Fund YTD Contributions'!M85,'Fund YTD Contributions'!M85)"),0.0)</f>
        <v>0</v>
      </c>
      <c r="N85" s="152">
        <f>IFERROR(__xludf.DUMMYFUNCTION("IFERROR(M85 * (1 + AVERAGE(Filter('Inflation Data'!$C:$C,'Inflation Data'!$A:$A = N$1))) + 'Fund YTD Contributions'!N85,'Fund YTD Contributions'!N85)"),0.0)</f>
        <v>0</v>
      </c>
      <c r="O85" s="152">
        <f>IFERROR(__xludf.DUMMYFUNCTION("IFERROR(N85 * (1 + AVERAGE(Filter('Inflation Data'!$C:$C,'Inflation Data'!$A:$A = O$1))) + 'Fund YTD Contributions'!O85,'Fund YTD Contributions'!O85)"),0.0)</f>
        <v>0</v>
      </c>
      <c r="P85" s="152">
        <f>IFERROR(__xludf.DUMMYFUNCTION("IFERROR(O85 * (1 + AVERAGE(Filter('Inflation Data'!$C:$C,'Inflation Data'!$A:$A = P$1))) + 'Fund YTD Contributions'!P85,'Fund YTD Contributions'!P85)"),0.0)</f>
        <v>0</v>
      </c>
      <c r="Q85" s="152">
        <f>IFERROR(__xludf.DUMMYFUNCTION("IFERROR(P85 * (1 + AVERAGE(Filter('Inflation Data'!$C:$C,'Inflation Data'!$A:$A = Q$1))) + 'Fund YTD Contributions'!Q85,'Fund YTD Contributions'!Q85)"),0.0)</f>
        <v>0</v>
      </c>
      <c r="R85" s="152">
        <f>IFERROR(__xludf.DUMMYFUNCTION("IFERROR(Q85 * (1 + AVERAGE(Filter('Inflation Data'!$C:$C,'Inflation Data'!$A:$A = R$1))) + 'Fund YTD Contributions'!R85,'Fund YTD Contributions'!R85)"),0.0)</f>
        <v>0</v>
      </c>
      <c r="S85" s="152">
        <f>IFERROR(__xludf.DUMMYFUNCTION("IFERROR(R85 * (1 + AVERAGE(Filter('Inflation Data'!$C:$C,'Inflation Data'!$A:$A = S$1))) + 'Fund YTD Contributions'!S85,'Fund YTD Contributions'!S85)"),0.0)</f>
        <v>0</v>
      </c>
      <c r="T85" s="152">
        <f>IFERROR(__xludf.DUMMYFUNCTION("IFERROR(S85 * (1 + AVERAGE(Filter('Inflation Data'!$C:$C,'Inflation Data'!$A:$A = T$1))) + 'Fund YTD Contributions'!T85,'Fund YTD Contributions'!T85)"),0.0)</f>
        <v>0</v>
      </c>
      <c r="U85" s="152">
        <f>IFERROR(__xludf.DUMMYFUNCTION("IFERROR(T85 * (1 + AVERAGE(Filter('Inflation Data'!$C:$C,'Inflation Data'!$A:$A = U$1))) + 'Fund YTD Contributions'!U85,'Fund YTD Contributions'!U85)"),0.0)</f>
        <v>0</v>
      </c>
      <c r="V85" s="152">
        <f>IFERROR(__xludf.DUMMYFUNCTION("IFERROR(U85 * (1 + AVERAGE(Filter('Inflation Data'!$C:$C,'Inflation Data'!$A:$A = V$1))) + 'Fund YTD Contributions'!V85,'Fund YTD Contributions'!V85)"),0.0)</f>
        <v>0</v>
      </c>
      <c r="W85" s="152">
        <f>IFERROR(__xludf.DUMMYFUNCTION("IFERROR(V85 * (1 + AVERAGE(Filter('Inflation Data'!$C:$C,'Inflation Data'!$A:$A = W$1))) + 'Fund YTD Contributions'!W85,'Fund YTD Contributions'!W85)"),0.0)</f>
        <v>0</v>
      </c>
      <c r="X85" s="152">
        <f>IFERROR(__xludf.DUMMYFUNCTION("IFERROR(W85 * (1 + AVERAGE(Filter('Inflation Data'!$C:$C,'Inflation Data'!$A:$A = X$1))) + 'Fund YTD Contributions'!X85,'Fund YTD Contributions'!X85)"),0.0)</f>
        <v>0</v>
      </c>
      <c r="Y85" s="152">
        <f>IFERROR(__xludf.DUMMYFUNCTION("IFERROR(X85 * (1 + AVERAGE(Filter('Inflation Data'!$C:$C,'Inflation Data'!$A:$A = Y$1))) + 'Fund YTD Contributions'!Y85,'Fund YTD Contributions'!Y85)"),0.0)</f>
        <v>0</v>
      </c>
      <c r="Z85" s="152">
        <f>IFERROR(__xludf.DUMMYFUNCTION("IFERROR(Y85 * (1 + AVERAGE(Filter('Inflation Data'!$C:$C,'Inflation Data'!$A:$A = Z$1))) + 'Fund YTD Contributions'!Z85,'Fund YTD Contributions'!Z85)"),0.0)</f>
        <v>0</v>
      </c>
      <c r="AA85" s="152">
        <f>IFERROR(__xludf.DUMMYFUNCTION("IFERROR(Z85 * (1 + AVERAGE(Filter('Inflation Data'!$C:$C,'Inflation Data'!$A:$A = AA$1))) + 'Fund YTD Contributions'!AA85,'Fund YTD Contributions'!AA85)"),0.0)</f>
        <v>0</v>
      </c>
      <c r="AB85" s="152">
        <f>IFERROR(__xludf.DUMMYFUNCTION("IFERROR(AA85 * (1 + AVERAGE(Filter('Inflation Data'!$C:$C,'Inflation Data'!$A:$A = AB$1))) + 'Fund YTD Contributions'!AB85,'Fund YTD Contributions'!AB85)"),0.0)</f>
        <v>0</v>
      </c>
      <c r="AC85" s="152">
        <f>IFERROR(__xludf.DUMMYFUNCTION("IFERROR(AB85 * (1 + AVERAGE(Filter('Inflation Data'!$C:$C,'Inflation Data'!$A:$A = AC$1))) + 'Fund YTD Contributions'!AC85,'Fund YTD Contributions'!AC85)"),0.0)</f>
        <v>0</v>
      </c>
      <c r="AD85" s="152">
        <f>IFERROR(__xludf.DUMMYFUNCTION("IFERROR(AC85 * (1 + AVERAGE(Filter('Inflation Data'!$C:$C,'Inflation Data'!$A:$A = AD$1))) + 'Fund YTD Contributions'!AD85,'Fund YTD Contributions'!AD85)"),0.0)</f>
        <v>0</v>
      </c>
      <c r="AE85" s="152">
        <f>IFERROR(__xludf.DUMMYFUNCTION("IFERROR(AD85 * (1 + AVERAGE(Filter('Inflation Data'!$C:$C,'Inflation Data'!$A:$A = AE$1))) + 'Fund YTD Contributions'!AE85,'Fund YTD Contributions'!AE85)"),0.0)</f>
        <v>0</v>
      </c>
      <c r="AF85" s="152">
        <f>IFERROR(__xludf.DUMMYFUNCTION("IFERROR(AE85 * (1 + AVERAGE(Filter('Inflation Data'!$C:$C,'Inflation Data'!$A:$A = AF$1))) + 'Fund YTD Contributions'!AF85,'Fund YTD Contributions'!AF85)"),0.0)</f>
        <v>0</v>
      </c>
    </row>
    <row r="86">
      <c r="A86" s="150" t="str">
        <f>'Endowed Funds'!A:A</f>
        <v/>
      </c>
      <c r="B86" s="152">
        <f>IFERROR(__xludf.DUMMYFUNCTION("IFERROR(A86 * (1 + AVERAGE(Filter('Inflation Data'!$C:$C,'Inflation Data'!$A:$A = B$1))) + 'Fund YTD Contributions'!B86,'Fund YTD Contributions'!B86)"),0.0)</f>
        <v>0</v>
      </c>
      <c r="C86" s="152">
        <f>IFERROR(__xludf.DUMMYFUNCTION("IFERROR(B86 * (1 + AVERAGE(Filter('Inflation Data'!$C:$C,'Inflation Data'!$A:$A = C$1))) + 'Fund YTD Contributions'!C86,'Fund YTD Contributions'!C86)"),0.0)</f>
        <v>0</v>
      </c>
      <c r="D86" s="152">
        <f>IFERROR(__xludf.DUMMYFUNCTION("IFERROR(C86 * (1 + AVERAGE(Filter('Inflation Data'!$C:$C,'Inflation Data'!$A:$A = D$1))) + 'Fund YTD Contributions'!D86,'Fund YTD Contributions'!D86)"),0.0)</f>
        <v>0</v>
      </c>
      <c r="E86" s="152">
        <f>IFERROR(__xludf.DUMMYFUNCTION("IFERROR(D86 * (1 + AVERAGE(Filter('Inflation Data'!$C:$C,'Inflation Data'!$A:$A = E$1))) + 'Fund YTD Contributions'!E86,'Fund YTD Contributions'!E86)"),0.0)</f>
        <v>0</v>
      </c>
      <c r="F86" s="152">
        <f>IFERROR(__xludf.DUMMYFUNCTION("IFERROR(E86 * (1 + AVERAGE(Filter('Inflation Data'!$C:$C,'Inflation Data'!$A:$A = F$1))) + 'Fund YTD Contributions'!F86,'Fund YTD Contributions'!F86)"),0.0)</f>
        <v>0</v>
      </c>
      <c r="G86" s="152">
        <f>IFERROR(__xludf.DUMMYFUNCTION("IFERROR(F86 * (1 + AVERAGE(Filter('Inflation Data'!$C:$C,'Inflation Data'!$A:$A = G$1))) + 'Fund YTD Contributions'!G86,'Fund YTD Contributions'!G86)"),0.0)</f>
        <v>0</v>
      </c>
      <c r="H86" s="152">
        <f>IFERROR(__xludf.DUMMYFUNCTION("IFERROR(G86 * (1 + AVERAGE(Filter('Inflation Data'!$C:$C,'Inflation Data'!$A:$A = H$1))) + 'Fund YTD Contributions'!H86,'Fund YTD Contributions'!H86)"),0.0)</f>
        <v>0</v>
      </c>
      <c r="I86" s="152">
        <f>IFERROR(__xludf.DUMMYFUNCTION("IFERROR(H86 * (1 + AVERAGE(Filter('Inflation Data'!$C:$C,'Inflation Data'!$A:$A = I$1))) + 'Fund YTD Contributions'!I86,'Fund YTD Contributions'!I86)"),0.0)</f>
        <v>0</v>
      </c>
      <c r="J86" s="152">
        <f>IFERROR(__xludf.DUMMYFUNCTION("IFERROR(I86 * (1 + AVERAGE(Filter('Inflation Data'!$C:$C,'Inflation Data'!$A:$A = J$1))) + 'Fund YTD Contributions'!J86,'Fund YTD Contributions'!J86)"),0.0)</f>
        <v>0</v>
      </c>
      <c r="K86" s="152">
        <f>IFERROR(__xludf.DUMMYFUNCTION("IFERROR(J86 * (1 + AVERAGE(Filter('Inflation Data'!$C:$C,'Inflation Data'!$A:$A = K$1))) + 'Fund YTD Contributions'!K86,'Fund YTD Contributions'!K86)"),0.0)</f>
        <v>0</v>
      </c>
      <c r="L86" s="152">
        <f>IFERROR(__xludf.DUMMYFUNCTION("IFERROR(K86 * (1 + AVERAGE(Filter('Inflation Data'!$C:$C,'Inflation Data'!$A:$A = L$1))) + 'Fund YTD Contributions'!L86,'Fund YTD Contributions'!L86)"),0.0)</f>
        <v>0</v>
      </c>
      <c r="M86" s="152">
        <f>IFERROR(__xludf.DUMMYFUNCTION("IFERROR(L86 * (1 + AVERAGE(Filter('Inflation Data'!$C:$C,'Inflation Data'!$A:$A = M$1))) + 'Fund YTD Contributions'!M86,'Fund YTD Contributions'!M86)"),0.0)</f>
        <v>0</v>
      </c>
      <c r="N86" s="152">
        <f>IFERROR(__xludf.DUMMYFUNCTION("IFERROR(M86 * (1 + AVERAGE(Filter('Inflation Data'!$C:$C,'Inflation Data'!$A:$A = N$1))) + 'Fund YTD Contributions'!N86,'Fund YTD Contributions'!N86)"),0.0)</f>
        <v>0</v>
      </c>
      <c r="O86" s="152">
        <f>IFERROR(__xludf.DUMMYFUNCTION("IFERROR(N86 * (1 + AVERAGE(Filter('Inflation Data'!$C:$C,'Inflation Data'!$A:$A = O$1))) + 'Fund YTD Contributions'!O86,'Fund YTD Contributions'!O86)"),0.0)</f>
        <v>0</v>
      </c>
      <c r="P86" s="152">
        <f>IFERROR(__xludf.DUMMYFUNCTION("IFERROR(O86 * (1 + AVERAGE(Filter('Inflation Data'!$C:$C,'Inflation Data'!$A:$A = P$1))) + 'Fund YTD Contributions'!P86,'Fund YTD Contributions'!P86)"),0.0)</f>
        <v>0</v>
      </c>
      <c r="Q86" s="152">
        <f>IFERROR(__xludf.DUMMYFUNCTION("IFERROR(P86 * (1 + AVERAGE(Filter('Inflation Data'!$C:$C,'Inflation Data'!$A:$A = Q$1))) + 'Fund YTD Contributions'!Q86,'Fund YTD Contributions'!Q86)"),0.0)</f>
        <v>0</v>
      </c>
      <c r="R86" s="152">
        <f>IFERROR(__xludf.DUMMYFUNCTION("IFERROR(Q86 * (1 + AVERAGE(Filter('Inflation Data'!$C:$C,'Inflation Data'!$A:$A = R$1))) + 'Fund YTD Contributions'!R86,'Fund YTD Contributions'!R86)"),0.0)</f>
        <v>0</v>
      </c>
      <c r="S86" s="152">
        <f>IFERROR(__xludf.DUMMYFUNCTION("IFERROR(R86 * (1 + AVERAGE(Filter('Inflation Data'!$C:$C,'Inflation Data'!$A:$A = S$1))) + 'Fund YTD Contributions'!S86,'Fund YTD Contributions'!S86)"),0.0)</f>
        <v>0</v>
      </c>
      <c r="T86" s="152">
        <f>IFERROR(__xludf.DUMMYFUNCTION("IFERROR(S86 * (1 + AVERAGE(Filter('Inflation Data'!$C:$C,'Inflation Data'!$A:$A = T$1))) + 'Fund YTD Contributions'!T86,'Fund YTD Contributions'!T86)"),0.0)</f>
        <v>0</v>
      </c>
      <c r="U86" s="152">
        <f>IFERROR(__xludf.DUMMYFUNCTION("IFERROR(T86 * (1 + AVERAGE(Filter('Inflation Data'!$C:$C,'Inflation Data'!$A:$A = U$1))) + 'Fund YTD Contributions'!U86,'Fund YTD Contributions'!U86)"),0.0)</f>
        <v>0</v>
      </c>
      <c r="V86" s="152">
        <f>IFERROR(__xludf.DUMMYFUNCTION("IFERROR(U86 * (1 + AVERAGE(Filter('Inflation Data'!$C:$C,'Inflation Data'!$A:$A = V$1))) + 'Fund YTD Contributions'!V86,'Fund YTD Contributions'!V86)"),0.0)</f>
        <v>0</v>
      </c>
      <c r="W86" s="152">
        <f>IFERROR(__xludf.DUMMYFUNCTION("IFERROR(V86 * (1 + AVERAGE(Filter('Inflation Data'!$C:$C,'Inflation Data'!$A:$A = W$1))) + 'Fund YTD Contributions'!W86,'Fund YTD Contributions'!W86)"),0.0)</f>
        <v>0</v>
      </c>
      <c r="X86" s="152">
        <f>IFERROR(__xludf.DUMMYFUNCTION("IFERROR(W86 * (1 + AVERAGE(Filter('Inflation Data'!$C:$C,'Inflation Data'!$A:$A = X$1))) + 'Fund YTD Contributions'!X86,'Fund YTD Contributions'!X86)"),0.0)</f>
        <v>0</v>
      </c>
      <c r="Y86" s="152">
        <f>IFERROR(__xludf.DUMMYFUNCTION("IFERROR(X86 * (1 + AVERAGE(Filter('Inflation Data'!$C:$C,'Inflation Data'!$A:$A = Y$1))) + 'Fund YTD Contributions'!Y86,'Fund YTD Contributions'!Y86)"),0.0)</f>
        <v>0</v>
      </c>
      <c r="Z86" s="152">
        <f>IFERROR(__xludf.DUMMYFUNCTION("IFERROR(Y86 * (1 + AVERAGE(Filter('Inflation Data'!$C:$C,'Inflation Data'!$A:$A = Z$1))) + 'Fund YTD Contributions'!Z86,'Fund YTD Contributions'!Z86)"),0.0)</f>
        <v>0</v>
      </c>
      <c r="AA86" s="152">
        <f>IFERROR(__xludf.DUMMYFUNCTION("IFERROR(Z86 * (1 + AVERAGE(Filter('Inflation Data'!$C:$C,'Inflation Data'!$A:$A = AA$1))) + 'Fund YTD Contributions'!AA86,'Fund YTD Contributions'!AA86)"),0.0)</f>
        <v>0</v>
      </c>
      <c r="AB86" s="152">
        <f>IFERROR(__xludf.DUMMYFUNCTION("IFERROR(AA86 * (1 + AVERAGE(Filter('Inflation Data'!$C:$C,'Inflation Data'!$A:$A = AB$1))) + 'Fund YTD Contributions'!AB86,'Fund YTD Contributions'!AB86)"),0.0)</f>
        <v>0</v>
      </c>
      <c r="AC86" s="152">
        <f>IFERROR(__xludf.DUMMYFUNCTION("IFERROR(AB86 * (1 + AVERAGE(Filter('Inflation Data'!$C:$C,'Inflation Data'!$A:$A = AC$1))) + 'Fund YTD Contributions'!AC86,'Fund YTD Contributions'!AC86)"),0.0)</f>
        <v>0</v>
      </c>
      <c r="AD86" s="152">
        <f>IFERROR(__xludf.DUMMYFUNCTION("IFERROR(AC86 * (1 + AVERAGE(Filter('Inflation Data'!$C:$C,'Inflation Data'!$A:$A = AD$1))) + 'Fund YTD Contributions'!AD86,'Fund YTD Contributions'!AD86)"),0.0)</f>
        <v>0</v>
      </c>
      <c r="AE86" s="152">
        <f>IFERROR(__xludf.DUMMYFUNCTION("IFERROR(AD86 * (1 + AVERAGE(Filter('Inflation Data'!$C:$C,'Inflation Data'!$A:$A = AE$1))) + 'Fund YTD Contributions'!AE86,'Fund YTD Contributions'!AE86)"),0.0)</f>
        <v>0</v>
      </c>
      <c r="AF86" s="152">
        <f>IFERROR(__xludf.DUMMYFUNCTION("IFERROR(AE86 * (1 + AVERAGE(Filter('Inflation Data'!$C:$C,'Inflation Data'!$A:$A = AF$1))) + 'Fund YTD Contributions'!AF86,'Fund YTD Contributions'!AF86)"),0.0)</f>
        <v>0</v>
      </c>
    </row>
    <row r="87">
      <c r="A87" s="150" t="str">
        <f>'Endowed Funds'!A:A</f>
        <v/>
      </c>
      <c r="B87" s="152">
        <f>IFERROR(__xludf.DUMMYFUNCTION("IFERROR(A87 * (1 + AVERAGE(Filter('Inflation Data'!$C:$C,'Inflation Data'!$A:$A = B$1))) + 'Fund YTD Contributions'!B87,'Fund YTD Contributions'!B87)"),0.0)</f>
        <v>0</v>
      </c>
      <c r="C87" s="152">
        <f>IFERROR(__xludf.DUMMYFUNCTION("IFERROR(B87 * (1 + AVERAGE(Filter('Inflation Data'!$C:$C,'Inflation Data'!$A:$A = C$1))) + 'Fund YTD Contributions'!C87,'Fund YTD Contributions'!C87)"),0.0)</f>
        <v>0</v>
      </c>
      <c r="D87" s="152">
        <f>IFERROR(__xludf.DUMMYFUNCTION("IFERROR(C87 * (1 + AVERAGE(Filter('Inflation Data'!$C:$C,'Inflation Data'!$A:$A = D$1))) + 'Fund YTD Contributions'!D87,'Fund YTD Contributions'!D87)"),0.0)</f>
        <v>0</v>
      </c>
      <c r="E87" s="152">
        <f>IFERROR(__xludf.DUMMYFUNCTION("IFERROR(D87 * (1 + AVERAGE(Filter('Inflation Data'!$C:$C,'Inflation Data'!$A:$A = E$1))) + 'Fund YTD Contributions'!E87,'Fund YTD Contributions'!E87)"),0.0)</f>
        <v>0</v>
      </c>
      <c r="F87" s="152">
        <f>IFERROR(__xludf.DUMMYFUNCTION("IFERROR(E87 * (1 + AVERAGE(Filter('Inflation Data'!$C:$C,'Inflation Data'!$A:$A = F$1))) + 'Fund YTD Contributions'!F87,'Fund YTD Contributions'!F87)"),0.0)</f>
        <v>0</v>
      </c>
      <c r="G87" s="152">
        <f>IFERROR(__xludf.DUMMYFUNCTION("IFERROR(F87 * (1 + AVERAGE(Filter('Inflation Data'!$C:$C,'Inflation Data'!$A:$A = G$1))) + 'Fund YTD Contributions'!G87,'Fund YTD Contributions'!G87)"),0.0)</f>
        <v>0</v>
      </c>
      <c r="H87" s="152">
        <f>IFERROR(__xludf.DUMMYFUNCTION("IFERROR(G87 * (1 + AVERAGE(Filter('Inflation Data'!$C:$C,'Inflation Data'!$A:$A = H$1))) + 'Fund YTD Contributions'!H87,'Fund YTD Contributions'!H87)"),0.0)</f>
        <v>0</v>
      </c>
      <c r="I87" s="152">
        <f>IFERROR(__xludf.DUMMYFUNCTION("IFERROR(H87 * (1 + AVERAGE(Filter('Inflation Data'!$C:$C,'Inflation Data'!$A:$A = I$1))) + 'Fund YTD Contributions'!I87,'Fund YTD Contributions'!I87)"),0.0)</f>
        <v>0</v>
      </c>
      <c r="J87" s="152">
        <f>IFERROR(__xludf.DUMMYFUNCTION("IFERROR(I87 * (1 + AVERAGE(Filter('Inflation Data'!$C:$C,'Inflation Data'!$A:$A = J$1))) + 'Fund YTD Contributions'!J87,'Fund YTD Contributions'!J87)"),0.0)</f>
        <v>0</v>
      </c>
      <c r="K87" s="152">
        <f>IFERROR(__xludf.DUMMYFUNCTION("IFERROR(J87 * (1 + AVERAGE(Filter('Inflation Data'!$C:$C,'Inflation Data'!$A:$A = K$1))) + 'Fund YTD Contributions'!K87,'Fund YTD Contributions'!K87)"),0.0)</f>
        <v>0</v>
      </c>
      <c r="L87" s="152">
        <f>IFERROR(__xludf.DUMMYFUNCTION("IFERROR(K87 * (1 + AVERAGE(Filter('Inflation Data'!$C:$C,'Inflation Data'!$A:$A = L$1))) + 'Fund YTD Contributions'!L87,'Fund YTD Contributions'!L87)"),0.0)</f>
        <v>0</v>
      </c>
      <c r="M87" s="152">
        <f>IFERROR(__xludf.DUMMYFUNCTION("IFERROR(L87 * (1 + AVERAGE(Filter('Inflation Data'!$C:$C,'Inflation Data'!$A:$A = M$1))) + 'Fund YTD Contributions'!M87,'Fund YTD Contributions'!M87)"),0.0)</f>
        <v>0</v>
      </c>
      <c r="N87" s="152">
        <f>IFERROR(__xludf.DUMMYFUNCTION("IFERROR(M87 * (1 + AVERAGE(Filter('Inflation Data'!$C:$C,'Inflation Data'!$A:$A = N$1))) + 'Fund YTD Contributions'!N87,'Fund YTD Contributions'!N87)"),0.0)</f>
        <v>0</v>
      </c>
      <c r="O87" s="152">
        <f>IFERROR(__xludf.DUMMYFUNCTION("IFERROR(N87 * (1 + AVERAGE(Filter('Inflation Data'!$C:$C,'Inflation Data'!$A:$A = O$1))) + 'Fund YTD Contributions'!O87,'Fund YTD Contributions'!O87)"),0.0)</f>
        <v>0</v>
      </c>
      <c r="P87" s="152">
        <f>IFERROR(__xludf.DUMMYFUNCTION("IFERROR(O87 * (1 + AVERAGE(Filter('Inflation Data'!$C:$C,'Inflation Data'!$A:$A = P$1))) + 'Fund YTD Contributions'!P87,'Fund YTD Contributions'!P87)"),0.0)</f>
        <v>0</v>
      </c>
      <c r="Q87" s="152">
        <f>IFERROR(__xludf.DUMMYFUNCTION("IFERROR(P87 * (1 + AVERAGE(Filter('Inflation Data'!$C:$C,'Inflation Data'!$A:$A = Q$1))) + 'Fund YTD Contributions'!Q87,'Fund YTD Contributions'!Q87)"),0.0)</f>
        <v>0</v>
      </c>
      <c r="R87" s="152">
        <f>IFERROR(__xludf.DUMMYFUNCTION("IFERROR(Q87 * (1 + AVERAGE(Filter('Inflation Data'!$C:$C,'Inflation Data'!$A:$A = R$1))) + 'Fund YTD Contributions'!R87,'Fund YTD Contributions'!R87)"),0.0)</f>
        <v>0</v>
      </c>
      <c r="S87" s="152">
        <f>IFERROR(__xludf.DUMMYFUNCTION("IFERROR(R87 * (1 + AVERAGE(Filter('Inflation Data'!$C:$C,'Inflation Data'!$A:$A = S$1))) + 'Fund YTD Contributions'!S87,'Fund YTD Contributions'!S87)"),0.0)</f>
        <v>0</v>
      </c>
      <c r="T87" s="152">
        <f>IFERROR(__xludf.DUMMYFUNCTION("IFERROR(S87 * (1 + AVERAGE(Filter('Inflation Data'!$C:$C,'Inflation Data'!$A:$A = T$1))) + 'Fund YTD Contributions'!T87,'Fund YTD Contributions'!T87)"),0.0)</f>
        <v>0</v>
      </c>
      <c r="U87" s="152">
        <f>IFERROR(__xludf.DUMMYFUNCTION("IFERROR(T87 * (1 + AVERAGE(Filter('Inflation Data'!$C:$C,'Inflation Data'!$A:$A = U$1))) + 'Fund YTD Contributions'!U87,'Fund YTD Contributions'!U87)"),0.0)</f>
        <v>0</v>
      </c>
      <c r="V87" s="152">
        <f>IFERROR(__xludf.DUMMYFUNCTION("IFERROR(U87 * (1 + AVERAGE(Filter('Inflation Data'!$C:$C,'Inflation Data'!$A:$A = V$1))) + 'Fund YTD Contributions'!V87,'Fund YTD Contributions'!V87)"),0.0)</f>
        <v>0</v>
      </c>
      <c r="W87" s="152">
        <f>IFERROR(__xludf.DUMMYFUNCTION("IFERROR(V87 * (1 + AVERAGE(Filter('Inflation Data'!$C:$C,'Inflation Data'!$A:$A = W$1))) + 'Fund YTD Contributions'!W87,'Fund YTD Contributions'!W87)"),0.0)</f>
        <v>0</v>
      </c>
      <c r="X87" s="152">
        <f>IFERROR(__xludf.DUMMYFUNCTION("IFERROR(W87 * (1 + AVERAGE(Filter('Inflation Data'!$C:$C,'Inflation Data'!$A:$A = X$1))) + 'Fund YTD Contributions'!X87,'Fund YTD Contributions'!X87)"),0.0)</f>
        <v>0</v>
      </c>
      <c r="Y87" s="152">
        <f>IFERROR(__xludf.DUMMYFUNCTION("IFERROR(X87 * (1 + AVERAGE(Filter('Inflation Data'!$C:$C,'Inflation Data'!$A:$A = Y$1))) + 'Fund YTD Contributions'!Y87,'Fund YTD Contributions'!Y87)"),0.0)</f>
        <v>0</v>
      </c>
      <c r="Z87" s="152">
        <f>IFERROR(__xludf.DUMMYFUNCTION("IFERROR(Y87 * (1 + AVERAGE(Filter('Inflation Data'!$C:$C,'Inflation Data'!$A:$A = Z$1))) + 'Fund YTD Contributions'!Z87,'Fund YTD Contributions'!Z87)"),0.0)</f>
        <v>0</v>
      </c>
      <c r="AA87" s="152">
        <f>IFERROR(__xludf.DUMMYFUNCTION("IFERROR(Z87 * (1 + AVERAGE(Filter('Inflation Data'!$C:$C,'Inflation Data'!$A:$A = AA$1))) + 'Fund YTD Contributions'!AA87,'Fund YTD Contributions'!AA87)"),0.0)</f>
        <v>0</v>
      </c>
      <c r="AB87" s="152">
        <f>IFERROR(__xludf.DUMMYFUNCTION("IFERROR(AA87 * (1 + AVERAGE(Filter('Inflation Data'!$C:$C,'Inflation Data'!$A:$A = AB$1))) + 'Fund YTD Contributions'!AB87,'Fund YTD Contributions'!AB87)"),0.0)</f>
        <v>0</v>
      </c>
      <c r="AC87" s="152">
        <f>IFERROR(__xludf.DUMMYFUNCTION("IFERROR(AB87 * (1 + AVERAGE(Filter('Inflation Data'!$C:$C,'Inflation Data'!$A:$A = AC$1))) + 'Fund YTD Contributions'!AC87,'Fund YTD Contributions'!AC87)"),0.0)</f>
        <v>0</v>
      </c>
      <c r="AD87" s="152">
        <f>IFERROR(__xludf.DUMMYFUNCTION("IFERROR(AC87 * (1 + AVERAGE(Filter('Inflation Data'!$C:$C,'Inflation Data'!$A:$A = AD$1))) + 'Fund YTD Contributions'!AD87,'Fund YTD Contributions'!AD87)"),0.0)</f>
        <v>0</v>
      </c>
      <c r="AE87" s="152">
        <f>IFERROR(__xludf.DUMMYFUNCTION("IFERROR(AD87 * (1 + AVERAGE(Filter('Inflation Data'!$C:$C,'Inflation Data'!$A:$A = AE$1))) + 'Fund YTD Contributions'!AE87,'Fund YTD Contributions'!AE87)"),0.0)</f>
        <v>0</v>
      </c>
      <c r="AF87" s="152">
        <f>IFERROR(__xludf.DUMMYFUNCTION("IFERROR(AE87 * (1 + AVERAGE(Filter('Inflation Data'!$C:$C,'Inflation Data'!$A:$A = AF$1))) + 'Fund YTD Contributions'!AF87,'Fund YTD Contributions'!AF87)"),0.0)</f>
        <v>0</v>
      </c>
    </row>
    <row r="88">
      <c r="A88" s="150" t="str">
        <f>'Endowed Funds'!A:A</f>
        <v/>
      </c>
      <c r="B88" s="152">
        <f>IFERROR(__xludf.DUMMYFUNCTION("IFERROR(A88 * (1 + AVERAGE(Filter('Inflation Data'!$C:$C,'Inflation Data'!$A:$A = B$1))) + 'Fund YTD Contributions'!B88,'Fund YTD Contributions'!B88)"),0.0)</f>
        <v>0</v>
      </c>
      <c r="C88" s="152">
        <f>IFERROR(__xludf.DUMMYFUNCTION("IFERROR(B88 * (1 + AVERAGE(Filter('Inflation Data'!$C:$C,'Inflation Data'!$A:$A = C$1))) + 'Fund YTD Contributions'!C88,'Fund YTD Contributions'!C88)"),0.0)</f>
        <v>0</v>
      </c>
      <c r="D88" s="152">
        <f>IFERROR(__xludf.DUMMYFUNCTION("IFERROR(C88 * (1 + AVERAGE(Filter('Inflation Data'!$C:$C,'Inflation Data'!$A:$A = D$1))) + 'Fund YTD Contributions'!D88,'Fund YTD Contributions'!D88)"),0.0)</f>
        <v>0</v>
      </c>
      <c r="E88" s="152">
        <f>IFERROR(__xludf.DUMMYFUNCTION("IFERROR(D88 * (1 + AVERAGE(Filter('Inflation Data'!$C:$C,'Inflation Data'!$A:$A = E$1))) + 'Fund YTD Contributions'!E88,'Fund YTD Contributions'!E88)"),0.0)</f>
        <v>0</v>
      </c>
      <c r="F88" s="152">
        <f>IFERROR(__xludf.DUMMYFUNCTION("IFERROR(E88 * (1 + AVERAGE(Filter('Inflation Data'!$C:$C,'Inflation Data'!$A:$A = F$1))) + 'Fund YTD Contributions'!F88,'Fund YTD Contributions'!F88)"),0.0)</f>
        <v>0</v>
      </c>
      <c r="G88" s="152">
        <f>IFERROR(__xludf.DUMMYFUNCTION("IFERROR(F88 * (1 + AVERAGE(Filter('Inflation Data'!$C:$C,'Inflation Data'!$A:$A = G$1))) + 'Fund YTD Contributions'!G88,'Fund YTD Contributions'!G88)"),0.0)</f>
        <v>0</v>
      </c>
      <c r="H88" s="152">
        <f>IFERROR(__xludf.DUMMYFUNCTION("IFERROR(G88 * (1 + AVERAGE(Filter('Inflation Data'!$C:$C,'Inflation Data'!$A:$A = H$1))) + 'Fund YTD Contributions'!H88,'Fund YTD Contributions'!H88)"),0.0)</f>
        <v>0</v>
      </c>
      <c r="I88" s="152">
        <f>IFERROR(__xludf.DUMMYFUNCTION("IFERROR(H88 * (1 + AVERAGE(Filter('Inflation Data'!$C:$C,'Inflation Data'!$A:$A = I$1))) + 'Fund YTD Contributions'!I88,'Fund YTD Contributions'!I88)"),0.0)</f>
        <v>0</v>
      </c>
      <c r="J88" s="152">
        <f>IFERROR(__xludf.DUMMYFUNCTION("IFERROR(I88 * (1 + AVERAGE(Filter('Inflation Data'!$C:$C,'Inflation Data'!$A:$A = J$1))) + 'Fund YTD Contributions'!J88,'Fund YTD Contributions'!J88)"),0.0)</f>
        <v>0</v>
      </c>
      <c r="K88" s="152">
        <f>IFERROR(__xludf.DUMMYFUNCTION("IFERROR(J88 * (1 + AVERAGE(Filter('Inflation Data'!$C:$C,'Inflation Data'!$A:$A = K$1))) + 'Fund YTD Contributions'!K88,'Fund YTD Contributions'!K88)"),0.0)</f>
        <v>0</v>
      </c>
      <c r="L88" s="152">
        <f>IFERROR(__xludf.DUMMYFUNCTION("IFERROR(K88 * (1 + AVERAGE(Filter('Inflation Data'!$C:$C,'Inflation Data'!$A:$A = L$1))) + 'Fund YTD Contributions'!L88,'Fund YTD Contributions'!L88)"),0.0)</f>
        <v>0</v>
      </c>
      <c r="M88" s="152">
        <f>IFERROR(__xludf.DUMMYFUNCTION("IFERROR(L88 * (1 + AVERAGE(Filter('Inflation Data'!$C:$C,'Inflation Data'!$A:$A = M$1))) + 'Fund YTD Contributions'!M88,'Fund YTD Contributions'!M88)"),0.0)</f>
        <v>0</v>
      </c>
      <c r="N88" s="152">
        <f>IFERROR(__xludf.DUMMYFUNCTION("IFERROR(M88 * (1 + AVERAGE(Filter('Inflation Data'!$C:$C,'Inflation Data'!$A:$A = N$1))) + 'Fund YTD Contributions'!N88,'Fund YTD Contributions'!N88)"),0.0)</f>
        <v>0</v>
      </c>
      <c r="O88" s="152">
        <f>IFERROR(__xludf.DUMMYFUNCTION("IFERROR(N88 * (1 + AVERAGE(Filter('Inflation Data'!$C:$C,'Inflation Data'!$A:$A = O$1))) + 'Fund YTD Contributions'!O88,'Fund YTD Contributions'!O88)"),0.0)</f>
        <v>0</v>
      </c>
      <c r="P88" s="152">
        <f>IFERROR(__xludf.DUMMYFUNCTION("IFERROR(O88 * (1 + AVERAGE(Filter('Inflation Data'!$C:$C,'Inflation Data'!$A:$A = P$1))) + 'Fund YTD Contributions'!P88,'Fund YTD Contributions'!P88)"),0.0)</f>
        <v>0</v>
      </c>
      <c r="Q88" s="152">
        <f>IFERROR(__xludf.DUMMYFUNCTION("IFERROR(P88 * (1 + AVERAGE(Filter('Inflation Data'!$C:$C,'Inflation Data'!$A:$A = Q$1))) + 'Fund YTD Contributions'!Q88,'Fund YTD Contributions'!Q88)"),0.0)</f>
        <v>0</v>
      </c>
      <c r="R88" s="152">
        <f>IFERROR(__xludf.DUMMYFUNCTION("IFERROR(Q88 * (1 + AVERAGE(Filter('Inflation Data'!$C:$C,'Inflation Data'!$A:$A = R$1))) + 'Fund YTD Contributions'!R88,'Fund YTD Contributions'!R88)"),0.0)</f>
        <v>0</v>
      </c>
      <c r="S88" s="152">
        <f>IFERROR(__xludf.DUMMYFUNCTION("IFERROR(R88 * (1 + AVERAGE(Filter('Inflation Data'!$C:$C,'Inflation Data'!$A:$A = S$1))) + 'Fund YTD Contributions'!S88,'Fund YTD Contributions'!S88)"),0.0)</f>
        <v>0</v>
      </c>
      <c r="T88" s="152">
        <f>IFERROR(__xludf.DUMMYFUNCTION("IFERROR(S88 * (1 + AVERAGE(Filter('Inflation Data'!$C:$C,'Inflation Data'!$A:$A = T$1))) + 'Fund YTD Contributions'!T88,'Fund YTD Contributions'!T88)"),0.0)</f>
        <v>0</v>
      </c>
      <c r="U88" s="152">
        <f>IFERROR(__xludf.DUMMYFUNCTION("IFERROR(T88 * (1 + AVERAGE(Filter('Inflation Data'!$C:$C,'Inflation Data'!$A:$A = U$1))) + 'Fund YTD Contributions'!U88,'Fund YTD Contributions'!U88)"),0.0)</f>
        <v>0</v>
      </c>
      <c r="V88" s="152">
        <f>IFERROR(__xludf.DUMMYFUNCTION("IFERROR(U88 * (1 + AVERAGE(Filter('Inflation Data'!$C:$C,'Inflation Data'!$A:$A = V$1))) + 'Fund YTD Contributions'!V88,'Fund YTD Contributions'!V88)"),0.0)</f>
        <v>0</v>
      </c>
      <c r="W88" s="152">
        <f>IFERROR(__xludf.DUMMYFUNCTION("IFERROR(V88 * (1 + AVERAGE(Filter('Inflation Data'!$C:$C,'Inflation Data'!$A:$A = W$1))) + 'Fund YTD Contributions'!W88,'Fund YTD Contributions'!W88)"),0.0)</f>
        <v>0</v>
      </c>
      <c r="X88" s="152">
        <f>IFERROR(__xludf.DUMMYFUNCTION("IFERROR(W88 * (1 + AVERAGE(Filter('Inflation Data'!$C:$C,'Inflation Data'!$A:$A = X$1))) + 'Fund YTD Contributions'!X88,'Fund YTD Contributions'!X88)"),0.0)</f>
        <v>0</v>
      </c>
      <c r="Y88" s="152">
        <f>IFERROR(__xludf.DUMMYFUNCTION("IFERROR(X88 * (1 + AVERAGE(Filter('Inflation Data'!$C:$C,'Inflation Data'!$A:$A = Y$1))) + 'Fund YTD Contributions'!Y88,'Fund YTD Contributions'!Y88)"),0.0)</f>
        <v>0</v>
      </c>
      <c r="Z88" s="152">
        <f>IFERROR(__xludf.DUMMYFUNCTION("IFERROR(Y88 * (1 + AVERAGE(Filter('Inflation Data'!$C:$C,'Inflation Data'!$A:$A = Z$1))) + 'Fund YTD Contributions'!Z88,'Fund YTD Contributions'!Z88)"),0.0)</f>
        <v>0</v>
      </c>
      <c r="AA88" s="152">
        <f>IFERROR(__xludf.DUMMYFUNCTION("IFERROR(Z88 * (1 + AVERAGE(Filter('Inflation Data'!$C:$C,'Inflation Data'!$A:$A = AA$1))) + 'Fund YTD Contributions'!AA88,'Fund YTD Contributions'!AA88)"),0.0)</f>
        <v>0</v>
      </c>
      <c r="AB88" s="152">
        <f>IFERROR(__xludf.DUMMYFUNCTION("IFERROR(AA88 * (1 + AVERAGE(Filter('Inflation Data'!$C:$C,'Inflation Data'!$A:$A = AB$1))) + 'Fund YTD Contributions'!AB88,'Fund YTD Contributions'!AB88)"),0.0)</f>
        <v>0</v>
      </c>
      <c r="AC88" s="152">
        <f>IFERROR(__xludf.DUMMYFUNCTION("IFERROR(AB88 * (1 + AVERAGE(Filter('Inflation Data'!$C:$C,'Inflation Data'!$A:$A = AC$1))) + 'Fund YTD Contributions'!AC88,'Fund YTD Contributions'!AC88)"),0.0)</f>
        <v>0</v>
      </c>
      <c r="AD88" s="152">
        <f>IFERROR(__xludf.DUMMYFUNCTION("IFERROR(AC88 * (1 + AVERAGE(Filter('Inflation Data'!$C:$C,'Inflation Data'!$A:$A = AD$1))) + 'Fund YTD Contributions'!AD88,'Fund YTD Contributions'!AD88)"),0.0)</f>
        <v>0</v>
      </c>
      <c r="AE88" s="152">
        <f>IFERROR(__xludf.DUMMYFUNCTION("IFERROR(AD88 * (1 + AVERAGE(Filter('Inflation Data'!$C:$C,'Inflation Data'!$A:$A = AE$1))) + 'Fund YTD Contributions'!AE88,'Fund YTD Contributions'!AE88)"),0.0)</f>
        <v>0</v>
      </c>
      <c r="AF88" s="152">
        <f>IFERROR(__xludf.DUMMYFUNCTION("IFERROR(AE88 * (1 + AVERAGE(Filter('Inflation Data'!$C:$C,'Inflation Data'!$A:$A = AF$1))) + 'Fund YTD Contributions'!AF88,'Fund YTD Contributions'!AF88)"),0.0)</f>
        <v>0</v>
      </c>
    </row>
    <row r="89">
      <c r="A89" s="150" t="str">
        <f>'Endowed Funds'!A:A</f>
        <v/>
      </c>
      <c r="B89" s="152">
        <f>IFERROR(__xludf.DUMMYFUNCTION("IFERROR(A89 * (1 + AVERAGE(Filter('Inflation Data'!$C:$C,'Inflation Data'!$A:$A = B$1))) + 'Fund YTD Contributions'!B89,'Fund YTD Contributions'!B89)"),0.0)</f>
        <v>0</v>
      </c>
      <c r="C89" s="152">
        <f>IFERROR(__xludf.DUMMYFUNCTION("IFERROR(B89 * (1 + AVERAGE(Filter('Inflation Data'!$C:$C,'Inflation Data'!$A:$A = C$1))) + 'Fund YTD Contributions'!C89,'Fund YTD Contributions'!C89)"),0.0)</f>
        <v>0</v>
      </c>
      <c r="D89" s="152">
        <f>IFERROR(__xludf.DUMMYFUNCTION("IFERROR(C89 * (1 + AVERAGE(Filter('Inflation Data'!$C:$C,'Inflation Data'!$A:$A = D$1))) + 'Fund YTD Contributions'!D89,'Fund YTD Contributions'!D89)"),0.0)</f>
        <v>0</v>
      </c>
      <c r="E89" s="152">
        <f>IFERROR(__xludf.DUMMYFUNCTION("IFERROR(D89 * (1 + AVERAGE(Filter('Inflation Data'!$C:$C,'Inflation Data'!$A:$A = E$1))) + 'Fund YTD Contributions'!E89,'Fund YTD Contributions'!E89)"),0.0)</f>
        <v>0</v>
      </c>
      <c r="F89" s="152">
        <f>IFERROR(__xludf.DUMMYFUNCTION("IFERROR(E89 * (1 + AVERAGE(Filter('Inflation Data'!$C:$C,'Inflation Data'!$A:$A = F$1))) + 'Fund YTD Contributions'!F89,'Fund YTD Contributions'!F89)"),0.0)</f>
        <v>0</v>
      </c>
      <c r="G89" s="152">
        <f>IFERROR(__xludf.DUMMYFUNCTION("IFERROR(F89 * (1 + AVERAGE(Filter('Inflation Data'!$C:$C,'Inflation Data'!$A:$A = G$1))) + 'Fund YTD Contributions'!G89,'Fund YTD Contributions'!G89)"),0.0)</f>
        <v>0</v>
      </c>
      <c r="H89" s="152">
        <f>IFERROR(__xludf.DUMMYFUNCTION("IFERROR(G89 * (1 + AVERAGE(Filter('Inflation Data'!$C:$C,'Inflation Data'!$A:$A = H$1))) + 'Fund YTD Contributions'!H89,'Fund YTD Contributions'!H89)"),0.0)</f>
        <v>0</v>
      </c>
      <c r="I89" s="152">
        <f>IFERROR(__xludf.DUMMYFUNCTION("IFERROR(H89 * (1 + AVERAGE(Filter('Inflation Data'!$C:$C,'Inflation Data'!$A:$A = I$1))) + 'Fund YTD Contributions'!I89,'Fund YTD Contributions'!I89)"),0.0)</f>
        <v>0</v>
      </c>
      <c r="J89" s="152">
        <f>IFERROR(__xludf.DUMMYFUNCTION("IFERROR(I89 * (1 + AVERAGE(Filter('Inflation Data'!$C:$C,'Inflation Data'!$A:$A = J$1))) + 'Fund YTD Contributions'!J89,'Fund YTD Contributions'!J89)"),0.0)</f>
        <v>0</v>
      </c>
      <c r="K89" s="152">
        <f>IFERROR(__xludf.DUMMYFUNCTION("IFERROR(J89 * (1 + AVERAGE(Filter('Inflation Data'!$C:$C,'Inflation Data'!$A:$A = K$1))) + 'Fund YTD Contributions'!K89,'Fund YTD Contributions'!K89)"),0.0)</f>
        <v>0</v>
      </c>
      <c r="L89" s="152">
        <f>IFERROR(__xludf.DUMMYFUNCTION("IFERROR(K89 * (1 + AVERAGE(Filter('Inflation Data'!$C:$C,'Inflation Data'!$A:$A = L$1))) + 'Fund YTD Contributions'!L89,'Fund YTD Contributions'!L89)"),0.0)</f>
        <v>0</v>
      </c>
      <c r="M89" s="152">
        <f>IFERROR(__xludf.DUMMYFUNCTION("IFERROR(L89 * (1 + AVERAGE(Filter('Inflation Data'!$C:$C,'Inflation Data'!$A:$A = M$1))) + 'Fund YTD Contributions'!M89,'Fund YTD Contributions'!M89)"),0.0)</f>
        <v>0</v>
      </c>
      <c r="N89" s="152">
        <f>IFERROR(__xludf.DUMMYFUNCTION("IFERROR(M89 * (1 + AVERAGE(Filter('Inflation Data'!$C:$C,'Inflation Data'!$A:$A = N$1))) + 'Fund YTD Contributions'!N89,'Fund YTD Contributions'!N89)"),0.0)</f>
        <v>0</v>
      </c>
      <c r="O89" s="152">
        <f>IFERROR(__xludf.DUMMYFUNCTION("IFERROR(N89 * (1 + AVERAGE(Filter('Inflation Data'!$C:$C,'Inflation Data'!$A:$A = O$1))) + 'Fund YTD Contributions'!O89,'Fund YTD Contributions'!O89)"),0.0)</f>
        <v>0</v>
      </c>
      <c r="P89" s="152">
        <f>IFERROR(__xludf.DUMMYFUNCTION("IFERROR(O89 * (1 + AVERAGE(Filter('Inflation Data'!$C:$C,'Inflation Data'!$A:$A = P$1))) + 'Fund YTD Contributions'!P89,'Fund YTD Contributions'!P89)"),0.0)</f>
        <v>0</v>
      </c>
      <c r="Q89" s="152">
        <f>IFERROR(__xludf.DUMMYFUNCTION("IFERROR(P89 * (1 + AVERAGE(Filter('Inflation Data'!$C:$C,'Inflation Data'!$A:$A = Q$1))) + 'Fund YTD Contributions'!Q89,'Fund YTD Contributions'!Q89)"),0.0)</f>
        <v>0</v>
      </c>
      <c r="R89" s="152">
        <f>IFERROR(__xludf.DUMMYFUNCTION("IFERROR(Q89 * (1 + AVERAGE(Filter('Inflation Data'!$C:$C,'Inflation Data'!$A:$A = R$1))) + 'Fund YTD Contributions'!R89,'Fund YTD Contributions'!R89)"),0.0)</f>
        <v>0</v>
      </c>
      <c r="S89" s="152">
        <f>IFERROR(__xludf.DUMMYFUNCTION("IFERROR(R89 * (1 + AVERAGE(Filter('Inflation Data'!$C:$C,'Inflation Data'!$A:$A = S$1))) + 'Fund YTD Contributions'!S89,'Fund YTD Contributions'!S89)"),0.0)</f>
        <v>0</v>
      </c>
      <c r="T89" s="152">
        <f>IFERROR(__xludf.DUMMYFUNCTION("IFERROR(S89 * (1 + AVERAGE(Filter('Inflation Data'!$C:$C,'Inflation Data'!$A:$A = T$1))) + 'Fund YTD Contributions'!T89,'Fund YTD Contributions'!T89)"),0.0)</f>
        <v>0</v>
      </c>
      <c r="U89" s="152">
        <f>IFERROR(__xludf.DUMMYFUNCTION("IFERROR(T89 * (1 + AVERAGE(Filter('Inflation Data'!$C:$C,'Inflation Data'!$A:$A = U$1))) + 'Fund YTD Contributions'!U89,'Fund YTD Contributions'!U89)"),0.0)</f>
        <v>0</v>
      </c>
      <c r="V89" s="152">
        <f>IFERROR(__xludf.DUMMYFUNCTION("IFERROR(U89 * (1 + AVERAGE(Filter('Inflation Data'!$C:$C,'Inflation Data'!$A:$A = V$1))) + 'Fund YTD Contributions'!V89,'Fund YTD Contributions'!V89)"),0.0)</f>
        <v>0</v>
      </c>
      <c r="W89" s="152">
        <f>IFERROR(__xludf.DUMMYFUNCTION("IFERROR(V89 * (1 + AVERAGE(Filter('Inflation Data'!$C:$C,'Inflation Data'!$A:$A = W$1))) + 'Fund YTD Contributions'!W89,'Fund YTD Contributions'!W89)"),0.0)</f>
        <v>0</v>
      </c>
      <c r="X89" s="152">
        <f>IFERROR(__xludf.DUMMYFUNCTION("IFERROR(W89 * (1 + AVERAGE(Filter('Inflation Data'!$C:$C,'Inflation Data'!$A:$A = X$1))) + 'Fund YTD Contributions'!X89,'Fund YTD Contributions'!X89)"),0.0)</f>
        <v>0</v>
      </c>
      <c r="Y89" s="152">
        <f>IFERROR(__xludf.DUMMYFUNCTION("IFERROR(X89 * (1 + AVERAGE(Filter('Inflation Data'!$C:$C,'Inflation Data'!$A:$A = Y$1))) + 'Fund YTD Contributions'!Y89,'Fund YTD Contributions'!Y89)"),0.0)</f>
        <v>0</v>
      </c>
      <c r="Z89" s="152">
        <f>IFERROR(__xludf.DUMMYFUNCTION("IFERROR(Y89 * (1 + AVERAGE(Filter('Inflation Data'!$C:$C,'Inflation Data'!$A:$A = Z$1))) + 'Fund YTD Contributions'!Z89,'Fund YTD Contributions'!Z89)"),0.0)</f>
        <v>0</v>
      </c>
      <c r="AA89" s="152">
        <f>IFERROR(__xludf.DUMMYFUNCTION("IFERROR(Z89 * (1 + AVERAGE(Filter('Inflation Data'!$C:$C,'Inflation Data'!$A:$A = AA$1))) + 'Fund YTD Contributions'!AA89,'Fund YTD Contributions'!AA89)"),0.0)</f>
        <v>0</v>
      </c>
      <c r="AB89" s="152">
        <f>IFERROR(__xludf.DUMMYFUNCTION("IFERROR(AA89 * (1 + AVERAGE(Filter('Inflation Data'!$C:$C,'Inflation Data'!$A:$A = AB$1))) + 'Fund YTD Contributions'!AB89,'Fund YTD Contributions'!AB89)"),0.0)</f>
        <v>0</v>
      </c>
      <c r="AC89" s="152">
        <f>IFERROR(__xludf.DUMMYFUNCTION("IFERROR(AB89 * (1 + AVERAGE(Filter('Inflation Data'!$C:$C,'Inflation Data'!$A:$A = AC$1))) + 'Fund YTD Contributions'!AC89,'Fund YTD Contributions'!AC89)"),0.0)</f>
        <v>0</v>
      </c>
      <c r="AD89" s="152">
        <f>IFERROR(__xludf.DUMMYFUNCTION("IFERROR(AC89 * (1 + AVERAGE(Filter('Inflation Data'!$C:$C,'Inflation Data'!$A:$A = AD$1))) + 'Fund YTD Contributions'!AD89,'Fund YTD Contributions'!AD89)"),0.0)</f>
        <v>0</v>
      </c>
      <c r="AE89" s="152">
        <f>IFERROR(__xludf.DUMMYFUNCTION("IFERROR(AD89 * (1 + AVERAGE(Filter('Inflation Data'!$C:$C,'Inflation Data'!$A:$A = AE$1))) + 'Fund YTD Contributions'!AE89,'Fund YTD Contributions'!AE89)"),0.0)</f>
        <v>0</v>
      </c>
      <c r="AF89" s="152">
        <f>IFERROR(__xludf.DUMMYFUNCTION("IFERROR(AE89 * (1 + AVERAGE(Filter('Inflation Data'!$C:$C,'Inflation Data'!$A:$A = AF$1))) + 'Fund YTD Contributions'!AF89,'Fund YTD Contributions'!AF89)"),0.0)</f>
        <v>0</v>
      </c>
    </row>
    <row r="90">
      <c r="A90" s="150" t="str">
        <f>'Endowed Funds'!A:A</f>
        <v/>
      </c>
      <c r="B90" s="152">
        <f>IFERROR(__xludf.DUMMYFUNCTION("IFERROR(A90 * (1 + AVERAGE(Filter('Inflation Data'!$C:$C,'Inflation Data'!$A:$A = B$1))) + 'Fund YTD Contributions'!B90,'Fund YTD Contributions'!B90)"),0.0)</f>
        <v>0</v>
      </c>
      <c r="C90" s="152">
        <f>IFERROR(__xludf.DUMMYFUNCTION("IFERROR(B90 * (1 + AVERAGE(Filter('Inflation Data'!$C:$C,'Inflation Data'!$A:$A = C$1))) + 'Fund YTD Contributions'!C90,'Fund YTD Contributions'!C90)"),0.0)</f>
        <v>0</v>
      </c>
      <c r="D90" s="152">
        <f>IFERROR(__xludf.DUMMYFUNCTION("IFERROR(C90 * (1 + AVERAGE(Filter('Inflation Data'!$C:$C,'Inflation Data'!$A:$A = D$1))) + 'Fund YTD Contributions'!D90,'Fund YTD Contributions'!D90)"),0.0)</f>
        <v>0</v>
      </c>
      <c r="E90" s="152">
        <f>IFERROR(__xludf.DUMMYFUNCTION("IFERROR(D90 * (1 + AVERAGE(Filter('Inflation Data'!$C:$C,'Inflation Data'!$A:$A = E$1))) + 'Fund YTD Contributions'!E90,'Fund YTD Contributions'!E90)"),0.0)</f>
        <v>0</v>
      </c>
      <c r="F90" s="152">
        <f>IFERROR(__xludf.DUMMYFUNCTION("IFERROR(E90 * (1 + AVERAGE(Filter('Inflation Data'!$C:$C,'Inflation Data'!$A:$A = F$1))) + 'Fund YTD Contributions'!F90,'Fund YTD Contributions'!F90)"),0.0)</f>
        <v>0</v>
      </c>
      <c r="G90" s="152">
        <f>IFERROR(__xludf.DUMMYFUNCTION("IFERROR(F90 * (1 + AVERAGE(Filter('Inflation Data'!$C:$C,'Inflation Data'!$A:$A = G$1))) + 'Fund YTD Contributions'!G90,'Fund YTD Contributions'!G90)"),0.0)</f>
        <v>0</v>
      </c>
      <c r="H90" s="152">
        <f>IFERROR(__xludf.DUMMYFUNCTION("IFERROR(G90 * (1 + AVERAGE(Filter('Inflation Data'!$C:$C,'Inflation Data'!$A:$A = H$1))) + 'Fund YTD Contributions'!H90,'Fund YTD Contributions'!H90)"),0.0)</f>
        <v>0</v>
      </c>
      <c r="I90" s="152">
        <f>IFERROR(__xludf.DUMMYFUNCTION("IFERROR(H90 * (1 + AVERAGE(Filter('Inflation Data'!$C:$C,'Inflation Data'!$A:$A = I$1))) + 'Fund YTD Contributions'!I90,'Fund YTD Contributions'!I90)"),0.0)</f>
        <v>0</v>
      </c>
      <c r="J90" s="152">
        <f>IFERROR(__xludf.DUMMYFUNCTION("IFERROR(I90 * (1 + AVERAGE(Filter('Inflation Data'!$C:$C,'Inflation Data'!$A:$A = J$1))) + 'Fund YTD Contributions'!J90,'Fund YTD Contributions'!J90)"),0.0)</f>
        <v>0</v>
      </c>
      <c r="K90" s="152">
        <f>IFERROR(__xludf.DUMMYFUNCTION("IFERROR(J90 * (1 + AVERAGE(Filter('Inflation Data'!$C:$C,'Inflation Data'!$A:$A = K$1))) + 'Fund YTD Contributions'!K90,'Fund YTD Contributions'!K90)"),0.0)</f>
        <v>0</v>
      </c>
      <c r="L90" s="152">
        <f>IFERROR(__xludf.DUMMYFUNCTION("IFERROR(K90 * (1 + AVERAGE(Filter('Inflation Data'!$C:$C,'Inflation Data'!$A:$A = L$1))) + 'Fund YTD Contributions'!L90,'Fund YTD Contributions'!L90)"),0.0)</f>
        <v>0</v>
      </c>
      <c r="M90" s="152">
        <f>IFERROR(__xludf.DUMMYFUNCTION("IFERROR(L90 * (1 + AVERAGE(Filter('Inflation Data'!$C:$C,'Inflation Data'!$A:$A = M$1))) + 'Fund YTD Contributions'!M90,'Fund YTD Contributions'!M90)"),0.0)</f>
        <v>0</v>
      </c>
      <c r="N90" s="152">
        <f>IFERROR(__xludf.DUMMYFUNCTION("IFERROR(M90 * (1 + AVERAGE(Filter('Inflation Data'!$C:$C,'Inflation Data'!$A:$A = N$1))) + 'Fund YTD Contributions'!N90,'Fund YTD Contributions'!N90)"),0.0)</f>
        <v>0</v>
      </c>
      <c r="O90" s="152">
        <f>IFERROR(__xludf.DUMMYFUNCTION("IFERROR(N90 * (1 + AVERAGE(Filter('Inflation Data'!$C:$C,'Inflation Data'!$A:$A = O$1))) + 'Fund YTD Contributions'!O90,'Fund YTD Contributions'!O90)"),0.0)</f>
        <v>0</v>
      </c>
      <c r="P90" s="152">
        <f>IFERROR(__xludf.DUMMYFUNCTION("IFERROR(O90 * (1 + AVERAGE(Filter('Inflation Data'!$C:$C,'Inflation Data'!$A:$A = P$1))) + 'Fund YTD Contributions'!P90,'Fund YTD Contributions'!P90)"),0.0)</f>
        <v>0</v>
      </c>
      <c r="Q90" s="152">
        <f>IFERROR(__xludf.DUMMYFUNCTION("IFERROR(P90 * (1 + AVERAGE(Filter('Inflation Data'!$C:$C,'Inflation Data'!$A:$A = Q$1))) + 'Fund YTD Contributions'!Q90,'Fund YTD Contributions'!Q90)"),0.0)</f>
        <v>0</v>
      </c>
      <c r="R90" s="152">
        <f>IFERROR(__xludf.DUMMYFUNCTION("IFERROR(Q90 * (1 + AVERAGE(Filter('Inflation Data'!$C:$C,'Inflation Data'!$A:$A = R$1))) + 'Fund YTD Contributions'!R90,'Fund YTD Contributions'!R90)"),0.0)</f>
        <v>0</v>
      </c>
      <c r="S90" s="152">
        <f>IFERROR(__xludf.DUMMYFUNCTION("IFERROR(R90 * (1 + AVERAGE(Filter('Inflation Data'!$C:$C,'Inflation Data'!$A:$A = S$1))) + 'Fund YTD Contributions'!S90,'Fund YTD Contributions'!S90)"),0.0)</f>
        <v>0</v>
      </c>
      <c r="T90" s="152">
        <f>IFERROR(__xludf.DUMMYFUNCTION("IFERROR(S90 * (1 + AVERAGE(Filter('Inflation Data'!$C:$C,'Inflation Data'!$A:$A = T$1))) + 'Fund YTD Contributions'!T90,'Fund YTD Contributions'!T90)"),0.0)</f>
        <v>0</v>
      </c>
      <c r="U90" s="152">
        <f>IFERROR(__xludf.DUMMYFUNCTION("IFERROR(T90 * (1 + AVERAGE(Filter('Inflation Data'!$C:$C,'Inflation Data'!$A:$A = U$1))) + 'Fund YTD Contributions'!U90,'Fund YTD Contributions'!U90)"),0.0)</f>
        <v>0</v>
      </c>
      <c r="V90" s="152">
        <f>IFERROR(__xludf.DUMMYFUNCTION("IFERROR(U90 * (1 + AVERAGE(Filter('Inflation Data'!$C:$C,'Inflation Data'!$A:$A = V$1))) + 'Fund YTD Contributions'!V90,'Fund YTD Contributions'!V90)"),0.0)</f>
        <v>0</v>
      </c>
      <c r="W90" s="152">
        <f>IFERROR(__xludf.DUMMYFUNCTION("IFERROR(V90 * (1 + AVERAGE(Filter('Inflation Data'!$C:$C,'Inflation Data'!$A:$A = W$1))) + 'Fund YTD Contributions'!W90,'Fund YTD Contributions'!W90)"),0.0)</f>
        <v>0</v>
      </c>
      <c r="X90" s="152">
        <f>IFERROR(__xludf.DUMMYFUNCTION("IFERROR(W90 * (1 + AVERAGE(Filter('Inflation Data'!$C:$C,'Inflation Data'!$A:$A = X$1))) + 'Fund YTD Contributions'!X90,'Fund YTD Contributions'!X90)"),0.0)</f>
        <v>0</v>
      </c>
      <c r="Y90" s="152">
        <f>IFERROR(__xludf.DUMMYFUNCTION("IFERROR(X90 * (1 + AVERAGE(Filter('Inflation Data'!$C:$C,'Inflation Data'!$A:$A = Y$1))) + 'Fund YTD Contributions'!Y90,'Fund YTD Contributions'!Y90)"),0.0)</f>
        <v>0</v>
      </c>
      <c r="Z90" s="152">
        <f>IFERROR(__xludf.DUMMYFUNCTION("IFERROR(Y90 * (1 + AVERAGE(Filter('Inflation Data'!$C:$C,'Inflation Data'!$A:$A = Z$1))) + 'Fund YTD Contributions'!Z90,'Fund YTD Contributions'!Z90)"),0.0)</f>
        <v>0</v>
      </c>
      <c r="AA90" s="152">
        <f>IFERROR(__xludf.DUMMYFUNCTION("IFERROR(Z90 * (1 + AVERAGE(Filter('Inflation Data'!$C:$C,'Inflation Data'!$A:$A = AA$1))) + 'Fund YTD Contributions'!AA90,'Fund YTD Contributions'!AA90)"),0.0)</f>
        <v>0</v>
      </c>
      <c r="AB90" s="152">
        <f>IFERROR(__xludf.DUMMYFUNCTION("IFERROR(AA90 * (1 + AVERAGE(Filter('Inflation Data'!$C:$C,'Inflation Data'!$A:$A = AB$1))) + 'Fund YTD Contributions'!AB90,'Fund YTD Contributions'!AB90)"),0.0)</f>
        <v>0</v>
      </c>
      <c r="AC90" s="152">
        <f>IFERROR(__xludf.DUMMYFUNCTION("IFERROR(AB90 * (1 + AVERAGE(Filter('Inflation Data'!$C:$C,'Inflation Data'!$A:$A = AC$1))) + 'Fund YTD Contributions'!AC90,'Fund YTD Contributions'!AC90)"),0.0)</f>
        <v>0</v>
      </c>
      <c r="AD90" s="152">
        <f>IFERROR(__xludf.DUMMYFUNCTION("IFERROR(AC90 * (1 + AVERAGE(Filter('Inflation Data'!$C:$C,'Inflation Data'!$A:$A = AD$1))) + 'Fund YTD Contributions'!AD90,'Fund YTD Contributions'!AD90)"),0.0)</f>
        <v>0</v>
      </c>
      <c r="AE90" s="152">
        <f>IFERROR(__xludf.DUMMYFUNCTION("IFERROR(AD90 * (1 + AVERAGE(Filter('Inflation Data'!$C:$C,'Inflation Data'!$A:$A = AE$1))) + 'Fund YTD Contributions'!AE90,'Fund YTD Contributions'!AE90)"),0.0)</f>
        <v>0</v>
      </c>
      <c r="AF90" s="152">
        <f>IFERROR(__xludf.DUMMYFUNCTION("IFERROR(AE90 * (1 + AVERAGE(Filter('Inflation Data'!$C:$C,'Inflation Data'!$A:$A = AF$1))) + 'Fund YTD Contributions'!AF90,'Fund YTD Contributions'!AF90)"),0.0)</f>
        <v>0</v>
      </c>
    </row>
    <row r="91">
      <c r="A91" s="150" t="str">
        <f>'Endowed Funds'!A:A</f>
        <v/>
      </c>
      <c r="B91" s="152">
        <f>IFERROR(__xludf.DUMMYFUNCTION("IFERROR(A91 * (1 + AVERAGE(Filter('Inflation Data'!$C:$C,'Inflation Data'!$A:$A = B$1))) + 'Fund YTD Contributions'!B91,'Fund YTD Contributions'!B91)"),0.0)</f>
        <v>0</v>
      </c>
      <c r="C91" s="152">
        <f>IFERROR(__xludf.DUMMYFUNCTION("IFERROR(B91 * (1 + AVERAGE(Filter('Inflation Data'!$C:$C,'Inflation Data'!$A:$A = C$1))) + 'Fund YTD Contributions'!C91,'Fund YTD Contributions'!C91)"),0.0)</f>
        <v>0</v>
      </c>
      <c r="D91" s="152">
        <f>IFERROR(__xludf.DUMMYFUNCTION("IFERROR(C91 * (1 + AVERAGE(Filter('Inflation Data'!$C:$C,'Inflation Data'!$A:$A = D$1))) + 'Fund YTD Contributions'!D91,'Fund YTD Contributions'!D91)"),0.0)</f>
        <v>0</v>
      </c>
      <c r="E91" s="152">
        <f>IFERROR(__xludf.DUMMYFUNCTION("IFERROR(D91 * (1 + AVERAGE(Filter('Inflation Data'!$C:$C,'Inflation Data'!$A:$A = E$1))) + 'Fund YTD Contributions'!E91,'Fund YTD Contributions'!E91)"),0.0)</f>
        <v>0</v>
      </c>
      <c r="F91" s="152">
        <f>IFERROR(__xludf.DUMMYFUNCTION("IFERROR(E91 * (1 + AVERAGE(Filter('Inflation Data'!$C:$C,'Inflation Data'!$A:$A = F$1))) + 'Fund YTD Contributions'!F91,'Fund YTD Contributions'!F91)"),0.0)</f>
        <v>0</v>
      </c>
      <c r="G91" s="152">
        <f>IFERROR(__xludf.DUMMYFUNCTION("IFERROR(F91 * (1 + AVERAGE(Filter('Inflation Data'!$C:$C,'Inflation Data'!$A:$A = G$1))) + 'Fund YTD Contributions'!G91,'Fund YTD Contributions'!G91)"),0.0)</f>
        <v>0</v>
      </c>
      <c r="H91" s="152">
        <f>IFERROR(__xludf.DUMMYFUNCTION("IFERROR(G91 * (1 + AVERAGE(Filter('Inflation Data'!$C:$C,'Inflation Data'!$A:$A = H$1))) + 'Fund YTD Contributions'!H91,'Fund YTD Contributions'!H91)"),0.0)</f>
        <v>0</v>
      </c>
      <c r="I91" s="152">
        <f>IFERROR(__xludf.DUMMYFUNCTION("IFERROR(H91 * (1 + AVERAGE(Filter('Inflation Data'!$C:$C,'Inflation Data'!$A:$A = I$1))) + 'Fund YTD Contributions'!I91,'Fund YTD Contributions'!I91)"),0.0)</f>
        <v>0</v>
      </c>
      <c r="J91" s="152">
        <f>IFERROR(__xludf.DUMMYFUNCTION("IFERROR(I91 * (1 + AVERAGE(Filter('Inflation Data'!$C:$C,'Inflation Data'!$A:$A = J$1))) + 'Fund YTD Contributions'!J91,'Fund YTD Contributions'!J91)"),0.0)</f>
        <v>0</v>
      </c>
      <c r="K91" s="152">
        <f>IFERROR(__xludf.DUMMYFUNCTION("IFERROR(J91 * (1 + AVERAGE(Filter('Inflation Data'!$C:$C,'Inflation Data'!$A:$A = K$1))) + 'Fund YTD Contributions'!K91,'Fund YTD Contributions'!K91)"),0.0)</f>
        <v>0</v>
      </c>
      <c r="L91" s="152">
        <f>IFERROR(__xludf.DUMMYFUNCTION("IFERROR(K91 * (1 + AVERAGE(Filter('Inflation Data'!$C:$C,'Inflation Data'!$A:$A = L$1))) + 'Fund YTD Contributions'!L91,'Fund YTD Contributions'!L91)"),0.0)</f>
        <v>0</v>
      </c>
      <c r="M91" s="152">
        <f>IFERROR(__xludf.DUMMYFUNCTION("IFERROR(L91 * (1 + AVERAGE(Filter('Inflation Data'!$C:$C,'Inflation Data'!$A:$A = M$1))) + 'Fund YTD Contributions'!M91,'Fund YTD Contributions'!M91)"),0.0)</f>
        <v>0</v>
      </c>
      <c r="N91" s="152">
        <f>IFERROR(__xludf.DUMMYFUNCTION("IFERROR(M91 * (1 + AVERAGE(Filter('Inflation Data'!$C:$C,'Inflation Data'!$A:$A = N$1))) + 'Fund YTD Contributions'!N91,'Fund YTD Contributions'!N91)"),0.0)</f>
        <v>0</v>
      </c>
      <c r="O91" s="152">
        <f>IFERROR(__xludf.DUMMYFUNCTION("IFERROR(N91 * (1 + AVERAGE(Filter('Inflation Data'!$C:$C,'Inflation Data'!$A:$A = O$1))) + 'Fund YTD Contributions'!O91,'Fund YTD Contributions'!O91)"),0.0)</f>
        <v>0</v>
      </c>
      <c r="P91" s="152">
        <f>IFERROR(__xludf.DUMMYFUNCTION("IFERROR(O91 * (1 + AVERAGE(Filter('Inflation Data'!$C:$C,'Inflation Data'!$A:$A = P$1))) + 'Fund YTD Contributions'!P91,'Fund YTD Contributions'!P91)"),0.0)</f>
        <v>0</v>
      </c>
      <c r="Q91" s="152">
        <f>IFERROR(__xludf.DUMMYFUNCTION("IFERROR(P91 * (1 + AVERAGE(Filter('Inflation Data'!$C:$C,'Inflation Data'!$A:$A = Q$1))) + 'Fund YTD Contributions'!Q91,'Fund YTD Contributions'!Q91)"),0.0)</f>
        <v>0</v>
      </c>
      <c r="R91" s="152">
        <f>IFERROR(__xludf.DUMMYFUNCTION("IFERROR(Q91 * (1 + AVERAGE(Filter('Inflation Data'!$C:$C,'Inflation Data'!$A:$A = R$1))) + 'Fund YTD Contributions'!R91,'Fund YTD Contributions'!R91)"),0.0)</f>
        <v>0</v>
      </c>
      <c r="S91" s="152">
        <f>IFERROR(__xludf.DUMMYFUNCTION("IFERROR(R91 * (1 + AVERAGE(Filter('Inflation Data'!$C:$C,'Inflation Data'!$A:$A = S$1))) + 'Fund YTD Contributions'!S91,'Fund YTD Contributions'!S91)"),0.0)</f>
        <v>0</v>
      </c>
      <c r="T91" s="152">
        <f>IFERROR(__xludf.DUMMYFUNCTION("IFERROR(S91 * (1 + AVERAGE(Filter('Inflation Data'!$C:$C,'Inflation Data'!$A:$A = T$1))) + 'Fund YTD Contributions'!T91,'Fund YTD Contributions'!T91)"),0.0)</f>
        <v>0</v>
      </c>
      <c r="U91" s="152">
        <f>IFERROR(__xludf.DUMMYFUNCTION("IFERROR(T91 * (1 + AVERAGE(Filter('Inflation Data'!$C:$C,'Inflation Data'!$A:$A = U$1))) + 'Fund YTD Contributions'!U91,'Fund YTD Contributions'!U91)"),0.0)</f>
        <v>0</v>
      </c>
      <c r="V91" s="152">
        <f>IFERROR(__xludf.DUMMYFUNCTION("IFERROR(U91 * (1 + AVERAGE(Filter('Inflation Data'!$C:$C,'Inflation Data'!$A:$A = V$1))) + 'Fund YTD Contributions'!V91,'Fund YTD Contributions'!V91)"),0.0)</f>
        <v>0</v>
      </c>
      <c r="W91" s="152">
        <f>IFERROR(__xludf.DUMMYFUNCTION("IFERROR(V91 * (1 + AVERAGE(Filter('Inflation Data'!$C:$C,'Inflation Data'!$A:$A = W$1))) + 'Fund YTD Contributions'!W91,'Fund YTD Contributions'!W91)"),0.0)</f>
        <v>0</v>
      </c>
      <c r="X91" s="152">
        <f>IFERROR(__xludf.DUMMYFUNCTION("IFERROR(W91 * (1 + AVERAGE(Filter('Inflation Data'!$C:$C,'Inflation Data'!$A:$A = X$1))) + 'Fund YTD Contributions'!X91,'Fund YTD Contributions'!X91)"),0.0)</f>
        <v>0</v>
      </c>
      <c r="Y91" s="152">
        <f>IFERROR(__xludf.DUMMYFUNCTION("IFERROR(X91 * (1 + AVERAGE(Filter('Inflation Data'!$C:$C,'Inflation Data'!$A:$A = Y$1))) + 'Fund YTD Contributions'!Y91,'Fund YTD Contributions'!Y91)"),0.0)</f>
        <v>0</v>
      </c>
      <c r="Z91" s="152">
        <f>IFERROR(__xludf.DUMMYFUNCTION("IFERROR(Y91 * (1 + AVERAGE(Filter('Inflation Data'!$C:$C,'Inflation Data'!$A:$A = Z$1))) + 'Fund YTD Contributions'!Z91,'Fund YTD Contributions'!Z91)"),0.0)</f>
        <v>0</v>
      </c>
      <c r="AA91" s="152">
        <f>IFERROR(__xludf.DUMMYFUNCTION("IFERROR(Z91 * (1 + AVERAGE(Filter('Inflation Data'!$C:$C,'Inflation Data'!$A:$A = AA$1))) + 'Fund YTD Contributions'!AA91,'Fund YTD Contributions'!AA91)"),0.0)</f>
        <v>0</v>
      </c>
      <c r="AB91" s="152">
        <f>IFERROR(__xludf.DUMMYFUNCTION("IFERROR(AA91 * (1 + AVERAGE(Filter('Inflation Data'!$C:$C,'Inflation Data'!$A:$A = AB$1))) + 'Fund YTD Contributions'!AB91,'Fund YTD Contributions'!AB91)"),0.0)</f>
        <v>0</v>
      </c>
      <c r="AC91" s="152">
        <f>IFERROR(__xludf.DUMMYFUNCTION("IFERROR(AB91 * (1 + AVERAGE(Filter('Inflation Data'!$C:$C,'Inflation Data'!$A:$A = AC$1))) + 'Fund YTD Contributions'!AC91,'Fund YTD Contributions'!AC91)"),0.0)</f>
        <v>0</v>
      </c>
      <c r="AD91" s="152">
        <f>IFERROR(__xludf.DUMMYFUNCTION("IFERROR(AC91 * (1 + AVERAGE(Filter('Inflation Data'!$C:$C,'Inflation Data'!$A:$A = AD$1))) + 'Fund YTD Contributions'!AD91,'Fund YTD Contributions'!AD91)"),0.0)</f>
        <v>0</v>
      </c>
      <c r="AE91" s="152">
        <f>IFERROR(__xludf.DUMMYFUNCTION("IFERROR(AD91 * (1 + AVERAGE(Filter('Inflation Data'!$C:$C,'Inflation Data'!$A:$A = AE$1))) + 'Fund YTD Contributions'!AE91,'Fund YTD Contributions'!AE91)"),0.0)</f>
        <v>0</v>
      </c>
      <c r="AF91" s="152">
        <f>IFERROR(__xludf.DUMMYFUNCTION("IFERROR(AE91 * (1 + AVERAGE(Filter('Inflation Data'!$C:$C,'Inflation Data'!$A:$A = AF$1))) + 'Fund YTD Contributions'!AF91,'Fund YTD Contributions'!AF91)"),0.0)</f>
        <v>0</v>
      </c>
    </row>
    <row r="92">
      <c r="A92" s="150" t="str">
        <f>'Endowed Funds'!A:A</f>
        <v/>
      </c>
      <c r="B92" s="152">
        <f>IFERROR(__xludf.DUMMYFUNCTION("IFERROR(A92 * (1 + AVERAGE(Filter('Inflation Data'!$C:$C,'Inflation Data'!$A:$A = B$1))) + 'Fund YTD Contributions'!B92,'Fund YTD Contributions'!B92)"),0.0)</f>
        <v>0</v>
      </c>
      <c r="C92" s="152">
        <f>IFERROR(__xludf.DUMMYFUNCTION("IFERROR(B92 * (1 + AVERAGE(Filter('Inflation Data'!$C:$C,'Inflation Data'!$A:$A = C$1))) + 'Fund YTD Contributions'!C92,'Fund YTD Contributions'!C92)"),0.0)</f>
        <v>0</v>
      </c>
      <c r="D92" s="152">
        <f>IFERROR(__xludf.DUMMYFUNCTION("IFERROR(C92 * (1 + AVERAGE(Filter('Inflation Data'!$C:$C,'Inflation Data'!$A:$A = D$1))) + 'Fund YTD Contributions'!D92,'Fund YTD Contributions'!D92)"),0.0)</f>
        <v>0</v>
      </c>
      <c r="E92" s="152">
        <f>IFERROR(__xludf.DUMMYFUNCTION("IFERROR(D92 * (1 + AVERAGE(Filter('Inflation Data'!$C:$C,'Inflation Data'!$A:$A = E$1))) + 'Fund YTD Contributions'!E92,'Fund YTD Contributions'!E92)"),0.0)</f>
        <v>0</v>
      </c>
      <c r="F92" s="152">
        <f>IFERROR(__xludf.DUMMYFUNCTION("IFERROR(E92 * (1 + AVERAGE(Filter('Inflation Data'!$C:$C,'Inflation Data'!$A:$A = F$1))) + 'Fund YTD Contributions'!F92,'Fund YTD Contributions'!F92)"),0.0)</f>
        <v>0</v>
      </c>
      <c r="G92" s="152">
        <f>IFERROR(__xludf.DUMMYFUNCTION("IFERROR(F92 * (1 + AVERAGE(Filter('Inflation Data'!$C:$C,'Inflation Data'!$A:$A = G$1))) + 'Fund YTD Contributions'!G92,'Fund YTD Contributions'!G92)"),0.0)</f>
        <v>0</v>
      </c>
      <c r="H92" s="152">
        <f>IFERROR(__xludf.DUMMYFUNCTION("IFERROR(G92 * (1 + AVERAGE(Filter('Inflation Data'!$C:$C,'Inflation Data'!$A:$A = H$1))) + 'Fund YTD Contributions'!H92,'Fund YTD Contributions'!H92)"),0.0)</f>
        <v>0</v>
      </c>
      <c r="I92" s="152">
        <f>IFERROR(__xludf.DUMMYFUNCTION("IFERROR(H92 * (1 + AVERAGE(Filter('Inflation Data'!$C:$C,'Inflation Data'!$A:$A = I$1))) + 'Fund YTD Contributions'!I92,'Fund YTD Contributions'!I92)"),0.0)</f>
        <v>0</v>
      </c>
      <c r="J92" s="152">
        <f>IFERROR(__xludf.DUMMYFUNCTION("IFERROR(I92 * (1 + AVERAGE(Filter('Inflation Data'!$C:$C,'Inflation Data'!$A:$A = J$1))) + 'Fund YTD Contributions'!J92,'Fund YTD Contributions'!J92)"),0.0)</f>
        <v>0</v>
      </c>
      <c r="K92" s="152">
        <f>IFERROR(__xludf.DUMMYFUNCTION("IFERROR(J92 * (1 + AVERAGE(Filter('Inflation Data'!$C:$C,'Inflation Data'!$A:$A = K$1))) + 'Fund YTD Contributions'!K92,'Fund YTD Contributions'!K92)"),0.0)</f>
        <v>0</v>
      </c>
      <c r="L92" s="152">
        <f>IFERROR(__xludf.DUMMYFUNCTION("IFERROR(K92 * (1 + AVERAGE(Filter('Inflation Data'!$C:$C,'Inflation Data'!$A:$A = L$1))) + 'Fund YTD Contributions'!L92,'Fund YTD Contributions'!L92)"),0.0)</f>
        <v>0</v>
      </c>
      <c r="M92" s="152">
        <f>IFERROR(__xludf.DUMMYFUNCTION("IFERROR(L92 * (1 + AVERAGE(Filter('Inflation Data'!$C:$C,'Inflation Data'!$A:$A = M$1))) + 'Fund YTD Contributions'!M92,'Fund YTD Contributions'!M92)"),0.0)</f>
        <v>0</v>
      </c>
      <c r="N92" s="152">
        <f>IFERROR(__xludf.DUMMYFUNCTION("IFERROR(M92 * (1 + AVERAGE(Filter('Inflation Data'!$C:$C,'Inflation Data'!$A:$A = N$1))) + 'Fund YTD Contributions'!N92,'Fund YTD Contributions'!N92)"),0.0)</f>
        <v>0</v>
      </c>
      <c r="O92" s="152">
        <f>IFERROR(__xludf.DUMMYFUNCTION("IFERROR(N92 * (1 + AVERAGE(Filter('Inflation Data'!$C:$C,'Inflation Data'!$A:$A = O$1))) + 'Fund YTD Contributions'!O92,'Fund YTD Contributions'!O92)"),0.0)</f>
        <v>0</v>
      </c>
      <c r="P92" s="152">
        <f>IFERROR(__xludf.DUMMYFUNCTION("IFERROR(O92 * (1 + AVERAGE(Filter('Inflation Data'!$C:$C,'Inflation Data'!$A:$A = P$1))) + 'Fund YTD Contributions'!P92,'Fund YTD Contributions'!P92)"),0.0)</f>
        <v>0</v>
      </c>
      <c r="Q92" s="152">
        <f>IFERROR(__xludf.DUMMYFUNCTION("IFERROR(P92 * (1 + AVERAGE(Filter('Inflation Data'!$C:$C,'Inflation Data'!$A:$A = Q$1))) + 'Fund YTD Contributions'!Q92,'Fund YTD Contributions'!Q92)"),0.0)</f>
        <v>0</v>
      </c>
      <c r="R92" s="152">
        <f>IFERROR(__xludf.DUMMYFUNCTION("IFERROR(Q92 * (1 + AVERAGE(Filter('Inflation Data'!$C:$C,'Inflation Data'!$A:$A = R$1))) + 'Fund YTD Contributions'!R92,'Fund YTD Contributions'!R92)"),0.0)</f>
        <v>0</v>
      </c>
      <c r="S92" s="152">
        <f>IFERROR(__xludf.DUMMYFUNCTION("IFERROR(R92 * (1 + AVERAGE(Filter('Inflation Data'!$C:$C,'Inflation Data'!$A:$A = S$1))) + 'Fund YTD Contributions'!S92,'Fund YTD Contributions'!S92)"),0.0)</f>
        <v>0</v>
      </c>
      <c r="T92" s="152">
        <f>IFERROR(__xludf.DUMMYFUNCTION("IFERROR(S92 * (1 + AVERAGE(Filter('Inflation Data'!$C:$C,'Inflation Data'!$A:$A = T$1))) + 'Fund YTD Contributions'!T92,'Fund YTD Contributions'!T92)"),0.0)</f>
        <v>0</v>
      </c>
      <c r="U92" s="152">
        <f>IFERROR(__xludf.DUMMYFUNCTION("IFERROR(T92 * (1 + AVERAGE(Filter('Inflation Data'!$C:$C,'Inflation Data'!$A:$A = U$1))) + 'Fund YTD Contributions'!U92,'Fund YTD Contributions'!U92)"),0.0)</f>
        <v>0</v>
      </c>
      <c r="V92" s="152">
        <f>IFERROR(__xludf.DUMMYFUNCTION("IFERROR(U92 * (1 + AVERAGE(Filter('Inflation Data'!$C:$C,'Inflation Data'!$A:$A = V$1))) + 'Fund YTD Contributions'!V92,'Fund YTD Contributions'!V92)"),0.0)</f>
        <v>0</v>
      </c>
      <c r="W92" s="152">
        <f>IFERROR(__xludf.DUMMYFUNCTION("IFERROR(V92 * (1 + AVERAGE(Filter('Inflation Data'!$C:$C,'Inflation Data'!$A:$A = W$1))) + 'Fund YTD Contributions'!W92,'Fund YTD Contributions'!W92)"),0.0)</f>
        <v>0</v>
      </c>
      <c r="X92" s="152">
        <f>IFERROR(__xludf.DUMMYFUNCTION("IFERROR(W92 * (1 + AVERAGE(Filter('Inflation Data'!$C:$C,'Inflation Data'!$A:$A = X$1))) + 'Fund YTD Contributions'!X92,'Fund YTD Contributions'!X92)"),0.0)</f>
        <v>0</v>
      </c>
      <c r="Y92" s="152">
        <f>IFERROR(__xludf.DUMMYFUNCTION("IFERROR(X92 * (1 + AVERAGE(Filter('Inflation Data'!$C:$C,'Inflation Data'!$A:$A = Y$1))) + 'Fund YTD Contributions'!Y92,'Fund YTD Contributions'!Y92)"),0.0)</f>
        <v>0</v>
      </c>
      <c r="Z92" s="152">
        <f>IFERROR(__xludf.DUMMYFUNCTION("IFERROR(Y92 * (1 + AVERAGE(Filter('Inflation Data'!$C:$C,'Inflation Data'!$A:$A = Z$1))) + 'Fund YTD Contributions'!Z92,'Fund YTD Contributions'!Z92)"),0.0)</f>
        <v>0</v>
      </c>
      <c r="AA92" s="152">
        <f>IFERROR(__xludf.DUMMYFUNCTION("IFERROR(Z92 * (1 + AVERAGE(Filter('Inflation Data'!$C:$C,'Inflation Data'!$A:$A = AA$1))) + 'Fund YTD Contributions'!AA92,'Fund YTD Contributions'!AA92)"),0.0)</f>
        <v>0</v>
      </c>
      <c r="AB92" s="152">
        <f>IFERROR(__xludf.DUMMYFUNCTION("IFERROR(AA92 * (1 + AVERAGE(Filter('Inflation Data'!$C:$C,'Inflation Data'!$A:$A = AB$1))) + 'Fund YTD Contributions'!AB92,'Fund YTD Contributions'!AB92)"),0.0)</f>
        <v>0</v>
      </c>
      <c r="AC92" s="152">
        <f>IFERROR(__xludf.DUMMYFUNCTION("IFERROR(AB92 * (1 + AVERAGE(Filter('Inflation Data'!$C:$C,'Inflation Data'!$A:$A = AC$1))) + 'Fund YTD Contributions'!AC92,'Fund YTD Contributions'!AC92)"),0.0)</f>
        <v>0</v>
      </c>
      <c r="AD92" s="152">
        <f>IFERROR(__xludf.DUMMYFUNCTION("IFERROR(AC92 * (1 + AVERAGE(Filter('Inflation Data'!$C:$C,'Inflation Data'!$A:$A = AD$1))) + 'Fund YTD Contributions'!AD92,'Fund YTD Contributions'!AD92)"),0.0)</f>
        <v>0</v>
      </c>
      <c r="AE92" s="152">
        <f>IFERROR(__xludf.DUMMYFUNCTION("IFERROR(AD92 * (1 + AVERAGE(Filter('Inflation Data'!$C:$C,'Inflation Data'!$A:$A = AE$1))) + 'Fund YTD Contributions'!AE92,'Fund YTD Contributions'!AE92)"),0.0)</f>
        <v>0</v>
      </c>
      <c r="AF92" s="152">
        <f>IFERROR(__xludf.DUMMYFUNCTION("IFERROR(AE92 * (1 + AVERAGE(Filter('Inflation Data'!$C:$C,'Inflation Data'!$A:$A = AF$1))) + 'Fund YTD Contributions'!AF92,'Fund YTD Contributions'!AF92)"),0.0)</f>
        <v>0</v>
      </c>
    </row>
    <row r="93">
      <c r="A93" s="150" t="str">
        <f>'Endowed Funds'!A:A</f>
        <v/>
      </c>
      <c r="B93" s="152">
        <f>IFERROR(__xludf.DUMMYFUNCTION("IFERROR(A93 * (1 + AVERAGE(Filter('Inflation Data'!$C:$C,'Inflation Data'!$A:$A = B$1))) + 'Fund YTD Contributions'!B93,'Fund YTD Contributions'!B93)"),0.0)</f>
        <v>0</v>
      </c>
      <c r="C93" s="152">
        <f>IFERROR(__xludf.DUMMYFUNCTION("IFERROR(B93 * (1 + AVERAGE(Filter('Inflation Data'!$C:$C,'Inflation Data'!$A:$A = C$1))) + 'Fund YTD Contributions'!C93,'Fund YTD Contributions'!C93)"),0.0)</f>
        <v>0</v>
      </c>
      <c r="D93" s="152">
        <f>IFERROR(__xludf.DUMMYFUNCTION("IFERROR(C93 * (1 + AVERAGE(Filter('Inflation Data'!$C:$C,'Inflation Data'!$A:$A = D$1))) + 'Fund YTD Contributions'!D93,'Fund YTD Contributions'!D93)"),0.0)</f>
        <v>0</v>
      </c>
      <c r="E93" s="152">
        <f>IFERROR(__xludf.DUMMYFUNCTION("IFERROR(D93 * (1 + AVERAGE(Filter('Inflation Data'!$C:$C,'Inflation Data'!$A:$A = E$1))) + 'Fund YTD Contributions'!E93,'Fund YTD Contributions'!E93)"),0.0)</f>
        <v>0</v>
      </c>
      <c r="F93" s="152">
        <f>IFERROR(__xludf.DUMMYFUNCTION("IFERROR(E93 * (1 + AVERAGE(Filter('Inflation Data'!$C:$C,'Inflation Data'!$A:$A = F$1))) + 'Fund YTD Contributions'!F93,'Fund YTD Contributions'!F93)"),0.0)</f>
        <v>0</v>
      </c>
      <c r="G93" s="152">
        <f>IFERROR(__xludf.DUMMYFUNCTION("IFERROR(F93 * (1 + AVERAGE(Filter('Inflation Data'!$C:$C,'Inflation Data'!$A:$A = G$1))) + 'Fund YTD Contributions'!G93,'Fund YTD Contributions'!G93)"),0.0)</f>
        <v>0</v>
      </c>
      <c r="H93" s="152">
        <f>IFERROR(__xludf.DUMMYFUNCTION("IFERROR(G93 * (1 + AVERAGE(Filter('Inflation Data'!$C:$C,'Inflation Data'!$A:$A = H$1))) + 'Fund YTD Contributions'!H93,'Fund YTD Contributions'!H93)"),0.0)</f>
        <v>0</v>
      </c>
      <c r="I93" s="152">
        <f>IFERROR(__xludf.DUMMYFUNCTION("IFERROR(H93 * (1 + AVERAGE(Filter('Inflation Data'!$C:$C,'Inflation Data'!$A:$A = I$1))) + 'Fund YTD Contributions'!I93,'Fund YTD Contributions'!I93)"),0.0)</f>
        <v>0</v>
      </c>
      <c r="J93" s="152">
        <f>IFERROR(__xludf.DUMMYFUNCTION("IFERROR(I93 * (1 + AVERAGE(Filter('Inflation Data'!$C:$C,'Inflation Data'!$A:$A = J$1))) + 'Fund YTD Contributions'!J93,'Fund YTD Contributions'!J93)"),0.0)</f>
        <v>0</v>
      </c>
      <c r="K93" s="152">
        <f>IFERROR(__xludf.DUMMYFUNCTION("IFERROR(J93 * (1 + AVERAGE(Filter('Inflation Data'!$C:$C,'Inflation Data'!$A:$A = K$1))) + 'Fund YTD Contributions'!K93,'Fund YTD Contributions'!K93)"),0.0)</f>
        <v>0</v>
      </c>
      <c r="L93" s="152">
        <f>IFERROR(__xludf.DUMMYFUNCTION("IFERROR(K93 * (1 + AVERAGE(Filter('Inflation Data'!$C:$C,'Inflation Data'!$A:$A = L$1))) + 'Fund YTD Contributions'!L93,'Fund YTD Contributions'!L93)"),0.0)</f>
        <v>0</v>
      </c>
      <c r="M93" s="152">
        <f>IFERROR(__xludf.DUMMYFUNCTION("IFERROR(L93 * (1 + AVERAGE(Filter('Inflation Data'!$C:$C,'Inflation Data'!$A:$A = M$1))) + 'Fund YTD Contributions'!M93,'Fund YTD Contributions'!M93)"),0.0)</f>
        <v>0</v>
      </c>
      <c r="N93" s="152">
        <f>IFERROR(__xludf.DUMMYFUNCTION("IFERROR(M93 * (1 + AVERAGE(Filter('Inflation Data'!$C:$C,'Inflation Data'!$A:$A = N$1))) + 'Fund YTD Contributions'!N93,'Fund YTD Contributions'!N93)"),0.0)</f>
        <v>0</v>
      </c>
      <c r="O93" s="152">
        <f>IFERROR(__xludf.DUMMYFUNCTION("IFERROR(N93 * (1 + AVERAGE(Filter('Inflation Data'!$C:$C,'Inflation Data'!$A:$A = O$1))) + 'Fund YTD Contributions'!O93,'Fund YTD Contributions'!O93)"),0.0)</f>
        <v>0</v>
      </c>
      <c r="P93" s="152">
        <f>IFERROR(__xludf.DUMMYFUNCTION("IFERROR(O93 * (1 + AVERAGE(Filter('Inflation Data'!$C:$C,'Inflation Data'!$A:$A = P$1))) + 'Fund YTD Contributions'!P93,'Fund YTD Contributions'!P93)"),0.0)</f>
        <v>0</v>
      </c>
      <c r="Q93" s="152">
        <f>IFERROR(__xludf.DUMMYFUNCTION("IFERROR(P93 * (1 + AVERAGE(Filter('Inflation Data'!$C:$C,'Inflation Data'!$A:$A = Q$1))) + 'Fund YTD Contributions'!Q93,'Fund YTD Contributions'!Q93)"),0.0)</f>
        <v>0</v>
      </c>
      <c r="R93" s="152">
        <f>IFERROR(__xludf.DUMMYFUNCTION("IFERROR(Q93 * (1 + AVERAGE(Filter('Inflation Data'!$C:$C,'Inflation Data'!$A:$A = R$1))) + 'Fund YTD Contributions'!R93,'Fund YTD Contributions'!R93)"),0.0)</f>
        <v>0</v>
      </c>
      <c r="S93" s="152">
        <f>IFERROR(__xludf.DUMMYFUNCTION("IFERROR(R93 * (1 + AVERAGE(Filter('Inflation Data'!$C:$C,'Inflation Data'!$A:$A = S$1))) + 'Fund YTD Contributions'!S93,'Fund YTD Contributions'!S93)"),0.0)</f>
        <v>0</v>
      </c>
      <c r="T93" s="152">
        <f>IFERROR(__xludf.DUMMYFUNCTION("IFERROR(S93 * (1 + AVERAGE(Filter('Inflation Data'!$C:$C,'Inflation Data'!$A:$A = T$1))) + 'Fund YTD Contributions'!T93,'Fund YTD Contributions'!T93)"),0.0)</f>
        <v>0</v>
      </c>
      <c r="U93" s="152">
        <f>IFERROR(__xludf.DUMMYFUNCTION("IFERROR(T93 * (1 + AVERAGE(Filter('Inflation Data'!$C:$C,'Inflation Data'!$A:$A = U$1))) + 'Fund YTD Contributions'!U93,'Fund YTD Contributions'!U93)"),0.0)</f>
        <v>0</v>
      </c>
      <c r="V93" s="152">
        <f>IFERROR(__xludf.DUMMYFUNCTION("IFERROR(U93 * (1 + AVERAGE(Filter('Inflation Data'!$C:$C,'Inflation Data'!$A:$A = V$1))) + 'Fund YTD Contributions'!V93,'Fund YTD Contributions'!V93)"),0.0)</f>
        <v>0</v>
      </c>
      <c r="W93" s="152">
        <f>IFERROR(__xludf.DUMMYFUNCTION("IFERROR(V93 * (1 + AVERAGE(Filter('Inflation Data'!$C:$C,'Inflation Data'!$A:$A = W$1))) + 'Fund YTD Contributions'!W93,'Fund YTD Contributions'!W93)"),0.0)</f>
        <v>0</v>
      </c>
      <c r="X93" s="152">
        <f>IFERROR(__xludf.DUMMYFUNCTION("IFERROR(W93 * (1 + AVERAGE(Filter('Inflation Data'!$C:$C,'Inflation Data'!$A:$A = X$1))) + 'Fund YTD Contributions'!X93,'Fund YTD Contributions'!X93)"),0.0)</f>
        <v>0</v>
      </c>
      <c r="Y93" s="152">
        <f>IFERROR(__xludf.DUMMYFUNCTION("IFERROR(X93 * (1 + AVERAGE(Filter('Inflation Data'!$C:$C,'Inflation Data'!$A:$A = Y$1))) + 'Fund YTD Contributions'!Y93,'Fund YTD Contributions'!Y93)"),0.0)</f>
        <v>0</v>
      </c>
      <c r="Z93" s="152">
        <f>IFERROR(__xludf.DUMMYFUNCTION("IFERROR(Y93 * (1 + AVERAGE(Filter('Inflation Data'!$C:$C,'Inflation Data'!$A:$A = Z$1))) + 'Fund YTD Contributions'!Z93,'Fund YTD Contributions'!Z93)"),0.0)</f>
        <v>0</v>
      </c>
      <c r="AA93" s="152">
        <f>IFERROR(__xludf.DUMMYFUNCTION("IFERROR(Z93 * (1 + AVERAGE(Filter('Inflation Data'!$C:$C,'Inflation Data'!$A:$A = AA$1))) + 'Fund YTD Contributions'!AA93,'Fund YTD Contributions'!AA93)"),0.0)</f>
        <v>0</v>
      </c>
      <c r="AB93" s="152">
        <f>IFERROR(__xludf.DUMMYFUNCTION("IFERROR(AA93 * (1 + AVERAGE(Filter('Inflation Data'!$C:$C,'Inflation Data'!$A:$A = AB$1))) + 'Fund YTD Contributions'!AB93,'Fund YTD Contributions'!AB93)"),0.0)</f>
        <v>0</v>
      </c>
      <c r="AC93" s="152">
        <f>IFERROR(__xludf.DUMMYFUNCTION("IFERROR(AB93 * (1 + AVERAGE(Filter('Inflation Data'!$C:$C,'Inflation Data'!$A:$A = AC$1))) + 'Fund YTD Contributions'!AC93,'Fund YTD Contributions'!AC93)"),0.0)</f>
        <v>0</v>
      </c>
      <c r="AD93" s="152">
        <f>IFERROR(__xludf.DUMMYFUNCTION("IFERROR(AC93 * (1 + AVERAGE(Filter('Inflation Data'!$C:$C,'Inflation Data'!$A:$A = AD$1))) + 'Fund YTD Contributions'!AD93,'Fund YTD Contributions'!AD93)"),0.0)</f>
        <v>0</v>
      </c>
      <c r="AE93" s="152">
        <f>IFERROR(__xludf.DUMMYFUNCTION("IFERROR(AD93 * (1 + AVERAGE(Filter('Inflation Data'!$C:$C,'Inflation Data'!$A:$A = AE$1))) + 'Fund YTD Contributions'!AE93,'Fund YTD Contributions'!AE93)"),0.0)</f>
        <v>0</v>
      </c>
      <c r="AF93" s="152">
        <f>IFERROR(__xludf.DUMMYFUNCTION("IFERROR(AE93 * (1 + AVERAGE(Filter('Inflation Data'!$C:$C,'Inflation Data'!$A:$A = AF$1))) + 'Fund YTD Contributions'!AF93,'Fund YTD Contributions'!AF93)"),0.0)</f>
        <v>0</v>
      </c>
    </row>
    <row r="94">
      <c r="A94" s="150" t="str">
        <f>'Endowed Funds'!A:A</f>
        <v/>
      </c>
      <c r="B94" s="152">
        <f>IFERROR(__xludf.DUMMYFUNCTION("IFERROR(A94 * (1 + AVERAGE(Filter('Inflation Data'!$C:$C,'Inflation Data'!$A:$A = B$1))) + 'Fund YTD Contributions'!B94,'Fund YTD Contributions'!B94)"),0.0)</f>
        <v>0</v>
      </c>
      <c r="C94" s="152">
        <f>IFERROR(__xludf.DUMMYFUNCTION("IFERROR(B94 * (1 + AVERAGE(Filter('Inflation Data'!$C:$C,'Inflation Data'!$A:$A = C$1))) + 'Fund YTD Contributions'!C94,'Fund YTD Contributions'!C94)"),0.0)</f>
        <v>0</v>
      </c>
      <c r="D94" s="152">
        <f>IFERROR(__xludf.DUMMYFUNCTION("IFERROR(C94 * (1 + AVERAGE(Filter('Inflation Data'!$C:$C,'Inflation Data'!$A:$A = D$1))) + 'Fund YTD Contributions'!D94,'Fund YTD Contributions'!D94)"),0.0)</f>
        <v>0</v>
      </c>
      <c r="E94" s="152">
        <f>IFERROR(__xludf.DUMMYFUNCTION("IFERROR(D94 * (1 + AVERAGE(Filter('Inflation Data'!$C:$C,'Inflation Data'!$A:$A = E$1))) + 'Fund YTD Contributions'!E94,'Fund YTD Contributions'!E94)"),0.0)</f>
        <v>0</v>
      </c>
      <c r="F94" s="152">
        <f>IFERROR(__xludf.DUMMYFUNCTION("IFERROR(E94 * (1 + AVERAGE(Filter('Inflation Data'!$C:$C,'Inflation Data'!$A:$A = F$1))) + 'Fund YTD Contributions'!F94,'Fund YTD Contributions'!F94)"),0.0)</f>
        <v>0</v>
      </c>
      <c r="G94" s="152">
        <f>IFERROR(__xludf.DUMMYFUNCTION("IFERROR(F94 * (1 + AVERAGE(Filter('Inflation Data'!$C:$C,'Inflation Data'!$A:$A = G$1))) + 'Fund YTD Contributions'!G94,'Fund YTD Contributions'!G94)"),0.0)</f>
        <v>0</v>
      </c>
      <c r="H94" s="152">
        <f>IFERROR(__xludf.DUMMYFUNCTION("IFERROR(G94 * (1 + AVERAGE(Filter('Inflation Data'!$C:$C,'Inflation Data'!$A:$A = H$1))) + 'Fund YTD Contributions'!H94,'Fund YTD Contributions'!H94)"),0.0)</f>
        <v>0</v>
      </c>
      <c r="I94" s="152">
        <f>IFERROR(__xludf.DUMMYFUNCTION("IFERROR(H94 * (1 + AVERAGE(Filter('Inflation Data'!$C:$C,'Inflation Data'!$A:$A = I$1))) + 'Fund YTD Contributions'!I94,'Fund YTD Contributions'!I94)"),0.0)</f>
        <v>0</v>
      </c>
      <c r="J94" s="152">
        <f>IFERROR(__xludf.DUMMYFUNCTION("IFERROR(I94 * (1 + AVERAGE(Filter('Inflation Data'!$C:$C,'Inflation Data'!$A:$A = J$1))) + 'Fund YTD Contributions'!J94,'Fund YTD Contributions'!J94)"),0.0)</f>
        <v>0</v>
      </c>
      <c r="K94" s="152">
        <f>IFERROR(__xludf.DUMMYFUNCTION("IFERROR(J94 * (1 + AVERAGE(Filter('Inflation Data'!$C:$C,'Inflation Data'!$A:$A = K$1))) + 'Fund YTD Contributions'!K94,'Fund YTD Contributions'!K94)"),0.0)</f>
        <v>0</v>
      </c>
      <c r="L94" s="152">
        <f>IFERROR(__xludf.DUMMYFUNCTION("IFERROR(K94 * (1 + AVERAGE(Filter('Inflation Data'!$C:$C,'Inflation Data'!$A:$A = L$1))) + 'Fund YTD Contributions'!L94,'Fund YTD Contributions'!L94)"),0.0)</f>
        <v>0</v>
      </c>
      <c r="M94" s="152">
        <f>IFERROR(__xludf.DUMMYFUNCTION("IFERROR(L94 * (1 + AVERAGE(Filter('Inflation Data'!$C:$C,'Inflation Data'!$A:$A = M$1))) + 'Fund YTD Contributions'!M94,'Fund YTD Contributions'!M94)"),0.0)</f>
        <v>0</v>
      </c>
      <c r="N94" s="152">
        <f>IFERROR(__xludf.DUMMYFUNCTION("IFERROR(M94 * (1 + AVERAGE(Filter('Inflation Data'!$C:$C,'Inflation Data'!$A:$A = N$1))) + 'Fund YTD Contributions'!N94,'Fund YTD Contributions'!N94)"),0.0)</f>
        <v>0</v>
      </c>
      <c r="O94" s="152">
        <f>IFERROR(__xludf.DUMMYFUNCTION("IFERROR(N94 * (1 + AVERAGE(Filter('Inflation Data'!$C:$C,'Inflation Data'!$A:$A = O$1))) + 'Fund YTD Contributions'!O94,'Fund YTD Contributions'!O94)"),0.0)</f>
        <v>0</v>
      </c>
      <c r="P94" s="152">
        <f>IFERROR(__xludf.DUMMYFUNCTION("IFERROR(O94 * (1 + AVERAGE(Filter('Inflation Data'!$C:$C,'Inflation Data'!$A:$A = P$1))) + 'Fund YTD Contributions'!P94,'Fund YTD Contributions'!P94)"),0.0)</f>
        <v>0</v>
      </c>
      <c r="Q94" s="152">
        <f>IFERROR(__xludf.DUMMYFUNCTION("IFERROR(P94 * (1 + AVERAGE(Filter('Inflation Data'!$C:$C,'Inflation Data'!$A:$A = Q$1))) + 'Fund YTD Contributions'!Q94,'Fund YTD Contributions'!Q94)"),0.0)</f>
        <v>0</v>
      </c>
      <c r="R94" s="152">
        <f>IFERROR(__xludf.DUMMYFUNCTION("IFERROR(Q94 * (1 + AVERAGE(Filter('Inflation Data'!$C:$C,'Inflation Data'!$A:$A = R$1))) + 'Fund YTD Contributions'!R94,'Fund YTD Contributions'!R94)"),0.0)</f>
        <v>0</v>
      </c>
      <c r="S94" s="152">
        <f>IFERROR(__xludf.DUMMYFUNCTION("IFERROR(R94 * (1 + AVERAGE(Filter('Inflation Data'!$C:$C,'Inflation Data'!$A:$A = S$1))) + 'Fund YTD Contributions'!S94,'Fund YTD Contributions'!S94)"),0.0)</f>
        <v>0</v>
      </c>
      <c r="T94" s="152">
        <f>IFERROR(__xludf.DUMMYFUNCTION("IFERROR(S94 * (1 + AVERAGE(Filter('Inflation Data'!$C:$C,'Inflation Data'!$A:$A = T$1))) + 'Fund YTD Contributions'!T94,'Fund YTD Contributions'!T94)"),0.0)</f>
        <v>0</v>
      </c>
      <c r="U94" s="152">
        <f>IFERROR(__xludf.DUMMYFUNCTION("IFERROR(T94 * (1 + AVERAGE(Filter('Inflation Data'!$C:$C,'Inflation Data'!$A:$A = U$1))) + 'Fund YTD Contributions'!U94,'Fund YTD Contributions'!U94)"),0.0)</f>
        <v>0</v>
      </c>
      <c r="V94" s="152">
        <f>IFERROR(__xludf.DUMMYFUNCTION("IFERROR(U94 * (1 + AVERAGE(Filter('Inflation Data'!$C:$C,'Inflation Data'!$A:$A = V$1))) + 'Fund YTD Contributions'!V94,'Fund YTD Contributions'!V94)"),0.0)</f>
        <v>0</v>
      </c>
      <c r="W94" s="152">
        <f>IFERROR(__xludf.DUMMYFUNCTION("IFERROR(V94 * (1 + AVERAGE(Filter('Inflation Data'!$C:$C,'Inflation Data'!$A:$A = W$1))) + 'Fund YTD Contributions'!W94,'Fund YTD Contributions'!W94)"),0.0)</f>
        <v>0</v>
      </c>
      <c r="X94" s="152">
        <f>IFERROR(__xludf.DUMMYFUNCTION("IFERROR(W94 * (1 + AVERAGE(Filter('Inflation Data'!$C:$C,'Inflation Data'!$A:$A = X$1))) + 'Fund YTD Contributions'!X94,'Fund YTD Contributions'!X94)"),0.0)</f>
        <v>0</v>
      </c>
      <c r="Y94" s="152">
        <f>IFERROR(__xludf.DUMMYFUNCTION("IFERROR(X94 * (1 + AVERAGE(Filter('Inflation Data'!$C:$C,'Inflation Data'!$A:$A = Y$1))) + 'Fund YTD Contributions'!Y94,'Fund YTD Contributions'!Y94)"),0.0)</f>
        <v>0</v>
      </c>
      <c r="Z94" s="152">
        <f>IFERROR(__xludf.DUMMYFUNCTION("IFERROR(Y94 * (1 + AVERAGE(Filter('Inflation Data'!$C:$C,'Inflation Data'!$A:$A = Z$1))) + 'Fund YTD Contributions'!Z94,'Fund YTD Contributions'!Z94)"),0.0)</f>
        <v>0</v>
      </c>
      <c r="AA94" s="152">
        <f>IFERROR(__xludf.DUMMYFUNCTION("IFERROR(Z94 * (1 + AVERAGE(Filter('Inflation Data'!$C:$C,'Inflation Data'!$A:$A = AA$1))) + 'Fund YTD Contributions'!AA94,'Fund YTD Contributions'!AA94)"),0.0)</f>
        <v>0</v>
      </c>
      <c r="AB94" s="152">
        <f>IFERROR(__xludf.DUMMYFUNCTION("IFERROR(AA94 * (1 + AVERAGE(Filter('Inflation Data'!$C:$C,'Inflation Data'!$A:$A = AB$1))) + 'Fund YTD Contributions'!AB94,'Fund YTD Contributions'!AB94)"),0.0)</f>
        <v>0</v>
      </c>
      <c r="AC94" s="152">
        <f>IFERROR(__xludf.DUMMYFUNCTION("IFERROR(AB94 * (1 + AVERAGE(Filter('Inflation Data'!$C:$C,'Inflation Data'!$A:$A = AC$1))) + 'Fund YTD Contributions'!AC94,'Fund YTD Contributions'!AC94)"),0.0)</f>
        <v>0</v>
      </c>
      <c r="AD94" s="152">
        <f>IFERROR(__xludf.DUMMYFUNCTION("IFERROR(AC94 * (1 + AVERAGE(Filter('Inflation Data'!$C:$C,'Inflation Data'!$A:$A = AD$1))) + 'Fund YTD Contributions'!AD94,'Fund YTD Contributions'!AD94)"),0.0)</f>
        <v>0</v>
      </c>
      <c r="AE94" s="152">
        <f>IFERROR(__xludf.DUMMYFUNCTION("IFERROR(AD94 * (1 + AVERAGE(Filter('Inflation Data'!$C:$C,'Inflation Data'!$A:$A = AE$1))) + 'Fund YTD Contributions'!AE94,'Fund YTD Contributions'!AE94)"),0.0)</f>
        <v>0</v>
      </c>
      <c r="AF94" s="152">
        <f>IFERROR(__xludf.DUMMYFUNCTION("IFERROR(AE94 * (1 + AVERAGE(Filter('Inflation Data'!$C:$C,'Inflation Data'!$A:$A = AF$1))) + 'Fund YTD Contributions'!AF94,'Fund YTD Contributions'!AF94)"),0.0)</f>
        <v>0</v>
      </c>
    </row>
    <row r="95">
      <c r="A95" s="150" t="str">
        <f>'Endowed Funds'!A:A</f>
        <v/>
      </c>
      <c r="B95" s="152">
        <f>IFERROR(__xludf.DUMMYFUNCTION("IFERROR(A95 * (1 + AVERAGE(Filter('Inflation Data'!$C:$C,'Inflation Data'!$A:$A = B$1))) + 'Fund YTD Contributions'!B95,'Fund YTD Contributions'!B95)"),0.0)</f>
        <v>0</v>
      </c>
      <c r="C95" s="152">
        <f>IFERROR(__xludf.DUMMYFUNCTION("IFERROR(B95 * (1 + AVERAGE(Filter('Inflation Data'!$C:$C,'Inflation Data'!$A:$A = C$1))) + 'Fund YTD Contributions'!C95,'Fund YTD Contributions'!C95)"),0.0)</f>
        <v>0</v>
      </c>
      <c r="D95" s="152">
        <f>IFERROR(__xludf.DUMMYFUNCTION("IFERROR(C95 * (1 + AVERAGE(Filter('Inflation Data'!$C:$C,'Inflation Data'!$A:$A = D$1))) + 'Fund YTD Contributions'!D95,'Fund YTD Contributions'!D95)"),0.0)</f>
        <v>0</v>
      </c>
      <c r="E95" s="152">
        <f>IFERROR(__xludf.DUMMYFUNCTION("IFERROR(D95 * (1 + AVERAGE(Filter('Inflation Data'!$C:$C,'Inflation Data'!$A:$A = E$1))) + 'Fund YTD Contributions'!E95,'Fund YTD Contributions'!E95)"),0.0)</f>
        <v>0</v>
      </c>
      <c r="F95" s="152">
        <f>IFERROR(__xludf.DUMMYFUNCTION("IFERROR(E95 * (1 + AVERAGE(Filter('Inflation Data'!$C:$C,'Inflation Data'!$A:$A = F$1))) + 'Fund YTD Contributions'!F95,'Fund YTD Contributions'!F95)"),0.0)</f>
        <v>0</v>
      </c>
      <c r="G95" s="152">
        <f>IFERROR(__xludf.DUMMYFUNCTION("IFERROR(F95 * (1 + AVERAGE(Filter('Inflation Data'!$C:$C,'Inflation Data'!$A:$A = G$1))) + 'Fund YTD Contributions'!G95,'Fund YTD Contributions'!G95)"),0.0)</f>
        <v>0</v>
      </c>
      <c r="H95" s="152">
        <f>IFERROR(__xludf.DUMMYFUNCTION("IFERROR(G95 * (1 + AVERAGE(Filter('Inflation Data'!$C:$C,'Inflation Data'!$A:$A = H$1))) + 'Fund YTD Contributions'!H95,'Fund YTD Contributions'!H95)"),0.0)</f>
        <v>0</v>
      </c>
      <c r="I95" s="152">
        <f>IFERROR(__xludf.DUMMYFUNCTION("IFERROR(H95 * (1 + AVERAGE(Filter('Inflation Data'!$C:$C,'Inflation Data'!$A:$A = I$1))) + 'Fund YTD Contributions'!I95,'Fund YTD Contributions'!I95)"),0.0)</f>
        <v>0</v>
      </c>
      <c r="J95" s="152">
        <f>IFERROR(__xludf.DUMMYFUNCTION("IFERROR(I95 * (1 + AVERAGE(Filter('Inflation Data'!$C:$C,'Inflation Data'!$A:$A = J$1))) + 'Fund YTD Contributions'!J95,'Fund YTD Contributions'!J95)"),0.0)</f>
        <v>0</v>
      </c>
      <c r="K95" s="152">
        <f>IFERROR(__xludf.DUMMYFUNCTION("IFERROR(J95 * (1 + AVERAGE(Filter('Inflation Data'!$C:$C,'Inflation Data'!$A:$A = K$1))) + 'Fund YTD Contributions'!K95,'Fund YTD Contributions'!K95)"),0.0)</f>
        <v>0</v>
      </c>
      <c r="L95" s="152">
        <f>IFERROR(__xludf.DUMMYFUNCTION("IFERROR(K95 * (1 + AVERAGE(Filter('Inflation Data'!$C:$C,'Inflation Data'!$A:$A = L$1))) + 'Fund YTD Contributions'!L95,'Fund YTD Contributions'!L95)"),0.0)</f>
        <v>0</v>
      </c>
      <c r="M95" s="152">
        <f>IFERROR(__xludf.DUMMYFUNCTION("IFERROR(L95 * (1 + AVERAGE(Filter('Inflation Data'!$C:$C,'Inflation Data'!$A:$A = M$1))) + 'Fund YTD Contributions'!M95,'Fund YTD Contributions'!M95)"),0.0)</f>
        <v>0</v>
      </c>
      <c r="N95" s="152">
        <f>IFERROR(__xludf.DUMMYFUNCTION("IFERROR(M95 * (1 + AVERAGE(Filter('Inflation Data'!$C:$C,'Inflation Data'!$A:$A = N$1))) + 'Fund YTD Contributions'!N95,'Fund YTD Contributions'!N95)"),0.0)</f>
        <v>0</v>
      </c>
      <c r="O95" s="152">
        <f>IFERROR(__xludf.DUMMYFUNCTION("IFERROR(N95 * (1 + AVERAGE(Filter('Inflation Data'!$C:$C,'Inflation Data'!$A:$A = O$1))) + 'Fund YTD Contributions'!O95,'Fund YTD Contributions'!O95)"),0.0)</f>
        <v>0</v>
      </c>
      <c r="P95" s="152">
        <f>IFERROR(__xludf.DUMMYFUNCTION("IFERROR(O95 * (1 + AVERAGE(Filter('Inflation Data'!$C:$C,'Inflation Data'!$A:$A = P$1))) + 'Fund YTD Contributions'!P95,'Fund YTD Contributions'!P95)"),0.0)</f>
        <v>0</v>
      </c>
      <c r="Q95" s="152">
        <f>IFERROR(__xludf.DUMMYFUNCTION("IFERROR(P95 * (1 + AVERAGE(Filter('Inflation Data'!$C:$C,'Inflation Data'!$A:$A = Q$1))) + 'Fund YTD Contributions'!Q95,'Fund YTD Contributions'!Q95)"),0.0)</f>
        <v>0</v>
      </c>
      <c r="R95" s="152">
        <f>IFERROR(__xludf.DUMMYFUNCTION("IFERROR(Q95 * (1 + AVERAGE(Filter('Inflation Data'!$C:$C,'Inflation Data'!$A:$A = R$1))) + 'Fund YTD Contributions'!R95,'Fund YTD Contributions'!R95)"),0.0)</f>
        <v>0</v>
      </c>
      <c r="S95" s="152">
        <f>IFERROR(__xludf.DUMMYFUNCTION("IFERROR(R95 * (1 + AVERAGE(Filter('Inflation Data'!$C:$C,'Inflation Data'!$A:$A = S$1))) + 'Fund YTD Contributions'!S95,'Fund YTD Contributions'!S95)"),0.0)</f>
        <v>0</v>
      </c>
      <c r="T95" s="152">
        <f>IFERROR(__xludf.DUMMYFUNCTION("IFERROR(S95 * (1 + AVERAGE(Filter('Inflation Data'!$C:$C,'Inflation Data'!$A:$A = T$1))) + 'Fund YTD Contributions'!T95,'Fund YTD Contributions'!T95)"),0.0)</f>
        <v>0</v>
      </c>
      <c r="U95" s="152">
        <f>IFERROR(__xludf.DUMMYFUNCTION("IFERROR(T95 * (1 + AVERAGE(Filter('Inflation Data'!$C:$C,'Inflation Data'!$A:$A = U$1))) + 'Fund YTD Contributions'!U95,'Fund YTD Contributions'!U95)"),0.0)</f>
        <v>0</v>
      </c>
      <c r="V95" s="152">
        <f>IFERROR(__xludf.DUMMYFUNCTION("IFERROR(U95 * (1 + AVERAGE(Filter('Inflation Data'!$C:$C,'Inflation Data'!$A:$A = V$1))) + 'Fund YTD Contributions'!V95,'Fund YTD Contributions'!V95)"),0.0)</f>
        <v>0</v>
      </c>
      <c r="W95" s="152">
        <f>IFERROR(__xludf.DUMMYFUNCTION("IFERROR(V95 * (1 + AVERAGE(Filter('Inflation Data'!$C:$C,'Inflation Data'!$A:$A = W$1))) + 'Fund YTD Contributions'!W95,'Fund YTD Contributions'!W95)"),0.0)</f>
        <v>0</v>
      </c>
      <c r="X95" s="152">
        <f>IFERROR(__xludf.DUMMYFUNCTION("IFERROR(W95 * (1 + AVERAGE(Filter('Inflation Data'!$C:$C,'Inflation Data'!$A:$A = X$1))) + 'Fund YTD Contributions'!X95,'Fund YTD Contributions'!X95)"),0.0)</f>
        <v>0</v>
      </c>
      <c r="Y95" s="152">
        <f>IFERROR(__xludf.DUMMYFUNCTION("IFERROR(X95 * (1 + AVERAGE(Filter('Inflation Data'!$C:$C,'Inflation Data'!$A:$A = Y$1))) + 'Fund YTD Contributions'!Y95,'Fund YTD Contributions'!Y95)"),0.0)</f>
        <v>0</v>
      </c>
      <c r="Z95" s="152">
        <f>IFERROR(__xludf.DUMMYFUNCTION("IFERROR(Y95 * (1 + AVERAGE(Filter('Inflation Data'!$C:$C,'Inflation Data'!$A:$A = Z$1))) + 'Fund YTD Contributions'!Z95,'Fund YTD Contributions'!Z95)"),0.0)</f>
        <v>0</v>
      </c>
      <c r="AA95" s="152">
        <f>IFERROR(__xludf.DUMMYFUNCTION("IFERROR(Z95 * (1 + AVERAGE(Filter('Inflation Data'!$C:$C,'Inflation Data'!$A:$A = AA$1))) + 'Fund YTD Contributions'!AA95,'Fund YTD Contributions'!AA95)"),0.0)</f>
        <v>0</v>
      </c>
      <c r="AB95" s="152">
        <f>IFERROR(__xludf.DUMMYFUNCTION("IFERROR(AA95 * (1 + AVERAGE(Filter('Inflation Data'!$C:$C,'Inflation Data'!$A:$A = AB$1))) + 'Fund YTD Contributions'!AB95,'Fund YTD Contributions'!AB95)"),0.0)</f>
        <v>0</v>
      </c>
      <c r="AC95" s="152">
        <f>IFERROR(__xludf.DUMMYFUNCTION("IFERROR(AB95 * (1 + AVERAGE(Filter('Inflation Data'!$C:$C,'Inflation Data'!$A:$A = AC$1))) + 'Fund YTD Contributions'!AC95,'Fund YTD Contributions'!AC95)"),0.0)</f>
        <v>0</v>
      </c>
      <c r="AD95" s="152">
        <f>IFERROR(__xludf.DUMMYFUNCTION("IFERROR(AC95 * (1 + AVERAGE(Filter('Inflation Data'!$C:$C,'Inflation Data'!$A:$A = AD$1))) + 'Fund YTD Contributions'!AD95,'Fund YTD Contributions'!AD95)"),0.0)</f>
        <v>0</v>
      </c>
      <c r="AE95" s="152">
        <f>IFERROR(__xludf.DUMMYFUNCTION("IFERROR(AD95 * (1 + AVERAGE(Filter('Inflation Data'!$C:$C,'Inflation Data'!$A:$A = AE$1))) + 'Fund YTD Contributions'!AE95,'Fund YTD Contributions'!AE95)"),0.0)</f>
        <v>0</v>
      </c>
      <c r="AF95" s="152">
        <f>IFERROR(__xludf.DUMMYFUNCTION("IFERROR(AE95 * (1 + AVERAGE(Filter('Inflation Data'!$C:$C,'Inflation Data'!$A:$A = AF$1))) + 'Fund YTD Contributions'!AF95,'Fund YTD Contributions'!AF95)"),0.0)</f>
        <v>0</v>
      </c>
    </row>
    <row r="96">
      <c r="A96" s="150" t="str">
        <f>'Endowed Funds'!A:A</f>
        <v/>
      </c>
      <c r="B96" s="152">
        <f>IFERROR(__xludf.DUMMYFUNCTION("IFERROR(A96 * (1 + AVERAGE(Filter('Inflation Data'!$C:$C,'Inflation Data'!$A:$A = B$1))) + 'Fund YTD Contributions'!B96,'Fund YTD Contributions'!B96)"),0.0)</f>
        <v>0</v>
      </c>
      <c r="C96" s="152">
        <f>IFERROR(__xludf.DUMMYFUNCTION("IFERROR(B96 * (1 + AVERAGE(Filter('Inflation Data'!$C:$C,'Inflation Data'!$A:$A = C$1))) + 'Fund YTD Contributions'!C96,'Fund YTD Contributions'!C96)"),0.0)</f>
        <v>0</v>
      </c>
      <c r="D96" s="152">
        <f>IFERROR(__xludf.DUMMYFUNCTION("IFERROR(C96 * (1 + AVERAGE(Filter('Inflation Data'!$C:$C,'Inflation Data'!$A:$A = D$1))) + 'Fund YTD Contributions'!D96,'Fund YTD Contributions'!D96)"),0.0)</f>
        <v>0</v>
      </c>
      <c r="E96" s="152">
        <f>IFERROR(__xludf.DUMMYFUNCTION("IFERROR(D96 * (1 + AVERAGE(Filter('Inflation Data'!$C:$C,'Inflation Data'!$A:$A = E$1))) + 'Fund YTD Contributions'!E96,'Fund YTD Contributions'!E96)"),0.0)</f>
        <v>0</v>
      </c>
      <c r="F96" s="152">
        <f>IFERROR(__xludf.DUMMYFUNCTION("IFERROR(E96 * (1 + AVERAGE(Filter('Inflation Data'!$C:$C,'Inflation Data'!$A:$A = F$1))) + 'Fund YTD Contributions'!F96,'Fund YTD Contributions'!F96)"),0.0)</f>
        <v>0</v>
      </c>
      <c r="G96" s="152">
        <f>IFERROR(__xludf.DUMMYFUNCTION("IFERROR(F96 * (1 + AVERAGE(Filter('Inflation Data'!$C:$C,'Inflation Data'!$A:$A = G$1))) + 'Fund YTD Contributions'!G96,'Fund YTD Contributions'!G96)"),0.0)</f>
        <v>0</v>
      </c>
      <c r="H96" s="152">
        <f>IFERROR(__xludf.DUMMYFUNCTION("IFERROR(G96 * (1 + AVERAGE(Filter('Inflation Data'!$C:$C,'Inflation Data'!$A:$A = H$1))) + 'Fund YTD Contributions'!H96,'Fund YTD Contributions'!H96)"),0.0)</f>
        <v>0</v>
      </c>
      <c r="I96" s="152">
        <f>IFERROR(__xludf.DUMMYFUNCTION("IFERROR(H96 * (1 + AVERAGE(Filter('Inflation Data'!$C:$C,'Inflation Data'!$A:$A = I$1))) + 'Fund YTD Contributions'!I96,'Fund YTD Contributions'!I96)"),0.0)</f>
        <v>0</v>
      </c>
      <c r="J96" s="152">
        <f>IFERROR(__xludf.DUMMYFUNCTION("IFERROR(I96 * (1 + AVERAGE(Filter('Inflation Data'!$C:$C,'Inflation Data'!$A:$A = J$1))) + 'Fund YTD Contributions'!J96,'Fund YTD Contributions'!J96)"),0.0)</f>
        <v>0</v>
      </c>
      <c r="K96" s="152">
        <f>IFERROR(__xludf.DUMMYFUNCTION("IFERROR(J96 * (1 + AVERAGE(Filter('Inflation Data'!$C:$C,'Inflation Data'!$A:$A = K$1))) + 'Fund YTD Contributions'!K96,'Fund YTD Contributions'!K96)"),0.0)</f>
        <v>0</v>
      </c>
      <c r="L96" s="152">
        <f>IFERROR(__xludf.DUMMYFUNCTION("IFERROR(K96 * (1 + AVERAGE(Filter('Inflation Data'!$C:$C,'Inflation Data'!$A:$A = L$1))) + 'Fund YTD Contributions'!L96,'Fund YTD Contributions'!L96)"),0.0)</f>
        <v>0</v>
      </c>
      <c r="M96" s="152">
        <f>IFERROR(__xludf.DUMMYFUNCTION("IFERROR(L96 * (1 + AVERAGE(Filter('Inflation Data'!$C:$C,'Inflation Data'!$A:$A = M$1))) + 'Fund YTD Contributions'!M96,'Fund YTD Contributions'!M96)"),0.0)</f>
        <v>0</v>
      </c>
      <c r="N96" s="152">
        <f>IFERROR(__xludf.DUMMYFUNCTION("IFERROR(M96 * (1 + AVERAGE(Filter('Inflation Data'!$C:$C,'Inflation Data'!$A:$A = N$1))) + 'Fund YTD Contributions'!N96,'Fund YTD Contributions'!N96)"),0.0)</f>
        <v>0</v>
      </c>
      <c r="O96" s="152">
        <f>IFERROR(__xludf.DUMMYFUNCTION("IFERROR(N96 * (1 + AVERAGE(Filter('Inflation Data'!$C:$C,'Inflation Data'!$A:$A = O$1))) + 'Fund YTD Contributions'!O96,'Fund YTD Contributions'!O96)"),0.0)</f>
        <v>0</v>
      </c>
      <c r="P96" s="152">
        <f>IFERROR(__xludf.DUMMYFUNCTION("IFERROR(O96 * (1 + AVERAGE(Filter('Inflation Data'!$C:$C,'Inflation Data'!$A:$A = P$1))) + 'Fund YTD Contributions'!P96,'Fund YTD Contributions'!P96)"),0.0)</f>
        <v>0</v>
      </c>
      <c r="Q96" s="152">
        <f>IFERROR(__xludf.DUMMYFUNCTION("IFERROR(P96 * (1 + AVERAGE(Filter('Inflation Data'!$C:$C,'Inflation Data'!$A:$A = Q$1))) + 'Fund YTD Contributions'!Q96,'Fund YTD Contributions'!Q96)"),0.0)</f>
        <v>0</v>
      </c>
      <c r="R96" s="152">
        <f>IFERROR(__xludf.DUMMYFUNCTION("IFERROR(Q96 * (1 + AVERAGE(Filter('Inflation Data'!$C:$C,'Inflation Data'!$A:$A = R$1))) + 'Fund YTD Contributions'!R96,'Fund YTD Contributions'!R96)"),0.0)</f>
        <v>0</v>
      </c>
      <c r="S96" s="152">
        <f>IFERROR(__xludf.DUMMYFUNCTION("IFERROR(R96 * (1 + AVERAGE(Filter('Inflation Data'!$C:$C,'Inflation Data'!$A:$A = S$1))) + 'Fund YTD Contributions'!S96,'Fund YTD Contributions'!S96)"),0.0)</f>
        <v>0</v>
      </c>
      <c r="T96" s="152">
        <f>IFERROR(__xludf.DUMMYFUNCTION("IFERROR(S96 * (1 + AVERAGE(Filter('Inflation Data'!$C:$C,'Inflation Data'!$A:$A = T$1))) + 'Fund YTD Contributions'!T96,'Fund YTD Contributions'!T96)"),0.0)</f>
        <v>0</v>
      </c>
      <c r="U96" s="152">
        <f>IFERROR(__xludf.DUMMYFUNCTION("IFERROR(T96 * (1 + AVERAGE(Filter('Inflation Data'!$C:$C,'Inflation Data'!$A:$A = U$1))) + 'Fund YTD Contributions'!U96,'Fund YTD Contributions'!U96)"),0.0)</f>
        <v>0</v>
      </c>
      <c r="V96" s="152">
        <f>IFERROR(__xludf.DUMMYFUNCTION("IFERROR(U96 * (1 + AVERAGE(Filter('Inflation Data'!$C:$C,'Inflation Data'!$A:$A = V$1))) + 'Fund YTD Contributions'!V96,'Fund YTD Contributions'!V96)"),0.0)</f>
        <v>0</v>
      </c>
      <c r="W96" s="152">
        <f>IFERROR(__xludf.DUMMYFUNCTION("IFERROR(V96 * (1 + AVERAGE(Filter('Inflation Data'!$C:$C,'Inflation Data'!$A:$A = W$1))) + 'Fund YTD Contributions'!W96,'Fund YTD Contributions'!W96)"),0.0)</f>
        <v>0</v>
      </c>
      <c r="X96" s="152">
        <f>IFERROR(__xludf.DUMMYFUNCTION("IFERROR(W96 * (1 + AVERAGE(Filter('Inflation Data'!$C:$C,'Inflation Data'!$A:$A = X$1))) + 'Fund YTD Contributions'!X96,'Fund YTD Contributions'!X96)"),0.0)</f>
        <v>0</v>
      </c>
      <c r="Y96" s="152">
        <f>IFERROR(__xludf.DUMMYFUNCTION("IFERROR(X96 * (1 + AVERAGE(Filter('Inflation Data'!$C:$C,'Inflation Data'!$A:$A = Y$1))) + 'Fund YTD Contributions'!Y96,'Fund YTD Contributions'!Y96)"),0.0)</f>
        <v>0</v>
      </c>
      <c r="Z96" s="152">
        <f>IFERROR(__xludf.DUMMYFUNCTION("IFERROR(Y96 * (1 + AVERAGE(Filter('Inflation Data'!$C:$C,'Inflation Data'!$A:$A = Z$1))) + 'Fund YTD Contributions'!Z96,'Fund YTD Contributions'!Z96)"),0.0)</f>
        <v>0</v>
      </c>
      <c r="AA96" s="152">
        <f>IFERROR(__xludf.DUMMYFUNCTION("IFERROR(Z96 * (1 + AVERAGE(Filter('Inflation Data'!$C:$C,'Inflation Data'!$A:$A = AA$1))) + 'Fund YTD Contributions'!AA96,'Fund YTD Contributions'!AA96)"),0.0)</f>
        <v>0</v>
      </c>
      <c r="AB96" s="152">
        <f>IFERROR(__xludf.DUMMYFUNCTION("IFERROR(AA96 * (1 + AVERAGE(Filter('Inflation Data'!$C:$C,'Inflation Data'!$A:$A = AB$1))) + 'Fund YTD Contributions'!AB96,'Fund YTD Contributions'!AB96)"),0.0)</f>
        <v>0</v>
      </c>
      <c r="AC96" s="152">
        <f>IFERROR(__xludf.DUMMYFUNCTION("IFERROR(AB96 * (1 + AVERAGE(Filter('Inflation Data'!$C:$C,'Inflation Data'!$A:$A = AC$1))) + 'Fund YTD Contributions'!AC96,'Fund YTD Contributions'!AC96)"),0.0)</f>
        <v>0</v>
      </c>
      <c r="AD96" s="152">
        <f>IFERROR(__xludf.DUMMYFUNCTION("IFERROR(AC96 * (1 + AVERAGE(Filter('Inflation Data'!$C:$C,'Inflation Data'!$A:$A = AD$1))) + 'Fund YTD Contributions'!AD96,'Fund YTD Contributions'!AD96)"),0.0)</f>
        <v>0</v>
      </c>
      <c r="AE96" s="152">
        <f>IFERROR(__xludf.DUMMYFUNCTION("IFERROR(AD96 * (1 + AVERAGE(Filter('Inflation Data'!$C:$C,'Inflation Data'!$A:$A = AE$1))) + 'Fund YTD Contributions'!AE96,'Fund YTD Contributions'!AE96)"),0.0)</f>
        <v>0</v>
      </c>
      <c r="AF96" s="152">
        <f>IFERROR(__xludf.DUMMYFUNCTION("IFERROR(AE96 * (1 + AVERAGE(Filter('Inflation Data'!$C:$C,'Inflation Data'!$A:$A = AF$1))) + 'Fund YTD Contributions'!AF96,'Fund YTD Contributions'!AF96)"),0.0)</f>
        <v>0</v>
      </c>
    </row>
    <row r="97">
      <c r="A97" s="150" t="str">
        <f>'Endowed Funds'!A:A</f>
        <v/>
      </c>
      <c r="B97" s="152">
        <f>IFERROR(__xludf.DUMMYFUNCTION("IFERROR(A97 * (1 + AVERAGE(Filter('Inflation Data'!$C:$C,'Inflation Data'!$A:$A = B$1))) + 'Fund YTD Contributions'!B97,'Fund YTD Contributions'!B97)"),0.0)</f>
        <v>0</v>
      </c>
      <c r="C97" s="152">
        <f>IFERROR(__xludf.DUMMYFUNCTION("IFERROR(B97 * (1 + AVERAGE(Filter('Inflation Data'!$C:$C,'Inflation Data'!$A:$A = C$1))) + 'Fund YTD Contributions'!C97,'Fund YTD Contributions'!C97)"),0.0)</f>
        <v>0</v>
      </c>
      <c r="D97" s="152">
        <f>IFERROR(__xludf.DUMMYFUNCTION("IFERROR(C97 * (1 + AVERAGE(Filter('Inflation Data'!$C:$C,'Inflation Data'!$A:$A = D$1))) + 'Fund YTD Contributions'!D97,'Fund YTD Contributions'!D97)"),0.0)</f>
        <v>0</v>
      </c>
      <c r="E97" s="152">
        <f>IFERROR(__xludf.DUMMYFUNCTION("IFERROR(D97 * (1 + AVERAGE(Filter('Inflation Data'!$C:$C,'Inflation Data'!$A:$A = E$1))) + 'Fund YTD Contributions'!E97,'Fund YTD Contributions'!E97)"),0.0)</f>
        <v>0</v>
      </c>
      <c r="F97" s="152">
        <f>IFERROR(__xludf.DUMMYFUNCTION("IFERROR(E97 * (1 + AVERAGE(Filter('Inflation Data'!$C:$C,'Inflation Data'!$A:$A = F$1))) + 'Fund YTD Contributions'!F97,'Fund YTD Contributions'!F97)"),0.0)</f>
        <v>0</v>
      </c>
      <c r="G97" s="152">
        <f>IFERROR(__xludf.DUMMYFUNCTION("IFERROR(F97 * (1 + AVERAGE(Filter('Inflation Data'!$C:$C,'Inflation Data'!$A:$A = G$1))) + 'Fund YTD Contributions'!G97,'Fund YTD Contributions'!G97)"),0.0)</f>
        <v>0</v>
      </c>
      <c r="H97" s="152">
        <f>IFERROR(__xludf.DUMMYFUNCTION("IFERROR(G97 * (1 + AVERAGE(Filter('Inflation Data'!$C:$C,'Inflation Data'!$A:$A = H$1))) + 'Fund YTD Contributions'!H97,'Fund YTD Contributions'!H97)"),0.0)</f>
        <v>0</v>
      </c>
      <c r="I97" s="152">
        <f>IFERROR(__xludf.DUMMYFUNCTION("IFERROR(H97 * (1 + AVERAGE(Filter('Inflation Data'!$C:$C,'Inflation Data'!$A:$A = I$1))) + 'Fund YTD Contributions'!I97,'Fund YTD Contributions'!I97)"),0.0)</f>
        <v>0</v>
      </c>
      <c r="J97" s="152">
        <f>IFERROR(__xludf.DUMMYFUNCTION("IFERROR(I97 * (1 + AVERAGE(Filter('Inflation Data'!$C:$C,'Inflation Data'!$A:$A = J$1))) + 'Fund YTD Contributions'!J97,'Fund YTD Contributions'!J97)"),0.0)</f>
        <v>0</v>
      </c>
      <c r="K97" s="152">
        <f>IFERROR(__xludf.DUMMYFUNCTION("IFERROR(J97 * (1 + AVERAGE(Filter('Inflation Data'!$C:$C,'Inflation Data'!$A:$A = K$1))) + 'Fund YTD Contributions'!K97,'Fund YTD Contributions'!K97)"),0.0)</f>
        <v>0</v>
      </c>
      <c r="L97" s="152">
        <f>IFERROR(__xludf.DUMMYFUNCTION("IFERROR(K97 * (1 + AVERAGE(Filter('Inflation Data'!$C:$C,'Inflation Data'!$A:$A = L$1))) + 'Fund YTD Contributions'!L97,'Fund YTD Contributions'!L97)"),0.0)</f>
        <v>0</v>
      </c>
      <c r="M97" s="152">
        <f>IFERROR(__xludf.DUMMYFUNCTION("IFERROR(L97 * (1 + AVERAGE(Filter('Inflation Data'!$C:$C,'Inflation Data'!$A:$A = M$1))) + 'Fund YTD Contributions'!M97,'Fund YTD Contributions'!M97)"),0.0)</f>
        <v>0</v>
      </c>
      <c r="N97" s="152">
        <f>IFERROR(__xludf.DUMMYFUNCTION("IFERROR(M97 * (1 + AVERAGE(Filter('Inflation Data'!$C:$C,'Inflation Data'!$A:$A = N$1))) + 'Fund YTD Contributions'!N97,'Fund YTD Contributions'!N97)"),0.0)</f>
        <v>0</v>
      </c>
      <c r="O97" s="152">
        <f>IFERROR(__xludf.DUMMYFUNCTION("IFERROR(N97 * (1 + AVERAGE(Filter('Inflation Data'!$C:$C,'Inflation Data'!$A:$A = O$1))) + 'Fund YTD Contributions'!O97,'Fund YTD Contributions'!O97)"),0.0)</f>
        <v>0</v>
      </c>
      <c r="P97" s="152">
        <f>IFERROR(__xludf.DUMMYFUNCTION("IFERROR(O97 * (1 + AVERAGE(Filter('Inflation Data'!$C:$C,'Inflation Data'!$A:$A = P$1))) + 'Fund YTD Contributions'!P97,'Fund YTD Contributions'!P97)"),0.0)</f>
        <v>0</v>
      </c>
      <c r="Q97" s="152">
        <f>IFERROR(__xludf.DUMMYFUNCTION("IFERROR(P97 * (1 + AVERAGE(Filter('Inflation Data'!$C:$C,'Inflation Data'!$A:$A = Q$1))) + 'Fund YTD Contributions'!Q97,'Fund YTD Contributions'!Q97)"),0.0)</f>
        <v>0</v>
      </c>
      <c r="R97" s="152">
        <f>IFERROR(__xludf.DUMMYFUNCTION("IFERROR(Q97 * (1 + AVERAGE(Filter('Inflation Data'!$C:$C,'Inflation Data'!$A:$A = R$1))) + 'Fund YTD Contributions'!R97,'Fund YTD Contributions'!R97)"),0.0)</f>
        <v>0</v>
      </c>
      <c r="S97" s="152">
        <f>IFERROR(__xludf.DUMMYFUNCTION("IFERROR(R97 * (1 + AVERAGE(Filter('Inflation Data'!$C:$C,'Inflation Data'!$A:$A = S$1))) + 'Fund YTD Contributions'!S97,'Fund YTD Contributions'!S97)"),0.0)</f>
        <v>0</v>
      </c>
      <c r="T97" s="152">
        <f>IFERROR(__xludf.DUMMYFUNCTION("IFERROR(S97 * (1 + AVERAGE(Filter('Inflation Data'!$C:$C,'Inflation Data'!$A:$A = T$1))) + 'Fund YTD Contributions'!T97,'Fund YTD Contributions'!T97)"),0.0)</f>
        <v>0</v>
      </c>
      <c r="U97" s="152">
        <f>IFERROR(__xludf.DUMMYFUNCTION("IFERROR(T97 * (1 + AVERAGE(Filter('Inflation Data'!$C:$C,'Inflation Data'!$A:$A = U$1))) + 'Fund YTD Contributions'!U97,'Fund YTD Contributions'!U97)"),0.0)</f>
        <v>0</v>
      </c>
      <c r="V97" s="152">
        <f>IFERROR(__xludf.DUMMYFUNCTION("IFERROR(U97 * (1 + AVERAGE(Filter('Inflation Data'!$C:$C,'Inflation Data'!$A:$A = V$1))) + 'Fund YTD Contributions'!V97,'Fund YTD Contributions'!V97)"),0.0)</f>
        <v>0</v>
      </c>
      <c r="W97" s="152">
        <f>IFERROR(__xludf.DUMMYFUNCTION("IFERROR(V97 * (1 + AVERAGE(Filter('Inflation Data'!$C:$C,'Inflation Data'!$A:$A = W$1))) + 'Fund YTD Contributions'!W97,'Fund YTD Contributions'!W97)"),0.0)</f>
        <v>0</v>
      </c>
      <c r="X97" s="152">
        <f>IFERROR(__xludf.DUMMYFUNCTION("IFERROR(W97 * (1 + AVERAGE(Filter('Inflation Data'!$C:$C,'Inflation Data'!$A:$A = X$1))) + 'Fund YTD Contributions'!X97,'Fund YTD Contributions'!X97)"),0.0)</f>
        <v>0</v>
      </c>
      <c r="Y97" s="152">
        <f>IFERROR(__xludf.DUMMYFUNCTION("IFERROR(X97 * (1 + AVERAGE(Filter('Inflation Data'!$C:$C,'Inflation Data'!$A:$A = Y$1))) + 'Fund YTD Contributions'!Y97,'Fund YTD Contributions'!Y97)"),0.0)</f>
        <v>0</v>
      </c>
      <c r="Z97" s="152">
        <f>IFERROR(__xludf.DUMMYFUNCTION("IFERROR(Y97 * (1 + AVERAGE(Filter('Inflation Data'!$C:$C,'Inflation Data'!$A:$A = Z$1))) + 'Fund YTD Contributions'!Z97,'Fund YTD Contributions'!Z97)"),0.0)</f>
        <v>0</v>
      </c>
      <c r="AA97" s="152">
        <f>IFERROR(__xludf.DUMMYFUNCTION("IFERROR(Z97 * (1 + AVERAGE(Filter('Inflation Data'!$C:$C,'Inflation Data'!$A:$A = AA$1))) + 'Fund YTD Contributions'!AA97,'Fund YTD Contributions'!AA97)"),0.0)</f>
        <v>0</v>
      </c>
      <c r="AB97" s="152">
        <f>IFERROR(__xludf.DUMMYFUNCTION("IFERROR(AA97 * (1 + AVERAGE(Filter('Inflation Data'!$C:$C,'Inflation Data'!$A:$A = AB$1))) + 'Fund YTD Contributions'!AB97,'Fund YTD Contributions'!AB97)"),0.0)</f>
        <v>0</v>
      </c>
      <c r="AC97" s="152">
        <f>IFERROR(__xludf.DUMMYFUNCTION("IFERROR(AB97 * (1 + AVERAGE(Filter('Inflation Data'!$C:$C,'Inflation Data'!$A:$A = AC$1))) + 'Fund YTD Contributions'!AC97,'Fund YTD Contributions'!AC97)"),0.0)</f>
        <v>0</v>
      </c>
      <c r="AD97" s="152">
        <f>IFERROR(__xludf.DUMMYFUNCTION("IFERROR(AC97 * (1 + AVERAGE(Filter('Inflation Data'!$C:$C,'Inflation Data'!$A:$A = AD$1))) + 'Fund YTD Contributions'!AD97,'Fund YTD Contributions'!AD97)"),0.0)</f>
        <v>0</v>
      </c>
      <c r="AE97" s="152">
        <f>IFERROR(__xludf.DUMMYFUNCTION("IFERROR(AD97 * (1 + AVERAGE(Filter('Inflation Data'!$C:$C,'Inflation Data'!$A:$A = AE$1))) + 'Fund YTD Contributions'!AE97,'Fund YTD Contributions'!AE97)"),0.0)</f>
        <v>0</v>
      </c>
      <c r="AF97" s="152">
        <f>IFERROR(__xludf.DUMMYFUNCTION("IFERROR(AE97 * (1 + AVERAGE(Filter('Inflation Data'!$C:$C,'Inflation Data'!$A:$A = AF$1))) + 'Fund YTD Contributions'!AF97,'Fund YTD Contributions'!AF97)"),0.0)</f>
        <v>0</v>
      </c>
    </row>
    <row r="98">
      <c r="A98" s="150" t="str">
        <f>'Endowed Funds'!A:A</f>
        <v/>
      </c>
      <c r="B98" s="152">
        <f>IFERROR(__xludf.DUMMYFUNCTION("IFERROR(A98 * (1 + AVERAGE(Filter('Inflation Data'!$C:$C,'Inflation Data'!$A:$A = B$1))) + 'Fund YTD Contributions'!B98,'Fund YTD Contributions'!B98)"),0.0)</f>
        <v>0</v>
      </c>
      <c r="C98" s="152">
        <f>IFERROR(__xludf.DUMMYFUNCTION("IFERROR(B98 * (1 + AVERAGE(Filter('Inflation Data'!$C:$C,'Inflation Data'!$A:$A = C$1))) + 'Fund YTD Contributions'!C98,'Fund YTD Contributions'!C98)"),0.0)</f>
        <v>0</v>
      </c>
      <c r="D98" s="152">
        <f>IFERROR(__xludf.DUMMYFUNCTION("IFERROR(C98 * (1 + AVERAGE(Filter('Inflation Data'!$C:$C,'Inflation Data'!$A:$A = D$1))) + 'Fund YTD Contributions'!D98,'Fund YTD Contributions'!D98)"),0.0)</f>
        <v>0</v>
      </c>
      <c r="E98" s="152">
        <f>IFERROR(__xludf.DUMMYFUNCTION("IFERROR(D98 * (1 + AVERAGE(Filter('Inflation Data'!$C:$C,'Inflation Data'!$A:$A = E$1))) + 'Fund YTD Contributions'!E98,'Fund YTD Contributions'!E98)"),0.0)</f>
        <v>0</v>
      </c>
      <c r="F98" s="152">
        <f>IFERROR(__xludf.DUMMYFUNCTION("IFERROR(E98 * (1 + AVERAGE(Filter('Inflation Data'!$C:$C,'Inflation Data'!$A:$A = F$1))) + 'Fund YTD Contributions'!F98,'Fund YTD Contributions'!F98)"),0.0)</f>
        <v>0</v>
      </c>
      <c r="G98" s="152">
        <f>IFERROR(__xludf.DUMMYFUNCTION("IFERROR(F98 * (1 + AVERAGE(Filter('Inflation Data'!$C:$C,'Inflation Data'!$A:$A = G$1))) + 'Fund YTD Contributions'!G98,'Fund YTD Contributions'!G98)"),0.0)</f>
        <v>0</v>
      </c>
      <c r="H98" s="152">
        <f>IFERROR(__xludf.DUMMYFUNCTION("IFERROR(G98 * (1 + AVERAGE(Filter('Inflation Data'!$C:$C,'Inflation Data'!$A:$A = H$1))) + 'Fund YTD Contributions'!H98,'Fund YTD Contributions'!H98)"),0.0)</f>
        <v>0</v>
      </c>
      <c r="I98" s="152">
        <f>IFERROR(__xludf.DUMMYFUNCTION("IFERROR(H98 * (1 + AVERAGE(Filter('Inflation Data'!$C:$C,'Inflation Data'!$A:$A = I$1))) + 'Fund YTD Contributions'!I98,'Fund YTD Contributions'!I98)"),0.0)</f>
        <v>0</v>
      </c>
      <c r="J98" s="152">
        <f>IFERROR(__xludf.DUMMYFUNCTION("IFERROR(I98 * (1 + AVERAGE(Filter('Inflation Data'!$C:$C,'Inflation Data'!$A:$A = J$1))) + 'Fund YTD Contributions'!J98,'Fund YTD Contributions'!J98)"),0.0)</f>
        <v>0</v>
      </c>
      <c r="K98" s="152">
        <f>IFERROR(__xludf.DUMMYFUNCTION("IFERROR(J98 * (1 + AVERAGE(Filter('Inflation Data'!$C:$C,'Inflation Data'!$A:$A = K$1))) + 'Fund YTD Contributions'!K98,'Fund YTD Contributions'!K98)"),0.0)</f>
        <v>0</v>
      </c>
      <c r="L98" s="152">
        <f>IFERROR(__xludf.DUMMYFUNCTION("IFERROR(K98 * (1 + AVERAGE(Filter('Inflation Data'!$C:$C,'Inflation Data'!$A:$A = L$1))) + 'Fund YTD Contributions'!L98,'Fund YTD Contributions'!L98)"),0.0)</f>
        <v>0</v>
      </c>
      <c r="M98" s="152">
        <f>IFERROR(__xludf.DUMMYFUNCTION("IFERROR(L98 * (1 + AVERAGE(Filter('Inflation Data'!$C:$C,'Inflation Data'!$A:$A = M$1))) + 'Fund YTD Contributions'!M98,'Fund YTD Contributions'!M98)"),0.0)</f>
        <v>0</v>
      </c>
      <c r="N98" s="152">
        <f>IFERROR(__xludf.DUMMYFUNCTION("IFERROR(M98 * (1 + AVERAGE(Filter('Inflation Data'!$C:$C,'Inflation Data'!$A:$A = N$1))) + 'Fund YTD Contributions'!N98,'Fund YTD Contributions'!N98)"),0.0)</f>
        <v>0</v>
      </c>
      <c r="O98" s="152">
        <f>IFERROR(__xludf.DUMMYFUNCTION("IFERROR(N98 * (1 + AVERAGE(Filter('Inflation Data'!$C:$C,'Inflation Data'!$A:$A = O$1))) + 'Fund YTD Contributions'!O98,'Fund YTD Contributions'!O98)"),0.0)</f>
        <v>0</v>
      </c>
      <c r="P98" s="152">
        <f>IFERROR(__xludf.DUMMYFUNCTION("IFERROR(O98 * (1 + AVERAGE(Filter('Inflation Data'!$C:$C,'Inflation Data'!$A:$A = P$1))) + 'Fund YTD Contributions'!P98,'Fund YTD Contributions'!P98)"),0.0)</f>
        <v>0</v>
      </c>
      <c r="Q98" s="152">
        <f>IFERROR(__xludf.DUMMYFUNCTION("IFERROR(P98 * (1 + AVERAGE(Filter('Inflation Data'!$C:$C,'Inflation Data'!$A:$A = Q$1))) + 'Fund YTD Contributions'!Q98,'Fund YTD Contributions'!Q98)"),0.0)</f>
        <v>0</v>
      </c>
      <c r="R98" s="152">
        <f>IFERROR(__xludf.DUMMYFUNCTION("IFERROR(Q98 * (1 + AVERAGE(Filter('Inflation Data'!$C:$C,'Inflation Data'!$A:$A = R$1))) + 'Fund YTD Contributions'!R98,'Fund YTD Contributions'!R98)"),0.0)</f>
        <v>0</v>
      </c>
      <c r="S98" s="152">
        <f>IFERROR(__xludf.DUMMYFUNCTION("IFERROR(R98 * (1 + AVERAGE(Filter('Inflation Data'!$C:$C,'Inflation Data'!$A:$A = S$1))) + 'Fund YTD Contributions'!S98,'Fund YTD Contributions'!S98)"),0.0)</f>
        <v>0</v>
      </c>
      <c r="T98" s="152">
        <f>IFERROR(__xludf.DUMMYFUNCTION("IFERROR(S98 * (1 + AVERAGE(Filter('Inflation Data'!$C:$C,'Inflation Data'!$A:$A = T$1))) + 'Fund YTD Contributions'!T98,'Fund YTD Contributions'!T98)"),0.0)</f>
        <v>0</v>
      </c>
      <c r="U98" s="152">
        <f>IFERROR(__xludf.DUMMYFUNCTION("IFERROR(T98 * (1 + AVERAGE(Filter('Inflation Data'!$C:$C,'Inflation Data'!$A:$A = U$1))) + 'Fund YTD Contributions'!U98,'Fund YTD Contributions'!U98)"),0.0)</f>
        <v>0</v>
      </c>
      <c r="V98" s="152">
        <f>IFERROR(__xludf.DUMMYFUNCTION("IFERROR(U98 * (1 + AVERAGE(Filter('Inflation Data'!$C:$C,'Inflation Data'!$A:$A = V$1))) + 'Fund YTD Contributions'!V98,'Fund YTD Contributions'!V98)"),0.0)</f>
        <v>0</v>
      </c>
      <c r="W98" s="152">
        <f>IFERROR(__xludf.DUMMYFUNCTION("IFERROR(V98 * (1 + AVERAGE(Filter('Inflation Data'!$C:$C,'Inflation Data'!$A:$A = W$1))) + 'Fund YTD Contributions'!W98,'Fund YTD Contributions'!W98)"),0.0)</f>
        <v>0</v>
      </c>
      <c r="X98" s="152">
        <f>IFERROR(__xludf.DUMMYFUNCTION("IFERROR(W98 * (1 + AVERAGE(Filter('Inflation Data'!$C:$C,'Inflation Data'!$A:$A = X$1))) + 'Fund YTD Contributions'!X98,'Fund YTD Contributions'!X98)"),0.0)</f>
        <v>0</v>
      </c>
      <c r="Y98" s="152">
        <f>IFERROR(__xludf.DUMMYFUNCTION("IFERROR(X98 * (1 + AVERAGE(Filter('Inflation Data'!$C:$C,'Inflation Data'!$A:$A = Y$1))) + 'Fund YTD Contributions'!Y98,'Fund YTD Contributions'!Y98)"),0.0)</f>
        <v>0</v>
      </c>
      <c r="Z98" s="152">
        <f>IFERROR(__xludf.DUMMYFUNCTION("IFERROR(Y98 * (1 + AVERAGE(Filter('Inflation Data'!$C:$C,'Inflation Data'!$A:$A = Z$1))) + 'Fund YTD Contributions'!Z98,'Fund YTD Contributions'!Z98)"),0.0)</f>
        <v>0</v>
      </c>
      <c r="AA98" s="152">
        <f>IFERROR(__xludf.DUMMYFUNCTION("IFERROR(Z98 * (1 + AVERAGE(Filter('Inflation Data'!$C:$C,'Inflation Data'!$A:$A = AA$1))) + 'Fund YTD Contributions'!AA98,'Fund YTD Contributions'!AA98)"),0.0)</f>
        <v>0</v>
      </c>
      <c r="AB98" s="152">
        <f>IFERROR(__xludf.DUMMYFUNCTION("IFERROR(AA98 * (1 + AVERAGE(Filter('Inflation Data'!$C:$C,'Inflation Data'!$A:$A = AB$1))) + 'Fund YTD Contributions'!AB98,'Fund YTD Contributions'!AB98)"),0.0)</f>
        <v>0</v>
      </c>
      <c r="AC98" s="152">
        <f>IFERROR(__xludf.DUMMYFUNCTION("IFERROR(AB98 * (1 + AVERAGE(Filter('Inflation Data'!$C:$C,'Inflation Data'!$A:$A = AC$1))) + 'Fund YTD Contributions'!AC98,'Fund YTD Contributions'!AC98)"),0.0)</f>
        <v>0</v>
      </c>
      <c r="AD98" s="152">
        <f>IFERROR(__xludf.DUMMYFUNCTION("IFERROR(AC98 * (1 + AVERAGE(Filter('Inflation Data'!$C:$C,'Inflation Data'!$A:$A = AD$1))) + 'Fund YTD Contributions'!AD98,'Fund YTD Contributions'!AD98)"),0.0)</f>
        <v>0</v>
      </c>
      <c r="AE98" s="152">
        <f>IFERROR(__xludf.DUMMYFUNCTION("IFERROR(AD98 * (1 + AVERAGE(Filter('Inflation Data'!$C:$C,'Inflation Data'!$A:$A = AE$1))) + 'Fund YTD Contributions'!AE98,'Fund YTD Contributions'!AE98)"),0.0)</f>
        <v>0</v>
      </c>
      <c r="AF98" s="152">
        <f>IFERROR(__xludf.DUMMYFUNCTION("IFERROR(AE98 * (1 + AVERAGE(Filter('Inflation Data'!$C:$C,'Inflation Data'!$A:$A = AF$1))) + 'Fund YTD Contributions'!AF98,'Fund YTD Contributions'!AF98)"),0.0)</f>
        <v>0</v>
      </c>
    </row>
    <row r="99">
      <c r="A99" s="150" t="str">
        <f>'Endowed Funds'!A:A</f>
        <v/>
      </c>
      <c r="B99" s="152">
        <f>IFERROR(__xludf.DUMMYFUNCTION("IFERROR(A99 * (1 + AVERAGE(Filter('Inflation Data'!$C:$C,'Inflation Data'!$A:$A = B$1))) + 'Fund YTD Contributions'!B99,'Fund YTD Contributions'!B99)"),0.0)</f>
        <v>0</v>
      </c>
      <c r="C99" s="152">
        <f>IFERROR(__xludf.DUMMYFUNCTION("IFERROR(B99 * (1 + AVERAGE(Filter('Inflation Data'!$C:$C,'Inflation Data'!$A:$A = C$1))) + 'Fund YTD Contributions'!C99,'Fund YTD Contributions'!C99)"),0.0)</f>
        <v>0</v>
      </c>
      <c r="D99" s="152">
        <f>IFERROR(__xludf.DUMMYFUNCTION("IFERROR(C99 * (1 + AVERAGE(Filter('Inflation Data'!$C:$C,'Inflation Data'!$A:$A = D$1))) + 'Fund YTD Contributions'!D99,'Fund YTD Contributions'!D99)"),0.0)</f>
        <v>0</v>
      </c>
      <c r="E99" s="152">
        <f>IFERROR(__xludf.DUMMYFUNCTION("IFERROR(D99 * (1 + AVERAGE(Filter('Inflation Data'!$C:$C,'Inflation Data'!$A:$A = E$1))) + 'Fund YTD Contributions'!E99,'Fund YTD Contributions'!E99)"),0.0)</f>
        <v>0</v>
      </c>
      <c r="F99" s="152">
        <f>IFERROR(__xludf.DUMMYFUNCTION("IFERROR(E99 * (1 + AVERAGE(Filter('Inflation Data'!$C:$C,'Inflation Data'!$A:$A = F$1))) + 'Fund YTD Contributions'!F99,'Fund YTD Contributions'!F99)"),0.0)</f>
        <v>0</v>
      </c>
      <c r="G99" s="152">
        <f>IFERROR(__xludf.DUMMYFUNCTION("IFERROR(F99 * (1 + AVERAGE(Filter('Inflation Data'!$C:$C,'Inflation Data'!$A:$A = G$1))) + 'Fund YTD Contributions'!G99,'Fund YTD Contributions'!G99)"),0.0)</f>
        <v>0</v>
      </c>
      <c r="H99" s="152">
        <f>IFERROR(__xludf.DUMMYFUNCTION("IFERROR(G99 * (1 + AVERAGE(Filter('Inflation Data'!$C:$C,'Inflation Data'!$A:$A = H$1))) + 'Fund YTD Contributions'!H99,'Fund YTD Contributions'!H99)"),0.0)</f>
        <v>0</v>
      </c>
      <c r="I99" s="152">
        <f>IFERROR(__xludf.DUMMYFUNCTION("IFERROR(H99 * (1 + AVERAGE(Filter('Inflation Data'!$C:$C,'Inflation Data'!$A:$A = I$1))) + 'Fund YTD Contributions'!I99,'Fund YTD Contributions'!I99)"),0.0)</f>
        <v>0</v>
      </c>
      <c r="J99" s="152">
        <f>IFERROR(__xludf.DUMMYFUNCTION("IFERROR(I99 * (1 + AVERAGE(Filter('Inflation Data'!$C:$C,'Inflation Data'!$A:$A = J$1))) + 'Fund YTD Contributions'!J99,'Fund YTD Contributions'!J99)"),0.0)</f>
        <v>0</v>
      </c>
      <c r="K99" s="152">
        <f>IFERROR(__xludf.DUMMYFUNCTION("IFERROR(J99 * (1 + AVERAGE(Filter('Inflation Data'!$C:$C,'Inflation Data'!$A:$A = K$1))) + 'Fund YTD Contributions'!K99,'Fund YTD Contributions'!K99)"),0.0)</f>
        <v>0</v>
      </c>
      <c r="L99" s="152">
        <f>IFERROR(__xludf.DUMMYFUNCTION("IFERROR(K99 * (1 + AVERAGE(Filter('Inflation Data'!$C:$C,'Inflation Data'!$A:$A = L$1))) + 'Fund YTD Contributions'!L99,'Fund YTD Contributions'!L99)"),0.0)</f>
        <v>0</v>
      </c>
      <c r="M99" s="152">
        <f>IFERROR(__xludf.DUMMYFUNCTION("IFERROR(L99 * (1 + AVERAGE(Filter('Inflation Data'!$C:$C,'Inflation Data'!$A:$A = M$1))) + 'Fund YTD Contributions'!M99,'Fund YTD Contributions'!M99)"),0.0)</f>
        <v>0</v>
      </c>
      <c r="N99" s="152">
        <f>IFERROR(__xludf.DUMMYFUNCTION("IFERROR(M99 * (1 + AVERAGE(Filter('Inflation Data'!$C:$C,'Inflation Data'!$A:$A = N$1))) + 'Fund YTD Contributions'!N99,'Fund YTD Contributions'!N99)"),0.0)</f>
        <v>0</v>
      </c>
      <c r="O99" s="152">
        <f>IFERROR(__xludf.DUMMYFUNCTION("IFERROR(N99 * (1 + AVERAGE(Filter('Inflation Data'!$C:$C,'Inflation Data'!$A:$A = O$1))) + 'Fund YTD Contributions'!O99,'Fund YTD Contributions'!O99)"),0.0)</f>
        <v>0</v>
      </c>
      <c r="P99" s="152">
        <f>IFERROR(__xludf.DUMMYFUNCTION("IFERROR(O99 * (1 + AVERAGE(Filter('Inflation Data'!$C:$C,'Inflation Data'!$A:$A = P$1))) + 'Fund YTD Contributions'!P99,'Fund YTD Contributions'!P99)"),0.0)</f>
        <v>0</v>
      </c>
      <c r="Q99" s="152">
        <f>IFERROR(__xludf.DUMMYFUNCTION("IFERROR(P99 * (1 + AVERAGE(Filter('Inflation Data'!$C:$C,'Inflation Data'!$A:$A = Q$1))) + 'Fund YTD Contributions'!Q99,'Fund YTD Contributions'!Q99)"),0.0)</f>
        <v>0</v>
      </c>
      <c r="R99" s="152">
        <f>IFERROR(__xludf.DUMMYFUNCTION("IFERROR(Q99 * (1 + AVERAGE(Filter('Inflation Data'!$C:$C,'Inflation Data'!$A:$A = R$1))) + 'Fund YTD Contributions'!R99,'Fund YTD Contributions'!R99)"),0.0)</f>
        <v>0</v>
      </c>
      <c r="S99" s="152">
        <f>IFERROR(__xludf.DUMMYFUNCTION("IFERROR(R99 * (1 + AVERAGE(Filter('Inflation Data'!$C:$C,'Inflation Data'!$A:$A = S$1))) + 'Fund YTD Contributions'!S99,'Fund YTD Contributions'!S99)"),0.0)</f>
        <v>0</v>
      </c>
      <c r="T99" s="152">
        <f>IFERROR(__xludf.DUMMYFUNCTION("IFERROR(S99 * (1 + AVERAGE(Filter('Inflation Data'!$C:$C,'Inflation Data'!$A:$A = T$1))) + 'Fund YTD Contributions'!T99,'Fund YTD Contributions'!T99)"),0.0)</f>
        <v>0</v>
      </c>
      <c r="U99" s="152">
        <f>IFERROR(__xludf.DUMMYFUNCTION("IFERROR(T99 * (1 + AVERAGE(Filter('Inflation Data'!$C:$C,'Inflation Data'!$A:$A = U$1))) + 'Fund YTD Contributions'!U99,'Fund YTD Contributions'!U99)"),0.0)</f>
        <v>0</v>
      </c>
      <c r="V99" s="152">
        <f>IFERROR(__xludf.DUMMYFUNCTION("IFERROR(U99 * (1 + AVERAGE(Filter('Inflation Data'!$C:$C,'Inflation Data'!$A:$A = V$1))) + 'Fund YTD Contributions'!V99,'Fund YTD Contributions'!V99)"),0.0)</f>
        <v>0</v>
      </c>
      <c r="W99" s="152">
        <f>IFERROR(__xludf.DUMMYFUNCTION("IFERROR(V99 * (1 + AVERAGE(Filter('Inflation Data'!$C:$C,'Inflation Data'!$A:$A = W$1))) + 'Fund YTD Contributions'!W99,'Fund YTD Contributions'!W99)"),0.0)</f>
        <v>0</v>
      </c>
      <c r="X99" s="152">
        <f>IFERROR(__xludf.DUMMYFUNCTION("IFERROR(W99 * (1 + AVERAGE(Filter('Inflation Data'!$C:$C,'Inflation Data'!$A:$A = X$1))) + 'Fund YTD Contributions'!X99,'Fund YTD Contributions'!X99)"),0.0)</f>
        <v>0</v>
      </c>
      <c r="Y99" s="152">
        <f>IFERROR(__xludf.DUMMYFUNCTION("IFERROR(X99 * (1 + AVERAGE(Filter('Inflation Data'!$C:$C,'Inflation Data'!$A:$A = Y$1))) + 'Fund YTD Contributions'!Y99,'Fund YTD Contributions'!Y99)"),0.0)</f>
        <v>0</v>
      </c>
      <c r="Z99" s="152">
        <f>IFERROR(__xludf.DUMMYFUNCTION("IFERROR(Y99 * (1 + AVERAGE(Filter('Inflation Data'!$C:$C,'Inflation Data'!$A:$A = Z$1))) + 'Fund YTD Contributions'!Z99,'Fund YTD Contributions'!Z99)"),0.0)</f>
        <v>0</v>
      </c>
      <c r="AA99" s="152">
        <f>IFERROR(__xludf.DUMMYFUNCTION("IFERROR(Z99 * (1 + AVERAGE(Filter('Inflation Data'!$C:$C,'Inflation Data'!$A:$A = AA$1))) + 'Fund YTD Contributions'!AA99,'Fund YTD Contributions'!AA99)"),0.0)</f>
        <v>0</v>
      </c>
      <c r="AB99" s="152">
        <f>IFERROR(__xludf.DUMMYFUNCTION("IFERROR(AA99 * (1 + AVERAGE(Filter('Inflation Data'!$C:$C,'Inflation Data'!$A:$A = AB$1))) + 'Fund YTD Contributions'!AB99,'Fund YTD Contributions'!AB99)"),0.0)</f>
        <v>0</v>
      </c>
      <c r="AC99" s="152">
        <f>IFERROR(__xludf.DUMMYFUNCTION("IFERROR(AB99 * (1 + AVERAGE(Filter('Inflation Data'!$C:$C,'Inflation Data'!$A:$A = AC$1))) + 'Fund YTD Contributions'!AC99,'Fund YTD Contributions'!AC99)"),0.0)</f>
        <v>0</v>
      </c>
      <c r="AD99" s="152">
        <f>IFERROR(__xludf.DUMMYFUNCTION("IFERROR(AC99 * (1 + AVERAGE(Filter('Inflation Data'!$C:$C,'Inflation Data'!$A:$A = AD$1))) + 'Fund YTD Contributions'!AD99,'Fund YTD Contributions'!AD99)"),0.0)</f>
        <v>0</v>
      </c>
      <c r="AE99" s="152">
        <f>IFERROR(__xludf.DUMMYFUNCTION("IFERROR(AD99 * (1 + AVERAGE(Filter('Inflation Data'!$C:$C,'Inflation Data'!$A:$A = AE$1))) + 'Fund YTD Contributions'!AE99,'Fund YTD Contributions'!AE99)"),0.0)</f>
        <v>0</v>
      </c>
      <c r="AF99" s="152">
        <f>IFERROR(__xludf.DUMMYFUNCTION("IFERROR(AE99 * (1 + AVERAGE(Filter('Inflation Data'!$C:$C,'Inflation Data'!$A:$A = AF$1))) + 'Fund YTD Contributions'!AF99,'Fund YTD Contributions'!AF99)"),0.0)</f>
        <v>0</v>
      </c>
    </row>
    <row r="100">
      <c r="A100" s="150" t="str">
        <f>'Endowed Funds'!A:A</f>
        <v/>
      </c>
      <c r="B100" s="152">
        <f>IFERROR(__xludf.DUMMYFUNCTION("IFERROR(A100 * (1 + AVERAGE(Filter('Inflation Data'!$C:$C,'Inflation Data'!$A:$A = B$1))) + 'Fund YTD Contributions'!B100,'Fund YTD Contributions'!B100)"),0.0)</f>
        <v>0</v>
      </c>
      <c r="C100" s="152">
        <f>IFERROR(__xludf.DUMMYFUNCTION("IFERROR(B100 * (1 + AVERAGE(Filter('Inflation Data'!$C:$C,'Inflation Data'!$A:$A = C$1))) + 'Fund YTD Contributions'!C100,'Fund YTD Contributions'!C100)"),0.0)</f>
        <v>0</v>
      </c>
      <c r="D100" s="152">
        <f>IFERROR(__xludf.DUMMYFUNCTION("IFERROR(C100 * (1 + AVERAGE(Filter('Inflation Data'!$C:$C,'Inflation Data'!$A:$A = D$1))) + 'Fund YTD Contributions'!D100,'Fund YTD Contributions'!D100)"),0.0)</f>
        <v>0</v>
      </c>
      <c r="E100" s="152">
        <f>IFERROR(__xludf.DUMMYFUNCTION("IFERROR(D100 * (1 + AVERAGE(Filter('Inflation Data'!$C:$C,'Inflation Data'!$A:$A = E$1))) + 'Fund YTD Contributions'!E100,'Fund YTD Contributions'!E100)"),0.0)</f>
        <v>0</v>
      </c>
      <c r="F100" s="152">
        <f>IFERROR(__xludf.DUMMYFUNCTION("IFERROR(E100 * (1 + AVERAGE(Filter('Inflation Data'!$C:$C,'Inflation Data'!$A:$A = F$1))) + 'Fund YTD Contributions'!F100,'Fund YTD Contributions'!F100)"),0.0)</f>
        <v>0</v>
      </c>
      <c r="G100" s="152">
        <f>IFERROR(__xludf.DUMMYFUNCTION("IFERROR(F100 * (1 + AVERAGE(Filter('Inflation Data'!$C:$C,'Inflation Data'!$A:$A = G$1))) + 'Fund YTD Contributions'!G100,'Fund YTD Contributions'!G100)"),0.0)</f>
        <v>0</v>
      </c>
      <c r="H100" s="152">
        <f>IFERROR(__xludf.DUMMYFUNCTION("IFERROR(G100 * (1 + AVERAGE(Filter('Inflation Data'!$C:$C,'Inflation Data'!$A:$A = H$1))) + 'Fund YTD Contributions'!H100,'Fund YTD Contributions'!H100)"),0.0)</f>
        <v>0</v>
      </c>
      <c r="I100" s="152">
        <f>IFERROR(__xludf.DUMMYFUNCTION("IFERROR(H100 * (1 + AVERAGE(Filter('Inflation Data'!$C:$C,'Inflation Data'!$A:$A = I$1))) + 'Fund YTD Contributions'!I100,'Fund YTD Contributions'!I100)"),0.0)</f>
        <v>0</v>
      </c>
      <c r="J100" s="152">
        <f>IFERROR(__xludf.DUMMYFUNCTION("IFERROR(I100 * (1 + AVERAGE(Filter('Inflation Data'!$C:$C,'Inflation Data'!$A:$A = J$1))) + 'Fund YTD Contributions'!J100,'Fund YTD Contributions'!J100)"),0.0)</f>
        <v>0</v>
      </c>
      <c r="K100" s="152">
        <f>IFERROR(__xludf.DUMMYFUNCTION("IFERROR(J100 * (1 + AVERAGE(Filter('Inflation Data'!$C:$C,'Inflation Data'!$A:$A = K$1))) + 'Fund YTD Contributions'!K100,'Fund YTD Contributions'!K100)"),0.0)</f>
        <v>0</v>
      </c>
      <c r="L100" s="152">
        <f>IFERROR(__xludf.DUMMYFUNCTION("IFERROR(K100 * (1 + AVERAGE(Filter('Inflation Data'!$C:$C,'Inflation Data'!$A:$A = L$1))) + 'Fund YTD Contributions'!L100,'Fund YTD Contributions'!L100)"),0.0)</f>
        <v>0</v>
      </c>
      <c r="M100" s="152">
        <f>IFERROR(__xludf.DUMMYFUNCTION("IFERROR(L100 * (1 + AVERAGE(Filter('Inflation Data'!$C:$C,'Inflation Data'!$A:$A = M$1))) + 'Fund YTD Contributions'!M100,'Fund YTD Contributions'!M100)"),0.0)</f>
        <v>0</v>
      </c>
      <c r="N100" s="152">
        <f>IFERROR(__xludf.DUMMYFUNCTION("IFERROR(M100 * (1 + AVERAGE(Filter('Inflation Data'!$C:$C,'Inflation Data'!$A:$A = N$1))) + 'Fund YTD Contributions'!N100,'Fund YTD Contributions'!N100)"),0.0)</f>
        <v>0</v>
      </c>
      <c r="O100" s="152">
        <f>IFERROR(__xludf.DUMMYFUNCTION("IFERROR(N100 * (1 + AVERAGE(Filter('Inflation Data'!$C:$C,'Inflation Data'!$A:$A = O$1))) + 'Fund YTD Contributions'!O100,'Fund YTD Contributions'!O100)"),0.0)</f>
        <v>0</v>
      </c>
      <c r="P100" s="152">
        <f>IFERROR(__xludf.DUMMYFUNCTION("IFERROR(O100 * (1 + AVERAGE(Filter('Inflation Data'!$C:$C,'Inflation Data'!$A:$A = P$1))) + 'Fund YTD Contributions'!P100,'Fund YTD Contributions'!P100)"),0.0)</f>
        <v>0</v>
      </c>
      <c r="Q100" s="152">
        <f>IFERROR(__xludf.DUMMYFUNCTION("IFERROR(P100 * (1 + AVERAGE(Filter('Inflation Data'!$C:$C,'Inflation Data'!$A:$A = Q$1))) + 'Fund YTD Contributions'!Q100,'Fund YTD Contributions'!Q100)"),0.0)</f>
        <v>0</v>
      </c>
      <c r="R100" s="152">
        <f>IFERROR(__xludf.DUMMYFUNCTION("IFERROR(Q100 * (1 + AVERAGE(Filter('Inflation Data'!$C:$C,'Inflation Data'!$A:$A = R$1))) + 'Fund YTD Contributions'!R100,'Fund YTD Contributions'!R100)"),0.0)</f>
        <v>0</v>
      </c>
      <c r="S100" s="152">
        <f>IFERROR(__xludf.DUMMYFUNCTION("IFERROR(R100 * (1 + AVERAGE(Filter('Inflation Data'!$C:$C,'Inflation Data'!$A:$A = S$1))) + 'Fund YTD Contributions'!S100,'Fund YTD Contributions'!S100)"),0.0)</f>
        <v>0</v>
      </c>
      <c r="T100" s="152">
        <f>IFERROR(__xludf.DUMMYFUNCTION("IFERROR(S100 * (1 + AVERAGE(Filter('Inflation Data'!$C:$C,'Inflation Data'!$A:$A = T$1))) + 'Fund YTD Contributions'!T100,'Fund YTD Contributions'!T100)"),0.0)</f>
        <v>0</v>
      </c>
      <c r="U100" s="152">
        <f>IFERROR(__xludf.DUMMYFUNCTION("IFERROR(T100 * (1 + AVERAGE(Filter('Inflation Data'!$C:$C,'Inflation Data'!$A:$A = U$1))) + 'Fund YTD Contributions'!U100,'Fund YTD Contributions'!U100)"),0.0)</f>
        <v>0</v>
      </c>
      <c r="V100" s="152">
        <f>IFERROR(__xludf.DUMMYFUNCTION("IFERROR(U100 * (1 + AVERAGE(Filter('Inflation Data'!$C:$C,'Inflation Data'!$A:$A = V$1))) + 'Fund YTD Contributions'!V100,'Fund YTD Contributions'!V100)"),0.0)</f>
        <v>0</v>
      </c>
      <c r="W100" s="152">
        <f>IFERROR(__xludf.DUMMYFUNCTION("IFERROR(V100 * (1 + AVERAGE(Filter('Inflation Data'!$C:$C,'Inflation Data'!$A:$A = W$1))) + 'Fund YTD Contributions'!W100,'Fund YTD Contributions'!W100)"),0.0)</f>
        <v>0</v>
      </c>
      <c r="X100" s="152">
        <f>IFERROR(__xludf.DUMMYFUNCTION("IFERROR(W100 * (1 + AVERAGE(Filter('Inflation Data'!$C:$C,'Inflation Data'!$A:$A = X$1))) + 'Fund YTD Contributions'!X100,'Fund YTD Contributions'!X100)"),0.0)</f>
        <v>0</v>
      </c>
      <c r="Y100" s="152">
        <f>IFERROR(__xludf.DUMMYFUNCTION("IFERROR(X100 * (1 + AVERAGE(Filter('Inflation Data'!$C:$C,'Inflation Data'!$A:$A = Y$1))) + 'Fund YTD Contributions'!Y100,'Fund YTD Contributions'!Y100)"),0.0)</f>
        <v>0</v>
      </c>
      <c r="Z100" s="152">
        <f>IFERROR(__xludf.DUMMYFUNCTION("IFERROR(Y100 * (1 + AVERAGE(Filter('Inflation Data'!$C:$C,'Inflation Data'!$A:$A = Z$1))) + 'Fund YTD Contributions'!Z100,'Fund YTD Contributions'!Z100)"),0.0)</f>
        <v>0</v>
      </c>
      <c r="AA100" s="152">
        <f>IFERROR(__xludf.DUMMYFUNCTION("IFERROR(Z100 * (1 + AVERAGE(Filter('Inflation Data'!$C:$C,'Inflation Data'!$A:$A = AA$1))) + 'Fund YTD Contributions'!AA100,'Fund YTD Contributions'!AA100)"),0.0)</f>
        <v>0</v>
      </c>
      <c r="AB100" s="152">
        <f>IFERROR(__xludf.DUMMYFUNCTION("IFERROR(AA100 * (1 + AVERAGE(Filter('Inflation Data'!$C:$C,'Inflation Data'!$A:$A = AB$1))) + 'Fund YTD Contributions'!AB100,'Fund YTD Contributions'!AB100)"),0.0)</f>
        <v>0</v>
      </c>
      <c r="AC100" s="152">
        <f>IFERROR(__xludf.DUMMYFUNCTION("IFERROR(AB100 * (1 + AVERAGE(Filter('Inflation Data'!$C:$C,'Inflation Data'!$A:$A = AC$1))) + 'Fund YTD Contributions'!AC100,'Fund YTD Contributions'!AC100)"),0.0)</f>
        <v>0</v>
      </c>
      <c r="AD100" s="152">
        <f>IFERROR(__xludf.DUMMYFUNCTION("IFERROR(AC100 * (1 + AVERAGE(Filter('Inflation Data'!$C:$C,'Inflation Data'!$A:$A = AD$1))) + 'Fund YTD Contributions'!AD100,'Fund YTD Contributions'!AD100)"),0.0)</f>
        <v>0</v>
      </c>
      <c r="AE100" s="152">
        <f>IFERROR(__xludf.DUMMYFUNCTION("IFERROR(AD100 * (1 + AVERAGE(Filter('Inflation Data'!$C:$C,'Inflation Data'!$A:$A = AE$1))) + 'Fund YTD Contributions'!AE100,'Fund YTD Contributions'!AE100)"),0.0)</f>
        <v>0</v>
      </c>
      <c r="AF100" s="152">
        <f>IFERROR(__xludf.DUMMYFUNCTION("IFERROR(AE100 * (1 + AVERAGE(Filter('Inflation Data'!$C:$C,'Inflation Data'!$A:$A = AF$1))) + 'Fund YTD Contributions'!AF100,'Fund YTD Contributions'!AF100)"),0.0)</f>
        <v>0</v>
      </c>
    </row>
    <row r="101">
      <c r="A101" s="150" t="str">
        <f>'Endowed Funds'!A:A</f>
        <v/>
      </c>
      <c r="B101" s="152">
        <f>IFERROR(__xludf.DUMMYFUNCTION("IFERROR(A101 * (1 + AVERAGE(Filter('Inflation Data'!$C:$C,'Inflation Data'!$A:$A = B$1))) + 'Fund YTD Contributions'!B101,'Fund YTD Contributions'!B101)"),0.0)</f>
        <v>0</v>
      </c>
      <c r="C101" s="152">
        <f>IFERROR(__xludf.DUMMYFUNCTION("IFERROR(B101 * (1 + AVERAGE(Filter('Inflation Data'!$C:$C,'Inflation Data'!$A:$A = C$1))) + 'Fund YTD Contributions'!C101,'Fund YTD Contributions'!C101)"),0.0)</f>
        <v>0</v>
      </c>
      <c r="D101" s="152">
        <f>IFERROR(__xludf.DUMMYFUNCTION("IFERROR(C101 * (1 + AVERAGE(Filter('Inflation Data'!$C:$C,'Inflation Data'!$A:$A = D$1))) + 'Fund YTD Contributions'!D101,'Fund YTD Contributions'!D101)"),0.0)</f>
        <v>0</v>
      </c>
      <c r="E101" s="152">
        <f>IFERROR(__xludf.DUMMYFUNCTION("IFERROR(D101 * (1 + AVERAGE(Filter('Inflation Data'!$C:$C,'Inflation Data'!$A:$A = E$1))) + 'Fund YTD Contributions'!E101,'Fund YTD Contributions'!E101)"),0.0)</f>
        <v>0</v>
      </c>
      <c r="F101" s="152">
        <f>IFERROR(__xludf.DUMMYFUNCTION("IFERROR(E101 * (1 + AVERAGE(Filter('Inflation Data'!$C:$C,'Inflation Data'!$A:$A = F$1))) + 'Fund YTD Contributions'!F101,'Fund YTD Contributions'!F101)"),0.0)</f>
        <v>0</v>
      </c>
      <c r="G101" s="152">
        <f>IFERROR(__xludf.DUMMYFUNCTION("IFERROR(F101 * (1 + AVERAGE(Filter('Inflation Data'!$C:$C,'Inflation Data'!$A:$A = G$1))) + 'Fund YTD Contributions'!G101,'Fund YTD Contributions'!G101)"),0.0)</f>
        <v>0</v>
      </c>
      <c r="H101" s="152">
        <f>IFERROR(__xludf.DUMMYFUNCTION("IFERROR(G101 * (1 + AVERAGE(Filter('Inflation Data'!$C:$C,'Inflation Data'!$A:$A = H$1))) + 'Fund YTD Contributions'!H101,'Fund YTD Contributions'!H101)"),0.0)</f>
        <v>0</v>
      </c>
      <c r="I101" s="152">
        <f>IFERROR(__xludf.DUMMYFUNCTION("IFERROR(H101 * (1 + AVERAGE(Filter('Inflation Data'!$C:$C,'Inflation Data'!$A:$A = I$1))) + 'Fund YTD Contributions'!I101,'Fund YTD Contributions'!I101)"),0.0)</f>
        <v>0</v>
      </c>
      <c r="J101" s="152">
        <f>IFERROR(__xludf.DUMMYFUNCTION("IFERROR(I101 * (1 + AVERAGE(Filter('Inflation Data'!$C:$C,'Inflation Data'!$A:$A = J$1))) + 'Fund YTD Contributions'!J101,'Fund YTD Contributions'!J101)"),0.0)</f>
        <v>0</v>
      </c>
      <c r="K101" s="152">
        <f>IFERROR(__xludf.DUMMYFUNCTION("IFERROR(J101 * (1 + AVERAGE(Filter('Inflation Data'!$C:$C,'Inflation Data'!$A:$A = K$1))) + 'Fund YTD Contributions'!K101,'Fund YTD Contributions'!K101)"),0.0)</f>
        <v>0</v>
      </c>
      <c r="L101" s="152">
        <f>IFERROR(__xludf.DUMMYFUNCTION("IFERROR(K101 * (1 + AVERAGE(Filter('Inflation Data'!$C:$C,'Inflation Data'!$A:$A = L$1))) + 'Fund YTD Contributions'!L101,'Fund YTD Contributions'!L101)"),0.0)</f>
        <v>0</v>
      </c>
      <c r="M101" s="152">
        <f>IFERROR(__xludf.DUMMYFUNCTION("IFERROR(L101 * (1 + AVERAGE(Filter('Inflation Data'!$C:$C,'Inflation Data'!$A:$A = M$1))) + 'Fund YTD Contributions'!M101,'Fund YTD Contributions'!M101)"),0.0)</f>
        <v>0</v>
      </c>
      <c r="N101" s="152">
        <f>IFERROR(__xludf.DUMMYFUNCTION("IFERROR(M101 * (1 + AVERAGE(Filter('Inflation Data'!$C:$C,'Inflation Data'!$A:$A = N$1))) + 'Fund YTD Contributions'!N101,'Fund YTD Contributions'!N101)"),0.0)</f>
        <v>0</v>
      </c>
      <c r="O101" s="152">
        <f>IFERROR(__xludf.DUMMYFUNCTION("IFERROR(N101 * (1 + AVERAGE(Filter('Inflation Data'!$C:$C,'Inflation Data'!$A:$A = O$1))) + 'Fund YTD Contributions'!O101,'Fund YTD Contributions'!O101)"),0.0)</f>
        <v>0</v>
      </c>
      <c r="P101" s="152">
        <f>IFERROR(__xludf.DUMMYFUNCTION("IFERROR(O101 * (1 + AVERAGE(Filter('Inflation Data'!$C:$C,'Inflation Data'!$A:$A = P$1))) + 'Fund YTD Contributions'!P101,'Fund YTD Contributions'!P101)"),0.0)</f>
        <v>0</v>
      </c>
      <c r="Q101" s="152">
        <f>IFERROR(__xludf.DUMMYFUNCTION("IFERROR(P101 * (1 + AVERAGE(Filter('Inflation Data'!$C:$C,'Inflation Data'!$A:$A = Q$1))) + 'Fund YTD Contributions'!Q101,'Fund YTD Contributions'!Q101)"),0.0)</f>
        <v>0</v>
      </c>
      <c r="R101" s="152">
        <f>IFERROR(__xludf.DUMMYFUNCTION("IFERROR(Q101 * (1 + AVERAGE(Filter('Inflation Data'!$C:$C,'Inflation Data'!$A:$A = R$1))) + 'Fund YTD Contributions'!R101,'Fund YTD Contributions'!R101)"),0.0)</f>
        <v>0</v>
      </c>
      <c r="S101" s="152">
        <f>IFERROR(__xludf.DUMMYFUNCTION("IFERROR(R101 * (1 + AVERAGE(Filter('Inflation Data'!$C:$C,'Inflation Data'!$A:$A = S$1))) + 'Fund YTD Contributions'!S101,'Fund YTD Contributions'!S101)"),0.0)</f>
        <v>0</v>
      </c>
      <c r="T101" s="152">
        <f>IFERROR(__xludf.DUMMYFUNCTION("IFERROR(S101 * (1 + AVERAGE(Filter('Inflation Data'!$C:$C,'Inflation Data'!$A:$A = T$1))) + 'Fund YTD Contributions'!T101,'Fund YTD Contributions'!T101)"),0.0)</f>
        <v>0</v>
      </c>
      <c r="U101" s="152">
        <f>IFERROR(__xludf.DUMMYFUNCTION("IFERROR(T101 * (1 + AVERAGE(Filter('Inflation Data'!$C:$C,'Inflation Data'!$A:$A = U$1))) + 'Fund YTD Contributions'!U101,'Fund YTD Contributions'!U101)"),0.0)</f>
        <v>0</v>
      </c>
      <c r="V101" s="152">
        <f>IFERROR(__xludf.DUMMYFUNCTION("IFERROR(U101 * (1 + AVERAGE(Filter('Inflation Data'!$C:$C,'Inflation Data'!$A:$A = V$1))) + 'Fund YTD Contributions'!V101,'Fund YTD Contributions'!V101)"),0.0)</f>
        <v>0</v>
      </c>
      <c r="W101" s="152">
        <f>IFERROR(__xludf.DUMMYFUNCTION("IFERROR(V101 * (1 + AVERAGE(Filter('Inflation Data'!$C:$C,'Inflation Data'!$A:$A = W$1))) + 'Fund YTD Contributions'!W101,'Fund YTD Contributions'!W101)"),0.0)</f>
        <v>0</v>
      </c>
      <c r="X101" s="152">
        <f>IFERROR(__xludf.DUMMYFUNCTION("IFERROR(W101 * (1 + AVERAGE(Filter('Inflation Data'!$C:$C,'Inflation Data'!$A:$A = X$1))) + 'Fund YTD Contributions'!X101,'Fund YTD Contributions'!X101)"),0.0)</f>
        <v>0</v>
      </c>
      <c r="Y101" s="152">
        <f>IFERROR(__xludf.DUMMYFUNCTION("IFERROR(X101 * (1 + AVERAGE(Filter('Inflation Data'!$C:$C,'Inflation Data'!$A:$A = Y$1))) + 'Fund YTD Contributions'!Y101,'Fund YTD Contributions'!Y101)"),0.0)</f>
        <v>0</v>
      </c>
      <c r="Z101" s="152">
        <f>IFERROR(__xludf.DUMMYFUNCTION("IFERROR(Y101 * (1 + AVERAGE(Filter('Inflation Data'!$C:$C,'Inflation Data'!$A:$A = Z$1))) + 'Fund YTD Contributions'!Z101,'Fund YTD Contributions'!Z101)"),0.0)</f>
        <v>0</v>
      </c>
      <c r="AA101" s="152">
        <f>IFERROR(__xludf.DUMMYFUNCTION("IFERROR(Z101 * (1 + AVERAGE(Filter('Inflation Data'!$C:$C,'Inflation Data'!$A:$A = AA$1))) + 'Fund YTD Contributions'!AA101,'Fund YTD Contributions'!AA101)"),0.0)</f>
        <v>0</v>
      </c>
      <c r="AB101" s="152">
        <f>IFERROR(__xludf.DUMMYFUNCTION("IFERROR(AA101 * (1 + AVERAGE(Filter('Inflation Data'!$C:$C,'Inflation Data'!$A:$A = AB$1))) + 'Fund YTD Contributions'!AB101,'Fund YTD Contributions'!AB101)"),0.0)</f>
        <v>0</v>
      </c>
      <c r="AC101" s="152">
        <f>IFERROR(__xludf.DUMMYFUNCTION("IFERROR(AB101 * (1 + AVERAGE(Filter('Inflation Data'!$C:$C,'Inflation Data'!$A:$A = AC$1))) + 'Fund YTD Contributions'!AC101,'Fund YTD Contributions'!AC101)"),0.0)</f>
        <v>0</v>
      </c>
      <c r="AD101" s="152">
        <f>IFERROR(__xludf.DUMMYFUNCTION("IFERROR(AC101 * (1 + AVERAGE(Filter('Inflation Data'!$C:$C,'Inflation Data'!$A:$A = AD$1))) + 'Fund YTD Contributions'!AD101,'Fund YTD Contributions'!AD101)"),0.0)</f>
        <v>0</v>
      </c>
      <c r="AE101" s="152">
        <f>IFERROR(__xludf.DUMMYFUNCTION("IFERROR(AD101 * (1 + AVERAGE(Filter('Inflation Data'!$C:$C,'Inflation Data'!$A:$A = AE$1))) + 'Fund YTD Contributions'!AE101,'Fund YTD Contributions'!AE101)"),0.0)</f>
        <v>0</v>
      </c>
      <c r="AF101" s="152">
        <f>IFERROR(__xludf.DUMMYFUNCTION("IFERROR(AE101 * (1 + AVERAGE(Filter('Inflation Data'!$C:$C,'Inflation Data'!$A:$A = AF$1))) + 'Fund YTD Contributions'!AF101,'Fund YTD Contributions'!AF101)"),0.0)</f>
        <v>0</v>
      </c>
    </row>
    <row r="102">
      <c r="A102" s="150" t="str">
        <f>'Endowed Funds'!A:A</f>
        <v/>
      </c>
      <c r="B102" s="152">
        <f>IFERROR(__xludf.DUMMYFUNCTION("IFERROR(A102 * (1 + AVERAGE(Filter('Inflation Data'!$C:$C,'Inflation Data'!$A:$A = B$1))) + 'Fund YTD Contributions'!B102,'Fund YTD Contributions'!B102)"),0.0)</f>
        <v>0</v>
      </c>
      <c r="C102" s="152">
        <f>IFERROR(__xludf.DUMMYFUNCTION("IFERROR(B102 * (1 + AVERAGE(Filter('Inflation Data'!$C:$C,'Inflation Data'!$A:$A = C$1))) + 'Fund YTD Contributions'!C102,'Fund YTD Contributions'!C102)"),0.0)</f>
        <v>0</v>
      </c>
      <c r="D102" s="152">
        <f>IFERROR(__xludf.DUMMYFUNCTION("IFERROR(C102 * (1 + AVERAGE(Filter('Inflation Data'!$C:$C,'Inflation Data'!$A:$A = D$1))) + 'Fund YTD Contributions'!D102,'Fund YTD Contributions'!D102)"),0.0)</f>
        <v>0</v>
      </c>
      <c r="E102" s="152">
        <f>IFERROR(__xludf.DUMMYFUNCTION("IFERROR(D102 * (1 + AVERAGE(Filter('Inflation Data'!$C:$C,'Inflation Data'!$A:$A = E$1))) + 'Fund YTD Contributions'!E102,'Fund YTD Contributions'!E102)"),0.0)</f>
        <v>0</v>
      </c>
      <c r="F102" s="152">
        <f>IFERROR(__xludf.DUMMYFUNCTION("IFERROR(E102 * (1 + AVERAGE(Filter('Inflation Data'!$C:$C,'Inflation Data'!$A:$A = F$1))) + 'Fund YTD Contributions'!F102,'Fund YTD Contributions'!F102)"),0.0)</f>
        <v>0</v>
      </c>
      <c r="G102" s="152">
        <f>IFERROR(__xludf.DUMMYFUNCTION("IFERROR(F102 * (1 + AVERAGE(Filter('Inflation Data'!$C:$C,'Inflation Data'!$A:$A = G$1))) + 'Fund YTD Contributions'!G102,'Fund YTD Contributions'!G102)"),0.0)</f>
        <v>0</v>
      </c>
      <c r="H102" s="152">
        <f>IFERROR(__xludf.DUMMYFUNCTION("IFERROR(G102 * (1 + AVERAGE(Filter('Inflation Data'!$C:$C,'Inflation Data'!$A:$A = H$1))) + 'Fund YTD Contributions'!H102,'Fund YTD Contributions'!H102)"),0.0)</f>
        <v>0</v>
      </c>
      <c r="I102" s="152">
        <f>IFERROR(__xludf.DUMMYFUNCTION("IFERROR(H102 * (1 + AVERAGE(Filter('Inflation Data'!$C:$C,'Inflation Data'!$A:$A = I$1))) + 'Fund YTD Contributions'!I102,'Fund YTD Contributions'!I102)"),0.0)</f>
        <v>0</v>
      </c>
      <c r="J102" s="152">
        <f>IFERROR(__xludf.DUMMYFUNCTION("IFERROR(I102 * (1 + AVERAGE(Filter('Inflation Data'!$C:$C,'Inflation Data'!$A:$A = J$1))) + 'Fund YTD Contributions'!J102,'Fund YTD Contributions'!J102)"),0.0)</f>
        <v>0</v>
      </c>
      <c r="K102" s="152">
        <f>IFERROR(__xludf.DUMMYFUNCTION("IFERROR(J102 * (1 + AVERAGE(Filter('Inflation Data'!$C:$C,'Inflation Data'!$A:$A = K$1))) + 'Fund YTD Contributions'!K102,'Fund YTD Contributions'!K102)"),0.0)</f>
        <v>0</v>
      </c>
      <c r="L102" s="152">
        <f>IFERROR(__xludf.DUMMYFUNCTION("IFERROR(K102 * (1 + AVERAGE(Filter('Inflation Data'!$C:$C,'Inflation Data'!$A:$A = L$1))) + 'Fund YTD Contributions'!L102,'Fund YTD Contributions'!L102)"),0.0)</f>
        <v>0</v>
      </c>
      <c r="M102" s="152">
        <f>IFERROR(__xludf.DUMMYFUNCTION("IFERROR(L102 * (1 + AVERAGE(Filter('Inflation Data'!$C:$C,'Inflation Data'!$A:$A = M$1))) + 'Fund YTD Contributions'!M102,'Fund YTD Contributions'!M102)"),0.0)</f>
        <v>0</v>
      </c>
      <c r="N102" s="152">
        <f>IFERROR(__xludf.DUMMYFUNCTION("IFERROR(M102 * (1 + AVERAGE(Filter('Inflation Data'!$C:$C,'Inflation Data'!$A:$A = N$1))) + 'Fund YTD Contributions'!N102,'Fund YTD Contributions'!N102)"),0.0)</f>
        <v>0</v>
      </c>
      <c r="O102" s="152">
        <f>IFERROR(__xludf.DUMMYFUNCTION("IFERROR(N102 * (1 + AVERAGE(Filter('Inflation Data'!$C:$C,'Inflation Data'!$A:$A = O$1))) + 'Fund YTD Contributions'!O102,'Fund YTD Contributions'!O102)"),0.0)</f>
        <v>0</v>
      </c>
      <c r="P102" s="152">
        <f>IFERROR(__xludf.DUMMYFUNCTION("IFERROR(O102 * (1 + AVERAGE(Filter('Inflation Data'!$C:$C,'Inflation Data'!$A:$A = P$1))) + 'Fund YTD Contributions'!P102,'Fund YTD Contributions'!P102)"),0.0)</f>
        <v>0</v>
      </c>
      <c r="Q102" s="152">
        <f>IFERROR(__xludf.DUMMYFUNCTION("IFERROR(P102 * (1 + AVERAGE(Filter('Inflation Data'!$C:$C,'Inflation Data'!$A:$A = Q$1))) + 'Fund YTD Contributions'!Q102,'Fund YTD Contributions'!Q102)"),0.0)</f>
        <v>0</v>
      </c>
      <c r="R102" s="152">
        <f>IFERROR(__xludf.DUMMYFUNCTION("IFERROR(Q102 * (1 + AVERAGE(Filter('Inflation Data'!$C:$C,'Inflation Data'!$A:$A = R$1))) + 'Fund YTD Contributions'!R102,'Fund YTD Contributions'!R102)"),0.0)</f>
        <v>0</v>
      </c>
      <c r="S102" s="152">
        <f>IFERROR(__xludf.DUMMYFUNCTION("IFERROR(R102 * (1 + AVERAGE(Filter('Inflation Data'!$C:$C,'Inflation Data'!$A:$A = S$1))) + 'Fund YTD Contributions'!S102,'Fund YTD Contributions'!S102)"),0.0)</f>
        <v>0</v>
      </c>
      <c r="T102" s="152">
        <f>IFERROR(__xludf.DUMMYFUNCTION("IFERROR(S102 * (1 + AVERAGE(Filter('Inflation Data'!$C:$C,'Inflation Data'!$A:$A = T$1))) + 'Fund YTD Contributions'!T102,'Fund YTD Contributions'!T102)"),0.0)</f>
        <v>0</v>
      </c>
      <c r="U102" s="152">
        <f>IFERROR(__xludf.DUMMYFUNCTION("IFERROR(T102 * (1 + AVERAGE(Filter('Inflation Data'!$C:$C,'Inflation Data'!$A:$A = U$1))) + 'Fund YTD Contributions'!U102,'Fund YTD Contributions'!U102)"),0.0)</f>
        <v>0</v>
      </c>
      <c r="V102" s="152">
        <f>IFERROR(__xludf.DUMMYFUNCTION("IFERROR(U102 * (1 + AVERAGE(Filter('Inflation Data'!$C:$C,'Inflation Data'!$A:$A = V$1))) + 'Fund YTD Contributions'!V102,'Fund YTD Contributions'!V102)"),0.0)</f>
        <v>0</v>
      </c>
      <c r="W102" s="152">
        <f>IFERROR(__xludf.DUMMYFUNCTION("IFERROR(V102 * (1 + AVERAGE(Filter('Inflation Data'!$C:$C,'Inflation Data'!$A:$A = W$1))) + 'Fund YTD Contributions'!W102,'Fund YTD Contributions'!W102)"),0.0)</f>
        <v>0</v>
      </c>
      <c r="X102" s="152">
        <f>IFERROR(__xludf.DUMMYFUNCTION("IFERROR(W102 * (1 + AVERAGE(Filter('Inflation Data'!$C:$C,'Inflation Data'!$A:$A = X$1))) + 'Fund YTD Contributions'!X102,'Fund YTD Contributions'!X102)"),0.0)</f>
        <v>0</v>
      </c>
      <c r="Y102" s="152">
        <f>IFERROR(__xludf.DUMMYFUNCTION("IFERROR(X102 * (1 + AVERAGE(Filter('Inflation Data'!$C:$C,'Inflation Data'!$A:$A = Y$1))) + 'Fund YTD Contributions'!Y102,'Fund YTD Contributions'!Y102)"),0.0)</f>
        <v>0</v>
      </c>
      <c r="Z102" s="152">
        <f>IFERROR(__xludf.DUMMYFUNCTION("IFERROR(Y102 * (1 + AVERAGE(Filter('Inflation Data'!$C:$C,'Inflation Data'!$A:$A = Z$1))) + 'Fund YTD Contributions'!Z102,'Fund YTD Contributions'!Z102)"),0.0)</f>
        <v>0</v>
      </c>
      <c r="AA102" s="152">
        <f>IFERROR(__xludf.DUMMYFUNCTION("IFERROR(Z102 * (1 + AVERAGE(Filter('Inflation Data'!$C:$C,'Inflation Data'!$A:$A = AA$1))) + 'Fund YTD Contributions'!AA102,'Fund YTD Contributions'!AA102)"),0.0)</f>
        <v>0</v>
      </c>
      <c r="AB102" s="152">
        <f>IFERROR(__xludf.DUMMYFUNCTION("IFERROR(AA102 * (1 + AVERAGE(Filter('Inflation Data'!$C:$C,'Inflation Data'!$A:$A = AB$1))) + 'Fund YTD Contributions'!AB102,'Fund YTD Contributions'!AB102)"),0.0)</f>
        <v>0</v>
      </c>
      <c r="AC102" s="152">
        <f>IFERROR(__xludf.DUMMYFUNCTION("IFERROR(AB102 * (1 + AVERAGE(Filter('Inflation Data'!$C:$C,'Inflation Data'!$A:$A = AC$1))) + 'Fund YTD Contributions'!AC102,'Fund YTD Contributions'!AC102)"),0.0)</f>
        <v>0</v>
      </c>
      <c r="AD102" s="152">
        <f>IFERROR(__xludf.DUMMYFUNCTION("IFERROR(AC102 * (1 + AVERAGE(Filter('Inflation Data'!$C:$C,'Inflation Data'!$A:$A = AD$1))) + 'Fund YTD Contributions'!AD102,'Fund YTD Contributions'!AD102)"),0.0)</f>
        <v>0</v>
      </c>
      <c r="AE102" s="152">
        <f>IFERROR(__xludf.DUMMYFUNCTION("IFERROR(AD102 * (1 + AVERAGE(Filter('Inflation Data'!$C:$C,'Inflation Data'!$A:$A = AE$1))) + 'Fund YTD Contributions'!AE102,'Fund YTD Contributions'!AE102)"),0.0)</f>
        <v>0</v>
      </c>
      <c r="AF102" s="152">
        <f>IFERROR(__xludf.DUMMYFUNCTION("IFERROR(AE102 * (1 + AVERAGE(Filter('Inflation Data'!$C:$C,'Inflation Data'!$A:$A = AF$1))) + 'Fund YTD Contributions'!AF102,'Fund YTD Contributions'!AF102)"),0.0)</f>
        <v>0</v>
      </c>
    </row>
    <row r="103">
      <c r="A103" s="150" t="str">
        <f>'Endowed Funds'!A:A</f>
        <v/>
      </c>
      <c r="B103" s="152">
        <f>IFERROR(__xludf.DUMMYFUNCTION("IFERROR(A103 * (1 + AVERAGE(Filter('Inflation Data'!$C:$C,'Inflation Data'!$A:$A = B$1))) + 'Fund YTD Contributions'!B103,'Fund YTD Contributions'!B103)"),0.0)</f>
        <v>0</v>
      </c>
      <c r="C103" s="152">
        <f>IFERROR(__xludf.DUMMYFUNCTION("IFERROR(B103 * (1 + AVERAGE(Filter('Inflation Data'!$C:$C,'Inflation Data'!$A:$A = C$1))) + 'Fund YTD Contributions'!C103,'Fund YTD Contributions'!C103)"),0.0)</f>
        <v>0</v>
      </c>
      <c r="D103" s="152">
        <f>IFERROR(__xludf.DUMMYFUNCTION("IFERROR(C103 * (1 + AVERAGE(Filter('Inflation Data'!$C:$C,'Inflation Data'!$A:$A = D$1))) + 'Fund YTD Contributions'!D103,'Fund YTD Contributions'!D103)"),0.0)</f>
        <v>0</v>
      </c>
      <c r="E103" s="152">
        <f>IFERROR(__xludf.DUMMYFUNCTION("IFERROR(D103 * (1 + AVERAGE(Filter('Inflation Data'!$C:$C,'Inflation Data'!$A:$A = E$1))) + 'Fund YTD Contributions'!E103,'Fund YTD Contributions'!E103)"),0.0)</f>
        <v>0</v>
      </c>
      <c r="F103" s="152">
        <f>IFERROR(__xludf.DUMMYFUNCTION("IFERROR(E103 * (1 + AVERAGE(Filter('Inflation Data'!$C:$C,'Inflation Data'!$A:$A = F$1))) + 'Fund YTD Contributions'!F103,'Fund YTD Contributions'!F103)"),0.0)</f>
        <v>0</v>
      </c>
      <c r="G103" s="152">
        <f>IFERROR(__xludf.DUMMYFUNCTION("IFERROR(F103 * (1 + AVERAGE(Filter('Inflation Data'!$C:$C,'Inflation Data'!$A:$A = G$1))) + 'Fund YTD Contributions'!G103,'Fund YTD Contributions'!G103)"),0.0)</f>
        <v>0</v>
      </c>
      <c r="H103" s="152">
        <f>IFERROR(__xludf.DUMMYFUNCTION("IFERROR(G103 * (1 + AVERAGE(Filter('Inflation Data'!$C:$C,'Inflation Data'!$A:$A = H$1))) + 'Fund YTD Contributions'!H103,'Fund YTD Contributions'!H103)"),0.0)</f>
        <v>0</v>
      </c>
      <c r="I103" s="152">
        <f>IFERROR(__xludf.DUMMYFUNCTION("IFERROR(H103 * (1 + AVERAGE(Filter('Inflation Data'!$C:$C,'Inflation Data'!$A:$A = I$1))) + 'Fund YTD Contributions'!I103,'Fund YTD Contributions'!I103)"),0.0)</f>
        <v>0</v>
      </c>
      <c r="J103" s="152">
        <f>IFERROR(__xludf.DUMMYFUNCTION("IFERROR(I103 * (1 + AVERAGE(Filter('Inflation Data'!$C:$C,'Inflation Data'!$A:$A = J$1))) + 'Fund YTD Contributions'!J103,'Fund YTD Contributions'!J103)"),0.0)</f>
        <v>0</v>
      </c>
      <c r="K103" s="152">
        <f>IFERROR(__xludf.DUMMYFUNCTION("IFERROR(J103 * (1 + AVERAGE(Filter('Inflation Data'!$C:$C,'Inflation Data'!$A:$A = K$1))) + 'Fund YTD Contributions'!K103,'Fund YTD Contributions'!K103)"),0.0)</f>
        <v>0</v>
      </c>
      <c r="L103" s="152">
        <f>IFERROR(__xludf.DUMMYFUNCTION("IFERROR(K103 * (1 + AVERAGE(Filter('Inflation Data'!$C:$C,'Inflation Data'!$A:$A = L$1))) + 'Fund YTD Contributions'!L103,'Fund YTD Contributions'!L103)"),0.0)</f>
        <v>0</v>
      </c>
      <c r="M103" s="152">
        <f>IFERROR(__xludf.DUMMYFUNCTION("IFERROR(L103 * (1 + AVERAGE(Filter('Inflation Data'!$C:$C,'Inflation Data'!$A:$A = M$1))) + 'Fund YTD Contributions'!M103,'Fund YTD Contributions'!M103)"),0.0)</f>
        <v>0</v>
      </c>
      <c r="N103" s="152">
        <f>IFERROR(__xludf.DUMMYFUNCTION("IFERROR(M103 * (1 + AVERAGE(Filter('Inflation Data'!$C:$C,'Inflation Data'!$A:$A = N$1))) + 'Fund YTD Contributions'!N103,'Fund YTD Contributions'!N103)"),0.0)</f>
        <v>0</v>
      </c>
      <c r="O103" s="152">
        <f>IFERROR(__xludf.DUMMYFUNCTION("IFERROR(N103 * (1 + AVERAGE(Filter('Inflation Data'!$C:$C,'Inflation Data'!$A:$A = O$1))) + 'Fund YTD Contributions'!O103,'Fund YTD Contributions'!O103)"),0.0)</f>
        <v>0</v>
      </c>
      <c r="P103" s="152">
        <f>IFERROR(__xludf.DUMMYFUNCTION("IFERROR(O103 * (1 + AVERAGE(Filter('Inflation Data'!$C:$C,'Inflation Data'!$A:$A = P$1))) + 'Fund YTD Contributions'!P103,'Fund YTD Contributions'!P103)"),0.0)</f>
        <v>0</v>
      </c>
      <c r="Q103" s="152">
        <f>IFERROR(__xludf.DUMMYFUNCTION("IFERROR(P103 * (1 + AVERAGE(Filter('Inflation Data'!$C:$C,'Inflation Data'!$A:$A = Q$1))) + 'Fund YTD Contributions'!Q103,'Fund YTD Contributions'!Q103)"),0.0)</f>
        <v>0</v>
      </c>
      <c r="R103" s="152">
        <f>IFERROR(__xludf.DUMMYFUNCTION("IFERROR(Q103 * (1 + AVERAGE(Filter('Inflation Data'!$C:$C,'Inflation Data'!$A:$A = R$1))) + 'Fund YTD Contributions'!R103,'Fund YTD Contributions'!R103)"),0.0)</f>
        <v>0</v>
      </c>
      <c r="S103" s="152">
        <f>IFERROR(__xludf.DUMMYFUNCTION("IFERROR(R103 * (1 + AVERAGE(Filter('Inflation Data'!$C:$C,'Inflation Data'!$A:$A = S$1))) + 'Fund YTD Contributions'!S103,'Fund YTD Contributions'!S103)"),0.0)</f>
        <v>0</v>
      </c>
      <c r="T103" s="152">
        <f>IFERROR(__xludf.DUMMYFUNCTION("IFERROR(S103 * (1 + AVERAGE(Filter('Inflation Data'!$C:$C,'Inflation Data'!$A:$A = T$1))) + 'Fund YTD Contributions'!T103,'Fund YTD Contributions'!T103)"),0.0)</f>
        <v>0</v>
      </c>
      <c r="U103" s="152">
        <f>IFERROR(__xludf.DUMMYFUNCTION("IFERROR(T103 * (1 + AVERAGE(Filter('Inflation Data'!$C:$C,'Inflation Data'!$A:$A = U$1))) + 'Fund YTD Contributions'!U103,'Fund YTD Contributions'!U103)"),0.0)</f>
        <v>0</v>
      </c>
      <c r="V103" s="152">
        <f>IFERROR(__xludf.DUMMYFUNCTION("IFERROR(U103 * (1 + AVERAGE(Filter('Inflation Data'!$C:$C,'Inflation Data'!$A:$A = V$1))) + 'Fund YTD Contributions'!V103,'Fund YTD Contributions'!V103)"),0.0)</f>
        <v>0</v>
      </c>
      <c r="W103" s="152">
        <f>IFERROR(__xludf.DUMMYFUNCTION("IFERROR(V103 * (1 + AVERAGE(Filter('Inflation Data'!$C:$C,'Inflation Data'!$A:$A = W$1))) + 'Fund YTD Contributions'!W103,'Fund YTD Contributions'!W103)"),0.0)</f>
        <v>0</v>
      </c>
      <c r="X103" s="152">
        <f>IFERROR(__xludf.DUMMYFUNCTION("IFERROR(W103 * (1 + AVERAGE(Filter('Inflation Data'!$C:$C,'Inflation Data'!$A:$A = X$1))) + 'Fund YTD Contributions'!X103,'Fund YTD Contributions'!X103)"),0.0)</f>
        <v>0</v>
      </c>
      <c r="Y103" s="152">
        <f>IFERROR(__xludf.DUMMYFUNCTION("IFERROR(X103 * (1 + AVERAGE(Filter('Inflation Data'!$C:$C,'Inflation Data'!$A:$A = Y$1))) + 'Fund YTD Contributions'!Y103,'Fund YTD Contributions'!Y103)"),0.0)</f>
        <v>0</v>
      </c>
      <c r="Z103" s="152">
        <f>IFERROR(__xludf.DUMMYFUNCTION("IFERROR(Y103 * (1 + AVERAGE(Filter('Inflation Data'!$C:$C,'Inflation Data'!$A:$A = Z$1))) + 'Fund YTD Contributions'!Z103,'Fund YTD Contributions'!Z103)"),0.0)</f>
        <v>0</v>
      </c>
      <c r="AA103" s="152">
        <f>IFERROR(__xludf.DUMMYFUNCTION("IFERROR(Z103 * (1 + AVERAGE(Filter('Inflation Data'!$C:$C,'Inflation Data'!$A:$A = AA$1))) + 'Fund YTD Contributions'!AA103,'Fund YTD Contributions'!AA103)"),0.0)</f>
        <v>0</v>
      </c>
      <c r="AB103" s="152">
        <f>IFERROR(__xludf.DUMMYFUNCTION("IFERROR(AA103 * (1 + AVERAGE(Filter('Inflation Data'!$C:$C,'Inflation Data'!$A:$A = AB$1))) + 'Fund YTD Contributions'!AB103,'Fund YTD Contributions'!AB103)"),0.0)</f>
        <v>0</v>
      </c>
      <c r="AC103" s="152">
        <f>IFERROR(__xludf.DUMMYFUNCTION("IFERROR(AB103 * (1 + AVERAGE(Filter('Inflation Data'!$C:$C,'Inflation Data'!$A:$A = AC$1))) + 'Fund YTD Contributions'!AC103,'Fund YTD Contributions'!AC103)"),0.0)</f>
        <v>0</v>
      </c>
      <c r="AD103" s="152">
        <f>IFERROR(__xludf.DUMMYFUNCTION("IFERROR(AC103 * (1 + AVERAGE(Filter('Inflation Data'!$C:$C,'Inflation Data'!$A:$A = AD$1))) + 'Fund YTD Contributions'!AD103,'Fund YTD Contributions'!AD103)"),0.0)</f>
        <v>0</v>
      </c>
      <c r="AE103" s="152">
        <f>IFERROR(__xludf.DUMMYFUNCTION("IFERROR(AD103 * (1 + AVERAGE(Filter('Inflation Data'!$C:$C,'Inflation Data'!$A:$A = AE$1))) + 'Fund YTD Contributions'!AE103,'Fund YTD Contributions'!AE103)"),0.0)</f>
        <v>0</v>
      </c>
      <c r="AF103" s="152">
        <f>IFERROR(__xludf.DUMMYFUNCTION("IFERROR(AE103 * (1 + AVERAGE(Filter('Inflation Data'!$C:$C,'Inflation Data'!$A:$A = AF$1))) + 'Fund YTD Contributions'!AF103,'Fund YTD Contributions'!AF103)"),0.0)</f>
        <v>0</v>
      </c>
    </row>
    <row r="104">
      <c r="A104" s="150" t="str">
        <f>'Endowed Funds'!A:A</f>
        <v/>
      </c>
      <c r="B104" s="152">
        <f>IFERROR(__xludf.DUMMYFUNCTION("IFERROR(A104 * (1 + AVERAGE(Filter('Inflation Data'!$C:$C,'Inflation Data'!$A:$A = B$1))) + 'Fund YTD Contributions'!B104,'Fund YTD Contributions'!B104)"),0.0)</f>
        <v>0</v>
      </c>
      <c r="C104" s="152">
        <f>IFERROR(__xludf.DUMMYFUNCTION("IFERROR(B104 * (1 + AVERAGE(Filter('Inflation Data'!$C:$C,'Inflation Data'!$A:$A = C$1))) + 'Fund YTD Contributions'!C104,'Fund YTD Contributions'!C104)"),0.0)</f>
        <v>0</v>
      </c>
      <c r="D104" s="152">
        <f>IFERROR(__xludf.DUMMYFUNCTION("IFERROR(C104 * (1 + AVERAGE(Filter('Inflation Data'!$C:$C,'Inflation Data'!$A:$A = D$1))) + 'Fund YTD Contributions'!D104,'Fund YTD Contributions'!D104)"),0.0)</f>
        <v>0</v>
      </c>
      <c r="E104" s="152">
        <f>IFERROR(__xludf.DUMMYFUNCTION("IFERROR(D104 * (1 + AVERAGE(Filter('Inflation Data'!$C:$C,'Inflation Data'!$A:$A = E$1))) + 'Fund YTD Contributions'!E104,'Fund YTD Contributions'!E104)"),0.0)</f>
        <v>0</v>
      </c>
      <c r="F104" s="152">
        <f>IFERROR(__xludf.DUMMYFUNCTION("IFERROR(E104 * (1 + AVERAGE(Filter('Inflation Data'!$C:$C,'Inflation Data'!$A:$A = F$1))) + 'Fund YTD Contributions'!F104,'Fund YTD Contributions'!F104)"),0.0)</f>
        <v>0</v>
      </c>
      <c r="G104" s="152">
        <f>IFERROR(__xludf.DUMMYFUNCTION("IFERROR(F104 * (1 + AVERAGE(Filter('Inflation Data'!$C:$C,'Inflation Data'!$A:$A = G$1))) + 'Fund YTD Contributions'!G104,'Fund YTD Contributions'!G104)"),0.0)</f>
        <v>0</v>
      </c>
      <c r="H104" s="152">
        <f>IFERROR(__xludf.DUMMYFUNCTION("IFERROR(G104 * (1 + AVERAGE(Filter('Inflation Data'!$C:$C,'Inflation Data'!$A:$A = H$1))) + 'Fund YTD Contributions'!H104,'Fund YTD Contributions'!H104)"),0.0)</f>
        <v>0</v>
      </c>
      <c r="I104" s="152">
        <f>IFERROR(__xludf.DUMMYFUNCTION("IFERROR(H104 * (1 + AVERAGE(Filter('Inflation Data'!$C:$C,'Inflation Data'!$A:$A = I$1))) + 'Fund YTD Contributions'!I104,'Fund YTD Contributions'!I104)"),0.0)</f>
        <v>0</v>
      </c>
      <c r="J104" s="152">
        <f>IFERROR(__xludf.DUMMYFUNCTION("IFERROR(I104 * (1 + AVERAGE(Filter('Inflation Data'!$C:$C,'Inflation Data'!$A:$A = J$1))) + 'Fund YTD Contributions'!J104,'Fund YTD Contributions'!J104)"),0.0)</f>
        <v>0</v>
      </c>
      <c r="K104" s="152">
        <f>IFERROR(__xludf.DUMMYFUNCTION("IFERROR(J104 * (1 + AVERAGE(Filter('Inflation Data'!$C:$C,'Inflation Data'!$A:$A = K$1))) + 'Fund YTD Contributions'!K104,'Fund YTD Contributions'!K104)"),0.0)</f>
        <v>0</v>
      </c>
      <c r="L104" s="152">
        <f>IFERROR(__xludf.DUMMYFUNCTION("IFERROR(K104 * (1 + AVERAGE(Filter('Inflation Data'!$C:$C,'Inflation Data'!$A:$A = L$1))) + 'Fund YTD Contributions'!L104,'Fund YTD Contributions'!L104)"),0.0)</f>
        <v>0</v>
      </c>
      <c r="M104" s="152">
        <f>IFERROR(__xludf.DUMMYFUNCTION("IFERROR(L104 * (1 + AVERAGE(Filter('Inflation Data'!$C:$C,'Inflation Data'!$A:$A = M$1))) + 'Fund YTD Contributions'!M104,'Fund YTD Contributions'!M104)"),0.0)</f>
        <v>0</v>
      </c>
      <c r="N104" s="152">
        <f>IFERROR(__xludf.DUMMYFUNCTION("IFERROR(M104 * (1 + AVERAGE(Filter('Inflation Data'!$C:$C,'Inflation Data'!$A:$A = N$1))) + 'Fund YTD Contributions'!N104,'Fund YTD Contributions'!N104)"),0.0)</f>
        <v>0</v>
      </c>
      <c r="O104" s="152">
        <f>IFERROR(__xludf.DUMMYFUNCTION("IFERROR(N104 * (1 + AVERAGE(Filter('Inflation Data'!$C:$C,'Inflation Data'!$A:$A = O$1))) + 'Fund YTD Contributions'!O104,'Fund YTD Contributions'!O104)"),0.0)</f>
        <v>0</v>
      </c>
      <c r="P104" s="152">
        <f>IFERROR(__xludf.DUMMYFUNCTION("IFERROR(O104 * (1 + AVERAGE(Filter('Inflation Data'!$C:$C,'Inflation Data'!$A:$A = P$1))) + 'Fund YTD Contributions'!P104,'Fund YTD Contributions'!P104)"),0.0)</f>
        <v>0</v>
      </c>
      <c r="Q104" s="152">
        <f>IFERROR(__xludf.DUMMYFUNCTION("IFERROR(P104 * (1 + AVERAGE(Filter('Inflation Data'!$C:$C,'Inflation Data'!$A:$A = Q$1))) + 'Fund YTD Contributions'!Q104,'Fund YTD Contributions'!Q104)"),0.0)</f>
        <v>0</v>
      </c>
      <c r="R104" s="152">
        <f>IFERROR(__xludf.DUMMYFUNCTION("IFERROR(Q104 * (1 + AVERAGE(Filter('Inflation Data'!$C:$C,'Inflation Data'!$A:$A = R$1))) + 'Fund YTD Contributions'!R104,'Fund YTD Contributions'!R104)"),0.0)</f>
        <v>0</v>
      </c>
      <c r="S104" s="152">
        <f>IFERROR(__xludf.DUMMYFUNCTION("IFERROR(R104 * (1 + AVERAGE(Filter('Inflation Data'!$C:$C,'Inflation Data'!$A:$A = S$1))) + 'Fund YTD Contributions'!S104,'Fund YTD Contributions'!S104)"),0.0)</f>
        <v>0</v>
      </c>
      <c r="T104" s="152">
        <f>IFERROR(__xludf.DUMMYFUNCTION("IFERROR(S104 * (1 + AVERAGE(Filter('Inflation Data'!$C:$C,'Inflation Data'!$A:$A = T$1))) + 'Fund YTD Contributions'!T104,'Fund YTD Contributions'!T104)"),0.0)</f>
        <v>0</v>
      </c>
      <c r="U104" s="152">
        <f>IFERROR(__xludf.DUMMYFUNCTION("IFERROR(T104 * (1 + AVERAGE(Filter('Inflation Data'!$C:$C,'Inflation Data'!$A:$A = U$1))) + 'Fund YTD Contributions'!U104,'Fund YTD Contributions'!U104)"),0.0)</f>
        <v>0</v>
      </c>
      <c r="V104" s="152">
        <f>IFERROR(__xludf.DUMMYFUNCTION("IFERROR(U104 * (1 + AVERAGE(Filter('Inflation Data'!$C:$C,'Inflation Data'!$A:$A = V$1))) + 'Fund YTD Contributions'!V104,'Fund YTD Contributions'!V104)"),0.0)</f>
        <v>0</v>
      </c>
      <c r="W104" s="152">
        <f>IFERROR(__xludf.DUMMYFUNCTION("IFERROR(V104 * (1 + AVERAGE(Filter('Inflation Data'!$C:$C,'Inflation Data'!$A:$A = W$1))) + 'Fund YTD Contributions'!W104,'Fund YTD Contributions'!W104)"),0.0)</f>
        <v>0</v>
      </c>
      <c r="X104" s="152">
        <f>IFERROR(__xludf.DUMMYFUNCTION("IFERROR(W104 * (1 + AVERAGE(Filter('Inflation Data'!$C:$C,'Inflation Data'!$A:$A = X$1))) + 'Fund YTD Contributions'!X104,'Fund YTD Contributions'!X104)"),0.0)</f>
        <v>0</v>
      </c>
      <c r="Y104" s="152">
        <f>IFERROR(__xludf.DUMMYFUNCTION("IFERROR(X104 * (1 + AVERAGE(Filter('Inflation Data'!$C:$C,'Inflation Data'!$A:$A = Y$1))) + 'Fund YTD Contributions'!Y104,'Fund YTD Contributions'!Y104)"),0.0)</f>
        <v>0</v>
      </c>
      <c r="Z104" s="152">
        <f>IFERROR(__xludf.DUMMYFUNCTION("IFERROR(Y104 * (1 + AVERAGE(Filter('Inflation Data'!$C:$C,'Inflation Data'!$A:$A = Z$1))) + 'Fund YTD Contributions'!Z104,'Fund YTD Contributions'!Z104)"),0.0)</f>
        <v>0</v>
      </c>
      <c r="AA104" s="152">
        <f>IFERROR(__xludf.DUMMYFUNCTION("IFERROR(Z104 * (1 + AVERAGE(Filter('Inflation Data'!$C:$C,'Inflation Data'!$A:$A = AA$1))) + 'Fund YTD Contributions'!AA104,'Fund YTD Contributions'!AA104)"),0.0)</f>
        <v>0</v>
      </c>
      <c r="AB104" s="152">
        <f>IFERROR(__xludf.DUMMYFUNCTION("IFERROR(AA104 * (1 + AVERAGE(Filter('Inflation Data'!$C:$C,'Inflation Data'!$A:$A = AB$1))) + 'Fund YTD Contributions'!AB104,'Fund YTD Contributions'!AB104)"),0.0)</f>
        <v>0</v>
      </c>
      <c r="AC104" s="152">
        <f>IFERROR(__xludf.DUMMYFUNCTION("IFERROR(AB104 * (1 + AVERAGE(Filter('Inflation Data'!$C:$C,'Inflation Data'!$A:$A = AC$1))) + 'Fund YTD Contributions'!AC104,'Fund YTD Contributions'!AC104)"),0.0)</f>
        <v>0</v>
      </c>
      <c r="AD104" s="152">
        <f>IFERROR(__xludf.DUMMYFUNCTION("IFERROR(AC104 * (1 + AVERAGE(Filter('Inflation Data'!$C:$C,'Inflation Data'!$A:$A = AD$1))) + 'Fund YTD Contributions'!AD104,'Fund YTD Contributions'!AD104)"),0.0)</f>
        <v>0</v>
      </c>
      <c r="AE104" s="152">
        <f>IFERROR(__xludf.DUMMYFUNCTION("IFERROR(AD104 * (1 + AVERAGE(Filter('Inflation Data'!$C:$C,'Inflation Data'!$A:$A = AE$1))) + 'Fund YTD Contributions'!AE104,'Fund YTD Contributions'!AE104)"),0.0)</f>
        <v>0</v>
      </c>
      <c r="AF104" s="152">
        <f>IFERROR(__xludf.DUMMYFUNCTION("IFERROR(AE104 * (1 + AVERAGE(Filter('Inflation Data'!$C:$C,'Inflation Data'!$A:$A = AF$1))) + 'Fund YTD Contributions'!AF104,'Fund YTD Contributions'!AF104)"),0.0)</f>
        <v>0</v>
      </c>
    </row>
    <row r="105">
      <c r="A105" s="150" t="str">
        <f>'Endowed Funds'!A:A</f>
        <v/>
      </c>
      <c r="B105" s="152">
        <f>IFERROR(__xludf.DUMMYFUNCTION("IFERROR(A105 * (1 + AVERAGE(Filter('Inflation Data'!$C:$C,'Inflation Data'!$A:$A = B$1))) + 'Fund YTD Contributions'!B105,'Fund YTD Contributions'!B105)"),0.0)</f>
        <v>0</v>
      </c>
      <c r="C105" s="152">
        <f>IFERROR(__xludf.DUMMYFUNCTION("IFERROR(B105 * (1 + AVERAGE(Filter('Inflation Data'!$C:$C,'Inflation Data'!$A:$A = C$1))) + 'Fund YTD Contributions'!C105,'Fund YTD Contributions'!C105)"),0.0)</f>
        <v>0</v>
      </c>
      <c r="D105" s="152">
        <f>IFERROR(__xludf.DUMMYFUNCTION("IFERROR(C105 * (1 + AVERAGE(Filter('Inflation Data'!$C:$C,'Inflation Data'!$A:$A = D$1))) + 'Fund YTD Contributions'!D105,'Fund YTD Contributions'!D105)"),0.0)</f>
        <v>0</v>
      </c>
      <c r="E105" s="152">
        <f>IFERROR(__xludf.DUMMYFUNCTION("IFERROR(D105 * (1 + AVERAGE(Filter('Inflation Data'!$C:$C,'Inflation Data'!$A:$A = E$1))) + 'Fund YTD Contributions'!E105,'Fund YTD Contributions'!E105)"),0.0)</f>
        <v>0</v>
      </c>
      <c r="F105" s="152">
        <f>IFERROR(__xludf.DUMMYFUNCTION("IFERROR(E105 * (1 + AVERAGE(Filter('Inflation Data'!$C:$C,'Inflation Data'!$A:$A = F$1))) + 'Fund YTD Contributions'!F105,'Fund YTD Contributions'!F105)"),0.0)</f>
        <v>0</v>
      </c>
      <c r="G105" s="152">
        <f>IFERROR(__xludf.DUMMYFUNCTION("IFERROR(F105 * (1 + AVERAGE(Filter('Inflation Data'!$C:$C,'Inflation Data'!$A:$A = G$1))) + 'Fund YTD Contributions'!G105,'Fund YTD Contributions'!G105)"),0.0)</f>
        <v>0</v>
      </c>
      <c r="H105" s="152">
        <f>IFERROR(__xludf.DUMMYFUNCTION("IFERROR(G105 * (1 + AVERAGE(Filter('Inflation Data'!$C:$C,'Inflation Data'!$A:$A = H$1))) + 'Fund YTD Contributions'!H105,'Fund YTD Contributions'!H105)"),0.0)</f>
        <v>0</v>
      </c>
      <c r="I105" s="152">
        <f>IFERROR(__xludf.DUMMYFUNCTION("IFERROR(H105 * (1 + AVERAGE(Filter('Inflation Data'!$C:$C,'Inflation Data'!$A:$A = I$1))) + 'Fund YTD Contributions'!I105,'Fund YTD Contributions'!I105)"),0.0)</f>
        <v>0</v>
      </c>
      <c r="J105" s="152">
        <f>IFERROR(__xludf.DUMMYFUNCTION("IFERROR(I105 * (1 + AVERAGE(Filter('Inflation Data'!$C:$C,'Inflation Data'!$A:$A = J$1))) + 'Fund YTD Contributions'!J105,'Fund YTD Contributions'!J105)"),0.0)</f>
        <v>0</v>
      </c>
      <c r="K105" s="152">
        <f>IFERROR(__xludf.DUMMYFUNCTION("IFERROR(J105 * (1 + AVERAGE(Filter('Inflation Data'!$C:$C,'Inflation Data'!$A:$A = K$1))) + 'Fund YTD Contributions'!K105,'Fund YTD Contributions'!K105)"),0.0)</f>
        <v>0</v>
      </c>
      <c r="L105" s="152">
        <f>IFERROR(__xludf.DUMMYFUNCTION("IFERROR(K105 * (1 + AVERAGE(Filter('Inflation Data'!$C:$C,'Inflation Data'!$A:$A = L$1))) + 'Fund YTD Contributions'!L105,'Fund YTD Contributions'!L105)"),0.0)</f>
        <v>0</v>
      </c>
      <c r="M105" s="152">
        <f>IFERROR(__xludf.DUMMYFUNCTION("IFERROR(L105 * (1 + AVERAGE(Filter('Inflation Data'!$C:$C,'Inflation Data'!$A:$A = M$1))) + 'Fund YTD Contributions'!M105,'Fund YTD Contributions'!M105)"),0.0)</f>
        <v>0</v>
      </c>
      <c r="N105" s="152">
        <f>IFERROR(__xludf.DUMMYFUNCTION("IFERROR(M105 * (1 + AVERAGE(Filter('Inflation Data'!$C:$C,'Inflation Data'!$A:$A = N$1))) + 'Fund YTD Contributions'!N105,'Fund YTD Contributions'!N105)"),0.0)</f>
        <v>0</v>
      </c>
      <c r="O105" s="152">
        <f>IFERROR(__xludf.DUMMYFUNCTION("IFERROR(N105 * (1 + AVERAGE(Filter('Inflation Data'!$C:$C,'Inflation Data'!$A:$A = O$1))) + 'Fund YTD Contributions'!O105,'Fund YTD Contributions'!O105)"),0.0)</f>
        <v>0</v>
      </c>
      <c r="P105" s="152">
        <f>IFERROR(__xludf.DUMMYFUNCTION("IFERROR(O105 * (1 + AVERAGE(Filter('Inflation Data'!$C:$C,'Inflation Data'!$A:$A = P$1))) + 'Fund YTD Contributions'!P105,'Fund YTD Contributions'!P105)"),0.0)</f>
        <v>0</v>
      </c>
      <c r="Q105" s="152">
        <f>IFERROR(__xludf.DUMMYFUNCTION("IFERROR(P105 * (1 + AVERAGE(Filter('Inflation Data'!$C:$C,'Inflation Data'!$A:$A = Q$1))) + 'Fund YTD Contributions'!Q105,'Fund YTD Contributions'!Q105)"),0.0)</f>
        <v>0</v>
      </c>
      <c r="R105" s="152">
        <f>IFERROR(__xludf.DUMMYFUNCTION("IFERROR(Q105 * (1 + AVERAGE(Filter('Inflation Data'!$C:$C,'Inflation Data'!$A:$A = R$1))) + 'Fund YTD Contributions'!R105,'Fund YTD Contributions'!R105)"),0.0)</f>
        <v>0</v>
      </c>
      <c r="S105" s="152">
        <f>IFERROR(__xludf.DUMMYFUNCTION("IFERROR(R105 * (1 + AVERAGE(Filter('Inflation Data'!$C:$C,'Inflation Data'!$A:$A = S$1))) + 'Fund YTD Contributions'!S105,'Fund YTD Contributions'!S105)"),0.0)</f>
        <v>0</v>
      </c>
      <c r="T105" s="152">
        <f>IFERROR(__xludf.DUMMYFUNCTION("IFERROR(S105 * (1 + AVERAGE(Filter('Inflation Data'!$C:$C,'Inflation Data'!$A:$A = T$1))) + 'Fund YTD Contributions'!T105,'Fund YTD Contributions'!T105)"),0.0)</f>
        <v>0</v>
      </c>
      <c r="U105" s="152">
        <f>IFERROR(__xludf.DUMMYFUNCTION("IFERROR(T105 * (1 + AVERAGE(Filter('Inflation Data'!$C:$C,'Inflation Data'!$A:$A = U$1))) + 'Fund YTD Contributions'!U105,'Fund YTD Contributions'!U105)"),0.0)</f>
        <v>0</v>
      </c>
      <c r="V105" s="152">
        <f>IFERROR(__xludf.DUMMYFUNCTION("IFERROR(U105 * (1 + AVERAGE(Filter('Inflation Data'!$C:$C,'Inflation Data'!$A:$A = V$1))) + 'Fund YTD Contributions'!V105,'Fund YTD Contributions'!V105)"),0.0)</f>
        <v>0</v>
      </c>
      <c r="W105" s="152">
        <f>IFERROR(__xludf.DUMMYFUNCTION("IFERROR(V105 * (1 + AVERAGE(Filter('Inflation Data'!$C:$C,'Inflation Data'!$A:$A = W$1))) + 'Fund YTD Contributions'!W105,'Fund YTD Contributions'!W105)"),0.0)</f>
        <v>0</v>
      </c>
      <c r="X105" s="152">
        <f>IFERROR(__xludf.DUMMYFUNCTION("IFERROR(W105 * (1 + AVERAGE(Filter('Inflation Data'!$C:$C,'Inflation Data'!$A:$A = X$1))) + 'Fund YTD Contributions'!X105,'Fund YTD Contributions'!X105)"),0.0)</f>
        <v>0</v>
      </c>
      <c r="Y105" s="152">
        <f>IFERROR(__xludf.DUMMYFUNCTION("IFERROR(X105 * (1 + AVERAGE(Filter('Inflation Data'!$C:$C,'Inflation Data'!$A:$A = Y$1))) + 'Fund YTD Contributions'!Y105,'Fund YTD Contributions'!Y105)"),0.0)</f>
        <v>0</v>
      </c>
      <c r="Z105" s="152">
        <f>IFERROR(__xludf.DUMMYFUNCTION("IFERROR(Y105 * (1 + AVERAGE(Filter('Inflation Data'!$C:$C,'Inflation Data'!$A:$A = Z$1))) + 'Fund YTD Contributions'!Z105,'Fund YTD Contributions'!Z105)"),0.0)</f>
        <v>0</v>
      </c>
      <c r="AA105" s="152">
        <f>IFERROR(__xludf.DUMMYFUNCTION("IFERROR(Z105 * (1 + AVERAGE(Filter('Inflation Data'!$C:$C,'Inflation Data'!$A:$A = AA$1))) + 'Fund YTD Contributions'!AA105,'Fund YTD Contributions'!AA105)"),0.0)</f>
        <v>0</v>
      </c>
      <c r="AB105" s="152">
        <f>IFERROR(__xludf.DUMMYFUNCTION("IFERROR(AA105 * (1 + AVERAGE(Filter('Inflation Data'!$C:$C,'Inflation Data'!$A:$A = AB$1))) + 'Fund YTD Contributions'!AB105,'Fund YTD Contributions'!AB105)"),0.0)</f>
        <v>0</v>
      </c>
      <c r="AC105" s="152">
        <f>IFERROR(__xludf.DUMMYFUNCTION("IFERROR(AB105 * (1 + AVERAGE(Filter('Inflation Data'!$C:$C,'Inflation Data'!$A:$A = AC$1))) + 'Fund YTD Contributions'!AC105,'Fund YTD Contributions'!AC105)"),0.0)</f>
        <v>0</v>
      </c>
      <c r="AD105" s="152">
        <f>IFERROR(__xludf.DUMMYFUNCTION("IFERROR(AC105 * (1 + AVERAGE(Filter('Inflation Data'!$C:$C,'Inflation Data'!$A:$A = AD$1))) + 'Fund YTD Contributions'!AD105,'Fund YTD Contributions'!AD105)"),0.0)</f>
        <v>0</v>
      </c>
      <c r="AE105" s="152">
        <f>IFERROR(__xludf.DUMMYFUNCTION("IFERROR(AD105 * (1 + AVERAGE(Filter('Inflation Data'!$C:$C,'Inflation Data'!$A:$A = AE$1))) + 'Fund YTD Contributions'!AE105,'Fund YTD Contributions'!AE105)"),0.0)</f>
        <v>0</v>
      </c>
      <c r="AF105" s="152">
        <f>IFERROR(__xludf.DUMMYFUNCTION("IFERROR(AE105 * (1 + AVERAGE(Filter('Inflation Data'!$C:$C,'Inflation Data'!$A:$A = AF$1))) + 'Fund YTD Contributions'!AF105,'Fund YTD Contributions'!AF105)"),0.0)</f>
        <v>0</v>
      </c>
    </row>
    <row r="106">
      <c r="A106" s="150" t="str">
        <f>'Endowed Funds'!A:A</f>
        <v/>
      </c>
      <c r="B106" s="152">
        <f>IFERROR(__xludf.DUMMYFUNCTION("IFERROR(A106 * (1 + AVERAGE(Filter('Inflation Data'!$C:$C,'Inflation Data'!$A:$A = B$1))) + 'Fund YTD Contributions'!B106,'Fund YTD Contributions'!B106)"),0.0)</f>
        <v>0</v>
      </c>
      <c r="C106" s="152">
        <f>IFERROR(__xludf.DUMMYFUNCTION("IFERROR(B106 * (1 + AVERAGE(Filter('Inflation Data'!$C:$C,'Inflation Data'!$A:$A = C$1))) + 'Fund YTD Contributions'!C106,'Fund YTD Contributions'!C106)"),0.0)</f>
        <v>0</v>
      </c>
      <c r="D106" s="152">
        <f>IFERROR(__xludf.DUMMYFUNCTION("IFERROR(C106 * (1 + AVERAGE(Filter('Inflation Data'!$C:$C,'Inflation Data'!$A:$A = D$1))) + 'Fund YTD Contributions'!D106,'Fund YTD Contributions'!D106)"),0.0)</f>
        <v>0</v>
      </c>
      <c r="E106" s="152">
        <f>IFERROR(__xludf.DUMMYFUNCTION("IFERROR(D106 * (1 + AVERAGE(Filter('Inflation Data'!$C:$C,'Inflation Data'!$A:$A = E$1))) + 'Fund YTD Contributions'!E106,'Fund YTD Contributions'!E106)"),0.0)</f>
        <v>0</v>
      </c>
      <c r="F106" s="152">
        <f>IFERROR(__xludf.DUMMYFUNCTION("IFERROR(E106 * (1 + AVERAGE(Filter('Inflation Data'!$C:$C,'Inflation Data'!$A:$A = F$1))) + 'Fund YTD Contributions'!F106,'Fund YTD Contributions'!F106)"),0.0)</f>
        <v>0</v>
      </c>
      <c r="G106" s="152">
        <f>IFERROR(__xludf.DUMMYFUNCTION("IFERROR(F106 * (1 + AVERAGE(Filter('Inflation Data'!$C:$C,'Inflation Data'!$A:$A = G$1))) + 'Fund YTD Contributions'!G106,'Fund YTD Contributions'!G106)"),0.0)</f>
        <v>0</v>
      </c>
      <c r="H106" s="152">
        <f>IFERROR(__xludf.DUMMYFUNCTION("IFERROR(G106 * (1 + AVERAGE(Filter('Inflation Data'!$C:$C,'Inflation Data'!$A:$A = H$1))) + 'Fund YTD Contributions'!H106,'Fund YTD Contributions'!H106)"),0.0)</f>
        <v>0</v>
      </c>
      <c r="I106" s="152">
        <f>IFERROR(__xludf.DUMMYFUNCTION("IFERROR(H106 * (1 + AVERAGE(Filter('Inflation Data'!$C:$C,'Inflation Data'!$A:$A = I$1))) + 'Fund YTD Contributions'!I106,'Fund YTD Contributions'!I106)"),0.0)</f>
        <v>0</v>
      </c>
      <c r="J106" s="152">
        <f>IFERROR(__xludf.DUMMYFUNCTION("IFERROR(I106 * (1 + AVERAGE(Filter('Inflation Data'!$C:$C,'Inflation Data'!$A:$A = J$1))) + 'Fund YTD Contributions'!J106,'Fund YTD Contributions'!J106)"),0.0)</f>
        <v>0</v>
      </c>
      <c r="K106" s="152">
        <f>IFERROR(__xludf.DUMMYFUNCTION("IFERROR(J106 * (1 + AVERAGE(Filter('Inflation Data'!$C:$C,'Inflation Data'!$A:$A = K$1))) + 'Fund YTD Contributions'!K106,'Fund YTD Contributions'!K106)"),0.0)</f>
        <v>0</v>
      </c>
      <c r="L106" s="152">
        <f>IFERROR(__xludf.DUMMYFUNCTION("IFERROR(K106 * (1 + AVERAGE(Filter('Inflation Data'!$C:$C,'Inflation Data'!$A:$A = L$1))) + 'Fund YTD Contributions'!L106,'Fund YTD Contributions'!L106)"),0.0)</f>
        <v>0</v>
      </c>
      <c r="M106" s="152">
        <f>IFERROR(__xludf.DUMMYFUNCTION("IFERROR(L106 * (1 + AVERAGE(Filter('Inflation Data'!$C:$C,'Inflation Data'!$A:$A = M$1))) + 'Fund YTD Contributions'!M106,'Fund YTD Contributions'!M106)"),0.0)</f>
        <v>0</v>
      </c>
      <c r="N106" s="152">
        <f>IFERROR(__xludf.DUMMYFUNCTION("IFERROR(M106 * (1 + AVERAGE(Filter('Inflation Data'!$C:$C,'Inflation Data'!$A:$A = N$1))) + 'Fund YTD Contributions'!N106,'Fund YTD Contributions'!N106)"),0.0)</f>
        <v>0</v>
      </c>
      <c r="O106" s="152">
        <f>IFERROR(__xludf.DUMMYFUNCTION("IFERROR(N106 * (1 + AVERAGE(Filter('Inflation Data'!$C:$C,'Inflation Data'!$A:$A = O$1))) + 'Fund YTD Contributions'!O106,'Fund YTD Contributions'!O106)"),0.0)</f>
        <v>0</v>
      </c>
      <c r="P106" s="152">
        <f>IFERROR(__xludf.DUMMYFUNCTION("IFERROR(O106 * (1 + AVERAGE(Filter('Inflation Data'!$C:$C,'Inflation Data'!$A:$A = P$1))) + 'Fund YTD Contributions'!P106,'Fund YTD Contributions'!P106)"),0.0)</f>
        <v>0</v>
      </c>
      <c r="Q106" s="152">
        <f>IFERROR(__xludf.DUMMYFUNCTION("IFERROR(P106 * (1 + AVERAGE(Filter('Inflation Data'!$C:$C,'Inflation Data'!$A:$A = Q$1))) + 'Fund YTD Contributions'!Q106,'Fund YTD Contributions'!Q106)"),0.0)</f>
        <v>0</v>
      </c>
      <c r="R106" s="152">
        <f>IFERROR(__xludf.DUMMYFUNCTION("IFERROR(Q106 * (1 + AVERAGE(Filter('Inflation Data'!$C:$C,'Inflation Data'!$A:$A = R$1))) + 'Fund YTD Contributions'!R106,'Fund YTD Contributions'!R106)"),0.0)</f>
        <v>0</v>
      </c>
      <c r="S106" s="152">
        <f>IFERROR(__xludf.DUMMYFUNCTION("IFERROR(R106 * (1 + AVERAGE(Filter('Inflation Data'!$C:$C,'Inflation Data'!$A:$A = S$1))) + 'Fund YTD Contributions'!S106,'Fund YTD Contributions'!S106)"),0.0)</f>
        <v>0</v>
      </c>
      <c r="T106" s="152">
        <f>IFERROR(__xludf.DUMMYFUNCTION("IFERROR(S106 * (1 + AVERAGE(Filter('Inflation Data'!$C:$C,'Inflation Data'!$A:$A = T$1))) + 'Fund YTD Contributions'!T106,'Fund YTD Contributions'!T106)"),0.0)</f>
        <v>0</v>
      </c>
      <c r="U106" s="152">
        <f>IFERROR(__xludf.DUMMYFUNCTION("IFERROR(T106 * (1 + AVERAGE(Filter('Inflation Data'!$C:$C,'Inflation Data'!$A:$A = U$1))) + 'Fund YTD Contributions'!U106,'Fund YTD Contributions'!U106)"),0.0)</f>
        <v>0</v>
      </c>
      <c r="V106" s="152">
        <f>IFERROR(__xludf.DUMMYFUNCTION("IFERROR(U106 * (1 + AVERAGE(Filter('Inflation Data'!$C:$C,'Inflation Data'!$A:$A = V$1))) + 'Fund YTD Contributions'!V106,'Fund YTD Contributions'!V106)"),0.0)</f>
        <v>0</v>
      </c>
      <c r="W106" s="152">
        <f>IFERROR(__xludf.DUMMYFUNCTION("IFERROR(V106 * (1 + AVERAGE(Filter('Inflation Data'!$C:$C,'Inflation Data'!$A:$A = W$1))) + 'Fund YTD Contributions'!W106,'Fund YTD Contributions'!W106)"),0.0)</f>
        <v>0</v>
      </c>
      <c r="X106" s="152">
        <f>IFERROR(__xludf.DUMMYFUNCTION("IFERROR(W106 * (1 + AVERAGE(Filter('Inflation Data'!$C:$C,'Inflation Data'!$A:$A = X$1))) + 'Fund YTD Contributions'!X106,'Fund YTD Contributions'!X106)"),0.0)</f>
        <v>0</v>
      </c>
      <c r="Y106" s="152">
        <f>IFERROR(__xludf.DUMMYFUNCTION("IFERROR(X106 * (1 + AVERAGE(Filter('Inflation Data'!$C:$C,'Inflation Data'!$A:$A = Y$1))) + 'Fund YTD Contributions'!Y106,'Fund YTD Contributions'!Y106)"),0.0)</f>
        <v>0</v>
      </c>
      <c r="Z106" s="152">
        <f>IFERROR(__xludf.DUMMYFUNCTION("IFERROR(Y106 * (1 + AVERAGE(Filter('Inflation Data'!$C:$C,'Inflation Data'!$A:$A = Z$1))) + 'Fund YTD Contributions'!Z106,'Fund YTD Contributions'!Z106)"),0.0)</f>
        <v>0</v>
      </c>
      <c r="AA106" s="152">
        <f>IFERROR(__xludf.DUMMYFUNCTION("IFERROR(Z106 * (1 + AVERAGE(Filter('Inflation Data'!$C:$C,'Inflation Data'!$A:$A = AA$1))) + 'Fund YTD Contributions'!AA106,'Fund YTD Contributions'!AA106)"),0.0)</f>
        <v>0</v>
      </c>
      <c r="AB106" s="152">
        <f>IFERROR(__xludf.DUMMYFUNCTION("IFERROR(AA106 * (1 + AVERAGE(Filter('Inflation Data'!$C:$C,'Inflation Data'!$A:$A = AB$1))) + 'Fund YTD Contributions'!AB106,'Fund YTD Contributions'!AB106)"),0.0)</f>
        <v>0</v>
      </c>
      <c r="AC106" s="152">
        <f>IFERROR(__xludf.DUMMYFUNCTION("IFERROR(AB106 * (1 + AVERAGE(Filter('Inflation Data'!$C:$C,'Inflation Data'!$A:$A = AC$1))) + 'Fund YTD Contributions'!AC106,'Fund YTD Contributions'!AC106)"),0.0)</f>
        <v>0</v>
      </c>
      <c r="AD106" s="152">
        <f>IFERROR(__xludf.DUMMYFUNCTION("IFERROR(AC106 * (1 + AVERAGE(Filter('Inflation Data'!$C:$C,'Inflation Data'!$A:$A = AD$1))) + 'Fund YTD Contributions'!AD106,'Fund YTD Contributions'!AD106)"),0.0)</f>
        <v>0</v>
      </c>
      <c r="AE106" s="152">
        <f>IFERROR(__xludf.DUMMYFUNCTION("IFERROR(AD106 * (1 + AVERAGE(Filter('Inflation Data'!$C:$C,'Inflation Data'!$A:$A = AE$1))) + 'Fund YTD Contributions'!AE106,'Fund YTD Contributions'!AE106)"),0.0)</f>
        <v>0</v>
      </c>
      <c r="AF106" s="152">
        <f>IFERROR(__xludf.DUMMYFUNCTION("IFERROR(AE106 * (1 + AVERAGE(Filter('Inflation Data'!$C:$C,'Inflation Data'!$A:$A = AF$1))) + 'Fund YTD Contributions'!AF106,'Fund YTD Contributions'!AF106)"),0.0)</f>
        <v>0</v>
      </c>
    </row>
    <row r="107">
      <c r="A107" s="150" t="str">
        <f>'Endowed Funds'!A:A</f>
        <v/>
      </c>
      <c r="B107" s="152">
        <f>IFERROR(__xludf.DUMMYFUNCTION("IFERROR(A107 * (1 + AVERAGE(Filter('Inflation Data'!$C:$C,'Inflation Data'!$A:$A = B$1))) + 'Fund YTD Contributions'!B107,'Fund YTD Contributions'!B107)"),0.0)</f>
        <v>0</v>
      </c>
      <c r="C107" s="152">
        <f>IFERROR(__xludf.DUMMYFUNCTION("IFERROR(B107 * (1 + AVERAGE(Filter('Inflation Data'!$C:$C,'Inflation Data'!$A:$A = C$1))) + 'Fund YTD Contributions'!C107,'Fund YTD Contributions'!C107)"),0.0)</f>
        <v>0</v>
      </c>
      <c r="D107" s="152">
        <f>IFERROR(__xludf.DUMMYFUNCTION("IFERROR(C107 * (1 + AVERAGE(Filter('Inflation Data'!$C:$C,'Inflation Data'!$A:$A = D$1))) + 'Fund YTD Contributions'!D107,'Fund YTD Contributions'!D107)"),0.0)</f>
        <v>0</v>
      </c>
      <c r="E107" s="152">
        <f>IFERROR(__xludf.DUMMYFUNCTION("IFERROR(D107 * (1 + AVERAGE(Filter('Inflation Data'!$C:$C,'Inflation Data'!$A:$A = E$1))) + 'Fund YTD Contributions'!E107,'Fund YTD Contributions'!E107)"),0.0)</f>
        <v>0</v>
      </c>
      <c r="F107" s="152">
        <f>IFERROR(__xludf.DUMMYFUNCTION("IFERROR(E107 * (1 + AVERAGE(Filter('Inflation Data'!$C:$C,'Inflation Data'!$A:$A = F$1))) + 'Fund YTD Contributions'!F107,'Fund YTD Contributions'!F107)"),0.0)</f>
        <v>0</v>
      </c>
      <c r="G107" s="152">
        <f>IFERROR(__xludf.DUMMYFUNCTION("IFERROR(F107 * (1 + AVERAGE(Filter('Inflation Data'!$C:$C,'Inflation Data'!$A:$A = G$1))) + 'Fund YTD Contributions'!G107,'Fund YTD Contributions'!G107)"),0.0)</f>
        <v>0</v>
      </c>
      <c r="H107" s="152">
        <f>IFERROR(__xludf.DUMMYFUNCTION("IFERROR(G107 * (1 + AVERAGE(Filter('Inflation Data'!$C:$C,'Inflation Data'!$A:$A = H$1))) + 'Fund YTD Contributions'!H107,'Fund YTD Contributions'!H107)"),0.0)</f>
        <v>0</v>
      </c>
      <c r="I107" s="152">
        <f>IFERROR(__xludf.DUMMYFUNCTION("IFERROR(H107 * (1 + AVERAGE(Filter('Inflation Data'!$C:$C,'Inflation Data'!$A:$A = I$1))) + 'Fund YTD Contributions'!I107,'Fund YTD Contributions'!I107)"),0.0)</f>
        <v>0</v>
      </c>
      <c r="J107" s="152">
        <f>IFERROR(__xludf.DUMMYFUNCTION("IFERROR(I107 * (1 + AVERAGE(Filter('Inflation Data'!$C:$C,'Inflation Data'!$A:$A = J$1))) + 'Fund YTD Contributions'!J107,'Fund YTD Contributions'!J107)"),0.0)</f>
        <v>0</v>
      </c>
      <c r="K107" s="152">
        <f>IFERROR(__xludf.DUMMYFUNCTION("IFERROR(J107 * (1 + AVERAGE(Filter('Inflation Data'!$C:$C,'Inflation Data'!$A:$A = K$1))) + 'Fund YTD Contributions'!K107,'Fund YTD Contributions'!K107)"),0.0)</f>
        <v>0</v>
      </c>
      <c r="L107" s="152">
        <f>IFERROR(__xludf.DUMMYFUNCTION("IFERROR(K107 * (1 + AVERAGE(Filter('Inflation Data'!$C:$C,'Inflation Data'!$A:$A = L$1))) + 'Fund YTD Contributions'!L107,'Fund YTD Contributions'!L107)"),0.0)</f>
        <v>0</v>
      </c>
      <c r="M107" s="152">
        <f>IFERROR(__xludf.DUMMYFUNCTION("IFERROR(L107 * (1 + AVERAGE(Filter('Inflation Data'!$C:$C,'Inflation Data'!$A:$A = M$1))) + 'Fund YTD Contributions'!M107,'Fund YTD Contributions'!M107)"),0.0)</f>
        <v>0</v>
      </c>
      <c r="N107" s="152">
        <f>IFERROR(__xludf.DUMMYFUNCTION("IFERROR(M107 * (1 + AVERAGE(Filter('Inflation Data'!$C:$C,'Inflation Data'!$A:$A = N$1))) + 'Fund YTD Contributions'!N107,'Fund YTD Contributions'!N107)"),0.0)</f>
        <v>0</v>
      </c>
      <c r="O107" s="152">
        <f>IFERROR(__xludf.DUMMYFUNCTION("IFERROR(N107 * (1 + AVERAGE(Filter('Inflation Data'!$C:$C,'Inflation Data'!$A:$A = O$1))) + 'Fund YTD Contributions'!O107,'Fund YTD Contributions'!O107)"),0.0)</f>
        <v>0</v>
      </c>
      <c r="P107" s="152">
        <f>IFERROR(__xludf.DUMMYFUNCTION("IFERROR(O107 * (1 + AVERAGE(Filter('Inflation Data'!$C:$C,'Inflation Data'!$A:$A = P$1))) + 'Fund YTD Contributions'!P107,'Fund YTD Contributions'!P107)"),0.0)</f>
        <v>0</v>
      </c>
      <c r="Q107" s="152">
        <f>IFERROR(__xludf.DUMMYFUNCTION("IFERROR(P107 * (1 + AVERAGE(Filter('Inflation Data'!$C:$C,'Inflation Data'!$A:$A = Q$1))) + 'Fund YTD Contributions'!Q107,'Fund YTD Contributions'!Q107)"),0.0)</f>
        <v>0</v>
      </c>
      <c r="R107" s="152">
        <f>IFERROR(__xludf.DUMMYFUNCTION("IFERROR(Q107 * (1 + AVERAGE(Filter('Inflation Data'!$C:$C,'Inflation Data'!$A:$A = R$1))) + 'Fund YTD Contributions'!R107,'Fund YTD Contributions'!R107)"),0.0)</f>
        <v>0</v>
      </c>
      <c r="S107" s="152">
        <f>IFERROR(__xludf.DUMMYFUNCTION("IFERROR(R107 * (1 + AVERAGE(Filter('Inflation Data'!$C:$C,'Inflation Data'!$A:$A = S$1))) + 'Fund YTD Contributions'!S107,'Fund YTD Contributions'!S107)"),0.0)</f>
        <v>0</v>
      </c>
      <c r="T107" s="152">
        <f>IFERROR(__xludf.DUMMYFUNCTION("IFERROR(S107 * (1 + AVERAGE(Filter('Inflation Data'!$C:$C,'Inflation Data'!$A:$A = T$1))) + 'Fund YTD Contributions'!T107,'Fund YTD Contributions'!T107)"),0.0)</f>
        <v>0</v>
      </c>
      <c r="U107" s="152">
        <f>IFERROR(__xludf.DUMMYFUNCTION("IFERROR(T107 * (1 + AVERAGE(Filter('Inflation Data'!$C:$C,'Inflation Data'!$A:$A = U$1))) + 'Fund YTD Contributions'!U107,'Fund YTD Contributions'!U107)"),0.0)</f>
        <v>0</v>
      </c>
      <c r="V107" s="152">
        <f>IFERROR(__xludf.DUMMYFUNCTION("IFERROR(U107 * (1 + AVERAGE(Filter('Inflation Data'!$C:$C,'Inflation Data'!$A:$A = V$1))) + 'Fund YTD Contributions'!V107,'Fund YTD Contributions'!V107)"),0.0)</f>
        <v>0</v>
      </c>
      <c r="W107" s="152">
        <f>IFERROR(__xludf.DUMMYFUNCTION("IFERROR(V107 * (1 + AVERAGE(Filter('Inflation Data'!$C:$C,'Inflation Data'!$A:$A = W$1))) + 'Fund YTD Contributions'!W107,'Fund YTD Contributions'!W107)"),0.0)</f>
        <v>0</v>
      </c>
      <c r="X107" s="152">
        <f>IFERROR(__xludf.DUMMYFUNCTION("IFERROR(W107 * (1 + AVERAGE(Filter('Inflation Data'!$C:$C,'Inflation Data'!$A:$A = X$1))) + 'Fund YTD Contributions'!X107,'Fund YTD Contributions'!X107)"),0.0)</f>
        <v>0</v>
      </c>
      <c r="Y107" s="152">
        <f>IFERROR(__xludf.DUMMYFUNCTION("IFERROR(X107 * (1 + AVERAGE(Filter('Inflation Data'!$C:$C,'Inflation Data'!$A:$A = Y$1))) + 'Fund YTD Contributions'!Y107,'Fund YTD Contributions'!Y107)"),0.0)</f>
        <v>0</v>
      </c>
      <c r="Z107" s="152">
        <f>IFERROR(__xludf.DUMMYFUNCTION("IFERROR(Y107 * (1 + AVERAGE(Filter('Inflation Data'!$C:$C,'Inflation Data'!$A:$A = Z$1))) + 'Fund YTD Contributions'!Z107,'Fund YTD Contributions'!Z107)"),0.0)</f>
        <v>0</v>
      </c>
      <c r="AA107" s="152">
        <f>IFERROR(__xludf.DUMMYFUNCTION("IFERROR(Z107 * (1 + AVERAGE(Filter('Inflation Data'!$C:$C,'Inflation Data'!$A:$A = AA$1))) + 'Fund YTD Contributions'!AA107,'Fund YTD Contributions'!AA107)"),0.0)</f>
        <v>0</v>
      </c>
      <c r="AB107" s="152">
        <f>IFERROR(__xludf.DUMMYFUNCTION("IFERROR(AA107 * (1 + AVERAGE(Filter('Inflation Data'!$C:$C,'Inflation Data'!$A:$A = AB$1))) + 'Fund YTD Contributions'!AB107,'Fund YTD Contributions'!AB107)"),0.0)</f>
        <v>0</v>
      </c>
      <c r="AC107" s="152">
        <f>IFERROR(__xludf.DUMMYFUNCTION("IFERROR(AB107 * (1 + AVERAGE(Filter('Inflation Data'!$C:$C,'Inflation Data'!$A:$A = AC$1))) + 'Fund YTD Contributions'!AC107,'Fund YTD Contributions'!AC107)"),0.0)</f>
        <v>0</v>
      </c>
      <c r="AD107" s="152">
        <f>IFERROR(__xludf.DUMMYFUNCTION("IFERROR(AC107 * (1 + AVERAGE(Filter('Inflation Data'!$C:$C,'Inflation Data'!$A:$A = AD$1))) + 'Fund YTD Contributions'!AD107,'Fund YTD Contributions'!AD107)"),0.0)</f>
        <v>0</v>
      </c>
      <c r="AE107" s="152">
        <f>IFERROR(__xludf.DUMMYFUNCTION("IFERROR(AD107 * (1 + AVERAGE(Filter('Inflation Data'!$C:$C,'Inflation Data'!$A:$A = AE$1))) + 'Fund YTD Contributions'!AE107,'Fund YTD Contributions'!AE107)"),0.0)</f>
        <v>0</v>
      </c>
      <c r="AF107" s="152">
        <f>IFERROR(__xludf.DUMMYFUNCTION("IFERROR(AE107 * (1 + AVERAGE(Filter('Inflation Data'!$C:$C,'Inflation Data'!$A:$A = AF$1))) + 'Fund YTD Contributions'!AF107,'Fund YTD Contributions'!AF107)"),0.0)</f>
        <v>0</v>
      </c>
    </row>
    <row r="108">
      <c r="A108" s="150" t="str">
        <f>'Endowed Funds'!A:A</f>
        <v/>
      </c>
      <c r="B108" s="152">
        <f>IFERROR(__xludf.DUMMYFUNCTION("IFERROR(A108 * (1 + AVERAGE(Filter('Inflation Data'!$C:$C,'Inflation Data'!$A:$A = B$1))) + 'Fund YTD Contributions'!B108,'Fund YTD Contributions'!B108)"),0.0)</f>
        <v>0</v>
      </c>
      <c r="C108" s="152">
        <f>IFERROR(__xludf.DUMMYFUNCTION("IFERROR(B108 * (1 + AVERAGE(Filter('Inflation Data'!$C:$C,'Inflation Data'!$A:$A = C$1))) + 'Fund YTD Contributions'!C108,'Fund YTD Contributions'!C108)"),0.0)</f>
        <v>0</v>
      </c>
      <c r="D108" s="152">
        <f>IFERROR(__xludf.DUMMYFUNCTION("IFERROR(C108 * (1 + AVERAGE(Filter('Inflation Data'!$C:$C,'Inflation Data'!$A:$A = D$1))) + 'Fund YTD Contributions'!D108,'Fund YTD Contributions'!D108)"),0.0)</f>
        <v>0</v>
      </c>
      <c r="E108" s="152">
        <f>IFERROR(__xludf.DUMMYFUNCTION("IFERROR(D108 * (1 + AVERAGE(Filter('Inflation Data'!$C:$C,'Inflation Data'!$A:$A = E$1))) + 'Fund YTD Contributions'!E108,'Fund YTD Contributions'!E108)"),0.0)</f>
        <v>0</v>
      </c>
      <c r="F108" s="152">
        <f>IFERROR(__xludf.DUMMYFUNCTION("IFERROR(E108 * (1 + AVERAGE(Filter('Inflation Data'!$C:$C,'Inflation Data'!$A:$A = F$1))) + 'Fund YTD Contributions'!F108,'Fund YTD Contributions'!F108)"),0.0)</f>
        <v>0</v>
      </c>
      <c r="G108" s="152">
        <f>IFERROR(__xludf.DUMMYFUNCTION("IFERROR(F108 * (1 + AVERAGE(Filter('Inflation Data'!$C:$C,'Inflation Data'!$A:$A = G$1))) + 'Fund YTD Contributions'!G108,'Fund YTD Contributions'!G108)"),0.0)</f>
        <v>0</v>
      </c>
      <c r="H108" s="152">
        <f>IFERROR(__xludf.DUMMYFUNCTION("IFERROR(G108 * (1 + AVERAGE(Filter('Inflation Data'!$C:$C,'Inflation Data'!$A:$A = H$1))) + 'Fund YTD Contributions'!H108,'Fund YTD Contributions'!H108)"),0.0)</f>
        <v>0</v>
      </c>
      <c r="I108" s="152">
        <f>IFERROR(__xludf.DUMMYFUNCTION("IFERROR(H108 * (1 + AVERAGE(Filter('Inflation Data'!$C:$C,'Inflation Data'!$A:$A = I$1))) + 'Fund YTD Contributions'!I108,'Fund YTD Contributions'!I108)"),0.0)</f>
        <v>0</v>
      </c>
      <c r="J108" s="152">
        <f>IFERROR(__xludf.DUMMYFUNCTION("IFERROR(I108 * (1 + AVERAGE(Filter('Inflation Data'!$C:$C,'Inflation Data'!$A:$A = J$1))) + 'Fund YTD Contributions'!J108,'Fund YTD Contributions'!J108)"),0.0)</f>
        <v>0</v>
      </c>
      <c r="K108" s="152">
        <f>IFERROR(__xludf.DUMMYFUNCTION("IFERROR(J108 * (1 + AVERAGE(Filter('Inflation Data'!$C:$C,'Inflation Data'!$A:$A = K$1))) + 'Fund YTD Contributions'!K108,'Fund YTD Contributions'!K108)"),0.0)</f>
        <v>0</v>
      </c>
      <c r="L108" s="152">
        <f>IFERROR(__xludf.DUMMYFUNCTION("IFERROR(K108 * (1 + AVERAGE(Filter('Inflation Data'!$C:$C,'Inflation Data'!$A:$A = L$1))) + 'Fund YTD Contributions'!L108,'Fund YTD Contributions'!L108)"),0.0)</f>
        <v>0</v>
      </c>
      <c r="M108" s="152">
        <f>IFERROR(__xludf.DUMMYFUNCTION("IFERROR(L108 * (1 + AVERAGE(Filter('Inflation Data'!$C:$C,'Inflation Data'!$A:$A = M$1))) + 'Fund YTD Contributions'!M108,'Fund YTD Contributions'!M108)"),0.0)</f>
        <v>0</v>
      </c>
      <c r="N108" s="152">
        <f>IFERROR(__xludf.DUMMYFUNCTION("IFERROR(M108 * (1 + AVERAGE(Filter('Inflation Data'!$C:$C,'Inflation Data'!$A:$A = N$1))) + 'Fund YTD Contributions'!N108,'Fund YTD Contributions'!N108)"),0.0)</f>
        <v>0</v>
      </c>
      <c r="O108" s="152">
        <f>IFERROR(__xludf.DUMMYFUNCTION("IFERROR(N108 * (1 + AVERAGE(Filter('Inflation Data'!$C:$C,'Inflation Data'!$A:$A = O$1))) + 'Fund YTD Contributions'!O108,'Fund YTD Contributions'!O108)"),0.0)</f>
        <v>0</v>
      </c>
      <c r="P108" s="152">
        <f>IFERROR(__xludf.DUMMYFUNCTION("IFERROR(O108 * (1 + AVERAGE(Filter('Inflation Data'!$C:$C,'Inflation Data'!$A:$A = P$1))) + 'Fund YTD Contributions'!P108,'Fund YTD Contributions'!P108)"),0.0)</f>
        <v>0</v>
      </c>
      <c r="Q108" s="152">
        <f>IFERROR(__xludf.DUMMYFUNCTION("IFERROR(P108 * (1 + AVERAGE(Filter('Inflation Data'!$C:$C,'Inflation Data'!$A:$A = Q$1))) + 'Fund YTD Contributions'!Q108,'Fund YTD Contributions'!Q108)"),0.0)</f>
        <v>0</v>
      </c>
      <c r="R108" s="152">
        <f>IFERROR(__xludf.DUMMYFUNCTION("IFERROR(Q108 * (1 + AVERAGE(Filter('Inflation Data'!$C:$C,'Inflation Data'!$A:$A = R$1))) + 'Fund YTD Contributions'!R108,'Fund YTD Contributions'!R108)"),0.0)</f>
        <v>0</v>
      </c>
      <c r="S108" s="152">
        <f>IFERROR(__xludf.DUMMYFUNCTION("IFERROR(R108 * (1 + AVERAGE(Filter('Inflation Data'!$C:$C,'Inflation Data'!$A:$A = S$1))) + 'Fund YTD Contributions'!S108,'Fund YTD Contributions'!S108)"),0.0)</f>
        <v>0</v>
      </c>
      <c r="T108" s="152">
        <f>IFERROR(__xludf.DUMMYFUNCTION("IFERROR(S108 * (1 + AVERAGE(Filter('Inflation Data'!$C:$C,'Inflation Data'!$A:$A = T$1))) + 'Fund YTD Contributions'!T108,'Fund YTD Contributions'!T108)"),0.0)</f>
        <v>0</v>
      </c>
      <c r="U108" s="152">
        <f>IFERROR(__xludf.DUMMYFUNCTION("IFERROR(T108 * (1 + AVERAGE(Filter('Inflation Data'!$C:$C,'Inflation Data'!$A:$A = U$1))) + 'Fund YTD Contributions'!U108,'Fund YTD Contributions'!U108)"),0.0)</f>
        <v>0</v>
      </c>
      <c r="V108" s="152">
        <f>IFERROR(__xludf.DUMMYFUNCTION("IFERROR(U108 * (1 + AVERAGE(Filter('Inflation Data'!$C:$C,'Inflation Data'!$A:$A = V$1))) + 'Fund YTD Contributions'!V108,'Fund YTD Contributions'!V108)"),0.0)</f>
        <v>0</v>
      </c>
      <c r="W108" s="152">
        <f>IFERROR(__xludf.DUMMYFUNCTION("IFERROR(V108 * (1 + AVERAGE(Filter('Inflation Data'!$C:$C,'Inflation Data'!$A:$A = W$1))) + 'Fund YTD Contributions'!W108,'Fund YTD Contributions'!W108)"),0.0)</f>
        <v>0</v>
      </c>
      <c r="X108" s="152">
        <f>IFERROR(__xludf.DUMMYFUNCTION("IFERROR(W108 * (1 + AVERAGE(Filter('Inflation Data'!$C:$C,'Inflation Data'!$A:$A = X$1))) + 'Fund YTD Contributions'!X108,'Fund YTD Contributions'!X108)"),0.0)</f>
        <v>0</v>
      </c>
      <c r="Y108" s="152">
        <f>IFERROR(__xludf.DUMMYFUNCTION("IFERROR(X108 * (1 + AVERAGE(Filter('Inflation Data'!$C:$C,'Inflation Data'!$A:$A = Y$1))) + 'Fund YTD Contributions'!Y108,'Fund YTD Contributions'!Y108)"),0.0)</f>
        <v>0</v>
      </c>
      <c r="Z108" s="152">
        <f>IFERROR(__xludf.DUMMYFUNCTION("IFERROR(Y108 * (1 + AVERAGE(Filter('Inflation Data'!$C:$C,'Inflation Data'!$A:$A = Z$1))) + 'Fund YTD Contributions'!Z108,'Fund YTD Contributions'!Z108)"),0.0)</f>
        <v>0</v>
      </c>
      <c r="AA108" s="152">
        <f>IFERROR(__xludf.DUMMYFUNCTION("IFERROR(Z108 * (1 + AVERAGE(Filter('Inflation Data'!$C:$C,'Inflation Data'!$A:$A = AA$1))) + 'Fund YTD Contributions'!AA108,'Fund YTD Contributions'!AA108)"),0.0)</f>
        <v>0</v>
      </c>
      <c r="AB108" s="152">
        <f>IFERROR(__xludf.DUMMYFUNCTION("IFERROR(AA108 * (1 + AVERAGE(Filter('Inflation Data'!$C:$C,'Inflation Data'!$A:$A = AB$1))) + 'Fund YTD Contributions'!AB108,'Fund YTD Contributions'!AB108)"),0.0)</f>
        <v>0</v>
      </c>
      <c r="AC108" s="152">
        <f>IFERROR(__xludf.DUMMYFUNCTION("IFERROR(AB108 * (1 + AVERAGE(Filter('Inflation Data'!$C:$C,'Inflation Data'!$A:$A = AC$1))) + 'Fund YTD Contributions'!AC108,'Fund YTD Contributions'!AC108)"),0.0)</f>
        <v>0</v>
      </c>
      <c r="AD108" s="152">
        <f>IFERROR(__xludf.DUMMYFUNCTION("IFERROR(AC108 * (1 + AVERAGE(Filter('Inflation Data'!$C:$C,'Inflation Data'!$A:$A = AD$1))) + 'Fund YTD Contributions'!AD108,'Fund YTD Contributions'!AD108)"),0.0)</f>
        <v>0</v>
      </c>
      <c r="AE108" s="152">
        <f>IFERROR(__xludf.DUMMYFUNCTION("IFERROR(AD108 * (1 + AVERAGE(Filter('Inflation Data'!$C:$C,'Inflation Data'!$A:$A = AE$1))) + 'Fund YTD Contributions'!AE108,'Fund YTD Contributions'!AE108)"),0.0)</f>
        <v>0</v>
      </c>
      <c r="AF108" s="152">
        <f>IFERROR(__xludf.DUMMYFUNCTION("IFERROR(AE108 * (1 + AVERAGE(Filter('Inflation Data'!$C:$C,'Inflation Data'!$A:$A = AF$1))) + 'Fund YTD Contributions'!AF108,'Fund YTD Contributions'!AF108)"),0.0)</f>
        <v>0</v>
      </c>
    </row>
    <row r="109">
      <c r="A109" s="150" t="str">
        <f>'Endowed Funds'!A:A</f>
        <v/>
      </c>
      <c r="B109" s="152">
        <f>IFERROR(__xludf.DUMMYFUNCTION("IFERROR(A109 * (1 + AVERAGE(Filter('Inflation Data'!$C:$C,'Inflation Data'!$A:$A = B$1))) + 'Fund YTD Contributions'!B109,'Fund YTD Contributions'!B109)"),0.0)</f>
        <v>0</v>
      </c>
      <c r="C109" s="152">
        <f>IFERROR(__xludf.DUMMYFUNCTION("IFERROR(B109 * (1 + AVERAGE(Filter('Inflation Data'!$C:$C,'Inflation Data'!$A:$A = C$1))) + 'Fund YTD Contributions'!C109,'Fund YTD Contributions'!C109)"),0.0)</f>
        <v>0</v>
      </c>
      <c r="D109" s="152">
        <f>IFERROR(__xludf.DUMMYFUNCTION("IFERROR(C109 * (1 + AVERAGE(Filter('Inflation Data'!$C:$C,'Inflation Data'!$A:$A = D$1))) + 'Fund YTD Contributions'!D109,'Fund YTD Contributions'!D109)"),0.0)</f>
        <v>0</v>
      </c>
      <c r="E109" s="152">
        <f>IFERROR(__xludf.DUMMYFUNCTION("IFERROR(D109 * (1 + AVERAGE(Filter('Inflation Data'!$C:$C,'Inflation Data'!$A:$A = E$1))) + 'Fund YTD Contributions'!E109,'Fund YTD Contributions'!E109)"),0.0)</f>
        <v>0</v>
      </c>
      <c r="F109" s="152">
        <f>IFERROR(__xludf.DUMMYFUNCTION("IFERROR(E109 * (1 + AVERAGE(Filter('Inflation Data'!$C:$C,'Inflation Data'!$A:$A = F$1))) + 'Fund YTD Contributions'!F109,'Fund YTD Contributions'!F109)"),0.0)</f>
        <v>0</v>
      </c>
      <c r="G109" s="152">
        <f>IFERROR(__xludf.DUMMYFUNCTION("IFERROR(F109 * (1 + AVERAGE(Filter('Inflation Data'!$C:$C,'Inflation Data'!$A:$A = G$1))) + 'Fund YTD Contributions'!G109,'Fund YTD Contributions'!G109)"),0.0)</f>
        <v>0</v>
      </c>
      <c r="H109" s="152">
        <f>IFERROR(__xludf.DUMMYFUNCTION("IFERROR(G109 * (1 + AVERAGE(Filter('Inflation Data'!$C:$C,'Inflation Data'!$A:$A = H$1))) + 'Fund YTD Contributions'!H109,'Fund YTD Contributions'!H109)"),0.0)</f>
        <v>0</v>
      </c>
      <c r="I109" s="152">
        <f>IFERROR(__xludf.DUMMYFUNCTION("IFERROR(H109 * (1 + AVERAGE(Filter('Inflation Data'!$C:$C,'Inflation Data'!$A:$A = I$1))) + 'Fund YTD Contributions'!I109,'Fund YTD Contributions'!I109)"),0.0)</f>
        <v>0</v>
      </c>
      <c r="J109" s="152">
        <f>IFERROR(__xludf.DUMMYFUNCTION("IFERROR(I109 * (1 + AVERAGE(Filter('Inflation Data'!$C:$C,'Inflation Data'!$A:$A = J$1))) + 'Fund YTD Contributions'!J109,'Fund YTD Contributions'!J109)"),0.0)</f>
        <v>0</v>
      </c>
      <c r="K109" s="152">
        <f>IFERROR(__xludf.DUMMYFUNCTION("IFERROR(J109 * (1 + AVERAGE(Filter('Inflation Data'!$C:$C,'Inflation Data'!$A:$A = K$1))) + 'Fund YTD Contributions'!K109,'Fund YTD Contributions'!K109)"),0.0)</f>
        <v>0</v>
      </c>
      <c r="L109" s="152">
        <f>IFERROR(__xludf.DUMMYFUNCTION("IFERROR(K109 * (1 + AVERAGE(Filter('Inflation Data'!$C:$C,'Inflation Data'!$A:$A = L$1))) + 'Fund YTD Contributions'!L109,'Fund YTD Contributions'!L109)"),0.0)</f>
        <v>0</v>
      </c>
      <c r="M109" s="152">
        <f>IFERROR(__xludf.DUMMYFUNCTION("IFERROR(L109 * (1 + AVERAGE(Filter('Inflation Data'!$C:$C,'Inflation Data'!$A:$A = M$1))) + 'Fund YTD Contributions'!M109,'Fund YTD Contributions'!M109)"),0.0)</f>
        <v>0</v>
      </c>
      <c r="N109" s="152">
        <f>IFERROR(__xludf.DUMMYFUNCTION("IFERROR(M109 * (1 + AVERAGE(Filter('Inflation Data'!$C:$C,'Inflation Data'!$A:$A = N$1))) + 'Fund YTD Contributions'!N109,'Fund YTD Contributions'!N109)"),0.0)</f>
        <v>0</v>
      </c>
      <c r="O109" s="152">
        <f>IFERROR(__xludf.DUMMYFUNCTION("IFERROR(N109 * (1 + AVERAGE(Filter('Inflation Data'!$C:$C,'Inflation Data'!$A:$A = O$1))) + 'Fund YTD Contributions'!O109,'Fund YTD Contributions'!O109)"),0.0)</f>
        <v>0</v>
      </c>
      <c r="P109" s="152">
        <f>IFERROR(__xludf.DUMMYFUNCTION("IFERROR(O109 * (1 + AVERAGE(Filter('Inflation Data'!$C:$C,'Inflation Data'!$A:$A = P$1))) + 'Fund YTD Contributions'!P109,'Fund YTD Contributions'!P109)"),0.0)</f>
        <v>0</v>
      </c>
      <c r="Q109" s="152">
        <f>IFERROR(__xludf.DUMMYFUNCTION("IFERROR(P109 * (1 + AVERAGE(Filter('Inflation Data'!$C:$C,'Inflation Data'!$A:$A = Q$1))) + 'Fund YTD Contributions'!Q109,'Fund YTD Contributions'!Q109)"),0.0)</f>
        <v>0</v>
      </c>
      <c r="R109" s="152">
        <f>IFERROR(__xludf.DUMMYFUNCTION("IFERROR(Q109 * (1 + AVERAGE(Filter('Inflation Data'!$C:$C,'Inflation Data'!$A:$A = R$1))) + 'Fund YTD Contributions'!R109,'Fund YTD Contributions'!R109)"),0.0)</f>
        <v>0</v>
      </c>
      <c r="S109" s="152">
        <f>IFERROR(__xludf.DUMMYFUNCTION("IFERROR(R109 * (1 + AVERAGE(Filter('Inflation Data'!$C:$C,'Inflation Data'!$A:$A = S$1))) + 'Fund YTD Contributions'!S109,'Fund YTD Contributions'!S109)"),0.0)</f>
        <v>0</v>
      </c>
      <c r="T109" s="152">
        <f>IFERROR(__xludf.DUMMYFUNCTION("IFERROR(S109 * (1 + AVERAGE(Filter('Inflation Data'!$C:$C,'Inflation Data'!$A:$A = T$1))) + 'Fund YTD Contributions'!T109,'Fund YTD Contributions'!T109)"),0.0)</f>
        <v>0</v>
      </c>
      <c r="U109" s="152">
        <f>IFERROR(__xludf.DUMMYFUNCTION("IFERROR(T109 * (1 + AVERAGE(Filter('Inflation Data'!$C:$C,'Inflation Data'!$A:$A = U$1))) + 'Fund YTD Contributions'!U109,'Fund YTD Contributions'!U109)"),0.0)</f>
        <v>0</v>
      </c>
      <c r="V109" s="152">
        <f>IFERROR(__xludf.DUMMYFUNCTION("IFERROR(U109 * (1 + AVERAGE(Filter('Inflation Data'!$C:$C,'Inflation Data'!$A:$A = V$1))) + 'Fund YTD Contributions'!V109,'Fund YTD Contributions'!V109)"),0.0)</f>
        <v>0</v>
      </c>
      <c r="W109" s="152">
        <f>IFERROR(__xludf.DUMMYFUNCTION("IFERROR(V109 * (1 + AVERAGE(Filter('Inflation Data'!$C:$C,'Inflation Data'!$A:$A = W$1))) + 'Fund YTD Contributions'!W109,'Fund YTD Contributions'!W109)"),0.0)</f>
        <v>0</v>
      </c>
      <c r="X109" s="152">
        <f>IFERROR(__xludf.DUMMYFUNCTION("IFERROR(W109 * (1 + AVERAGE(Filter('Inflation Data'!$C:$C,'Inflation Data'!$A:$A = X$1))) + 'Fund YTD Contributions'!X109,'Fund YTD Contributions'!X109)"),0.0)</f>
        <v>0</v>
      </c>
      <c r="Y109" s="152">
        <f>IFERROR(__xludf.DUMMYFUNCTION("IFERROR(X109 * (1 + AVERAGE(Filter('Inflation Data'!$C:$C,'Inflation Data'!$A:$A = Y$1))) + 'Fund YTD Contributions'!Y109,'Fund YTD Contributions'!Y109)"),0.0)</f>
        <v>0</v>
      </c>
      <c r="Z109" s="152">
        <f>IFERROR(__xludf.DUMMYFUNCTION("IFERROR(Y109 * (1 + AVERAGE(Filter('Inflation Data'!$C:$C,'Inflation Data'!$A:$A = Z$1))) + 'Fund YTD Contributions'!Z109,'Fund YTD Contributions'!Z109)"),0.0)</f>
        <v>0</v>
      </c>
      <c r="AA109" s="152">
        <f>IFERROR(__xludf.DUMMYFUNCTION("IFERROR(Z109 * (1 + AVERAGE(Filter('Inflation Data'!$C:$C,'Inflation Data'!$A:$A = AA$1))) + 'Fund YTD Contributions'!AA109,'Fund YTD Contributions'!AA109)"),0.0)</f>
        <v>0</v>
      </c>
      <c r="AB109" s="152">
        <f>IFERROR(__xludf.DUMMYFUNCTION("IFERROR(AA109 * (1 + AVERAGE(Filter('Inflation Data'!$C:$C,'Inflation Data'!$A:$A = AB$1))) + 'Fund YTD Contributions'!AB109,'Fund YTD Contributions'!AB109)"),0.0)</f>
        <v>0</v>
      </c>
      <c r="AC109" s="152">
        <f>IFERROR(__xludf.DUMMYFUNCTION("IFERROR(AB109 * (1 + AVERAGE(Filter('Inflation Data'!$C:$C,'Inflation Data'!$A:$A = AC$1))) + 'Fund YTD Contributions'!AC109,'Fund YTD Contributions'!AC109)"),0.0)</f>
        <v>0</v>
      </c>
      <c r="AD109" s="152">
        <f>IFERROR(__xludf.DUMMYFUNCTION("IFERROR(AC109 * (1 + AVERAGE(Filter('Inflation Data'!$C:$C,'Inflation Data'!$A:$A = AD$1))) + 'Fund YTD Contributions'!AD109,'Fund YTD Contributions'!AD109)"),0.0)</f>
        <v>0</v>
      </c>
      <c r="AE109" s="152">
        <f>IFERROR(__xludf.DUMMYFUNCTION("IFERROR(AD109 * (1 + AVERAGE(Filter('Inflation Data'!$C:$C,'Inflation Data'!$A:$A = AE$1))) + 'Fund YTD Contributions'!AE109,'Fund YTD Contributions'!AE109)"),0.0)</f>
        <v>0</v>
      </c>
      <c r="AF109" s="152">
        <f>IFERROR(__xludf.DUMMYFUNCTION("IFERROR(AE109 * (1 + AVERAGE(Filter('Inflation Data'!$C:$C,'Inflation Data'!$A:$A = AF$1))) + 'Fund YTD Contributions'!AF109,'Fund YTD Contributions'!AF109)"),0.0)</f>
        <v>0</v>
      </c>
    </row>
    <row r="110">
      <c r="A110" s="150" t="str">
        <f>'Endowed Funds'!A:A</f>
        <v/>
      </c>
      <c r="B110" s="152">
        <f>IFERROR(__xludf.DUMMYFUNCTION("IFERROR(A110 * (1 + AVERAGE(Filter('Inflation Data'!$C:$C,'Inflation Data'!$A:$A = B$1))) + 'Fund YTD Contributions'!B110,'Fund YTD Contributions'!B110)"),0.0)</f>
        <v>0</v>
      </c>
      <c r="C110" s="152">
        <f>IFERROR(__xludf.DUMMYFUNCTION("IFERROR(B110 * (1 + AVERAGE(Filter('Inflation Data'!$C:$C,'Inflation Data'!$A:$A = C$1))) + 'Fund YTD Contributions'!C110,'Fund YTD Contributions'!C110)"),0.0)</f>
        <v>0</v>
      </c>
      <c r="D110" s="152">
        <f>IFERROR(__xludf.DUMMYFUNCTION("IFERROR(C110 * (1 + AVERAGE(Filter('Inflation Data'!$C:$C,'Inflation Data'!$A:$A = D$1))) + 'Fund YTD Contributions'!D110,'Fund YTD Contributions'!D110)"),0.0)</f>
        <v>0</v>
      </c>
      <c r="E110" s="152">
        <f>IFERROR(__xludf.DUMMYFUNCTION("IFERROR(D110 * (1 + AVERAGE(Filter('Inflation Data'!$C:$C,'Inflation Data'!$A:$A = E$1))) + 'Fund YTD Contributions'!E110,'Fund YTD Contributions'!E110)"),0.0)</f>
        <v>0</v>
      </c>
      <c r="F110" s="152">
        <f>IFERROR(__xludf.DUMMYFUNCTION("IFERROR(E110 * (1 + AVERAGE(Filter('Inflation Data'!$C:$C,'Inflation Data'!$A:$A = F$1))) + 'Fund YTD Contributions'!F110,'Fund YTD Contributions'!F110)"),0.0)</f>
        <v>0</v>
      </c>
      <c r="G110" s="152">
        <f>IFERROR(__xludf.DUMMYFUNCTION("IFERROR(F110 * (1 + AVERAGE(Filter('Inflation Data'!$C:$C,'Inflation Data'!$A:$A = G$1))) + 'Fund YTD Contributions'!G110,'Fund YTD Contributions'!G110)"),0.0)</f>
        <v>0</v>
      </c>
      <c r="H110" s="152">
        <f>IFERROR(__xludf.DUMMYFUNCTION("IFERROR(G110 * (1 + AVERAGE(Filter('Inflation Data'!$C:$C,'Inflation Data'!$A:$A = H$1))) + 'Fund YTD Contributions'!H110,'Fund YTD Contributions'!H110)"),0.0)</f>
        <v>0</v>
      </c>
      <c r="I110" s="152">
        <f>IFERROR(__xludf.DUMMYFUNCTION("IFERROR(H110 * (1 + AVERAGE(Filter('Inflation Data'!$C:$C,'Inflation Data'!$A:$A = I$1))) + 'Fund YTD Contributions'!I110,'Fund YTD Contributions'!I110)"),0.0)</f>
        <v>0</v>
      </c>
      <c r="J110" s="152">
        <f>IFERROR(__xludf.DUMMYFUNCTION("IFERROR(I110 * (1 + AVERAGE(Filter('Inflation Data'!$C:$C,'Inflation Data'!$A:$A = J$1))) + 'Fund YTD Contributions'!J110,'Fund YTD Contributions'!J110)"),0.0)</f>
        <v>0</v>
      </c>
      <c r="K110" s="152">
        <f>IFERROR(__xludf.DUMMYFUNCTION("IFERROR(J110 * (1 + AVERAGE(Filter('Inflation Data'!$C:$C,'Inflation Data'!$A:$A = K$1))) + 'Fund YTD Contributions'!K110,'Fund YTD Contributions'!K110)"),0.0)</f>
        <v>0</v>
      </c>
      <c r="L110" s="152">
        <f>IFERROR(__xludf.DUMMYFUNCTION("IFERROR(K110 * (1 + AVERAGE(Filter('Inflation Data'!$C:$C,'Inflation Data'!$A:$A = L$1))) + 'Fund YTD Contributions'!L110,'Fund YTD Contributions'!L110)"),0.0)</f>
        <v>0</v>
      </c>
      <c r="M110" s="152">
        <f>IFERROR(__xludf.DUMMYFUNCTION("IFERROR(L110 * (1 + AVERAGE(Filter('Inflation Data'!$C:$C,'Inflation Data'!$A:$A = M$1))) + 'Fund YTD Contributions'!M110,'Fund YTD Contributions'!M110)"),0.0)</f>
        <v>0</v>
      </c>
      <c r="N110" s="152">
        <f>IFERROR(__xludf.DUMMYFUNCTION("IFERROR(M110 * (1 + AVERAGE(Filter('Inflation Data'!$C:$C,'Inflation Data'!$A:$A = N$1))) + 'Fund YTD Contributions'!N110,'Fund YTD Contributions'!N110)"),0.0)</f>
        <v>0</v>
      </c>
      <c r="O110" s="152">
        <f>IFERROR(__xludf.DUMMYFUNCTION("IFERROR(N110 * (1 + AVERAGE(Filter('Inflation Data'!$C:$C,'Inflation Data'!$A:$A = O$1))) + 'Fund YTD Contributions'!O110,'Fund YTD Contributions'!O110)"),0.0)</f>
        <v>0</v>
      </c>
      <c r="P110" s="152">
        <f>IFERROR(__xludf.DUMMYFUNCTION("IFERROR(O110 * (1 + AVERAGE(Filter('Inflation Data'!$C:$C,'Inflation Data'!$A:$A = P$1))) + 'Fund YTD Contributions'!P110,'Fund YTD Contributions'!P110)"),0.0)</f>
        <v>0</v>
      </c>
      <c r="Q110" s="152">
        <f>IFERROR(__xludf.DUMMYFUNCTION("IFERROR(P110 * (1 + AVERAGE(Filter('Inflation Data'!$C:$C,'Inflation Data'!$A:$A = Q$1))) + 'Fund YTD Contributions'!Q110,'Fund YTD Contributions'!Q110)"),0.0)</f>
        <v>0</v>
      </c>
      <c r="R110" s="152">
        <f>IFERROR(__xludf.DUMMYFUNCTION("IFERROR(Q110 * (1 + AVERAGE(Filter('Inflation Data'!$C:$C,'Inflation Data'!$A:$A = R$1))) + 'Fund YTD Contributions'!R110,'Fund YTD Contributions'!R110)"),0.0)</f>
        <v>0</v>
      </c>
      <c r="S110" s="152">
        <f>IFERROR(__xludf.DUMMYFUNCTION("IFERROR(R110 * (1 + AVERAGE(Filter('Inflation Data'!$C:$C,'Inflation Data'!$A:$A = S$1))) + 'Fund YTD Contributions'!S110,'Fund YTD Contributions'!S110)"),0.0)</f>
        <v>0</v>
      </c>
      <c r="T110" s="152">
        <f>IFERROR(__xludf.DUMMYFUNCTION("IFERROR(S110 * (1 + AVERAGE(Filter('Inflation Data'!$C:$C,'Inflation Data'!$A:$A = T$1))) + 'Fund YTD Contributions'!T110,'Fund YTD Contributions'!T110)"),0.0)</f>
        <v>0</v>
      </c>
      <c r="U110" s="152">
        <f>IFERROR(__xludf.DUMMYFUNCTION("IFERROR(T110 * (1 + AVERAGE(Filter('Inflation Data'!$C:$C,'Inflation Data'!$A:$A = U$1))) + 'Fund YTD Contributions'!U110,'Fund YTD Contributions'!U110)"),0.0)</f>
        <v>0</v>
      </c>
      <c r="V110" s="152">
        <f>IFERROR(__xludf.DUMMYFUNCTION("IFERROR(U110 * (1 + AVERAGE(Filter('Inflation Data'!$C:$C,'Inflation Data'!$A:$A = V$1))) + 'Fund YTD Contributions'!V110,'Fund YTD Contributions'!V110)"),0.0)</f>
        <v>0</v>
      </c>
      <c r="W110" s="152">
        <f>IFERROR(__xludf.DUMMYFUNCTION("IFERROR(V110 * (1 + AVERAGE(Filter('Inflation Data'!$C:$C,'Inflation Data'!$A:$A = W$1))) + 'Fund YTD Contributions'!W110,'Fund YTD Contributions'!W110)"),0.0)</f>
        <v>0</v>
      </c>
      <c r="X110" s="152">
        <f>IFERROR(__xludf.DUMMYFUNCTION("IFERROR(W110 * (1 + AVERAGE(Filter('Inflation Data'!$C:$C,'Inflation Data'!$A:$A = X$1))) + 'Fund YTD Contributions'!X110,'Fund YTD Contributions'!X110)"),0.0)</f>
        <v>0</v>
      </c>
      <c r="Y110" s="152">
        <f>IFERROR(__xludf.DUMMYFUNCTION("IFERROR(X110 * (1 + AVERAGE(Filter('Inflation Data'!$C:$C,'Inflation Data'!$A:$A = Y$1))) + 'Fund YTD Contributions'!Y110,'Fund YTD Contributions'!Y110)"),0.0)</f>
        <v>0</v>
      </c>
      <c r="Z110" s="152">
        <f>IFERROR(__xludf.DUMMYFUNCTION("IFERROR(Y110 * (1 + AVERAGE(Filter('Inflation Data'!$C:$C,'Inflation Data'!$A:$A = Z$1))) + 'Fund YTD Contributions'!Z110,'Fund YTD Contributions'!Z110)"),0.0)</f>
        <v>0</v>
      </c>
      <c r="AA110" s="152">
        <f>IFERROR(__xludf.DUMMYFUNCTION("IFERROR(Z110 * (1 + AVERAGE(Filter('Inflation Data'!$C:$C,'Inflation Data'!$A:$A = AA$1))) + 'Fund YTD Contributions'!AA110,'Fund YTD Contributions'!AA110)"),0.0)</f>
        <v>0</v>
      </c>
      <c r="AB110" s="152">
        <f>IFERROR(__xludf.DUMMYFUNCTION("IFERROR(AA110 * (1 + AVERAGE(Filter('Inflation Data'!$C:$C,'Inflation Data'!$A:$A = AB$1))) + 'Fund YTD Contributions'!AB110,'Fund YTD Contributions'!AB110)"),0.0)</f>
        <v>0</v>
      </c>
      <c r="AC110" s="152">
        <f>IFERROR(__xludf.DUMMYFUNCTION("IFERROR(AB110 * (1 + AVERAGE(Filter('Inflation Data'!$C:$C,'Inflation Data'!$A:$A = AC$1))) + 'Fund YTD Contributions'!AC110,'Fund YTD Contributions'!AC110)"),0.0)</f>
        <v>0</v>
      </c>
      <c r="AD110" s="152">
        <f>IFERROR(__xludf.DUMMYFUNCTION("IFERROR(AC110 * (1 + AVERAGE(Filter('Inflation Data'!$C:$C,'Inflation Data'!$A:$A = AD$1))) + 'Fund YTD Contributions'!AD110,'Fund YTD Contributions'!AD110)"),0.0)</f>
        <v>0</v>
      </c>
      <c r="AE110" s="152">
        <f>IFERROR(__xludf.DUMMYFUNCTION("IFERROR(AD110 * (1 + AVERAGE(Filter('Inflation Data'!$C:$C,'Inflation Data'!$A:$A = AE$1))) + 'Fund YTD Contributions'!AE110,'Fund YTD Contributions'!AE110)"),0.0)</f>
        <v>0</v>
      </c>
      <c r="AF110" s="152">
        <f>IFERROR(__xludf.DUMMYFUNCTION("IFERROR(AE110 * (1 + AVERAGE(Filter('Inflation Data'!$C:$C,'Inflation Data'!$A:$A = AF$1))) + 'Fund YTD Contributions'!AF110,'Fund YTD Contributions'!AF110)"),0.0)</f>
        <v>0</v>
      </c>
    </row>
    <row r="111">
      <c r="A111" s="150" t="str">
        <f>'Endowed Funds'!A:A</f>
        <v/>
      </c>
      <c r="B111" s="152">
        <f>IFERROR(__xludf.DUMMYFUNCTION("IFERROR(A111 * (1 + AVERAGE(Filter('Inflation Data'!$C:$C,'Inflation Data'!$A:$A = B$1))) + 'Fund YTD Contributions'!B111,'Fund YTD Contributions'!B111)"),0.0)</f>
        <v>0</v>
      </c>
      <c r="C111" s="152">
        <f>IFERROR(__xludf.DUMMYFUNCTION("IFERROR(B111 * (1 + AVERAGE(Filter('Inflation Data'!$C:$C,'Inflation Data'!$A:$A = C$1))) + 'Fund YTD Contributions'!C111,'Fund YTD Contributions'!C111)"),0.0)</f>
        <v>0</v>
      </c>
      <c r="D111" s="152">
        <f>IFERROR(__xludf.DUMMYFUNCTION("IFERROR(C111 * (1 + AVERAGE(Filter('Inflation Data'!$C:$C,'Inflation Data'!$A:$A = D$1))) + 'Fund YTD Contributions'!D111,'Fund YTD Contributions'!D111)"),0.0)</f>
        <v>0</v>
      </c>
      <c r="E111" s="152">
        <f>IFERROR(__xludf.DUMMYFUNCTION("IFERROR(D111 * (1 + AVERAGE(Filter('Inflation Data'!$C:$C,'Inflation Data'!$A:$A = E$1))) + 'Fund YTD Contributions'!E111,'Fund YTD Contributions'!E111)"),0.0)</f>
        <v>0</v>
      </c>
      <c r="F111" s="152">
        <f>IFERROR(__xludf.DUMMYFUNCTION("IFERROR(E111 * (1 + AVERAGE(Filter('Inflation Data'!$C:$C,'Inflation Data'!$A:$A = F$1))) + 'Fund YTD Contributions'!F111,'Fund YTD Contributions'!F111)"),0.0)</f>
        <v>0</v>
      </c>
      <c r="G111" s="152">
        <f>IFERROR(__xludf.DUMMYFUNCTION("IFERROR(F111 * (1 + AVERAGE(Filter('Inflation Data'!$C:$C,'Inflation Data'!$A:$A = G$1))) + 'Fund YTD Contributions'!G111,'Fund YTD Contributions'!G111)"),0.0)</f>
        <v>0</v>
      </c>
      <c r="H111" s="152">
        <f>IFERROR(__xludf.DUMMYFUNCTION("IFERROR(G111 * (1 + AVERAGE(Filter('Inflation Data'!$C:$C,'Inflation Data'!$A:$A = H$1))) + 'Fund YTD Contributions'!H111,'Fund YTD Contributions'!H111)"),0.0)</f>
        <v>0</v>
      </c>
      <c r="I111" s="152">
        <f>IFERROR(__xludf.DUMMYFUNCTION("IFERROR(H111 * (1 + AVERAGE(Filter('Inflation Data'!$C:$C,'Inflation Data'!$A:$A = I$1))) + 'Fund YTD Contributions'!I111,'Fund YTD Contributions'!I111)"),0.0)</f>
        <v>0</v>
      </c>
      <c r="J111" s="152">
        <f>IFERROR(__xludf.DUMMYFUNCTION("IFERROR(I111 * (1 + AVERAGE(Filter('Inflation Data'!$C:$C,'Inflation Data'!$A:$A = J$1))) + 'Fund YTD Contributions'!J111,'Fund YTD Contributions'!J111)"),0.0)</f>
        <v>0</v>
      </c>
      <c r="K111" s="152">
        <f>IFERROR(__xludf.DUMMYFUNCTION("IFERROR(J111 * (1 + AVERAGE(Filter('Inflation Data'!$C:$C,'Inflation Data'!$A:$A = K$1))) + 'Fund YTD Contributions'!K111,'Fund YTD Contributions'!K111)"),0.0)</f>
        <v>0</v>
      </c>
      <c r="L111" s="152">
        <f>IFERROR(__xludf.DUMMYFUNCTION("IFERROR(K111 * (1 + AVERAGE(Filter('Inflation Data'!$C:$C,'Inflation Data'!$A:$A = L$1))) + 'Fund YTD Contributions'!L111,'Fund YTD Contributions'!L111)"),0.0)</f>
        <v>0</v>
      </c>
      <c r="M111" s="152">
        <f>IFERROR(__xludf.DUMMYFUNCTION("IFERROR(L111 * (1 + AVERAGE(Filter('Inflation Data'!$C:$C,'Inflation Data'!$A:$A = M$1))) + 'Fund YTD Contributions'!M111,'Fund YTD Contributions'!M111)"),0.0)</f>
        <v>0</v>
      </c>
      <c r="N111" s="152">
        <f>IFERROR(__xludf.DUMMYFUNCTION("IFERROR(M111 * (1 + AVERAGE(Filter('Inflation Data'!$C:$C,'Inflation Data'!$A:$A = N$1))) + 'Fund YTD Contributions'!N111,'Fund YTD Contributions'!N111)"),0.0)</f>
        <v>0</v>
      </c>
      <c r="O111" s="152">
        <f>IFERROR(__xludf.DUMMYFUNCTION("IFERROR(N111 * (1 + AVERAGE(Filter('Inflation Data'!$C:$C,'Inflation Data'!$A:$A = O$1))) + 'Fund YTD Contributions'!O111,'Fund YTD Contributions'!O111)"),0.0)</f>
        <v>0</v>
      </c>
      <c r="P111" s="152">
        <f>IFERROR(__xludf.DUMMYFUNCTION("IFERROR(O111 * (1 + AVERAGE(Filter('Inflation Data'!$C:$C,'Inflation Data'!$A:$A = P$1))) + 'Fund YTD Contributions'!P111,'Fund YTD Contributions'!P111)"),0.0)</f>
        <v>0</v>
      </c>
      <c r="Q111" s="152">
        <f>IFERROR(__xludf.DUMMYFUNCTION("IFERROR(P111 * (1 + AVERAGE(Filter('Inflation Data'!$C:$C,'Inflation Data'!$A:$A = Q$1))) + 'Fund YTD Contributions'!Q111,'Fund YTD Contributions'!Q111)"),0.0)</f>
        <v>0</v>
      </c>
      <c r="R111" s="152">
        <f>IFERROR(__xludf.DUMMYFUNCTION("IFERROR(Q111 * (1 + AVERAGE(Filter('Inflation Data'!$C:$C,'Inflation Data'!$A:$A = R$1))) + 'Fund YTD Contributions'!R111,'Fund YTD Contributions'!R111)"),0.0)</f>
        <v>0</v>
      </c>
      <c r="S111" s="152">
        <f>IFERROR(__xludf.DUMMYFUNCTION("IFERROR(R111 * (1 + AVERAGE(Filter('Inflation Data'!$C:$C,'Inflation Data'!$A:$A = S$1))) + 'Fund YTD Contributions'!S111,'Fund YTD Contributions'!S111)"),0.0)</f>
        <v>0</v>
      </c>
      <c r="T111" s="152">
        <f>IFERROR(__xludf.DUMMYFUNCTION("IFERROR(S111 * (1 + AVERAGE(Filter('Inflation Data'!$C:$C,'Inflation Data'!$A:$A = T$1))) + 'Fund YTD Contributions'!T111,'Fund YTD Contributions'!T111)"),0.0)</f>
        <v>0</v>
      </c>
      <c r="U111" s="152">
        <f>IFERROR(__xludf.DUMMYFUNCTION("IFERROR(T111 * (1 + AVERAGE(Filter('Inflation Data'!$C:$C,'Inflation Data'!$A:$A = U$1))) + 'Fund YTD Contributions'!U111,'Fund YTD Contributions'!U111)"),0.0)</f>
        <v>0</v>
      </c>
      <c r="V111" s="152">
        <f>IFERROR(__xludf.DUMMYFUNCTION("IFERROR(U111 * (1 + AVERAGE(Filter('Inflation Data'!$C:$C,'Inflation Data'!$A:$A = V$1))) + 'Fund YTD Contributions'!V111,'Fund YTD Contributions'!V111)"),0.0)</f>
        <v>0</v>
      </c>
      <c r="W111" s="152">
        <f>IFERROR(__xludf.DUMMYFUNCTION("IFERROR(V111 * (1 + AVERAGE(Filter('Inflation Data'!$C:$C,'Inflation Data'!$A:$A = W$1))) + 'Fund YTD Contributions'!W111,'Fund YTD Contributions'!W111)"),0.0)</f>
        <v>0</v>
      </c>
      <c r="X111" s="152">
        <f>IFERROR(__xludf.DUMMYFUNCTION("IFERROR(W111 * (1 + AVERAGE(Filter('Inflation Data'!$C:$C,'Inflation Data'!$A:$A = X$1))) + 'Fund YTD Contributions'!X111,'Fund YTD Contributions'!X111)"),0.0)</f>
        <v>0</v>
      </c>
      <c r="Y111" s="152">
        <f>IFERROR(__xludf.DUMMYFUNCTION("IFERROR(X111 * (1 + AVERAGE(Filter('Inflation Data'!$C:$C,'Inflation Data'!$A:$A = Y$1))) + 'Fund YTD Contributions'!Y111,'Fund YTD Contributions'!Y111)"),0.0)</f>
        <v>0</v>
      </c>
      <c r="Z111" s="152">
        <f>IFERROR(__xludf.DUMMYFUNCTION("IFERROR(Y111 * (1 + AVERAGE(Filter('Inflation Data'!$C:$C,'Inflation Data'!$A:$A = Z$1))) + 'Fund YTD Contributions'!Z111,'Fund YTD Contributions'!Z111)"),0.0)</f>
        <v>0</v>
      </c>
      <c r="AA111" s="152">
        <f>IFERROR(__xludf.DUMMYFUNCTION("IFERROR(Z111 * (1 + AVERAGE(Filter('Inflation Data'!$C:$C,'Inflation Data'!$A:$A = AA$1))) + 'Fund YTD Contributions'!AA111,'Fund YTD Contributions'!AA111)"),0.0)</f>
        <v>0</v>
      </c>
      <c r="AB111" s="152">
        <f>IFERROR(__xludf.DUMMYFUNCTION("IFERROR(AA111 * (1 + AVERAGE(Filter('Inflation Data'!$C:$C,'Inflation Data'!$A:$A = AB$1))) + 'Fund YTD Contributions'!AB111,'Fund YTD Contributions'!AB111)"),0.0)</f>
        <v>0</v>
      </c>
      <c r="AC111" s="152">
        <f>IFERROR(__xludf.DUMMYFUNCTION("IFERROR(AB111 * (1 + AVERAGE(Filter('Inflation Data'!$C:$C,'Inflation Data'!$A:$A = AC$1))) + 'Fund YTD Contributions'!AC111,'Fund YTD Contributions'!AC111)"),0.0)</f>
        <v>0</v>
      </c>
      <c r="AD111" s="152">
        <f>IFERROR(__xludf.DUMMYFUNCTION("IFERROR(AC111 * (1 + AVERAGE(Filter('Inflation Data'!$C:$C,'Inflation Data'!$A:$A = AD$1))) + 'Fund YTD Contributions'!AD111,'Fund YTD Contributions'!AD111)"),0.0)</f>
        <v>0</v>
      </c>
      <c r="AE111" s="152">
        <f>IFERROR(__xludf.DUMMYFUNCTION("IFERROR(AD111 * (1 + AVERAGE(Filter('Inflation Data'!$C:$C,'Inflation Data'!$A:$A = AE$1))) + 'Fund YTD Contributions'!AE111,'Fund YTD Contributions'!AE111)"),0.0)</f>
        <v>0</v>
      </c>
      <c r="AF111" s="152">
        <f>IFERROR(__xludf.DUMMYFUNCTION("IFERROR(AE111 * (1 + AVERAGE(Filter('Inflation Data'!$C:$C,'Inflation Data'!$A:$A = AF$1))) + 'Fund YTD Contributions'!AF111,'Fund YTD Contributions'!AF111)"),0.0)</f>
        <v>0</v>
      </c>
    </row>
    <row r="112">
      <c r="A112" s="150" t="str">
        <f>'Endowed Funds'!A:A</f>
        <v/>
      </c>
      <c r="B112" s="152">
        <f>IFERROR(__xludf.DUMMYFUNCTION("IFERROR(A112 * (1 + AVERAGE(Filter('Inflation Data'!$C:$C,'Inflation Data'!$A:$A = B$1))) + 'Fund YTD Contributions'!B112,'Fund YTD Contributions'!B112)"),0.0)</f>
        <v>0</v>
      </c>
      <c r="C112" s="152">
        <f>IFERROR(__xludf.DUMMYFUNCTION("IFERROR(B112 * (1 + AVERAGE(Filter('Inflation Data'!$C:$C,'Inflation Data'!$A:$A = C$1))) + 'Fund YTD Contributions'!C112,'Fund YTD Contributions'!C112)"),0.0)</f>
        <v>0</v>
      </c>
      <c r="D112" s="152">
        <f>IFERROR(__xludf.DUMMYFUNCTION("IFERROR(C112 * (1 + AVERAGE(Filter('Inflation Data'!$C:$C,'Inflation Data'!$A:$A = D$1))) + 'Fund YTD Contributions'!D112,'Fund YTD Contributions'!D112)"),0.0)</f>
        <v>0</v>
      </c>
      <c r="E112" s="152">
        <f>IFERROR(__xludf.DUMMYFUNCTION("IFERROR(D112 * (1 + AVERAGE(Filter('Inflation Data'!$C:$C,'Inflation Data'!$A:$A = E$1))) + 'Fund YTD Contributions'!E112,'Fund YTD Contributions'!E112)"),0.0)</f>
        <v>0</v>
      </c>
      <c r="F112" s="152">
        <f>IFERROR(__xludf.DUMMYFUNCTION("IFERROR(E112 * (1 + AVERAGE(Filter('Inflation Data'!$C:$C,'Inflation Data'!$A:$A = F$1))) + 'Fund YTD Contributions'!F112,'Fund YTD Contributions'!F112)"),0.0)</f>
        <v>0</v>
      </c>
      <c r="G112" s="152">
        <f>IFERROR(__xludf.DUMMYFUNCTION("IFERROR(F112 * (1 + AVERAGE(Filter('Inflation Data'!$C:$C,'Inflation Data'!$A:$A = G$1))) + 'Fund YTD Contributions'!G112,'Fund YTD Contributions'!G112)"),0.0)</f>
        <v>0</v>
      </c>
      <c r="H112" s="152">
        <f>IFERROR(__xludf.DUMMYFUNCTION("IFERROR(G112 * (1 + AVERAGE(Filter('Inflation Data'!$C:$C,'Inflation Data'!$A:$A = H$1))) + 'Fund YTD Contributions'!H112,'Fund YTD Contributions'!H112)"),0.0)</f>
        <v>0</v>
      </c>
      <c r="I112" s="152">
        <f>IFERROR(__xludf.DUMMYFUNCTION("IFERROR(H112 * (1 + AVERAGE(Filter('Inflation Data'!$C:$C,'Inflation Data'!$A:$A = I$1))) + 'Fund YTD Contributions'!I112,'Fund YTD Contributions'!I112)"),0.0)</f>
        <v>0</v>
      </c>
      <c r="J112" s="152">
        <f>IFERROR(__xludf.DUMMYFUNCTION("IFERROR(I112 * (1 + AVERAGE(Filter('Inflation Data'!$C:$C,'Inflation Data'!$A:$A = J$1))) + 'Fund YTD Contributions'!J112,'Fund YTD Contributions'!J112)"),0.0)</f>
        <v>0</v>
      </c>
      <c r="K112" s="152">
        <f>IFERROR(__xludf.DUMMYFUNCTION("IFERROR(J112 * (1 + AVERAGE(Filter('Inflation Data'!$C:$C,'Inflation Data'!$A:$A = K$1))) + 'Fund YTD Contributions'!K112,'Fund YTD Contributions'!K112)"),0.0)</f>
        <v>0</v>
      </c>
      <c r="L112" s="152">
        <f>IFERROR(__xludf.DUMMYFUNCTION("IFERROR(K112 * (1 + AVERAGE(Filter('Inflation Data'!$C:$C,'Inflation Data'!$A:$A = L$1))) + 'Fund YTD Contributions'!L112,'Fund YTD Contributions'!L112)"),0.0)</f>
        <v>0</v>
      </c>
      <c r="M112" s="152">
        <f>IFERROR(__xludf.DUMMYFUNCTION("IFERROR(L112 * (1 + AVERAGE(Filter('Inflation Data'!$C:$C,'Inflation Data'!$A:$A = M$1))) + 'Fund YTD Contributions'!M112,'Fund YTD Contributions'!M112)"),0.0)</f>
        <v>0</v>
      </c>
      <c r="N112" s="152">
        <f>IFERROR(__xludf.DUMMYFUNCTION("IFERROR(M112 * (1 + AVERAGE(Filter('Inflation Data'!$C:$C,'Inflation Data'!$A:$A = N$1))) + 'Fund YTD Contributions'!N112,'Fund YTD Contributions'!N112)"),0.0)</f>
        <v>0</v>
      </c>
      <c r="O112" s="152">
        <f>IFERROR(__xludf.DUMMYFUNCTION("IFERROR(N112 * (1 + AVERAGE(Filter('Inflation Data'!$C:$C,'Inflation Data'!$A:$A = O$1))) + 'Fund YTD Contributions'!O112,'Fund YTD Contributions'!O112)"),0.0)</f>
        <v>0</v>
      </c>
      <c r="P112" s="152">
        <f>IFERROR(__xludf.DUMMYFUNCTION("IFERROR(O112 * (1 + AVERAGE(Filter('Inflation Data'!$C:$C,'Inflation Data'!$A:$A = P$1))) + 'Fund YTD Contributions'!P112,'Fund YTD Contributions'!P112)"),0.0)</f>
        <v>0</v>
      </c>
      <c r="Q112" s="152">
        <f>IFERROR(__xludf.DUMMYFUNCTION("IFERROR(P112 * (1 + AVERAGE(Filter('Inflation Data'!$C:$C,'Inflation Data'!$A:$A = Q$1))) + 'Fund YTD Contributions'!Q112,'Fund YTD Contributions'!Q112)"),0.0)</f>
        <v>0</v>
      </c>
      <c r="R112" s="152">
        <f>IFERROR(__xludf.DUMMYFUNCTION("IFERROR(Q112 * (1 + AVERAGE(Filter('Inflation Data'!$C:$C,'Inflation Data'!$A:$A = R$1))) + 'Fund YTD Contributions'!R112,'Fund YTD Contributions'!R112)"),0.0)</f>
        <v>0</v>
      </c>
      <c r="S112" s="152">
        <f>IFERROR(__xludf.DUMMYFUNCTION("IFERROR(R112 * (1 + AVERAGE(Filter('Inflation Data'!$C:$C,'Inflation Data'!$A:$A = S$1))) + 'Fund YTD Contributions'!S112,'Fund YTD Contributions'!S112)"),0.0)</f>
        <v>0</v>
      </c>
      <c r="T112" s="152">
        <f>IFERROR(__xludf.DUMMYFUNCTION("IFERROR(S112 * (1 + AVERAGE(Filter('Inflation Data'!$C:$C,'Inflation Data'!$A:$A = T$1))) + 'Fund YTD Contributions'!T112,'Fund YTD Contributions'!T112)"),0.0)</f>
        <v>0</v>
      </c>
      <c r="U112" s="152">
        <f>IFERROR(__xludf.DUMMYFUNCTION("IFERROR(T112 * (1 + AVERAGE(Filter('Inflation Data'!$C:$C,'Inflation Data'!$A:$A = U$1))) + 'Fund YTD Contributions'!U112,'Fund YTD Contributions'!U112)"),0.0)</f>
        <v>0</v>
      </c>
      <c r="V112" s="152">
        <f>IFERROR(__xludf.DUMMYFUNCTION("IFERROR(U112 * (1 + AVERAGE(Filter('Inflation Data'!$C:$C,'Inflation Data'!$A:$A = V$1))) + 'Fund YTD Contributions'!V112,'Fund YTD Contributions'!V112)"),0.0)</f>
        <v>0</v>
      </c>
      <c r="W112" s="152">
        <f>IFERROR(__xludf.DUMMYFUNCTION("IFERROR(V112 * (1 + AVERAGE(Filter('Inflation Data'!$C:$C,'Inflation Data'!$A:$A = W$1))) + 'Fund YTD Contributions'!W112,'Fund YTD Contributions'!W112)"),0.0)</f>
        <v>0</v>
      </c>
      <c r="X112" s="152">
        <f>IFERROR(__xludf.DUMMYFUNCTION("IFERROR(W112 * (1 + AVERAGE(Filter('Inflation Data'!$C:$C,'Inflation Data'!$A:$A = X$1))) + 'Fund YTD Contributions'!X112,'Fund YTD Contributions'!X112)"),0.0)</f>
        <v>0</v>
      </c>
      <c r="Y112" s="152">
        <f>IFERROR(__xludf.DUMMYFUNCTION("IFERROR(X112 * (1 + AVERAGE(Filter('Inflation Data'!$C:$C,'Inflation Data'!$A:$A = Y$1))) + 'Fund YTD Contributions'!Y112,'Fund YTD Contributions'!Y112)"),0.0)</f>
        <v>0</v>
      </c>
      <c r="Z112" s="152">
        <f>IFERROR(__xludf.DUMMYFUNCTION("IFERROR(Y112 * (1 + AVERAGE(Filter('Inflation Data'!$C:$C,'Inflation Data'!$A:$A = Z$1))) + 'Fund YTD Contributions'!Z112,'Fund YTD Contributions'!Z112)"),0.0)</f>
        <v>0</v>
      </c>
      <c r="AA112" s="152">
        <f>IFERROR(__xludf.DUMMYFUNCTION("IFERROR(Z112 * (1 + AVERAGE(Filter('Inflation Data'!$C:$C,'Inflation Data'!$A:$A = AA$1))) + 'Fund YTD Contributions'!AA112,'Fund YTD Contributions'!AA112)"),0.0)</f>
        <v>0</v>
      </c>
      <c r="AB112" s="152">
        <f>IFERROR(__xludf.DUMMYFUNCTION("IFERROR(AA112 * (1 + AVERAGE(Filter('Inflation Data'!$C:$C,'Inflation Data'!$A:$A = AB$1))) + 'Fund YTD Contributions'!AB112,'Fund YTD Contributions'!AB112)"),0.0)</f>
        <v>0</v>
      </c>
      <c r="AC112" s="152">
        <f>IFERROR(__xludf.DUMMYFUNCTION("IFERROR(AB112 * (1 + AVERAGE(Filter('Inflation Data'!$C:$C,'Inflation Data'!$A:$A = AC$1))) + 'Fund YTD Contributions'!AC112,'Fund YTD Contributions'!AC112)"),0.0)</f>
        <v>0</v>
      </c>
      <c r="AD112" s="152">
        <f>IFERROR(__xludf.DUMMYFUNCTION("IFERROR(AC112 * (1 + AVERAGE(Filter('Inflation Data'!$C:$C,'Inflation Data'!$A:$A = AD$1))) + 'Fund YTD Contributions'!AD112,'Fund YTD Contributions'!AD112)"),0.0)</f>
        <v>0</v>
      </c>
      <c r="AE112" s="152">
        <f>IFERROR(__xludf.DUMMYFUNCTION("IFERROR(AD112 * (1 + AVERAGE(Filter('Inflation Data'!$C:$C,'Inflation Data'!$A:$A = AE$1))) + 'Fund YTD Contributions'!AE112,'Fund YTD Contributions'!AE112)"),0.0)</f>
        <v>0</v>
      </c>
      <c r="AF112" s="152">
        <f>IFERROR(__xludf.DUMMYFUNCTION("IFERROR(AE112 * (1 + AVERAGE(Filter('Inflation Data'!$C:$C,'Inflation Data'!$A:$A = AF$1))) + 'Fund YTD Contributions'!AF112,'Fund YTD Contributions'!AF112)"),0.0)</f>
        <v>0</v>
      </c>
    </row>
    <row r="113">
      <c r="A113" s="150" t="str">
        <f>'Endowed Funds'!A:A</f>
        <v/>
      </c>
      <c r="B113" s="152">
        <f>IFERROR(__xludf.DUMMYFUNCTION("IFERROR(A113 * (1 + AVERAGE(Filter('Inflation Data'!$C:$C,'Inflation Data'!$A:$A = B$1))) + 'Fund YTD Contributions'!B113,'Fund YTD Contributions'!B113)"),0.0)</f>
        <v>0</v>
      </c>
      <c r="C113" s="152">
        <f>IFERROR(__xludf.DUMMYFUNCTION("IFERROR(B113 * (1 + AVERAGE(Filter('Inflation Data'!$C:$C,'Inflation Data'!$A:$A = C$1))) + 'Fund YTD Contributions'!C113,'Fund YTD Contributions'!C113)"),0.0)</f>
        <v>0</v>
      </c>
      <c r="D113" s="152">
        <f>IFERROR(__xludf.DUMMYFUNCTION("IFERROR(C113 * (1 + AVERAGE(Filter('Inflation Data'!$C:$C,'Inflation Data'!$A:$A = D$1))) + 'Fund YTD Contributions'!D113,'Fund YTD Contributions'!D113)"),0.0)</f>
        <v>0</v>
      </c>
      <c r="E113" s="152">
        <f>IFERROR(__xludf.DUMMYFUNCTION("IFERROR(D113 * (1 + AVERAGE(Filter('Inflation Data'!$C:$C,'Inflation Data'!$A:$A = E$1))) + 'Fund YTD Contributions'!E113,'Fund YTD Contributions'!E113)"),0.0)</f>
        <v>0</v>
      </c>
      <c r="F113" s="152">
        <f>IFERROR(__xludf.DUMMYFUNCTION("IFERROR(E113 * (1 + AVERAGE(Filter('Inflation Data'!$C:$C,'Inflation Data'!$A:$A = F$1))) + 'Fund YTD Contributions'!F113,'Fund YTD Contributions'!F113)"),0.0)</f>
        <v>0</v>
      </c>
      <c r="G113" s="152">
        <f>IFERROR(__xludf.DUMMYFUNCTION("IFERROR(F113 * (1 + AVERAGE(Filter('Inflation Data'!$C:$C,'Inflation Data'!$A:$A = G$1))) + 'Fund YTD Contributions'!G113,'Fund YTD Contributions'!G113)"),0.0)</f>
        <v>0</v>
      </c>
      <c r="H113" s="152">
        <f>IFERROR(__xludf.DUMMYFUNCTION("IFERROR(G113 * (1 + AVERAGE(Filter('Inflation Data'!$C:$C,'Inflation Data'!$A:$A = H$1))) + 'Fund YTD Contributions'!H113,'Fund YTD Contributions'!H113)"),0.0)</f>
        <v>0</v>
      </c>
      <c r="I113" s="152">
        <f>IFERROR(__xludf.DUMMYFUNCTION("IFERROR(H113 * (1 + AVERAGE(Filter('Inflation Data'!$C:$C,'Inflation Data'!$A:$A = I$1))) + 'Fund YTD Contributions'!I113,'Fund YTD Contributions'!I113)"),0.0)</f>
        <v>0</v>
      </c>
      <c r="J113" s="152">
        <f>IFERROR(__xludf.DUMMYFUNCTION("IFERROR(I113 * (1 + AVERAGE(Filter('Inflation Data'!$C:$C,'Inflation Data'!$A:$A = J$1))) + 'Fund YTD Contributions'!J113,'Fund YTD Contributions'!J113)"),0.0)</f>
        <v>0</v>
      </c>
      <c r="K113" s="152">
        <f>IFERROR(__xludf.DUMMYFUNCTION("IFERROR(J113 * (1 + AVERAGE(Filter('Inflation Data'!$C:$C,'Inflation Data'!$A:$A = K$1))) + 'Fund YTD Contributions'!K113,'Fund YTD Contributions'!K113)"),0.0)</f>
        <v>0</v>
      </c>
      <c r="L113" s="152">
        <f>IFERROR(__xludf.DUMMYFUNCTION("IFERROR(K113 * (1 + AVERAGE(Filter('Inflation Data'!$C:$C,'Inflation Data'!$A:$A = L$1))) + 'Fund YTD Contributions'!L113,'Fund YTD Contributions'!L113)"),0.0)</f>
        <v>0</v>
      </c>
      <c r="M113" s="152">
        <f>IFERROR(__xludf.DUMMYFUNCTION("IFERROR(L113 * (1 + AVERAGE(Filter('Inflation Data'!$C:$C,'Inflation Data'!$A:$A = M$1))) + 'Fund YTD Contributions'!M113,'Fund YTD Contributions'!M113)"),0.0)</f>
        <v>0</v>
      </c>
      <c r="N113" s="152">
        <f>IFERROR(__xludf.DUMMYFUNCTION("IFERROR(M113 * (1 + AVERAGE(Filter('Inflation Data'!$C:$C,'Inflation Data'!$A:$A = N$1))) + 'Fund YTD Contributions'!N113,'Fund YTD Contributions'!N113)"),0.0)</f>
        <v>0</v>
      </c>
      <c r="O113" s="152">
        <f>IFERROR(__xludf.DUMMYFUNCTION("IFERROR(N113 * (1 + AVERAGE(Filter('Inflation Data'!$C:$C,'Inflation Data'!$A:$A = O$1))) + 'Fund YTD Contributions'!O113,'Fund YTD Contributions'!O113)"),0.0)</f>
        <v>0</v>
      </c>
      <c r="P113" s="152">
        <f>IFERROR(__xludf.DUMMYFUNCTION("IFERROR(O113 * (1 + AVERAGE(Filter('Inflation Data'!$C:$C,'Inflation Data'!$A:$A = P$1))) + 'Fund YTD Contributions'!P113,'Fund YTD Contributions'!P113)"),0.0)</f>
        <v>0</v>
      </c>
      <c r="Q113" s="152">
        <f>IFERROR(__xludf.DUMMYFUNCTION("IFERROR(P113 * (1 + AVERAGE(Filter('Inflation Data'!$C:$C,'Inflation Data'!$A:$A = Q$1))) + 'Fund YTD Contributions'!Q113,'Fund YTD Contributions'!Q113)"),0.0)</f>
        <v>0</v>
      </c>
      <c r="R113" s="152">
        <f>IFERROR(__xludf.DUMMYFUNCTION("IFERROR(Q113 * (1 + AVERAGE(Filter('Inflation Data'!$C:$C,'Inflation Data'!$A:$A = R$1))) + 'Fund YTD Contributions'!R113,'Fund YTD Contributions'!R113)"),0.0)</f>
        <v>0</v>
      </c>
      <c r="S113" s="152">
        <f>IFERROR(__xludf.DUMMYFUNCTION("IFERROR(R113 * (1 + AVERAGE(Filter('Inflation Data'!$C:$C,'Inflation Data'!$A:$A = S$1))) + 'Fund YTD Contributions'!S113,'Fund YTD Contributions'!S113)"),0.0)</f>
        <v>0</v>
      </c>
      <c r="T113" s="152">
        <f>IFERROR(__xludf.DUMMYFUNCTION("IFERROR(S113 * (1 + AVERAGE(Filter('Inflation Data'!$C:$C,'Inflation Data'!$A:$A = T$1))) + 'Fund YTD Contributions'!T113,'Fund YTD Contributions'!T113)"),0.0)</f>
        <v>0</v>
      </c>
      <c r="U113" s="152">
        <f>IFERROR(__xludf.DUMMYFUNCTION("IFERROR(T113 * (1 + AVERAGE(Filter('Inflation Data'!$C:$C,'Inflation Data'!$A:$A = U$1))) + 'Fund YTD Contributions'!U113,'Fund YTD Contributions'!U113)"),0.0)</f>
        <v>0</v>
      </c>
      <c r="V113" s="152">
        <f>IFERROR(__xludf.DUMMYFUNCTION("IFERROR(U113 * (1 + AVERAGE(Filter('Inflation Data'!$C:$C,'Inflation Data'!$A:$A = V$1))) + 'Fund YTD Contributions'!V113,'Fund YTD Contributions'!V113)"),0.0)</f>
        <v>0</v>
      </c>
      <c r="W113" s="152">
        <f>IFERROR(__xludf.DUMMYFUNCTION("IFERROR(V113 * (1 + AVERAGE(Filter('Inflation Data'!$C:$C,'Inflation Data'!$A:$A = W$1))) + 'Fund YTD Contributions'!W113,'Fund YTD Contributions'!W113)"),0.0)</f>
        <v>0</v>
      </c>
      <c r="X113" s="152">
        <f>IFERROR(__xludf.DUMMYFUNCTION("IFERROR(W113 * (1 + AVERAGE(Filter('Inflation Data'!$C:$C,'Inflation Data'!$A:$A = X$1))) + 'Fund YTD Contributions'!X113,'Fund YTD Contributions'!X113)"),0.0)</f>
        <v>0</v>
      </c>
      <c r="Y113" s="152">
        <f>IFERROR(__xludf.DUMMYFUNCTION("IFERROR(X113 * (1 + AVERAGE(Filter('Inflation Data'!$C:$C,'Inflation Data'!$A:$A = Y$1))) + 'Fund YTD Contributions'!Y113,'Fund YTD Contributions'!Y113)"),0.0)</f>
        <v>0</v>
      </c>
      <c r="Z113" s="152">
        <f>IFERROR(__xludf.DUMMYFUNCTION("IFERROR(Y113 * (1 + AVERAGE(Filter('Inflation Data'!$C:$C,'Inflation Data'!$A:$A = Z$1))) + 'Fund YTD Contributions'!Z113,'Fund YTD Contributions'!Z113)"),0.0)</f>
        <v>0</v>
      </c>
      <c r="AA113" s="152">
        <f>IFERROR(__xludf.DUMMYFUNCTION("IFERROR(Z113 * (1 + AVERAGE(Filter('Inflation Data'!$C:$C,'Inflation Data'!$A:$A = AA$1))) + 'Fund YTD Contributions'!AA113,'Fund YTD Contributions'!AA113)"),0.0)</f>
        <v>0</v>
      </c>
      <c r="AB113" s="152">
        <f>IFERROR(__xludf.DUMMYFUNCTION("IFERROR(AA113 * (1 + AVERAGE(Filter('Inflation Data'!$C:$C,'Inflation Data'!$A:$A = AB$1))) + 'Fund YTD Contributions'!AB113,'Fund YTD Contributions'!AB113)"),0.0)</f>
        <v>0</v>
      </c>
      <c r="AC113" s="152">
        <f>IFERROR(__xludf.DUMMYFUNCTION("IFERROR(AB113 * (1 + AVERAGE(Filter('Inflation Data'!$C:$C,'Inflation Data'!$A:$A = AC$1))) + 'Fund YTD Contributions'!AC113,'Fund YTD Contributions'!AC113)"),0.0)</f>
        <v>0</v>
      </c>
      <c r="AD113" s="152">
        <f>IFERROR(__xludf.DUMMYFUNCTION("IFERROR(AC113 * (1 + AVERAGE(Filter('Inflation Data'!$C:$C,'Inflation Data'!$A:$A = AD$1))) + 'Fund YTD Contributions'!AD113,'Fund YTD Contributions'!AD113)"),0.0)</f>
        <v>0</v>
      </c>
      <c r="AE113" s="152">
        <f>IFERROR(__xludf.DUMMYFUNCTION("IFERROR(AD113 * (1 + AVERAGE(Filter('Inflation Data'!$C:$C,'Inflation Data'!$A:$A = AE$1))) + 'Fund YTD Contributions'!AE113,'Fund YTD Contributions'!AE113)"),0.0)</f>
        <v>0</v>
      </c>
      <c r="AF113" s="152">
        <f>IFERROR(__xludf.DUMMYFUNCTION("IFERROR(AE113 * (1 + AVERAGE(Filter('Inflation Data'!$C:$C,'Inflation Data'!$A:$A = AF$1))) + 'Fund YTD Contributions'!AF113,'Fund YTD Contributions'!AF113)"),0.0)</f>
        <v>0</v>
      </c>
    </row>
    <row r="114">
      <c r="A114" s="150" t="str">
        <f>'Endowed Funds'!A:A</f>
        <v/>
      </c>
      <c r="B114" s="152">
        <f>IFERROR(__xludf.DUMMYFUNCTION("IFERROR(A114 * (1 + AVERAGE(Filter('Inflation Data'!$C:$C,'Inflation Data'!$A:$A = B$1))) + 'Fund YTD Contributions'!B114,'Fund YTD Contributions'!B114)"),0.0)</f>
        <v>0</v>
      </c>
      <c r="C114" s="152">
        <f>IFERROR(__xludf.DUMMYFUNCTION("IFERROR(B114 * (1 + AVERAGE(Filter('Inflation Data'!$C:$C,'Inflation Data'!$A:$A = C$1))) + 'Fund YTD Contributions'!C114,'Fund YTD Contributions'!C114)"),0.0)</f>
        <v>0</v>
      </c>
      <c r="D114" s="152">
        <f>IFERROR(__xludf.DUMMYFUNCTION("IFERROR(C114 * (1 + AVERAGE(Filter('Inflation Data'!$C:$C,'Inflation Data'!$A:$A = D$1))) + 'Fund YTD Contributions'!D114,'Fund YTD Contributions'!D114)"),0.0)</f>
        <v>0</v>
      </c>
      <c r="E114" s="152">
        <f>IFERROR(__xludf.DUMMYFUNCTION("IFERROR(D114 * (1 + AVERAGE(Filter('Inflation Data'!$C:$C,'Inflation Data'!$A:$A = E$1))) + 'Fund YTD Contributions'!E114,'Fund YTD Contributions'!E114)"),0.0)</f>
        <v>0</v>
      </c>
      <c r="F114" s="152">
        <f>IFERROR(__xludf.DUMMYFUNCTION("IFERROR(E114 * (1 + AVERAGE(Filter('Inflation Data'!$C:$C,'Inflation Data'!$A:$A = F$1))) + 'Fund YTD Contributions'!F114,'Fund YTD Contributions'!F114)"),0.0)</f>
        <v>0</v>
      </c>
      <c r="G114" s="152">
        <f>IFERROR(__xludf.DUMMYFUNCTION("IFERROR(F114 * (1 + AVERAGE(Filter('Inflation Data'!$C:$C,'Inflation Data'!$A:$A = G$1))) + 'Fund YTD Contributions'!G114,'Fund YTD Contributions'!G114)"),0.0)</f>
        <v>0</v>
      </c>
      <c r="H114" s="152">
        <f>IFERROR(__xludf.DUMMYFUNCTION("IFERROR(G114 * (1 + AVERAGE(Filter('Inflation Data'!$C:$C,'Inflation Data'!$A:$A = H$1))) + 'Fund YTD Contributions'!H114,'Fund YTD Contributions'!H114)"),0.0)</f>
        <v>0</v>
      </c>
      <c r="I114" s="152">
        <f>IFERROR(__xludf.DUMMYFUNCTION("IFERROR(H114 * (1 + AVERAGE(Filter('Inflation Data'!$C:$C,'Inflation Data'!$A:$A = I$1))) + 'Fund YTD Contributions'!I114,'Fund YTD Contributions'!I114)"),0.0)</f>
        <v>0</v>
      </c>
      <c r="J114" s="152">
        <f>IFERROR(__xludf.DUMMYFUNCTION("IFERROR(I114 * (1 + AVERAGE(Filter('Inflation Data'!$C:$C,'Inflation Data'!$A:$A = J$1))) + 'Fund YTD Contributions'!J114,'Fund YTD Contributions'!J114)"),0.0)</f>
        <v>0</v>
      </c>
      <c r="K114" s="152">
        <f>IFERROR(__xludf.DUMMYFUNCTION("IFERROR(J114 * (1 + AVERAGE(Filter('Inflation Data'!$C:$C,'Inflation Data'!$A:$A = K$1))) + 'Fund YTD Contributions'!K114,'Fund YTD Contributions'!K114)"),0.0)</f>
        <v>0</v>
      </c>
      <c r="L114" s="152">
        <f>IFERROR(__xludf.DUMMYFUNCTION("IFERROR(K114 * (1 + AVERAGE(Filter('Inflation Data'!$C:$C,'Inflation Data'!$A:$A = L$1))) + 'Fund YTD Contributions'!L114,'Fund YTD Contributions'!L114)"),0.0)</f>
        <v>0</v>
      </c>
      <c r="M114" s="152">
        <f>IFERROR(__xludf.DUMMYFUNCTION("IFERROR(L114 * (1 + AVERAGE(Filter('Inflation Data'!$C:$C,'Inflation Data'!$A:$A = M$1))) + 'Fund YTD Contributions'!M114,'Fund YTD Contributions'!M114)"),0.0)</f>
        <v>0</v>
      </c>
      <c r="N114" s="152">
        <f>IFERROR(__xludf.DUMMYFUNCTION("IFERROR(M114 * (1 + AVERAGE(Filter('Inflation Data'!$C:$C,'Inflation Data'!$A:$A = N$1))) + 'Fund YTD Contributions'!N114,'Fund YTD Contributions'!N114)"),0.0)</f>
        <v>0</v>
      </c>
      <c r="O114" s="152">
        <f>IFERROR(__xludf.DUMMYFUNCTION("IFERROR(N114 * (1 + AVERAGE(Filter('Inflation Data'!$C:$C,'Inflation Data'!$A:$A = O$1))) + 'Fund YTD Contributions'!O114,'Fund YTD Contributions'!O114)"),0.0)</f>
        <v>0</v>
      </c>
      <c r="P114" s="152">
        <f>IFERROR(__xludf.DUMMYFUNCTION("IFERROR(O114 * (1 + AVERAGE(Filter('Inflation Data'!$C:$C,'Inflation Data'!$A:$A = P$1))) + 'Fund YTD Contributions'!P114,'Fund YTD Contributions'!P114)"),0.0)</f>
        <v>0</v>
      </c>
      <c r="Q114" s="152">
        <f>IFERROR(__xludf.DUMMYFUNCTION("IFERROR(P114 * (1 + AVERAGE(Filter('Inflation Data'!$C:$C,'Inflation Data'!$A:$A = Q$1))) + 'Fund YTD Contributions'!Q114,'Fund YTD Contributions'!Q114)"),0.0)</f>
        <v>0</v>
      </c>
      <c r="R114" s="152">
        <f>IFERROR(__xludf.DUMMYFUNCTION("IFERROR(Q114 * (1 + AVERAGE(Filter('Inflation Data'!$C:$C,'Inflation Data'!$A:$A = R$1))) + 'Fund YTD Contributions'!R114,'Fund YTD Contributions'!R114)"),0.0)</f>
        <v>0</v>
      </c>
      <c r="S114" s="152">
        <f>IFERROR(__xludf.DUMMYFUNCTION("IFERROR(R114 * (1 + AVERAGE(Filter('Inflation Data'!$C:$C,'Inflation Data'!$A:$A = S$1))) + 'Fund YTD Contributions'!S114,'Fund YTD Contributions'!S114)"),0.0)</f>
        <v>0</v>
      </c>
      <c r="T114" s="152">
        <f>IFERROR(__xludf.DUMMYFUNCTION("IFERROR(S114 * (1 + AVERAGE(Filter('Inflation Data'!$C:$C,'Inflation Data'!$A:$A = T$1))) + 'Fund YTD Contributions'!T114,'Fund YTD Contributions'!T114)"),0.0)</f>
        <v>0</v>
      </c>
      <c r="U114" s="152">
        <f>IFERROR(__xludf.DUMMYFUNCTION("IFERROR(T114 * (1 + AVERAGE(Filter('Inflation Data'!$C:$C,'Inflation Data'!$A:$A = U$1))) + 'Fund YTD Contributions'!U114,'Fund YTD Contributions'!U114)"),0.0)</f>
        <v>0</v>
      </c>
      <c r="V114" s="152">
        <f>IFERROR(__xludf.DUMMYFUNCTION("IFERROR(U114 * (1 + AVERAGE(Filter('Inflation Data'!$C:$C,'Inflation Data'!$A:$A = V$1))) + 'Fund YTD Contributions'!V114,'Fund YTD Contributions'!V114)"),0.0)</f>
        <v>0</v>
      </c>
      <c r="W114" s="152">
        <f>IFERROR(__xludf.DUMMYFUNCTION("IFERROR(V114 * (1 + AVERAGE(Filter('Inflation Data'!$C:$C,'Inflation Data'!$A:$A = W$1))) + 'Fund YTD Contributions'!W114,'Fund YTD Contributions'!W114)"),0.0)</f>
        <v>0</v>
      </c>
      <c r="X114" s="152">
        <f>IFERROR(__xludf.DUMMYFUNCTION("IFERROR(W114 * (1 + AVERAGE(Filter('Inflation Data'!$C:$C,'Inflation Data'!$A:$A = X$1))) + 'Fund YTD Contributions'!X114,'Fund YTD Contributions'!X114)"),0.0)</f>
        <v>0</v>
      </c>
      <c r="Y114" s="152">
        <f>IFERROR(__xludf.DUMMYFUNCTION("IFERROR(X114 * (1 + AVERAGE(Filter('Inflation Data'!$C:$C,'Inflation Data'!$A:$A = Y$1))) + 'Fund YTD Contributions'!Y114,'Fund YTD Contributions'!Y114)"),0.0)</f>
        <v>0</v>
      </c>
      <c r="Z114" s="152">
        <f>IFERROR(__xludf.DUMMYFUNCTION("IFERROR(Y114 * (1 + AVERAGE(Filter('Inflation Data'!$C:$C,'Inflation Data'!$A:$A = Z$1))) + 'Fund YTD Contributions'!Z114,'Fund YTD Contributions'!Z114)"),0.0)</f>
        <v>0</v>
      </c>
      <c r="AA114" s="152">
        <f>IFERROR(__xludf.DUMMYFUNCTION("IFERROR(Z114 * (1 + AVERAGE(Filter('Inflation Data'!$C:$C,'Inflation Data'!$A:$A = AA$1))) + 'Fund YTD Contributions'!AA114,'Fund YTD Contributions'!AA114)"),0.0)</f>
        <v>0</v>
      </c>
      <c r="AB114" s="152">
        <f>IFERROR(__xludf.DUMMYFUNCTION("IFERROR(AA114 * (1 + AVERAGE(Filter('Inflation Data'!$C:$C,'Inflation Data'!$A:$A = AB$1))) + 'Fund YTD Contributions'!AB114,'Fund YTD Contributions'!AB114)"),0.0)</f>
        <v>0</v>
      </c>
      <c r="AC114" s="152">
        <f>IFERROR(__xludf.DUMMYFUNCTION("IFERROR(AB114 * (1 + AVERAGE(Filter('Inflation Data'!$C:$C,'Inflation Data'!$A:$A = AC$1))) + 'Fund YTD Contributions'!AC114,'Fund YTD Contributions'!AC114)"),0.0)</f>
        <v>0</v>
      </c>
      <c r="AD114" s="152">
        <f>IFERROR(__xludf.DUMMYFUNCTION("IFERROR(AC114 * (1 + AVERAGE(Filter('Inflation Data'!$C:$C,'Inflation Data'!$A:$A = AD$1))) + 'Fund YTD Contributions'!AD114,'Fund YTD Contributions'!AD114)"),0.0)</f>
        <v>0</v>
      </c>
      <c r="AE114" s="152">
        <f>IFERROR(__xludf.DUMMYFUNCTION("IFERROR(AD114 * (1 + AVERAGE(Filter('Inflation Data'!$C:$C,'Inflation Data'!$A:$A = AE$1))) + 'Fund YTD Contributions'!AE114,'Fund YTD Contributions'!AE114)"),0.0)</f>
        <v>0</v>
      </c>
      <c r="AF114" s="152">
        <f>IFERROR(__xludf.DUMMYFUNCTION("IFERROR(AE114 * (1 + AVERAGE(Filter('Inflation Data'!$C:$C,'Inflation Data'!$A:$A = AF$1))) + 'Fund YTD Contributions'!AF114,'Fund YTD Contributions'!AF114)"),0.0)</f>
        <v>0</v>
      </c>
    </row>
    <row r="115">
      <c r="A115" s="150" t="str">
        <f>'Endowed Funds'!A:A</f>
        <v/>
      </c>
      <c r="B115" s="152">
        <f>IFERROR(__xludf.DUMMYFUNCTION("IFERROR(A115 * (1 + AVERAGE(Filter('Inflation Data'!$C:$C,'Inflation Data'!$A:$A = B$1))) + 'Fund YTD Contributions'!B115,'Fund YTD Contributions'!B115)"),0.0)</f>
        <v>0</v>
      </c>
      <c r="C115" s="152">
        <f>IFERROR(__xludf.DUMMYFUNCTION("IFERROR(B115 * (1 + AVERAGE(Filter('Inflation Data'!$C:$C,'Inflation Data'!$A:$A = C$1))) + 'Fund YTD Contributions'!C115,'Fund YTD Contributions'!C115)"),0.0)</f>
        <v>0</v>
      </c>
      <c r="D115" s="152">
        <f>IFERROR(__xludf.DUMMYFUNCTION("IFERROR(C115 * (1 + AVERAGE(Filter('Inflation Data'!$C:$C,'Inflation Data'!$A:$A = D$1))) + 'Fund YTD Contributions'!D115,'Fund YTD Contributions'!D115)"),0.0)</f>
        <v>0</v>
      </c>
      <c r="E115" s="152">
        <f>IFERROR(__xludf.DUMMYFUNCTION("IFERROR(D115 * (1 + AVERAGE(Filter('Inflation Data'!$C:$C,'Inflation Data'!$A:$A = E$1))) + 'Fund YTD Contributions'!E115,'Fund YTD Contributions'!E115)"),0.0)</f>
        <v>0</v>
      </c>
      <c r="F115" s="152">
        <f>IFERROR(__xludf.DUMMYFUNCTION("IFERROR(E115 * (1 + AVERAGE(Filter('Inflation Data'!$C:$C,'Inflation Data'!$A:$A = F$1))) + 'Fund YTD Contributions'!F115,'Fund YTD Contributions'!F115)"),0.0)</f>
        <v>0</v>
      </c>
      <c r="G115" s="152">
        <f>IFERROR(__xludf.DUMMYFUNCTION("IFERROR(F115 * (1 + AVERAGE(Filter('Inflation Data'!$C:$C,'Inflation Data'!$A:$A = G$1))) + 'Fund YTD Contributions'!G115,'Fund YTD Contributions'!G115)"),0.0)</f>
        <v>0</v>
      </c>
      <c r="H115" s="152">
        <f>IFERROR(__xludf.DUMMYFUNCTION("IFERROR(G115 * (1 + AVERAGE(Filter('Inflation Data'!$C:$C,'Inflation Data'!$A:$A = H$1))) + 'Fund YTD Contributions'!H115,'Fund YTD Contributions'!H115)"),0.0)</f>
        <v>0</v>
      </c>
      <c r="I115" s="152">
        <f>IFERROR(__xludf.DUMMYFUNCTION("IFERROR(H115 * (1 + AVERAGE(Filter('Inflation Data'!$C:$C,'Inflation Data'!$A:$A = I$1))) + 'Fund YTD Contributions'!I115,'Fund YTD Contributions'!I115)"),0.0)</f>
        <v>0</v>
      </c>
      <c r="J115" s="152">
        <f>IFERROR(__xludf.DUMMYFUNCTION("IFERROR(I115 * (1 + AVERAGE(Filter('Inflation Data'!$C:$C,'Inflation Data'!$A:$A = J$1))) + 'Fund YTD Contributions'!J115,'Fund YTD Contributions'!J115)"),0.0)</f>
        <v>0</v>
      </c>
      <c r="K115" s="152">
        <f>IFERROR(__xludf.DUMMYFUNCTION("IFERROR(J115 * (1 + AVERAGE(Filter('Inflation Data'!$C:$C,'Inflation Data'!$A:$A = K$1))) + 'Fund YTD Contributions'!K115,'Fund YTD Contributions'!K115)"),0.0)</f>
        <v>0</v>
      </c>
      <c r="L115" s="152">
        <f>IFERROR(__xludf.DUMMYFUNCTION("IFERROR(K115 * (1 + AVERAGE(Filter('Inflation Data'!$C:$C,'Inflation Data'!$A:$A = L$1))) + 'Fund YTD Contributions'!L115,'Fund YTD Contributions'!L115)"),0.0)</f>
        <v>0</v>
      </c>
      <c r="M115" s="152">
        <f>IFERROR(__xludf.DUMMYFUNCTION("IFERROR(L115 * (1 + AVERAGE(Filter('Inflation Data'!$C:$C,'Inflation Data'!$A:$A = M$1))) + 'Fund YTD Contributions'!M115,'Fund YTD Contributions'!M115)"),0.0)</f>
        <v>0</v>
      </c>
      <c r="N115" s="152">
        <f>IFERROR(__xludf.DUMMYFUNCTION("IFERROR(M115 * (1 + AVERAGE(Filter('Inflation Data'!$C:$C,'Inflation Data'!$A:$A = N$1))) + 'Fund YTD Contributions'!N115,'Fund YTD Contributions'!N115)"),0.0)</f>
        <v>0</v>
      </c>
      <c r="O115" s="152">
        <f>IFERROR(__xludf.DUMMYFUNCTION("IFERROR(N115 * (1 + AVERAGE(Filter('Inflation Data'!$C:$C,'Inflation Data'!$A:$A = O$1))) + 'Fund YTD Contributions'!O115,'Fund YTD Contributions'!O115)"),0.0)</f>
        <v>0</v>
      </c>
      <c r="P115" s="152">
        <f>IFERROR(__xludf.DUMMYFUNCTION("IFERROR(O115 * (1 + AVERAGE(Filter('Inflation Data'!$C:$C,'Inflation Data'!$A:$A = P$1))) + 'Fund YTD Contributions'!P115,'Fund YTD Contributions'!P115)"),0.0)</f>
        <v>0</v>
      </c>
      <c r="Q115" s="152">
        <f>IFERROR(__xludf.DUMMYFUNCTION("IFERROR(P115 * (1 + AVERAGE(Filter('Inflation Data'!$C:$C,'Inflation Data'!$A:$A = Q$1))) + 'Fund YTD Contributions'!Q115,'Fund YTD Contributions'!Q115)"),0.0)</f>
        <v>0</v>
      </c>
      <c r="R115" s="152">
        <f>IFERROR(__xludf.DUMMYFUNCTION("IFERROR(Q115 * (1 + AVERAGE(Filter('Inflation Data'!$C:$C,'Inflation Data'!$A:$A = R$1))) + 'Fund YTD Contributions'!R115,'Fund YTD Contributions'!R115)"),0.0)</f>
        <v>0</v>
      </c>
      <c r="S115" s="152">
        <f>IFERROR(__xludf.DUMMYFUNCTION("IFERROR(R115 * (1 + AVERAGE(Filter('Inflation Data'!$C:$C,'Inflation Data'!$A:$A = S$1))) + 'Fund YTD Contributions'!S115,'Fund YTD Contributions'!S115)"),0.0)</f>
        <v>0</v>
      </c>
      <c r="T115" s="152">
        <f>IFERROR(__xludf.DUMMYFUNCTION("IFERROR(S115 * (1 + AVERAGE(Filter('Inflation Data'!$C:$C,'Inflation Data'!$A:$A = T$1))) + 'Fund YTD Contributions'!T115,'Fund YTD Contributions'!T115)"),0.0)</f>
        <v>0</v>
      </c>
      <c r="U115" s="152">
        <f>IFERROR(__xludf.DUMMYFUNCTION("IFERROR(T115 * (1 + AVERAGE(Filter('Inflation Data'!$C:$C,'Inflation Data'!$A:$A = U$1))) + 'Fund YTD Contributions'!U115,'Fund YTD Contributions'!U115)"),0.0)</f>
        <v>0</v>
      </c>
      <c r="V115" s="152">
        <f>IFERROR(__xludf.DUMMYFUNCTION("IFERROR(U115 * (1 + AVERAGE(Filter('Inflation Data'!$C:$C,'Inflation Data'!$A:$A = V$1))) + 'Fund YTD Contributions'!V115,'Fund YTD Contributions'!V115)"),0.0)</f>
        <v>0</v>
      </c>
      <c r="W115" s="152">
        <f>IFERROR(__xludf.DUMMYFUNCTION("IFERROR(V115 * (1 + AVERAGE(Filter('Inflation Data'!$C:$C,'Inflation Data'!$A:$A = W$1))) + 'Fund YTD Contributions'!W115,'Fund YTD Contributions'!W115)"),0.0)</f>
        <v>0</v>
      </c>
      <c r="X115" s="152">
        <f>IFERROR(__xludf.DUMMYFUNCTION("IFERROR(W115 * (1 + AVERAGE(Filter('Inflation Data'!$C:$C,'Inflation Data'!$A:$A = X$1))) + 'Fund YTD Contributions'!X115,'Fund YTD Contributions'!X115)"),0.0)</f>
        <v>0</v>
      </c>
      <c r="Y115" s="152">
        <f>IFERROR(__xludf.DUMMYFUNCTION("IFERROR(X115 * (1 + AVERAGE(Filter('Inflation Data'!$C:$C,'Inflation Data'!$A:$A = Y$1))) + 'Fund YTD Contributions'!Y115,'Fund YTD Contributions'!Y115)"),0.0)</f>
        <v>0</v>
      </c>
      <c r="Z115" s="152">
        <f>IFERROR(__xludf.DUMMYFUNCTION("IFERROR(Y115 * (1 + AVERAGE(Filter('Inflation Data'!$C:$C,'Inflation Data'!$A:$A = Z$1))) + 'Fund YTD Contributions'!Z115,'Fund YTD Contributions'!Z115)"),0.0)</f>
        <v>0</v>
      </c>
      <c r="AA115" s="152">
        <f>IFERROR(__xludf.DUMMYFUNCTION("IFERROR(Z115 * (1 + AVERAGE(Filter('Inflation Data'!$C:$C,'Inflation Data'!$A:$A = AA$1))) + 'Fund YTD Contributions'!AA115,'Fund YTD Contributions'!AA115)"),0.0)</f>
        <v>0</v>
      </c>
      <c r="AB115" s="152">
        <f>IFERROR(__xludf.DUMMYFUNCTION("IFERROR(AA115 * (1 + AVERAGE(Filter('Inflation Data'!$C:$C,'Inflation Data'!$A:$A = AB$1))) + 'Fund YTD Contributions'!AB115,'Fund YTD Contributions'!AB115)"),0.0)</f>
        <v>0</v>
      </c>
      <c r="AC115" s="152">
        <f>IFERROR(__xludf.DUMMYFUNCTION("IFERROR(AB115 * (1 + AVERAGE(Filter('Inflation Data'!$C:$C,'Inflation Data'!$A:$A = AC$1))) + 'Fund YTD Contributions'!AC115,'Fund YTD Contributions'!AC115)"),0.0)</f>
        <v>0</v>
      </c>
      <c r="AD115" s="152">
        <f>IFERROR(__xludf.DUMMYFUNCTION("IFERROR(AC115 * (1 + AVERAGE(Filter('Inflation Data'!$C:$C,'Inflation Data'!$A:$A = AD$1))) + 'Fund YTD Contributions'!AD115,'Fund YTD Contributions'!AD115)"),0.0)</f>
        <v>0</v>
      </c>
      <c r="AE115" s="152">
        <f>IFERROR(__xludf.DUMMYFUNCTION("IFERROR(AD115 * (1 + AVERAGE(Filter('Inflation Data'!$C:$C,'Inflation Data'!$A:$A = AE$1))) + 'Fund YTD Contributions'!AE115,'Fund YTD Contributions'!AE115)"),0.0)</f>
        <v>0</v>
      </c>
      <c r="AF115" s="152">
        <f>IFERROR(__xludf.DUMMYFUNCTION("IFERROR(AE115 * (1 + AVERAGE(Filter('Inflation Data'!$C:$C,'Inflation Data'!$A:$A = AF$1))) + 'Fund YTD Contributions'!AF115,'Fund YTD Contributions'!AF115)"),0.0)</f>
        <v>0</v>
      </c>
    </row>
    <row r="116">
      <c r="A116" s="150" t="str">
        <f>'Endowed Funds'!A:A</f>
        <v/>
      </c>
      <c r="B116" s="152">
        <f>IFERROR(__xludf.DUMMYFUNCTION("IFERROR(A116 * (1 + AVERAGE(Filter('Inflation Data'!$C:$C,'Inflation Data'!$A:$A = B$1))) + 'Fund YTD Contributions'!B116,'Fund YTD Contributions'!B116)"),0.0)</f>
        <v>0</v>
      </c>
      <c r="C116" s="152">
        <f>IFERROR(__xludf.DUMMYFUNCTION("IFERROR(B116 * (1 + AVERAGE(Filter('Inflation Data'!$C:$C,'Inflation Data'!$A:$A = C$1))) + 'Fund YTD Contributions'!C116,'Fund YTD Contributions'!C116)"),0.0)</f>
        <v>0</v>
      </c>
      <c r="D116" s="152">
        <f>IFERROR(__xludf.DUMMYFUNCTION("IFERROR(C116 * (1 + AVERAGE(Filter('Inflation Data'!$C:$C,'Inflation Data'!$A:$A = D$1))) + 'Fund YTD Contributions'!D116,'Fund YTD Contributions'!D116)"),0.0)</f>
        <v>0</v>
      </c>
      <c r="E116" s="152">
        <f>IFERROR(__xludf.DUMMYFUNCTION("IFERROR(D116 * (1 + AVERAGE(Filter('Inflation Data'!$C:$C,'Inflation Data'!$A:$A = E$1))) + 'Fund YTD Contributions'!E116,'Fund YTD Contributions'!E116)"),0.0)</f>
        <v>0</v>
      </c>
      <c r="F116" s="152">
        <f>IFERROR(__xludf.DUMMYFUNCTION("IFERROR(E116 * (1 + AVERAGE(Filter('Inflation Data'!$C:$C,'Inflation Data'!$A:$A = F$1))) + 'Fund YTD Contributions'!F116,'Fund YTD Contributions'!F116)"),0.0)</f>
        <v>0</v>
      </c>
      <c r="G116" s="152">
        <f>IFERROR(__xludf.DUMMYFUNCTION("IFERROR(F116 * (1 + AVERAGE(Filter('Inflation Data'!$C:$C,'Inflation Data'!$A:$A = G$1))) + 'Fund YTD Contributions'!G116,'Fund YTD Contributions'!G116)"),0.0)</f>
        <v>0</v>
      </c>
      <c r="H116" s="152">
        <f>IFERROR(__xludf.DUMMYFUNCTION("IFERROR(G116 * (1 + AVERAGE(Filter('Inflation Data'!$C:$C,'Inflation Data'!$A:$A = H$1))) + 'Fund YTD Contributions'!H116,'Fund YTD Contributions'!H116)"),0.0)</f>
        <v>0</v>
      </c>
      <c r="I116" s="152">
        <f>IFERROR(__xludf.DUMMYFUNCTION("IFERROR(H116 * (1 + AVERAGE(Filter('Inflation Data'!$C:$C,'Inflation Data'!$A:$A = I$1))) + 'Fund YTD Contributions'!I116,'Fund YTD Contributions'!I116)"),0.0)</f>
        <v>0</v>
      </c>
      <c r="J116" s="152">
        <f>IFERROR(__xludf.DUMMYFUNCTION("IFERROR(I116 * (1 + AVERAGE(Filter('Inflation Data'!$C:$C,'Inflation Data'!$A:$A = J$1))) + 'Fund YTD Contributions'!J116,'Fund YTD Contributions'!J116)"),0.0)</f>
        <v>0</v>
      </c>
      <c r="K116" s="152">
        <f>IFERROR(__xludf.DUMMYFUNCTION("IFERROR(J116 * (1 + AVERAGE(Filter('Inflation Data'!$C:$C,'Inflation Data'!$A:$A = K$1))) + 'Fund YTD Contributions'!K116,'Fund YTD Contributions'!K116)"),0.0)</f>
        <v>0</v>
      </c>
      <c r="L116" s="152">
        <f>IFERROR(__xludf.DUMMYFUNCTION("IFERROR(K116 * (1 + AVERAGE(Filter('Inflation Data'!$C:$C,'Inflation Data'!$A:$A = L$1))) + 'Fund YTD Contributions'!L116,'Fund YTD Contributions'!L116)"),0.0)</f>
        <v>0</v>
      </c>
      <c r="M116" s="152">
        <f>IFERROR(__xludf.DUMMYFUNCTION("IFERROR(L116 * (1 + AVERAGE(Filter('Inflation Data'!$C:$C,'Inflation Data'!$A:$A = M$1))) + 'Fund YTD Contributions'!M116,'Fund YTD Contributions'!M116)"),0.0)</f>
        <v>0</v>
      </c>
      <c r="N116" s="152">
        <f>IFERROR(__xludf.DUMMYFUNCTION("IFERROR(M116 * (1 + AVERAGE(Filter('Inflation Data'!$C:$C,'Inflation Data'!$A:$A = N$1))) + 'Fund YTD Contributions'!N116,'Fund YTD Contributions'!N116)"),0.0)</f>
        <v>0</v>
      </c>
      <c r="O116" s="152">
        <f>IFERROR(__xludf.DUMMYFUNCTION("IFERROR(N116 * (1 + AVERAGE(Filter('Inflation Data'!$C:$C,'Inflation Data'!$A:$A = O$1))) + 'Fund YTD Contributions'!O116,'Fund YTD Contributions'!O116)"),0.0)</f>
        <v>0</v>
      </c>
      <c r="P116" s="152">
        <f>IFERROR(__xludf.DUMMYFUNCTION("IFERROR(O116 * (1 + AVERAGE(Filter('Inflation Data'!$C:$C,'Inflation Data'!$A:$A = P$1))) + 'Fund YTD Contributions'!P116,'Fund YTD Contributions'!P116)"),0.0)</f>
        <v>0</v>
      </c>
      <c r="Q116" s="152">
        <f>IFERROR(__xludf.DUMMYFUNCTION("IFERROR(P116 * (1 + AVERAGE(Filter('Inflation Data'!$C:$C,'Inflation Data'!$A:$A = Q$1))) + 'Fund YTD Contributions'!Q116,'Fund YTD Contributions'!Q116)"),0.0)</f>
        <v>0</v>
      </c>
      <c r="R116" s="152">
        <f>IFERROR(__xludf.DUMMYFUNCTION("IFERROR(Q116 * (1 + AVERAGE(Filter('Inflation Data'!$C:$C,'Inflation Data'!$A:$A = R$1))) + 'Fund YTD Contributions'!R116,'Fund YTD Contributions'!R116)"),0.0)</f>
        <v>0</v>
      </c>
      <c r="S116" s="152">
        <f>IFERROR(__xludf.DUMMYFUNCTION("IFERROR(R116 * (1 + AVERAGE(Filter('Inflation Data'!$C:$C,'Inflation Data'!$A:$A = S$1))) + 'Fund YTD Contributions'!S116,'Fund YTD Contributions'!S116)"),0.0)</f>
        <v>0</v>
      </c>
      <c r="T116" s="152">
        <f>IFERROR(__xludf.DUMMYFUNCTION("IFERROR(S116 * (1 + AVERAGE(Filter('Inflation Data'!$C:$C,'Inflation Data'!$A:$A = T$1))) + 'Fund YTD Contributions'!T116,'Fund YTD Contributions'!T116)"),0.0)</f>
        <v>0</v>
      </c>
      <c r="U116" s="152">
        <f>IFERROR(__xludf.DUMMYFUNCTION("IFERROR(T116 * (1 + AVERAGE(Filter('Inflation Data'!$C:$C,'Inflation Data'!$A:$A = U$1))) + 'Fund YTD Contributions'!U116,'Fund YTD Contributions'!U116)"),0.0)</f>
        <v>0</v>
      </c>
      <c r="V116" s="152">
        <f>IFERROR(__xludf.DUMMYFUNCTION("IFERROR(U116 * (1 + AVERAGE(Filter('Inflation Data'!$C:$C,'Inflation Data'!$A:$A = V$1))) + 'Fund YTD Contributions'!V116,'Fund YTD Contributions'!V116)"),0.0)</f>
        <v>0</v>
      </c>
      <c r="W116" s="152">
        <f>IFERROR(__xludf.DUMMYFUNCTION("IFERROR(V116 * (1 + AVERAGE(Filter('Inflation Data'!$C:$C,'Inflation Data'!$A:$A = W$1))) + 'Fund YTD Contributions'!W116,'Fund YTD Contributions'!W116)"),0.0)</f>
        <v>0</v>
      </c>
      <c r="X116" s="152">
        <f>IFERROR(__xludf.DUMMYFUNCTION("IFERROR(W116 * (1 + AVERAGE(Filter('Inflation Data'!$C:$C,'Inflation Data'!$A:$A = X$1))) + 'Fund YTD Contributions'!X116,'Fund YTD Contributions'!X116)"),0.0)</f>
        <v>0</v>
      </c>
      <c r="Y116" s="152">
        <f>IFERROR(__xludf.DUMMYFUNCTION("IFERROR(X116 * (1 + AVERAGE(Filter('Inflation Data'!$C:$C,'Inflation Data'!$A:$A = Y$1))) + 'Fund YTD Contributions'!Y116,'Fund YTD Contributions'!Y116)"),0.0)</f>
        <v>0</v>
      </c>
      <c r="Z116" s="152">
        <f>IFERROR(__xludf.DUMMYFUNCTION("IFERROR(Y116 * (1 + AVERAGE(Filter('Inflation Data'!$C:$C,'Inflation Data'!$A:$A = Z$1))) + 'Fund YTD Contributions'!Z116,'Fund YTD Contributions'!Z116)"),0.0)</f>
        <v>0</v>
      </c>
      <c r="AA116" s="152">
        <f>IFERROR(__xludf.DUMMYFUNCTION("IFERROR(Z116 * (1 + AVERAGE(Filter('Inflation Data'!$C:$C,'Inflation Data'!$A:$A = AA$1))) + 'Fund YTD Contributions'!AA116,'Fund YTD Contributions'!AA116)"),0.0)</f>
        <v>0</v>
      </c>
      <c r="AB116" s="152">
        <f>IFERROR(__xludf.DUMMYFUNCTION("IFERROR(AA116 * (1 + AVERAGE(Filter('Inflation Data'!$C:$C,'Inflation Data'!$A:$A = AB$1))) + 'Fund YTD Contributions'!AB116,'Fund YTD Contributions'!AB116)"),0.0)</f>
        <v>0</v>
      </c>
      <c r="AC116" s="152">
        <f>IFERROR(__xludf.DUMMYFUNCTION("IFERROR(AB116 * (1 + AVERAGE(Filter('Inflation Data'!$C:$C,'Inflation Data'!$A:$A = AC$1))) + 'Fund YTD Contributions'!AC116,'Fund YTD Contributions'!AC116)"),0.0)</f>
        <v>0</v>
      </c>
      <c r="AD116" s="152">
        <f>IFERROR(__xludf.DUMMYFUNCTION("IFERROR(AC116 * (1 + AVERAGE(Filter('Inflation Data'!$C:$C,'Inflation Data'!$A:$A = AD$1))) + 'Fund YTD Contributions'!AD116,'Fund YTD Contributions'!AD116)"),0.0)</f>
        <v>0</v>
      </c>
      <c r="AE116" s="152">
        <f>IFERROR(__xludf.DUMMYFUNCTION("IFERROR(AD116 * (1 + AVERAGE(Filter('Inflation Data'!$C:$C,'Inflation Data'!$A:$A = AE$1))) + 'Fund YTD Contributions'!AE116,'Fund YTD Contributions'!AE116)"),0.0)</f>
        <v>0</v>
      </c>
      <c r="AF116" s="152">
        <f>IFERROR(__xludf.DUMMYFUNCTION("IFERROR(AE116 * (1 + AVERAGE(Filter('Inflation Data'!$C:$C,'Inflation Data'!$A:$A = AF$1))) + 'Fund YTD Contributions'!AF116,'Fund YTD Contributions'!AF116)"),0.0)</f>
        <v>0</v>
      </c>
    </row>
    <row r="117">
      <c r="A117" s="150" t="str">
        <f>'Endowed Funds'!A:A</f>
        <v/>
      </c>
      <c r="B117" s="152">
        <f>IFERROR(__xludf.DUMMYFUNCTION("IFERROR(A117 * (1 + AVERAGE(Filter('Inflation Data'!$C:$C,'Inflation Data'!$A:$A = B$1))) + 'Fund YTD Contributions'!B117,'Fund YTD Contributions'!B117)"),0.0)</f>
        <v>0</v>
      </c>
      <c r="C117" s="152">
        <f>IFERROR(__xludf.DUMMYFUNCTION("IFERROR(B117 * (1 + AVERAGE(Filter('Inflation Data'!$C:$C,'Inflation Data'!$A:$A = C$1))) + 'Fund YTD Contributions'!C117,'Fund YTD Contributions'!C117)"),0.0)</f>
        <v>0</v>
      </c>
      <c r="D117" s="152">
        <f>IFERROR(__xludf.DUMMYFUNCTION("IFERROR(C117 * (1 + AVERAGE(Filter('Inflation Data'!$C:$C,'Inflation Data'!$A:$A = D$1))) + 'Fund YTD Contributions'!D117,'Fund YTD Contributions'!D117)"),0.0)</f>
        <v>0</v>
      </c>
      <c r="E117" s="152">
        <f>IFERROR(__xludf.DUMMYFUNCTION("IFERROR(D117 * (1 + AVERAGE(Filter('Inflation Data'!$C:$C,'Inflation Data'!$A:$A = E$1))) + 'Fund YTD Contributions'!E117,'Fund YTD Contributions'!E117)"),0.0)</f>
        <v>0</v>
      </c>
      <c r="F117" s="152">
        <f>IFERROR(__xludf.DUMMYFUNCTION("IFERROR(E117 * (1 + AVERAGE(Filter('Inflation Data'!$C:$C,'Inflation Data'!$A:$A = F$1))) + 'Fund YTD Contributions'!F117,'Fund YTD Contributions'!F117)"),0.0)</f>
        <v>0</v>
      </c>
      <c r="G117" s="152">
        <f>IFERROR(__xludf.DUMMYFUNCTION("IFERROR(F117 * (1 + AVERAGE(Filter('Inflation Data'!$C:$C,'Inflation Data'!$A:$A = G$1))) + 'Fund YTD Contributions'!G117,'Fund YTD Contributions'!G117)"),0.0)</f>
        <v>0</v>
      </c>
      <c r="H117" s="152">
        <f>IFERROR(__xludf.DUMMYFUNCTION("IFERROR(G117 * (1 + AVERAGE(Filter('Inflation Data'!$C:$C,'Inflation Data'!$A:$A = H$1))) + 'Fund YTD Contributions'!H117,'Fund YTD Contributions'!H117)"),0.0)</f>
        <v>0</v>
      </c>
      <c r="I117" s="152">
        <f>IFERROR(__xludf.DUMMYFUNCTION("IFERROR(H117 * (1 + AVERAGE(Filter('Inflation Data'!$C:$C,'Inflation Data'!$A:$A = I$1))) + 'Fund YTD Contributions'!I117,'Fund YTD Contributions'!I117)"),0.0)</f>
        <v>0</v>
      </c>
      <c r="J117" s="152">
        <f>IFERROR(__xludf.DUMMYFUNCTION("IFERROR(I117 * (1 + AVERAGE(Filter('Inflation Data'!$C:$C,'Inflation Data'!$A:$A = J$1))) + 'Fund YTD Contributions'!J117,'Fund YTD Contributions'!J117)"),0.0)</f>
        <v>0</v>
      </c>
      <c r="K117" s="152">
        <f>IFERROR(__xludf.DUMMYFUNCTION("IFERROR(J117 * (1 + AVERAGE(Filter('Inflation Data'!$C:$C,'Inflation Data'!$A:$A = K$1))) + 'Fund YTD Contributions'!K117,'Fund YTD Contributions'!K117)"),0.0)</f>
        <v>0</v>
      </c>
      <c r="L117" s="152">
        <f>IFERROR(__xludf.DUMMYFUNCTION("IFERROR(K117 * (1 + AVERAGE(Filter('Inflation Data'!$C:$C,'Inflation Data'!$A:$A = L$1))) + 'Fund YTD Contributions'!L117,'Fund YTD Contributions'!L117)"),0.0)</f>
        <v>0</v>
      </c>
      <c r="M117" s="152">
        <f>IFERROR(__xludf.DUMMYFUNCTION("IFERROR(L117 * (1 + AVERAGE(Filter('Inflation Data'!$C:$C,'Inflation Data'!$A:$A = M$1))) + 'Fund YTD Contributions'!M117,'Fund YTD Contributions'!M117)"),0.0)</f>
        <v>0</v>
      </c>
      <c r="N117" s="152">
        <f>IFERROR(__xludf.DUMMYFUNCTION("IFERROR(M117 * (1 + AVERAGE(Filter('Inflation Data'!$C:$C,'Inflation Data'!$A:$A = N$1))) + 'Fund YTD Contributions'!N117,'Fund YTD Contributions'!N117)"),0.0)</f>
        <v>0</v>
      </c>
      <c r="O117" s="152">
        <f>IFERROR(__xludf.DUMMYFUNCTION("IFERROR(N117 * (1 + AVERAGE(Filter('Inflation Data'!$C:$C,'Inflation Data'!$A:$A = O$1))) + 'Fund YTD Contributions'!O117,'Fund YTD Contributions'!O117)"),0.0)</f>
        <v>0</v>
      </c>
      <c r="P117" s="152">
        <f>IFERROR(__xludf.DUMMYFUNCTION("IFERROR(O117 * (1 + AVERAGE(Filter('Inflation Data'!$C:$C,'Inflation Data'!$A:$A = P$1))) + 'Fund YTD Contributions'!P117,'Fund YTD Contributions'!P117)"),0.0)</f>
        <v>0</v>
      </c>
      <c r="Q117" s="152">
        <f>IFERROR(__xludf.DUMMYFUNCTION("IFERROR(P117 * (1 + AVERAGE(Filter('Inflation Data'!$C:$C,'Inflation Data'!$A:$A = Q$1))) + 'Fund YTD Contributions'!Q117,'Fund YTD Contributions'!Q117)"),0.0)</f>
        <v>0</v>
      </c>
      <c r="R117" s="152">
        <f>IFERROR(__xludf.DUMMYFUNCTION("IFERROR(Q117 * (1 + AVERAGE(Filter('Inflation Data'!$C:$C,'Inflation Data'!$A:$A = R$1))) + 'Fund YTD Contributions'!R117,'Fund YTD Contributions'!R117)"),0.0)</f>
        <v>0</v>
      </c>
      <c r="S117" s="152">
        <f>IFERROR(__xludf.DUMMYFUNCTION("IFERROR(R117 * (1 + AVERAGE(Filter('Inflation Data'!$C:$C,'Inflation Data'!$A:$A = S$1))) + 'Fund YTD Contributions'!S117,'Fund YTD Contributions'!S117)"),0.0)</f>
        <v>0</v>
      </c>
      <c r="T117" s="152">
        <f>IFERROR(__xludf.DUMMYFUNCTION("IFERROR(S117 * (1 + AVERAGE(Filter('Inflation Data'!$C:$C,'Inflation Data'!$A:$A = T$1))) + 'Fund YTD Contributions'!T117,'Fund YTD Contributions'!T117)"),0.0)</f>
        <v>0</v>
      </c>
      <c r="U117" s="152">
        <f>IFERROR(__xludf.DUMMYFUNCTION("IFERROR(T117 * (1 + AVERAGE(Filter('Inflation Data'!$C:$C,'Inflation Data'!$A:$A = U$1))) + 'Fund YTD Contributions'!U117,'Fund YTD Contributions'!U117)"),0.0)</f>
        <v>0</v>
      </c>
      <c r="V117" s="152">
        <f>IFERROR(__xludf.DUMMYFUNCTION("IFERROR(U117 * (1 + AVERAGE(Filter('Inflation Data'!$C:$C,'Inflation Data'!$A:$A = V$1))) + 'Fund YTD Contributions'!V117,'Fund YTD Contributions'!V117)"),0.0)</f>
        <v>0</v>
      </c>
      <c r="W117" s="152">
        <f>IFERROR(__xludf.DUMMYFUNCTION("IFERROR(V117 * (1 + AVERAGE(Filter('Inflation Data'!$C:$C,'Inflation Data'!$A:$A = W$1))) + 'Fund YTD Contributions'!W117,'Fund YTD Contributions'!W117)"),0.0)</f>
        <v>0</v>
      </c>
      <c r="X117" s="152">
        <f>IFERROR(__xludf.DUMMYFUNCTION("IFERROR(W117 * (1 + AVERAGE(Filter('Inflation Data'!$C:$C,'Inflation Data'!$A:$A = X$1))) + 'Fund YTD Contributions'!X117,'Fund YTD Contributions'!X117)"),0.0)</f>
        <v>0</v>
      </c>
      <c r="Y117" s="152">
        <f>IFERROR(__xludf.DUMMYFUNCTION("IFERROR(X117 * (1 + AVERAGE(Filter('Inflation Data'!$C:$C,'Inflation Data'!$A:$A = Y$1))) + 'Fund YTD Contributions'!Y117,'Fund YTD Contributions'!Y117)"),0.0)</f>
        <v>0</v>
      </c>
      <c r="Z117" s="152">
        <f>IFERROR(__xludf.DUMMYFUNCTION("IFERROR(Y117 * (1 + AVERAGE(Filter('Inflation Data'!$C:$C,'Inflation Data'!$A:$A = Z$1))) + 'Fund YTD Contributions'!Z117,'Fund YTD Contributions'!Z117)"),0.0)</f>
        <v>0</v>
      </c>
      <c r="AA117" s="152">
        <f>IFERROR(__xludf.DUMMYFUNCTION("IFERROR(Z117 * (1 + AVERAGE(Filter('Inflation Data'!$C:$C,'Inflation Data'!$A:$A = AA$1))) + 'Fund YTD Contributions'!AA117,'Fund YTD Contributions'!AA117)"),0.0)</f>
        <v>0</v>
      </c>
      <c r="AB117" s="152">
        <f>IFERROR(__xludf.DUMMYFUNCTION("IFERROR(AA117 * (1 + AVERAGE(Filter('Inflation Data'!$C:$C,'Inflation Data'!$A:$A = AB$1))) + 'Fund YTD Contributions'!AB117,'Fund YTD Contributions'!AB117)"),0.0)</f>
        <v>0</v>
      </c>
      <c r="AC117" s="152">
        <f>IFERROR(__xludf.DUMMYFUNCTION("IFERROR(AB117 * (1 + AVERAGE(Filter('Inflation Data'!$C:$C,'Inflation Data'!$A:$A = AC$1))) + 'Fund YTD Contributions'!AC117,'Fund YTD Contributions'!AC117)"),0.0)</f>
        <v>0</v>
      </c>
      <c r="AD117" s="152">
        <f>IFERROR(__xludf.DUMMYFUNCTION("IFERROR(AC117 * (1 + AVERAGE(Filter('Inflation Data'!$C:$C,'Inflation Data'!$A:$A = AD$1))) + 'Fund YTD Contributions'!AD117,'Fund YTD Contributions'!AD117)"),0.0)</f>
        <v>0</v>
      </c>
      <c r="AE117" s="152">
        <f>IFERROR(__xludf.DUMMYFUNCTION("IFERROR(AD117 * (1 + AVERAGE(Filter('Inflation Data'!$C:$C,'Inflation Data'!$A:$A = AE$1))) + 'Fund YTD Contributions'!AE117,'Fund YTD Contributions'!AE117)"),0.0)</f>
        <v>0</v>
      </c>
      <c r="AF117" s="152">
        <f>IFERROR(__xludf.DUMMYFUNCTION("IFERROR(AE117 * (1 + AVERAGE(Filter('Inflation Data'!$C:$C,'Inflation Data'!$A:$A = AF$1))) + 'Fund YTD Contributions'!AF117,'Fund YTD Contributions'!AF117)"),0.0)</f>
        <v>0</v>
      </c>
    </row>
    <row r="118">
      <c r="A118" s="150" t="str">
        <f>'Endowed Funds'!A:A</f>
        <v/>
      </c>
      <c r="B118" s="152">
        <f>IFERROR(__xludf.DUMMYFUNCTION("IFERROR(A118 * (1 + AVERAGE(Filter('Inflation Data'!$C:$C,'Inflation Data'!$A:$A = B$1))) + 'Fund YTD Contributions'!B118,'Fund YTD Contributions'!B118)"),0.0)</f>
        <v>0</v>
      </c>
      <c r="C118" s="152">
        <f>IFERROR(__xludf.DUMMYFUNCTION("IFERROR(B118 * (1 + AVERAGE(Filter('Inflation Data'!$C:$C,'Inflation Data'!$A:$A = C$1))) + 'Fund YTD Contributions'!C118,'Fund YTD Contributions'!C118)"),0.0)</f>
        <v>0</v>
      </c>
      <c r="D118" s="152">
        <f>IFERROR(__xludf.DUMMYFUNCTION("IFERROR(C118 * (1 + AVERAGE(Filter('Inflation Data'!$C:$C,'Inflation Data'!$A:$A = D$1))) + 'Fund YTD Contributions'!D118,'Fund YTD Contributions'!D118)"),0.0)</f>
        <v>0</v>
      </c>
      <c r="E118" s="152">
        <f>IFERROR(__xludf.DUMMYFUNCTION("IFERROR(D118 * (1 + AVERAGE(Filter('Inflation Data'!$C:$C,'Inflation Data'!$A:$A = E$1))) + 'Fund YTD Contributions'!E118,'Fund YTD Contributions'!E118)"),0.0)</f>
        <v>0</v>
      </c>
      <c r="F118" s="152">
        <f>IFERROR(__xludf.DUMMYFUNCTION("IFERROR(E118 * (1 + AVERAGE(Filter('Inflation Data'!$C:$C,'Inflation Data'!$A:$A = F$1))) + 'Fund YTD Contributions'!F118,'Fund YTD Contributions'!F118)"),0.0)</f>
        <v>0</v>
      </c>
      <c r="G118" s="152">
        <f>IFERROR(__xludf.DUMMYFUNCTION("IFERROR(F118 * (1 + AVERAGE(Filter('Inflation Data'!$C:$C,'Inflation Data'!$A:$A = G$1))) + 'Fund YTD Contributions'!G118,'Fund YTD Contributions'!G118)"),0.0)</f>
        <v>0</v>
      </c>
      <c r="H118" s="152">
        <f>IFERROR(__xludf.DUMMYFUNCTION("IFERROR(G118 * (1 + AVERAGE(Filter('Inflation Data'!$C:$C,'Inflation Data'!$A:$A = H$1))) + 'Fund YTD Contributions'!H118,'Fund YTD Contributions'!H118)"),0.0)</f>
        <v>0</v>
      </c>
      <c r="I118" s="152">
        <f>IFERROR(__xludf.DUMMYFUNCTION("IFERROR(H118 * (1 + AVERAGE(Filter('Inflation Data'!$C:$C,'Inflation Data'!$A:$A = I$1))) + 'Fund YTD Contributions'!I118,'Fund YTD Contributions'!I118)"),0.0)</f>
        <v>0</v>
      </c>
      <c r="J118" s="152">
        <f>IFERROR(__xludf.DUMMYFUNCTION("IFERROR(I118 * (1 + AVERAGE(Filter('Inflation Data'!$C:$C,'Inflation Data'!$A:$A = J$1))) + 'Fund YTD Contributions'!J118,'Fund YTD Contributions'!J118)"),0.0)</f>
        <v>0</v>
      </c>
      <c r="K118" s="152">
        <f>IFERROR(__xludf.DUMMYFUNCTION("IFERROR(J118 * (1 + AVERAGE(Filter('Inflation Data'!$C:$C,'Inflation Data'!$A:$A = K$1))) + 'Fund YTD Contributions'!K118,'Fund YTD Contributions'!K118)"),0.0)</f>
        <v>0</v>
      </c>
      <c r="L118" s="152">
        <f>IFERROR(__xludf.DUMMYFUNCTION("IFERROR(K118 * (1 + AVERAGE(Filter('Inflation Data'!$C:$C,'Inflation Data'!$A:$A = L$1))) + 'Fund YTD Contributions'!L118,'Fund YTD Contributions'!L118)"),0.0)</f>
        <v>0</v>
      </c>
      <c r="M118" s="152">
        <f>IFERROR(__xludf.DUMMYFUNCTION("IFERROR(L118 * (1 + AVERAGE(Filter('Inflation Data'!$C:$C,'Inflation Data'!$A:$A = M$1))) + 'Fund YTD Contributions'!M118,'Fund YTD Contributions'!M118)"),0.0)</f>
        <v>0</v>
      </c>
      <c r="N118" s="152">
        <f>IFERROR(__xludf.DUMMYFUNCTION("IFERROR(M118 * (1 + AVERAGE(Filter('Inflation Data'!$C:$C,'Inflation Data'!$A:$A = N$1))) + 'Fund YTD Contributions'!N118,'Fund YTD Contributions'!N118)"),0.0)</f>
        <v>0</v>
      </c>
      <c r="O118" s="152">
        <f>IFERROR(__xludf.DUMMYFUNCTION("IFERROR(N118 * (1 + AVERAGE(Filter('Inflation Data'!$C:$C,'Inflation Data'!$A:$A = O$1))) + 'Fund YTD Contributions'!O118,'Fund YTD Contributions'!O118)"),0.0)</f>
        <v>0</v>
      </c>
      <c r="P118" s="152">
        <f>IFERROR(__xludf.DUMMYFUNCTION("IFERROR(O118 * (1 + AVERAGE(Filter('Inflation Data'!$C:$C,'Inflation Data'!$A:$A = P$1))) + 'Fund YTD Contributions'!P118,'Fund YTD Contributions'!P118)"),0.0)</f>
        <v>0</v>
      </c>
      <c r="Q118" s="152">
        <f>IFERROR(__xludf.DUMMYFUNCTION("IFERROR(P118 * (1 + AVERAGE(Filter('Inflation Data'!$C:$C,'Inflation Data'!$A:$A = Q$1))) + 'Fund YTD Contributions'!Q118,'Fund YTD Contributions'!Q118)"),0.0)</f>
        <v>0</v>
      </c>
      <c r="R118" s="152">
        <f>IFERROR(__xludf.DUMMYFUNCTION("IFERROR(Q118 * (1 + AVERAGE(Filter('Inflation Data'!$C:$C,'Inflation Data'!$A:$A = R$1))) + 'Fund YTD Contributions'!R118,'Fund YTD Contributions'!R118)"),0.0)</f>
        <v>0</v>
      </c>
      <c r="S118" s="152">
        <f>IFERROR(__xludf.DUMMYFUNCTION("IFERROR(R118 * (1 + AVERAGE(Filter('Inflation Data'!$C:$C,'Inflation Data'!$A:$A = S$1))) + 'Fund YTD Contributions'!S118,'Fund YTD Contributions'!S118)"),0.0)</f>
        <v>0</v>
      </c>
      <c r="T118" s="152">
        <f>IFERROR(__xludf.DUMMYFUNCTION("IFERROR(S118 * (1 + AVERAGE(Filter('Inflation Data'!$C:$C,'Inflation Data'!$A:$A = T$1))) + 'Fund YTD Contributions'!T118,'Fund YTD Contributions'!T118)"),0.0)</f>
        <v>0</v>
      </c>
      <c r="U118" s="152">
        <f>IFERROR(__xludf.DUMMYFUNCTION("IFERROR(T118 * (1 + AVERAGE(Filter('Inflation Data'!$C:$C,'Inflation Data'!$A:$A = U$1))) + 'Fund YTD Contributions'!U118,'Fund YTD Contributions'!U118)"),0.0)</f>
        <v>0</v>
      </c>
      <c r="V118" s="152">
        <f>IFERROR(__xludf.DUMMYFUNCTION("IFERROR(U118 * (1 + AVERAGE(Filter('Inflation Data'!$C:$C,'Inflation Data'!$A:$A = V$1))) + 'Fund YTD Contributions'!V118,'Fund YTD Contributions'!V118)"),0.0)</f>
        <v>0</v>
      </c>
      <c r="W118" s="152">
        <f>IFERROR(__xludf.DUMMYFUNCTION("IFERROR(V118 * (1 + AVERAGE(Filter('Inflation Data'!$C:$C,'Inflation Data'!$A:$A = W$1))) + 'Fund YTD Contributions'!W118,'Fund YTD Contributions'!W118)"),0.0)</f>
        <v>0</v>
      </c>
      <c r="X118" s="152">
        <f>IFERROR(__xludf.DUMMYFUNCTION("IFERROR(W118 * (1 + AVERAGE(Filter('Inflation Data'!$C:$C,'Inflation Data'!$A:$A = X$1))) + 'Fund YTD Contributions'!X118,'Fund YTD Contributions'!X118)"),0.0)</f>
        <v>0</v>
      </c>
      <c r="Y118" s="152">
        <f>IFERROR(__xludf.DUMMYFUNCTION("IFERROR(X118 * (1 + AVERAGE(Filter('Inflation Data'!$C:$C,'Inflation Data'!$A:$A = Y$1))) + 'Fund YTD Contributions'!Y118,'Fund YTD Contributions'!Y118)"),0.0)</f>
        <v>0</v>
      </c>
      <c r="Z118" s="152">
        <f>IFERROR(__xludf.DUMMYFUNCTION("IFERROR(Y118 * (1 + AVERAGE(Filter('Inflation Data'!$C:$C,'Inflation Data'!$A:$A = Z$1))) + 'Fund YTD Contributions'!Z118,'Fund YTD Contributions'!Z118)"),0.0)</f>
        <v>0</v>
      </c>
      <c r="AA118" s="152">
        <f>IFERROR(__xludf.DUMMYFUNCTION("IFERROR(Z118 * (1 + AVERAGE(Filter('Inflation Data'!$C:$C,'Inflation Data'!$A:$A = AA$1))) + 'Fund YTD Contributions'!AA118,'Fund YTD Contributions'!AA118)"),0.0)</f>
        <v>0</v>
      </c>
      <c r="AB118" s="152">
        <f>IFERROR(__xludf.DUMMYFUNCTION("IFERROR(AA118 * (1 + AVERAGE(Filter('Inflation Data'!$C:$C,'Inflation Data'!$A:$A = AB$1))) + 'Fund YTD Contributions'!AB118,'Fund YTD Contributions'!AB118)"),0.0)</f>
        <v>0</v>
      </c>
      <c r="AC118" s="152">
        <f>IFERROR(__xludf.DUMMYFUNCTION("IFERROR(AB118 * (1 + AVERAGE(Filter('Inflation Data'!$C:$C,'Inflation Data'!$A:$A = AC$1))) + 'Fund YTD Contributions'!AC118,'Fund YTD Contributions'!AC118)"),0.0)</f>
        <v>0</v>
      </c>
      <c r="AD118" s="152">
        <f>IFERROR(__xludf.DUMMYFUNCTION("IFERROR(AC118 * (1 + AVERAGE(Filter('Inflation Data'!$C:$C,'Inflation Data'!$A:$A = AD$1))) + 'Fund YTD Contributions'!AD118,'Fund YTD Contributions'!AD118)"),0.0)</f>
        <v>0</v>
      </c>
      <c r="AE118" s="152">
        <f>IFERROR(__xludf.DUMMYFUNCTION("IFERROR(AD118 * (1 + AVERAGE(Filter('Inflation Data'!$C:$C,'Inflation Data'!$A:$A = AE$1))) + 'Fund YTD Contributions'!AE118,'Fund YTD Contributions'!AE118)"),0.0)</f>
        <v>0</v>
      </c>
      <c r="AF118" s="152">
        <f>IFERROR(__xludf.DUMMYFUNCTION("IFERROR(AE118 * (1 + AVERAGE(Filter('Inflation Data'!$C:$C,'Inflation Data'!$A:$A = AF$1))) + 'Fund YTD Contributions'!AF118,'Fund YTD Contributions'!AF118)"),0.0)</f>
        <v>0</v>
      </c>
    </row>
    <row r="119">
      <c r="A119" s="150" t="str">
        <f>'Endowed Funds'!A:A</f>
        <v/>
      </c>
      <c r="B119" s="152">
        <f>IFERROR(__xludf.DUMMYFUNCTION("IFERROR(A119 * (1 + AVERAGE(Filter('Inflation Data'!$C:$C,'Inflation Data'!$A:$A = B$1))) + 'Fund YTD Contributions'!B119,'Fund YTD Contributions'!B119)"),0.0)</f>
        <v>0</v>
      </c>
      <c r="C119" s="152">
        <f>IFERROR(__xludf.DUMMYFUNCTION("IFERROR(B119 * (1 + AVERAGE(Filter('Inflation Data'!$C:$C,'Inflation Data'!$A:$A = C$1))) + 'Fund YTD Contributions'!C119,'Fund YTD Contributions'!C119)"),0.0)</f>
        <v>0</v>
      </c>
      <c r="D119" s="152">
        <f>IFERROR(__xludf.DUMMYFUNCTION("IFERROR(C119 * (1 + AVERAGE(Filter('Inflation Data'!$C:$C,'Inflation Data'!$A:$A = D$1))) + 'Fund YTD Contributions'!D119,'Fund YTD Contributions'!D119)"),0.0)</f>
        <v>0</v>
      </c>
      <c r="E119" s="152">
        <f>IFERROR(__xludf.DUMMYFUNCTION("IFERROR(D119 * (1 + AVERAGE(Filter('Inflation Data'!$C:$C,'Inflation Data'!$A:$A = E$1))) + 'Fund YTD Contributions'!E119,'Fund YTD Contributions'!E119)"),0.0)</f>
        <v>0</v>
      </c>
      <c r="F119" s="152">
        <f>IFERROR(__xludf.DUMMYFUNCTION("IFERROR(E119 * (1 + AVERAGE(Filter('Inflation Data'!$C:$C,'Inflation Data'!$A:$A = F$1))) + 'Fund YTD Contributions'!F119,'Fund YTD Contributions'!F119)"),0.0)</f>
        <v>0</v>
      </c>
      <c r="G119" s="152">
        <f>IFERROR(__xludf.DUMMYFUNCTION("IFERROR(F119 * (1 + AVERAGE(Filter('Inflation Data'!$C:$C,'Inflation Data'!$A:$A = G$1))) + 'Fund YTD Contributions'!G119,'Fund YTD Contributions'!G119)"),0.0)</f>
        <v>0</v>
      </c>
      <c r="H119" s="152">
        <f>IFERROR(__xludf.DUMMYFUNCTION("IFERROR(G119 * (1 + AVERAGE(Filter('Inflation Data'!$C:$C,'Inflation Data'!$A:$A = H$1))) + 'Fund YTD Contributions'!H119,'Fund YTD Contributions'!H119)"),0.0)</f>
        <v>0</v>
      </c>
      <c r="I119" s="152">
        <f>IFERROR(__xludf.DUMMYFUNCTION("IFERROR(H119 * (1 + AVERAGE(Filter('Inflation Data'!$C:$C,'Inflation Data'!$A:$A = I$1))) + 'Fund YTD Contributions'!I119,'Fund YTD Contributions'!I119)"),0.0)</f>
        <v>0</v>
      </c>
      <c r="J119" s="152">
        <f>IFERROR(__xludf.DUMMYFUNCTION("IFERROR(I119 * (1 + AVERAGE(Filter('Inflation Data'!$C:$C,'Inflation Data'!$A:$A = J$1))) + 'Fund YTD Contributions'!J119,'Fund YTD Contributions'!J119)"),0.0)</f>
        <v>0</v>
      </c>
      <c r="K119" s="152">
        <f>IFERROR(__xludf.DUMMYFUNCTION("IFERROR(J119 * (1 + AVERAGE(Filter('Inflation Data'!$C:$C,'Inflation Data'!$A:$A = K$1))) + 'Fund YTD Contributions'!K119,'Fund YTD Contributions'!K119)"),0.0)</f>
        <v>0</v>
      </c>
      <c r="L119" s="152">
        <f>IFERROR(__xludf.DUMMYFUNCTION("IFERROR(K119 * (1 + AVERAGE(Filter('Inflation Data'!$C:$C,'Inflation Data'!$A:$A = L$1))) + 'Fund YTD Contributions'!L119,'Fund YTD Contributions'!L119)"),0.0)</f>
        <v>0</v>
      </c>
      <c r="M119" s="152">
        <f>IFERROR(__xludf.DUMMYFUNCTION("IFERROR(L119 * (1 + AVERAGE(Filter('Inflation Data'!$C:$C,'Inflation Data'!$A:$A = M$1))) + 'Fund YTD Contributions'!M119,'Fund YTD Contributions'!M119)"),0.0)</f>
        <v>0</v>
      </c>
      <c r="N119" s="152">
        <f>IFERROR(__xludf.DUMMYFUNCTION("IFERROR(M119 * (1 + AVERAGE(Filter('Inflation Data'!$C:$C,'Inflation Data'!$A:$A = N$1))) + 'Fund YTD Contributions'!N119,'Fund YTD Contributions'!N119)"),0.0)</f>
        <v>0</v>
      </c>
      <c r="O119" s="152">
        <f>IFERROR(__xludf.DUMMYFUNCTION("IFERROR(N119 * (1 + AVERAGE(Filter('Inflation Data'!$C:$C,'Inflation Data'!$A:$A = O$1))) + 'Fund YTD Contributions'!O119,'Fund YTD Contributions'!O119)"),0.0)</f>
        <v>0</v>
      </c>
      <c r="P119" s="152">
        <f>IFERROR(__xludf.DUMMYFUNCTION("IFERROR(O119 * (1 + AVERAGE(Filter('Inflation Data'!$C:$C,'Inflation Data'!$A:$A = P$1))) + 'Fund YTD Contributions'!P119,'Fund YTD Contributions'!P119)"),0.0)</f>
        <v>0</v>
      </c>
      <c r="Q119" s="152">
        <f>IFERROR(__xludf.DUMMYFUNCTION("IFERROR(P119 * (1 + AVERAGE(Filter('Inflation Data'!$C:$C,'Inflation Data'!$A:$A = Q$1))) + 'Fund YTD Contributions'!Q119,'Fund YTD Contributions'!Q119)"),0.0)</f>
        <v>0</v>
      </c>
      <c r="R119" s="152">
        <f>IFERROR(__xludf.DUMMYFUNCTION("IFERROR(Q119 * (1 + AVERAGE(Filter('Inflation Data'!$C:$C,'Inflation Data'!$A:$A = R$1))) + 'Fund YTD Contributions'!R119,'Fund YTD Contributions'!R119)"),0.0)</f>
        <v>0</v>
      </c>
      <c r="S119" s="152">
        <f>IFERROR(__xludf.DUMMYFUNCTION("IFERROR(R119 * (1 + AVERAGE(Filter('Inflation Data'!$C:$C,'Inflation Data'!$A:$A = S$1))) + 'Fund YTD Contributions'!S119,'Fund YTD Contributions'!S119)"),0.0)</f>
        <v>0</v>
      </c>
      <c r="T119" s="152">
        <f>IFERROR(__xludf.DUMMYFUNCTION("IFERROR(S119 * (1 + AVERAGE(Filter('Inflation Data'!$C:$C,'Inflation Data'!$A:$A = T$1))) + 'Fund YTD Contributions'!T119,'Fund YTD Contributions'!T119)"),0.0)</f>
        <v>0</v>
      </c>
      <c r="U119" s="152">
        <f>IFERROR(__xludf.DUMMYFUNCTION("IFERROR(T119 * (1 + AVERAGE(Filter('Inflation Data'!$C:$C,'Inflation Data'!$A:$A = U$1))) + 'Fund YTD Contributions'!U119,'Fund YTD Contributions'!U119)"),0.0)</f>
        <v>0</v>
      </c>
      <c r="V119" s="152">
        <f>IFERROR(__xludf.DUMMYFUNCTION("IFERROR(U119 * (1 + AVERAGE(Filter('Inflation Data'!$C:$C,'Inflation Data'!$A:$A = V$1))) + 'Fund YTD Contributions'!V119,'Fund YTD Contributions'!V119)"),0.0)</f>
        <v>0</v>
      </c>
      <c r="W119" s="152">
        <f>IFERROR(__xludf.DUMMYFUNCTION("IFERROR(V119 * (1 + AVERAGE(Filter('Inflation Data'!$C:$C,'Inflation Data'!$A:$A = W$1))) + 'Fund YTD Contributions'!W119,'Fund YTD Contributions'!W119)"),0.0)</f>
        <v>0</v>
      </c>
      <c r="X119" s="152">
        <f>IFERROR(__xludf.DUMMYFUNCTION("IFERROR(W119 * (1 + AVERAGE(Filter('Inflation Data'!$C:$C,'Inflation Data'!$A:$A = X$1))) + 'Fund YTD Contributions'!X119,'Fund YTD Contributions'!X119)"),0.0)</f>
        <v>0</v>
      </c>
      <c r="Y119" s="152">
        <f>IFERROR(__xludf.DUMMYFUNCTION("IFERROR(X119 * (1 + AVERAGE(Filter('Inflation Data'!$C:$C,'Inflation Data'!$A:$A = Y$1))) + 'Fund YTD Contributions'!Y119,'Fund YTD Contributions'!Y119)"),0.0)</f>
        <v>0</v>
      </c>
      <c r="Z119" s="152">
        <f>IFERROR(__xludf.DUMMYFUNCTION("IFERROR(Y119 * (1 + AVERAGE(Filter('Inflation Data'!$C:$C,'Inflation Data'!$A:$A = Z$1))) + 'Fund YTD Contributions'!Z119,'Fund YTD Contributions'!Z119)"),0.0)</f>
        <v>0</v>
      </c>
      <c r="AA119" s="152">
        <f>IFERROR(__xludf.DUMMYFUNCTION("IFERROR(Z119 * (1 + AVERAGE(Filter('Inflation Data'!$C:$C,'Inflation Data'!$A:$A = AA$1))) + 'Fund YTD Contributions'!AA119,'Fund YTD Contributions'!AA119)"),0.0)</f>
        <v>0</v>
      </c>
      <c r="AB119" s="152">
        <f>IFERROR(__xludf.DUMMYFUNCTION("IFERROR(AA119 * (1 + AVERAGE(Filter('Inflation Data'!$C:$C,'Inflation Data'!$A:$A = AB$1))) + 'Fund YTD Contributions'!AB119,'Fund YTD Contributions'!AB119)"),0.0)</f>
        <v>0</v>
      </c>
      <c r="AC119" s="152">
        <f>IFERROR(__xludf.DUMMYFUNCTION("IFERROR(AB119 * (1 + AVERAGE(Filter('Inflation Data'!$C:$C,'Inflation Data'!$A:$A = AC$1))) + 'Fund YTD Contributions'!AC119,'Fund YTD Contributions'!AC119)"),0.0)</f>
        <v>0</v>
      </c>
      <c r="AD119" s="152">
        <f>IFERROR(__xludf.DUMMYFUNCTION("IFERROR(AC119 * (1 + AVERAGE(Filter('Inflation Data'!$C:$C,'Inflation Data'!$A:$A = AD$1))) + 'Fund YTD Contributions'!AD119,'Fund YTD Contributions'!AD119)"),0.0)</f>
        <v>0</v>
      </c>
      <c r="AE119" s="152">
        <f>IFERROR(__xludf.DUMMYFUNCTION("IFERROR(AD119 * (1 + AVERAGE(Filter('Inflation Data'!$C:$C,'Inflation Data'!$A:$A = AE$1))) + 'Fund YTD Contributions'!AE119,'Fund YTD Contributions'!AE119)"),0.0)</f>
        <v>0</v>
      </c>
      <c r="AF119" s="152">
        <f>IFERROR(__xludf.DUMMYFUNCTION("IFERROR(AE119 * (1 + AVERAGE(Filter('Inflation Data'!$C:$C,'Inflation Data'!$A:$A = AF$1))) + 'Fund YTD Contributions'!AF119,'Fund YTD Contributions'!AF119)"),0.0)</f>
        <v>0</v>
      </c>
    </row>
    <row r="120">
      <c r="A120" s="150" t="str">
        <f>'Endowed Funds'!A:A</f>
        <v/>
      </c>
      <c r="B120" s="152">
        <f>IFERROR(__xludf.DUMMYFUNCTION("IFERROR(A120 * (1 + AVERAGE(Filter('Inflation Data'!$C:$C,'Inflation Data'!$A:$A = B$1))) + 'Fund YTD Contributions'!B120,'Fund YTD Contributions'!B120)"),0.0)</f>
        <v>0</v>
      </c>
      <c r="C120" s="152">
        <f>IFERROR(__xludf.DUMMYFUNCTION("IFERROR(B120 * (1 + AVERAGE(Filter('Inflation Data'!$C:$C,'Inflation Data'!$A:$A = C$1))) + 'Fund YTD Contributions'!C120,'Fund YTD Contributions'!C120)"),0.0)</f>
        <v>0</v>
      </c>
      <c r="D120" s="152">
        <f>IFERROR(__xludf.DUMMYFUNCTION("IFERROR(C120 * (1 + AVERAGE(Filter('Inflation Data'!$C:$C,'Inflation Data'!$A:$A = D$1))) + 'Fund YTD Contributions'!D120,'Fund YTD Contributions'!D120)"),0.0)</f>
        <v>0</v>
      </c>
      <c r="E120" s="152">
        <f>IFERROR(__xludf.DUMMYFUNCTION("IFERROR(D120 * (1 + AVERAGE(Filter('Inflation Data'!$C:$C,'Inflation Data'!$A:$A = E$1))) + 'Fund YTD Contributions'!E120,'Fund YTD Contributions'!E120)"),0.0)</f>
        <v>0</v>
      </c>
      <c r="F120" s="152">
        <f>IFERROR(__xludf.DUMMYFUNCTION("IFERROR(E120 * (1 + AVERAGE(Filter('Inflation Data'!$C:$C,'Inflation Data'!$A:$A = F$1))) + 'Fund YTD Contributions'!F120,'Fund YTD Contributions'!F120)"),0.0)</f>
        <v>0</v>
      </c>
      <c r="G120" s="152">
        <f>IFERROR(__xludf.DUMMYFUNCTION("IFERROR(F120 * (1 + AVERAGE(Filter('Inflation Data'!$C:$C,'Inflation Data'!$A:$A = G$1))) + 'Fund YTD Contributions'!G120,'Fund YTD Contributions'!G120)"),0.0)</f>
        <v>0</v>
      </c>
      <c r="H120" s="152">
        <f>IFERROR(__xludf.DUMMYFUNCTION("IFERROR(G120 * (1 + AVERAGE(Filter('Inflation Data'!$C:$C,'Inflation Data'!$A:$A = H$1))) + 'Fund YTD Contributions'!H120,'Fund YTD Contributions'!H120)"),0.0)</f>
        <v>0</v>
      </c>
      <c r="I120" s="152">
        <f>IFERROR(__xludf.DUMMYFUNCTION("IFERROR(H120 * (1 + AVERAGE(Filter('Inflation Data'!$C:$C,'Inflation Data'!$A:$A = I$1))) + 'Fund YTD Contributions'!I120,'Fund YTD Contributions'!I120)"),0.0)</f>
        <v>0</v>
      </c>
      <c r="J120" s="152">
        <f>IFERROR(__xludf.DUMMYFUNCTION("IFERROR(I120 * (1 + AVERAGE(Filter('Inflation Data'!$C:$C,'Inflation Data'!$A:$A = J$1))) + 'Fund YTD Contributions'!J120,'Fund YTD Contributions'!J120)"),0.0)</f>
        <v>0</v>
      </c>
      <c r="K120" s="152">
        <f>IFERROR(__xludf.DUMMYFUNCTION("IFERROR(J120 * (1 + AVERAGE(Filter('Inflation Data'!$C:$C,'Inflation Data'!$A:$A = K$1))) + 'Fund YTD Contributions'!K120,'Fund YTD Contributions'!K120)"),0.0)</f>
        <v>0</v>
      </c>
      <c r="L120" s="152">
        <f>IFERROR(__xludf.DUMMYFUNCTION("IFERROR(K120 * (1 + AVERAGE(Filter('Inflation Data'!$C:$C,'Inflation Data'!$A:$A = L$1))) + 'Fund YTD Contributions'!L120,'Fund YTD Contributions'!L120)"),0.0)</f>
        <v>0</v>
      </c>
      <c r="M120" s="152">
        <f>IFERROR(__xludf.DUMMYFUNCTION("IFERROR(L120 * (1 + AVERAGE(Filter('Inflation Data'!$C:$C,'Inflation Data'!$A:$A = M$1))) + 'Fund YTD Contributions'!M120,'Fund YTD Contributions'!M120)"),0.0)</f>
        <v>0</v>
      </c>
      <c r="N120" s="152">
        <f>IFERROR(__xludf.DUMMYFUNCTION("IFERROR(M120 * (1 + AVERAGE(Filter('Inflation Data'!$C:$C,'Inflation Data'!$A:$A = N$1))) + 'Fund YTD Contributions'!N120,'Fund YTD Contributions'!N120)"),0.0)</f>
        <v>0</v>
      </c>
      <c r="O120" s="152">
        <f>IFERROR(__xludf.DUMMYFUNCTION("IFERROR(N120 * (1 + AVERAGE(Filter('Inflation Data'!$C:$C,'Inflation Data'!$A:$A = O$1))) + 'Fund YTD Contributions'!O120,'Fund YTD Contributions'!O120)"),0.0)</f>
        <v>0</v>
      </c>
      <c r="P120" s="152">
        <f>IFERROR(__xludf.DUMMYFUNCTION("IFERROR(O120 * (1 + AVERAGE(Filter('Inflation Data'!$C:$C,'Inflation Data'!$A:$A = P$1))) + 'Fund YTD Contributions'!P120,'Fund YTD Contributions'!P120)"),0.0)</f>
        <v>0</v>
      </c>
      <c r="Q120" s="152">
        <f>IFERROR(__xludf.DUMMYFUNCTION("IFERROR(P120 * (1 + AVERAGE(Filter('Inflation Data'!$C:$C,'Inflation Data'!$A:$A = Q$1))) + 'Fund YTD Contributions'!Q120,'Fund YTD Contributions'!Q120)"),0.0)</f>
        <v>0</v>
      </c>
      <c r="R120" s="152">
        <f>IFERROR(__xludf.DUMMYFUNCTION("IFERROR(Q120 * (1 + AVERAGE(Filter('Inflation Data'!$C:$C,'Inflation Data'!$A:$A = R$1))) + 'Fund YTD Contributions'!R120,'Fund YTD Contributions'!R120)"),0.0)</f>
        <v>0</v>
      </c>
      <c r="S120" s="152">
        <f>IFERROR(__xludf.DUMMYFUNCTION("IFERROR(R120 * (1 + AVERAGE(Filter('Inflation Data'!$C:$C,'Inflation Data'!$A:$A = S$1))) + 'Fund YTD Contributions'!S120,'Fund YTD Contributions'!S120)"),0.0)</f>
        <v>0</v>
      </c>
      <c r="T120" s="152">
        <f>IFERROR(__xludf.DUMMYFUNCTION("IFERROR(S120 * (1 + AVERAGE(Filter('Inflation Data'!$C:$C,'Inflation Data'!$A:$A = T$1))) + 'Fund YTD Contributions'!T120,'Fund YTD Contributions'!T120)"),0.0)</f>
        <v>0</v>
      </c>
      <c r="U120" s="152">
        <f>IFERROR(__xludf.DUMMYFUNCTION("IFERROR(T120 * (1 + AVERAGE(Filter('Inflation Data'!$C:$C,'Inflation Data'!$A:$A = U$1))) + 'Fund YTD Contributions'!U120,'Fund YTD Contributions'!U120)"),0.0)</f>
        <v>0</v>
      </c>
      <c r="V120" s="152">
        <f>IFERROR(__xludf.DUMMYFUNCTION("IFERROR(U120 * (1 + AVERAGE(Filter('Inflation Data'!$C:$C,'Inflation Data'!$A:$A = V$1))) + 'Fund YTD Contributions'!V120,'Fund YTD Contributions'!V120)"),0.0)</f>
        <v>0</v>
      </c>
      <c r="W120" s="152">
        <f>IFERROR(__xludf.DUMMYFUNCTION("IFERROR(V120 * (1 + AVERAGE(Filter('Inflation Data'!$C:$C,'Inflation Data'!$A:$A = W$1))) + 'Fund YTD Contributions'!W120,'Fund YTD Contributions'!W120)"),0.0)</f>
        <v>0</v>
      </c>
      <c r="X120" s="152">
        <f>IFERROR(__xludf.DUMMYFUNCTION("IFERROR(W120 * (1 + AVERAGE(Filter('Inflation Data'!$C:$C,'Inflation Data'!$A:$A = X$1))) + 'Fund YTD Contributions'!X120,'Fund YTD Contributions'!X120)"),0.0)</f>
        <v>0</v>
      </c>
      <c r="Y120" s="152">
        <f>IFERROR(__xludf.DUMMYFUNCTION("IFERROR(X120 * (1 + AVERAGE(Filter('Inflation Data'!$C:$C,'Inflation Data'!$A:$A = Y$1))) + 'Fund YTD Contributions'!Y120,'Fund YTD Contributions'!Y120)"),0.0)</f>
        <v>0</v>
      </c>
      <c r="Z120" s="152">
        <f>IFERROR(__xludf.DUMMYFUNCTION("IFERROR(Y120 * (1 + AVERAGE(Filter('Inflation Data'!$C:$C,'Inflation Data'!$A:$A = Z$1))) + 'Fund YTD Contributions'!Z120,'Fund YTD Contributions'!Z120)"),0.0)</f>
        <v>0</v>
      </c>
      <c r="AA120" s="152">
        <f>IFERROR(__xludf.DUMMYFUNCTION("IFERROR(Z120 * (1 + AVERAGE(Filter('Inflation Data'!$C:$C,'Inflation Data'!$A:$A = AA$1))) + 'Fund YTD Contributions'!AA120,'Fund YTD Contributions'!AA120)"),0.0)</f>
        <v>0</v>
      </c>
      <c r="AB120" s="152">
        <f>IFERROR(__xludf.DUMMYFUNCTION("IFERROR(AA120 * (1 + AVERAGE(Filter('Inflation Data'!$C:$C,'Inflation Data'!$A:$A = AB$1))) + 'Fund YTD Contributions'!AB120,'Fund YTD Contributions'!AB120)"),0.0)</f>
        <v>0</v>
      </c>
      <c r="AC120" s="152">
        <f>IFERROR(__xludf.DUMMYFUNCTION("IFERROR(AB120 * (1 + AVERAGE(Filter('Inflation Data'!$C:$C,'Inflation Data'!$A:$A = AC$1))) + 'Fund YTD Contributions'!AC120,'Fund YTD Contributions'!AC120)"),0.0)</f>
        <v>0</v>
      </c>
      <c r="AD120" s="152">
        <f>IFERROR(__xludf.DUMMYFUNCTION("IFERROR(AC120 * (1 + AVERAGE(Filter('Inflation Data'!$C:$C,'Inflation Data'!$A:$A = AD$1))) + 'Fund YTD Contributions'!AD120,'Fund YTD Contributions'!AD120)"),0.0)</f>
        <v>0</v>
      </c>
      <c r="AE120" s="152">
        <f>IFERROR(__xludf.DUMMYFUNCTION("IFERROR(AD120 * (1 + AVERAGE(Filter('Inflation Data'!$C:$C,'Inflation Data'!$A:$A = AE$1))) + 'Fund YTD Contributions'!AE120,'Fund YTD Contributions'!AE120)"),0.0)</f>
        <v>0</v>
      </c>
      <c r="AF120" s="152">
        <f>IFERROR(__xludf.DUMMYFUNCTION("IFERROR(AE120 * (1 + AVERAGE(Filter('Inflation Data'!$C:$C,'Inflation Data'!$A:$A = AF$1))) + 'Fund YTD Contributions'!AF120,'Fund YTD Contributions'!AF120)"),0.0)</f>
        <v>0</v>
      </c>
    </row>
    <row r="121">
      <c r="A121" s="150" t="str">
        <f>'Endowed Funds'!A:A</f>
        <v/>
      </c>
      <c r="B121" s="152">
        <f>IFERROR(__xludf.DUMMYFUNCTION("IFERROR(A121 * (1 + AVERAGE(Filter('Inflation Data'!$C:$C,'Inflation Data'!$A:$A = B$1))) + 'Fund YTD Contributions'!B121,'Fund YTD Contributions'!B121)"),0.0)</f>
        <v>0</v>
      </c>
      <c r="C121" s="152">
        <f>IFERROR(__xludf.DUMMYFUNCTION("IFERROR(B121 * (1 + AVERAGE(Filter('Inflation Data'!$C:$C,'Inflation Data'!$A:$A = C$1))) + 'Fund YTD Contributions'!C121,'Fund YTD Contributions'!C121)"),0.0)</f>
        <v>0</v>
      </c>
      <c r="D121" s="152">
        <f>IFERROR(__xludf.DUMMYFUNCTION("IFERROR(C121 * (1 + AVERAGE(Filter('Inflation Data'!$C:$C,'Inflation Data'!$A:$A = D$1))) + 'Fund YTD Contributions'!D121,'Fund YTD Contributions'!D121)"),0.0)</f>
        <v>0</v>
      </c>
      <c r="E121" s="152">
        <f>IFERROR(__xludf.DUMMYFUNCTION("IFERROR(D121 * (1 + AVERAGE(Filter('Inflation Data'!$C:$C,'Inflation Data'!$A:$A = E$1))) + 'Fund YTD Contributions'!E121,'Fund YTD Contributions'!E121)"),0.0)</f>
        <v>0</v>
      </c>
      <c r="F121" s="152">
        <f>IFERROR(__xludf.DUMMYFUNCTION("IFERROR(E121 * (1 + AVERAGE(Filter('Inflation Data'!$C:$C,'Inflation Data'!$A:$A = F$1))) + 'Fund YTD Contributions'!F121,'Fund YTD Contributions'!F121)"),0.0)</f>
        <v>0</v>
      </c>
      <c r="G121" s="152">
        <f>IFERROR(__xludf.DUMMYFUNCTION("IFERROR(F121 * (1 + AVERAGE(Filter('Inflation Data'!$C:$C,'Inflation Data'!$A:$A = G$1))) + 'Fund YTD Contributions'!G121,'Fund YTD Contributions'!G121)"),0.0)</f>
        <v>0</v>
      </c>
      <c r="H121" s="152">
        <f>IFERROR(__xludf.DUMMYFUNCTION("IFERROR(G121 * (1 + AVERAGE(Filter('Inflation Data'!$C:$C,'Inflation Data'!$A:$A = H$1))) + 'Fund YTD Contributions'!H121,'Fund YTD Contributions'!H121)"),0.0)</f>
        <v>0</v>
      </c>
      <c r="I121" s="152">
        <f>IFERROR(__xludf.DUMMYFUNCTION("IFERROR(H121 * (1 + AVERAGE(Filter('Inflation Data'!$C:$C,'Inflation Data'!$A:$A = I$1))) + 'Fund YTD Contributions'!I121,'Fund YTD Contributions'!I121)"),0.0)</f>
        <v>0</v>
      </c>
      <c r="J121" s="152">
        <f>IFERROR(__xludf.DUMMYFUNCTION("IFERROR(I121 * (1 + AVERAGE(Filter('Inflation Data'!$C:$C,'Inflation Data'!$A:$A = J$1))) + 'Fund YTD Contributions'!J121,'Fund YTD Contributions'!J121)"),0.0)</f>
        <v>0</v>
      </c>
      <c r="K121" s="152">
        <f>IFERROR(__xludf.DUMMYFUNCTION("IFERROR(J121 * (1 + AVERAGE(Filter('Inflation Data'!$C:$C,'Inflation Data'!$A:$A = K$1))) + 'Fund YTD Contributions'!K121,'Fund YTD Contributions'!K121)"),0.0)</f>
        <v>0</v>
      </c>
      <c r="L121" s="152">
        <f>IFERROR(__xludf.DUMMYFUNCTION("IFERROR(K121 * (1 + AVERAGE(Filter('Inflation Data'!$C:$C,'Inflation Data'!$A:$A = L$1))) + 'Fund YTD Contributions'!L121,'Fund YTD Contributions'!L121)"),0.0)</f>
        <v>0</v>
      </c>
      <c r="M121" s="152">
        <f>IFERROR(__xludf.DUMMYFUNCTION("IFERROR(L121 * (1 + AVERAGE(Filter('Inflation Data'!$C:$C,'Inflation Data'!$A:$A = M$1))) + 'Fund YTD Contributions'!M121,'Fund YTD Contributions'!M121)"),0.0)</f>
        <v>0</v>
      </c>
      <c r="N121" s="152">
        <f>IFERROR(__xludf.DUMMYFUNCTION("IFERROR(M121 * (1 + AVERAGE(Filter('Inflation Data'!$C:$C,'Inflation Data'!$A:$A = N$1))) + 'Fund YTD Contributions'!N121,'Fund YTD Contributions'!N121)"),0.0)</f>
        <v>0</v>
      </c>
      <c r="O121" s="152">
        <f>IFERROR(__xludf.DUMMYFUNCTION("IFERROR(N121 * (1 + AVERAGE(Filter('Inflation Data'!$C:$C,'Inflation Data'!$A:$A = O$1))) + 'Fund YTD Contributions'!O121,'Fund YTD Contributions'!O121)"),0.0)</f>
        <v>0</v>
      </c>
      <c r="P121" s="152">
        <f>IFERROR(__xludf.DUMMYFUNCTION("IFERROR(O121 * (1 + AVERAGE(Filter('Inflation Data'!$C:$C,'Inflation Data'!$A:$A = P$1))) + 'Fund YTD Contributions'!P121,'Fund YTD Contributions'!P121)"),0.0)</f>
        <v>0</v>
      </c>
      <c r="Q121" s="152">
        <f>IFERROR(__xludf.DUMMYFUNCTION("IFERROR(P121 * (1 + AVERAGE(Filter('Inflation Data'!$C:$C,'Inflation Data'!$A:$A = Q$1))) + 'Fund YTD Contributions'!Q121,'Fund YTD Contributions'!Q121)"),0.0)</f>
        <v>0</v>
      </c>
      <c r="R121" s="152">
        <f>IFERROR(__xludf.DUMMYFUNCTION("IFERROR(Q121 * (1 + AVERAGE(Filter('Inflation Data'!$C:$C,'Inflation Data'!$A:$A = R$1))) + 'Fund YTD Contributions'!R121,'Fund YTD Contributions'!R121)"),0.0)</f>
        <v>0</v>
      </c>
      <c r="S121" s="152">
        <f>IFERROR(__xludf.DUMMYFUNCTION("IFERROR(R121 * (1 + AVERAGE(Filter('Inflation Data'!$C:$C,'Inflation Data'!$A:$A = S$1))) + 'Fund YTD Contributions'!S121,'Fund YTD Contributions'!S121)"),0.0)</f>
        <v>0</v>
      </c>
      <c r="T121" s="152">
        <f>IFERROR(__xludf.DUMMYFUNCTION("IFERROR(S121 * (1 + AVERAGE(Filter('Inflation Data'!$C:$C,'Inflation Data'!$A:$A = T$1))) + 'Fund YTD Contributions'!T121,'Fund YTD Contributions'!T121)"),0.0)</f>
        <v>0</v>
      </c>
      <c r="U121" s="152">
        <f>IFERROR(__xludf.DUMMYFUNCTION("IFERROR(T121 * (1 + AVERAGE(Filter('Inflation Data'!$C:$C,'Inflation Data'!$A:$A = U$1))) + 'Fund YTD Contributions'!U121,'Fund YTD Contributions'!U121)"),0.0)</f>
        <v>0</v>
      </c>
      <c r="V121" s="152">
        <f>IFERROR(__xludf.DUMMYFUNCTION("IFERROR(U121 * (1 + AVERAGE(Filter('Inflation Data'!$C:$C,'Inflation Data'!$A:$A = V$1))) + 'Fund YTD Contributions'!V121,'Fund YTD Contributions'!V121)"),0.0)</f>
        <v>0</v>
      </c>
      <c r="W121" s="152">
        <f>IFERROR(__xludf.DUMMYFUNCTION("IFERROR(V121 * (1 + AVERAGE(Filter('Inflation Data'!$C:$C,'Inflation Data'!$A:$A = W$1))) + 'Fund YTD Contributions'!W121,'Fund YTD Contributions'!W121)"),0.0)</f>
        <v>0</v>
      </c>
      <c r="X121" s="152">
        <f>IFERROR(__xludf.DUMMYFUNCTION("IFERROR(W121 * (1 + AVERAGE(Filter('Inflation Data'!$C:$C,'Inflation Data'!$A:$A = X$1))) + 'Fund YTD Contributions'!X121,'Fund YTD Contributions'!X121)"),0.0)</f>
        <v>0</v>
      </c>
      <c r="Y121" s="152">
        <f>IFERROR(__xludf.DUMMYFUNCTION("IFERROR(X121 * (1 + AVERAGE(Filter('Inflation Data'!$C:$C,'Inflation Data'!$A:$A = Y$1))) + 'Fund YTD Contributions'!Y121,'Fund YTD Contributions'!Y121)"),0.0)</f>
        <v>0</v>
      </c>
      <c r="Z121" s="152">
        <f>IFERROR(__xludf.DUMMYFUNCTION("IFERROR(Y121 * (1 + AVERAGE(Filter('Inflation Data'!$C:$C,'Inflation Data'!$A:$A = Z$1))) + 'Fund YTD Contributions'!Z121,'Fund YTD Contributions'!Z121)"),0.0)</f>
        <v>0</v>
      </c>
      <c r="AA121" s="152">
        <f>IFERROR(__xludf.DUMMYFUNCTION("IFERROR(Z121 * (1 + AVERAGE(Filter('Inflation Data'!$C:$C,'Inflation Data'!$A:$A = AA$1))) + 'Fund YTD Contributions'!AA121,'Fund YTD Contributions'!AA121)"),0.0)</f>
        <v>0</v>
      </c>
      <c r="AB121" s="152">
        <f>IFERROR(__xludf.DUMMYFUNCTION("IFERROR(AA121 * (1 + AVERAGE(Filter('Inflation Data'!$C:$C,'Inflation Data'!$A:$A = AB$1))) + 'Fund YTD Contributions'!AB121,'Fund YTD Contributions'!AB121)"),0.0)</f>
        <v>0</v>
      </c>
      <c r="AC121" s="152">
        <f>IFERROR(__xludf.DUMMYFUNCTION("IFERROR(AB121 * (1 + AVERAGE(Filter('Inflation Data'!$C:$C,'Inflation Data'!$A:$A = AC$1))) + 'Fund YTD Contributions'!AC121,'Fund YTD Contributions'!AC121)"),0.0)</f>
        <v>0</v>
      </c>
      <c r="AD121" s="152">
        <f>IFERROR(__xludf.DUMMYFUNCTION("IFERROR(AC121 * (1 + AVERAGE(Filter('Inflation Data'!$C:$C,'Inflation Data'!$A:$A = AD$1))) + 'Fund YTD Contributions'!AD121,'Fund YTD Contributions'!AD121)"),0.0)</f>
        <v>0</v>
      </c>
      <c r="AE121" s="152">
        <f>IFERROR(__xludf.DUMMYFUNCTION("IFERROR(AD121 * (1 + AVERAGE(Filter('Inflation Data'!$C:$C,'Inflation Data'!$A:$A = AE$1))) + 'Fund YTD Contributions'!AE121,'Fund YTD Contributions'!AE121)"),0.0)</f>
        <v>0</v>
      </c>
      <c r="AF121" s="152">
        <f>IFERROR(__xludf.DUMMYFUNCTION("IFERROR(AE121 * (1 + AVERAGE(Filter('Inflation Data'!$C:$C,'Inflation Data'!$A:$A = AF$1))) + 'Fund YTD Contributions'!AF121,'Fund YTD Contributions'!AF121)"),0.0)</f>
        <v>0</v>
      </c>
    </row>
    <row r="122">
      <c r="A122" s="150" t="str">
        <f>'Endowed Funds'!A:A</f>
        <v/>
      </c>
      <c r="B122" s="152">
        <f>IFERROR(__xludf.DUMMYFUNCTION("IFERROR(A122 * (1 + AVERAGE(Filter('Inflation Data'!$C:$C,'Inflation Data'!$A:$A = B$1))) + 'Fund YTD Contributions'!B122,'Fund YTD Contributions'!B122)"),0.0)</f>
        <v>0</v>
      </c>
      <c r="C122" s="152">
        <f>IFERROR(__xludf.DUMMYFUNCTION("IFERROR(B122 * (1 + AVERAGE(Filter('Inflation Data'!$C:$C,'Inflation Data'!$A:$A = C$1))) + 'Fund YTD Contributions'!C122,'Fund YTD Contributions'!C122)"),0.0)</f>
        <v>0</v>
      </c>
      <c r="D122" s="152">
        <f>IFERROR(__xludf.DUMMYFUNCTION("IFERROR(C122 * (1 + AVERAGE(Filter('Inflation Data'!$C:$C,'Inflation Data'!$A:$A = D$1))) + 'Fund YTD Contributions'!D122,'Fund YTD Contributions'!D122)"),0.0)</f>
        <v>0</v>
      </c>
      <c r="E122" s="152">
        <f>IFERROR(__xludf.DUMMYFUNCTION("IFERROR(D122 * (1 + AVERAGE(Filter('Inflation Data'!$C:$C,'Inflation Data'!$A:$A = E$1))) + 'Fund YTD Contributions'!E122,'Fund YTD Contributions'!E122)"),0.0)</f>
        <v>0</v>
      </c>
      <c r="F122" s="152">
        <f>IFERROR(__xludf.DUMMYFUNCTION("IFERROR(E122 * (1 + AVERAGE(Filter('Inflation Data'!$C:$C,'Inflation Data'!$A:$A = F$1))) + 'Fund YTD Contributions'!F122,'Fund YTD Contributions'!F122)"),0.0)</f>
        <v>0</v>
      </c>
      <c r="G122" s="152">
        <f>IFERROR(__xludf.DUMMYFUNCTION("IFERROR(F122 * (1 + AVERAGE(Filter('Inflation Data'!$C:$C,'Inflation Data'!$A:$A = G$1))) + 'Fund YTD Contributions'!G122,'Fund YTD Contributions'!G122)"),0.0)</f>
        <v>0</v>
      </c>
      <c r="H122" s="152">
        <f>IFERROR(__xludf.DUMMYFUNCTION("IFERROR(G122 * (1 + AVERAGE(Filter('Inflation Data'!$C:$C,'Inflation Data'!$A:$A = H$1))) + 'Fund YTD Contributions'!H122,'Fund YTD Contributions'!H122)"),0.0)</f>
        <v>0</v>
      </c>
      <c r="I122" s="152">
        <f>IFERROR(__xludf.DUMMYFUNCTION("IFERROR(H122 * (1 + AVERAGE(Filter('Inflation Data'!$C:$C,'Inflation Data'!$A:$A = I$1))) + 'Fund YTD Contributions'!I122,'Fund YTD Contributions'!I122)"),0.0)</f>
        <v>0</v>
      </c>
      <c r="J122" s="152">
        <f>IFERROR(__xludf.DUMMYFUNCTION("IFERROR(I122 * (1 + AVERAGE(Filter('Inflation Data'!$C:$C,'Inflation Data'!$A:$A = J$1))) + 'Fund YTD Contributions'!J122,'Fund YTD Contributions'!J122)"),0.0)</f>
        <v>0</v>
      </c>
      <c r="K122" s="152">
        <f>IFERROR(__xludf.DUMMYFUNCTION("IFERROR(J122 * (1 + AVERAGE(Filter('Inflation Data'!$C:$C,'Inflation Data'!$A:$A = K$1))) + 'Fund YTD Contributions'!K122,'Fund YTD Contributions'!K122)"),0.0)</f>
        <v>0</v>
      </c>
      <c r="L122" s="152">
        <f>IFERROR(__xludf.DUMMYFUNCTION("IFERROR(K122 * (1 + AVERAGE(Filter('Inflation Data'!$C:$C,'Inflation Data'!$A:$A = L$1))) + 'Fund YTD Contributions'!L122,'Fund YTD Contributions'!L122)"),0.0)</f>
        <v>0</v>
      </c>
      <c r="M122" s="152">
        <f>IFERROR(__xludf.DUMMYFUNCTION("IFERROR(L122 * (1 + AVERAGE(Filter('Inflation Data'!$C:$C,'Inflation Data'!$A:$A = M$1))) + 'Fund YTD Contributions'!M122,'Fund YTD Contributions'!M122)"),0.0)</f>
        <v>0</v>
      </c>
      <c r="N122" s="152">
        <f>IFERROR(__xludf.DUMMYFUNCTION("IFERROR(M122 * (1 + AVERAGE(Filter('Inflation Data'!$C:$C,'Inflation Data'!$A:$A = N$1))) + 'Fund YTD Contributions'!N122,'Fund YTD Contributions'!N122)"),0.0)</f>
        <v>0</v>
      </c>
      <c r="O122" s="152">
        <f>IFERROR(__xludf.DUMMYFUNCTION("IFERROR(N122 * (1 + AVERAGE(Filter('Inflation Data'!$C:$C,'Inflation Data'!$A:$A = O$1))) + 'Fund YTD Contributions'!O122,'Fund YTD Contributions'!O122)"),0.0)</f>
        <v>0</v>
      </c>
      <c r="P122" s="152">
        <f>IFERROR(__xludf.DUMMYFUNCTION("IFERROR(O122 * (1 + AVERAGE(Filter('Inflation Data'!$C:$C,'Inflation Data'!$A:$A = P$1))) + 'Fund YTD Contributions'!P122,'Fund YTD Contributions'!P122)"),0.0)</f>
        <v>0</v>
      </c>
      <c r="Q122" s="152">
        <f>IFERROR(__xludf.DUMMYFUNCTION("IFERROR(P122 * (1 + AVERAGE(Filter('Inflation Data'!$C:$C,'Inflation Data'!$A:$A = Q$1))) + 'Fund YTD Contributions'!Q122,'Fund YTD Contributions'!Q122)"),0.0)</f>
        <v>0</v>
      </c>
      <c r="R122" s="152">
        <f>IFERROR(__xludf.DUMMYFUNCTION("IFERROR(Q122 * (1 + AVERAGE(Filter('Inflation Data'!$C:$C,'Inflation Data'!$A:$A = R$1))) + 'Fund YTD Contributions'!R122,'Fund YTD Contributions'!R122)"),0.0)</f>
        <v>0</v>
      </c>
      <c r="S122" s="152">
        <f>IFERROR(__xludf.DUMMYFUNCTION("IFERROR(R122 * (1 + AVERAGE(Filter('Inflation Data'!$C:$C,'Inflation Data'!$A:$A = S$1))) + 'Fund YTD Contributions'!S122,'Fund YTD Contributions'!S122)"),0.0)</f>
        <v>0</v>
      </c>
      <c r="T122" s="152">
        <f>IFERROR(__xludf.DUMMYFUNCTION("IFERROR(S122 * (1 + AVERAGE(Filter('Inflation Data'!$C:$C,'Inflation Data'!$A:$A = T$1))) + 'Fund YTD Contributions'!T122,'Fund YTD Contributions'!T122)"),0.0)</f>
        <v>0</v>
      </c>
      <c r="U122" s="152">
        <f>IFERROR(__xludf.DUMMYFUNCTION("IFERROR(T122 * (1 + AVERAGE(Filter('Inflation Data'!$C:$C,'Inflation Data'!$A:$A = U$1))) + 'Fund YTD Contributions'!U122,'Fund YTD Contributions'!U122)"),0.0)</f>
        <v>0</v>
      </c>
      <c r="V122" s="152">
        <f>IFERROR(__xludf.DUMMYFUNCTION("IFERROR(U122 * (1 + AVERAGE(Filter('Inflation Data'!$C:$C,'Inflation Data'!$A:$A = V$1))) + 'Fund YTD Contributions'!V122,'Fund YTD Contributions'!V122)"),0.0)</f>
        <v>0</v>
      </c>
      <c r="W122" s="152">
        <f>IFERROR(__xludf.DUMMYFUNCTION("IFERROR(V122 * (1 + AVERAGE(Filter('Inflation Data'!$C:$C,'Inflation Data'!$A:$A = W$1))) + 'Fund YTD Contributions'!W122,'Fund YTD Contributions'!W122)"),0.0)</f>
        <v>0</v>
      </c>
      <c r="X122" s="152">
        <f>IFERROR(__xludf.DUMMYFUNCTION("IFERROR(W122 * (1 + AVERAGE(Filter('Inflation Data'!$C:$C,'Inflation Data'!$A:$A = X$1))) + 'Fund YTD Contributions'!X122,'Fund YTD Contributions'!X122)"),0.0)</f>
        <v>0</v>
      </c>
      <c r="Y122" s="152">
        <f>IFERROR(__xludf.DUMMYFUNCTION("IFERROR(X122 * (1 + AVERAGE(Filter('Inflation Data'!$C:$C,'Inflation Data'!$A:$A = Y$1))) + 'Fund YTD Contributions'!Y122,'Fund YTD Contributions'!Y122)"),0.0)</f>
        <v>0</v>
      </c>
      <c r="Z122" s="152">
        <f>IFERROR(__xludf.DUMMYFUNCTION("IFERROR(Y122 * (1 + AVERAGE(Filter('Inflation Data'!$C:$C,'Inflation Data'!$A:$A = Z$1))) + 'Fund YTD Contributions'!Z122,'Fund YTD Contributions'!Z122)"),0.0)</f>
        <v>0</v>
      </c>
      <c r="AA122" s="152">
        <f>IFERROR(__xludf.DUMMYFUNCTION("IFERROR(Z122 * (1 + AVERAGE(Filter('Inflation Data'!$C:$C,'Inflation Data'!$A:$A = AA$1))) + 'Fund YTD Contributions'!AA122,'Fund YTD Contributions'!AA122)"),0.0)</f>
        <v>0</v>
      </c>
      <c r="AB122" s="152">
        <f>IFERROR(__xludf.DUMMYFUNCTION("IFERROR(AA122 * (1 + AVERAGE(Filter('Inflation Data'!$C:$C,'Inflation Data'!$A:$A = AB$1))) + 'Fund YTD Contributions'!AB122,'Fund YTD Contributions'!AB122)"),0.0)</f>
        <v>0</v>
      </c>
      <c r="AC122" s="152">
        <f>IFERROR(__xludf.DUMMYFUNCTION("IFERROR(AB122 * (1 + AVERAGE(Filter('Inflation Data'!$C:$C,'Inflation Data'!$A:$A = AC$1))) + 'Fund YTD Contributions'!AC122,'Fund YTD Contributions'!AC122)"),0.0)</f>
        <v>0</v>
      </c>
      <c r="AD122" s="152">
        <f>IFERROR(__xludf.DUMMYFUNCTION("IFERROR(AC122 * (1 + AVERAGE(Filter('Inflation Data'!$C:$C,'Inflation Data'!$A:$A = AD$1))) + 'Fund YTD Contributions'!AD122,'Fund YTD Contributions'!AD122)"),0.0)</f>
        <v>0</v>
      </c>
      <c r="AE122" s="152">
        <f>IFERROR(__xludf.DUMMYFUNCTION("IFERROR(AD122 * (1 + AVERAGE(Filter('Inflation Data'!$C:$C,'Inflation Data'!$A:$A = AE$1))) + 'Fund YTD Contributions'!AE122,'Fund YTD Contributions'!AE122)"),0.0)</f>
        <v>0</v>
      </c>
      <c r="AF122" s="152">
        <f>IFERROR(__xludf.DUMMYFUNCTION("IFERROR(AE122 * (1 + AVERAGE(Filter('Inflation Data'!$C:$C,'Inflation Data'!$A:$A = AF$1))) + 'Fund YTD Contributions'!AF122,'Fund YTD Contributions'!AF122)"),0.0)</f>
        <v>0</v>
      </c>
    </row>
    <row r="123">
      <c r="A123" s="150" t="str">
        <f>'Endowed Funds'!A:A</f>
        <v/>
      </c>
      <c r="B123" s="152">
        <f>IFERROR(__xludf.DUMMYFUNCTION("IFERROR(A123 * (1 + AVERAGE(Filter('Inflation Data'!$C:$C,'Inflation Data'!$A:$A = B$1))) + 'Fund YTD Contributions'!B123,'Fund YTD Contributions'!B123)"),0.0)</f>
        <v>0</v>
      </c>
      <c r="C123" s="152">
        <f>IFERROR(__xludf.DUMMYFUNCTION("IFERROR(B123 * (1 + AVERAGE(Filter('Inflation Data'!$C:$C,'Inflation Data'!$A:$A = C$1))) + 'Fund YTD Contributions'!C123,'Fund YTD Contributions'!C123)"),0.0)</f>
        <v>0</v>
      </c>
      <c r="D123" s="152">
        <f>IFERROR(__xludf.DUMMYFUNCTION("IFERROR(C123 * (1 + AVERAGE(Filter('Inflation Data'!$C:$C,'Inflation Data'!$A:$A = D$1))) + 'Fund YTD Contributions'!D123,'Fund YTD Contributions'!D123)"),0.0)</f>
        <v>0</v>
      </c>
      <c r="E123" s="152">
        <f>IFERROR(__xludf.DUMMYFUNCTION("IFERROR(D123 * (1 + AVERAGE(Filter('Inflation Data'!$C:$C,'Inflation Data'!$A:$A = E$1))) + 'Fund YTD Contributions'!E123,'Fund YTD Contributions'!E123)"),0.0)</f>
        <v>0</v>
      </c>
      <c r="F123" s="152">
        <f>IFERROR(__xludf.DUMMYFUNCTION("IFERROR(E123 * (1 + AVERAGE(Filter('Inflation Data'!$C:$C,'Inflation Data'!$A:$A = F$1))) + 'Fund YTD Contributions'!F123,'Fund YTD Contributions'!F123)"),0.0)</f>
        <v>0</v>
      </c>
      <c r="G123" s="152">
        <f>IFERROR(__xludf.DUMMYFUNCTION("IFERROR(F123 * (1 + AVERAGE(Filter('Inflation Data'!$C:$C,'Inflation Data'!$A:$A = G$1))) + 'Fund YTD Contributions'!G123,'Fund YTD Contributions'!G123)"),0.0)</f>
        <v>0</v>
      </c>
      <c r="H123" s="152">
        <f>IFERROR(__xludf.DUMMYFUNCTION("IFERROR(G123 * (1 + AVERAGE(Filter('Inflation Data'!$C:$C,'Inflation Data'!$A:$A = H$1))) + 'Fund YTD Contributions'!H123,'Fund YTD Contributions'!H123)"),0.0)</f>
        <v>0</v>
      </c>
      <c r="I123" s="152">
        <f>IFERROR(__xludf.DUMMYFUNCTION("IFERROR(H123 * (1 + AVERAGE(Filter('Inflation Data'!$C:$C,'Inflation Data'!$A:$A = I$1))) + 'Fund YTD Contributions'!I123,'Fund YTD Contributions'!I123)"),0.0)</f>
        <v>0</v>
      </c>
      <c r="J123" s="152">
        <f>IFERROR(__xludf.DUMMYFUNCTION("IFERROR(I123 * (1 + AVERAGE(Filter('Inflation Data'!$C:$C,'Inflation Data'!$A:$A = J$1))) + 'Fund YTD Contributions'!J123,'Fund YTD Contributions'!J123)"),0.0)</f>
        <v>0</v>
      </c>
      <c r="K123" s="152">
        <f>IFERROR(__xludf.DUMMYFUNCTION("IFERROR(J123 * (1 + AVERAGE(Filter('Inflation Data'!$C:$C,'Inflation Data'!$A:$A = K$1))) + 'Fund YTD Contributions'!K123,'Fund YTD Contributions'!K123)"),0.0)</f>
        <v>0</v>
      </c>
      <c r="L123" s="152">
        <f>IFERROR(__xludf.DUMMYFUNCTION("IFERROR(K123 * (1 + AVERAGE(Filter('Inflation Data'!$C:$C,'Inflation Data'!$A:$A = L$1))) + 'Fund YTD Contributions'!L123,'Fund YTD Contributions'!L123)"),0.0)</f>
        <v>0</v>
      </c>
      <c r="M123" s="152">
        <f>IFERROR(__xludf.DUMMYFUNCTION("IFERROR(L123 * (1 + AVERAGE(Filter('Inflation Data'!$C:$C,'Inflation Data'!$A:$A = M$1))) + 'Fund YTD Contributions'!M123,'Fund YTD Contributions'!M123)"),0.0)</f>
        <v>0</v>
      </c>
      <c r="N123" s="152">
        <f>IFERROR(__xludf.DUMMYFUNCTION("IFERROR(M123 * (1 + AVERAGE(Filter('Inflation Data'!$C:$C,'Inflation Data'!$A:$A = N$1))) + 'Fund YTD Contributions'!N123,'Fund YTD Contributions'!N123)"),0.0)</f>
        <v>0</v>
      </c>
      <c r="O123" s="152">
        <f>IFERROR(__xludf.DUMMYFUNCTION("IFERROR(N123 * (1 + AVERAGE(Filter('Inflation Data'!$C:$C,'Inflation Data'!$A:$A = O$1))) + 'Fund YTD Contributions'!O123,'Fund YTD Contributions'!O123)"),0.0)</f>
        <v>0</v>
      </c>
      <c r="P123" s="152">
        <f>IFERROR(__xludf.DUMMYFUNCTION("IFERROR(O123 * (1 + AVERAGE(Filter('Inflation Data'!$C:$C,'Inflation Data'!$A:$A = P$1))) + 'Fund YTD Contributions'!P123,'Fund YTD Contributions'!P123)"),0.0)</f>
        <v>0</v>
      </c>
      <c r="Q123" s="152">
        <f>IFERROR(__xludf.DUMMYFUNCTION("IFERROR(P123 * (1 + AVERAGE(Filter('Inflation Data'!$C:$C,'Inflation Data'!$A:$A = Q$1))) + 'Fund YTD Contributions'!Q123,'Fund YTD Contributions'!Q123)"),0.0)</f>
        <v>0</v>
      </c>
      <c r="R123" s="152">
        <f>IFERROR(__xludf.DUMMYFUNCTION("IFERROR(Q123 * (1 + AVERAGE(Filter('Inflation Data'!$C:$C,'Inflation Data'!$A:$A = R$1))) + 'Fund YTD Contributions'!R123,'Fund YTD Contributions'!R123)"),0.0)</f>
        <v>0</v>
      </c>
      <c r="S123" s="152">
        <f>IFERROR(__xludf.DUMMYFUNCTION("IFERROR(R123 * (1 + AVERAGE(Filter('Inflation Data'!$C:$C,'Inflation Data'!$A:$A = S$1))) + 'Fund YTD Contributions'!S123,'Fund YTD Contributions'!S123)"),0.0)</f>
        <v>0</v>
      </c>
      <c r="T123" s="152">
        <f>IFERROR(__xludf.DUMMYFUNCTION("IFERROR(S123 * (1 + AVERAGE(Filter('Inflation Data'!$C:$C,'Inflation Data'!$A:$A = T$1))) + 'Fund YTD Contributions'!T123,'Fund YTD Contributions'!T123)"),0.0)</f>
        <v>0</v>
      </c>
      <c r="U123" s="152">
        <f>IFERROR(__xludf.DUMMYFUNCTION("IFERROR(T123 * (1 + AVERAGE(Filter('Inflation Data'!$C:$C,'Inflation Data'!$A:$A = U$1))) + 'Fund YTD Contributions'!U123,'Fund YTD Contributions'!U123)"),0.0)</f>
        <v>0</v>
      </c>
      <c r="V123" s="152">
        <f>IFERROR(__xludf.DUMMYFUNCTION("IFERROR(U123 * (1 + AVERAGE(Filter('Inflation Data'!$C:$C,'Inflation Data'!$A:$A = V$1))) + 'Fund YTD Contributions'!V123,'Fund YTD Contributions'!V123)"),0.0)</f>
        <v>0</v>
      </c>
      <c r="W123" s="152">
        <f>IFERROR(__xludf.DUMMYFUNCTION("IFERROR(V123 * (1 + AVERAGE(Filter('Inflation Data'!$C:$C,'Inflation Data'!$A:$A = W$1))) + 'Fund YTD Contributions'!W123,'Fund YTD Contributions'!W123)"),0.0)</f>
        <v>0</v>
      </c>
      <c r="X123" s="152">
        <f>IFERROR(__xludf.DUMMYFUNCTION("IFERROR(W123 * (1 + AVERAGE(Filter('Inflation Data'!$C:$C,'Inflation Data'!$A:$A = X$1))) + 'Fund YTD Contributions'!X123,'Fund YTD Contributions'!X123)"),0.0)</f>
        <v>0</v>
      </c>
      <c r="Y123" s="152">
        <f>IFERROR(__xludf.DUMMYFUNCTION("IFERROR(X123 * (1 + AVERAGE(Filter('Inflation Data'!$C:$C,'Inflation Data'!$A:$A = Y$1))) + 'Fund YTD Contributions'!Y123,'Fund YTD Contributions'!Y123)"),0.0)</f>
        <v>0</v>
      </c>
      <c r="Z123" s="152">
        <f>IFERROR(__xludf.DUMMYFUNCTION("IFERROR(Y123 * (1 + AVERAGE(Filter('Inflation Data'!$C:$C,'Inflation Data'!$A:$A = Z$1))) + 'Fund YTD Contributions'!Z123,'Fund YTD Contributions'!Z123)"),0.0)</f>
        <v>0</v>
      </c>
      <c r="AA123" s="152">
        <f>IFERROR(__xludf.DUMMYFUNCTION("IFERROR(Z123 * (1 + AVERAGE(Filter('Inflation Data'!$C:$C,'Inflation Data'!$A:$A = AA$1))) + 'Fund YTD Contributions'!AA123,'Fund YTD Contributions'!AA123)"),0.0)</f>
        <v>0</v>
      </c>
      <c r="AB123" s="152">
        <f>IFERROR(__xludf.DUMMYFUNCTION("IFERROR(AA123 * (1 + AVERAGE(Filter('Inflation Data'!$C:$C,'Inflation Data'!$A:$A = AB$1))) + 'Fund YTD Contributions'!AB123,'Fund YTD Contributions'!AB123)"),0.0)</f>
        <v>0</v>
      </c>
      <c r="AC123" s="152">
        <f>IFERROR(__xludf.DUMMYFUNCTION("IFERROR(AB123 * (1 + AVERAGE(Filter('Inflation Data'!$C:$C,'Inflation Data'!$A:$A = AC$1))) + 'Fund YTD Contributions'!AC123,'Fund YTD Contributions'!AC123)"),0.0)</f>
        <v>0</v>
      </c>
      <c r="AD123" s="152">
        <f>IFERROR(__xludf.DUMMYFUNCTION("IFERROR(AC123 * (1 + AVERAGE(Filter('Inflation Data'!$C:$C,'Inflation Data'!$A:$A = AD$1))) + 'Fund YTD Contributions'!AD123,'Fund YTD Contributions'!AD123)"),0.0)</f>
        <v>0</v>
      </c>
      <c r="AE123" s="152">
        <f>IFERROR(__xludf.DUMMYFUNCTION("IFERROR(AD123 * (1 + AVERAGE(Filter('Inflation Data'!$C:$C,'Inflation Data'!$A:$A = AE$1))) + 'Fund YTD Contributions'!AE123,'Fund YTD Contributions'!AE123)"),0.0)</f>
        <v>0</v>
      </c>
      <c r="AF123" s="152">
        <f>IFERROR(__xludf.DUMMYFUNCTION("IFERROR(AE123 * (1 + AVERAGE(Filter('Inflation Data'!$C:$C,'Inflation Data'!$A:$A = AF$1))) + 'Fund YTD Contributions'!AF123,'Fund YTD Contributions'!AF123)"),0.0)</f>
        <v>0</v>
      </c>
    </row>
    <row r="124">
      <c r="A124" s="150" t="str">
        <f>'Endowed Funds'!A:A</f>
        <v/>
      </c>
      <c r="B124" s="152">
        <f>IFERROR(__xludf.DUMMYFUNCTION("IFERROR(A124 * (1 + AVERAGE(Filter('Inflation Data'!$C:$C,'Inflation Data'!$A:$A = B$1))) + 'Fund YTD Contributions'!B124,'Fund YTD Contributions'!B124)"),0.0)</f>
        <v>0</v>
      </c>
      <c r="C124" s="152">
        <f>IFERROR(__xludf.DUMMYFUNCTION("IFERROR(B124 * (1 + AVERAGE(Filter('Inflation Data'!$C:$C,'Inflation Data'!$A:$A = C$1))) + 'Fund YTD Contributions'!C124,'Fund YTD Contributions'!C124)"),0.0)</f>
        <v>0</v>
      </c>
      <c r="D124" s="152">
        <f>IFERROR(__xludf.DUMMYFUNCTION("IFERROR(C124 * (1 + AVERAGE(Filter('Inflation Data'!$C:$C,'Inflation Data'!$A:$A = D$1))) + 'Fund YTD Contributions'!D124,'Fund YTD Contributions'!D124)"),0.0)</f>
        <v>0</v>
      </c>
      <c r="E124" s="152">
        <f>IFERROR(__xludf.DUMMYFUNCTION("IFERROR(D124 * (1 + AVERAGE(Filter('Inflation Data'!$C:$C,'Inflation Data'!$A:$A = E$1))) + 'Fund YTD Contributions'!E124,'Fund YTD Contributions'!E124)"),0.0)</f>
        <v>0</v>
      </c>
      <c r="F124" s="152">
        <f>IFERROR(__xludf.DUMMYFUNCTION("IFERROR(E124 * (1 + AVERAGE(Filter('Inflation Data'!$C:$C,'Inflation Data'!$A:$A = F$1))) + 'Fund YTD Contributions'!F124,'Fund YTD Contributions'!F124)"),0.0)</f>
        <v>0</v>
      </c>
      <c r="G124" s="152">
        <f>IFERROR(__xludf.DUMMYFUNCTION("IFERROR(F124 * (1 + AVERAGE(Filter('Inflation Data'!$C:$C,'Inflation Data'!$A:$A = G$1))) + 'Fund YTD Contributions'!G124,'Fund YTD Contributions'!G124)"),0.0)</f>
        <v>0</v>
      </c>
      <c r="H124" s="152">
        <f>IFERROR(__xludf.DUMMYFUNCTION("IFERROR(G124 * (1 + AVERAGE(Filter('Inflation Data'!$C:$C,'Inflation Data'!$A:$A = H$1))) + 'Fund YTD Contributions'!H124,'Fund YTD Contributions'!H124)"),0.0)</f>
        <v>0</v>
      </c>
      <c r="I124" s="152">
        <f>IFERROR(__xludf.DUMMYFUNCTION("IFERROR(H124 * (1 + AVERAGE(Filter('Inflation Data'!$C:$C,'Inflation Data'!$A:$A = I$1))) + 'Fund YTD Contributions'!I124,'Fund YTD Contributions'!I124)"),0.0)</f>
        <v>0</v>
      </c>
      <c r="J124" s="152">
        <f>IFERROR(__xludf.DUMMYFUNCTION("IFERROR(I124 * (1 + AVERAGE(Filter('Inflation Data'!$C:$C,'Inflation Data'!$A:$A = J$1))) + 'Fund YTD Contributions'!J124,'Fund YTD Contributions'!J124)"),0.0)</f>
        <v>0</v>
      </c>
      <c r="K124" s="152">
        <f>IFERROR(__xludf.DUMMYFUNCTION("IFERROR(J124 * (1 + AVERAGE(Filter('Inflation Data'!$C:$C,'Inflation Data'!$A:$A = K$1))) + 'Fund YTD Contributions'!K124,'Fund YTD Contributions'!K124)"),0.0)</f>
        <v>0</v>
      </c>
      <c r="L124" s="152">
        <f>IFERROR(__xludf.DUMMYFUNCTION("IFERROR(K124 * (1 + AVERAGE(Filter('Inflation Data'!$C:$C,'Inflation Data'!$A:$A = L$1))) + 'Fund YTD Contributions'!L124,'Fund YTD Contributions'!L124)"),0.0)</f>
        <v>0</v>
      </c>
      <c r="M124" s="152">
        <f>IFERROR(__xludf.DUMMYFUNCTION("IFERROR(L124 * (1 + AVERAGE(Filter('Inflation Data'!$C:$C,'Inflation Data'!$A:$A = M$1))) + 'Fund YTD Contributions'!M124,'Fund YTD Contributions'!M124)"),0.0)</f>
        <v>0</v>
      </c>
      <c r="N124" s="152">
        <f>IFERROR(__xludf.DUMMYFUNCTION("IFERROR(M124 * (1 + AVERAGE(Filter('Inflation Data'!$C:$C,'Inflation Data'!$A:$A = N$1))) + 'Fund YTD Contributions'!N124,'Fund YTD Contributions'!N124)"),0.0)</f>
        <v>0</v>
      </c>
      <c r="O124" s="152">
        <f>IFERROR(__xludf.DUMMYFUNCTION("IFERROR(N124 * (1 + AVERAGE(Filter('Inflation Data'!$C:$C,'Inflation Data'!$A:$A = O$1))) + 'Fund YTD Contributions'!O124,'Fund YTD Contributions'!O124)"),0.0)</f>
        <v>0</v>
      </c>
      <c r="P124" s="152">
        <f>IFERROR(__xludf.DUMMYFUNCTION("IFERROR(O124 * (1 + AVERAGE(Filter('Inflation Data'!$C:$C,'Inflation Data'!$A:$A = P$1))) + 'Fund YTD Contributions'!P124,'Fund YTD Contributions'!P124)"),0.0)</f>
        <v>0</v>
      </c>
      <c r="Q124" s="152">
        <f>IFERROR(__xludf.DUMMYFUNCTION("IFERROR(P124 * (1 + AVERAGE(Filter('Inflation Data'!$C:$C,'Inflation Data'!$A:$A = Q$1))) + 'Fund YTD Contributions'!Q124,'Fund YTD Contributions'!Q124)"),0.0)</f>
        <v>0</v>
      </c>
      <c r="R124" s="152">
        <f>IFERROR(__xludf.DUMMYFUNCTION("IFERROR(Q124 * (1 + AVERAGE(Filter('Inflation Data'!$C:$C,'Inflation Data'!$A:$A = R$1))) + 'Fund YTD Contributions'!R124,'Fund YTD Contributions'!R124)"),0.0)</f>
        <v>0</v>
      </c>
      <c r="S124" s="152">
        <f>IFERROR(__xludf.DUMMYFUNCTION("IFERROR(R124 * (1 + AVERAGE(Filter('Inflation Data'!$C:$C,'Inflation Data'!$A:$A = S$1))) + 'Fund YTD Contributions'!S124,'Fund YTD Contributions'!S124)"),0.0)</f>
        <v>0</v>
      </c>
      <c r="T124" s="152">
        <f>IFERROR(__xludf.DUMMYFUNCTION("IFERROR(S124 * (1 + AVERAGE(Filter('Inflation Data'!$C:$C,'Inflation Data'!$A:$A = T$1))) + 'Fund YTD Contributions'!T124,'Fund YTD Contributions'!T124)"),0.0)</f>
        <v>0</v>
      </c>
      <c r="U124" s="152">
        <f>IFERROR(__xludf.DUMMYFUNCTION("IFERROR(T124 * (1 + AVERAGE(Filter('Inflation Data'!$C:$C,'Inflation Data'!$A:$A = U$1))) + 'Fund YTD Contributions'!U124,'Fund YTD Contributions'!U124)"),0.0)</f>
        <v>0</v>
      </c>
      <c r="V124" s="152">
        <f>IFERROR(__xludf.DUMMYFUNCTION("IFERROR(U124 * (1 + AVERAGE(Filter('Inflation Data'!$C:$C,'Inflation Data'!$A:$A = V$1))) + 'Fund YTD Contributions'!V124,'Fund YTD Contributions'!V124)"),0.0)</f>
        <v>0</v>
      </c>
      <c r="W124" s="152">
        <f>IFERROR(__xludf.DUMMYFUNCTION("IFERROR(V124 * (1 + AVERAGE(Filter('Inflation Data'!$C:$C,'Inflation Data'!$A:$A = W$1))) + 'Fund YTD Contributions'!W124,'Fund YTD Contributions'!W124)"),0.0)</f>
        <v>0</v>
      </c>
      <c r="X124" s="152">
        <f>IFERROR(__xludf.DUMMYFUNCTION("IFERROR(W124 * (1 + AVERAGE(Filter('Inflation Data'!$C:$C,'Inflation Data'!$A:$A = X$1))) + 'Fund YTD Contributions'!X124,'Fund YTD Contributions'!X124)"),0.0)</f>
        <v>0</v>
      </c>
      <c r="Y124" s="152">
        <f>IFERROR(__xludf.DUMMYFUNCTION("IFERROR(X124 * (1 + AVERAGE(Filter('Inflation Data'!$C:$C,'Inflation Data'!$A:$A = Y$1))) + 'Fund YTD Contributions'!Y124,'Fund YTD Contributions'!Y124)"),0.0)</f>
        <v>0</v>
      </c>
      <c r="Z124" s="152">
        <f>IFERROR(__xludf.DUMMYFUNCTION("IFERROR(Y124 * (1 + AVERAGE(Filter('Inflation Data'!$C:$C,'Inflation Data'!$A:$A = Z$1))) + 'Fund YTD Contributions'!Z124,'Fund YTD Contributions'!Z124)"),0.0)</f>
        <v>0</v>
      </c>
      <c r="AA124" s="152">
        <f>IFERROR(__xludf.DUMMYFUNCTION("IFERROR(Z124 * (1 + AVERAGE(Filter('Inflation Data'!$C:$C,'Inflation Data'!$A:$A = AA$1))) + 'Fund YTD Contributions'!AA124,'Fund YTD Contributions'!AA124)"),0.0)</f>
        <v>0</v>
      </c>
      <c r="AB124" s="152">
        <f>IFERROR(__xludf.DUMMYFUNCTION("IFERROR(AA124 * (1 + AVERAGE(Filter('Inflation Data'!$C:$C,'Inflation Data'!$A:$A = AB$1))) + 'Fund YTD Contributions'!AB124,'Fund YTD Contributions'!AB124)"),0.0)</f>
        <v>0</v>
      </c>
      <c r="AC124" s="152">
        <f>IFERROR(__xludf.DUMMYFUNCTION("IFERROR(AB124 * (1 + AVERAGE(Filter('Inflation Data'!$C:$C,'Inflation Data'!$A:$A = AC$1))) + 'Fund YTD Contributions'!AC124,'Fund YTD Contributions'!AC124)"),0.0)</f>
        <v>0</v>
      </c>
      <c r="AD124" s="152">
        <f>IFERROR(__xludf.DUMMYFUNCTION("IFERROR(AC124 * (1 + AVERAGE(Filter('Inflation Data'!$C:$C,'Inflation Data'!$A:$A = AD$1))) + 'Fund YTD Contributions'!AD124,'Fund YTD Contributions'!AD124)"),0.0)</f>
        <v>0</v>
      </c>
      <c r="AE124" s="152">
        <f>IFERROR(__xludf.DUMMYFUNCTION("IFERROR(AD124 * (1 + AVERAGE(Filter('Inflation Data'!$C:$C,'Inflation Data'!$A:$A = AE$1))) + 'Fund YTD Contributions'!AE124,'Fund YTD Contributions'!AE124)"),0.0)</f>
        <v>0</v>
      </c>
      <c r="AF124" s="152">
        <f>IFERROR(__xludf.DUMMYFUNCTION("IFERROR(AE124 * (1 + AVERAGE(Filter('Inflation Data'!$C:$C,'Inflation Data'!$A:$A = AF$1))) + 'Fund YTD Contributions'!AF124,'Fund YTD Contributions'!AF124)"),0.0)</f>
        <v>0</v>
      </c>
    </row>
    <row r="125">
      <c r="A125" s="150" t="str">
        <f>'Endowed Funds'!A:A</f>
        <v/>
      </c>
      <c r="B125" s="152">
        <f>IFERROR(__xludf.DUMMYFUNCTION("IFERROR(A125 * (1 + AVERAGE(Filter('Inflation Data'!$C:$C,'Inflation Data'!$A:$A = B$1))) + 'Fund YTD Contributions'!B125,'Fund YTD Contributions'!B125)"),0.0)</f>
        <v>0</v>
      </c>
      <c r="C125" s="152">
        <f>IFERROR(__xludf.DUMMYFUNCTION("IFERROR(B125 * (1 + AVERAGE(Filter('Inflation Data'!$C:$C,'Inflation Data'!$A:$A = C$1))) + 'Fund YTD Contributions'!C125,'Fund YTD Contributions'!C125)"),0.0)</f>
        <v>0</v>
      </c>
      <c r="D125" s="152">
        <f>IFERROR(__xludf.DUMMYFUNCTION("IFERROR(C125 * (1 + AVERAGE(Filter('Inflation Data'!$C:$C,'Inflation Data'!$A:$A = D$1))) + 'Fund YTD Contributions'!D125,'Fund YTD Contributions'!D125)"),0.0)</f>
        <v>0</v>
      </c>
      <c r="E125" s="152">
        <f>IFERROR(__xludf.DUMMYFUNCTION("IFERROR(D125 * (1 + AVERAGE(Filter('Inflation Data'!$C:$C,'Inflation Data'!$A:$A = E$1))) + 'Fund YTD Contributions'!E125,'Fund YTD Contributions'!E125)"),0.0)</f>
        <v>0</v>
      </c>
      <c r="F125" s="152">
        <f>IFERROR(__xludf.DUMMYFUNCTION("IFERROR(E125 * (1 + AVERAGE(Filter('Inflation Data'!$C:$C,'Inflation Data'!$A:$A = F$1))) + 'Fund YTD Contributions'!F125,'Fund YTD Contributions'!F125)"),0.0)</f>
        <v>0</v>
      </c>
      <c r="G125" s="152">
        <f>IFERROR(__xludf.DUMMYFUNCTION("IFERROR(F125 * (1 + AVERAGE(Filter('Inflation Data'!$C:$C,'Inflation Data'!$A:$A = G$1))) + 'Fund YTD Contributions'!G125,'Fund YTD Contributions'!G125)"),0.0)</f>
        <v>0</v>
      </c>
      <c r="H125" s="152">
        <f>IFERROR(__xludf.DUMMYFUNCTION("IFERROR(G125 * (1 + AVERAGE(Filter('Inflation Data'!$C:$C,'Inflation Data'!$A:$A = H$1))) + 'Fund YTD Contributions'!H125,'Fund YTD Contributions'!H125)"),0.0)</f>
        <v>0</v>
      </c>
      <c r="I125" s="152">
        <f>IFERROR(__xludf.DUMMYFUNCTION("IFERROR(H125 * (1 + AVERAGE(Filter('Inflation Data'!$C:$C,'Inflation Data'!$A:$A = I$1))) + 'Fund YTD Contributions'!I125,'Fund YTD Contributions'!I125)"),0.0)</f>
        <v>0</v>
      </c>
      <c r="J125" s="152">
        <f>IFERROR(__xludf.DUMMYFUNCTION("IFERROR(I125 * (1 + AVERAGE(Filter('Inflation Data'!$C:$C,'Inflation Data'!$A:$A = J$1))) + 'Fund YTD Contributions'!J125,'Fund YTD Contributions'!J125)"),0.0)</f>
        <v>0</v>
      </c>
      <c r="K125" s="152">
        <f>IFERROR(__xludf.DUMMYFUNCTION("IFERROR(J125 * (1 + AVERAGE(Filter('Inflation Data'!$C:$C,'Inflation Data'!$A:$A = K$1))) + 'Fund YTD Contributions'!K125,'Fund YTD Contributions'!K125)"),0.0)</f>
        <v>0</v>
      </c>
      <c r="L125" s="152">
        <f>IFERROR(__xludf.DUMMYFUNCTION("IFERROR(K125 * (1 + AVERAGE(Filter('Inflation Data'!$C:$C,'Inflation Data'!$A:$A = L$1))) + 'Fund YTD Contributions'!L125,'Fund YTD Contributions'!L125)"),0.0)</f>
        <v>0</v>
      </c>
      <c r="M125" s="152">
        <f>IFERROR(__xludf.DUMMYFUNCTION("IFERROR(L125 * (1 + AVERAGE(Filter('Inflation Data'!$C:$C,'Inflation Data'!$A:$A = M$1))) + 'Fund YTD Contributions'!M125,'Fund YTD Contributions'!M125)"),0.0)</f>
        <v>0</v>
      </c>
      <c r="N125" s="152">
        <f>IFERROR(__xludf.DUMMYFUNCTION("IFERROR(M125 * (1 + AVERAGE(Filter('Inflation Data'!$C:$C,'Inflation Data'!$A:$A = N$1))) + 'Fund YTD Contributions'!N125,'Fund YTD Contributions'!N125)"),0.0)</f>
        <v>0</v>
      </c>
      <c r="O125" s="152">
        <f>IFERROR(__xludf.DUMMYFUNCTION("IFERROR(N125 * (1 + AVERAGE(Filter('Inflation Data'!$C:$C,'Inflation Data'!$A:$A = O$1))) + 'Fund YTD Contributions'!O125,'Fund YTD Contributions'!O125)"),0.0)</f>
        <v>0</v>
      </c>
      <c r="P125" s="152">
        <f>IFERROR(__xludf.DUMMYFUNCTION("IFERROR(O125 * (1 + AVERAGE(Filter('Inflation Data'!$C:$C,'Inflation Data'!$A:$A = P$1))) + 'Fund YTD Contributions'!P125,'Fund YTD Contributions'!P125)"),0.0)</f>
        <v>0</v>
      </c>
      <c r="Q125" s="152">
        <f>IFERROR(__xludf.DUMMYFUNCTION("IFERROR(P125 * (1 + AVERAGE(Filter('Inflation Data'!$C:$C,'Inflation Data'!$A:$A = Q$1))) + 'Fund YTD Contributions'!Q125,'Fund YTD Contributions'!Q125)"),0.0)</f>
        <v>0</v>
      </c>
      <c r="R125" s="152">
        <f>IFERROR(__xludf.DUMMYFUNCTION("IFERROR(Q125 * (1 + AVERAGE(Filter('Inflation Data'!$C:$C,'Inflation Data'!$A:$A = R$1))) + 'Fund YTD Contributions'!R125,'Fund YTD Contributions'!R125)"),0.0)</f>
        <v>0</v>
      </c>
      <c r="S125" s="152">
        <f>IFERROR(__xludf.DUMMYFUNCTION("IFERROR(R125 * (1 + AVERAGE(Filter('Inflation Data'!$C:$C,'Inflation Data'!$A:$A = S$1))) + 'Fund YTD Contributions'!S125,'Fund YTD Contributions'!S125)"),0.0)</f>
        <v>0</v>
      </c>
      <c r="T125" s="152">
        <f>IFERROR(__xludf.DUMMYFUNCTION("IFERROR(S125 * (1 + AVERAGE(Filter('Inflation Data'!$C:$C,'Inflation Data'!$A:$A = T$1))) + 'Fund YTD Contributions'!T125,'Fund YTD Contributions'!T125)"),0.0)</f>
        <v>0</v>
      </c>
      <c r="U125" s="152">
        <f>IFERROR(__xludf.DUMMYFUNCTION("IFERROR(T125 * (1 + AVERAGE(Filter('Inflation Data'!$C:$C,'Inflation Data'!$A:$A = U$1))) + 'Fund YTD Contributions'!U125,'Fund YTD Contributions'!U125)"),0.0)</f>
        <v>0</v>
      </c>
      <c r="V125" s="152">
        <f>IFERROR(__xludf.DUMMYFUNCTION("IFERROR(U125 * (1 + AVERAGE(Filter('Inflation Data'!$C:$C,'Inflation Data'!$A:$A = V$1))) + 'Fund YTD Contributions'!V125,'Fund YTD Contributions'!V125)"),0.0)</f>
        <v>0</v>
      </c>
      <c r="W125" s="152">
        <f>IFERROR(__xludf.DUMMYFUNCTION("IFERROR(V125 * (1 + AVERAGE(Filter('Inflation Data'!$C:$C,'Inflation Data'!$A:$A = W$1))) + 'Fund YTD Contributions'!W125,'Fund YTD Contributions'!W125)"),0.0)</f>
        <v>0</v>
      </c>
      <c r="X125" s="152">
        <f>IFERROR(__xludf.DUMMYFUNCTION("IFERROR(W125 * (1 + AVERAGE(Filter('Inflation Data'!$C:$C,'Inflation Data'!$A:$A = X$1))) + 'Fund YTD Contributions'!X125,'Fund YTD Contributions'!X125)"),0.0)</f>
        <v>0</v>
      </c>
      <c r="Y125" s="152">
        <f>IFERROR(__xludf.DUMMYFUNCTION("IFERROR(X125 * (1 + AVERAGE(Filter('Inflation Data'!$C:$C,'Inflation Data'!$A:$A = Y$1))) + 'Fund YTD Contributions'!Y125,'Fund YTD Contributions'!Y125)"),0.0)</f>
        <v>0</v>
      </c>
      <c r="Z125" s="152">
        <f>IFERROR(__xludf.DUMMYFUNCTION("IFERROR(Y125 * (1 + AVERAGE(Filter('Inflation Data'!$C:$C,'Inflation Data'!$A:$A = Z$1))) + 'Fund YTD Contributions'!Z125,'Fund YTD Contributions'!Z125)"),0.0)</f>
        <v>0</v>
      </c>
      <c r="AA125" s="152">
        <f>IFERROR(__xludf.DUMMYFUNCTION("IFERROR(Z125 * (1 + AVERAGE(Filter('Inflation Data'!$C:$C,'Inflation Data'!$A:$A = AA$1))) + 'Fund YTD Contributions'!AA125,'Fund YTD Contributions'!AA125)"),0.0)</f>
        <v>0</v>
      </c>
      <c r="AB125" s="152">
        <f>IFERROR(__xludf.DUMMYFUNCTION("IFERROR(AA125 * (1 + AVERAGE(Filter('Inflation Data'!$C:$C,'Inflation Data'!$A:$A = AB$1))) + 'Fund YTD Contributions'!AB125,'Fund YTD Contributions'!AB125)"),0.0)</f>
        <v>0</v>
      </c>
      <c r="AC125" s="152">
        <f>IFERROR(__xludf.DUMMYFUNCTION("IFERROR(AB125 * (1 + AVERAGE(Filter('Inflation Data'!$C:$C,'Inflation Data'!$A:$A = AC$1))) + 'Fund YTD Contributions'!AC125,'Fund YTD Contributions'!AC125)"),0.0)</f>
        <v>0</v>
      </c>
      <c r="AD125" s="152">
        <f>IFERROR(__xludf.DUMMYFUNCTION("IFERROR(AC125 * (1 + AVERAGE(Filter('Inflation Data'!$C:$C,'Inflation Data'!$A:$A = AD$1))) + 'Fund YTD Contributions'!AD125,'Fund YTD Contributions'!AD125)"),0.0)</f>
        <v>0</v>
      </c>
      <c r="AE125" s="152">
        <f>IFERROR(__xludf.DUMMYFUNCTION("IFERROR(AD125 * (1 + AVERAGE(Filter('Inflation Data'!$C:$C,'Inflation Data'!$A:$A = AE$1))) + 'Fund YTD Contributions'!AE125,'Fund YTD Contributions'!AE125)"),0.0)</f>
        <v>0</v>
      </c>
      <c r="AF125" s="152">
        <f>IFERROR(__xludf.DUMMYFUNCTION("IFERROR(AE125 * (1 + AVERAGE(Filter('Inflation Data'!$C:$C,'Inflation Data'!$A:$A = AF$1))) + 'Fund YTD Contributions'!AF125,'Fund YTD Contributions'!AF125)"),0.0)</f>
        <v>0</v>
      </c>
    </row>
    <row r="126">
      <c r="A126" s="150" t="str">
        <f>'Endowed Funds'!A:A</f>
        <v/>
      </c>
      <c r="B126" s="152">
        <f>IFERROR(__xludf.DUMMYFUNCTION("IFERROR(A126 * (1 + AVERAGE(Filter('Inflation Data'!$C:$C,'Inflation Data'!$A:$A = B$1))) + 'Fund YTD Contributions'!B126,'Fund YTD Contributions'!B126)"),0.0)</f>
        <v>0</v>
      </c>
      <c r="C126" s="152">
        <f>IFERROR(__xludf.DUMMYFUNCTION("IFERROR(B126 * (1 + AVERAGE(Filter('Inflation Data'!$C:$C,'Inflation Data'!$A:$A = C$1))) + 'Fund YTD Contributions'!C126,'Fund YTD Contributions'!C126)"),0.0)</f>
        <v>0</v>
      </c>
      <c r="D126" s="152">
        <f>IFERROR(__xludf.DUMMYFUNCTION("IFERROR(C126 * (1 + AVERAGE(Filter('Inflation Data'!$C:$C,'Inflation Data'!$A:$A = D$1))) + 'Fund YTD Contributions'!D126,'Fund YTD Contributions'!D126)"),0.0)</f>
        <v>0</v>
      </c>
      <c r="E126" s="152">
        <f>IFERROR(__xludf.DUMMYFUNCTION("IFERROR(D126 * (1 + AVERAGE(Filter('Inflation Data'!$C:$C,'Inflation Data'!$A:$A = E$1))) + 'Fund YTD Contributions'!E126,'Fund YTD Contributions'!E126)"),0.0)</f>
        <v>0</v>
      </c>
      <c r="F126" s="152">
        <f>IFERROR(__xludf.DUMMYFUNCTION("IFERROR(E126 * (1 + AVERAGE(Filter('Inflation Data'!$C:$C,'Inflation Data'!$A:$A = F$1))) + 'Fund YTD Contributions'!F126,'Fund YTD Contributions'!F126)"),0.0)</f>
        <v>0</v>
      </c>
      <c r="G126" s="152">
        <f>IFERROR(__xludf.DUMMYFUNCTION("IFERROR(F126 * (1 + AVERAGE(Filter('Inflation Data'!$C:$C,'Inflation Data'!$A:$A = G$1))) + 'Fund YTD Contributions'!G126,'Fund YTD Contributions'!G126)"),0.0)</f>
        <v>0</v>
      </c>
      <c r="H126" s="152">
        <f>IFERROR(__xludf.DUMMYFUNCTION("IFERROR(G126 * (1 + AVERAGE(Filter('Inflation Data'!$C:$C,'Inflation Data'!$A:$A = H$1))) + 'Fund YTD Contributions'!H126,'Fund YTD Contributions'!H126)"),0.0)</f>
        <v>0</v>
      </c>
      <c r="I126" s="152">
        <f>IFERROR(__xludf.DUMMYFUNCTION("IFERROR(H126 * (1 + AVERAGE(Filter('Inflation Data'!$C:$C,'Inflation Data'!$A:$A = I$1))) + 'Fund YTD Contributions'!I126,'Fund YTD Contributions'!I126)"),0.0)</f>
        <v>0</v>
      </c>
      <c r="J126" s="152">
        <f>IFERROR(__xludf.DUMMYFUNCTION("IFERROR(I126 * (1 + AVERAGE(Filter('Inflation Data'!$C:$C,'Inflation Data'!$A:$A = J$1))) + 'Fund YTD Contributions'!J126,'Fund YTD Contributions'!J126)"),0.0)</f>
        <v>0</v>
      </c>
      <c r="K126" s="152">
        <f>IFERROR(__xludf.DUMMYFUNCTION("IFERROR(J126 * (1 + AVERAGE(Filter('Inflation Data'!$C:$C,'Inflation Data'!$A:$A = K$1))) + 'Fund YTD Contributions'!K126,'Fund YTD Contributions'!K126)"),0.0)</f>
        <v>0</v>
      </c>
      <c r="L126" s="152">
        <f>IFERROR(__xludf.DUMMYFUNCTION("IFERROR(K126 * (1 + AVERAGE(Filter('Inflation Data'!$C:$C,'Inflation Data'!$A:$A = L$1))) + 'Fund YTD Contributions'!L126,'Fund YTD Contributions'!L126)"),0.0)</f>
        <v>0</v>
      </c>
      <c r="M126" s="152">
        <f>IFERROR(__xludf.DUMMYFUNCTION("IFERROR(L126 * (1 + AVERAGE(Filter('Inflation Data'!$C:$C,'Inflation Data'!$A:$A = M$1))) + 'Fund YTD Contributions'!M126,'Fund YTD Contributions'!M126)"),0.0)</f>
        <v>0</v>
      </c>
      <c r="N126" s="152">
        <f>IFERROR(__xludf.DUMMYFUNCTION("IFERROR(M126 * (1 + AVERAGE(Filter('Inflation Data'!$C:$C,'Inflation Data'!$A:$A = N$1))) + 'Fund YTD Contributions'!N126,'Fund YTD Contributions'!N126)"),0.0)</f>
        <v>0</v>
      </c>
      <c r="O126" s="152">
        <f>IFERROR(__xludf.DUMMYFUNCTION("IFERROR(N126 * (1 + AVERAGE(Filter('Inflation Data'!$C:$C,'Inflation Data'!$A:$A = O$1))) + 'Fund YTD Contributions'!O126,'Fund YTD Contributions'!O126)"),0.0)</f>
        <v>0</v>
      </c>
      <c r="P126" s="152">
        <f>IFERROR(__xludf.DUMMYFUNCTION("IFERROR(O126 * (1 + AVERAGE(Filter('Inflation Data'!$C:$C,'Inflation Data'!$A:$A = P$1))) + 'Fund YTD Contributions'!P126,'Fund YTD Contributions'!P126)"),0.0)</f>
        <v>0</v>
      </c>
      <c r="Q126" s="152">
        <f>IFERROR(__xludf.DUMMYFUNCTION("IFERROR(P126 * (1 + AVERAGE(Filter('Inflation Data'!$C:$C,'Inflation Data'!$A:$A = Q$1))) + 'Fund YTD Contributions'!Q126,'Fund YTD Contributions'!Q126)"),0.0)</f>
        <v>0</v>
      </c>
      <c r="R126" s="152">
        <f>IFERROR(__xludf.DUMMYFUNCTION("IFERROR(Q126 * (1 + AVERAGE(Filter('Inflation Data'!$C:$C,'Inflation Data'!$A:$A = R$1))) + 'Fund YTD Contributions'!R126,'Fund YTD Contributions'!R126)"),0.0)</f>
        <v>0</v>
      </c>
      <c r="S126" s="152">
        <f>IFERROR(__xludf.DUMMYFUNCTION("IFERROR(R126 * (1 + AVERAGE(Filter('Inflation Data'!$C:$C,'Inflation Data'!$A:$A = S$1))) + 'Fund YTD Contributions'!S126,'Fund YTD Contributions'!S126)"),0.0)</f>
        <v>0</v>
      </c>
      <c r="T126" s="152">
        <f>IFERROR(__xludf.DUMMYFUNCTION("IFERROR(S126 * (1 + AVERAGE(Filter('Inflation Data'!$C:$C,'Inflation Data'!$A:$A = T$1))) + 'Fund YTD Contributions'!T126,'Fund YTD Contributions'!T126)"),0.0)</f>
        <v>0</v>
      </c>
      <c r="U126" s="152">
        <f>IFERROR(__xludf.DUMMYFUNCTION("IFERROR(T126 * (1 + AVERAGE(Filter('Inflation Data'!$C:$C,'Inflation Data'!$A:$A = U$1))) + 'Fund YTD Contributions'!U126,'Fund YTD Contributions'!U126)"),0.0)</f>
        <v>0</v>
      </c>
      <c r="V126" s="152">
        <f>IFERROR(__xludf.DUMMYFUNCTION("IFERROR(U126 * (1 + AVERAGE(Filter('Inflation Data'!$C:$C,'Inflation Data'!$A:$A = V$1))) + 'Fund YTD Contributions'!V126,'Fund YTD Contributions'!V126)"),0.0)</f>
        <v>0</v>
      </c>
      <c r="W126" s="152">
        <f>IFERROR(__xludf.DUMMYFUNCTION("IFERROR(V126 * (1 + AVERAGE(Filter('Inflation Data'!$C:$C,'Inflation Data'!$A:$A = W$1))) + 'Fund YTD Contributions'!W126,'Fund YTD Contributions'!W126)"),0.0)</f>
        <v>0</v>
      </c>
      <c r="X126" s="152">
        <f>IFERROR(__xludf.DUMMYFUNCTION("IFERROR(W126 * (1 + AVERAGE(Filter('Inflation Data'!$C:$C,'Inflation Data'!$A:$A = X$1))) + 'Fund YTD Contributions'!X126,'Fund YTD Contributions'!X126)"),0.0)</f>
        <v>0</v>
      </c>
      <c r="Y126" s="152">
        <f>IFERROR(__xludf.DUMMYFUNCTION("IFERROR(X126 * (1 + AVERAGE(Filter('Inflation Data'!$C:$C,'Inflation Data'!$A:$A = Y$1))) + 'Fund YTD Contributions'!Y126,'Fund YTD Contributions'!Y126)"),0.0)</f>
        <v>0</v>
      </c>
      <c r="Z126" s="152">
        <f>IFERROR(__xludf.DUMMYFUNCTION("IFERROR(Y126 * (1 + AVERAGE(Filter('Inflation Data'!$C:$C,'Inflation Data'!$A:$A = Z$1))) + 'Fund YTD Contributions'!Z126,'Fund YTD Contributions'!Z126)"),0.0)</f>
        <v>0</v>
      </c>
      <c r="AA126" s="152">
        <f>IFERROR(__xludf.DUMMYFUNCTION("IFERROR(Z126 * (1 + AVERAGE(Filter('Inflation Data'!$C:$C,'Inflation Data'!$A:$A = AA$1))) + 'Fund YTD Contributions'!AA126,'Fund YTD Contributions'!AA126)"),0.0)</f>
        <v>0</v>
      </c>
      <c r="AB126" s="152">
        <f>IFERROR(__xludf.DUMMYFUNCTION("IFERROR(AA126 * (1 + AVERAGE(Filter('Inflation Data'!$C:$C,'Inflation Data'!$A:$A = AB$1))) + 'Fund YTD Contributions'!AB126,'Fund YTD Contributions'!AB126)"),0.0)</f>
        <v>0</v>
      </c>
      <c r="AC126" s="152">
        <f>IFERROR(__xludf.DUMMYFUNCTION("IFERROR(AB126 * (1 + AVERAGE(Filter('Inflation Data'!$C:$C,'Inflation Data'!$A:$A = AC$1))) + 'Fund YTD Contributions'!AC126,'Fund YTD Contributions'!AC126)"),0.0)</f>
        <v>0</v>
      </c>
      <c r="AD126" s="152">
        <f>IFERROR(__xludf.DUMMYFUNCTION("IFERROR(AC126 * (1 + AVERAGE(Filter('Inflation Data'!$C:$C,'Inflation Data'!$A:$A = AD$1))) + 'Fund YTD Contributions'!AD126,'Fund YTD Contributions'!AD126)"),0.0)</f>
        <v>0</v>
      </c>
      <c r="AE126" s="152">
        <f>IFERROR(__xludf.DUMMYFUNCTION("IFERROR(AD126 * (1 + AVERAGE(Filter('Inflation Data'!$C:$C,'Inflation Data'!$A:$A = AE$1))) + 'Fund YTD Contributions'!AE126,'Fund YTD Contributions'!AE126)"),0.0)</f>
        <v>0</v>
      </c>
      <c r="AF126" s="152">
        <f>IFERROR(__xludf.DUMMYFUNCTION("IFERROR(AE126 * (1 + AVERAGE(Filter('Inflation Data'!$C:$C,'Inflation Data'!$A:$A = AF$1))) + 'Fund YTD Contributions'!AF126,'Fund YTD Contributions'!AF126)"),0.0)</f>
        <v>0</v>
      </c>
    </row>
    <row r="127">
      <c r="A127" s="150" t="str">
        <f>'Endowed Funds'!A:A</f>
        <v/>
      </c>
      <c r="B127" s="152">
        <f>IFERROR(__xludf.DUMMYFUNCTION("IFERROR(A127 * (1 + AVERAGE(Filter('Inflation Data'!$C:$C,'Inflation Data'!$A:$A = B$1))) + 'Fund YTD Contributions'!B127,'Fund YTD Contributions'!B127)"),0.0)</f>
        <v>0</v>
      </c>
      <c r="C127" s="152">
        <f>IFERROR(__xludf.DUMMYFUNCTION("IFERROR(B127 * (1 + AVERAGE(Filter('Inflation Data'!$C:$C,'Inflation Data'!$A:$A = C$1))) + 'Fund YTD Contributions'!C127,'Fund YTD Contributions'!C127)"),0.0)</f>
        <v>0</v>
      </c>
      <c r="D127" s="152">
        <f>IFERROR(__xludf.DUMMYFUNCTION("IFERROR(C127 * (1 + AVERAGE(Filter('Inflation Data'!$C:$C,'Inflation Data'!$A:$A = D$1))) + 'Fund YTD Contributions'!D127,'Fund YTD Contributions'!D127)"),0.0)</f>
        <v>0</v>
      </c>
      <c r="E127" s="152">
        <f>IFERROR(__xludf.DUMMYFUNCTION("IFERROR(D127 * (1 + AVERAGE(Filter('Inflation Data'!$C:$C,'Inflation Data'!$A:$A = E$1))) + 'Fund YTD Contributions'!E127,'Fund YTD Contributions'!E127)"),0.0)</f>
        <v>0</v>
      </c>
      <c r="F127" s="152">
        <f>IFERROR(__xludf.DUMMYFUNCTION("IFERROR(E127 * (1 + AVERAGE(Filter('Inflation Data'!$C:$C,'Inflation Data'!$A:$A = F$1))) + 'Fund YTD Contributions'!F127,'Fund YTD Contributions'!F127)"),0.0)</f>
        <v>0</v>
      </c>
      <c r="G127" s="152">
        <f>IFERROR(__xludf.DUMMYFUNCTION("IFERROR(F127 * (1 + AVERAGE(Filter('Inflation Data'!$C:$C,'Inflation Data'!$A:$A = G$1))) + 'Fund YTD Contributions'!G127,'Fund YTD Contributions'!G127)"),0.0)</f>
        <v>0</v>
      </c>
      <c r="H127" s="152">
        <f>IFERROR(__xludf.DUMMYFUNCTION("IFERROR(G127 * (1 + AVERAGE(Filter('Inflation Data'!$C:$C,'Inflation Data'!$A:$A = H$1))) + 'Fund YTD Contributions'!H127,'Fund YTD Contributions'!H127)"),0.0)</f>
        <v>0</v>
      </c>
      <c r="I127" s="152">
        <f>IFERROR(__xludf.DUMMYFUNCTION("IFERROR(H127 * (1 + AVERAGE(Filter('Inflation Data'!$C:$C,'Inflation Data'!$A:$A = I$1))) + 'Fund YTD Contributions'!I127,'Fund YTD Contributions'!I127)"),0.0)</f>
        <v>0</v>
      </c>
      <c r="J127" s="152">
        <f>IFERROR(__xludf.DUMMYFUNCTION("IFERROR(I127 * (1 + AVERAGE(Filter('Inflation Data'!$C:$C,'Inflation Data'!$A:$A = J$1))) + 'Fund YTD Contributions'!J127,'Fund YTD Contributions'!J127)"),0.0)</f>
        <v>0</v>
      </c>
      <c r="K127" s="152">
        <f>IFERROR(__xludf.DUMMYFUNCTION("IFERROR(J127 * (1 + AVERAGE(Filter('Inflation Data'!$C:$C,'Inflation Data'!$A:$A = K$1))) + 'Fund YTD Contributions'!K127,'Fund YTD Contributions'!K127)"),0.0)</f>
        <v>0</v>
      </c>
      <c r="L127" s="152">
        <f>IFERROR(__xludf.DUMMYFUNCTION("IFERROR(K127 * (1 + AVERAGE(Filter('Inflation Data'!$C:$C,'Inflation Data'!$A:$A = L$1))) + 'Fund YTD Contributions'!L127,'Fund YTD Contributions'!L127)"),0.0)</f>
        <v>0</v>
      </c>
      <c r="M127" s="152">
        <f>IFERROR(__xludf.DUMMYFUNCTION("IFERROR(L127 * (1 + AVERAGE(Filter('Inflation Data'!$C:$C,'Inflation Data'!$A:$A = M$1))) + 'Fund YTD Contributions'!M127,'Fund YTD Contributions'!M127)"),0.0)</f>
        <v>0</v>
      </c>
      <c r="N127" s="152">
        <f>IFERROR(__xludf.DUMMYFUNCTION("IFERROR(M127 * (1 + AVERAGE(Filter('Inflation Data'!$C:$C,'Inflation Data'!$A:$A = N$1))) + 'Fund YTD Contributions'!N127,'Fund YTD Contributions'!N127)"),0.0)</f>
        <v>0</v>
      </c>
      <c r="O127" s="152">
        <f>IFERROR(__xludf.DUMMYFUNCTION("IFERROR(N127 * (1 + AVERAGE(Filter('Inflation Data'!$C:$C,'Inflation Data'!$A:$A = O$1))) + 'Fund YTD Contributions'!O127,'Fund YTD Contributions'!O127)"),0.0)</f>
        <v>0</v>
      </c>
      <c r="P127" s="152">
        <f>IFERROR(__xludf.DUMMYFUNCTION("IFERROR(O127 * (1 + AVERAGE(Filter('Inflation Data'!$C:$C,'Inflation Data'!$A:$A = P$1))) + 'Fund YTD Contributions'!P127,'Fund YTD Contributions'!P127)"),0.0)</f>
        <v>0</v>
      </c>
      <c r="Q127" s="152">
        <f>IFERROR(__xludf.DUMMYFUNCTION("IFERROR(P127 * (1 + AVERAGE(Filter('Inflation Data'!$C:$C,'Inflation Data'!$A:$A = Q$1))) + 'Fund YTD Contributions'!Q127,'Fund YTD Contributions'!Q127)"),0.0)</f>
        <v>0</v>
      </c>
      <c r="R127" s="152">
        <f>IFERROR(__xludf.DUMMYFUNCTION("IFERROR(Q127 * (1 + AVERAGE(Filter('Inflation Data'!$C:$C,'Inflation Data'!$A:$A = R$1))) + 'Fund YTD Contributions'!R127,'Fund YTD Contributions'!R127)"),0.0)</f>
        <v>0</v>
      </c>
      <c r="S127" s="152">
        <f>IFERROR(__xludf.DUMMYFUNCTION("IFERROR(R127 * (1 + AVERAGE(Filter('Inflation Data'!$C:$C,'Inflation Data'!$A:$A = S$1))) + 'Fund YTD Contributions'!S127,'Fund YTD Contributions'!S127)"),0.0)</f>
        <v>0</v>
      </c>
      <c r="T127" s="152">
        <f>IFERROR(__xludf.DUMMYFUNCTION("IFERROR(S127 * (1 + AVERAGE(Filter('Inflation Data'!$C:$C,'Inflation Data'!$A:$A = T$1))) + 'Fund YTD Contributions'!T127,'Fund YTD Contributions'!T127)"),0.0)</f>
        <v>0</v>
      </c>
      <c r="U127" s="152">
        <f>IFERROR(__xludf.DUMMYFUNCTION("IFERROR(T127 * (1 + AVERAGE(Filter('Inflation Data'!$C:$C,'Inflation Data'!$A:$A = U$1))) + 'Fund YTD Contributions'!U127,'Fund YTD Contributions'!U127)"),0.0)</f>
        <v>0</v>
      </c>
      <c r="V127" s="152">
        <f>IFERROR(__xludf.DUMMYFUNCTION("IFERROR(U127 * (1 + AVERAGE(Filter('Inflation Data'!$C:$C,'Inflation Data'!$A:$A = V$1))) + 'Fund YTD Contributions'!V127,'Fund YTD Contributions'!V127)"),0.0)</f>
        <v>0</v>
      </c>
      <c r="W127" s="152">
        <f>IFERROR(__xludf.DUMMYFUNCTION("IFERROR(V127 * (1 + AVERAGE(Filter('Inflation Data'!$C:$C,'Inflation Data'!$A:$A = W$1))) + 'Fund YTD Contributions'!W127,'Fund YTD Contributions'!W127)"),0.0)</f>
        <v>0</v>
      </c>
      <c r="X127" s="152">
        <f>IFERROR(__xludf.DUMMYFUNCTION("IFERROR(W127 * (1 + AVERAGE(Filter('Inflation Data'!$C:$C,'Inflation Data'!$A:$A = X$1))) + 'Fund YTD Contributions'!X127,'Fund YTD Contributions'!X127)"),0.0)</f>
        <v>0</v>
      </c>
      <c r="Y127" s="152">
        <f>IFERROR(__xludf.DUMMYFUNCTION("IFERROR(X127 * (1 + AVERAGE(Filter('Inflation Data'!$C:$C,'Inflation Data'!$A:$A = Y$1))) + 'Fund YTD Contributions'!Y127,'Fund YTD Contributions'!Y127)"),0.0)</f>
        <v>0</v>
      </c>
      <c r="Z127" s="152">
        <f>IFERROR(__xludf.DUMMYFUNCTION("IFERROR(Y127 * (1 + AVERAGE(Filter('Inflation Data'!$C:$C,'Inflation Data'!$A:$A = Z$1))) + 'Fund YTD Contributions'!Z127,'Fund YTD Contributions'!Z127)"),0.0)</f>
        <v>0</v>
      </c>
      <c r="AA127" s="152">
        <f>IFERROR(__xludf.DUMMYFUNCTION("IFERROR(Z127 * (1 + AVERAGE(Filter('Inflation Data'!$C:$C,'Inflation Data'!$A:$A = AA$1))) + 'Fund YTD Contributions'!AA127,'Fund YTD Contributions'!AA127)"),0.0)</f>
        <v>0</v>
      </c>
      <c r="AB127" s="152">
        <f>IFERROR(__xludf.DUMMYFUNCTION("IFERROR(AA127 * (1 + AVERAGE(Filter('Inflation Data'!$C:$C,'Inflation Data'!$A:$A = AB$1))) + 'Fund YTD Contributions'!AB127,'Fund YTD Contributions'!AB127)"),0.0)</f>
        <v>0</v>
      </c>
      <c r="AC127" s="152">
        <f>IFERROR(__xludf.DUMMYFUNCTION("IFERROR(AB127 * (1 + AVERAGE(Filter('Inflation Data'!$C:$C,'Inflation Data'!$A:$A = AC$1))) + 'Fund YTD Contributions'!AC127,'Fund YTD Contributions'!AC127)"),0.0)</f>
        <v>0</v>
      </c>
      <c r="AD127" s="152">
        <f>IFERROR(__xludf.DUMMYFUNCTION("IFERROR(AC127 * (1 + AVERAGE(Filter('Inflation Data'!$C:$C,'Inflation Data'!$A:$A = AD$1))) + 'Fund YTD Contributions'!AD127,'Fund YTD Contributions'!AD127)"),0.0)</f>
        <v>0</v>
      </c>
      <c r="AE127" s="152">
        <f>IFERROR(__xludf.DUMMYFUNCTION("IFERROR(AD127 * (1 + AVERAGE(Filter('Inflation Data'!$C:$C,'Inflation Data'!$A:$A = AE$1))) + 'Fund YTD Contributions'!AE127,'Fund YTD Contributions'!AE127)"),0.0)</f>
        <v>0</v>
      </c>
      <c r="AF127" s="152">
        <f>IFERROR(__xludf.DUMMYFUNCTION("IFERROR(AE127 * (1 + AVERAGE(Filter('Inflation Data'!$C:$C,'Inflation Data'!$A:$A = AF$1))) + 'Fund YTD Contributions'!AF127,'Fund YTD Contributions'!AF127)"),0.0)</f>
        <v>0</v>
      </c>
    </row>
    <row r="128">
      <c r="A128" s="150" t="str">
        <f>'Endowed Funds'!A:A</f>
        <v/>
      </c>
      <c r="B128" s="152">
        <f>IFERROR(__xludf.DUMMYFUNCTION("IFERROR(A128 * (1 + AVERAGE(Filter('Inflation Data'!$C:$C,'Inflation Data'!$A:$A = B$1))) + 'Fund YTD Contributions'!B128,'Fund YTD Contributions'!B128)"),0.0)</f>
        <v>0</v>
      </c>
      <c r="C128" s="152">
        <f>IFERROR(__xludf.DUMMYFUNCTION("IFERROR(B128 * (1 + AVERAGE(Filter('Inflation Data'!$C:$C,'Inflation Data'!$A:$A = C$1))) + 'Fund YTD Contributions'!C128,'Fund YTD Contributions'!C128)"),0.0)</f>
        <v>0</v>
      </c>
      <c r="D128" s="152">
        <f>IFERROR(__xludf.DUMMYFUNCTION("IFERROR(C128 * (1 + AVERAGE(Filter('Inflation Data'!$C:$C,'Inflation Data'!$A:$A = D$1))) + 'Fund YTD Contributions'!D128,'Fund YTD Contributions'!D128)"),0.0)</f>
        <v>0</v>
      </c>
      <c r="E128" s="152">
        <f>IFERROR(__xludf.DUMMYFUNCTION("IFERROR(D128 * (1 + AVERAGE(Filter('Inflation Data'!$C:$C,'Inflation Data'!$A:$A = E$1))) + 'Fund YTD Contributions'!E128,'Fund YTD Contributions'!E128)"),0.0)</f>
        <v>0</v>
      </c>
      <c r="F128" s="152">
        <f>IFERROR(__xludf.DUMMYFUNCTION("IFERROR(E128 * (1 + AVERAGE(Filter('Inflation Data'!$C:$C,'Inflation Data'!$A:$A = F$1))) + 'Fund YTD Contributions'!F128,'Fund YTD Contributions'!F128)"),0.0)</f>
        <v>0</v>
      </c>
      <c r="G128" s="152">
        <f>IFERROR(__xludf.DUMMYFUNCTION("IFERROR(F128 * (1 + AVERAGE(Filter('Inflation Data'!$C:$C,'Inflation Data'!$A:$A = G$1))) + 'Fund YTD Contributions'!G128,'Fund YTD Contributions'!G128)"),0.0)</f>
        <v>0</v>
      </c>
      <c r="H128" s="152">
        <f>IFERROR(__xludf.DUMMYFUNCTION("IFERROR(G128 * (1 + AVERAGE(Filter('Inflation Data'!$C:$C,'Inflation Data'!$A:$A = H$1))) + 'Fund YTD Contributions'!H128,'Fund YTD Contributions'!H128)"),0.0)</f>
        <v>0</v>
      </c>
      <c r="I128" s="152">
        <f>IFERROR(__xludf.DUMMYFUNCTION("IFERROR(H128 * (1 + AVERAGE(Filter('Inflation Data'!$C:$C,'Inflation Data'!$A:$A = I$1))) + 'Fund YTD Contributions'!I128,'Fund YTD Contributions'!I128)"),0.0)</f>
        <v>0</v>
      </c>
      <c r="J128" s="152">
        <f>IFERROR(__xludf.DUMMYFUNCTION("IFERROR(I128 * (1 + AVERAGE(Filter('Inflation Data'!$C:$C,'Inflation Data'!$A:$A = J$1))) + 'Fund YTD Contributions'!J128,'Fund YTD Contributions'!J128)"),0.0)</f>
        <v>0</v>
      </c>
      <c r="K128" s="152">
        <f>IFERROR(__xludf.DUMMYFUNCTION("IFERROR(J128 * (1 + AVERAGE(Filter('Inflation Data'!$C:$C,'Inflation Data'!$A:$A = K$1))) + 'Fund YTD Contributions'!K128,'Fund YTD Contributions'!K128)"),0.0)</f>
        <v>0</v>
      </c>
      <c r="L128" s="152">
        <f>IFERROR(__xludf.DUMMYFUNCTION("IFERROR(K128 * (1 + AVERAGE(Filter('Inflation Data'!$C:$C,'Inflation Data'!$A:$A = L$1))) + 'Fund YTD Contributions'!L128,'Fund YTD Contributions'!L128)"),0.0)</f>
        <v>0</v>
      </c>
      <c r="M128" s="152">
        <f>IFERROR(__xludf.DUMMYFUNCTION("IFERROR(L128 * (1 + AVERAGE(Filter('Inflation Data'!$C:$C,'Inflation Data'!$A:$A = M$1))) + 'Fund YTD Contributions'!M128,'Fund YTD Contributions'!M128)"),0.0)</f>
        <v>0</v>
      </c>
      <c r="N128" s="152">
        <f>IFERROR(__xludf.DUMMYFUNCTION("IFERROR(M128 * (1 + AVERAGE(Filter('Inflation Data'!$C:$C,'Inflation Data'!$A:$A = N$1))) + 'Fund YTD Contributions'!N128,'Fund YTD Contributions'!N128)"),0.0)</f>
        <v>0</v>
      </c>
      <c r="O128" s="152">
        <f>IFERROR(__xludf.DUMMYFUNCTION("IFERROR(N128 * (1 + AVERAGE(Filter('Inflation Data'!$C:$C,'Inflation Data'!$A:$A = O$1))) + 'Fund YTD Contributions'!O128,'Fund YTD Contributions'!O128)"),0.0)</f>
        <v>0</v>
      </c>
      <c r="P128" s="152">
        <f>IFERROR(__xludf.DUMMYFUNCTION("IFERROR(O128 * (1 + AVERAGE(Filter('Inflation Data'!$C:$C,'Inflation Data'!$A:$A = P$1))) + 'Fund YTD Contributions'!P128,'Fund YTD Contributions'!P128)"),0.0)</f>
        <v>0</v>
      </c>
      <c r="Q128" s="152">
        <f>IFERROR(__xludf.DUMMYFUNCTION("IFERROR(P128 * (1 + AVERAGE(Filter('Inflation Data'!$C:$C,'Inflation Data'!$A:$A = Q$1))) + 'Fund YTD Contributions'!Q128,'Fund YTD Contributions'!Q128)"),0.0)</f>
        <v>0</v>
      </c>
      <c r="R128" s="152">
        <f>IFERROR(__xludf.DUMMYFUNCTION("IFERROR(Q128 * (1 + AVERAGE(Filter('Inflation Data'!$C:$C,'Inflation Data'!$A:$A = R$1))) + 'Fund YTD Contributions'!R128,'Fund YTD Contributions'!R128)"),0.0)</f>
        <v>0</v>
      </c>
      <c r="S128" s="152">
        <f>IFERROR(__xludf.DUMMYFUNCTION("IFERROR(R128 * (1 + AVERAGE(Filter('Inflation Data'!$C:$C,'Inflation Data'!$A:$A = S$1))) + 'Fund YTD Contributions'!S128,'Fund YTD Contributions'!S128)"),0.0)</f>
        <v>0</v>
      </c>
      <c r="T128" s="152">
        <f>IFERROR(__xludf.DUMMYFUNCTION("IFERROR(S128 * (1 + AVERAGE(Filter('Inflation Data'!$C:$C,'Inflation Data'!$A:$A = T$1))) + 'Fund YTD Contributions'!T128,'Fund YTD Contributions'!T128)"),0.0)</f>
        <v>0</v>
      </c>
      <c r="U128" s="152">
        <f>IFERROR(__xludf.DUMMYFUNCTION("IFERROR(T128 * (1 + AVERAGE(Filter('Inflation Data'!$C:$C,'Inflation Data'!$A:$A = U$1))) + 'Fund YTD Contributions'!U128,'Fund YTD Contributions'!U128)"),0.0)</f>
        <v>0</v>
      </c>
      <c r="V128" s="152">
        <f>IFERROR(__xludf.DUMMYFUNCTION("IFERROR(U128 * (1 + AVERAGE(Filter('Inflation Data'!$C:$C,'Inflation Data'!$A:$A = V$1))) + 'Fund YTD Contributions'!V128,'Fund YTD Contributions'!V128)"),0.0)</f>
        <v>0</v>
      </c>
      <c r="W128" s="152">
        <f>IFERROR(__xludf.DUMMYFUNCTION("IFERROR(V128 * (1 + AVERAGE(Filter('Inflation Data'!$C:$C,'Inflation Data'!$A:$A = W$1))) + 'Fund YTD Contributions'!W128,'Fund YTD Contributions'!W128)"),0.0)</f>
        <v>0</v>
      </c>
      <c r="X128" s="152">
        <f>IFERROR(__xludf.DUMMYFUNCTION("IFERROR(W128 * (1 + AVERAGE(Filter('Inflation Data'!$C:$C,'Inflation Data'!$A:$A = X$1))) + 'Fund YTD Contributions'!X128,'Fund YTD Contributions'!X128)"),0.0)</f>
        <v>0</v>
      </c>
      <c r="Y128" s="152">
        <f>IFERROR(__xludf.DUMMYFUNCTION("IFERROR(X128 * (1 + AVERAGE(Filter('Inflation Data'!$C:$C,'Inflation Data'!$A:$A = Y$1))) + 'Fund YTD Contributions'!Y128,'Fund YTD Contributions'!Y128)"),0.0)</f>
        <v>0</v>
      </c>
      <c r="Z128" s="152">
        <f>IFERROR(__xludf.DUMMYFUNCTION("IFERROR(Y128 * (1 + AVERAGE(Filter('Inflation Data'!$C:$C,'Inflation Data'!$A:$A = Z$1))) + 'Fund YTD Contributions'!Z128,'Fund YTD Contributions'!Z128)"),0.0)</f>
        <v>0</v>
      </c>
      <c r="AA128" s="152"/>
      <c r="AB128" s="152"/>
      <c r="AC128" s="152"/>
      <c r="AD128" s="152"/>
      <c r="AE128" s="152"/>
      <c r="AF128" s="152"/>
    </row>
    <row r="129">
      <c r="A129" s="150" t="str">
        <f>'Endowed Funds'!A:A</f>
        <v/>
      </c>
      <c r="B129" s="152">
        <f>IFERROR(__xludf.DUMMYFUNCTION("IFERROR(A129 * (1 + AVERAGE(Filter('Inflation Data'!$C:$C,'Inflation Data'!$A:$A = B$1))) + 'Fund YTD Contributions'!B129,'Fund YTD Contributions'!B129)"),0.0)</f>
        <v>0</v>
      </c>
      <c r="C129" s="152">
        <f>IFERROR(__xludf.DUMMYFUNCTION("IFERROR(B129 * (1 + AVERAGE(Filter('Inflation Data'!$C:$C,'Inflation Data'!$A:$A = C$1))) + 'Fund YTD Contributions'!C129,'Fund YTD Contributions'!C129)"),0.0)</f>
        <v>0</v>
      </c>
      <c r="D129" s="152">
        <f>IFERROR(__xludf.DUMMYFUNCTION("IFERROR(C129 * (1 + AVERAGE(Filter('Inflation Data'!$C:$C,'Inflation Data'!$A:$A = D$1))) + 'Fund YTD Contributions'!D129,'Fund YTD Contributions'!D129)"),0.0)</f>
        <v>0</v>
      </c>
      <c r="E129" s="152">
        <f>IFERROR(__xludf.DUMMYFUNCTION("IFERROR(D129 * (1 + AVERAGE(Filter('Inflation Data'!$C:$C,'Inflation Data'!$A:$A = E$1))) + 'Fund YTD Contributions'!E129,'Fund YTD Contributions'!E129)"),0.0)</f>
        <v>0</v>
      </c>
      <c r="F129" s="152">
        <f>IFERROR(__xludf.DUMMYFUNCTION("IFERROR(E129 * (1 + AVERAGE(Filter('Inflation Data'!$C:$C,'Inflation Data'!$A:$A = F$1))) + 'Fund YTD Contributions'!F129,'Fund YTD Contributions'!F129)"),0.0)</f>
        <v>0</v>
      </c>
      <c r="G129" s="152">
        <f>IFERROR(__xludf.DUMMYFUNCTION("IFERROR(F129 * (1 + AVERAGE(Filter('Inflation Data'!$C:$C,'Inflation Data'!$A:$A = G$1))) + 'Fund YTD Contributions'!G129,'Fund YTD Contributions'!G129)"),0.0)</f>
        <v>0</v>
      </c>
      <c r="H129" s="152">
        <f>IFERROR(__xludf.DUMMYFUNCTION("IFERROR(G129 * (1 + AVERAGE(Filter('Inflation Data'!$C:$C,'Inflation Data'!$A:$A = H$1))) + 'Fund YTD Contributions'!H129,'Fund YTD Contributions'!H129)"),0.0)</f>
        <v>0</v>
      </c>
      <c r="I129" s="152">
        <f>IFERROR(__xludf.DUMMYFUNCTION("IFERROR(H129 * (1 + AVERAGE(Filter('Inflation Data'!$C:$C,'Inflation Data'!$A:$A = I$1))) + 'Fund YTD Contributions'!I129,'Fund YTD Contributions'!I129)"),0.0)</f>
        <v>0</v>
      </c>
      <c r="J129" s="152">
        <f>IFERROR(__xludf.DUMMYFUNCTION("IFERROR(I129 * (1 + AVERAGE(Filter('Inflation Data'!$C:$C,'Inflation Data'!$A:$A = J$1))) + 'Fund YTD Contributions'!J129,'Fund YTD Contributions'!J129)"),0.0)</f>
        <v>0</v>
      </c>
      <c r="K129" s="152">
        <f>IFERROR(__xludf.DUMMYFUNCTION("IFERROR(J129 * (1 + AVERAGE(Filter('Inflation Data'!$C:$C,'Inflation Data'!$A:$A = K$1))) + 'Fund YTD Contributions'!K129,'Fund YTD Contributions'!K129)"),0.0)</f>
        <v>0</v>
      </c>
      <c r="L129" s="152">
        <f>IFERROR(__xludf.DUMMYFUNCTION("IFERROR(K129 * (1 + AVERAGE(Filter('Inflation Data'!$C:$C,'Inflation Data'!$A:$A = L$1))) + 'Fund YTD Contributions'!L129,'Fund YTD Contributions'!L129)"),0.0)</f>
        <v>0</v>
      </c>
      <c r="M129" s="152">
        <f>IFERROR(__xludf.DUMMYFUNCTION("IFERROR(L129 * (1 + AVERAGE(Filter('Inflation Data'!$C:$C,'Inflation Data'!$A:$A = M$1))) + 'Fund YTD Contributions'!M129,'Fund YTD Contributions'!M129)"),0.0)</f>
        <v>0</v>
      </c>
      <c r="N129" s="152">
        <f>IFERROR(__xludf.DUMMYFUNCTION("IFERROR(M129 * (1 + AVERAGE(Filter('Inflation Data'!$C:$C,'Inflation Data'!$A:$A = N$1))) + 'Fund YTD Contributions'!N129,'Fund YTD Contributions'!N129)"),0.0)</f>
        <v>0</v>
      </c>
      <c r="O129" s="152">
        <f>IFERROR(__xludf.DUMMYFUNCTION("IFERROR(N129 * (1 + AVERAGE(Filter('Inflation Data'!$C:$C,'Inflation Data'!$A:$A = O$1))) + 'Fund YTD Contributions'!O129,'Fund YTD Contributions'!O129)"),0.0)</f>
        <v>0</v>
      </c>
      <c r="P129" s="152">
        <f>IFERROR(__xludf.DUMMYFUNCTION("IFERROR(O129 * (1 + AVERAGE(Filter('Inflation Data'!$C:$C,'Inflation Data'!$A:$A = P$1))) + 'Fund YTD Contributions'!P129,'Fund YTD Contributions'!P129)"),0.0)</f>
        <v>0</v>
      </c>
      <c r="Q129" s="152">
        <f>IFERROR(__xludf.DUMMYFUNCTION("IFERROR(P129 * (1 + AVERAGE(Filter('Inflation Data'!$C:$C,'Inflation Data'!$A:$A = Q$1))) + 'Fund YTD Contributions'!Q129,'Fund YTD Contributions'!Q129)"),0.0)</f>
        <v>0</v>
      </c>
      <c r="R129" s="152">
        <f>IFERROR(__xludf.DUMMYFUNCTION("IFERROR(Q129 * (1 + AVERAGE(Filter('Inflation Data'!$C:$C,'Inflation Data'!$A:$A = R$1))) + 'Fund YTD Contributions'!R129,'Fund YTD Contributions'!R129)"),0.0)</f>
        <v>0</v>
      </c>
      <c r="S129" s="152">
        <f>IFERROR(__xludf.DUMMYFUNCTION("IFERROR(R129 * (1 + AVERAGE(Filter('Inflation Data'!$C:$C,'Inflation Data'!$A:$A = S$1))) + 'Fund YTD Contributions'!S129,'Fund YTD Contributions'!S129)"),0.0)</f>
        <v>0</v>
      </c>
      <c r="T129" s="152">
        <f>IFERROR(__xludf.DUMMYFUNCTION("IFERROR(S129 * (1 + AVERAGE(Filter('Inflation Data'!$C:$C,'Inflation Data'!$A:$A = T$1))) + 'Fund YTD Contributions'!T129,'Fund YTD Contributions'!T129)"),0.0)</f>
        <v>0</v>
      </c>
      <c r="U129" s="152">
        <f>IFERROR(__xludf.DUMMYFUNCTION("IFERROR(T129 * (1 + AVERAGE(Filter('Inflation Data'!$C:$C,'Inflation Data'!$A:$A = U$1))) + 'Fund YTD Contributions'!U129,'Fund YTD Contributions'!U129)"),0.0)</f>
        <v>0</v>
      </c>
      <c r="V129" s="152">
        <f>IFERROR(__xludf.DUMMYFUNCTION("IFERROR(U129 * (1 + AVERAGE(Filter('Inflation Data'!$C:$C,'Inflation Data'!$A:$A = V$1))) + 'Fund YTD Contributions'!V129,'Fund YTD Contributions'!V129)"),0.0)</f>
        <v>0</v>
      </c>
      <c r="W129" s="152">
        <f>IFERROR(__xludf.DUMMYFUNCTION("IFERROR(V129 * (1 + AVERAGE(Filter('Inflation Data'!$C:$C,'Inflation Data'!$A:$A = W$1))) + 'Fund YTD Contributions'!W129,'Fund YTD Contributions'!W129)"),0.0)</f>
        <v>0</v>
      </c>
      <c r="X129" s="152">
        <f>IFERROR(__xludf.DUMMYFUNCTION("IFERROR(W129 * (1 + AVERAGE(Filter('Inflation Data'!$C:$C,'Inflation Data'!$A:$A = X$1))) + 'Fund YTD Contributions'!X129,'Fund YTD Contributions'!X129)"),0.0)</f>
        <v>0</v>
      </c>
      <c r="Y129" s="152">
        <f>IFERROR(__xludf.DUMMYFUNCTION("IFERROR(X129 * (1 + AVERAGE(Filter('Inflation Data'!$C:$C,'Inflation Data'!$A:$A = Y$1))) + 'Fund YTD Contributions'!Y129,'Fund YTD Contributions'!Y129)"),0.0)</f>
        <v>0</v>
      </c>
      <c r="Z129" s="152">
        <f>IFERROR(__xludf.DUMMYFUNCTION("IFERROR(Y129 * (1 + AVERAGE(Filter('Inflation Data'!$C:$C,'Inflation Data'!$A:$A = Z$1))) + 'Fund YTD Contributions'!Z129,'Fund YTD Contributions'!Z129)"),0.0)</f>
        <v>0</v>
      </c>
      <c r="AA129" s="152"/>
      <c r="AB129" s="152"/>
      <c r="AC129" s="152"/>
      <c r="AD129" s="152"/>
      <c r="AE129" s="152"/>
      <c r="AF129" s="152"/>
    </row>
    <row r="130">
      <c r="A130" s="150" t="str">
        <f>'Endowed Funds'!A:A</f>
        <v/>
      </c>
      <c r="B130" s="152">
        <f>IFERROR(__xludf.DUMMYFUNCTION("IFERROR(A130 * (1 + AVERAGE(Filter('Inflation Data'!$C:$C,'Inflation Data'!$A:$A = B$1))) + 'Fund YTD Contributions'!B130,'Fund YTD Contributions'!B130)"),0.0)</f>
        <v>0</v>
      </c>
      <c r="C130" s="152">
        <f>IFERROR(__xludf.DUMMYFUNCTION("IFERROR(B130 * (1 + AVERAGE(Filter('Inflation Data'!$C:$C,'Inflation Data'!$A:$A = C$1))) + 'Fund YTD Contributions'!C130,'Fund YTD Contributions'!C130)"),0.0)</f>
        <v>0</v>
      </c>
      <c r="D130" s="152">
        <f>IFERROR(__xludf.DUMMYFUNCTION("IFERROR(C130 * (1 + AVERAGE(Filter('Inflation Data'!$C:$C,'Inflation Data'!$A:$A = D$1))) + 'Fund YTD Contributions'!D130,'Fund YTD Contributions'!D130)"),0.0)</f>
        <v>0</v>
      </c>
      <c r="E130" s="152">
        <f>IFERROR(__xludf.DUMMYFUNCTION("IFERROR(D130 * (1 + AVERAGE(Filter('Inflation Data'!$C:$C,'Inflation Data'!$A:$A = E$1))) + 'Fund YTD Contributions'!E130,'Fund YTD Contributions'!E130)"),0.0)</f>
        <v>0</v>
      </c>
      <c r="F130" s="152">
        <f>IFERROR(__xludf.DUMMYFUNCTION("IFERROR(E130 * (1 + AVERAGE(Filter('Inflation Data'!$C:$C,'Inflation Data'!$A:$A = F$1))) + 'Fund YTD Contributions'!F130,'Fund YTD Contributions'!F130)"),0.0)</f>
        <v>0</v>
      </c>
      <c r="G130" s="152">
        <f>IFERROR(__xludf.DUMMYFUNCTION("IFERROR(F130 * (1 + AVERAGE(Filter('Inflation Data'!$C:$C,'Inflation Data'!$A:$A = G$1))) + 'Fund YTD Contributions'!G130,'Fund YTD Contributions'!G130)"),0.0)</f>
        <v>0</v>
      </c>
      <c r="H130" s="152">
        <f>IFERROR(__xludf.DUMMYFUNCTION("IFERROR(G130 * (1 + AVERAGE(Filter('Inflation Data'!$C:$C,'Inflation Data'!$A:$A = H$1))) + 'Fund YTD Contributions'!H130,'Fund YTD Contributions'!H130)"),0.0)</f>
        <v>0</v>
      </c>
      <c r="I130" s="152">
        <f>IFERROR(__xludf.DUMMYFUNCTION("IFERROR(H130 * (1 + AVERAGE(Filter('Inflation Data'!$C:$C,'Inflation Data'!$A:$A = I$1))) + 'Fund YTD Contributions'!I130,'Fund YTD Contributions'!I130)"),0.0)</f>
        <v>0</v>
      </c>
      <c r="J130" s="152">
        <f>IFERROR(__xludf.DUMMYFUNCTION("IFERROR(I130 * (1 + AVERAGE(Filter('Inflation Data'!$C:$C,'Inflation Data'!$A:$A = J$1))) + 'Fund YTD Contributions'!J130,'Fund YTD Contributions'!J130)"),0.0)</f>
        <v>0</v>
      </c>
      <c r="K130" s="152">
        <f>IFERROR(__xludf.DUMMYFUNCTION("IFERROR(J130 * (1 + AVERAGE(Filter('Inflation Data'!$C:$C,'Inflation Data'!$A:$A = K$1))) + 'Fund YTD Contributions'!K130,'Fund YTD Contributions'!K130)"),0.0)</f>
        <v>0</v>
      </c>
      <c r="L130" s="152">
        <f>IFERROR(__xludf.DUMMYFUNCTION("IFERROR(K130 * (1 + AVERAGE(Filter('Inflation Data'!$C:$C,'Inflation Data'!$A:$A = L$1))) + 'Fund YTD Contributions'!L130,'Fund YTD Contributions'!L130)"),0.0)</f>
        <v>0</v>
      </c>
      <c r="M130" s="152">
        <f>IFERROR(__xludf.DUMMYFUNCTION("IFERROR(L130 * (1 + AVERAGE(Filter('Inflation Data'!$C:$C,'Inflation Data'!$A:$A = M$1))) + 'Fund YTD Contributions'!M130,'Fund YTD Contributions'!M130)"),0.0)</f>
        <v>0</v>
      </c>
      <c r="N130" s="152">
        <f>IFERROR(__xludf.DUMMYFUNCTION("IFERROR(M130 * (1 + AVERAGE(Filter('Inflation Data'!$C:$C,'Inflation Data'!$A:$A = N$1))) + 'Fund YTD Contributions'!N130,'Fund YTD Contributions'!N130)"),0.0)</f>
        <v>0</v>
      </c>
      <c r="O130" s="152">
        <f>IFERROR(__xludf.DUMMYFUNCTION("IFERROR(N130 * (1 + AVERAGE(Filter('Inflation Data'!$C:$C,'Inflation Data'!$A:$A = O$1))) + 'Fund YTD Contributions'!O130,'Fund YTD Contributions'!O130)"),0.0)</f>
        <v>0</v>
      </c>
      <c r="P130" s="152">
        <f>IFERROR(__xludf.DUMMYFUNCTION("IFERROR(O130 * (1 + AVERAGE(Filter('Inflation Data'!$C:$C,'Inflation Data'!$A:$A = P$1))) + 'Fund YTD Contributions'!P130,'Fund YTD Contributions'!P130)"),0.0)</f>
        <v>0</v>
      </c>
      <c r="Q130" s="152">
        <f>IFERROR(__xludf.DUMMYFUNCTION("IFERROR(P130 * (1 + AVERAGE(Filter('Inflation Data'!$C:$C,'Inflation Data'!$A:$A = Q$1))) + 'Fund YTD Contributions'!Q130,'Fund YTD Contributions'!Q130)"),0.0)</f>
        <v>0</v>
      </c>
      <c r="R130" s="152">
        <f>IFERROR(__xludf.DUMMYFUNCTION("IFERROR(Q130 * (1 + AVERAGE(Filter('Inflation Data'!$C:$C,'Inflation Data'!$A:$A = R$1))) + 'Fund YTD Contributions'!R130,'Fund YTD Contributions'!R130)"),0.0)</f>
        <v>0</v>
      </c>
      <c r="S130" s="152">
        <f>IFERROR(__xludf.DUMMYFUNCTION("IFERROR(R130 * (1 + AVERAGE(Filter('Inflation Data'!$C:$C,'Inflation Data'!$A:$A = S$1))) + 'Fund YTD Contributions'!S130,'Fund YTD Contributions'!S130)"),0.0)</f>
        <v>0</v>
      </c>
      <c r="T130" s="152">
        <f>IFERROR(__xludf.DUMMYFUNCTION("IFERROR(S130 * (1 + AVERAGE(Filter('Inflation Data'!$C:$C,'Inflation Data'!$A:$A = T$1))) + 'Fund YTD Contributions'!T130,'Fund YTD Contributions'!T130)"),0.0)</f>
        <v>0</v>
      </c>
      <c r="U130" s="152">
        <f>IFERROR(__xludf.DUMMYFUNCTION("IFERROR(T130 * (1 + AVERAGE(Filter('Inflation Data'!$C:$C,'Inflation Data'!$A:$A = U$1))) + 'Fund YTD Contributions'!U130,'Fund YTD Contributions'!U130)"),0.0)</f>
        <v>0</v>
      </c>
      <c r="V130" s="152">
        <f>IFERROR(__xludf.DUMMYFUNCTION("IFERROR(U130 * (1 + AVERAGE(Filter('Inflation Data'!$C:$C,'Inflation Data'!$A:$A = V$1))) + 'Fund YTD Contributions'!V130,'Fund YTD Contributions'!V130)"),0.0)</f>
        <v>0</v>
      </c>
      <c r="W130" s="152">
        <f>IFERROR(__xludf.DUMMYFUNCTION("IFERROR(V130 * (1 + AVERAGE(Filter('Inflation Data'!$C:$C,'Inflation Data'!$A:$A = W$1))) + 'Fund YTD Contributions'!W130,'Fund YTD Contributions'!W130)"),0.0)</f>
        <v>0</v>
      </c>
      <c r="X130" s="152">
        <f>IFERROR(__xludf.DUMMYFUNCTION("IFERROR(W130 * (1 + AVERAGE(Filter('Inflation Data'!$C:$C,'Inflation Data'!$A:$A = X$1))) + 'Fund YTD Contributions'!X130,'Fund YTD Contributions'!X130)"),0.0)</f>
        <v>0</v>
      </c>
      <c r="Y130" s="152">
        <f>IFERROR(__xludf.DUMMYFUNCTION("IFERROR(X130 * (1 + AVERAGE(Filter('Inflation Data'!$C:$C,'Inflation Data'!$A:$A = Y$1))) + 'Fund YTD Contributions'!Y130,'Fund YTD Contributions'!Y130)"),0.0)</f>
        <v>0</v>
      </c>
      <c r="Z130" s="152">
        <f>IFERROR(__xludf.DUMMYFUNCTION("IFERROR(Y130 * (1 + AVERAGE(Filter('Inflation Data'!$C:$C,'Inflation Data'!$A:$A = Z$1))) + 'Fund YTD Contributions'!Z130,'Fund YTD Contributions'!Z130)"),0.0)</f>
        <v>0</v>
      </c>
      <c r="AA130" s="152"/>
      <c r="AB130" s="152"/>
      <c r="AC130" s="152"/>
      <c r="AD130" s="152"/>
      <c r="AE130" s="152"/>
      <c r="AF130" s="152"/>
    </row>
    <row r="131">
      <c r="A131" s="150" t="str">
        <f>'Endowed Funds'!A:A</f>
        <v/>
      </c>
      <c r="B131" s="152">
        <f>IFERROR(__xludf.DUMMYFUNCTION("IFERROR(A131 * (1 + AVERAGE(Filter('Inflation Data'!$C:$C,'Inflation Data'!$A:$A = B$1))) + 'Fund YTD Contributions'!B131,'Fund YTD Contributions'!B131)"),0.0)</f>
        <v>0</v>
      </c>
      <c r="C131" s="152">
        <f>IFERROR(__xludf.DUMMYFUNCTION("IFERROR(B131 * (1 + AVERAGE(Filter('Inflation Data'!$C:$C,'Inflation Data'!$A:$A = C$1))) + 'Fund YTD Contributions'!C131,'Fund YTD Contributions'!C131)"),0.0)</f>
        <v>0</v>
      </c>
      <c r="D131" s="152">
        <f>IFERROR(__xludf.DUMMYFUNCTION("IFERROR(C131 * (1 + AVERAGE(Filter('Inflation Data'!$C:$C,'Inflation Data'!$A:$A = D$1))) + 'Fund YTD Contributions'!D131,'Fund YTD Contributions'!D131)"),0.0)</f>
        <v>0</v>
      </c>
      <c r="E131" s="152">
        <f>IFERROR(__xludf.DUMMYFUNCTION("IFERROR(D131 * (1 + AVERAGE(Filter('Inflation Data'!$C:$C,'Inflation Data'!$A:$A = E$1))) + 'Fund YTD Contributions'!E131,'Fund YTD Contributions'!E131)"),0.0)</f>
        <v>0</v>
      </c>
      <c r="F131" s="152">
        <f>IFERROR(__xludf.DUMMYFUNCTION("IFERROR(E131 * (1 + AVERAGE(Filter('Inflation Data'!$C:$C,'Inflation Data'!$A:$A = F$1))) + 'Fund YTD Contributions'!F131,'Fund YTD Contributions'!F131)"),0.0)</f>
        <v>0</v>
      </c>
      <c r="G131" s="152">
        <f>IFERROR(__xludf.DUMMYFUNCTION("IFERROR(F131 * (1 + AVERAGE(Filter('Inflation Data'!$C:$C,'Inflation Data'!$A:$A = G$1))) + 'Fund YTD Contributions'!G131,'Fund YTD Contributions'!G131)"),0.0)</f>
        <v>0</v>
      </c>
      <c r="H131" s="152">
        <f>IFERROR(__xludf.DUMMYFUNCTION("IFERROR(G131 * (1 + AVERAGE(Filter('Inflation Data'!$C:$C,'Inflation Data'!$A:$A = H$1))) + 'Fund YTD Contributions'!H131,'Fund YTD Contributions'!H131)"),0.0)</f>
        <v>0</v>
      </c>
      <c r="I131" s="152">
        <f>IFERROR(__xludf.DUMMYFUNCTION("IFERROR(H131 * (1 + AVERAGE(Filter('Inflation Data'!$C:$C,'Inflation Data'!$A:$A = I$1))) + 'Fund YTD Contributions'!I131,'Fund YTD Contributions'!I131)"),0.0)</f>
        <v>0</v>
      </c>
      <c r="J131" s="152">
        <f>IFERROR(__xludf.DUMMYFUNCTION("IFERROR(I131 * (1 + AVERAGE(Filter('Inflation Data'!$C:$C,'Inflation Data'!$A:$A = J$1))) + 'Fund YTD Contributions'!J131,'Fund YTD Contributions'!J131)"),0.0)</f>
        <v>0</v>
      </c>
      <c r="K131" s="152">
        <f>IFERROR(__xludf.DUMMYFUNCTION("IFERROR(J131 * (1 + AVERAGE(Filter('Inflation Data'!$C:$C,'Inflation Data'!$A:$A = K$1))) + 'Fund YTD Contributions'!K131,'Fund YTD Contributions'!K131)"),0.0)</f>
        <v>0</v>
      </c>
      <c r="L131" s="152">
        <f>IFERROR(__xludf.DUMMYFUNCTION("IFERROR(K131 * (1 + AVERAGE(Filter('Inflation Data'!$C:$C,'Inflation Data'!$A:$A = L$1))) + 'Fund YTD Contributions'!L131,'Fund YTD Contributions'!L131)"),0.0)</f>
        <v>0</v>
      </c>
      <c r="M131" s="152">
        <f>IFERROR(__xludf.DUMMYFUNCTION("IFERROR(L131 * (1 + AVERAGE(Filter('Inflation Data'!$C:$C,'Inflation Data'!$A:$A = M$1))) + 'Fund YTD Contributions'!M131,'Fund YTD Contributions'!M131)"),0.0)</f>
        <v>0</v>
      </c>
      <c r="N131" s="152">
        <f>IFERROR(__xludf.DUMMYFUNCTION("IFERROR(M131 * (1 + AVERAGE(Filter('Inflation Data'!$C:$C,'Inflation Data'!$A:$A = N$1))) + 'Fund YTD Contributions'!N131,'Fund YTD Contributions'!N131)"),0.0)</f>
        <v>0</v>
      </c>
      <c r="O131" s="152">
        <f>IFERROR(__xludf.DUMMYFUNCTION("IFERROR(N131 * (1 + AVERAGE(Filter('Inflation Data'!$C:$C,'Inflation Data'!$A:$A = O$1))) + 'Fund YTD Contributions'!O131,'Fund YTD Contributions'!O131)"),0.0)</f>
        <v>0</v>
      </c>
      <c r="P131" s="152">
        <f>IFERROR(__xludf.DUMMYFUNCTION("IFERROR(O131 * (1 + AVERAGE(Filter('Inflation Data'!$C:$C,'Inflation Data'!$A:$A = P$1))) + 'Fund YTD Contributions'!P131,'Fund YTD Contributions'!P131)"),0.0)</f>
        <v>0</v>
      </c>
      <c r="Q131" s="152">
        <f>IFERROR(__xludf.DUMMYFUNCTION("IFERROR(P131 * (1 + AVERAGE(Filter('Inflation Data'!$C:$C,'Inflation Data'!$A:$A = Q$1))) + 'Fund YTD Contributions'!Q131,'Fund YTD Contributions'!Q131)"),0.0)</f>
        <v>0</v>
      </c>
      <c r="R131" s="152">
        <f>IFERROR(__xludf.DUMMYFUNCTION("IFERROR(Q131 * (1 + AVERAGE(Filter('Inflation Data'!$C:$C,'Inflation Data'!$A:$A = R$1))) + 'Fund YTD Contributions'!R131,'Fund YTD Contributions'!R131)"),0.0)</f>
        <v>0</v>
      </c>
      <c r="S131" s="152">
        <f>IFERROR(__xludf.DUMMYFUNCTION("IFERROR(R131 * (1 + AVERAGE(Filter('Inflation Data'!$C:$C,'Inflation Data'!$A:$A = S$1))) + 'Fund YTD Contributions'!S131,'Fund YTD Contributions'!S131)"),0.0)</f>
        <v>0</v>
      </c>
      <c r="T131" s="152">
        <f>IFERROR(__xludf.DUMMYFUNCTION("IFERROR(S131 * (1 + AVERAGE(Filter('Inflation Data'!$C:$C,'Inflation Data'!$A:$A = T$1))) + 'Fund YTD Contributions'!T131,'Fund YTD Contributions'!T131)"),0.0)</f>
        <v>0</v>
      </c>
      <c r="U131" s="152">
        <f>IFERROR(__xludf.DUMMYFUNCTION("IFERROR(T131 * (1 + AVERAGE(Filter('Inflation Data'!$C:$C,'Inflation Data'!$A:$A = U$1))) + 'Fund YTD Contributions'!U131,'Fund YTD Contributions'!U131)"),0.0)</f>
        <v>0</v>
      </c>
      <c r="V131" s="152">
        <f>IFERROR(__xludf.DUMMYFUNCTION("IFERROR(U131 * (1 + AVERAGE(Filter('Inflation Data'!$C:$C,'Inflation Data'!$A:$A = V$1))) + 'Fund YTD Contributions'!V131,'Fund YTD Contributions'!V131)"),0.0)</f>
        <v>0</v>
      </c>
      <c r="W131" s="152">
        <f>IFERROR(__xludf.DUMMYFUNCTION("IFERROR(V131 * (1 + AVERAGE(Filter('Inflation Data'!$C:$C,'Inflation Data'!$A:$A = W$1))) + 'Fund YTD Contributions'!W131,'Fund YTD Contributions'!W131)"),0.0)</f>
        <v>0</v>
      </c>
      <c r="X131" s="152">
        <f>IFERROR(__xludf.DUMMYFUNCTION("IFERROR(W131 * (1 + AVERAGE(Filter('Inflation Data'!$C:$C,'Inflation Data'!$A:$A = X$1))) + 'Fund YTD Contributions'!X131,'Fund YTD Contributions'!X131)"),0.0)</f>
        <v>0</v>
      </c>
      <c r="Y131" s="152">
        <f>IFERROR(__xludf.DUMMYFUNCTION("IFERROR(X131 * (1 + AVERAGE(Filter('Inflation Data'!$C:$C,'Inflation Data'!$A:$A = Y$1))) + 'Fund YTD Contributions'!Y131,'Fund YTD Contributions'!Y131)"),0.0)</f>
        <v>0</v>
      </c>
      <c r="Z131" s="152">
        <f>IFERROR(__xludf.DUMMYFUNCTION("IFERROR(Y131 * (1 + AVERAGE(Filter('Inflation Data'!$C:$C,'Inflation Data'!$A:$A = Z$1))) + 'Fund YTD Contributions'!Z131,'Fund YTD Contributions'!Z131)"),0.0)</f>
        <v>0</v>
      </c>
      <c r="AA131" s="152"/>
      <c r="AB131" s="152"/>
      <c r="AC131" s="152"/>
      <c r="AD131" s="152"/>
      <c r="AE131" s="152"/>
      <c r="AF131" s="152"/>
    </row>
    <row r="132">
      <c r="A132" s="150" t="str">
        <f>'Endowed Funds'!A:A</f>
        <v/>
      </c>
      <c r="B132" s="152">
        <f>IFERROR(__xludf.DUMMYFUNCTION("IFERROR(A132 * (1 + AVERAGE(Filter('Inflation Data'!$C:$C,'Inflation Data'!$A:$A = B$1))) + 'Fund YTD Contributions'!B132,'Fund YTD Contributions'!B132)"),0.0)</f>
        <v>0</v>
      </c>
      <c r="C132" s="152">
        <f>IFERROR(__xludf.DUMMYFUNCTION("IFERROR(B132 * (1 + AVERAGE(Filter('Inflation Data'!$C:$C,'Inflation Data'!$A:$A = C$1))) + 'Fund YTD Contributions'!C132,'Fund YTD Contributions'!C132)"),0.0)</f>
        <v>0</v>
      </c>
      <c r="D132" s="152">
        <f>IFERROR(__xludf.DUMMYFUNCTION("IFERROR(C132 * (1 + AVERAGE(Filter('Inflation Data'!$C:$C,'Inflation Data'!$A:$A = D$1))) + 'Fund YTD Contributions'!D132,'Fund YTD Contributions'!D132)"),0.0)</f>
        <v>0</v>
      </c>
      <c r="E132" s="152">
        <f>IFERROR(__xludf.DUMMYFUNCTION("IFERROR(D132 * (1 + AVERAGE(Filter('Inflation Data'!$C:$C,'Inflation Data'!$A:$A = E$1))) + 'Fund YTD Contributions'!E132,'Fund YTD Contributions'!E132)"),0.0)</f>
        <v>0</v>
      </c>
      <c r="F132" s="152">
        <f>IFERROR(__xludf.DUMMYFUNCTION("IFERROR(E132 * (1 + AVERAGE(Filter('Inflation Data'!$C:$C,'Inflation Data'!$A:$A = F$1))) + 'Fund YTD Contributions'!F132,'Fund YTD Contributions'!F132)"),0.0)</f>
        <v>0</v>
      </c>
      <c r="G132" s="152">
        <f>IFERROR(__xludf.DUMMYFUNCTION("IFERROR(F132 * (1 + AVERAGE(Filter('Inflation Data'!$C:$C,'Inflation Data'!$A:$A = G$1))) + 'Fund YTD Contributions'!G132,'Fund YTD Contributions'!G132)"),0.0)</f>
        <v>0</v>
      </c>
      <c r="H132" s="152">
        <f>IFERROR(__xludf.DUMMYFUNCTION("IFERROR(G132 * (1 + AVERAGE(Filter('Inflation Data'!$C:$C,'Inflation Data'!$A:$A = H$1))) + 'Fund YTD Contributions'!H132,'Fund YTD Contributions'!H132)"),0.0)</f>
        <v>0</v>
      </c>
      <c r="I132" s="152">
        <f>IFERROR(__xludf.DUMMYFUNCTION("IFERROR(H132 * (1 + AVERAGE(Filter('Inflation Data'!$C:$C,'Inflation Data'!$A:$A = I$1))) + 'Fund YTD Contributions'!I132,'Fund YTD Contributions'!I132)"),0.0)</f>
        <v>0</v>
      </c>
      <c r="J132" s="152">
        <f>IFERROR(__xludf.DUMMYFUNCTION("IFERROR(I132 * (1 + AVERAGE(Filter('Inflation Data'!$C:$C,'Inflation Data'!$A:$A = J$1))) + 'Fund YTD Contributions'!J132,'Fund YTD Contributions'!J132)"),0.0)</f>
        <v>0</v>
      </c>
      <c r="K132" s="152">
        <f>IFERROR(__xludf.DUMMYFUNCTION("IFERROR(J132 * (1 + AVERAGE(Filter('Inflation Data'!$C:$C,'Inflation Data'!$A:$A = K$1))) + 'Fund YTD Contributions'!K132,'Fund YTD Contributions'!K132)"),0.0)</f>
        <v>0</v>
      </c>
      <c r="L132" s="152">
        <f>IFERROR(__xludf.DUMMYFUNCTION("IFERROR(K132 * (1 + AVERAGE(Filter('Inflation Data'!$C:$C,'Inflation Data'!$A:$A = L$1))) + 'Fund YTD Contributions'!L132,'Fund YTD Contributions'!L132)"),0.0)</f>
        <v>0</v>
      </c>
      <c r="M132" s="152">
        <f>IFERROR(__xludf.DUMMYFUNCTION("IFERROR(L132 * (1 + AVERAGE(Filter('Inflation Data'!$C:$C,'Inflation Data'!$A:$A = M$1))) + 'Fund YTD Contributions'!M132,'Fund YTD Contributions'!M132)"),0.0)</f>
        <v>0</v>
      </c>
      <c r="N132" s="152">
        <f>IFERROR(__xludf.DUMMYFUNCTION("IFERROR(M132 * (1 + AVERAGE(Filter('Inflation Data'!$C:$C,'Inflation Data'!$A:$A = N$1))) + 'Fund YTD Contributions'!N132,'Fund YTD Contributions'!N132)"),0.0)</f>
        <v>0</v>
      </c>
      <c r="O132" s="152">
        <f>IFERROR(__xludf.DUMMYFUNCTION("IFERROR(N132 * (1 + AVERAGE(Filter('Inflation Data'!$C:$C,'Inflation Data'!$A:$A = O$1))) + 'Fund YTD Contributions'!O132,'Fund YTD Contributions'!O132)"),0.0)</f>
        <v>0</v>
      </c>
      <c r="P132" s="152">
        <f>IFERROR(__xludf.DUMMYFUNCTION("IFERROR(O132 * (1 + AVERAGE(Filter('Inflation Data'!$C:$C,'Inflation Data'!$A:$A = P$1))) + 'Fund YTD Contributions'!P132,'Fund YTD Contributions'!P132)"),0.0)</f>
        <v>0</v>
      </c>
      <c r="Q132" s="152">
        <f>IFERROR(__xludf.DUMMYFUNCTION("IFERROR(P132 * (1 + AVERAGE(Filter('Inflation Data'!$C:$C,'Inflation Data'!$A:$A = Q$1))) + 'Fund YTD Contributions'!Q132,'Fund YTD Contributions'!Q132)"),0.0)</f>
        <v>0</v>
      </c>
      <c r="R132" s="152">
        <f>IFERROR(__xludf.DUMMYFUNCTION("IFERROR(Q132 * (1 + AVERAGE(Filter('Inflation Data'!$C:$C,'Inflation Data'!$A:$A = R$1))) + 'Fund YTD Contributions'!R132,'Fund YTD Contributions'!R132)"),0.0)</f>
        <v>0</v>
      </c>
      <c r="S132" s="152">
        <f>IFERROR(__xludf.DUMMYFUNCTION("IFERROR(R132 * (1 + AVERAGE(Filter('Inflation Data'!$C:$C,'Inflation Data'!$A:$A = S$1))) + 'Fund YTD Contributions'!S132,'Fund YTD Contributions'!S132)"),0.0)</f>
        <v>0</v>
      </c>
      <c r="T132" s="152">
        <f>IFERROR(__xludf.DUMMYFUNCTION("IFERROR(S132 * (1 + AVERAGE(Filter('Inflation Data'!$C:$C,'Inflation Data'!$A:$A = T$1))) + 'Fund YTD Contributions'!T132,'Fund YTD Contributions'!T132)"),0.0)</f>
        <v>0</v>
      </c>
      <c r="U132" s="152">
        <f>IFERROR(__xludf.DUMMYFUNCTION("IFERROR(T132 * (1 + AVERAGE(Filter('Inflation Data'!$C:$C,'Inflation Data'!$A:$A = U$1))) + 'Fund YTD Contributions'!U132,'Fund YTD Contributions'!U132)"),0.0)</f>
        <v>0</v>
      </c>
      <c r="V132" s="152">
        <f>IFERROR(__xludf.DUMMYFUNCTION("IFERROR(U132 * (1 + AVERAGE(Filter('Inflation Data'!$C:$C,'Inflation Data'!$A:$A = V$1))) + 'Fund YTD Contributions'!V132,'Fund YTD Contributions'!V132)"),0.0)</f>
        <v>0</v>
      </c>
      <c r="W132" s="152">
        <f>IFERROR(__xludf.DUMMYFUNCTION("IFERROR(V132 * (1 + AVERAGE(Filter('Inflation Data'!$C:$C,'Inflation Data'!$A:$A = W$1))) + 'Fund YTD Contributions'!W132,'Fund YTD Contributions'!W132)"),0.0)</f>
        <v>0</v>
      </c>
      <c r="X132" s="152">
        <f>IFERROR(__xludf.DUMMYFUNCTION("IFERROR(W132 * (1 + AVERAGE(Filter('Inflation Data'!$C:$C,'Inflation Data'!$A:$A = X$1))) + 'Fund YTD Contributions'!X132,'Fund YTD Contributions'!X132)"),0.0)</f>
        <v>0</v>
      </c>
      <c r="Y132" s="152">
        <f>IFERROR(__xludf.DUMMYFUNCTION("IFERROR(X132 * (1 + AVERAGE(Filter('Inflation Data'!$C:$C,'Inflation Data'!$A:$A = Y$1))) + 'Fund YTD Contributions'!Y132,'Fund YTD Contributions'!Y132)"),0.0)</f>
        <v>0</v>
      </c>
      <c r="Z132" s="152">
        <f>IFERROR(__xludf.DUMMYFUNCTION("IFERROR(Y132 * (1 + AVERAGE(Filter('Inflation Data'!$C:$C,'Inflation Data'!$A:$A = Z$1))) + 'Fund YTD Contributions'!Z132,'Fund YTD Contributions'!Z132)"),0.0)</f>
        <v>0</v>
      </c>
      <c r="AA132" s="152"/>
      <c r="AB132" s="152"/>
      <c r="AC132" s="152"/>
      <c r="AD132" s="152"/>
      <c r="AE132" s="152"/>
      <c r="AF132" s="152"/>
    </row>
    <row r="133">
      <c r="A133" s="150" t="str">
        <f>'Endowed Funds'!A:A</f>
        <v/>
      </c>
      <c r="B133" s="152">
        <f>IFERROR(__xludf.DUMMYFUNCTION("IFERROR(A133 * (1 + AVERAGE(Filter('Inflation Data'!$C:$C,'Inflation Data'!$A:$A = B$1))) + 'Fund YTD Contributions'!B133,'Fund YTD Contributions'!B133)"),0.0)</f>
        <v>0</v>
      </c>
      <c r="C133" s="152">
        <f>IFERROR(__xludf.DUMMYFUNCTION("IFERROR(B133 * (1 + AVERAGE(Filter('Inflation Data'!$C:$C,'Inflation Data'!$A:$A = C$1))) + 'Fund YTD Contributions'!C133,'Fund YTD Contributions'!C133)"),0.0)</f>
        <v>0</v>
      </c>
      <c r="D133" s="152">
        <f>IFERROR(__xludf.DUMMYFUNCTION("IFERROR(C133 * (1 + AVERAGE(Filter('Inflation Data'!$C:$C,'Inflation Data'!$A:$A = D$1))) + 'Fund YTD Contributions'!D133,'Fund YTD Contributions'!D133)"),0.0)</f>
        <v>0</v>
      </c>
      <c r="E133" s="152">
        <f>IFERROR(__xludf.DUMMYFUNCTION("IFERROR(D133 * (1 + AVERAGE(Filter('Inflation Data'!$C:$C,'Inflation Data'!$A:$A = E$1))) + 'Fund YTD Contributions'!E133,'Fund YTD Contributions'!E133)"),0.0)</f>
        <v>0</v>
      </c>
      <c r="F133" s="152">
        <f>IFERROR(__xludf.DUMMYFUNCTION("IFERROR(E133 * (1 + AVERAGE(Filter('Inflation Data'!$C:$C,'Inflation Data'!$A:$A = F$1))) + 'Fund YTD Contributions'!F133,'Fund YTD Contributions'!F133)"),0.0)</f>
        <v>0</v>
      </c>
      <c r="G133" s="152">
        <f>IFERROR(__xludf.DUMMYFUNCTION("IFERROR(F133 * (1 + AVERAGE(Filter('Inflation Data'!$C:$C,'Inflation Data'!$A:$A = G$1))) + 'Fund YTD Contributions'!G133,'Fund YTD Contributions'!G133)"),0.0)</f>
        <v>0</v>
      </c>
      <c r="H133" s="152">
        <f>IFERROR(__xludf.DUMMYFUNCTION("IFERROR(G133 * (1 + AVERAGE(Filter('Inflation Data'!$C:$C,'Inflation Data'!$A:$A = H$1))) + 'Fund YTD Contributions'!H133,'Fund YTD Contributions'!H133)"),0.0)</f>
        <v>0</v>
      </c>
      <c r="I133" s="152">
        <f>IFERROR(__xludf.DUMMYFUNCTION("IFERROR(H133 * (1 + AVERAGE(Filter('Inflation Data'!$C:$C,'Inflation Data'!$A:$A = I$1))) + 'Fund YTD Contributions'!I133,'Fund YTD Contributions'!I133)"),0.0)</f>
        <v>0</v>
      </c>
      <c r="J133" s="152">
        <f>IFERROR(__xludf.DUMMYFUNCTION("IFERROR(I133 * (1 + AVERAGE(Filter('Inflation Data'!$C:$C,'Inflation Data'!$A:$A = J$1))) + 'Fund YTD Contributions'!J133,'Fund YTD Contributions'!J133)"),0.0)</f>
        <v>0</v>
      </c>
      <c r="K133" s="152">
        <f>IFERROR(__xludf.DUMMYFUNCTION("IFERROR(J133 * (1 + AVERAGE(Filter('Inflation Data'!$C:$C,'Inflation Data'!$A:$A = K$1))) + 'Fund YTD Contributions'!K133,'Fund YTD Contributions'!K133)"),0.0)</f>
        <v>0</v>
      </c>
      <c r="L133" s="152">
        <f>IFERROR(__xludf.DUMMYFUNCTION("IFERROR(K133 * (1 + AVERAGE(Filter('Inflation Data'!$C:$C,'Inflation Data'!$A:$A = L$1))) + 'Fund YTD Contributions'!L133,'Fund YTD Contributions'!L133)"),0.0)</f>
        <v>0</v>
      </c>
      <c r="M133" s="152">
        <f>IFERROR(__xludf.DUMMYFUNCTION("IFERROR(L133 * (1 + AVERAGE(Filter('Inflation Data'!$C:$C,'Inflation Data'!$A:$A = M$1))) + 'Fund YTD Contributions'!M133,'Fund YTD Contributions'!M133)"),0.0)</f>
        <v>0</v>
      </c>
      <c r="N133" s="152">
        <f>IFERROR(__xludf.DUMMYFUNCTION("IFERROR(M133 * (1 + AVERAGE(Filter('Inflation Data'!$C:$C,'Inflation Data'!$A:$A = N$1))) + 'Fund YTD Contributions'!N133,'Fund YTD Contributions'!N133)"),0.0)</f>
        <v>0</v>
      </c>
      <c r="O133" s="152">
        <f>IFERROR(__xludf.DUMMYFUNCTION("IFERROR(N133 * (1 + AVERAGE(Filter('Inflation Data'!$C:$C,'Inflation Data'!$A:$A = O$1))) + 'Fund YTD Contributions'!O133,'Fund YTD Contributions'!O133)"),0.0)</f>
        <v>0</v>
      </c>
      <c r="P133" s="152">
        <f>IFERROR(__xludf.DUMMYFUNCTION("IFERROR(O133 * (1 + AVERAGE(Filter('Inflation Data'!$C:$C,'Inflation Data'!$A:$A = P$1))) + 'Fund YTD Contributions'!P133,'Fund YTD Contributions'!P133)"),0.0)</f>
        <v>0</v>
      </c>
      <c r="Q133" s="152">
        <f>IFERROR(__xludf.DUMMYFUNCTION("IFERROR(P133 * (1 + AVERAGE(Filter('Inflation Data'!$C:$C,'Inflation Data'!$A:$A = Q$1))) + 'Fund YTD Contributions'!Q133,'Fund YTD Contributions'!Q133)"),0.0)</f>
        <v>0</v>
      </c>
      <c r="R133" s="152">
        <f>IFERROR(__xludf.DUMMYFUNCTION("IFERROR(Q133 * (1 + AVERAGE(Filter('Inflation Data'!$C:$C,'Inflation Data'!$A:$A = R$1))) + 'Fund YTD Contributions'!R133,'Fund YTD Contributions'!R133)"),0.0)</f>
        <v>0</v>
      </c>
      <c r="S133" s="152">
        <f>IFERROR(__xludf.DUMMYFUNCTION("IFERROR(R133 * (1 + AVERAGE(Filter('Inflation Data'!$C:$C,'Inflation Data'!$A:$A = S$1))) + 'Fund YTD Contributions'!S133,'Fund YTD Contributions'!S133)"),0.0)</f>
        <v>0</v>
      </c>
      <c r="T133" s="152">
        <f>IFERROR(__xludf.DUMMYFUNCTION("IFERROR(S133 * (1 + AVERAGE(Filter('Inflation Data'!$C:$C,'Inflation Data'!$A:$A = T$1))) + 'Fund YTD Contributions'!T133,'Fund YTD Contributions'!T133)"),0.0)</f>
        <v>0</v>
      </c>
      <c r="U133" s="152">
        <f>IFERROR(__xludf.DUMMYFUNCTION("IFERROR(T133 * (1 + AVERAGE(Filter('Inflation Data'!$C:$C,'Inflation Data'!$A:$A = U$1))) + 'Fund YTD Contributions'!U133,'Fund YTD Contributions'!U133)"),0.0)</f>
        <v>0</v>
      </c>
      <c r="V133" s="152">
        <f>IFERROR(__xludf.DUMMYFUNCTION("IFERROR(U133 * (1 + AVERAGE(Filter('Inflation Data'!$C:$C,'Inflation Data'!$A:$A = V$1))) + 'Fund YTD Contributions'!V133,'Fund YTD Contributions'!V133)"),0.0)</f>
        <v>0</v>
      </c>
      <c r="W133" s="152">
        <f>IFERROR(__xludf.DUMMYFUNCTION("IFERROR(V133 * (1 + AVERAGE(Filter('Inflation Data'!$C:$C,'Inflation Data'!$A:$A = W$1))) + 'Fund YTD Contributions'!W133,'Fund YTD Contributions'!W133)"),0.0)</f>
        <v>0</v>
      </c>
      <c r="X133" s="152">
        <f>IFERROR(__xludf.DUMMYFUNCTION("IFERROR(W133 * (1 + AVERAGE(Filter('Inflation Data'!$C:$C,'Inflation Data'!$A:$A = X$1))) + 'Fund YTD Contributions'!X133,'Fund YTD Contributions'!X133)"),0.0)</f>
        <v>0</v>
      </c>
      <c r="Y133" s="152">
        <f>IFERROR(__xludf.DUMMYFUNCTION("IFERROR(X133 * (1 + AVERAGE(Filter('Inflation Data'!$C:$C,'Inflation Data'!$A:$A = Y$1))) + 'Fund YTD Contributions'!Y133,'Fund YTD Contributions'!Y133)"),0.0)</f>
        <v>0</v>
      </c>
      <c r="Z133" s="152">
        <f>IFERROR(__xludf.DUMMYFUNCTION("IFERROR(Y133 * (1 + AVERAGE(Filter('Inflation Data'!$C:$C,'Inflation Data'!$A:$A = Z$1))) + 'Fund YTD Contributions'!Z133,'Fund YTD Contributions'!Z133)"),0.0)</f>
        <v>0</v>
      </c>
      <c r="AA133" s="152"/>
      <c r="AB133" s="152"/>
      <c r="AC133" s="152"/>
      <c r="AD133" s="152"/>
      <c r="AE133" s="152"/>
      <c r="AF133" s="152"/>
    </row>
    <row r="134">
      <c r="A134" s="150" t="str">
        <f>'Endowed Funds'!A:A</f>
        <v/>
      </c>
      <c r="B134" s="152">
        <f>IFERROR(__xludf.DUMMYFUNCTION("IFERROR(A134 * (1 + AVERAGE(Filter('Inflation Data'!$C:$C,'Inflation Data'!$A:$A = B$1))) + 'Fund YTD Contributions'!B134,'Fund YTD Contributions'!B134)"),0.0)</f>
        <v>0</v>
      </c>
      <c r="C134" s="152">
        <f>IFERROR(__xludf.DUMMYFUNCTION("IFERROR(B134 * (1 + AVERAGE(Filter('Inflation Data'!$C:$C,'Inflation Data'!$A:$A = C$1))) + 'Fund YTD Contributions'!C134,'Fund YTD Contributions'!C134)"),0.0)</f>
        <v>0</v>
      </c>
      <c r="D134" s="152">
        <f>IFERROR(__xludf.DUMMYFUNCTION("IFERROR(C134 * (1 + AVERAGE(Filter('Inflation Data'!$C:$C,'Inflation Data'!$A:$A = D$1))) + 'Fund YTD Contributions'!D134,'Fund YTD Contributions'!D134)"),0.0)</f>
        <v>0</v>
      </c>
      <c r="E134" s="152">
        <f>IFERROR(__xludf.DUMMYFUNCTION("IFERROR(D134 * (1 + AVERAGE(Filter('Inflation Data'!$C:$C,'Inflation Data'!$A:$A = E$1))) + 'Fund YTD Contributions'!E134,'Fund YTD Contributions'!E134)"),0.0)</f>
        <v>0</v>
      </c>
      <c r="F134" s="152">
        <f>IFERROR(__xludf.DUMMYFUNCTION("IFERROR(E134 * (1 + AVERAGE(Filter('Inflation Data'!$C:$C,'Inflation Data'!$A:$A = F$1))) + 'Fund YTD Contributions'!F134,'Fund YTD Contributions'!F134)"),0.0)</f>
        <v>0</v>
      </c>
      <c r="G134" s="152">
        <f>IFERROR(__xludf.DUMMYFUNCTION("IFERROR(F134 * (1 + AVERAGE(Filter('Inflation Data'!$C:$C,'Inflation Data'!$A:$A = G$1))) + 'Fund YTD Contributions'!G134,'Fund YTD Contributions'!G134)"),0.0)</f>
        <v>0</v>
      </c>
      <c r="H134" s="152">
        <f>IFERROR(__xludf.DUMMYFUNCTION("IFERROR(G134 * (1 + AVERAGE(Filter('Inflation Data'!$C:$C,'Inflation Data'!$A:$A = H$1))) + 'Fund YTD Contributions'!H134,'Fund YTD Contributions'!H134)"),0.0)</f>
        <v>0</v>
      </c>
      <c r="I134" s="152">
        <f>IFERROR(__xludf.DUMMYFUNCTION("IFERROR(H134 * (1 + AVERAGE(Filter('Inflation Data'!$C:$C,'Inflation Data'!$A:$A = I$1))) + 'Fund YTD Contributions'!I134,'Fund YTD Contributions'!I134)"),0.0)</f>
        <v>0</v>
      </c>
      <c r="J134" s="152">
        <f>IFERROR(__xludf.DUMMYFUNCTION("IFERROR(I134 * (1 + AVERAGE(Filter('Inflation Data'!$C:$C,'Inflation Data'!$A:$A = J$1))) + 'Fund YTD Contributions'!J134,'Fund YTD Contributions'!J134)"),0.0)</f>
        <v>0</v>
      </c>
      <c r="K134" s="152">
        <f>IFERROR(__xludf.DUMMYFUNCTION("IFERROR(J134 * (1 + AVERAGE(Filter('Inflation Data'!$C:$C,'Inflation Data'!$A:$A = K$1))) + 'Fund YTD Contributions'!K134,'Fund YTD Contributions'!K134)"),0.0)</f>
        <v>0</v>
      </c>
      <c r="L134" s="152">
        <f>IFERROR(__xludf.DUMMYFUNCTION("IFERROR(K134 * (1 + AVERAGE(Filter('Inflation Data'!$C:$C,'Inflation Data'!$A:$A = L$1))) + 'Fund YTD Contributions'!L134,'Fund YTD Contributions'!L134)"),0.0)</f>
        <v>0</v>
      </c>
      <c r="M134" s="152">
        <f>IFERROR(__xludf.DUMMYFUNCTION("IFERROR(L134 * (1 + AVERAGE(Filter('Inflation Data'!$C:$C,'Inflation Data'!$A:$A = M$1))) + 'Fund YTD Contributions'!M134,'Fund YTD Contributions'!M134)"),0.0)</f>
        <v>0</v>
      </c>
      <c r="N134" s="152">
        <f>IFERROR(__xludf.DUMMYFUNCTION("IFERROR(M134 * (1 + AVERAGE(Filter('Inflation Data'!$C:$C,'Inflation Data'!$A:$A = N$1))) + 'Fund YTD Contributions'!N134,'Fund YTD Contributions'!N134)"),0.0)</f>
        <v>0</v>
      </c>
      <c r="O134" s="152">
        <f>IFERROR(__xludf.DUMMYFUNCTION("IFERROR(N134 * (1 + AVERAGE(Filter('Inflation Data'!$C:$C,'Inflation Data'!$A:$A = O$1))) + 'Fund YTD Contributions'!O134,'Fund YTD Contributions'!O134)"),0.0)</f>
        <v>0</v>
      </c>
      <c r="P134" s="152">
        <f>IFERROR(__xludf.DUMMYFUNCTION("IFERROR(O134 * (1 + AVERAGE(Filter('Inflation Data'!$C:$C,'Inflation Data'!$A:$A = P$1))) + 'Fund YTD Contributions'!P134,'Fund YTD Contributions'!P134)"),0.0)</f>
        <v>0</v>
      </c>
      <c r="Q134" s="152">
        <f>IFERROR(__xludf.DUMMYFUNCTION("IFERROR(P134 * (1 + AVERAGE(Filter('Inflation Data'!$C:$C,'Inflation Data'!$A:$A = Q$1))) + 'Fund YTD Contributions'!Q134,'Fund YTD Contributions'!Q134)"),0.0)</f>
        <v>0</v>
      </c>
      <c r="R134" s="152">
        <f>IFERROR(__xludf.DUMMYFUNCTION("IFERROR(Q134 * (1 + AVERAGE(Filter('Inflation Data'!$C:$C,'Inflation Data'!$A:$A = R$1))) + 'Fund YTD Contributions'!R134,'Fund YTD Contributions'!R134)"),0.0)</f>
        <v>0</v>
      </c>
      <c r="S134" s="152">
        <f>IFERROR(__xludf.DUMMYFUNCTION("IFERROR(R134 * (1 + AVERAGE(Filter('Inflation Data'!$C:$C,'Inflation Data'!$A:$A = S$1))) + 'Fund YTD Contributions'!S134,'Fund YTD Contributions'!S134)"),0.0)</f>
        <v>0</v>
      </c>
      <c r="T134" s="152">
        <f>IFERROR(__xludf.DUMMYFUNCTION("IFERROR(S134 * (1 + AVERAGE(Filter('Inflation Data'!$C:$C,'Inflation Data'!$A:$A = T$1))) + 'Fund YTD Contributions'!T134,'Fund YTD Contributions'!T134)"),0.0)</f>
        <v>0</v>
      </c>
      <c r="U134" s="152">
        <f>IFERROR(__xludf.DUMMYFUNCTION("IFERROR(T134 * (1 + AVERAGE(Filter('Inflation Data'!$C:$C,'Inflation Data'!$A:$A = U$1))) + 'Fund YTD Contributions'!U134,'Fund YTD Contributions'!U134)"),0.0)</f>
        <v>0</v>
      </c>
      <c r="V134" s="152">
        <f>IFERROR(__xludf.DUMMYFUNCTION("IFERROR(U134 * (1 + AVERAGE(Filter('Inflation Data'!$C:$C,'Inflation Data'!$A:$A = V$1))) + 'Fund YTD Contributions'!V134,'Fund YTD Contributions'!V134)"),0.0)</f>
        <v>0</v>
      </c>
      <c r="W134" s="152">
        <f>IFERROR(__xludf.DUMMYFUNCTION("IFERROR(V134 * (1 + AVERAGE(Filter('Inflation Data'!$C:$C,'Inflation Data'!$A:$A = W$1))) + 'Fund YTD Contributions'!W134,'Fund YTD Contributions'!W134)"),0.0)</f>
        <v>0</v>
      </c>
      <c r="X134" s="152">
        <f>IFERROR(__xludf.DUMMYFUNCTION("IFERROR(W134 * (1 + AVERAGE(Filter('Inflation Data'!$C:$C,'Inflation Data'!$A:$A = X$1))) + 'Fund YTD Contributions'!X134,'Fund YTD Contributions'!X134)"),0.0)</f>
        <v>0</v>
      </c>
      <c r="Y134" s="152">
        <f>IFERROR(__xludf.DUMMYFUNCTION("IFERROR(X134 * (1 + AVERAGE(Filter('Inflation Data'!$C:$C,'Inflation Data'!$A:$A = Y$1))) + 'Fund YTD Contributions'!Y134,'Fund YTD Contributions'!Y134)"),0.0)</f>
        <v>0</v>
      </c>
      <c r="Z134" s="152">
        <f>IFERROR(__xludf.DUMMYFUNCTION("IFERROR(Y134 * (1 + AVERAGE(Filter('Inflation Data'!$C:$C,'Inflation Data'!$A:$A = Z$1))) + 'Fund YTD Contributions'!Z134,'Fund YTD Contributions'!Z134)"),0.0)</f>
        <v>0</v>
      </c>
      <c r="AA134" s="152"/>
      <c r="AB134" s="152"/>
      <c r="AC134" s="152"/>
      <c r="AD134" s="152"/>
      <c r="AE134" s="152"/>
      <c r="AF134" s="152"/>
    </row>
    <row r="135">
      <c r="A135" s="150" t="str">
        <f>'Endowed Funds'!A:A</f>
        <v/>
      </c>
      <c r="B135" s="152">
        <f>IFERROR(__xludf.DUMMYFUNCTION("IFERROR(A135 * (1 + AVERAGE(Filter('Inflation Data'!$C:$C,'Inflation Data'!$A:$A = B$1))) + 'Fund YTD Contributions'!B135,'Fund YTD Contributions'!B135)"),0.0)</f>
        <v>0</v>
      </c>
      <c r="C135" s="152">
        <f>IFERROR(__xludf.DUMMYFUNCTION("IFERROR(B135 * (1 + AVERAGE(Filter('Inflation Data'!$C:$C,'Inflation Data'!$A:$A = C$1))) + 'Fund YTD Contributions'!C135,'Fund YTD Contributions'!C135)"),0.0)</f>
        <v>0</v>
      </c>
      <c r="D135" s="152">
        <f>IFERROR(__xludf.DUMMYFUNCTION("IFERROR(C135 * (1 + AVERAGE(Filter('Inflation Data'!$C:$C,'Inflation Data'!$A:$A = D$1))) + 'Fund YTD Contributions'!D135,'Fund YTD Contributions'!D135)"),0.0)</f>
        <v>0</v>
      </c>
      <c r="E135" s="152">
        <f>IFERROR(__xludf.DUMMYFUNCTION("IFERROR(D135 * (1 + AVERAGE(Filter('Inflation Data'!$C:$C,'Inflation Data'!$A:$A = E$1))) + 'Fund YTD Contributions'!E135,'Fund YTD Contributions'!E135)"),0.0)</f>
        <v>0</v>
      </c>
      <c r="F135" s="152">
        <f>IFERROR(__xludf.DUMMYFUNCTION("IFERROR(E135 * (1 + AVERAGE(Filter('Inflation Data'!$C:$C,'Inflation Data'!$A:$A = F$1))) + 'Fund YTD Contributions'!F135,'Fund YTD Contributions'!F135)"),0.0)</f>
        <v>0</v>
      </c>
      <c r="G135" s="152">
        <f>IFERROR(__xludf.DUMMYFUNCTION("IFERROR(F135 * (1 + AVERAGE(Filter('Inflation Data'!$C:$C,'Inflation Data'!$A:$A = G$1))) + 'Fund YTD Contributions'!G135,'Fund YTD Contributions'!G135)"),0.0)</f>
        <v>0</v>
      </c>
      <c r="H135" s="152">
        <f>IFERROR(__xludf.DUMMYFUNCTION("IFERROR(G135 * (1 + AVERAGE(Filter('Inflation Data'!$C:$C,'Inflation Data'!$A:$A = H$1))) + 'Fund YTD Contributions'!H135,'Fund YTD Contributions'!H135)"),0.0)</f>
        <v>0</v>
      </c>
      <c r="I135" s="152">
        <f>IFERROR(__xludf.DUMMYFUNCTION("IFERROR(H135 * (1 + AVERAGE(Filter('Inflation Data'!$C:$C,'Inflation Data'!$A:$A = I$1))) + 'Fund YTD Contributions'!I135,'Fund YTD Contributions'!I135)"),0.0)</f>
        <v>0</v>
      </c>
      <c r="J135" s="152">
        <f>IFERROR(__xludf.DUMMYFUNCTION("IFERROR(I135 * (1 + AVERAGE(Filter('Inflation Data'!$C:$C,'Inflation Data'!$A:$A = J$1))) + 'Fund YTD Contributions'!J135,'Fund YTD Contributions'!J135)"),0.0)</f>
        <v>0</v>
      </c>
      <c r="K135" s="152">
        <f>IFERROR(__xludf.DUMMYFUNCTION("IFERROR(J135 * (1 + AVERAGE(Filter('Inflation Data'!$C:$C,'Inflation Data'!$A:$A = K$1))) + 'Fund YTD Contributions'!K135,'Fund YTD Contributions'!K135)"),0.0)</f>
        <v>0</v>
      </c>
      <c r="L135" s="152">
        <f>IFERROR(__xludf.DUMMYFUNCTION("IFERROR(K135 * (1 + AVERAGE(Filter('Inflation Data'!$C:$C,'Inflation Data'!$A:$A = L$1))) + 'Fund YTD Contributions'!L135,'Fund YTD Contributions'!L135)"),0.0)</f>
        <v>0</v>
      </c>
      <c r="M135" s="152">
        <f>IFERROR(__xludf.DUMMYFUNCTION("IFERROR(L135 * (1 + AVERAGE(Filter('Inflation Data'!$C:$C,'Inflation Data'!$A:$A = M$1))) + 'Fund YTD Contributions'!M135,'Fund YTD Contributions'!M135)"),0.0)</f>
        <v>0</v>
      </c>
      <c r="N135" s="152">
        <f>IFERROR(__xludf.DUMMYFUNCTION("IFERROR(M135 * (1 + AVERAGE(Filter('Inflation Data'!$C:$C,'Inflation Data'!$A:$A = N$1))) + 'Fund YTD Contributions'!N135,'Fund YTD Contributions'!N135)"),0.0)</f>
        <v>0</v>
      </c>
      <c r="O135" s="152">
        <f>IFERROR(__xludf.DUMMYFUNCTION("IFERROR(N135 * (1 + AVERAGE(Filter('Inflation Data'!$C:$C,'Inflation Data'!$A:$A = O$1))) + 'Fund YTD Contributions'!O135,'Fund YTD Contributions'!O135)"),0.0)</f>
        <v>0</v>
      </c>
      <c r="P135" s="152">
        <f>IFERROR(__xludf.DUMMYFUNCTION("IFERROR(O135 * (1 + AVERAGE(Filter('Inflation Data'!$C:$C,'Inflation Data'!$A:$A = P$1))) + 'Fund YTD Contributions'!P135,'Fund YTD Contributions'!P135)"),0.0)</f>
        <v>0</v>
      </c>
      <c r="Q135" s="152">
        <f>IFERROR(__xludf.DUMMYFUNCTION("IFERROR(P135 * (1 + AVERAGE(Filter('Inflation Data'!$C:$C,'Inflation Data'!$A:$A = Q$1))) + 'Fund YTD Contributions'!Q135,'Fund YTD Contributions'!Q135)"),0.0)</f>
        <v>0</v>
      </c>
      <c r="R135" s="152">
        <f>IFERROR(__xludf.DUMMYFUNCTION("IFERROR(Q135 * (1 + AVERAGE(Filter('Inflation Data'!$C:$C,'Inflation Data'!$A:$A = R$1))) + 'Fund YTD Contributions'!R135,'Fund YTD Contributions'!R135)"),0.0)</f>
        <v>0</v>
      </c>
      <c r="S135" s="152">
        <f>IFERROR(__xludf.DUMMYFUNCTION("IFERROR(R135 * (1 + AVERAGE(Filter('Inflation Data'!$C:$C,'Inflation Data'!$A:$A = S$1))) + 'Fund YTD Contributions'!S135,'Fund YTD Contributions'!S135)"),0.0)</f>
        <v>0</v>
      </c>
      <c r="T135" s="152">
        <f>IFERROR(__xludf.DUMMYFUNCTION("IFERROR(S135 * (1 + AVERAGE(Filter('Inflation Data'!$C:$C,'Inflation Data'!$A:$A = T$1))) + 'Fund YTD Contributions'!T135,'Fund YTD Contributions'!T135)"),0.0)</f>
        <v>0</v>
      </c>
      <c r="U135" s="152">
        <f>IFERROR(__xludf.DUMMYFUNCTION("IFERROR(T135 * (1 + AVERAGE(Filter('Inflation Data'!$C:$C,'Inflation Data'!$A:$A = U$1))) + 'Fund YTD Contributions'!U135,'Fund YTD Contributions'!U135)"),0.0)</f>
        <v>0</v>
      </c>
      <c r="V135" s="152">
        <f>IFERROR(__xludf.DUMMYFUNCTION("IFERROR(U135 * (1 + AVERAGE(Filter('Inflation Data'!$C:$C,'Inflation Data'!$A:$A = V$1))) + 'Fund YTD Contributions'!V135,'Fund YTD Contributions'!V135)"),0.0)</f>
        <v>0</v>
      </c>
      <c r="W135" s="152">
        <f>IFERROR(__xludf.DUMMYFUNCTION("IFERROR(V135 * (1 + AVERAGE(Filter('Inflation Data'!$C:$C,'Inflation Data'!$A:$A = W$1))) + 'Fund YTD Contributions'!W135,'Fund YTD Contributions'!W135)"),0.0)</f>
        <v>0</v>
      </c>
      <c r="X135" s="152">
        <f>IFERROR(__xludf.DUMMYFUNCTION("IFERROR(W135 * (1 + AVERAGE(Filter('Inflation Data'!$C:$C,'Inflation Data'!$A:$A = X$1))) + 'Fund YTD Contributions'!X135,'Fund YTD Contributions'!X135)"),0.0)</f>
        <v>0</v>
      </c>
      <c r="Y135" s="152">
        <f>IFERROR(__xludf.DUMMYFUNCTION("IFERROR(X135 * (1 + AVERAGE(Filter('Inflation Data'!$C:$C,'Inflation Data'!$A:$A = Y$1))) + 'Fund YTD Contributions'!Y135,'Fund YTD Contributions'!Y135)"),0.0)</f>
        <v>0</v>
      </c>
      <c r="Z135" s="152">
        <f>IFERROR(__xludf.DUMMYFUNCTION("IFERROR(Y135 * (1 + AVERAGE(Filter('Inflation Data'!$C:$C,'Inflation Data'!$A:$A = Z$1))) + 'Fund YTD Contributions'!Z135,'Fund YTD Contributions'!Z135)"),0.0)</f>
        <v>0</v>
      </c>
      <c r="AA135" s="152"/>
      <c r="AB135" s="152"/>
      <c r="AC135" s="152"/>
      <c r="AD135" s="152"/>
      <c r="AE135" s="152"/>
      <c r="AF135" s="152"/>
    </row>
    <row r="136">
      <c r="A136" s="150" t="str">
        <f>'Endowed Funds'!A:A</f>
        <v/>
      </c>
      <c r="B136" s="152">
        <f>IFERROR(__xludf.DUMMYFUNCTION("IFERROR(A136 * (1 + AVERAGE(Filter('Inflation Data'!$C:$C,'Inflation Data'!$A:$A = B$1))) + 'Fund YTD Contributions'!B136,'Fund YTD Contributions'!B136)"),0.0)</f>
        <v>0</v>
      </c>
      <c r="C136" s="152">
        <f>IFERROR(__xludf.DUMMYFUNCTION("IFERROR(B136 * (1 + AVERAGE(Filter('Inflation Data'!$C:$C,'Inflation Data'!$A:$A = C$1))) + 'Fund YTD Contributions'!C136,'Fund YTD Contributions'!C136)"),0.0)</f>
        <v>0</v>
      </c>
      <c r="D136" s="152">
        <f>IFERROR(__xludf.DUMMYFUNCTION("IFERROR(C136 * (1 + AVERAGE(Filter('Inflation Data'!$C:$C,'Inflation Data'!$A:$A = D$1))) + 'Fund YTD Contributions'!D136,'Fund YTD Contributions'!D136)"),0.0)</f>
        <v>0</v>
      </c>
      <c r="E136" s="152">
        <f>IFERROR(__xludf.DUMMYFUNCTION("IFERROR(D136 * (1 + AVERAGE(Filter('Inflation Data'!$C:$C,'Inflation Data'!$A:$A = E$1))) + 'Fund YTD Contributions'!E136,'Fund YTD Contributions'!E136)"),0.0)</f>
        <v>0</v>
      </c>
      <c r="F136" s="152">
        <f>IFERROR(__xludf.DUMMYFUNCTION("IFERROR(E136 * (1 + AVERAGE(Filter('Inflation Data'!$C:$C,'Inflation Data'!$A:$A = F$1))) + 'Fund YTD Contributions'!F136,'Fund YTD Contributions'!F136)"),0.0)</f>
        <v>0</v>
      </c>
      <c r="G136" s="152">
        <f>IFERROR(__xludf.DUMMYFUNCTION("IFERROR(F136 * (1 + AVERAGE(Filter('Inflation Data'!$C:$C,'Inflation Data'!$A:$A = G$1))) + 'Fund YTD Contributions'!G136,'Fund YTD Contributions'!G136)"),0.0)</f>
        <v>0</v>
      </c>
      <c r="H136" s="152">
        <f>IFERROR(__xludf.DUMMYFUNCTION("IFERROR(G136 * (1 + AVERAGE(Filter('Inflation Data'!$C:$C,'Inflation Data'!$A:$A = H$1))) + 'Fund YTD Contributions'!H136,'Fund YTD Contributions'!H136)"),0.0)</f>
        <v>0</v>
      </c>
      <c r="I136" s="152">
        <f>IFERROR(__xludf.DUMMYFUNCTION("IFERROR(H136 * (1 + AVERAGE(Filter('Inflation Data'!$C:$C,'Inflation Data'!$A:$A = I$1))) + 'Fund YTD Contributions'!I136,'Fund YTD Contributions'!I136)"),0.0)</f>
        <v>0</v>
      </c>
      <c r="J136" s="152">
        <f>IFERROR(__xludf.DUMMYFUNCTION("IFERROR(I136 * (1 + AVERAGE(Filter('Inflation Data'!$C:$C,'Inflation Data'!$A:$A = J$1))) + 'Fund YTD Contributions'!J136,'Fund YTD Contributions'!J136)"),0.0)</f>
        <v>0</v>
      </c>
      <c r="K136" s="152">
        <f>IFERROR(__xludf.DUMMYFUNCTION("IFERROR(J136 * (1 + AVERAGE(Filter('Inflation Data'!$C:$C,'Inflation Data'!$A:$A = K$1))) + 'Fund YTD Contributions'!K136,'Fund YTD Contributions'!K136)"),0.0)</f>
        <v>0</v>
      </c>
      <c r="L136" s="152">
        <f>IFERROR(__xludf.DUMMYFUNCTION("IFERROR(K136 * (1 + AVERAGE(Filter('Inflation Data'!$C:$C,'Inflation Data'!$A:$A = L$1))) + 'Fund YTD Contributions'!L136,'Fund YTD Contributions'!L136)"),0.0)</f>
        <v>0</v>
      </c>
      <c r="M136" s="152">
        <f>IFERROR(__xludf.DUMMYFUNCTION("IFERROR(L136 * (1 + AVERAGE(Filter('Inflation Data'!$C:$C,'Inflation Data'!$A:$A = M$1))) + 'Fund YTD Contributions'!M136,'Fund YTD Contributions'!M136)"),0.0)</f>
        <v>0</v>
      </c>
      <c r="N136" s="152">
        <f>IFERROR(__xludf.DUMMYFUNCTION("IFERROR(M136 * (1 + AVERAGE(Filter('Inflation Data'!$C:$C,'Inflation Data'!$A:$A = N$1))) + 'Fund YTD Contributions'!N136,'Fund YTD Contributions'!N136)"),0.0)</f>
        <v>0</v>
      </c>
      <c r="O136" s="152">
        <f>IFERROR(__xludf.DUMMYFUNCTION("IFERROR(N136 * (1 + AVERAGE(Filter('Inflation Data'!$C:$C,'Inflation Data'!$A:$A = O$1))) + 'Fund YTD Contributions'!O136,'Fund YTD Contributions'!O136)"),0.0)</f>
        <v>0</v>
      </c>
      <c r="P136" s="152">
        <f>IFERROR(__xludf.DUMMYFUNCTION("IFERROR(O136 * (1 + AVERAGE(Filter('Inflation Data'!$C:$C,'Inflation Data'!$A:$A = P$1))) + 'Fund YTD Contributions'!P136,'Fund YTD Contributions'!P136)"),0.0)</f>
        <v>0</v>
      </c>
      <c r="Q136" s="152">
        <f>IFERROR(__xludf.DUMMYFUNCTION("IFERROR(P136 * (1 + AVERAGE(Filter('Inflation Data'!$C:$C,'Inflation Data'!$A:$A = Q$1))) + 'Fund YTD Contributions'!Q136,'Fund YTD Contributions'!Q136)"),0.0)</f>
        <v>0</v>
      </c>
      <c r="R136" s="152">
        <f>IFERROR(__xludf.DUMMYFUNCTION("IFERROR(Q136 * (1 + AVERAGE(Filter('Inflation Data'!$C:$C,'Inflation Data'!$A:$A = R$1))) + 'Fund YTD Contributions'!R136,'Fund YTD Contributions'!R136)"),0.0)</f>
        <v>0</v>
      </c>
      <c r="S136" s="152">
        <f>IFERROR(__xludf.DUMMYFUNCTION("IFERROR(R136 * (1 + AVERAGE(Filter('Inflation Data'!$C:$C,'Inflation Data'!$A:$A = S$1))) + 'Fund YTD Contributions'!S136,'Fund YTD Contributions'!S136)"),0.0)</f>
        <v>0</v>
      </c>
      <c r="T136" s="152">
        <f>IFERROR(__xludf.DUMMYFUNCTION("IFERROR(S136 * (1 + AVERAGE(Filter('Inflation Data'!$C:$C,'Inflation Data'!$A:$A = T$1))) + 'Fund YTD Contributions'!T136,'Fund YTD Contributions'!T136)"),0.0)</f>
        <v>0</v>
      </c>
      <c r="U136" s="152">
        <f>IFERROR(__xludf.DUMMYFUNCTION("IFERROR(T136 * (1 + AVERAGE(Filter('Inflation Data'!$C:$C,'Inflation Data'!$A:$A = U$1))) + 'Fund YTD Contributions'!U136,'Fund YTD Contributions'!U136)"),0.0)</f>
        <v>0</v>
      </c>
      <c r="V136" s="152">
        <f>IFERROR(__xludf.DUMMYFUNCTION("IFERROR(U136 * (1 + AVERAGE(Filter('Inflation Data'!$C:$C,'Inflation Data'!$A:$A = V$1))) + 'Fund YTD Contributions'!V136,'Fund YTD Contributions'!V136)"),0.0)</f>
        <v>0</v>
      </c>
      <c r="W136" s="152">
        <f>IFERROR(__xludf.DUMMYFUNCTION("IFERROR(V136 * (1 + AVERAGE(Filter('Inflation Data'!$C:$C,'Inflation Data'!$A:$A = W$1))) + 'Fund YTD Contributions'!W136,'Fund YTD Contributions'!W136)"),0.0)</f>
        <v>0</v>
      </c>
      <c r="X136" s="152">
        <f>IFERROR(__xludf.DUMMYFUNCTION("IFERROR(W136 * (1 + AVERAGE(Filter('Inflation Data'!$C:$C,'Inflation Data'!$A:$A = X$1))) + 'Fund YTD Contributions'!X136,'Fund YTD Contributions'!X136)"),0.0)</f>
        <v>0</v>
      </c>
      <c r="Y136" s="152">
        <f>IFERROR(__xludf.DUMMYFUNCTION("IFERROR(X136 * (1 + AVERAGE(Filter('Inflation Data'!$C:$C,'Inflation Data'!$A:$A = Y$1))) + 'Fund YTD Contributions'!Y136,'Fund YTD Contributions'!Y136)"),0.0)</f>
        <v>0</v>
      </c>
      <c r="Z136" s="152">
        <f>IFERROR(__xludf.DUMMYFUNCTION("IFERROR(Y136 * (1 + AVERAGE(Filter('Inflation Data'!$C:$C,'Inflation Data'!$A:$A = Z$1))) + 'Fund YTD Contributions'!Z136,'Fund YTD Contributions'!Z136)"),0.0)</f>
        <v>0</v>
      </c>
      <c r="AA136" s="152"/>
      <c r="AB136" s="152"/>
      <c r="AC136" s="152"/>
      <c r="AD136" s="152"/>
      <c r="AE136" s="152"/>
      <c r="AF136" s="152"/>
    </row>
    <row r="137">
      <c r="A137" s="150" t="str">
        <f>'Endowed Funds'!A:A</f>
        <v/>
      </c>
      <c r="B137" s="152">
        <f>IFERROR(__xludf.DUMMYFUNCTION("IFERROR(A137 * (1 + AVERAGE(Filter('Inflation Data'!$C:$C,'Inflation Data'!$A:$A = B$1))) + 'Fund YTD Contributions'!B137,'Fund YTD Contributions'!B137)"),0.0)</f>
        <v>0</v>
      </c>
      <c r="C137" s="152">
        <f>IFERROR(__xludf.DUMMYFUNCTION("IFERROR(B137 * (1 + AVERAGE(Filter('Inflation Data'!$C:$C,'Inflation Data'!$A:$A = C$1))) + 'Fund YTD Contributions'!C137,'Fund YTD Contributions'!C137)"),0.0)</f>
        <v>0</v>
      </c>
      <c r="D137" s="152">
        <f>IFERROR(__xludf.DUMMYFUNCTION("IFERROR(C137 * (1 + AVERAGE(Filter('Inflation Data'!$C:$C,'Inflation Data'!$A:$A = D$1))) + 'Fund YTD Contributions'!D137,'Fund YTD Contributions'!D137)"),0.0)</f>
        <v>0</v>
      </c>
      <c r="E137" s="152">
        <f>IFERROR(__xludf.DUMMYFUNCTION("IFERROR(D137 * (1 + AVERAGE(Filter('Inflation Data'!$C:$C,'Inflation Data'!$A:$A = E$1))) + 'Fund YTD Contributions'!E137,'Fund YTD Contributions'!E137)"),0.0)</f>
        <v>0</v>
      </c>
      <c r="F137" s="152">
        <f>IFERROR(__xludf.DUMMYFUNCTION("IFERROR(E137 * (1 + AVERAGE(Filter('Inflation Data'!$C:$C,'Inflation Data'!$A:$A = F$1))) + 'Fund YTD Contributions'!F137,'Fund YTD Contributions'!F137)"),0.0)</f>
        <v>0</v>
      </c>
      <c r="G137" s="152">
        <f>IFERROR(__xludf.DUMMYFUNCTION("IFERROR(F137 * (1 + AVERAGE(Filter('Inflation Data'!$C:$C,'Inflation Data'!$A:$A = G$1))) + 'Fund YTD Contributions'!G137,'Fund YTD Contributions'!G137)"),0.0)</f>
        <v>0</v>
      </c>
      <c r="H137" s="152">
        <f>IFERROR(__xludf.DUMMYFUNCTION("IFERROR(G137 * (1 + AVERAGE(Filter('Inflation Data'!$C:$C,'Inflation Data'!$A:$A = H$1))) + 'Fund YTD Contributions'!H137,'Fund YTD Contributions'!H137)"),0.0)</f>
        <v>0</v>
      </c>
      <c r="I137" s="152">
        <f>IFERROR(__xludf.DUMMYFUNCTION("IFERROR(H137 * (1 + AVERAGE(Filter('Inflation Data'!$C:$C,'Inflation Data'!$A:$A = I$1))) + 'Fund YTD Contributions'!I137,'Fund YTD Contributions'!I137)"),0.0)</f>
        <v>0</v>
      </c>
      <c r="J137" s="152">
        <f>IFERROR(__xludf.DUMMYFUNCTION("IFERROR(I137 * (1 + AVERAGE(Filter('Inflation Data'!$C:$C,'Inflation Data'!$A:$A = J$1))) + 'Fund YTD Contributions'!J137,'Fund YTD Contributions'!J137)"),0.0)</f>
        <v>0</v>
      </c>
      <c r="K137" s="152">
        <f>IFERROR(__xludf.DUMMYFUNCTION("IFERROR(J137 * (1 + AVERAGE(Filter('Inflation Data'!$C:$C,'Inflation Data'!$A:$A = K$1))) + 'Fund YTD Contributions'!K137,'Fund YTD Contributions'!K137)"),0.0)</f>
        <v>0</v>
      </c>
      <c r="L137" s="152">
        <f>IFERROR(__xludf.DUMMYFUNCTION("IFERROR(K137 * (1 + AVERAGE(Filter('Inflation Data'!$C:$C,'Inflation Data'!$A:$A = L$1))) + 'Fund YTD Contributions'!L137,'Fund YTD Contributions'!L137)"),0.0)</f>
        <v>0</v>
      </c>
      <c r="M137" s="152">
        <f>IFERROR(__xludf.DUMMYFUNCTION("IFERROR(L137 * (1 + AVERAGE(Filter('Inflation Data'!$C:$C,'Inflation Data'!$A:$A = M$1))) + 'Fund YTD Contributions'!M137,'Fund YTD Contributions'!M137)"),0.0)</f>
        <v>0</v>
      </c>
      <c r="N137" s="152">
        <f>IFERROR(__xludf.DUMMYFUNCTION("IFERROR(M137 * (1 + AVERAGE(Filter('Inflation Data'!$C:$C,'Inflation Data'!$A:$A = N$1))) + 'Fund YTD Contributions'!N137,'Fund YTD Contributions'!N137)"),0.0)</f>
        <v>0</v>
      </c>
      <c r="O137" s="152">
        <f>IFERROR(__xludf.DUMMYFUNCTION("IFERROR(N137 * (1 + AVERAGE(Filter('Inflation Data'!$C:$C,'Inflation Data'!$A:$A = O$1))) + 'Fund YTD Contributions'!O137,'Fund YTD Contributions'!O137)"),0.0)</f>
        <v>0</v>
      </c>
      <c r="P137" s="152">
        <f>IFERROR(__xludf.DUMMYFUNCTION("IFERROR(O137 * (1 + AVERAGE(Filter('Inflation Data'!$C:$C,'Inflation Data'!$A:$A = P$1))) + 'Fund YTD Contributions'!P137,'Fund YTD Contributions'!P137)"),0.0)</f>
        <v>0</v>
      </c>
      <c r="Q137" s="152">
        <f>IFERROR(__xludf.DUMMYFUNCTION("IFERROR(P137 * (1 + AVERAGE(Filter('Inflation Data'!$C:$C,'Inflation Data'!$A:$A = Q$1))) + 'Fund YTD Contributions'!Q137,'Fund YTD Contributions'!Q137)"),0.0)</f>
        <v>0</v>
      </c>
      <c r="R137" s="152">
        <f>IFERROR(__xludf.DUMMYFUNCTION("IFERROR(Q137 * (1 + AVERAGE(Filter('Inflation Data'!$C:$C,'Inflation Data'!$A:$A = R$1))) + 'Fund YTD Contributions'!R137,'Fund YTD Contributions'!R137)"),0.0)</f>
        <v>0</v>
      </c>
      <c r="S137" s="152">
        <f>IFERROR(__xludf.DUMMYFUNCTION("IFERROR(R137 * (1 + AVERAGE(Filter('Inflation Data'!$C:$C,'Inflation Data'!$A:$A = S$1))) + 'Fund YTD Contributions'!S137,'Fund YTD Contributions'!S137)"),0.0)</f>
        <v>0</v>
      </c>
      <c r="T137" s="152">
        <f>IFERROR(__xludf.DUMMYFUNCTION("IFERROR(S137 * (1 + AVERAGE(Filter('Inflation Data'!$C:$C,'Inflation Data'!$A:$A = T$1))) + 'Fund YTD Contributions'!T137,'Fund YTD Contributions'!T137)"),0.0)</f>
        <v>0</v>
      </c>
      <c r="U137" s="152">
        <f>IFERROR(__xludf.DUMMYFUNCTION("IFERROR(T137 * (1 + AVERAGE(Filter('Inflation Data'!$C:$C,'Inflation Data'!$A:$A = U$1))) + 'Fund YTD Contributions'!U137,'Fund YTD Contributions'!U137)"),0.0)</f>
        <v>0</v>
      </c>
      <c r="V137" s="152">
        <f>IFERROR(__xludf.DUMMYFUNCTION("IFERROR(U137 * (1 + AVERAGE(Filter('Inflation Data'!$C:$C,'Inflation Data'!$A:$A = V$1))) + 'Fund YTD Contributions'!V137,'Fund YTD Contributions'!V137)"),0.0)</f>
        <v>0</v>
      </c>
      <c r="W137" s="152">
        <f>IFERROR(__xludf.DUMMYFUNCTION("IFERROR(V137 * (1 + AVERAGE(Filter('Inflation Data'!$C:$C,'Inflation Data'!$A:$A = W$1))) + 'Fund YTD Contributions'!W137,'Fund YTD Contributions'!W137)"),0.0)</f>
        <v>0</v>
      </c>
      <c r="X137" s="152">
        <f>IFERROR(__xludf.DUMMYFUNCTION("IFERROR(W137 * (1 + AVERAGE(Filter('Inflation Data'!$C:$C,'Inflation Data'!$A:$A = X$1))) + 'Fund YTD Contributions'!X137,'Fund YTD Contributions'!X137)"),0.0)</f>
        <v>0</v>
      </c>
      <c r="Y137" s="152">
        <f>IFERROR(__xludf.DUMMYFUNCTION("IFERROR(X137 * (1 + AVERAGE(Filter('Inflation Data'!$C:$C,'Inflation Data'!$A:$A = Y$1))) + 'Fund YTD Contributions'!Y137,'Fund YTD Contributions'!Y137)"),0.0)</f>
        <v>0</v>
      </c>
      <c r="Z137" s="152">
        <f>IFERROR(__xludf.DUMMYFUNCTION("IFERROR(Y137 * (1 + AVERAGE(Filter('Inflation Data'!$C:$C,'Inflation Data'!$A:$A = Z$1))) + 'Fund YTD Contributions'!Z137,'Fund YTD Contributions'!Z137)"),0.0)</f>
        <v>0</v>
      </c>
      <c r="AA137" s="152"/>
      <c r="AB137" s="152"/>
      <c r="AC137" s="152"/>
      <c r="AD137" s="152"/>
      <c r="AE137" s="152"/>
      <c r="AF137" s="152"/>
    </row>
    <row r="138">
      <c r="A138" s="150" t="str">
        <f>'Endowed Funds'!A:A</f>
        <v/>
      </c>
      <c r="B138" s="152">
        <f>IFERROR(__xludf.DUMMYFUNCTION("IFERROR(A138 * (1 + AVERAGE(Filter('Inflation Data'!$C:$C,'Inflation Data'!$A:$A = B$1))) + 'Fund YTD Contributions'!B138,'Fund YTD Contributions'!B138)"),0.0)</f>
        <v>0</v>
      </c>
      <c r="C138" s="152">
        <f>IFERROR(__xludf.DUMMYFUNCTION("IFERROR(B138 * (1 + AVERAGE(Filter('Inflation Data'!$C:$C,'Inflation Data'!$A:$A = C$1))) + 'Fund YTD Contributions'!C138,'Fund YTD Contributions'!C138)"),0.0)</f>
        <v>0</v>
      </c>
      <c r="D138" s="152">
        <f>IFERROR(__xludf.DUMMYFUNCTION("IFERROR(C138 * (1 + AVERAGE(Filter('Inflation Data'!$C:$C,'Inflation Data'!$A:$A = D$1))) + 'Fund YTD Contributions'!D138,'Fund YTD Contributions'!D138)"),0.0)</f>
        <v>0</v>
      </c>
      <c r="E138" s="152">
        <f>IFERROR(__xludf.DUMMYFUNCTION("IFERROR(D138 * (1 + AVERAGE(Filter('Inflation Data'!$C:$C,'Inflation Data'!$A:$A = E$1))) + 'Fund YTD Contributions'!E138,'Fund YTD Contributions'!E138)"),0.0)</f>
        <v>0</v>
      </c>
      <c r="F138" s="152">
        <f>IFERROR(__xludf.DUMMYFUNCTION("IFERROR(E138 * (1 + AVERAGE(Filter('Inflation Data'!$C:$C,'Inflation Data'!$A:$A = F$1))) + 'Fund YTD Contributions'!F138,'Fund YTD Contributions'!F138)"),0.0)</f>
        <v>0</v>
      </c>
      <c r="G138" s="152">
        <f>IFERROR(__xludf.DUMMYFUNCTION("IFERROR(F138 * (1 + AVERAGE(Filter('Inflation Data'!$C:$C,'Inflation Data'!$A:$A = G$1))) + 'Fund YTD Contributions'!G138,'Fund YTD Contributions'!G138)"),0.0)</f>
        <v>0</v>
      </c>
      <c r="H138" s="152">
        <f>IFERROR(__xludf.DUMMYFUNCTION("IFERROR(G138 * (1 + AVERAGE(Filter('Inflation Data'!$C:$C,'Inflation Data'!$A:$A = H$1))) + 'Fund YTD Contributions'!H138,'Fund YTD Contributions'!H138)"),0.0)</f>
        <v>0</v>
      </c>
      <c r="I138" s="152">
        <f>IFERROR(__xludf.DUMMYFUNCTION("IFERROR(H138 * (1 + AVERAGE(Filter('Inflation Data'!$C:$C,'Inflation Data'!$A:$A = I$1))) + 'Fund YTD Contributions'!I138,'Fund YTD Contributions'!I138)"),0.0)</f>
        <v>0</v>
      </c>
      <c r="J138" s="152">
        <f>IFERROR(__xludf.DUMMYFUNCTION("IFERROR(I138 * (1 + AVERAGE(Filter('Inflation Data'!$C:$C,'Inflation Data'!$A:$A = J$1))) + 'Fund YTD Contributions'!J138,'Fund YTD Contributions'!J138)"),0.0)</f>
        <v>0</v>
      </c>
      <c r="K138" s="152">
        <f>IFERROR(__xludf.DUMMYFUNCTION("IFERROR(J138 * (1 + AVERAGE(Filter('Inflation Data'!$C:$C,'Inflation Data'!$A:$A = K$1))) + 'Fund YTD Contributions'!K138,'Fund YTD Contributions'!K138)"),0.0)</f>
        <v>0</v>
      </c>
      <c r="L138" s="152">
        <f>IFERROR(__xludf.DUMMYFUNCTION("IFERROR(K138 * (1 + AVERAGE(Filter('Inflation Data'!$C:$C,'Inflation Data'!$A:$A = L$1))) + 'Fund YTD Contributions'!L138,'Fund YTD Contributions'!L138)"),0.0)</f>
        <v>0</v>
      </c>
      <c r="M138" s="152">
        <f>IFERROR(__xludf.DUMMYFUNCTION("IFERROR(L138 * (1 + AVERAGE(Filter('Inflation Data'!$C:$C,'Inflation Data'!$A:$A = M$1))) + 'Fund YTD Contributions'!M138,'Fund YTD Contributions'!M138)"),0.0)</f>
        <v>0</v>
      </c>
      <c r="N138" s="152">
        <f>IFERROR(__xludf.DUMMYFUNCTION("IFERROR(M138 * (1 + AVERAGE(Filter('Inflation Data'!$C:$C,'Inflation Data'!$A:$A = N$1))) + 'Fund YTD Contributions'!N138,'Fund YTD Contributions'!N138)"),0.0)</f>
        <v>0</v>
      </c>
      <c r="O138" s="152">
        <f>IFERROR(__xludf.DUMMYFUNCTION("IFERROR(N138 * (1 + AVERAGE(Filter('Inflation Data'!$C:$C,'Inflation Data'!$A:$A = O$1))) + 'Fund YTD Contributions'!O138,'Fund YTD Contributions'!O138)"),0.0)</f>
        <v>0</v>
      </c>
      <c r="P138" s="152">
        <f>IFERROR(__xludf.DUMMYFUNCTION("IFERROR(O138 * (1 + AVERAGE(Filter('Inflation Data'!$C:$C,'Inflation Data'!$A:$A = P$1))) + 'Fund YTD Contributions'!P138,'Fund YTD Contributions'!P138)"),0.0)</f>
        <v>0</v>
      </c>
      <c r="Q138" s="152">
        <f>IFERROR(__xludf.DUMMYFUNCTION("IFERROR(P138 * (1 + AVERAGE(Filter('Inflation Data'!$C:$C,'Inflation Data'!$A:$A = Q$1))) + 'Fund YTD Contributions'!Q138,'Fund YTD Contributions'!Q138)"),0.0)</f>
        <v>0</v>
      </c>
      <c r="R138" s="152">
        <f>IFERROR(__xludf.DUMMYFUNCTION("IFERROR(Q138 * (1 + AVERAGE(Filter('Inflation Data'!$C:$C,'Inflation Data'!$A:$A = R$1))) + 'Fund YTD Contributions'!R138,'Fund YTD Contributions'!R138)"),0.0)</f>
        <v>0</v>
      </c>
      <c r="S138" s="152">
        <f>IFERROR(__xludf.DUMMYFUNCTION("IFERROR(R138 * (1 + AVERAGE(Filter('Inflation Data'!$C:$C,'Inflation Data'!$A:$A = S$1))) + 'Fund YTD Contributions'!S138,'Fund YTD Contributions'!S138)"),0.0)</f>
        <v>0</v>
      </c>
      <c r="T138" s="152">
        <f>IFERROR(__xludf.DUMMYFUNCTION("IFERROR(S138 * (1 + AVERAGE(Filter('Inflation Data'!$C:$C,'Inflation Data'!$A:$A = T$1))) + 'Fund YTD Contributions'!T138,'Fund YTD Contributions'!T138)"),0.0)</f>
        <v>0</v>
      </c>
      <c r="U138" s="152">
        <f>IFERROR(__xludf.DUMMYFUNCTION("IFERROR(T138 * (1 + AVERAGE(Filter('Inflation Data'!$C:$C,'Inflation Data'!$A:$A = U$1))) + 'Fund YTD Contributions'!U138,'Fund YTD Contributions'!U138)"),0.0)</f>
        <v>0</v>
      </c>
      <c r="V138" s="152">
        <f>IFERROR(__xludf.DUMMYFUNCTION("IFERROR(U138 * (1 + AVERAGE(Filter('Inflation Data'!$C:$C,'Inflation Data'!$A:$A = V$1))) + 'Fund YTD Contributions'!V138,'Fund YTD Contributions'!V138)"),0.0)</f>
        <v>0</v>
      </c>
      <c r="W138" s="152">
        <f>IFERROR(__xludf.DUMMYFUNCTION("IFERROR(V138 * (1 + AVERAGE(Filter('Inflation Data'!$C:$C,'Inflation Data'!$A:$A = W$1))) + 'Fund YTD Contributions'!W138,'Fund YTD Contributions'!W138)"),0.0)</f>
        <v>0</v>
      </c>
      <c r="X138" s="152">
        <f>IFERROR(__xludf.DUMMYFUNCTION("IFERROR(W138 * (1 + AVERAGE(Filter('Inflation Data'!$C:$C,'Inflation Data'!$A:$A = X$1))) + 'Fund YTD Contributions'!X138,'Fund YTD Contributions'!X138)"),0.0)</f>
        <v>0</v>
      </c>
      <c r="Y138" s="152">
        <f>IFERROR(__xludf.DUMMYFUNCTION("IFERROR(X138 * (1 + AVERAGE(Filter('Inflation Data'!$C:$C,'Inflation Data'!$A:$A = Y$1))) + 'Fund YTD Contributions'!Y138,'Fund YTD Contributions'!Y138)"),0.0)</f>
        <v>0</v>
      </c>
      <c r="Z138" s="152">
        <f>IFERROR(__xludf.DUMMYFUNCTION("IFERROR(Y138 * (1 + AVERAGE(Filter('Inflation Data'!$C:$C,'Inflation Data'!$A:$A = Z$1))) + 'Fund YTD Contributions'!Z138,'Fund YTD Contributions'!Z138)"),0.0)</f>
        <v>0</v>
      </c>
      <c r="AA138" s="152"/>
      <c r="AB138" s="152"/>
      <c r="AC138" s="152"/>
      <c r="AD138" s="152"/>
      <c r="AE138" s="152"/>
      <c r="AF138" s="152"/>
    </row>
    <row r="139">
      <c r="A139" s="150" t="str">
        <f>'Endowed Funds'!A:A</f>
        <v/>
      </c>
      <c r="B139" s="152">
        <f>IFERROR(__xludf.DUMMYFUNCTION("IFERROR(A139 * (1 + AVERAGE(Filter('Inflation Data'!$C:$C,'Inflation Data'!$A:$A = B$1))) + 'Fund YTD Contributions'!B139,'Fund YTD Contributions'!B139)"),0.0)</f>
        <v>0</v>
      </c>
      <c r="C139" s="152">
        <f>IFERROR(__xludf.DUMMYFUNCTION("IFERROR(B139 * (1 + AVERAGE(Filter('Inflation Data'!$C:$C,'Inflation Data'!$A:$A = C$1))) + 'Fund YTD Contributions'!C139,'Fund YTD Contributions'!C139)"),0.0)</f>
        <v>0</v>
      </c>
      <c r="D139" s="152">
        <f>IFERROR(__xludf.DUMMYFUNCTION("IFERROR(C139 * (1 + AVERAGE(Filter('Inflation Data'!$C:$C,'Inflation Data'!$A:$A = D$1))) + 'Fund YTD Contributions'!D139,'Fund YTD Contributions'!D139)"),0.0)</f>
        <v>0</v>
      </c>
      <c r="E139" s="152">
        <f>IFERROR(__xludf.DUMMYFUNCTION("IFERROR(D139 * (1 + AVERAGE(Filter('Inflation Data'!$C:$C,'Inflation Data'!$A:$A = E$1))) + 'Fund YTD Contributions'!E139,'Fund YTD Contributions'!E139)"),0.0)</f>
        <v>0</v>
      </c>
      <c r="F139" s="152">
        <f>IFERROR(__xludf.DUMMYFUNCTION("IFERROR(E139 * (1 + AVERAGE(Filter('Inflation Data'!$C:$C,'Inflation Data'!$A:$A = F$1))) + 'Fund YTD Contributions'!F139,'Fund YTD Contributions'!F139)"),0.0)</f>
        <v>0</v>
      </c>
      <c r="G139" s="152">
        <f>IFERROR(__xludf.DUMMYFUNCTION("IFERROR(F139 * (1 + AVERAGE(Filter('Inflation Data'!$C:$C,'Inflation Data'!$A:$A = G$1))) + 'Fund YTD Contributions'!G139,'Fund YTD Contributions'!G139)"),0.0)</f>
        <v>0</v>
      </c>
      <c r="H139" s="152">
        <f>IFERROR(__xludf.DUMMYFUNCTION("IFERROR(G139 * (1 + AVERAGE(Filter('Inflation Data'!$C:$C,'Inflation Data'!$A:$A = H$1))) + 'Fund YTD Contributions'!H139,'Fund YTD Contributions'!H139)"),0.0)</f>
        <v>0</v>
      </c>
      <c r="I139" s="152">
        <f>IFERROR(__xludf.DUMMYFUNCTION("IFERROR(H139 * (1 + AVERAGE(Filter('Inflation Data'!$C:$C,'Inflation Data'!$A:$A = I$1))) + 'Fund YTD Contributions'!I139,'Fund YTD Contributions'!I139)"),0.0)</f>
        <v>0</v>
      </c>
      <c r="J139" s="152">
        <f>IFERROR(__xludf.DUMMYFUNCTION("IFERROR(I139 * (1 + AVERAGE(Filter('Inflation Data'!$C:$C,'Inflation Data'!$A:$A = J$1))) + 'Fund YTD Contributions'!J139,'Fund YTD Contributions'!J139)"),0.0)</f>
        <v>0</v>
      </c>
      <c r="K139" s="152">
        <f>IFERROR(__xludf.DUMMYFUNCTION("IFERROR(J139 * (1 + AVERAGE(Filter('Inflation Data'!$C:$C,'Inflation Data'!$A:$A = K$1))) + 'Fund YTD Contributions'!K139,'Fund YTD Contributions'!K139)"),0.0)</f>
        <v>0</v>
      </c>
      <c r="L139" s="152">
        <f>IFERROR(__xludf.DUMMYFUNCTION("IFERROR(K139 * (1 + AVERAGE(Filter('Inflation Data'!$C:$C,'Inflation Data'!$A:$A = L$1))) + 'Fund YTD Contributions'!L139,'Fund YTD Contributions'!L139)"),0.0)</f>
        <v>0</v>
      </c>
      <c r="M139" s="152">
        <f>IFERROR(__xludf.DUMMYFUNCTION("IFERROR(L139 * (1 + AVERAGE(Filter('Inflation Data'!$C:$C,'Inflation Data'!$A:$A = M$1))) + 'Fund YTD Contributions'!M139,'Fund YTD Contributions'!M139)"),0.0)</f>
        <v>0</v>
      </c>
      <c r="N139" s="152">
        <f>IFERROR(__xludf.DUMMYFUNCTION("IFERROR(M139 * (1 + AVERAGE(Filter('Inflation Data'!$C:$C,'Inflation Data'!$A:$A = N$1))) + 'Fund YTD Contributions'!N139,'Fund YTD Contributions'!N139)"),0.0)</f>
        <v>0</v>
      </c>
      <c r="O139" s="152">
        <f>IFERROR(__xludf.DUMMYFUNCTION("IFERROR(N139 * (1 + AVERAGE(Filter('Inflation Data'!$C:$C,'Inflation Data'!$A:$A = O$1))) + 'Fund YTD Contributions'!O139,'Fund YTD Contributions'!O139)"),0.0)</f>
        <v>0</v>
      </c>
      <c r="P139" s="152">
        <f>IFERROR(__xludf.DUMMYFUNCTION("IFERROR(O139 * (1 + AVERAGE(Filter('Inflation Data'!$C:$C,'Inflation Data'!$A:$A = P$1))) + 'Fund YTD Contributions'!P139,'Fund YTD Contributions'!P139)"),0.0)</f>
        <v>0</v>
      </c>
      <c r="Q139" s="152">
        <f>IFERROR(__xludf.DUMMYFUNCTION("IFERROR(P139 * (1 + AVERAGE(Filter('Inflation Data'!$C:$C,'Inflation Data'!$A:$A = Q$1))) + 'Fund YTD Contributions'!Q139,'Fund YTD Contributions'!Q139)"),0.0)</f>
        <v>0</v>
      </c>
      <c r="R139" s="152">
        <f>IFERROR(__xludf.DUMMYFUNCTION("IFERROR(Q139 * (1 + AVERAGE(Filter('Inflation Data'!$C:$C,'Inflation Data'!$A:$A = R$1))) + 'Fund YTD Contributions'!R139,'Fund YTD Contributions'!R139)"),0.0)</f>
        <v>0</v>
      </c>
      <c r="S139" s="152">
        <f>IFERROR(__xludf.DUMMYFUNCTION("IFERROR(R139 * (1 + AVERAGE(Filter('Inflation Data'!$C:$C,'Inflation Data'!$A:$A = S$1))) + 'Fund YTD Contributions'!S139,'Fund YTD Contributions'!S139)"),0.0)</f>
        <v>0</v>
      </c>
      <c r="T139" s="152">
        <f>IFERROR(__xludf.DUMMYFUNCTION("IFERROR(S139 * (1 + AVERAGE(Filter('Inflation Data'!$C:$C,'Inflation Data'!$A:$A = T$1))) + 'Fund YTD Contributions'!T139,'Fund YTD Contributions'!T139)"),0.0)</f>
        <v>0</v>
      </c>
      <c r="U139" s="152">
        <f>IFERROR(__xludf.DUMMYFUNCTION("IFERROR(T139 * (1 + AVERAGE(Filter('Inflation Data'!$C:$C,'Inflation Data'!$A:$A = U$1))) + 'Fund YTD Contributions'!U139,'Fund YTD Contributions'!U139)"),0.0)</f>
        <v>0</v>
      </c>
      <c r="V139" s="152">
        <f>IFERROR(__xludf.DUMMYFUNCTION("IFERROR(U139 * (1 + AVERAGE(Filter('Inflation Data'!$C:$C,'Inflation Data'!$A:$A = V$1))) + 'Fund YTD Contributions'!V139,'Fund YTD Contributions'!V139)"),0.0)</f>
        <v>0</v>
      </c>
      <c r="W139" s="152">
        <f>IFERROR(__xludf.DUMMYFUNCTION("IFERROR(V139 * (1 + AVERAGE(Filter('Inflation Data'!$C:$C,'Inflation Data'!$A:$A = W$1))) + 'Fund YTD Contributions'!W139,'Fund YTD Contributions'!W139)"),0.0)</f>
        <v>0</v>
      </c>
      <c r="X139" s="152">
        <f>IFERROR(__xludf.DUMMYFUNCTION("IFERROR(W139 * (1 + AVERAGE(Filter('Inflation Data'!$C:$C,'Inflation Data'!$A:$A = X$1))) + 'Fund YTD Contributions'!X139,'Fund YTD Contributions'!X139)"),0.0)</f>
        <v>0</v>
      </c>
      <c r="Y139" s="152">
        <f>IFERROR(__xludf.DUMMYFUNCTION("IFERROR(X139 * (1 + AVERAGE(Filter('Inflation Data'!$C:$C,'Inflation Data'!$A:$A = Y$1))) + 'Fund YTD Contributions'!Y139,'Fund YTD Contributions'!Y139)"),0.0)</f>
        <v>0</v>
      </c>
      <c r="Z139" s="152">
        <f>IFERROR(__xludf.DUMMYFUNCTION("IFERROR(Y139 * (1 + AVERAGE(Filter('Inflation Data'!$C:$C,'Inflation Data'!$A:$A = Z$1))) + 'Fund YTD Contributions'!Z139,'Fund YTD Contributions'!Z139)"),0.0)</f>
        <v>0</v>
      </c>
      <c r="AA139" s="152"/>
      <c r="AB139" s="152"/>
      <c r="AC139" s="152"/>
      <c r="AD139" s="152"/>
      <c r="AE139" s="152"/>
      <c r="AF139" s="152"/>
    </row>
    <row r="140">
      <c r="A140" s="150" t="str">
        <f>'Endowed Funds'!A:A</f>
        <v/>
      </c>
      <c r="B140" s="152">
        <f>IFERROR(__xludf.DUMMYFUNCTION("IFERROR(A140 * (1 + AVERAGE(Filter('Inflation Data'!$C:$C,'Inflation Data'!$A:$A = B$1))) + 'Fund YTD Contributions'!B140,'Fund YTD Contributions'!B140)"),0.0)</f>
        <v>0</v>
      </c>
      <c r="C140" s="152">
        <f>IFERROR(__xludf.DUMMYFUNCTION("IFERROR(B140 * (1 + AVERAGE(Filter('Inflation Data'!$C:$C,'Inflation Data'!$A:$A = C$1))) + 'Fund YTD Contributions'!C140,'Fund YTD Contributions'!C140)"),0.0)</f>
        <v>0</v>
      </c>
      <c r="D140" s="152">
        <f>IFERROR(__xludf.DUMMYFUNCTION("IFERROR(C140 * (1 + AVERAGE(Filter('Inflation Data'!$C:$C,'Inflation Data'!$A:$A = D$1))) + 'Fund YTD Contributions'!D140,'Fund YTD Contributions'!D140)"),0.0)</f>
        <v>0</v>
      </c>
      <c r="E140" s="152">
        <f>IFERROR(__xludf.DUMMYFUNCTION("IFERROR(D140 * (1 + AVERAGE(Filter('Inflation Data'!$C:$C,'Inflation Data'!$A:$A = E$1))) + 'Fund YTD Contributions'!E140,'Fund YTD Contributions'!E140)"),0.0)</f>
        <v>0</v>
      </c>
      <c r="F140" s="152">
        <f>IFERROR(__xludf.DUMMYFUNCTION("IFERROR(E140 * (1 + AVERAGE(Filter('Inflation Data'!$C:$C,'Inflation Data'!$A:$A = F$1))) + 'Fund YTD Contributions'!F140,'Fund YTD Contributions'!F140)"),0.0)</f>
        <v>0</v>
      </c>
      <c r="G140" s="152">
        <f>IFERROR(__xludf.DUMMYFUNCTION("IFERROR(F140 * (1 + AVERAGE(Filter('Inflation Data'!$C:$C,'Inflation Data'!$A:$A = G$1))) + 'Fund YTD Contributions'!G140,'Fund YTD Contributions'!G140)"),0.0)</f>
        <v>0</v>
      </c>
      <c r="H140" s="152">
        <f>IFERROR(__xludf.DUMMYFUNCTION("IFERROR(G140 * (1 + AVERAGE(Filter('Inflation Data'!$C:$C,'Inflation Data'!$A:$A = H$1))) + 'Fund YTD Contributions'!H140,'Fund YTD Contributions'!H140)"),0.0)</f>
        <v>0</v>
      </c>
      <c r="I140" s="152">
        <f>IFERROR(__xludf.DUMMYFUNCTION("IFERROR(H140 * (1 + AVERAGE(Filter('Inflation Data'!$C:$C,'Inflation Data'!$A:$A = I$1))) + 'Fund YTD Contributions'!I140,'Fund YTD Contributions'!I140)"),0.0)</f>
        <v>0</v>
      </c>
      <c r="J140" s="152">
        <f>IFERROR(__xludf.DUMMYFUNCTION("IFERROR(I140 * (1 + AVERAGE(Filter('Inflation Data'!$C:$C,'Inflation Data'!$A:$A = J$1))) + 'Fund YTD Contributions'!J140,'Fund YTD Contributions'!J140)"),0.0)</f>
        <v>0</v>
      </c>
      <c r="K140" s="152">
        <f>IFERROR(__xludf.DUMMYFUNCTION("IFERROR(J140 * (1 + AVERAGE(Filter('Inflation Data'!$C:$C,'Inflation Data'!$A:$A = K$1))) + 'Fund YTD Contributions'!K140,'Fund YTD Contributions'!K140)"),0.0)</f>
        <v>0</v>
      </c>
      <c r="L140" s="152">
        <f>IFERROR(__xludf.DUMMYFUNCTION("IFERROR(K140 * (1 + AVERAGE(Filter('Inflation Data'!$C:$C,'Inflation Data'!$A:$A = L$1))) + 'Fund YTD Contributions'!L140,'Fund YTD Contributions'!L140)"),0.0)</f>
        <v>0</v>
      </c>
      <c r="M140" s="152">
        <f>IFERROR(__xludf.DUMMYFUNCTION("IFERROR(L140 * (1 + AVERAGE(Filter('Inflation Data'!$C:$C,'Inflation Data'!$A:$A = M$1))) + 'Fund YTD Contributions'!M140,'Fund YTD Contributions'!M140)"),0.0)</f>
        <v>0</v>
      </c>
      <c r="N140" s="152">
        <f>IFERROR(__xludf.DUMMYFUNCTION("IFERROR(M140 * (1 + AVERAGE(Filter('Inflation Data'!$C:$C,'Inflation Data'!$A:$A = N$1))) + 'Fund YTD Contributions'!N140,'Fund YTD Contributions'!N140)"),0.0)</f>
        <v>0</v>
      </c>
      <c r="O140" s="152">
        <f>IFERROR(__xludf.DUMMYFUNCTION("IFERROR(N140 * (1 + AVERAGE(Filter('Inflation Data'!$C:$C,'Inflation Data'!$A:$A = O$1))) + 'Fund YTD Contributions'!O140,'Fund YTD Contributions'!O140)"),0.0)</f>
        <v>0</v>
      </c>
      <c r="P140" s="152">
        <f>IFERROR(__xludf.DUMMYFUNCTION("IFERROR(O140 * (1 + AVERAGE(Filter('Inflation Data'!$C:$C,'Inflation Data'!$A:$A = P$1))) + 'Fund YTD Contributions'!P140,'Fund YTD Contributions'!P140)"),0.0)</f>
        <v>0</v>
      </c>
      <c r="Q140" s="152">
        <f>IFERROR(__xludf.DUMMYFUNCTION("IFERROR(P140 * (1 + AVERAGE(Filter('Inflation Data'!$C:$C,'Inflation Data'!$A:$A = Q$1))) + 'Fund YTD Contributions'!Q140,'Fund YTD Contributions'!Q140)"),0.0)</f>
        <v>0</v>
      </c>
      <c r="R140" s="152">
        <f>IFERROR(__xludf.DUMMYFUNCTION("IFERROR(Q140 * (1 + AVERAGE(Filter('Inflation Data'!$C:$C,'Inflation Data'!$A:$A = R$1))) + 'Fund YTD Contributions'!R140,'Fund YTD Contributions'!R140)"),0.0)</f>
        <v>0</v>
      </c>
      <c r="S140" s="152">
        <f>IFERROR(__xludf.DUMMYFUNCTION("IFERROR(R140 * (1 + AVERAGE(Filter('Inflation Data'!$C:$C,'Inflation Data'!$A:$A = S$1))) + 'Fund YTD Contributions'!S140,'Fund YTD Contributions'!S140)"),0.0)</f>
        <v>0</v>
      </c>
      <c r="T140" s="152">
        <f>IFERROR(__xludf.DUMMYFUNCTION("IFERROR(S140 * (1 + AVERAGE(Filter('Inflation Data'!$C:$C,'Inflation Data'!$A:$A = T$1))) + 'Fund YTD Contributions'!T140,'Fund YTD Contributions'!T140)"),0.0)</f>
        <v>0</v>
      </c>
      <c r="U140" s="152">
        <f>IFERROR(__xludf.DUMMYFUNCTION("IFERROR(T140 * (1 + AVERAGE(Filter('Inflation Data'!$C:$C,'Inflation Data'!$A:$A = U$1))) + 'Fund YTD Contributions'!U140,'Fund YTD Contributions'!U140)"),0.0)</f>
        <v>0</v>
      </c>
      <c r="V140" s="152">
        <f>IFERROR(__xludf.DUMMYFUNCTION("IFERROR(U140 * (1 + AVERAGE(Filter('Inflation Data'!$C:$C,'Inflation Data'!$A:$A = V$1))) + 'Fund YTD Contributions'!V140,'Fund YTD Contributions'!V140)"),0.0)</f>
        <v>0</v>
      </c>
      <c r="W140" s="152">
        <f>IFERROR(__xludf.DUMMYFUNCTION("IFERROR(V140 * (1 + AVERAGE(Filter('Inflation Data'!$C:$C,'Inflation Data'!$A:$A = W$1))) + 'Fund YTD Contributions'!W140,'Fund YTD Contributions'!W140)"),0.0)</f>
        <v>0</v>
      </c>
      <c r="X140" s="152">
        <f>IFERROR(__xludf.DUMMYFUNCTION("IFERROR(W140 * (1 + AVERAGE(Filter('Inflation Data'!$C:$C,'Inflation Data'!$A:$A = X$1))) + 'Fund YTD Contributions'!X140,'Fund YTD Contributions'!X140)"),0.0)</f>
        <v>0</v>
      </c>
      <c r="Y140" s="152">
        <f>IFERROR(__xludf.DUMMYFUNCTION("IFERROR(X140 * (1 + AVERAGE(Filter('Inflation Data'!$C:$C,'Inflation Data'!$A:$A = Y$1))) + 'Fund YTD Contributions'!Y140,'Fund YTD Contributions'!Y140)"),0.0)</f>
        <v>0</v>
      </c>
      <c r="Z140" s="152">
        <f>IFERROR(__xludf.DUMMYFUNCTION("IFERROR(Y140 * (1 + AVERAGE(Filter('Inflation Data'!$C:$C,'Inflation Data'!$A:$A = Z$1))) + 'Fund YTD Contributions'!Z140,'Fund YTD Contributions'!Z140)"),0.0)</f>
        <v>0</v>
      </c>
      <c r="AA140" s="152"/>
      <c r="AB140" s="152"/>
      <c r="AC140" s="152"/>
      <c r="AD140" s="152"/>
      <c r="AE140" s="152"/>
      <c r="AF140" s="152"/>
    </row>
    <row r="141">
      <c r="A141" s="150" t="str">
        <f>'Endowed Funds'!A:A</f>
        <v/>
      </c>
      <c r="B141" s="152">
        <f>IFERROR(__xludf.DUMMYFUNCTION("IFERROR(A141 * (1 + AVERAGE(Filter('Inflation Data'!$C:$C,'Inflation Data'!$A:$A = B$1))) + 'Fund YTD Contributions'!B141,'Fund YTD Contributions'!B141)"),0.0)</f>
        <v>0</v>
      </c>
      <c r="C141" s="152">
        <f>IFERROR(__xludf.DUMMYFUNCTION("IFERROR(B141 * (1 + AVERAGE(Filter('Inflation Data'!$C:$C,'Inflation Data'!$A:$A = C$1))) + 'Fund YTD Contributions'!C141,'Fund YTD Contributions'!C141)"),0.0)</f>
        <v>0</v>
      </c>
      <c r="D141" s="152">
        <f>IFERROR(__xludf.DUMMYFUNCTION("IFERROR(C141 * (1 + AVERAGE(Filter('Inflation Data'!$C:$C,'Inflation Data'!$A:$A = D$1))) + 'Fund YTD Contributions'!D141,'Fund YTD Contributions'!D141)"),0.0)</f>
        <v>0</v>
      </c>
      <c r="E141" s="152">
        <f>IFERROR(__xludf.DUMMYFUNCTION("IFERROR(D141 * (1 + AVERAGE(Filter('Inflation Data'!$C:$C,'Inflation Data'!$A:$A = E$1))) + 'Fund YTD Contributions'!E141,'Fund YTD Contributions'!E141)"),0.0)</f>
        <v>0</v>
      </c>
      <c r="F141" s="152">
        <f>IFERROR(__xludf.DUMMYFUNCTION("IFERROR(E141 * (1 + AVERAGE(Filter('Inflation Data'!$C:$C,'Inflation Data'!$A:$A = F$1))) + 'Fund YTD Contributions'!F141,'Fund YTD Contributions'!F141)"),0.0)</f>
        <v>0</v>
      </c>
      <c r="G141" s="152">
        <f>IFERROR(__xludf.DUMMYFUNCTION("IFERROR(F141 * (1 + AVERAGE(Filter('Inflation Data'!$C:$C,'Inflation Data'!$A:$A = G$1))) + 'Fund YTD Contributions'!G141,'Fund YTD Contributions'!G141)"),0.0)</f>
        <v>0</v>
      </c>
      <c r="H141" s="152">
        <f>IFERROR(__xludf.DUMMYFUNCTION("IFERROR(G141 * (1 + AVERAGE(Filter('Inflation Data'!$C:$C,'Inflation Data'!$A:$A = H$1))) + 'Fund YTD Contributions'!H141,'Fund YTD Contributions'!H141)"),0.0)</f>
        <v>0</v>
      </c>
      <c r="I141" s="152">
        <f>IFERROR(__xludf.DUMMYFUNCTION("IFERROR(H141 * (1 + AVERAGE(Filter('Inflation Data'!$C:$C,'Inflation Data'!$A:$A = I$1))) + 'Fund YTD Contributions'!I141,'Fund YTD Contributions'!I141)"),0.0)</f>
        <v>0</v>
      </c>
      <c r="J141" s="152">
        <f>IFERROR(__xludf.DUMMYFUNCTION("IFERROR(I141 * (1 + AVERAGE(Filter('Inflation Data'!$C:$C,'Inflation Data'!$A:$A = J$1))) + 'Fund YTD Contributions'!J141,'Fund YTD Contributions'!J141)"),0.0)</f>
        <v>0</v>
      </c>
      <c r="K141" s="152">
        <f>IFERROR(__xludf.DUMMYFUNCTION("IFERROR(J141 * (1 + AVERAGE(Filter('Inflation Data'!$C:$C,'Inflation Data'!$A:$A = K$1))) + 'Fund YTD Contributions'!K141,'Fund YTD Contributions'!K141)"),0.0)</f>
        <v>0</v>
      </c>
      <c r="L141" s="152">
        <f>IFERROR(__xludf.DUMMYFUNCTION("IFERROR(K141 * (1 + AVERAGE(Filter('Inflation Data'!$C:$C,'Inflation Data'!$A:$A = L$1))) + 'Fund YTD Contributions'!L141,'Fund YTD Contributions'!L141)"),0.0)</f>
        <v>0</v>
      </c>
      <c r="M141" s="152">
        <f>IFERROR(__xludf.DUMMYFUNCTION("IFERROR(L141 * (1 + AVERAGE(Filter('Inflation Data'!$C:$C,'Inflation Data'!$A:$A = M$1))) + 'Fund YTD Contributions'!M141,'Fund YTD Contributions'!M141)"),0.0)</f>
        <v>0</v>
      </c>
      <c r="N141" s="152">
        <f>IFERROR(__xludf.DUMMYFUNCTION("IFERROR(M141 * (1 + AVERAGE(Filter('Inflation Data'!$C:$C,'Inflation Data'!$A:$A = N$1))) + 'Fund YTD Contributions'!N141,'Fund YTD Contributions'!N141)"),0.0)</f>
        <v>0</v>
      </c>
      <c r="O141" s="152">
        <f>IFERROR(__xludf.DUMMYFUNCTION("IFERROR(N141 * (1 + AVERAGE(Filter('Inflation Data'!$C:$C,'Inflation Data'!$A:$A = O$1))) + 'Fund YTD Contributions'!O141,'Fund YTD Contributions'!O141)"),0.0)</f>
        <v>0</v>
      </c>
      <c r="P141" s="152">
        <f>IFERROR(__xludf.DUMMYFUNCTION("IFERROR(O141 * (1 + AVERAGE(Filter('Inflation Data'!$C:$C,'Inflation Data'!$A:$A = P$1))) + 'Fund YTD Contributions'!P141,'Fund YTD Contributions'!P141)"),0.0)</f>
        <v>0</v>
      </c>
      <c r="Q141" s="152">
        <f>IFERROR(__xludf.DUMMYFUNCTION("IFERROR(P141 * (1 + AVERAGE(Filter('Inflation Data'!$C:$C,'Inflation Data'!$A:$A = Q$1))) + 'Fund YTD Contributions'!Q141,'Fund YTD Contributions'!Q141)"),0.0)</f>
        <v>0</v>
      </c>
      <c r="R141" s="152">
        <f>IFERROR(__xludf.DUMMYFUNCTION("IFERROR(Q141 * (1 + AVERAGE(Filter('Inflation Data'!$C:$C,'Inflation Data'!$A:$A = R$1))) + 'Fund YTD Contributions'!R141,'Fund YTD Contributions'!R141)"),0.0)</f>
        <v>0</v>
      </c>
      <c r="S141" s="152">
        <f>IFERROR(__xludf.DUMMYFUNCTION("IFERROR(R141 * (1 + AVERAGE(Filter('Inflation Data'!$C:$C,'Inflation Data'!$A:$A = S$1))) + 'Fund YTD Contributions'!S141,'Fund YTD Contributions'!S141)"),0.0)</f>
        <v>0</v>
      </c>
      <c r="T141" s="152">
        <f>IFERROR(__xludf.DUMMYFUNCTION("IFERROR(S141 * (1 + AVERAGE(Filter('Inflation Data'!$C:$C,'Inflation Data'!$A:$A = T$1))) + 'Fund YTD Contributions'!T141,'Fund YTD Contributions'!T141)"),0.0)</f>
        <v>0</v>
      </c>
      <c r="U141" s="152">
        <f>IFERROR(__xludf.DUMMYFUNCTION("IFERROR(T141 * (1 + AVERAGE(Filter('Inflation Data'!$C:$C,'Inflation Data'!$A:$A = U$1))) + 'Fund YTD Contributions'!U141,'Fund YTD Contributions'!U141)"),0.0)</f>
        <v>0</v>
      </c>
      <c r="V141" s="152">
        <f>IFERROR(__xludf.DUMMYFUNCTION("IFERROR(U141 * (1 + AVERAGE(Filter('Inflation Data'!$C:$C,'Inflation Data'!$A:$A = V$1))) + 'Fund YTD Contributions'!V141,'Fund YTD Contributions'!V141)"),0.0)</f>
        <v>0</v>
      </c>
      <c r="W141" s="152">
        <f>IFERROR(__xludf.DUMMYFUNCTION("IFERROR(V141 * (1 + AVERAGE(Filter('Inflation Data'!$C:$C,'Inflation Data'!$A:$A = W$1))) + 'Fund YTD Contributions'!W141,'Fund YTD Contributions'!W141)"),0.0)</f>
        <v>0</v>
      </c>
      <c r="X141" s="152">
        <f>IFERROR(__xludf.DUMMYFUNCTION("IFERROR(W141 * (1 + AVERAGE(Filter('Inflation Data'!$C:$C,'Inflation Data'!$A:$A = X$1))) + 'Fund YTD Contributions'!X141,'Fund YTD Contributions'!X141)"),0.0)</f>
        <v>0</v>
      </c>
      <c r="Y141" s="152">
        <f>IFERROR(__xludf.DUMMYFUNCTION("IFERROR(X141 * (1 + AVERAGE(Filter('Inflation Data'!$C:$C,'Inflation Data'!$A:$A = Y$1))) + 'Fund YTD Contributions'!Y141,'Fund YTD Contributions'!Y141)"),0.0)</f>
        <v>0</v>
      </c>
      <c r="Z141" s="152">
        <f>IFERROR(__xludf.DUMMYFUNCTION("IFERROR(Y141 * (1 + AVERAGE(Filter('Inflation Data'!$C:$C,'Inflation Data'!$A:$A = Z$1))) + 'Fund YTD Contributions'!Z141,'Fund YTD Contributions'!Z141)"),0.0)</f>
        <v>0</v>
      </c>
      <c r="AA141" s="152"/>
      <c r="AB141" s="152"/>
      <c r="AC141" s="152"/>
      <c r="AD141" s="152"/>
      <c r="AE141" s="152"/>
      <c r="AF141" s="152"/>
    </row>
    <row r="142">
      <c r="A142" s="150" t="str">
        <f>'Endowed Funds'!A:A</f>
        <v/>
      </c>
      <c r="B142" s="152">
        <f>IFERROR(__xludf.DUMMYFUNCTION("IFERROR(A142 * (1 + AVERAGE(Filter('Inflation Data'!$C:$C,'Inflation Data'!$A:$A = B$1))) + 'Fund YTD Contributions'!B142,'Fund YTD Contributions'!B142)"),0.0)</f>
        <v>0</v>
      </c>
      <c r="C142" s="152">
        <f>IFERROR(__xludf.DUMMYFUNCTION("IFERROR(B142 * (1 + AVERAGE(Filter('Inflation Data'!$C:$C,'Inflation Data'!$A:$A = C$1))) + 'Fund YTD Contributions'!C142,'Fund YTD Contributions'!C142)"),0.0)</f>
        <v>0</v>
      </c>
      <c r="D142" s="152">
        <f>IFERROR(__xludf.DUMMYFUNCTION("IFERROR(C142 * (1 + AVERAGE(Filter('Inflation Data'!$C:$C,'Inflation Data'!$A:$A = D$1))) + 'Fund YTD Contributions'!D142,'Fund YTD Contributions'!D142)"),0.0)</f>
        <v>0</v>
      </c>
      <c r="E142" s="152">
        <f>IFERROR(__xludf.DUMMYFUNCTION("IFERROR(D142 * (1 + AVERAGE(Filter('Inflation Data'!$C:$C,'Inflation Data'!$A:$A = E$1))) + 'Fund YTD Contributions'!E142,'Fund YTD Contributions'!E142)"),0.0)</f>
        <v>0</v>
      </c>
      <c r="F142" s="152">
        <f>IFERROR(__xludf.DUMMYFUNCTION("IFERROR(E142 * (1 + AVERAGE(Filter('Inflation Data'!$C:$C,'Inflation Data'!$A:$A = F$1))) + 'Fund YTD Contributions'!F142,'Fund YTD Contributions'!F142)"),0.0)</f>
        <v>0</v>
      </c>
      <c r="G142" s="152">
        <f>IFERROR(__xludf.DUMMYFUNCTION("IFERROR(F142 * (1 + AVERAGE(Filter('Inflation Data'!$C:$C,'Inflation Data'!$A:$A = G$1))) + 'Fund YTD Contributions'!G142,'Fund YTD Contributions'!G142)"),0.0)</f>
        <v>0</v>
      </c>
      <c r="H142" s="152">
        <f>IFERROR(__xludf.DUMMYFUNCTION("IFERROR(G142 * (1 + AVERAGE(Filter('Inflation Data'!$C:$C,'Inflation Data'!$A:$A = H$1))) + 'Fund YTD Contributions'!H142,'Fund YTD Contributions'!H142)"),0.0)</f>
        <v>0</v>
      </c>
      <c r="I142" s="152">
        <f>IFERROR(__xludf.DUMMYFUNCTION("IFERROR(H142 * (1 + AVERAGE(Filter('Inflation Data'!$C:$C,'Inflation Data'!$A:$A = I$1))) + 'Fund YTD Contributions'!I142,'Fund YTD Contributions'!I142)"),0.0)</f>
        <v>0</v>
      </c>
      <c r="J142" s="152">
        <f>IFERROR(__xludf.DUMMYFUNCTION("IFERROR(I142 * (1 + AVERAGE(Filter('Inflation Data'!$C:$C,'Inflation Data'!$A:$A = J$1))) + 'Fund YTD Contributions'!J142,'Fund YTD Contributions'!J142)"),0.0)</f>
        <v>0</v>
      </c>
      <c r="K142" s="152">
        <f>IFERROR(__xludf.DUMMYFUNCTION("IFERROR(J142 * (1 + AVERAGE(Filter('Inflation Data'!$C:$C,'Inflation Data'!$A:$A = K$1))) + 'Fund YTD Contributions'!K142,'Fund YTD Contributions'!K142)"),0.0)</f>
        <v>0</v>
      </c>
      <c r="L142" s="152">
        <f>IFERROR(__xludf.DUMMYFUNCTION("IFERROR(K142 * (1 + AVERAGE(Filter('Inflation Data'!$C:$C,'Inflation Data'!$A:$A = L$1))) + 'Fund YTD Contributions'!L142,'Fund YTD Contributions'!L142)"),0.0)</f>
        <v>0</v>
      </c>
      <c r="M142" s="152">
        <f>IFERROR(__xludf.DUMMYFUNCTION("IFERROR(L142 * (1 + AVERAGE(Filter('Inflation Data'!$C:$C,'Inflation Data'!$A:$A = M$1))) + 'Fund YTD Contributions'!M142,'Fund YTD Contributions'!M142)"),0.0)</f>
        <v>0</v>
      </c>
      <c r="N142" s="152">
        <f>IFERROR(__xludf.DUMMYFUNCTION("IFERROR(M142 * (1 + AVERAGE(Filter('Inflation Data'!$C:$C,'Inflation Data'!$A:$A = N$1))) + 'Fund YTD Contributions'!N142,'Fund YTD Contributions'!N142)"),0.0)</f>
        <v>0</v>
      </c>
      <c r="O142" s="152">
        <f>IFERROR(__xludf.DUMMYFUNCTION("IFERROR(N142 * (1 + AVERAGE(Filter('Inflation Data'!$C:$C,'Inflation Data'!$A:$A = O$1))) + 'Fund YTD Contributions'!O142,'Fund YTD Contributions'!O142)"),0.0)</f>
        <v>0</v>
      </c>
      <c r="P142" s="152">
        <f>IFERROR(__xludf.DUMMYFUNCTION("IFERROR(O142 * (1 + AVERAGE(Filter('Inflation Data'!$C:$C,'Inflation Data'!$A:$A = P$1))) + 'Fund YTD Contributions'!P142,'Fund YTD Contributions'!P142)"),0.0)</f>
        <v>0</v>
      </c>
      <c r="Q142" s="152">
        <f>IFERROR(__xludf.DUMMYFUNCTION("IFERROR(P142 * (1 + AVERAGE(Filter('Inflation Data'!$C:$C,'Inflation Data'!$A:$A = Q$1))) + 'Fund YTD Contributions'!Q142,'Fund YTD Contributions'!Q142)"),0.0)</f>
        <v>0</v>
      </c>
      <c r="R142" s="152">
        <f>IFERROR(__xludf.DUMMYFUNCTION("IFERROR(Q142 * (1 + AVERAGE(Filter('Inflation Data'!$C:$C,'Inflation Data'!$A:$A = R$1))) + 'Fund YTD Contributions'!R142,'Fund YTD Contributions'!R142)"),0.0)</f>
        <v>0</v>
      </c>
      <c r="S142" s="152">
        <f>IFERROR(__xludf.DUMMYFUNCTION("IFERROR(R142 * (1 + AVERAGE(Filter('Inflation Data'!$C:$C,'Inflation Data'!$A:$A = S$1))) + 'Fund YTD Contributions'!S142,'Fund YTD Contributions'!S142)"),0.0)</f>
        <v>0</v>
      </c>
      <c r="T142" s="152">
        <f>IFERROR(__xludf.DUMMYFUNCTION("IFERROR(S142 * (1 + AVERAGE(Filter('Inflation Data'!$C:$C,'Inflation Data'!$A:$A = T$1))) + 'Fund YTD Contributions'!T142,'Fund YTD Contributions'!T142)"),0.0)</f>
        <v>0</v>
      </c>
      <c r="U142" s="152">
        <f>IFERROR(__xludf.DUMMYFUNCTION("IFERROR(T142 * (1 + AVERAGE(Filter('Inflation Data'!$C:$C,'Inflation Data'!$A:$A = U$1))) + 'Fund YTD Contributions'!U142,'Fund YTD Contributions'!U142)"),0.0)</f>
        <v>0</v>
      </c>
      <c r="V142" s="152">
        <f>IFERROR(__xludf.DUMMYFUNCTION("IFERROR(U142 * (1 + AVERAGE(Filter('Inflation Data'!$C:$C,'Inflation Data'!$A:$A = V$1))) + 'Fund YTD Contributions'!V142,'Fund YTD Contributions'!V142)"),0.0)</f>
        <v>0</v>
      </c>
      <c r="W142" s="152">
        <f>IFERROR(__xludf.DUMMYFUNCTION("IFERROR(V142 * (1 + AVERAGE(Filter('Inflation Data'!$C:$C,'Inflation Data'!$A:$A = W$1))) + 'Fund YTD Contributions'!W142,'Fund YTD Contributions'!W142)"),0.0)</f>
        <v>0</v>
      </c>
      <c r="X142" s="152">
        <f>IFERROR(__xludf.DUMMYFUNCTION("IFERROR(W142 * (1 + AVERAGE(Filter('Inflation Data'!$C:$C,'Inflation Data'!$A:$A = X$1))) + 'Fund YTD Contributions'!X142,'Fund YTD Contributions'!X142)"),0.0)</f>
        <v>0</v>
      </c>
      <c r="Y142" s="152">
        <f>IFERROR(__xludf.DUMMYFUNCTION("IFERROR(X142 * (1 + AVERAGE(Filter('Inflation Data'!$C:$C,'Inflation Data'!$A:$A = Y$1))) + 'Fund YTD Contributions'!Y142,'Fund YTD Contributions'!Y142)"),0.0)</f>
        <v>0</v>
      </c>
      <c r="Z142" s="152">
        <f>IFERROR(__xludf.DUMMYFUNCTION("IFERROR(Y142 * (1 + AVERAGE(Filter('Inflation Data'!$C:$C,'Inflation Data'!$A:$A = Z$1))) + 'Fund YTD Contributions'!Z142,'Fund YTD Contributions'!Z142)"),0.0)</f>
        <v>0</v>
      </c>
      <c r="AA142" s="152"/>
      <c r="AB142" s="152"/>
      <c r="AC142" s="152"/>
      <c r="AD142" s="152"/>
      <c r="AE142" s="152"/>
      <c r="AF142" s="152"/>
    </row>
    <row r="143">
      <c r="A143" s="150" t="str">
        <f>'Endowed Funds'!A:A</f>
        <v/>
      </c>
      <c r="B143" s="152">
        <f>IFERROR(__xludf.DUMMYFUNCTION("IFERROR(A143 * (1 + AVERAGE(Filter('Inflation Data'!$C:$C,'Inflation Data'!$A:$A = B$1))) + 'Fund YTD Contributions'!B143,'Fund YTD Contributions'!B143)"),0.0)</f>
        <v>0</v>
      </c>
      <c r="C143" s="152">
        <f>IFERROR(__xludf.DUMMYFUNCTION("IFERROR(B143 * (1 + AVERAGE(Filter('Inflation Data'!$C:$C,'Inflation Data'!$A:$A = C$1))) + 'Fund YTD Contributions'!C143,'Fund YTD Contributions'!C143)"),0.0)</f>
        <v>0</v>
      </c>
      <c r="D143" s="152">
        <f>IFERROR(__xludf.DUMMYFUNCTION("IFERROR(C143 * (1 + AVERAGE(Filter('Inflation Data'!$C:$C,'Inflation Data'!$A:$A = D$1))) + 'Fund YTD Contributions'!D143,'Fund YTD Contributions'!D143)"),0.0)</f>
        <v>0</v>
      </c>
      <c r="E143" s="152">
        <f>IFERROR(__xludf.DUMMYFUNCTION("IFERROR(D143 * (1 + AVERAGE(Filter('Inflation Data'!$C:$C,'Inflation Data'!$A:$A = E$1))) + 'Fund YTD Contributions'!E143,'Fund YTD Contributions'!E143)"),0.0)</f>
        <v>0</v>
      </c>
      <c r="F143" s="152">
        <f>IFERROR(__xludf.DUMMYFUNCTION("IFERROR(E143 * (1 + AVERAGE(Filter('Inflation Data'!$C:$C,'Inflation Data'!$A:$A = F$1))) + 'Fund YTD Contributions'!F143,'Fund YTD Contributions'!F143)"),0.0)</f>
        <v>0</v>
      </c>
      <c r="G143" s="152">
        <f>IFERROR(__xludf.DUMMYFUNCTION("IFERROR(F143 * (1 + AVERAGE(Filter('Inflation Data'!$C:$C,'Inflation Data'!$A:$A = G$1))) + 'Fund YTD Contributions'!G143,'Fund YTD Contributions'!G143)"),0.0)</f>
        <v>0</v>
      </c>
      <c r="H143" s="152">
        <f>IFERROR(__xludf.DUMMYFUNCTION("IFERROR(G143 * (1 + AVERAGE(Filter('Inflation Data'!$C:$C,'Inflation Data'!$A:$A = H$1))) + 'Fund YTD Contributions'!H143,'Fund YTD Contributions'!H143)"),0.0)</f>
        <v>0</v>
      </c>
      <c r="I143" s="152">
        <f>IFERROR(__xludf.DUMMYFUNCTION("IFERROR(H143 * (1 + AVERAGE(Filter('Inflation Data'!$C:$C,'Inflation Data'!$A:$A = I$1))) + 'Fund YTD Contributions'!I143,'Fund YTD Contributions'!I143)"),0.0)</f>
        <v>0</v>
      </c>
      <c r="J143" s="152">
        <f>IFERROR(__xludf.DUMMYFUNCTION("IFERROR(I143 * (1 + AVERAGE(Filter('Inflation Data'!$C:$C,'Inflation Data'!$A:$A = J$1))) + 'Fund YTD Contributions'!J143,'Fund YTD Contributions'!J143)"),0.0)</f>
        <v>0</v>
      </c>
      <c r="K143" s="152">
        <f>IFERROR(__xludf.DUMMYFUNCTION("IFERROR(J143 * (1 + AVERAGE(Filter('Inflation Data'!$C:$C,'Inflation Data'!$A:$A = K$1))) + 'Fund YTD Contributions'!K143,'Fund YTD Contributions'!K143)"),0.0)</f>
        <v>0</v>
      </c>
      <c r="L143" s="152">
        <f>IFERROR(__xludf.DUMMYFUNCTION("IFERROR(K143 * (1 + AVERAGE(Filter('Inflation Data'!$C:$C,'Inflation Data'!$A:$A = L$1))) + 'Fund YTD Contributions'!L143,'Fund YTD Contributions'!L143)"),0.0)</f>
        <v>0</v>
      </c>
      <c r="M143" s="152">
        <f>IFERROR(__xludf.DUMMYFUNCTION("IFERROR(L143 * (1 + AVERAGE(Filter('Inflation Data'!$C:$C,'Inflation Data'!$A:$A = M$1))) + 'Fund YTD Contributions'!M143,'Fund YTD Contributions'!M143)"),0.0)</f>
        <v>0</v>
      </c>
      <c r="N143" s="152">
        <f>IFERROR(__xludf.DUMMYFUNCTION("IFERROR(M143 * (1 + AVERAGE(Filter('Inflation Data'!$C:$C,'Inflation Data'!$A:$A = N$1))) + 'Fund YTD Contributions'!N143,'Fund YTD Contributions'!N143)"),0.0)</f>
        <v>0</v>
      </c>
      <c r="O143" s="152">
        <f>IFERROR(__xludf.DUMMYFUNCTION("IFERROR(N143 * (1 + AVERAGE(Filter('Inflation Data'!$C:$C,'Inflation Data'!$A:$A = O$1))) + 'Fund YTD Contributions'!O143,'Fund YTD Contributions'!O143)"),0.0)</f>
        <v>0</v>
      </c>
      <c r="P143" s="152">
        <f>IFERROR(__xludf.DUMMYFUNCTION("IFERROR(O143 * (1 + AVERAGE(Filter('Inflation Data'!$C:$C,'Inflation Data'!$A:$A = P$1))) + 'Fund YTD Contributions'!P143,'Fund YTD Contributions'!P143)"),0.0)</f>
        <v>0</v>
      </c>
      <c r="Q143" s="152">
        <f>IFERROR(__xludf.DUMMYFUNCTION("IFERROR(P143 * (1 + AVERAGE(Filter('Inflation Data'!$C:$C,'Inflation Data'!$A:$A = Q$1))) + 'Fund YTD Contributions'!Q143,'Fund YTD Contributions'!Q143)"),0.0)</f>
        <v>0</v>
      </c>
      <c r="R143" s="152">
        <f>IFERROR(__xludf.DUMMYFUNCTION("IFERROR(Q143 * (1 + AVERAGE(Filter('Inflation Data'!$C:$C,'Inflation Data'!$A:$A = R$1))) + 'Fund YTD Contributions'!R143,'Fund YTD Contributions'!R143)"),0.0)</f>
        <v>0</v>
      </c>
      <c r="S143" s="152">
        <f>IFERROR(__xludf.DUMMYFUNCTION("IFERROR(R143 * (1 + AVERAGE(Filter('Inflation Data'!$C:$C,'Inflation Data'!$A:$A = S$1))) + 'Fund YTD Contributions'!S143,'Fund YTD Contributions'!S143)"),0.0)</f>
        <v>0</v>
      </c>
      <c r="T143" s="152">
        <f>IFERROR(__xludf.DUMMYFUNCTION("IFERROR(S143 * (1 + AVERAGE(Filter('Inflation Data'!$C:$C,'Inflation Data'!$A:$A = T$1))) + 'Fund YTD Contributions'!T143,'Fund YTD Contributions'!T143)"),0.0)</f>
        <v>0</v>
      </c>
      <c r="U143" s="152">
        <f>IFERROR(__xludf.DUMMYFUNCTION("IFERROR(T143 * (1 + AVERAGE(Filter('Inflation Data'!$C:$C,'Inflation Data'!$A:$A = U$1))) + 'Fund YTD Contributions'!U143,'Fund YTD Contributions'!U143)"),0.0)</f>
        <v>0</v>
      </c>
      <c r="V143" s="152">
        <f>IFERROR(__xludf.DUMMYFUNCTION("IFERROR(U143 * (1 + AVERAGE(Filter('Inflation Data'!$C:$C,'Inflation Data'!$A:$A = V$1))) + 'Fund YTD Contributions'!V143,'Fund YTD Contributions'!V143)"),0.0)</f>
        <v>0</v>
      </c>
      <c r="W143" s="152">
        <f>IFERROR(__xludf.DUMMYFUNCTION("IFERROR(V143 * (1 + AVERAGE(Filter('Inflation Data'!$C:$C,'Inflation Data'!$A:$A = W$1))) + 'Fund YTD Contributions'!W143,'Fund YTD Contributions'!W143)"),0.0)</f>
        <v>0</v>
      </c>
      <c r="X143" s="152">
        <f>IFERROR(__xludf.DUMMYFUNCTION("IFERROR(W143 * (1 + AVERAGE(Filter('Inflation Data'!$C:$C,'Inflation Data'!$A:$A = X$1))) + 'Fund YTD Contributions'!X143,'Fund YTD Contributions'!X143)"),0.0)</f>
        <v>0</v>
      </c>
      <c r="Y143" s="152">
        <f>IFERROR(__xludf.DUMMYFUNCTION("IFERROR(X143 * (1 + AVERAGE(Filter('Inflation Data'!$C:$C,'Inflation Data'!$A:$A = Y$1))) + 'Fund YTD Contributions'!Y143,'Fund YTD Contributions'!Y143)"),0.0)</f>
        <v>0</v>
      </c>
      <c r="Z143" s="152">
        <f>IFERROR(__xludf.DUMMYFUNCTION("IFERROR(Y143 * (1 + AVERAGE(Filter('Inflation Data'!$C:$C,'Inflation Data'!$A:$A = Z$1))) + 'Fund YTD Contributions'!Z143,'Fund YTD Contributions'!Z143)"),0.0)</f>
        <v>0</v>
      </c>
      <c r="AA143" s="152"/>
      <c r="AB143" s="152"/>
      <c r="AC143" s="152"/>
      <c r="AD143" s="152"/>
      <c r="AE143" s="152"/>
      <c r="AF143" s="152"/>
    </row>
    <row r="144">
      <c r="A144" s="150" t="str">
        <f>'Endowed Funds'!A:A</f>
        <v/>
      </c>
      <c r="B144" s="152">
        <f>IFERROR(__xludf.DUMMYFUNCTION("IFERROR(A144 * (1 + AVERAGE(Filter('Inflation Data'!$C:$C,'Inflation Data'!$A:$A = B$1))) + 'Fund YTD Contributions'!B144,'Fund YTD Contributions'!B144)"),0.0)</f>
        <v>0</v>
      </c>
      <c r="C144" s="152">
        <f>IFERROR(__xludf.DUMMYFUNCTION("IFERROR(B144 * (1 + AVERAGE(Filter('Inflation Data'!$C:$C,'Inflation Data'!$A:$A = C$1))) + 'Fund YTD Contributions'!C144,'Fund YTD Contributions'!C144)"),0.0)</f>
        <v>0</v>
      </c>
      <c r="D144" s="152">
        <f>IFERROR(__xludf.DUMMYFUNCTION("IFERROR(C144 * (1 + AVERAGE(Filter('Inflation Data'!$C:$C,'Inflation Data'!$A:$A = D$1))) + 'Fund YTD Contributions'!D144,'Fund YTD Contributions'!D144)"),0.0)</f>
        <v>0</v>
      </c>
      <c r="E144" s="152">
        <f>IFERROR(__xludf.DUMMYFUNCTION("IFERROR(D144 * (1 + AVERAGE(Filter('Inflation Data'!$C:$C,'Inflation Data'!$A:$A = E$1))) + 'Fund YTD Contributions'!E144,'Fund YTD Contributions'!E144)"),0.0)</f>
        <v>0</v>
      </c>
      <c r="F144" s="152">
        <f>IFERROR(__xludf.DUMMYFUNCTION("IFERROR(E144 * (1 + AVERAGE(Filter('Inflation Data'!$C:$C,'Inflation Data'!$A:$A = F$1))) + 'Fund YTD Contributions'!F144,'Fund YTD Contributions'!F144)"),0.0)</f>
        <v>0</v>
      </c>
      <c r="G144" s="152">
        <f>IFERROR(__xludf.DUMMYFUNCTION("IFERROR(F144 * (1 + AVERAGE(Filter('Inflation Data'!$C:$C,'Inflation Data'!$A:$A = G$1))) + 'Fund YTD Contributions'!G144,'Fund YTD Contributions'!G144)"),0.0)</f>
        <v>0</v>
      </c>
      <c r="H144" s="152">
        <f>IFERROR(__xludf.DUMMYFUNCTION("IFERROR(G144 * (1 + AVERAGE(Filter('Inflation Data'!$C:$C,'Inflation Data'!$A:$A = H$1))) + 'Fund YTD Contributions'!H144,'Fund YTD Contributions'!H144)"),0.0)</f>
        <v>0</v>
      </c>
      <c r="I144" s="152">
        <f>IFERROR(__xludf.DUMMYFUNCTION("IFERROR(H144 * (1 + AVERAGE(Filter('Inflation Data'!$C:$C,'Inflation Data'!$A:$A = I$1))) + 'Fund YTD Contributions'!I144,'Fund YTD Contributions'!I144)"),0.0)</f>
        <v>0</v>
      </c>
      <c r="J144" s="152">
        <f>IFERROR(__xludf.DUMMYFUNCTION("IFERROR(I144 * (1 + AVERAGE(Filter('Inflation Data'!$C:$C,'Inflation Data'!$A:$A = J$1))) + 'Fund YTD Contributions'!J144,'Fund YTD Contributions'!J144)"),0.0)</f>
        <v>0</v>
      </c>
      <c r="K144" s="152">
        <f>IFERROR(__xludf.DUMMYFUNCTION("IFERROR(J144 * (1 + AVERAGE(Filter('Inflation Data'!$C:$C,'Inflation Data'!$A:$A = K$1))) + 'Fund YTD Contributions'!K144,'Fund YTD Contributions'!K144)"),0.0)</f>
        <v>0</v>
      </c>
      <c r="L144" s="152">
        <f>IFERROR(__xludf.DUMMYFUNCTION("IFERROR(K144 * (1 + AVERAGE(Filter('Inflation Data'!$C:$C,'Inflation Data'!$A:$A = L$1))) + 'Fund YTD Contributions'!L144,'Fund YTD Contributions'!L144)"),0.0)</f>
        <v>0</v>
      </c>
      <c r="M144" s="152">
        <f>IFERROR(__xludf.DUMMYFUNCTION("IFERROR(L144 * (1 + AVERAGE(Filter('Inflation Data'!$C:$C,'Inflation Data'!$A:$A = M$1))) + 'Fund YTD Contributions'!M144,'Fund YTD Contributions'!M144)"),0.0)</f>
        <v>0</v>
      </c>
      <c r="N144" s="152">
        <f>IFERROR(__xludf.DUMMYFUNCTION("IFERROR(M144 * (1 + AVERAGE(Filter('Inflation Data'!$C:$C,'Inflation Data'!$A:$A = N$1))) + 'Fund YTD Contributions'!N144,'Fund YTD Contributions'!N144)"),0.0)</f>
        <v>0</v>
      </c>
      <c r="O144" s="152">
        <f>IFERROR(__xludf.DUMMYFUNCTION("IFERROR(N144 * (1 + AVERAGE(Filter('Inflation Data'!$C:$C,'Inflation Data'!$A:$A = O$1))) + 'Fund YTD Contributions'!O144,'Fund YTD Contributions'!O144)"),0.0)</f>
        <v>0</v>
      </c>
      <c r="P144" s="152">
        <f>IFERROR(__xludf.DUMMYFUNCTION("IFERROR(O144 * (1 + AVERAGE(Filter('Inflation Data'!$C:$C,'Inflation Data'!$A:$A = P$1))) + 'Fund YTD Contributions'!P144,'Fund YTD Contributions'!P144)"),0.0)</f>
        <v>0</v>
      </c>
      <c r="Q144" s="152">
        <f>IFERROR(__xludf.DUMMYFUNCTION("IFERROR(P144 * (1 + AVERAGE(Filter('Inflation Data'!$C:$C,'Inflation Data'!$A:$A = Q$1))) + 'Fund YTD Contributions'!Q144,'Fund YTD Contributions'!Q144)"),0.0)</f>
        <v>0</v>
      </c>
      <c r="R144" s="152">
        <f>IFERROR(__xludf.DUMMYFUNCTION("IFERROR(Q144 * (1 + AVERAGE(Filter('Inflation Data'!$C:$C,'Inflation Data'!$A:$A = R$1))) + 'Fund YTD Contributions'!R144,'Fund YTD Contributions'!R144)"),0.0)</f>
        <v>0</v>
      </c>
      <c r="S144" s="152">
        <f>IFERROR(__xludf.DUMMYFUNCTION("IFERROR(R144 * (1 + AVERAGE(Filter('Inflation Data'!$C:$C,'Inflation Data'!$A:$A = S$1))) + 'Fund YTD Contributions'!S144,'Fund YTD Contributions'!S144)"),0.0)</f>
        <v>0</v>
      </c>
      <c r="T144" s="152">
        <f>IFERROR(__xludf.DUMMYFUNCTION("IFERROR(S144 * (1 + AVERAGE(Filter('Inflation Data'!$C:$C,'Inflation Data'!$A:$A = T$1))) + 'Fund YTD Contributions'!T144,'Fund YTD Contributions'!T144)"),0.0)</f>
        <v>0</v>
      </c>
      <c r="U144" s="152">
        <f>IFERROR(__xludf.DUMMYFUNCTION("IFERROR(T144 * (1 + AVERAGE(Filter('Inflation Data'!$C:$C,'Inflation Data'!$A:$A = U$1))) + 'Fund YTD Contributions'!U144,'Fund YTD Contributions'!U144)"),0.0)</f>
        <v>0</v>
      </c>
      <c r="V144" s="152">
        <f>IFERROR(__xludf.DUMMYFUNCTION("IFERROR(U144 * (1 + AVERAGE(Filter('Inflation Data'!$C:$C,'Inflation Data'!$A:$A = V$1))) + 'Fund YTD Contributions'!V144,'Fund YTD Contributions'!V144)"),0.0)</f>
        <v>0</v>
      </c>
      <c r="W144" s="152">
        <f>IFERROR(__xludf.DUMMYFUNCTION("IFERROR(V144 * (1 + AVERAGE(Filter('Inflation Data'!$C:$C,'Inflation Data'!$A:$A = W$1))) + 'Fund YTD Contributions'!W144,'Fund YTD Contributions'!W144)"),0.0)</f>
        <v>0</v>
      </c>
      <c r="X144" s="152">
        <f>IFERROR(__xludf.DUMMYFUNCTION("IFERROR(W144 * (1 + AVERAGE(Filter('Inflation Data'!$C:$C,'Inflation Data'!$A:$A = X$1))) + 'Fund YTD Contributions'!X144,'Fund YTD Contributions'!X144)"),0.0)</f>
        <v>0</v>
      </c>
      <c r="Y144" s="152">
        <f>IFERROR(__xludf.DUMMYFUNCTION("IFERROR(X144 * (1 + AVERAGE(Filter('Inflation Data'!$C:$C,'Inflation Data'!$A:$A = Y$1))) + 'Fund YTD Contributions'!Y144,'Fund YTD Contributions'!Y144)"),0.0)</f>
        <v>0</v>
      </c>
      <c r="Z144" s="152">
        <f>IFERROR(__xludf.DUMMYFUNCTION("IFERROR(Y144 * (1 + AVERAGE(Filter('Inflation Data'!$C:$C,'Inflation Data'!$A:$A = Z$1))) + 'Fund YTD Contributions'!Z144,'Fund YTD Contributions'!Z144)"),0.0)</f>
        <v>0</v>
      </c>
      <c r="AA144" s="152"/>
      <c r="AB144" s="152"/>
      <c r="AC144" s="152"/>
      <c r="AD144" s="152"/>
      <c r="AE144" s="152"/>
      <c r="AF144" s="152"/>
    </row>
    <row r="145">
      <c r="A145" s="150" t="str">
        <f>'Endowed Funds'!A:A</f>
        <v/>
      </c>
      <c r="B145" s="152">
        <f>IFERROR(__xludf.DUMMYFUNCTION("IFERROR(A145 * (1 + AVERAGE(Filter('Inflation Data'!$C:$C,'Inflation Data'!$A:$A = B$1))) + 'Fund YTD Contributions'!B145,'Fund YTD Contributions'!B145)"),0.0)</f>
        <v>0</v>
      </c>
      <c r="C145" s="152">
        <f>IFERROR(__xludf.DUMMYFUNCTION("IFERROR(B145 * (1 + AVERAGE(Filter('Inflation Data'!$C:$C,'Inflation Data'!$A:$A = C$1))) + 'Fund YTD Contributions'!C145,'Fund YTD Contributions'!C145)"),0.0)</f>
        <v>0</v>
      </c>
      <c r="D145" s="152">
        <f>IFERROR(__xludf.DUMMYFUNCTION("IFERROR(C145 * (1 + AVERAGE(Filter('Inflation Data'!$C:$C,'Inflation Data'!$A:$A = D$1))) + 'Fund YTD Contributions'!D145,'Fund YTD Contributions'!D145)"),0.0)</f>
        <v>0</v>
      </c>
      <c r="E145" s="152">
        <f>IFERROR(__xludf.DUMMYFUNCTION("IFERROR(D145 * (1 + AVERAGE(Filter('Inflation Data'!$C:$C,'Inflation Data'!$A:$A = E$1))) + 'Fund YTD Contributions'!E145,'Fund YTD Contributions'!E145)"),0.0)</f>
        <v>0</v>
      </c>
      <c r="F145" s="152">
        <f>IFERROR(__xludf.DUMMYFUNCTION("IFERROR(E145 * (1 + AVERAGE(Filter('Inflation Data'!$C:$C,'Inflation Data'!$A:$A = F$1))) + 'Fund YTD Contributions'!F145,'Fund YTD Contributions'!F145)"),0.0)</f>
        <v>0</v>
      </c>
      <c r="G145" s="152">
        <f>IFERROR(__xludf.DUMMYFUNCTION("IFERROR(F145 * (1 + AVERAGE(Filter('Inflation Data'!$C:$C,'Inflation Data'!$A:$A = G$1))) + 'Fund YTD Contributions'!G145,'Fund YTD Contributions'!G145)"),0.0)</f>
        <v>0</v>
      </c>
      <c r="H145" s="152">
        <f>IFERROR(__xludf.DUMMYFUNCTION("IFERROR(G145 * (1 + AVERAGE(Filter('Inflation Data'!$C:$C,'Inflation Data'!$A:$A = H$1))) + 'Fund YTD Contributions'!H145,'Fund YTD Contributions'!H145)"),0.0)</f>
        <v>0</v>
      </c>
      <c r="I145" s="152">
        <f>IFERROR(__xludf.DUMMYFUNCTION("IFERROR(H145 * (1 + AVERAGE(Filter('Inflation Data'!$C:$C,'Inflation Data'!$A:$A = I$1))) + 'Fund YTD Contributions'!I145,'Fund YTD Contributions'!I145)"),0.0)</f>
        <v>0</v>
      </c>
      <c r="J145" s="152">
        <f>IFERROR(__xludf.DUMMYFUNCTION("IFERROR(I145 * (1 + AVERAGE(Filter('Inflation Data'!$C:$C,'Inflation Data'!$A:$A = J$1))) + 'Fund YTD Contributions'!J145,'Fund YTD Contributions'!J145)"),0.0)</f>
        <v>0</v>
      </c>
      <c r="K145" s="152">
        <f>IFERROR(__xludf.DUMMYFUNCTION("IFERROR(J145 * (1 + AVERAGE(Filter('Inflation Data'!$C:$C,'Inflation Data'!$A:$A = K$1))) + 'Fund YTD Contributions'!K145,'Fund YTD Contributions'!K145)"),0.0)</f>
        <v>0</v>
      </c>
      <c r="L145" s="152">
        <f>IFERROR(__xludf.DUMMYFUNCTION("IFERROR(K145 * (1 + AVERAGE(Filter('Inflation Data'!$C:$C,'Inflation Data'!$A:$A = L$1))) + 'Fund YTD Contributions'!L145,'Fund YTD Contributions'!L145)"),0.0)</f>
        <v>0</v>
      </c>
      <c r="M145" s="152">
        <f>IFERROR(__xludf.DUMMYFUNCTION("IFERROR(L145 * (1 + AVERAGE(Filter('Inflation Data'!$C:$C,'Inflation Data'!$A:$A = M$1))) + 'Fund YTD Contributions'!M145,'Fund YTD Contributions'!M145)"),0.0)</f>
        <v>0</v>
      </c>
      <c r="N145" s="152">
        <f>IFERROR(__xludf.DUMMYFUNCTION("IFERROR(M145 * (1 + AVERAGE(Filter('Inflation Data'!$C:$C,'Inflation Data'!$A:$A = N$1))) + 'Fund YTD Contributions'!N145,'Fund YTD Contributions'!N145)"),0.0)</f>
        <v>0</v>
      </c>
      <c r="O145" s="152">
        <f>IFERROR(__xludf.DUMMYFUNCTION("IFERROR(N145 * (1 + AVERAGE(Filter('Inflation Data'!$C:$C,'Inflation Data'!$A:$A = O$1))) + 'Fund YTD Contributions'!O145,'Fund YTD Contributions'!O145)"),0.0)</f>
        <v>0</v>
      </c>
      <c r="P145" s="152">
        <f>IFERROR(__xludf.DUMMYFUNCTION("IFERROR(O145 * (1 + AVERAGE(Filter('Inflation Data'!$C:$C,'Inflation Data'!$A:$A = P$1))) + 'Fund YTD Contributions'!P145,'Fund YTD Contributions'!P145)"),0.0)</f>
        <v>0</v>
      </c>
      <c r="Q145" s="152">
        <f>IFERROR(__xludf.DUMMYFUNCTION("IFERROR(P145 * (1 + AVERAGE(Filter('Inflation Data'!$C:$C,'Inflation Data'!$A:$A = Q$1))) + 'Fund YTD Contributions'!Q145,'Fund YTD Contributions'!Q145)"),0.0)</f>
        <v>0</v>
      </c>
      <c r="R145" s="152">
        <f>IFERROR(__xludf.DUMMYFUNCTION("IFERROR(Q145 * (1 + AVERAGE(Filter('Inflation Data'!$C:$C,'Inflation Data'!$A:$A = R$1))) + 'Fund YTD Contributions'!R145,'Fund YTD Contributions'!R145)"),0.0)</f>
        <v>0</v>
      </c>
      <c r="S145" s="152">
        <f>IFERROR(__xludf.DUMMYFUNCTION("IFERROR(R145 * (1 + AVERAGE(Filter('Inflation Data'!$C:$C,'Inflation Data'!$A:$A = S$1))) + 'Fund YTD Contributions'!S145,'Fund YTD Contributions'!S145)"),0.0)</f>
        <v>0</v>
      </c>
      <c r="T145" s="152">
        <f>IFERROR(__xludf.DUMMYFUNCTION("IFERROR(S145 * (1 + AVERAGE(Filter('Inflation Data'!$C:$C,'Inflation Data'!$A:$A = T$1))) + 'Fund YTD Contributions'!T145,'Fund YTD Contributions'!T145)"),0.0)</f>
        <v>0</v>
      </c>
      <c r="U145" s="152">
        <f>IFERROR(__xludf.DUMMYFUNCTION("IFERROR(T145 * (1 + AVERAGE(Filter('Inflation Data'!$C:$C,'Inflation Data'!$A:$A = U$1))) + 'Fund YTD Contributions'!U145,'Fund YTD Contributions'!U145)"),0.0)</f>
        <v>0</v>
      </c>
      <c r="V145" s="152">
        <f>IFERROR(__xludf.DUMMYFUNCTION("IFERROR(U145 * (1 + AVERAGE(Filter('Inflation Data'!$C:$C,'Inflation Data'!$A:$A = V$1))) + 'Fund YTD Contributions'!V145,'Fund YTD Contributions'!V145)"),0.0)</f>
        <v>0</v>
      </c>
      <c r="W145" s="152">
        <f>IFERROR(__xludf.DUMMYFUNCTION("IFERROR(V145 * (1 + AVERAGE(Filter('Inflation Data'!$C:$C,'Inflation Data'!$A:$A = W$1))) + 'Fund YTD Contributions'!W145,'Fund YTD Contributions'!W145)"),0.0)</f>
        <v>0</v>
      </c>
      <c r="X145" s="152">
        <f>IFERROR(__xludf.DUMMYFUNCTION("IFERROR(W145 * (1 + AVERAGE(Filter('Inflation Data'!$C:$C,'Inflation Data'!$A:$A = X$1))) + 'Fund YTD Contributions'!X145,'Fund YTD Contributions'!X145)"),0.0)</f>
        <v>0</v>
      </c>
      <c r="Y145" s="152">
        <f>IFERROR(__xludf.DUMMYFUNCTION("IFERROR(X145 * (1 + AVERAGE(Filter('Inflation Data'!$C:$C,'Inflation Data'!$A:$A = Y$1))) + 'Fund YTD Contributions'!Y145,'Fund YTD Contributions'!Y145)"),0.0)</f>
        <v>0</v>
      </c>
      <c r="Z145" s="152">
        <f>IFERROR(__xludf.DUMMYFUNCTION("IFERROR(Y145 * (1 + AVERAGE(Filter('Inflation Data'!$C:$C,'Inflation Data'!$A:$A = Z$1))) + 'Fund YTD Contributions'!Z145,'Fund YTD Contributions'!Z145)"),0.0)</f>
        <v>0</v>
      </c>
      <c r="AA145" s="152"/>
      <c r="AB145" s="152"/>
      <c r="AC145" s="152"/>
      <c r="AD145" s="152"/>
      <c r="AE145" s="152"/>
      <c r="AF145" s="152"/>
    </row>
    <row r="146">
      <c r="A146" s="150" t="str">
        <f>'Endowed Funds'!A:A</f>
        <v/>
      </c>
      <c r="B146" s="152">
        <f>IFERROR(__xludf.DUMMYFUNCTION("IFERROR(A146 * (1 + AVERAGE(Filter('Inflation Data'!$C:$C,'Inflation Data'!$A:$A = B$1))) + 'Fund YTD Contributions'!B146,'Fund YTD Contributions'!B146)"),0.0)</f>
        <v>0</v>
      </c>
      <c r="C146" s="152">
        <f>IFERROR(__xludf.DUMMYFUNCTION("IFERROR(B146 * (1 + AVERAGE(Filter('Inflation Data'!$C:$C,'Inflation Data'!$A:$A = C$1))) + 'Fund YTD Contributions'!C146,'Fund YTD Contributions'!C146)"),0.0)</f>
        <v>0</v>
      </c>
      <c r="D146" s="152">
        <f>IFERROR(__xludf.DUMMYFUNCTION("IFERROR(C146 * (1 + AVERAGE(Filter('Inflation Data'!$C:$C,'Inflation Data'!$A:$A = D$1))) + 'Fund YTD Contributions'!D146,'Fund YTD Contributions'!D146)"),0.0)</f>
        <v>0</v>
      </c>
      <c r="E146" s="152">
        <f>IFERROR(__xludf.DUMMYFUNCTION("IFERROR(D146 * (1 + AVERAGE(Filter('Inflation Data'!$C:$C,'Inflation Data'!$A:$A = E$1))) + 'Fund YTD Contributions'!E146,'Fund YTD Contributions'!E146)"),0.0)</f>
        <v>0</v>
      </c>
      <c r="F146" s="152">
        <f>IFERROR(__xludf.DUMMYFUNCTION("IFERROR(E146 * (1 + AVERAGE(Filter('Inflation Data'!$C:$C,'Inflation Data'!$A:$A = F$1))) + 'Fund YTD Contributions'!F146,'Fund YTD Contributions'!F146)"),0.0)</f>
        <v>0</v>
      </c>
      <c r="G146" s="152">
        <f>IFERROR(__xludf.DUMMYFUNCTION("IFERROR(F146 * (1 + AVERAGE(Filter('Inflation Data'!$C:$C,'Inflation Data'!$A:$A = G$1))) + 'Fund YTD Contributions'!G146,'Fund YTD Contributions'!G146)"),0.0)</f>
        <v>0</v>
      </c>
      <c r="H146" s="152">
        <f>IFERROR(__xludf.DUMMYFUNCTION("IFERROR(G146 * (1 + AVERAGE(Filter('Inflation Data'!$C:$C,'Inflation Data'!$A:$A = H$1))) + 'Fund YTD Contributions'!H146,'Fund YTD Contributions'!H146)"),0.0)</f>
        <v>0</v>
      </c>
      <c r="I146" s="152">
        <f>IFERROR(__xludf.DUMMYFUNCTION("IFERROR(H146 * (1 + AVERAGE(Filter('Inflation Data'!$C:$C,'Inflation Data'!$A:$A = I$1))) + 'Fund YTD Contributions'!I146,'Fund YTD Contributions'!I146)"),0.0)</f>
        <v>0</v>
      </c>
      <c r="J146" s="152">
        <f>IFERROR(__xludf.DUMMYFUNCTION("IFERROR(I146 * (1 + AVERAGE(Filter('Inflation Data'!$C:$C,'Inflation Data'!$A:$A = J$1))) + 'Fund YTD Contributions'!J146,'Fund YTD Contributions'!J146)"),0.0)</f>
        <v>0</v>
      </c>
      <c r="K146" s="152">
        <f>IFERROR(__xludf.DUMMYFUNCTION("IFERROR(J146 * (1 + AVERAGE(Filter('Inflation Data'!$C:$C,'Inflation Data'!$A:$A = K$1))) + 'Fund YTD Contributions'!K146,'Fund YTD Contributions'!K146)"),0.0)</f>
        <v>0</v>
      </c>
      <c r="L146" s="152">
        <f>IFERROR(__xludf.DUMMYFUNCTION("IFERROR(K146 * (1 + AVERAGE(Filter('Inflation Data'!$C:$C,'Inflation Data'!$A:$A = L$1))) + 'Fund YTD Contributions'!L146,'Fund YTD Contributions'!L146)"),0.0)</f>
        <v>0</v>
      </c>
      <c r="M146" s="152">
        <f>IFERROR(__xludf.DUMMYFUNCTION("IFERROR(L146 * (1 + AVERAGE(Filter('Inflation Data'!$C:$C,'Inflation Data'!$A:$A = M$1))) + 'Fund YTD Contributions'!M146,'Fund YTD Contributions'!M146)"),0.0)</f>
        <v>0</v>
      </c>
      <c r="N146" s="152">
        <f>IFERROR(__xludf.DUMMYFUNCTION("IFERROR(M146 * (1 + AVERAGE(Filter('Inflation Data'!$C:$C,'Inflation Data'!$A:$A = N$1))) + 'Fund YTD Contributions'!N146,'Fund YTD Contributions'!N146)"),0.0)</f>
        <v>0</v>
      </c>
      <c r="O146" s="152">
        <f>IFERROR(__xludf.DUMMYFUNCTION("IFERROR(N146 * (1 + AVERAGE(Filter('Inflation Data'!$C:$C,'Inflation Data'!$A:$A = O$1))) + 'Fund YTD Contributions'!O146,'Fund YTD Contributions'!O146)"),0.0)</f>
        <v>0</v>
      </c>
      <c r="P146" s="152">
        <f>IFERROR(__xludf.DUMMYFUNCTION("IFERROR(O146 * (1 + AVERAGE(Filter('Inflation Data'!$C:$C,'Inflation Data'!$A:$A = P$1))) + 'Fund YTD Contributions'!P146,'Fund YTD Contributions'!P146)"),0.0)</f>
        <v>0</v>
      </c>
      <c r="Q146" s="152">
        <f>IFERROR(__xludf.DUMMYFUNCTION("IFERROR(P146 * (1 + AVERAGE(Filter('Inflation Data'!$C:$C,'Inflation Data'!$A:$A = Q$1))) + 'Fund YTD Contributions'!Q146,'Fund YTD Contributions'!Q146)"),0.0)</f>
        <v>0</v>
      </c>
      <c r="R146" s="152">
        <f>IFERROR(__xludf.DUMMYFUNCTION("IFERROR(Q146 * (1 + AVERAGE(Filter('Inflation Data'!$C:$C,'Inflation Data'!$A:$A = R$1))) + 'Fund YTD Contributions'!R146,'Fund YTD Contributions'!R146)"),0.0)</f>
        <v>0</v>
      </c>
      <c r="S146" s="152">
        <f>IFERROR(__xludf.DUMMYFUNCTION("IFERROR(R146 * (1 + AVERAGE(Filter('Inflation Data'!$C:$C,'Inflation Data'!$A:$A = S$1))) + 'Fund YTD Contributions'!S146,'Fund YTD Contributions'!S146)"),0.0)</f>
        <v>0</v>
      </c>
      <c r="T146" s="152">
        <f>IFERROR(__xludf.DUMMYFUNCTION("IFERROR(S146 * (1 + AVERAGE(Filter('Inflation Data'!$C:$C,'Inflation Data'!$A:$A = T$1))) + 'Fund YTD Contributions'!T146,'Fund YTD Contributions'!T146)"),0.0)</f>
        <v>0</v>
      </c>
      <c r="U146" s="152">
        <f>IFERROR(__xludf.DUMMYFUNCTION("IFERROR(T146 * (1 + AVERAGE(Filter('Inflation Data'!$C:$C,'Inflation Data'!$A:$A = U$1))) + 'Fund YTD Contributions'!U146,'Fund YTD Contributions'!U146)"),0.0)</f>
        <v>0</v>
      </c>
      <c r="V146" s="152">
        <f>IFERROR(__xludf.DUMMYFUNCTION("IFERROR(U146 * (1 + AVERAGE(Filter('Inflation Data'!$C:$C,'Inflation Data'!$A:$A = V$1))) + 'Fund YTD Contributions'!V146,'Fund YTD Contributions'!V146)"),0.0)</f>
        <v>0</v>
      </c>
      <c r="W146" s="152">
        <f>IFERROR(__xludf.DUMMYFUNCTION("IFERROR(V146 * (1 + AVERAGE(Filter('Inflation Data'!$C:$C,'Inflation Data'!$A:$A = W$1))) + 'Fund YTD Contributions'!W146,'Fund YTD Contributions'!W146)"),0.0)</f>
        <v>0</v>
      </c>
      <c r="X146" s="152">
        <f>IFERROR(__xludf.DUMMYFUNCTION("IFERROR(W146 * (1 + AVERAGE(Filter('Inflation Data'!$C:$C,'Inflation Data'!$A:$A = X$1))) + 'Fund YTD Contributions'!X146,'Fund YTD Contributions'!X146)"),0.0)</f>
        <v>0</v>
      </c>
      <c r="Y146" s="152">
        <f>IFERROR(__xludf.DUMMYFUNCTION("IFERROR(X146 * (1 + AVERAGE(Filter('Inflation Data'!$C:$C,'Inflation Data'!$A:$A = Y$1))) + 'Fund YTD Contributions'!Y146,'Fund YTD Contributions'!Y146)"),0.0)</f>
        <v>0</v>
      </c>
      <c r="Z146" s="152">
        <f>IFERROR(__xludf.DUMMYFUNCTION("IFERROR(Y146 * (1 + AVERAGE(Filter('Inflation Data'!$C:$C,'Inflation Data'!$A:$A = Z$1))) + 'Fund YTD Contributions'!Z146,'Fund YTD Contributions'!Z146)"),0.0)</f>
        <v>0</v>
      </c>
      <c r="AA146" s="152"/>
      <c r="AB146" s="152"/>
      <c r="AC146" s="152"/>
      <c r="AD146" s="152"/>
      <c r="AE146" s="152"/>
      <c r="AF146" s="152"/>
    </row>
    <row r="147">
      <c r="A147" s="150" t="str">
        <f>'Endowed Funds'!A:A</f>
        <v/>
      </c>
      <c r="B147" s="152">
        <f>IFERROR(__xludf.DUMMYFUNCTION("IFERROR(A147 * (1 + AVERAGE(Filter('Inflation Data'!$C:$C,'Inflation Data'!$A:$A = B$1))) + 'Fund YTD Contributions'!B147,'Fund YTD Contributions'!B147)"),0.0)</f>
        <v>0</v>
      </c>
      <c r="C147" s="152">
        <f>IFERROR(__xludf.DUMMYFUNCTION("IFERROR(B147 * (1 + AVERAGE(Filter('Inflation Data'!$C:$C,'Inflation Data'!$A:$A = C$1))) + 'Fund YTD Contributions'!C147,'Fund YTD Contributions'!C147)"),0.0)</f>
        <v>0</v>
      </c>
      <c r="D147" s="152">
        <f>IFERROR(__xludf.DUMMYFUNCTION("IFERROR(C147 * (1 + AVERAGE(Filter('Inflation Data'!$C:$C,'Inflation Data'!$A:$A = D$1))) + 'Fund YTD Contributions'!D147,'Fund YTD Contributions'!D147)"),0.0)</f>
        <v>0</v>
      </c>
      <c r="E147" s="152">
        <f>IFERROR(__xludf.DUMMYFUNCTION("IFERROR(D147 * (1 + AVERAGE(Filter('Inflation Data'!$C:$C,'Inflation Data'!$A:$A = E$1))) + 'Fund YTD Contributions'!E147,'Fund YTD Contributions'!E147)"),0.0)</f>
        <v>0</v>
      </c>
      <c r="F147" s="152">
        <f>IFERROR(__xludf.DUMMYFUNCTION("IFERROR(E147 * (1 + AVERAGE(Filter('Inflation Data'!$C:$C,'Inflation Data'!$A:$A = F$1))) + 'Fund YTD Contributions'!F147,'Fund YTD Contributions'!F147)"),0.0)</f>
        <v>0</v>
      </c>
      <c r="G147" s="152">
        <f>IFERROR(__xludf.DUMMYFUNCTION("IFERROR(F147 * (1 + AVERAGE(Filter('Inflation Data'!$C:$C,'Inflation Data'!$A:$A = G$1))) + 'Fund YTD Contributions'!G147,'Fund YTD Contributions'!G147)"),0.0)</f>
        <v>0</v>
      </c>
      <c r="H147" s="152">
        <f>IFERROR(__xludf.DUMMYFUNCTION("IFERROR(G147 * (1 + AVERAGE(Filter('Inflation Data'!$C:$C,'Inflation Data'!$A:$A = H$1))) + 'Fund YTD Contributions'!H147,'Fund YTD Contributions'!H147)"),0.0)</f>
        <v>0</v>
      </c>
      <c r="I147" s="152">
        <f>IFERROR(__xludf.DUMMYFUNCTION("IFERROR(H147 * (1 + AVERAGE(Filter('Inflation Data'!$C:$C,'Inflation Data'!$A:$A = I$1))) + 'Fund YTD Contributions'!I147,'Fund YTD Contributions'!I147)"),0.0)</f>
        <v>0</v>
      </c>
      <c r="J147" s="152">
        <f>IFERROR(__xludf.DUMMYFUNCTION("IFERROR(I147 * (1 + AVERAGE(Filter('Inflation Data'!$C:$C,'Inflation Data'!$A:$A = J$1))) + 'Fund YTD Contributions'!J147,'Fund YTD Contributions'!J147)"),0.0)</f>
        <v>0</v>
      </c>
      <c r="K147" s="152">
        <f>IFERROR(__xludf.DUMMYFUNCTION("IFERROR(J147 * (1 + AVERAGE(Filter('Inflation Data'!$C:$C,'Inflation Data'!$A:$A = K$1))) + 'Fund YTD Contributions'!K147,'Fund YTD Contributions'!K147)"),0.0)</f>
        <v>0</v>
      </c>
      <c r="L147" s="152">
        <f>IFERROR(__xludf.DUMMYFUNCTION("IFERROR(K147 * (1 + AVERAGE(Filter('Inflation Data'!$C:$C,'Inflation Data'!$A:$A = L$1))) + 'Fund YTD Contributions'!L147,'Fund YTD Contributions'!L147)"),0.0)</f>
        <v>0</v>
      </c>
      <c r="M147" s="152">
        <f>IFERROR(__xludf.DUMMYFUNCTION("IFERROR(L147 * (1 + AVERAGE(Filter('Inflation Data'!$C:$C,'Inflation Data'!$A:$A = M$1))) + 'Fund YTD Contributions'!M147,'Fund YTD Contributions'!M147)"),0.0)</f>
        <v>0</v>
      </c>
      <c r="N147" s="152">
        <f>IFERROR(__xludf.DUMMYFUNCTION("IFERROR(M147 * (1 + AVERAGE(Filter('Inflation Data'!$C:$C,'Inflation Data'!$A:$A = N$1))) + 'Fund YTD Contributions'!N147,'Fund YTD Contributions'!N147)"),0.0)</f>
        <v>0</v>
      </c>
      <c r="O147" s="152">
        <f>IFERROR(__xludf.DUMMYFUNCTION("IFERROR(N147 * (1 + AVERAGE(Filter('Inflation Data'!$C:$C,'Inflation Data'!$A:$A = O$1))) + 'Fund YTD Contributions'!O147,'Fund YTD Contributions'!O147)"),0.0)</f>
        <v>0</v>
      </c>
      <c r="P147" s="152">
        <f>IFERROR(__xludf.DUMMYFUNCTION("IFERROR(O147 * (1 + AVERAGE(Filter('Inflation Data'!$C:$C,'Inflation Data'!$A:$A = P$1))) + 'Fund YTD Contributions'!P147,'Fund YTD Contributions'!P147)"),0.0)</f>
        <v>0</v>
      </c>
      <c r="Q147" s="152">
        <f>IFERROR(__xludf.DUMMYFUNCTION("IFERROR(P147 * (1 + AVERAGE(Filter('Inflation Data'!$C:$C,'Inflation Data'!$A:$A = Q$1))) + 'Fund YTD Contributions'!Q147,'Fund YTD Contributions'!Q147)"),0.0)</f>
        <v>0</v>
      </c>
      <c r="R147" s="152">
        <f>IFERROR(__xludf.DUMMYFUNCTION("IFERROR(Q147 * (1 + AVERAGE(Filter('Inflation Data'!$C:$C,'Inflation Data'!$A:$A = R$1))) + 'Fund YTD Contributions'!R147,'Fund YTD Contributions'!R147)"),0.0)</f>
        <v>0</v>
      </c>
      <c r="S147" s="152">
        <f>IFERROR(__xludf.DUMMYFUNCTION("IFERROR(R147 * (1 + AVERAGE(Filter('Inflation Data'!$C:$C,'Inflation Data'!$A:$A = S$1))) + 'Fund YTD Contributions'!S147,'Fund YTD Contributions'!S147)"),0.0)</f>
        <v>0</v>
      </c>
      <c r="T147" s="152">
        <f>IFERROR(__xludf.DUMMYFUNCTION("IFERROR(S147 * (1 + AVERAGE(Filter('Inflation Data'!$C:$C,'Inflation Data'!$A:$A = T$1))) + 'Fund YTD Contributions'!T147,'Fund YTD Contributions'!T147)"),0.0)</f>
        <v>0</v>
      </c>
      <c r="U147" s="152">
        <f>IFERROR(__xludf.DUMMYFUNCTION("IFERROR(T147 * (1 + AVERAGE(Filter('Inflation Data'!$C:$C,'Inflation Data'!$A:$A = U$1))) + 'Fund YTD Contributions'!U147,'Fund YTD Contributions'!U147)"),0.0)</f>
        <v>0</v>
      </c>
      <c r="V147" s="152">
        <f>IFERROR(__xludf.DUMMYFUNCTION("IFERROR(U147 * (1 + AVERAGE(Filter('Inflation Data'!$C:$C,'Inflation Data'!$A:$A = V$1))) + 'Fund YTD Contributions'!V147,'Fund YTD Contributions'!V147)"),0.0)</f>
        <v>0</v>
      </c>
      <c r="W147" s="152">
        <f>IFERROR(__xludf.DUMMYFUNCTION("IFERROR(V147 * (1 + AVERAGE(Filter('Inflation Data'!$C:$C,'Inflation Data'!$A:$A = W$1))) + 'Fund YTD Contributions'!W147,'Fund YTD Contributions'!W147)"),0.0)</f>
        <v>0</v>
      </c>
      <c r="X147" s="152">
        <f>IFERROR(__xludf.DUMMYFUNCTION("IFERROR(W147 * (1 + AVERAGE(Filter('Inflation Data'!$C:$C,'Inflation Data'!$A:$A = X$1))) + 'Fund YTD Contributions'!X147,'Fund YTD Contributions'!X147)"),0.0)</f>
        <v>0</v>
      </c>
      <c r="Y147" s="152">
        <f>IFERROR(__xludf.DUMMYFUNCTION("IFERROR(X147 * (1 + AVERAGE(Filter('Inflation Data'!$C:$C,'Inflation Data'!$A:$A = Y$1))) + 'Fund YTD Contributions'!Y147,'Fund YTD Contributions'!Y147)"),0.0)</f>
        <v>0</v>
      </c>
      <c r="Z147" s="152">
        <f>IFERROR(__xludf.DUMMYFUNCTION("IFERROR(Y147 * (1 + AVERAGE(Filter('Inflation Data'!$C:$C,'Inflation Data'!$A:$A = Z$1))) + 'Fund YTD Contributions'!Z147,'Fund YTD Contributions'!Z147)"),0.0)</f>
        <v>0</v>
      </c>
      <c r="AA147" s="152"/>
      <c r="AB147" s="152"/>
      <c r="AC147" s="152"/>
      <c r="AD147" s="152"/>
      <c r="AE147" s="152"/>
      <c r="AF147" s="152"/>
    </row>
    <row r="148">
      <c r="A148" s="150" t="str">
        <f>'Endowed Funds'!A:A</f>
        <v/>
      </c>
      <c r="B148" s="152">
        <f>IFERROR(__xludf.DUMMYFUNCTION("IFERROR(A148 * (1 + AVERAGE(Filter('Inflation Data'!$C:$C,'Inflation Data'!$A:$A = B$1))) + 'Fund YTD Contributions'!B148,'Fund YTD Contributions'!B148)"),0.0)</f>
        <v>0</v>
      </c>
      <c r="C148" s="152">
        <f>IFERROR(__xludf.DUMMYFUNCTION("IFERROR(B148 * (1 + AVERAGE(Filter('Inflation Data'!$C:$C,'Inflation Data'!$A:$A = C$1))) + 'Fund YTD Contributions'!C148,'Fund YTD Contributions'!C148)"),0.0)</f>
        <v>0</v>
      </c>
      <c r="D148" s="152">
        <f>IFERROR(__xludf.DUMMYFUNCTION("IFERROR(C148 * (1 + AVERAGE(Filter('Inflation Data'!$C:$C,'Inflation Data'!$A:$A = D$1))) + 'Fund YTD Contributions'!D148,'Fund YTD Contributions'!D148)"),0.0)</f>
        <v>0</v>
      </c>
      <c r="E148" s="152">
        <f>IFERROR(__xludf.DUMMYFUNCTION("IFERROR(D148 * (1 + AVERAGE(Filter('Inflation Data'!$C:$C,'Inflation Data'!$A:$A = E$1))) + 'Fund YTD Contributions'!E148,'Fund YTD Contributions'!E148)"),0.0)</f>
        <v>0</v>
      </c>
      <c r="F148" s="152">
        <f>IFERROR(__xludf.DUMMYFUNCTION("IFERROR(E148 * (1 + AVERAGE(Filter('Inflation Data'!$C:$C,'Inflation Data'!$A:$A = F$1))) + 'Fund YTD Contributions'!F148,'Fund YTD Contributions'!F148)"),0.0)</f>
        <v>0</v>
      </c>
      <c r="G148" s="152">
        <f>IFERROR(__xludf.DUMMYFUNCTION("IFERROR(F148 * (1 + AVERAGE(Filter('Inflation Data'!$C:$C,'Inflation Data'!$A:$A = G$1))) + 'Fund YTD Contributions'!G148,'Fund YTD Contributions'!G148)"),0.0)</f>
        <v>0</v>
      </c>
      <c r="H148" s="152">
        <f>IFERROR(__xludf.DUMMYFUNCTION("IFERROR(G148 * (1 + AVERAGE(Filter('Inflation Data'!$C:$C,'Inflation Data'!$A:$A = H$1))) + 'Fund YTD Contributions'!H148,'Fund YTD Contributions'!H148)"),0.0)</f>
        <v>0</v>
      </c>
      <c r="I148" s="152">
        <f>IFERROR(__xludf.DUMMYFUNCTION("IFERROR(H148 * (1 + AVERAGE(Filter('Inflation Data'!$C:$C,'Inflation Data'!$A:$A = I$1))) + 'Fund YTD Contributions'!I148,'Fund YTD Contributions'!I148)"),0.0)</f>
        <v>0</v>
      </c>
      <c r="J148" s="152">
        <f>IFERROR(__xludf.DUMMYFUNCTION("IFERROR(I148 * (1 + AVERAGE(Filter('Inflation Data'!$C:$C,'Inflation Data'!$A:$A = J$1))) + 'Fund YTD Contributions'!J148,'Fund YTD Contributions'!J148)"),0.0)</f>
        <v>0</v>
      </c>
      <c r="K148" s="152">
        <f>IFERROR(__xludf.DUMMYFUNCTION("IFERROR(J148 * (1 + AVERAGE(Filter('Inflation Data'!$C:$C,'Inflation Data'!$A:$A = K$1))) + 'Fund YTD Contributions'!K148,'Fund YTD Contributions'!K148)"),0.0)</f>
        <v>0</v>
      </c>
      <c r="L148" s="152">
        <f>IFERROR(__xludf.DUMMYFUNCTION("IFERROR(K148 * (1 + AVERAGE(Filter('Inflation Data'!$C:$C,'Inflation Data'!$A:$A = L$1))) + 'Fund YTD Contributions'!L148,'Fund YTD Contributions'!L148)"),0.0)</f>
        <v>0</v>
      </c>
      <c r="M148" s="152">
        <f>IFERROR(__xludf.DUMMYFUNCTION("IFERROR(L148 * (1 + AVERAGE(Filter('Inflation Data'!$C:$C,'Inflation Data'!$A:$A = M$1))) + 'Fund YTD Contributions'!M148,'Fund YTD Contributions'!M148)"),0.0)</f>
        <v>0</v>
      </c>
      <c r="N148" s="152">
        <f>IFERROR(__xludf.DUMMYFUNCTION("IFERROR(M148 * (1 + AVERAGE(Filter('Inflation Data'!$C:$C,'Inflation Data'!$A:$A = N$1))) + 'Fund YTD Contributions'!N148,'Fund YTD Contributions'!N148)"),0.0)</f>
        <v>0</v>
      </c>
      <c r="O148" s="152">
        <f>IFERROR(__xludf.DUMMYFUNCTION("IFERROR(N148 * (1 + AVERAGE(Filter('Inflation Data'!$C:$C,'Inflation Data'!$A:$A = O$1))) + 'Fund YTD Contributions'!O148,'Fund YTD Contributions'!O148)"),0.0)</f>
        <v>0</v>
      </c>
      <c r="P148" s="152">
        <f>IFERROR(__xludf.DUMMYFUNCTION("IFERROR(O148 * (1 + AVERAGE(Filter('Inflation Data'!$C:$C,'Inflation Data'!$A:$A = P$1))) + 'Fund YTD Contributions'!P148,'Fund YTD Contributions'!P148)"),0.0)</f>
        <v>0</v>
      </c>
      <c r="Q148" s="152">
        <f>IFERROR(__xludf.DUMMYFUNCTION("IFERROR(P148 * (1 + AVERAGE(Filter('Inflation Data'!$C:$C,'Inflation Data'!$A:$A = Q$1))) + 'Fund YTD Contributions'!Q148,'Fund YTD Contributions'!Q148)"),0.0)</f>
        <v>0</v>
      </c>
      <c r="R148" s="152">
        <f>IFERROR(__xludf.DUMMYFUNCTION("IFERROR(Q148 * (1 + AVERAGE(Filter('Inflation Data'!$C:$C,'Inflation Data'!$A:$A = R$1))) + 'Fund YTD Contributions'!R148,'Fund YTD Contributions'!R148)"),0.0)</f>
        <v>0</v>
      </c>
      <c r="S148" s="152">
        <f>IFERROR(__xludf.DUMMYFUNCTION("IFERROR(R148 * (1 + AVERAGE(Filter('Inflation Data'!$C:$C,'Inflation Data'!$A:$A = S$1))) + 'Fund YTD Contributions'!S148,'Fund YTD Contributions'!S148)"),0.0)</f>
        <v>0</v>
      </c>
      <c r="T148" s="152">
        <f>IFERROR(__xludf.DUMMYFUNCTION("IFERROR(S148 * (1 + AVERAGE(Filter('Inflation Data'!$C:$C,'Inflation Data'!$A:$A = T$1))) + 'Fund YTD Contributions'!T148,'Fund YTD Contributions'!T148)"),0.0)</f>
        <v>0</v>
      </c>
      <c r="U148" s="152">
        <f>IFERROR(__xludf.DUMMYFUNCTION("IFERROR(T148 * (1 + AVERAGE(Filter('Inflation Data'!$C:$C,'Inflation Data'!$A:$A = U$1))) + 'Fund YTD Contributions'!U148,'Fund YTD Contributions'!U148)"),0.0)</f>
        <v>0</v>
      </c>
      <c r="V148" s="152">
        <f>IFERROR(__xludf.DUMMYFUNCTION("IFERROR(U148 * (1 + AVERAGE(Filter('Inflation Data'!$C:$C,'Inflation Data'!$A:$A = V$1))) + 'Fund YTD Contributions'!V148,'Fund YTD Contributions'!V148)"),0.0)</f>
        <v>0</v>
      </c>
      <c r="W148" s="152">
        <f>IFERROR(__xludf.DUMMYFUNCTION("IFERROR(V148 * (1 + AVERAGE(Filter('Inflation Data'!$C:$C,'Inflation Data'!$A:$A = W$1))) + 'Fund YTD Contributions'!W148,'Fund YTD Contributions'!W148)"),0.0)</f>
        <v>0</v>
      </c>
      <c r="X148" s="152">
        <f>IFERROR(__xludf.DUMMYFUNCTION("IFERROR(W148 * (1 + AVERAGE(Filter('Inflation Data'!$C:$C,'Inflation Data'!$A:$A = X$1))) + 'Fund YTD Contributions'!X148,'Fund YTD Contributions'!X148)"),0.0)</f>
        <v>0</v>
      </c>
      <c r="Y148" s="152">
        <f>IFERROR(__xludf.DUMMYFUNCTION("IFERROR(X148 * (1 + AVERAGE(Filter('Inflation Data'!$C:$C,'Inflation Data'!$A:$A = Y$1))) + 'Fund YTD Contributions'!Y148,'Fund YTD Contributions'!Y148)"),0.0)</f>
        <v>0</v>
      </c>
      <c r="Z148" s="152">
        <f>IFERROR(__xludf.DUMMYFUNCTION("IFERROR(Y148 * (1 + AVERAGE(Filter('Inflation Data'!$C:$C,'Inflation Data'!$A:$A = Z$1))) + 'Fund YTD Contributions'!Z148,'Fund YTD Contributions'!Z148)"),0.0)</f>
        <v>0</v>
      </c>
      <c r="AA148" s="152"/>
      <c r="AB148" s="152"/>
      <c r="AC148" s="152"/>
      <c r="AD148" s="152"/>
      <c r="AE148" s="152"/>
      <c r="AF148" s="152"/>
    </row>
    <row r="149">
      <c r="A149" s="150" t="str">
        <f>'Endowed Funds'!A:A</f>
        <v/>
      </c>
      <c r="B149" s="152">
        <f>IFERROR(__xludf.DUMMYFUNCTION("IFERROR(A149 * (1 + AVERAGE(Filter('Inflation Data'!$C:$C,'Inflation Data'!$A:$A = B$1))) + 'Fund YTD Contributions'!B149,'Fund YTD Contributions'!B149)"),0.0)</f>
        <v>0</v>
      </c>
      <c r="C149" s="152">
        <f>IFERROR(__xludf.DUMMYFUNCTION("IFERROR(B149 * (1 + AVERAGE(Filter('Inflation Data'!$C:$C,'Inflation Data'!$A:$A = C$1))) + 'Fund YTD Contributions'!C149,'Fund YTD Contributions'!C149)"),0.0)</f>
        <v>0</v>
      </c>
      <c r="D149" s="152">
        <f>IFERROR(__xludf.DUMMYFUNCTION("IFERROR(C149 * (1 + AVERAGE(Filter('Inflation Data'!$C:$C,'Inflation Data'!$A:$A = D$1))) + 'Fund YTD Contributions'!D149,'Fund YTD Contributions'!D149)"),0.0)</f>
        <v>0</v>
      </c>
      <c r="E149" s="152">
        <f>IFERROR(__xludf.DUMMYFUNCTION("IFERROR(D149 * (1 + AVERAGE(Filter('Inflation Data'!$C:$C,'Inflation Data'!$A:$A = E$1))) + 'Fund YTD Contributions'!E149,'Fund YTD Contributions'!E149)"),0.0)</f>
        <v>0</v>
      </c>
      <c r="F149" s="152">
        <f>IFERROR(__xludf.DUMMYFUNCTION("IFERROR(E149 * (1 + AVERAGE(Filter('Inflation Data'!$C:$C,'Inflation Data'!$A:$A = F$1))) + 'Fund YTD Contributions'!F149,'Fund YTD Contributions'!F149)"),0.0)</f>
        <v>0</v>
      </c>
      <c r="G149" s="152">
        <f>IFERROR(__xludf.DUMMYFUNCTION("IFERROR(F149 * (1 + AVERAGE(Filter('Inflation Data'!$C:$C,'Inflation Data'!$A:$A = G$1))) + 'Fund YTD Contributions'!G149,'Fund YTD Contributions'!G149)"),0.0)</f>
        <v>0</v>
      </c>
      <c r="H149" s="152">
        <f>IFERROR(__xludf.DUMMYFUNCTION("IFERROR(G149 * (1 + AVERAGE(Filter('Inflation Data'!$C:$C,'Inflation Data'!$A:$A = H$1))) + 'Fund YTD Contributions'!H149,'Fund YTD Contributions'!H149)"),0.0)</f>
        <v>0</v>
      </c>
      <c r="I149" s="152">
        <f>IFERROR(__xludf.DUMMYFUNCTION("IFERROR(H149 * (1 + AVERAGE(Filter('Inflation Data'!$C:$C,'Inflation Data'!$A:$A = I$1))) + 'Fund YTD Contributions'!I149,'Fund YTD Contributions'!I149)"),0.0)</f>
        <v>0</v>
      </c>
      <c r="J149" s="152">
        <f>IFERROR(__xludf.DUMMYFUNCTION("IFERROR(I149 * (1 + AVERAGE(Filter('Inflation Data'!$C:$C,'Inflation Data'!$A:$A = J$1))) + 'Fund YTD Contributions'!J149,'Fund YTD Contributions'!J149)"),0.0)</f>
        <v>0</v>
      </c>
      <c r="K149" s="152">
        <f>IFERROR(__xludf.DUMMYFUNCTION("IFERROR(J149 * (1 + AVERAGE(Filter('Inflation Data'!$C:$C,'Inflation Data'!$A:$A = K$1))) + 'Fund YTD Contributions'!K149,'Fund YTD Contributions'!K149)"),0.0)</f>
        <v>0</v>
      </c>
      <c r="L149" s="152">
        <f>IFERROR(__xludf.DUMMYFUNCTION("IFERROR(K149 * (1 + AVERAGE(Filter('Inflation Data'!$C:$C,'Inflation Data'!$A:$A = L$1))) + 'Fund YTD Contributions'!L149,'Fund YTD Contributions'!L149)"),0.0)</f>
        <v>0</v>
      </c>
      <c r="M149" s="152">
        <f>IFERROR(__xludf.DUMMYFUNCTION("IFERROR(L149 * (1 + AVERAGE(Filter('Inflation Data'!$C:$C,'Inflation Data'!$A:$A = M$1))) + 'Fund YTD Contributions'!M149,'Fund YTD Contributions'!M149)"),0.0)</f>
        <v>0</v>
      </c>
      <c r="N149" s="152">
        <f>IFERROR(__xludf.DUMMYFUNCTION("IFERROR(M149 * (1 + AVERAGE(Filter('Inflation Data'!$C:$C,'Inflation Data'!$A:$A = N$1))) + 'Fund YTD Contributions'!N149,'Fund YTD Contributions'!N149)"),0.0)</f>
        <v>0</v>
      </c>
      <c r="O149" s="152">
        <f>IFERROR(__xludf.DUMMYFUNCTION("IFERROR(N149 * (1 + AVERAGE(Filter('Inflation Data'!$C:$C,'Inflation Data'!$A:$A = O$1))) + 'Fund YTD Contributions'!O149,'Fund YTD Contributions'!O149)"),0.0)</f>
        <v>0</v>
      </c>
      <c r="P149" s="152">
        <f>IFERROR(__xludf.DUMMYFUNCTION("IFERROR(O149 * (1 + AVERAGE(Filter('Inflation Data'!$C:$C,'Inflation Data'!$A:$A = P$1))) + 'Fund YTD Contributions'!P149,'Fund YTD Contributions'!P149)"),0.0)</f>
        <v>0</v>
      </c>
      <c r="Q149" s="152">
        <f>IFERROR(__xludf.DUMMYFUNCTION("IFERROR(P149 * (1 + AVERAGE(Filter('Inflation Data'!$C:$C,'Inflation Data'!$A:$A = Q$1))) + 'Fund YTD Contributions'!Q149,'Fund YTD Contributions'!Q149)"),0.0)</f>
        <v>0</v>
      </c>
      <c r="R149" s="152">
        <f>IFERROR(__xludf.DUMMYFUNCTION("IFERROR(Q149 * (1 + AVERAGE(Filter('Inflation Data'!$C:$C,'Inflation Data'!$A:$A = R$1))) + 'Fund YTD Contributions'!R149,'Fund YTD Contributions'!R149)"),0.0)</f>
        <v>0</v>
      </c>
      <c r="S149" s="152">
        <f>IFERROR(__xludf.DUMMYFUNCTION("IFERROR(R149 * (1 + AVERAGE(Filter('Inflation Data'!$C:$C,'Inflation Data'!$A:$A = S$1))) + 'Fund YTD Contributions'!S149,'Fund YTD Contributions'!S149)"),0.0)</f>
        <v>0</v>
      </c>
      <c r="T149" s="152">
        <f>IFERROR(__xludf.DUMMYFUNCTION("IFERROR(S149 * (1 + AVERAGE(Filter('Inflation Data'!$C:$C,'Inflation Data'!$A:$A = T$1))) + 'Fund YTD Contributions'!T149,'Fund YTD Contributions'!T149)"),0.0)</f>
        <v>0</v>
      </c>
      <c r="U149" s="152">
        <f>IFERROR(__xludf.DUMMYFUNCTION("IFERROR(T149 * (1 + AVERAGE(Filter('Inflation Data'!$C:$C,'Inflation Data'!$A:$A = U$1))) + 'Fund YTD Contributions'!U149,'Fund YTD Contributions'!U149)"),0.0)</f>
        <v>0</v>
      </c>
      <c r="V149" s="152">
        <f>IFERROR(__xludf.DUMMYFUNCTION("IFERROR(U149 * (1 + AVERAGE(Filter('Inflation Data'!$C:$C,'Inflation Data'!$A:$A = V$1))) + 'Fund YTD Contributions'!V149,'Fund YTD Contributions'!V149)"),0.0)</f>
        <v>0</v>
      </c>
      <c r="W149" s="152">
        <f>IFERROR(__xludf.DUMMYFUNCTION("IFERROR(V149 * (1 + AVERAGE(Filter('Inflation Data'!$C:$C,'Inflation Data'!$A:$A = W$1))) + 'Fund YTD Contributions'!W149,'Fund YTD Contributions'!W149)"),0.0)</f>
        <v>0</v>
      </c>
      <c r="X149" s="152">
        <f>IFERROR(__xludf.DUMMYFUNCTION("IFERROR(W149 * (1 + AVERAGE(Filter('Inflation Data'!$C:$C,'Inflation Data'!$A:$A = X$1))) + 'Fund YTD Contributions'!X149,'Fund YTD Contributions'!X149)"),0.0)</f>
        <v>0</v>
      </c>
      <c r="Y149" s="152">
        <f>IFERROR(__xludf.DUMMYFUNCTION("IFERROR(X149 * (1 + AVERAGE(Filter('Inflation Data'!$C:$C,'Inflation Data'!$A:$A = Y$1))) + 'Fund YTD Contributions'!Y149,'Fund YTD Contributions'!Y149)"),0.0)</f>
        <v>0</v>
      </c>
      <c r="Z149" s="152">
        <f>IFERROR(__xludf.DUMMYFUNCTION("IFERROR(Y149 * (1 + AVERAGE(Filter('Inflation Data'!$C:$C,'Inflation Data'!$A:$A = Z$1))) + 'Fund YTD Contributions'!Z149,'Fund YTD Contributions'!Z149)"),0.0)</f>
        <v>0</v>
      </c>
      <c r="AA149" s="152"/>
      <c r="AB149" s="152"/>
      <c r="AC149" s="152"/>
      <c r="AD149" s="152"/>
      <c r="AE149" s="152"/>
      <c r="AF149" s="152"/>
    </row>
    <row r="150">
      <c r="A150" s="150" t="str">
        <f>'Endowed Funds'!A:A</f>
        <v/>
      </c>
      <c r="B150" s="152">
        <f>IFERROR(__xludf.DUMMYFUNCTION("IFERROR(A150 * (1 + AVERAGE(Filter('Inflation Data'!$C:$C,'Inflation Data'!$A:$A = B$1))) + 'Fund YTD Contributions'!B150,'Fund YTD Contributions'!B150)"),0.0)</f>
        <v>0</v>
      </c>
      <c r="C150" s="152">
        <f>IFERROR(__xludf.DUMMYFUNCTION("IFERROR(B150 * (1 + AVERAGE(Filter('Inflation Data'!$C:$C,'Inflation Data'!$A:$A = C$1))) + 'Fund YTD Contributions'!C150,'Fund YTD Contributions'!C150)"),0.0)</f>
        <v>0</v>
      </c>
      <c r="D150" s="152">
        <f>IFERROR(__xludf.DUMMYFUNCTION("IFERROR(C150 * (1 + AVERAGE(Filter('Inflation Data'!$C:$C,'Inflation Data'!$A:$A = D$1))) + 'Fund YTD Contributions'!D150,'Fund YTD Contributions'!D150)"),0.0)</f>
        <v>0</v>
      </c>
      <c r="E150" s="152">
        <f>IFERROR(__xludf.DUMMYFUNCTION("IFERROR(D150 * (1 + AVERAGE(Filter('Inflation Data'!$C:$C,'Inflation Data'!$A:$A = E$1))) + 'Fund YTD Contributions'!E150,'Fund YTD Contributions'!E150)"),0.0)</f>
        <v>0</v>
      </c>
      <c r="F150" s="152">
        <f>IFERROR(__xludf.DUMMYFUNCTION("IFERROR(E150 * (1 + AVERAGE(Filter('Inflation Data'!$C:$C,'Inflation Data'!$A:$A = F$1))) + 'Fund YTD Contributions'!F150,'Fund YTD Contributions'!F150)"),0.0)</f>
        <v>0</v>
      </c>
      <c r="G150" s="152">
        <f>IFERROR(__xludf.DUMMYFUNCTION("IFERROR(F150 * (1 + AVERAGE(Filter('Inflation Data'!$C:$C,'Inflation Data'!$A:$A = G$1))) + 'Fund YTD Contributions'!G150,'Fund YTD Contributions'!G150)"),0.0)</f>
        <v>0</v>
      </c>
      <c r="H150" s="152">
        <f>IFERROR(__xludf.DUMMYFUNCTION("IFERROR(G150 * (1 + AVERAGE(Filter('Inflation Data'!$C:$C,'Inflation Data'!$A:$A = H$1))) + 'Fund YTD Contributions'!H150,'Fund YTD Contributions'!H150)"),0.0)</f>
        <v>0</v>
      </c>
      <c r="I150" s="152">
        <f>IFERROR(__xludf.DUMMYFUNCTION("IFERROR(H150 * (1 + AVERAGE(Filter('Inflation Data'!$C:$C,'Inflation Data'!$A:$A = I$1))) + 'Fund YTD Contributions'!I150,'Fund YTD Contributions'!I150)"),0.0)</f>
        <v>0</v>
      </c>
      <c r="J150" s="152">
        <f>IFERROR(__xludf.DUMMYFUNCTION("IFERROR(I150 * (1 + AVERAGE(Filter('Inflation Data'!$C:$C,'Inflation Data'!$A:$A = J$1))) + 'Fund YTD Contributions'!J150,'Fund YTD Contributions'!J150)"),0.0)</f>
        <v>0</v>
      </c>
      <c r="K150" s="152">
        <f>IFERROR(__xludf.DUMMYFUNCTION("IFERROR(J150 * (1 + AVERAGE(Filter('Inflation Data'!$C:$C,'Inflation Data'!$A:$A = K$1))) + 'Fund YTD Contributions'!K150,'Fund YTD Contributions'!K150)"),0.0)</f>
        <v>0</v>
      </c>
      <c r="L150" s="152">
        <f>IFERROR(__xludf.DUMMYFUNCTION("IFERROR(K150 * (1 + AVERAGE(Filter('Inflation Data'!$C:$C,'Inflation Data'!$A:$A = L$1))) + 'Fund YTD Contributions'!L150,'Fund YTD Contributions'!L150)"),0.0)</f>
        <v>0</v>
      </c>
      <c r="M150" s="152">
        <f>IFERROR(__xludf.DUMMYFUNCTION("IFERROR(L150 * (1 + AVERAGE(Filter('Inflation Data'!$C:$C,'Inflation Data'!$A:$A = M$1))) + 'Fund YTD Contributions'!M150,'Fund YTD Contributions'!M150)"),0.0)</f>
        <v>0</v>
      </c>
      <c r="N150" s="152">
        <f>IFERROR(__xludf.DUMMYFUNCTION("IFERROR(M150 * (1 + AVERAGE(Filter('Inflation Data'!$C:$C,'Inflation Data'!$A:$A = N$1))) + 'Fund YTD Contributions'!N150,'Fund YTD Contributions'!N150)"),0.0)</f>
        <v>0</v>
      </c>
      <c r="O150" s="152">
        <f>IFERROR(__xludf.DUMMYFUNCTION("IFERROR(N150 * (1 + AVERAGE(Filter('Inflation Data'!$C:$C,'Inflation Data'!$A:$A = O$1))) + 'Fund YTD Contributions'!O150,'Fund YTD Contributions'!O150)"),0.0)</f>
        <v>0</v>
      </c>
      <c r="P150" s="152">
        <f>IFERROR(__xludf.DUMMYFUNCTION("IFERROR(O150 * (1 + AVERAGE(Filter('Inflation Data'!$C:$C,'Inflation Data'!$A:$A = P$1))) + 'Fund YTD Contributions'!P150,'Fund YTD Contributions'!P150)"),0.0)</f>
        <v>0</v>
      </c>
      <c r="Q150" s="152">
        <f>IFERROR(__xludf.DUMMYFUNCTION("IFERROR(P150 * (1 + AVERAGE(Filter('Inflation Data'!$C:$C,'Inflation Data'!$A:$A = Q$1))) + 'Fund YTD Contributions'!Q150,'Fund YTD Contributions'!Q150)"),0.0)</f>
        <v>0</v>
      </c>
      <c r="R150" s="152">
        <f>IFERROR(__xludf.DUMMYFUNCTION("IFERROR(Q150 * (1 + AVERAGE(Filter('Inflation Data'!$C:$C,'Inflation Data'!$A:$A = R$1))) + 'Fund YTD Contributions'!R150,'Fund YTD Contributions'!R150)"),0.0)</f>
        <v>0</v>
      </c>
      <c r="S150" s="152">
        <f>IFERROR(__xludf.DUMMYFUNCTION("IFERROR(R150 * (1 + AVERAGE(Filter('Inflation Data'!$C:$C,'Inflation Data'!$A:$A = S$1))) + 'Fund YTD Contributions'!S150,'Fund YTD Contributions'!S150)"),0.0)</f>
        <v>0</v>
      </c>
      <c r="T150" s="152">
        <f>IFERROR(__xludf.DUMMYFUNCTION("IFERROR(S150 * (1 + AVERAGE(Filter('Inflation Data'!$C:$C,'Inflation Data'!$A:$A = T$1))) + 'Fund YTD Contributions'!T150,'Fund YTD Contributions'!T150)"),0.0)</f>
        <v>0</v>
      </c>
      <c r="U150" s="152">
        <f>IFERROR(__xludf.DUMMYFUNCTION("IFERROR(T150 * (1 + AVERAGE(Filter('Inflation Data'!$C:$C,'Inflation Data'!$A:$A = U$1))) + 'Fund YTD Contributions'!U150,'Fund YTD Contributions'!U150)"),0.0)</f>
        <v>0</v>
      </c>
      <c r="V150" s="152">
        <f>IFERROR(__xludf.DUMMYFUNCTION("IFERROR(U150 * (1 + AVERAGE(Filter('Inflation Data'!$C:$C,'Inflation Data'!$A:$A = V$1))) + 'Fund YTD Contributions'!V150,'Fund YTD Contributions'!V150)"),0.0)</f>
        <v>0</v>
      </c>
      <c r="W150" s="152">
        <f>IFERROR(__xludf.DUMMYFUNCTION("IFERROR(V150 * (1 + AVERAGE(Filter('Inflation Data'!$C:$C,'Inflation Data'!$A:$A = W$1))) + 'Fund YTD Contributions'!W150,'Fund YTD Contributions'!W150)"),0.0)</f>
        <v>0</v>
      </c>
      <c r="X150" s="152">
        <f>IFERROR(__xludf.DUMMYFUNCTION("IFERROR(W150 * (1 + AVERAGE(Filter('Inflation Data'!$C:$C,'Inflation Data'!$A:$A = X$1))) + 'Fund YTD Contributions'!X150,'Fund YTD Contributions'!X150)"),0.0)</f>
        <v>0</v>
      </c>
      <c r="Y150" s="152">
        <f>IFERROR(__xludf.DUMMYFUNCTION("IFERROR(X150 * (1 + AVERAGE(Filter('Inflation Data'!$C:$C,'Inflation Data'!$A:$A = Y$1))) + 'Fund YTD Contributions'!Y150,'Fund YTD Contributions'!Y150)"),0.0)</f>
        <v>0</v>
      </c>
      <c r="Z150" s="152">
        <f>IFERROR(__xludf.DUMMYFUNCTION("IFERROR(Y150 * (1 + AVERAGE(Filter('Inflation Data'!$C:$C,'Inflation Data'!$A:$A = Z$1))) + 'Fund YTD Contributions'!Z150,'Fund YTD Contributions'!Z150)"),0.0)</f>
        <v>0</v>
      </c>
      <c r="AA150" s="152"/>
      <c r="AB150" s="152"/>
      <c r="AC150" s="152"/>
      <c r="AD150" s="152"/>
      <c r="AE150" s="152"/>
      <c r="AF150" s="152"/>
    </row>
    <row r="151">
      <c r="A151" s="150" t="str">
        <f>'Endowed Funds'!A:A</f>
        <v/>
      </c>
      <c r="B151" s="152">
        <f>IFERROR(__xludf.DUMMYFUNCTION("IFERROR(A151 * (1 + AVERAGE(Filter('Inflation Data'!$C:$C,'Inflation Data'!$A:$A = B$1))) + 'Fund YTD Contributions'!B151,'Fund YTD Contributions'!B151)"),0.0)</f>
        <v>0</v>
      </c>
      <c r="C151" s="152">
        <f>IFERROR(__xludf.DUMMYFUNCTION("IFERROR(B151 * (1 + AVERAGE(Filter('Inflation Data'!$C:$C,'Inflation Data'!$A:$A = C$1))) + 'Fund YTD Contributions'!C151,'Fund YTD Contributions'!C151)"),0.0)</f>
        <v>0</v>
      </c>
      <c r="D151" s="152">
        <f>IFERROR(__xludf.DUMMYFUNCTION("IFERROR(C151 * (1 + AVERAGE(Filter('Inflation Data'!$C:$C,'Inflation Data'!$A:$A = D$1))) + 'Fund YTD Contributions'!D151,'Fund YTD Contributions'!D151)"),0.0)</f>
        <v>0</v>
      </c>
      <c r="E151" s="152">
        <f>IFERROR(__xludf.DUMMYFUNCTION("IFERROR(D151 * (1 + AVERAGE(Filter('Inflation Data'!$C:$C,'Inflation Data'!$A:$A = E$1))) + 'Fund YTD Contributions'!E151,'Fund YTD Contributions'!E151)"),0.0)</f>
        <v>0</v>
      </c>
      <c r="F151" s="152">
        <f>IFERROR(__xludf.DUMMYFUNCTION("IFERROR(E151 * (1 + AVERAGE(Filter('Inflation Data'!$C:$C,'Inflation Data'!$A:$A = F$1))) + 'Fund YTD Contributions'!F151,'Fund YTD Contributions'!F151)"),0.0)</f>
        <v>0</v>
      </c>
      <c r="G151" s="152">
        <f>IFERROR(__xludf.DUMMYFUNCTION("IFERROR(F151 * (1 + AVERAGE(Filter('Inflation Data'!$C:$C,'Inflation Data'!$A:$A = G$1))) + 'Fund YTD Contributions'!G151,'Fund YTD Contributions'!G151)"),0.0)</f>
        <v>0</v>
      </c>
      <c r="H151" s="152">
        <f>IFERROR(__xludf.DUMMYFUNCTION("IFERROR(G151 * (1 + AVERAGE(Filter('Inflation Data'!$C:$C,'Inflation Data'!$A:$A = H$1))) + 'Fund YTD Contributions'!H151,'Fund YTD Contributions'!H151)"),0.0)</f>
        <v>0</v>
      </c>
      <c r="I151" s="152">
        <f>IFERROR(__xludf.DUMMYFUNCTION("IFERROR(H151 * (1 + AVERAGE(Filter('Inflation Data'!$C:$C,'Inflation Data'!$A:$A = I$1))) + 'Fund YTD Contributions'!I151,'Fund YTD Contributions'!I151)"),0.0)</f>
        <v>0</v>
      </c>
      <c r="J151" s="152">
        <f>IFERROR(__xludf.DUMMYFUNCTION("IFERROR(I151 * (1 + AVERAGE(Filter('Inflation Data'!$C:$C,'Inflation Data'!$A:$A = J$1))) + 'Fund YTD Contributions'!J151,'Fund YTD Contributions'!J151)"),0.0)</f>
        <v>0</v>
      </c>
      <c r="K151" s="152">
        <f>IFERROR(__xludf.DUMMYFUNCTION("IFERROR(J151 * (1 + AVERAGE(Filter('Inflation Data'!$C:$C,'Inflation Data'!$A:$A = K$1))) + 'Fund YTD Contributions'!K151,'Fund YTD Contributions'!K151)"),0.0)</f>
        <v>0</v>
      </c>
      <c r="L151" s="152">
        <f>IFERROR(__xludf.DUMMYFUNCTION("IFERROR(K151 * (1 + AVERAGE(Filter('Inflation Data'!$C:$C,'Inflation Data'!$A:$A = L$1))) + 'Fund YTD Contributions'!L151,'Fund YTD Contributions'!L151)"),0.0)</f>
        <v>0</v>
      </c>
      <c r="M151" s="152">
        <f>IFERROR(__xludf.DUMMYFUNCTION("IFERROR(L151 * (1 + AVERAGE(Filter('Inflation Data'!$C:$C,'Inflation Data'!$A:$A = M$1))) + 'Fund YTD Contributions'!M151,'Fund YTD Contributions'!M151)"),0.0)</f>
        <v>0</v>
      </c>
      <c r="N151" s="152">
        <f>IFERROR(__xludf.DUMMYFUNCTION("IFERROR(M151 * (1 + AVERAGE(Filter('Inflation Data'!$C:$C,'Inflation Data'!$A:$A = N$1))) + 'Fund YTD Contributions'!N151,'Fund YTD Contributions'!N151)"),0.0)</f>
        <v>0</v>
      </c>
      <c r="O151" s="152">
        <f>IFERROR(__xludf.DUMMYFUNCTION("IFERROR(N151 * (1 + AVERAGE(Filter('Inflation Data'!$C:$C,'Inflation Data'!$A:$A = O$1))) + 'Fund YTD Contributions'!O151,'Fund YTD Contributions'!O151)"),0.0)</f>
        <v>0</v>
      </c>
      <c r="P151" s="152">
        <f>IFERROR(__xludf.DUMMYFUNCTION("IFERROR(O151 * (1 + AVERAGE(Filter('Inflation Data'!$C:$C,'Inflation Data'!$A:$A = P$1))) + 'Fund YTD Contributions'!P151,'Fund YTD Contributions'!P151)"),0.0)</f>
        <v>0</v>
      </c>
      <c r="Q151" s="152">
        <f>IFERROR(__xludf.DUMMYFUNCTION("IFERROR(P151 * (1 + AVERAGE(Filter('Inflation Data'!$C:$C,'Inflation Data'!$A:$A = Q$1))) + 'Fund YTD Contributions'!Q151,'Fund YTD Contributions'!Q151)"),0.0)</f>
        <v>0</v>
      </c>
      <c r="R151" s="152">
        <f>IFERROR(__xludf.DUMMYFUNCTION("IFERROR(Q151 * (1 + AVERAGE(Filter('Inflation Data'!$C:$C,'Inflation Data'!$A:$A = R$1))) + 'Fund YTD Contributions'!R151,'Fund YTD Contributions'!R151)"),0.0)</f>
        <v>0</v>
      </c>
      <c r="S151" s="152">
        <f>IFERROR(__xludf.DUMMYFUNCTION("IFERROR(R151 * (1 + AVERAGE(Filter('Inflation Data'!$C:$C,'Inflation Data'!$A:$A = S$1))) + 'Fund YTD Contributions'!S151,'Fund YTD Contributions'!S151)"),0.0)</f>
        <v>0</v>
      </c>
      <c r="T151" s="152">
        <f>IFERROR(__xludf.DUMMYFUNCTION("IFERROR(S151 * (1 + AVERAGE(Filter('Inflation Data'!$C:$C,'Inflation Data'!$A:$A = T$1))) + 'Fund YTD Contributions'!T151,'Fund YTD Contributions'!T151)"),0.0)</f>
        <v>0</v>
      </c>
      <c r="U151" s="152">
        <f>IFERROR(__xludf.DUMMYFUNCTION("IFERROR(T151 * (1 + AVERAGE(Filter('Inflation Data'!$C:$C,'Inflation Data'!$A:$A = U$1))) + 'Fund YTD Contributions'!U151,'Fund YTD Contributions'!U151)"),0.0)</f>
        <v>0</v>
      </c>
      <c r="V151" s="152">
        <f>IFERROR(__xludf.DUMMYFUNCTION("IFERROR(U151 * (1 + AVERAGE(Filter('Inflation Data'!$C:$C,'Inflation Data'!$A:$A = V$1))) + 'Fund YTD Contributions'!V151,'Fund YTD Contributions'!V151)"),0.0)</f>
        <v>0</v>
      </c>
      <c r="W151" s="152">
        <f>IFERROR(__xludf.DUMMYFUNCTION("IFERROR(V151 * (1 + AVERAGE(Filter('Inflation Data'!$C:$C,'Inflation Data'!$A:$A = W$1))) + 'Fund YTD Contributions'!W151,'Fund YTD Contributions'!W151)"),0.0)</f>
        <v>0</v>
      </c>
      <c r="X151" s="152">
        <f>IFERROR(__xludf.DUMMYFUNCTION("IFERROR(W151 * (1 + AVERAGE(Filter('Inflation Data'!$C:$C,'Inflation Data'!$A:$A = X$1))) + 'Fund YTD Contributions'!X151,'Fund YTD Contributions'!X151)"),0.0)</f>
        <v>0</v>
      </c>
      <c r="Y151" s="152">
        <f>IFERROR(__xludf.DUMMYFUNCTION("IFERROR(X151 * (1 + AVERAGE(Filter('Inflation Data'!$C:$C,'Inflation Data'!$A:$A = Y$1))) + 'Fund YTD Contributions'!Y151,'Fund YTD Contributions'!Y151)"),0.0)</f>
        <v>0</v>
      </c>
      <c r="Z151" s="152">
        <f>IFERROR(__xludf.DUMMYFUNCTION("IFERROR(Y151 * (1 + AVERAGE(Filter('Inflation Data'!$C:$C,'Inflation Data'!$A:$A = Z$1))) + 'Fund YTD Contributions'!Z151,'Fund YTD Contributions'!Z151)"),0.0)</f>
        <v>0</v>
      </c>
      <c r="AA151" s="152"/>
      <c r="AB151" s="152"/>
      <c r="AC151" s="152"/>
      <c r="AD151" s="152"/>
      <c r="AE151" s="152"/>
      <c r="AF151" s="152"/>
    </row>
    <row r="152">
      <c r="A152" s="150" t="str">
        <f>'Endowed Funds'!A:A</f>
        <v/>
      </c>
      <c r="B152" s="152">
        <f>IFERROR(__xludf.DUMMYFUNCTION("IFERROR(A152 * (1 + AVERAGE(Filter('Inflation Data'!$C:$C,'Inflation Data'!$A:$A = B$1))) + 'Fund YTD Contributions'!B152,'Fund YTD Contributions'!B152)"),0.0)</f>
        <v>0</v>
      </c>
      <c r="C152" s="152">
        <f>IFERROR(__xludf.DUMMYFUNCTION("IFERROR(B152 * (1 + AVERAGE(Filter('Inflation Data'!$C:$C,'Inflation Data'!$A:$A = C$1))) + 'Fund YTD Contributions'!C152,'Fund YTD Contributions'!C152)"),0.0)</f>
        <v>0</v>
      </c>
      <c r="D152" s="152">
        <f>IFERROR(__xludf.DUMMYFUNCTION("IFERROR(C152 * (1 + AVERAGE(Filter('Inflation Data'!$C:$C,'Inflation Data'!$A:$A = D$1))) + 'Fund YTD Contributions'!D152,'Fund YTD Contributions'!D152)"),0.0)</f>
        <v>0</v>
      </c>
      <c r="E152" s="152">
        <f>IFERROR(__xludf.DUMMYFUNCTION("IFERROR(D152 * (1 + AVERAGE(Filter('Inflation Data'!$C:$C,'Inflation Data'!$A:$A = E$1))) + 'Fund YTD Contributions'!E152,'Fund YTD Contributions'!E152)"),0.0)</f>
        <v>0</v>
      </c>
      <c r="F152" s="152">
        <f>IFERROR(__xludf.DUMMYFUNCTION("IFERROR(E152 * (1 + AVERAGE(Filter('Inflation Data'!$C:$C,'Inflation Data'!$A:$A = F$1))) + 'Fund YTD Contributions'!F152,'Fund YTD Contributions'!F152)"),0.0)</f>
        <v>0</v>
      </c>
      <c r="G152" s="152">
        <f>IFERROR(__xludf.DUMMYFUNCTION("IFERROR(F152 * (1 + AVERAGE(Filter('Inflation Data'!$C:$C,'Inflation Data'!$A:$A = G$1))) + 'Fund YTD Contributions'!G152,'Fund YTD Contributions'!G152)"),0.0)</f>
        <v>0</v>
      </c>
      <c r="H152" s="152">
        <f>IFERROR(__xludf.DUMMYFUNCTION("IFERROR(G152 * (1 + AVERAGE(Filter('Inflation Data'!$C:$C,'Inflation Data'!$A:$A = H$1))) + 'Fund YTD Contributions'!H152,'Fund YTD Contributions'!H152)"),0.0)</f>
        <v>0</v>
      </c>
      <c r="I152" s="152">
        <f>IFERROR(__xludf.DUMMYFUNCTION("IFERROR(H152 * (1 + AVERAGE(Filter('Inflation Data'!$C:$C,'Inflation Data'!$A:$A = I$1))) + 'Fund YTD Contributions'!I152,'Fund YTD Contributions'!I152)"),0.0)</f>
        <v>0</v>
      </c>
      <c r="J152" s="152">
        <f>IFERROR(__xludf.DUMMYFUNCTION("IFERROR(I152 * (1 + AVERAGE(Filter('Inflation Data'!$C:$C,'Inflation Data'!$A:$A = J$1))) + 'Fund YTD Contributions'!J152,'Fund YTD Contributions'!J152)"),0.0)</f>
        <v>0</v>
      </c>
      <c r="K152" s="152">
        <f>IFERROR(__xludf.DUMMYFUNCTION("IFERROR(J152 * (1 + AVERAGE(Filter('Inflation Data'!$C:$C,'Inflation Data'!$A:$A = K$1))) + 'Fund YTD Contributions'!K152,'Fund YTD Contributions'!K152)"),0.0)</f>
        <v>0</v>
      </c>
      <c r="L152" s="152">
        <f>IFERROR(__xludf.DUMMYFUNCTION("IFERROR(K152 * (1 + AVERAGE(Filter('Inflation Data'!$C:$C,'Inflation Data'!$A:$A = L$1))) + 'Fund YTD Contributions'!L152,'Fund YTD Contributions'!L152)"),0.0)</f>
        <v>0</v>
      </c>
      <c r="M152" s="152">
        <f>IFERROR(__xludf.DUMMYFUNCTION("IFERROR(L152 * (1 + AVERAGE(Filter('Inflation Data'!$C:$C,'Inflation Data'!$A:$A = M$1))) + 'Fund YTD Contributions'!M152,'Fund YTD Contributions'!M152)"),0.0)</f>
        <v>0</v>
      </c>
      <c r="N152" s="152">
        <f>IFERROR(__xludf.DUMMYFUNCTION("IFERROR(M152 * (1 + AVERAGE(Filter('Inflation Data'!$C:$C,'Inflation Data'!$A:$A = N$1))) + 'Fund YTD Contributions'!N152,'Fund YTD Contributions'!N152)"),0.0)</f>
        <v>0</v>
      </c>
      <c r="O152" s="152">
        <f>IFERROR(__xludf.DUMMYFUNCTION("IFERROR(N152 * (1 + AVERAGE(Filter('Inflation Data'!$C:$C,'Inflation Data'!$A:$A = O$1))) + 'Fund YTD Contributions'!O152,'Fund YTD Contributions'!O152)"),0.0)</f>
        <v>0</v>
      </c>
      <c r="P152" s="152">
        <f>IFERROR(__xludf.DUMMYFUNCTION("IFERROR(O152 * (1 + AVERAGE(Filter('Inflation Data'!$C:$C,'Inflation Data'!$A:$A = P$1))) + 'Fund YTD Contributions'!P152,'Fund YTD Contributions'!P152)"),0.0)</f>
        <v>0</v>
      </c>
      <c r="Q152" s="152">
        <f>IFERROR(__xludf.DUMMYFUNCTION("IFERROR(P152 * (1 + AVERAGE(Filter('Inflation Data'!$C:$C,'Inflation Data'!$A:$A = Q$1))) + 'Fund YTD Contributions'!Q152,'Fund YTD Contributions'!Q152)"),0.0)</f>
        <v>0</v>
      </c>
      <c r="R152" s="152">
        <f>IFERROR(__xludf.DUMMYFUNCTION("IFERROR(Q152 * (1 + AVERAGE(Filter('Inflation Data'!$C:$C,'Inflation Data'!$A:$A = R$1))) + 'Fund YTD Contributions'!R152,'Fund YTD Contributions'!R152)"),0.0)</f>
        <v>0</v>
      </c>
      <c r="S152" s="152">
        <f>IFERROR(__xludf.DUMMYFUNCTION("IFERROR(R152 * (1 + AVERAGE(Filter('Inflation Data'!$C:$C,'Inflation Data'!$A:$A = S$1))) + 'Fund YTD Contributions'!S152,'Fund YTD Contributions'!S152)"),0.0)</f>
        <v>0</v>
      </c>
      <c r="T152" s="152">
        <f>IFERROR(__xludf.DUMMYFUNCTION("IFERROR(S152 * (1 + AVERAGE(Filter('Inflation Data'!$C:$C,'Inflation Data'!$A:$A = T$1))) + 'Fund YTD Contributions'!T152,'Fund YTD Contributions'!T152)"),0.0)</f>
        <v>0</v>
      </c>
      <c r="U152" s="152">
        <f>IFERROR(__xludf.DUMMYFUNCTION("IFERROR(T152 * (1 + AVERAGE(Filter('Inflation Data'!$C:$C,'Inflation Data'!$A:$A = U$1))) + 'Fund YTD Contributions'!U152,'Fund YTD Contributions'!U152)"),0.0)</f>
        <v>0</v>
      </c>
      <c r="V152" s="152">
        <f>IFERROR(__xludf.DUMMYFUNCTION("IFERROR(U152 * (1 + AVERAGE(Filter('Inflation Data'!$C:$C,'Inflation Data'!$A:$A = V$1))) + 'Fund YTD Contributions'!V152,'Fund YTD Contributions'!V152)"),0.0)</f>
        <v>0</v>
      </c>
      <c r="W152" s="152">
        <f>IFERROR(__xludf.DUMMYFUNCTION("IFERROR(V152 * (1 + AVERAGE(Filter('Inflation Data'!$C:$C,'Inflation Data'!$A:$A = W$1))) + 'Fund YTD Contributions'!W152,'Fund YTD Contributions'!W152)"),0.0)</f>
        <v>0</v>
      </c>
      <c r="X152" s="152">
        <f>IFERROR(__xludf.DUMMYFUNCTION("IFERROR(W152 * (1 + AVERAGE(Filter('Inflation Data'!$C:$C,'Inflation Data'!$A:$A = X$1))) + 'Fund YTD Contributions'!X152,'Fund YTD Contributions'!X152)"),0.0)</f>
        <v>0</v>
      </c>
      <c r="Y152" s="152">
        <f>IFERROR(__xludf.DUMMYFUNCTION("IFERROR(X152 * (1 + AVERAGE(Filter('Inflation Data'!$C:$C,'Inflation Data'!$A:$A = Y$1))) + 'Fund YTD Contributions'!Y152,'Fund YTD Contributions'!Y152)"),0.0)</f>
        <v>0</v>
      </c>
      <c r="Z152" s="152">
        <f>IFERROR(__xludf.DUMMYFUNCTION("IFERROR(Y152 * (1 + AVERAGE(Filter('Inflation Data'!$C:$C,'Inflation Data'!$A:$A = Z$1))) + 'Fund YTD Contributions'!Z152,'Fund YTD Contributions'!Z152)"),0.0)</f>
        <v>0</v>
      </c>
      <c r="AA152" s="152"/>
      <c r="AB152" s="152"/>
      <c r="AC152" s="152"/>
      <c r="AD152" s="152"/>
      <c r="AE152" s="152"/>
      <c r="AF152" s="152"/>
    </row>
    <row r="153">
      <c r="A153" s="150" t="str">
        <f>'Endowed Funds'!A:A</f>
        <v/>
      </c>
      <c r="B153" s="152">
        <f>IFERROR(__xludf.DUMMYFUNCTION("IFERROR(A153 * (1 + AVERAGE(Filter('Inflation Data'!$C:$C,'Inflation Data'!$A:$A = B$1))) + 'Fund YTD Contributions'!B153,'Fund YTD Contributions'!B153)"),0.0)</f>
        <v>0</v>
      </c>
      <c r="C153" s="152">
        <f>IFERROR(__xludf.DUMMYFUNCTION("IFERROR(B153 * (1 + AVERAGE(Filter('Inflation Data'!$C:$C,'Inflation Data'!$A:$A = C$1))) + 'Fund YTD Contributions'!C153,'Fund YTD Contributions'!C153)"),0.0)</f>
        <v>0</v>
      </c>
      <c r="D153" s="152">
        <f>IFERROR(__xludf.DUMMYFUNCTION("IFERROR(C153 * (1 + AVERAGE(Filter('Inflation Data'!$C:$C,'Inflation Data'!$A:$A = D$1))) + 'Fund YTD Contributions'!D153,'Fund YTD Contributions'!D153)"),0.0)</f>
        <v>0</v>
      </c>
      <c r="E153" s="152">
        <f>IFERROR(__xludf.DUMMYFUNCTION("IFERROR(D153 * (1 + AVERAGE(Filter('Inflation Data'!$C:$C,'Inflation Data'!$A:$A = E$1))) + 'Fund YTD Contributions'!E153,'Fund YTD Contributions'!E153)"),0.0)</f>
        <v>0</v>
      </c>
      <c r="F153" s="152">
        <f>IFERROR(__xludf.DUMMYFUNCTION("IFERROR(E153 * (1 + AVERAGE(Filter('Inflation Data'!$C:$C,'Inflation Data'!$A:$A = F$1))) + 'Fund YTD Contributions'!F153,'Fund YTD Contributions'!F153)"),0.0)</f>
        <v>0</v>
      </c>
      <c r="G153" s="152">
        <f>IFERROR(__xludf.DUMMYFUNCTION("IFERROR(F153 * (1 + AVERAGE(Filter('Inflation Data'!$C:$C,'Inflation Data'!$A:$A = G$1))) + 'Fund YTD Contributions'!G153,'Fund YTD Contributions'!G153)"),0.0)</f>
        <v>0</v>
      </c>
      <c r="H153" s="152">
        <f>IFERROR(__xludf.DUMMYFUNCTION("IFERROR(G153 * (1 + AVERAGE(Filter('Inflation Data'!$C:$C,'Inflation Data'!$A:$A = H$1))) + 'Fund YTD Contributions'!H153,'Fund YTD Contributions'!H153)"),0.0)</f>
        <v>0</v>
      </c>
      <c r="I153" s="152">
        <f>IFERROR(__xludf.DUMMYFUNCTION("IFERROR(H153 * (1 + AVERAGE(Filter('Inflation Data'!$C:$C,'Inflation Data'!$A:$A = I$1))) + 'Fund YTD Contributions'!I153,'Fund YTD Contributions'!I153)"),0.0)</f>
        <v>0</v>
      </c>
      <c r="J153" s="152">
        <f>IFERROR(__xludf.DUMMYFUNCTION("IFERROR(I153 * (1 + AVERAGE(Filter('Inflation Data'!$C:$C,'Inflation Data'!$A:$A = J$1))) + 'Fund YTD Contributions'!J153,'Fund YTD Contributions'!J153)"),0.0)</f>
        <v>0</v>
      </c>
      <c r="K153" s="152">
        <f>IFERROR(__xludf.DUMMYFUNCTION("IFERROR(J153 * (1 + AVERAGE(Filter('Inflation Data'!$C:$C,'Inflation Data'!$A:$A = K$1))) + 'Fund YTD Contributions'!K153,'Fund YTD Contributions'!K153)"),0.0)</f>
        <v>0</v>
      </c>
      <c r="L153" s="152">
        <f>IFERROR(__xludf.DUMMYFUNCTION("IFERROR(K153 * (1 + AVERAGE(Filter('Inflation Data'!$C:$C,'Inflation Data'!$A:$A = L$1))) + 'Fund YTD Contributions'!L153,'Fund YTD Contributions'!L153)"),0.0)</f>
        <v>0</v>
      </c>
      <c r="M153" s="152">
        <f>IFERROR(__xludf.DUMMYFUNCTION("IFERROR(L153 * (1 + AVERAGE(Filter('Inflation Data'!$C:$C,'Inflation Data'!$A:$A = M$1))) + 'Fund YTD Contributions'!M153,'Fund YTD Contributions'!M153)"),0.0)</f>
        <v>0</v>
      </c>
      <c r="N153" s="152">
        <f>IFERROR(__xludf.DUMMYFUNCTION("IFERROR(M153 * (1 + AVERAGE(Filter('Inflation Data'!$C:$C,'Inflation Data'!$A:$A = N$1))) + 'Fund YTD Contributions'!N153,'Fund YTD Contributions'!N153)"),0.0)</f>
        <v>0</v>
      </c>
      <c r="O153" s="152">
        <f>IFERROR(__xludf.DUMMYFUNCTION("IFERROR(N153 * (1 + AVERAGE(Filter('Inflation Data'!$C:$C,'Inflation Data'!$A:$A = O$1))) + 'Fund YTD Contributions'!O153,'Fund YTD Contributions'!O153)"),0.0)</f>
        <v>0</v>
      </c>
      <c r="P153" s="152">
        <f>IFERROR(__xludf.DUMMYFUNCTION("IFERROR(O153 * (1 + AVERAGE(Filter('Inflation Data'!$C:$C,'Inflation Data'!$A:$A = P$1))) + 'Fund YTD Contributions'!P153,'Fund YTD Contributions'!P153)"),0.0)</f>
        <v>0</v>
      </c>
      <c r="Q153" s="152">
        <f>IFERROR(__xludf.DUMMYFUNCTION("IFERROR(P153 * (1 + AVERAGE(Filter('Inflation Data'!$C:$C,'Inflation Data'!$A:$A = Q$1))) + 'Fund YTD Contributions'!Q153,'Fund YTD Contributions'!Q153)"),0.0)</f>
        <v>0</v>
      </c>
      <c r="R153" s="152">
        <f>IFERROR(__xludf.DUMMYFUNCTION("IFERROR(Q153 * (1 + AVERAGE(Filter('Inflation Data'!$C:$C,'Inflation Data'!$A:$A = R$1))) + 'Fund YTD Contributions'!R153,'Fund YTD Contributions'!R153)"),0.0)</f>
        <v>0</v>
      </c>
      <c r="S153" s="152">
        <f>IFERROR(__xludf.DUMMYFUNCTION("IFERROR(R153 * (1 + AVERAGE(Filter('Inflation Data'!$C:$C,'Inflation Data'!$A:$A = S$1))) + 'Fund YTD Contributions'!S153,'Fund YTD Contributions'!S153)"),0.0)</f>
        <v>0</v>
      </c>
      <c r="T153" s="152">
        <f>IFERROR(__xludf.DUMMYFUNCTION("IFERROR(S153 * (1 + AVERAGE(Filter('Inflation Data'!$C:$C,'Inflation Data'!$A:$A = T$1))) + 'Fund YTD Contributions'!T153,'Fund YTD Contributions'!T153)"),0.0)</f>
        <v>0</v>
      </c>
      <c r="U153" s="152">
        <f>IFERROR(__xludf.DUMMYFUNCTION("IFERROR(T153 * (1 + AVERAGE(Filter('Inflation Data'!$C:$C,'Inflation Data'!$A:$A = U$1))) + 'Fund YTD Contributions'!U153,'Fund YTD Contributions'!U153)"),0.0)</f>
        <v>0</v>
      </c>
      <c r="V153" s="152">
        <f>IFERROR(__xludf.DUMMYFUNCTION("IFERROR(U153 * (1 + AVERAGE(Filter('Inflation Data'!$C:$C,'Inflation Data'!$A:$A = V$1))) + 'Fund YTD Contributions'!V153,'Fund YTD Contributions'!V153)"),0.0)</f>
        <v>0</v>
      </c>
      <c r="W153" s="152">
        <f>IFERROR(__xludf.DUMMYFUNCTION("IFERROR(V153 * (1 + AVERAGE(Filter('Inflation Data'!$C:$C,'Inflation Data'!$A:$A = W$1))) + 'Fund YTD Contributions'!W153,'Fund YTD Contributions'!W153)"),0.0)</f>
        <v>0</v>
      </c>
      <c r="X153" s="152">
        <f>IFERROR(__xludf.DUMMYFUNCTION("IFERROR(W153 * (1 + AVERAGE(Filter('Inflation Data'!$C:$C,'Inflation Data'!$A:$A = X$1))) + 'Fund YTD Contributions'!X153,'Fund YTD Contributions'!X153)"),0.0)</f>
        <v>0</v>
      </c>
      <c r="Y153" s="152">
        <f>IFERROR(__xludf.DUMMYFUNCTION("IFERROR(X153 * (1 + AVERAGE(Filter('Inflation Data'!$C:$C,'Inflation Data'!$A:$A = Y$1))) + 'Fund YTD Contributions'!Y153,'Fund YTD Contributions'!Y153)"),0.0)</f>
        <v>0</v>
      </c>
      <c r="Z153" s="152">
        <f>IFERROR(__xludf.DUMMYFUNCTION("IFERROR(Y153 * (1 + AVERAGE(Filter('Inflation Data'!$C:$C,'Inflation Data'!$A:$A = Z$1))) + 'Fund YTD Contributions'!Z153,'Fund YTD Contributions'!Z153)"),0.0)</f>
        <v>0</v>
      </c>
      <c r="AA153" s="152"/>
      <c r="AB153" s="152"/>
      <c r="AC153" s="152"/>
      <c r="AD153" s="152"/>
      <c r="AE153" s="152"/>
      <c r="AF153" s="152"/>
    </row>
    <row r="154">
      <c r="A154" s="150" t="str">
        <f>'Endowed Funds'!A:A</f>
        <v/>
      </c>
      <c r="B154" s="152">
        <f>IFERROR(__xludf.DUMMYFUNCTION("IFERROR(A154 * (1 + AVERAGE(Filter('Inflation Data'!$C:$C,'Inflation Data'!$A:$A = B$1))) + 'Fund YTD Contributions'!B154,'Fund YTD Contributions'!B154)"),0.0)</f>
        <v>0</v>
      </c>
      <c r="C154" s="152">
        <f>IFERROR(__xludf.DUMMYFUNCTION("IFERROR(B154 * (1 + AVERAGE(Filter('Inflation Data'!$C:$C,'Inflation Data'!$A:$A = C$1))) + 'Fund YTD Contributions'!C154,'Fund YTD Contributions'!C154)"),0.0)</f>
        <v>0</v>
      </c>
      <c r="D154" s="152">
        <f>IFERROR(__xludf.DUMMYFUNCTION("IFERROR(C154 * (1 + AVERAGE(Filter('Inflation Data'!$C:$C,'Inflation Data'!$A:$A = D$1))) + 'Fund YTD Contributions'!D154,'Fund YTD Contributions'!D154)"),0.0)</f>
        <v>0</v>
      </c>
      <c r="E154" s="152">
        <f>IFERROR(__xludf.DUMMYFUNCTION("IFERROR(D154 * (1 + AVERAGE(Filter('Inflation Data'!$C:$C,'Inflation Data'!$A:$A = E$1))) + 'Fund YTD Contributions'!E154,'Fund YTD Contributions'!E154)"),0.0)</f>
        <v>0</v>
      </c>
      <c r="F154" s="152">
        <f>IFERROR(__xludf.DUMMYFUNCTION("IFERROR(E154 * (1 + AVERAGE(Filter('Inflation Data'!$C:$C,'Inflation Data'!$A:$A = F$1))) + 'Fund YTD Contributions'!F154,'Fund YTD Contributions'!F154)"),0.0)</f>
        <v>0</v>
      </c>
      <c r="G154" s="152">
        <f>IFERROR(__xludf.DUMMYFUNCTION("IFERROR(F154 * (1 + AVERAGE(Filter('Inflation Data'!$C:$C,'Inflation Data'!$A:$A = G$1))) + 'Fund YTD Contributions'!G154,'Fund YTD Contributions'!G154)"),0.0)</f>
        <v>0</v>
      </c>
      <c r="H154" s="152">
        <f>IFERROR(__xludf.DUMMYFUNCTION("IFERROR(G154 * (1 + AVERAGE(Filter('Inflation Data'!$C:$C,'Inflation Data'!$A:$A = H$1))) + 'Fund YTD Contributions'!H154,'Fund YTD Contributions'!H154)"),0.0)</f>
        <v>0</v>
      </c>
      <c r="I154" s="152">
        <f>IFERROR(__xludf.DUMMYFUNCTION("IFERROR(H154 * (1 + AVERAGE(Filter('Inflation Data'!$C:$C,'Inflation Data'!$A:$A = I$1))) + 'Fund YTD Contributions'!I154,'Fund YTD Contributions'!I154)"),0.0)</f>
        <v>0</v>
      </c>
      <c r="J154" s="152">
        <f>IFERROR(__xludf.DUMMYFUNCTION("IFERROR(I154 * (1 + AVERAGE(Filter('Inflation Data'!$C:$C,'Inflation Data'!$A:$A = J$1))) + 'Fund YTD Contributions'!J154,'Fund YTD Contributions'!J154)"),0.0)</f>
        <v>0</v>
      </c>
      <c r="K154" s="152">
        <f>IFERROR(__xludf.DUMMYFUNCTION("IFERROR(J154 * (1 + AVERAGE(Filter('Inflation Data'!$C:$C,'Inflation Data'!$A:$A = K$1))) + 'Fund YTD Contributions'!K154,'Fund YTD Contributions'!K154)"),0.0)</f>
        <v>0</v>
      </c>
      <c r="L154" s="152">
        <f>IFERROR(__xludf.DUMMYFUNCTION("IFERROR(K154 * (1 + AVERAGE(Filter('Inflation Data'!$C:$C,'Inflation Data'!$A:$A = L$1))) + 'Fund YTD Contributions'!L154,'Fund YTD Contributions'!L154)"),0.0)</f>
        <v>0</v>
      </c>
      <c r="M154" s="152">
        <f>IFERROR(__xludf.DUMMYFUNCTION("IFERROR(L154 * (1 + AVERAGE(Filter('Inflation Data'!$C:$C,'Inflation Data'!$A:$A = M$1))) + 'Fund YTD Contributions'!M154,'Fund YTD Contributions'!M154)"),0.0)</f>
        <v>0</v>
      </c>
      <c r="N154" s="152">
        <f>IFERROR(__xludf.DUMMYFUNCTION("IFERROR(M154 * (1 + AVERAGE(Filter('Inflation Data'!$C:$C,'Inflation Data'!$A:$A = N$1))) + 'Fund YTD Contributions'!N154,'Fund YTD Contributions'!N154)"),0.0)</f>
        <v>0</v>
      </c>
      <c r="O154" s="152">
        <f>IFERROR(__xludf.DUMMYFUNCTION("IFERROR(N154 * (1 + AVERAGE(Filter('Inflation Data'!$C:$C,'Inflation Data'!$A:$A = O$1))) + 'Fund YTD Contributions'!O154,'Fund YTD Contributions'!O154)"),0.0)</f>
        <v>0</v>
      </c>
      <c r="P154" s="152">
        <f>IFERROR(__xludf.DUMMYFUNCTION("IFERROR(O154 * (1 + AVERAGE(Filter('Inflation Data'!$C:$C,'Inflation Data'!$A:$A = P$1))) + 'Fund YTD Contributions'!P154,'Fund YTD Contributions'!P154)"),0.0)</f>
        <v>0</v>
      </c>
      <c r="Q154" s="152">
        <f>IFERROR(__xludf.DUMMYFUNCTION("IFERROR(P154 * (1 + AVERAGE(Filter('Inflation Data'!$C:$C,'Inflation Data'!$A:$A = Q$1))) + 'Fund YTD Contributions'!Q154,'Fund YTD Contributions'!Q154)"),0.0)</f>
        <v>0</v>
      </c>
      <c r="R154" s="152">
        <f>IFERROR(__xludf.DUMMYFUNCTION("IFERROR(Q154 * (1 + AVERAGE(Filter('Inflation Data'!$C:$C,'Inflation Data'!$A:$A = R$1))) + 'Fund YTD Contributions'!R154,'Fund YTD Contributions'!R154)"),0.0)</f>
        <v>0</v>
      </c>
      <c r="S154" s="152">
        <f>IFERROR(__xludf.DUMMYFUNCTION("IFERROR(R154 * (1 + AVERAGE(Filter('Inflation Data'!$C:$C,'Inflation Data'!$A:$A = S$1))) + 'Fund YTD Contributions'!S154,'Fund YTD Contributions'!S154)"),0.0)</f>
        <v>0</v>
      </c>
      <c r="T154" s="152">
        <f>IFERROR(__xludf.DUMMYFUNCTION("IFERROR(S154 * (1 + AVERAGE(Filter('Inflation Data'!$C:$C,'Inflation Data'!$A:$A = T$1))) + 'Fund YTD Contributions'!T154,'Fund YTD Contributions'!T154)"),0.0)</f>
        <v>0</v>
      </c>
      <c r="U154" s="152">
        <f>IFERROR(__xludf.DUMMYFUNCTION("IFERROR(T154 * (1 + AVERAGE(Filter('Inflation Data'!$C:$C,'Inflation Data'!$A:$A = U$1))) + 'Fund YTD Contributions'!U154,'Fund YTD Contributions'!U154)"),0.0)</f>
        <v>0</v>
      </c>
      <c r="V154" s="152">
        <f>IFERROR(__xludf.DUMMYFUNCTION("IFERROR(U154 * (1 + AVERAGE(Filter('Inflation Data'!$C:$C,'Inflation Data'!$A:$A = V$1))) + 'Fund YTD Contributions'!V154,'Fund YTD Contributions'!V154)"),0.0)</f>
        <v>0</v>
      </c>
      <c r="W154" s="152">
        <f>IFERROR(__xludf.DUMMYFUNCTION("IFERROR(V154 * (1 + AVERAGE(Filter('Inflation Data'!$C:$C,'Inflation Data'!$A:$A = W$1))) + 'Fund YTD Contributions'!W154,'Fund YTD Contributions'!W154)"),0.0)</f>
        <v>0</v>
      </c>
      <c r="X154" s="152">
        <f>IFERROR(__xludf.DUMMYFUNCTION("IFERROR(W154 * (1 + AVERAGE(Filter('Inflation Data'!$C:$C,'Inflation Data'!$A:$A = X$1))) + 'Fund YTD Contributions'!X154,'Fund YTD Contributions'!X154)"),0.0)</f>
        <v>0</v>
      </c>
      <c r="Y154" s="152">
        <f>IFERROR(__xludf.DUMMYFUNCTION("IFERROR(X154 * (1 + AVERAGE(Filter('Inflation Data'!$C:$C,'Inflation Data'!$A:$A = Y$1))) + 'Fund YTD Contributions'!Y154,'Fund YTD Contributions'!Y154)"),0.0)</f>
        <v>0</v>
      </c>
      <c r="Z154" s="152">
        <f>IFERROR(__xludf.DUMMYFUNCTION("IFERROR(Y154 * (1 + AVERAGE(Filter('Inflation Data'!$C:$C,'Inflation Data'!$A:$A = Z$1))) + 'Fund YTD Contributions'!Z154,'Fund YTD Contributions'!Z154)"),0.0)</f>
        <v>0</v>
      </c>
      <c r="AA154" s="152"/>
      <c r="AB154" s="152"/>
      <c r="AC154" s="152"/>
      <c r="AD154" s="152"/>
      <c r="AE154" s="152"/>
      <c r="AF154" s="152"/>
    </row>
    <row r="155">
      <c r="A155" s="150" t="str">
        <f>'Endowed Funds'!A:A</f>
        <v/>
      </c>
      <c r="B155" s="152">
        <f>IFERROR(__xludf.DUMMYFUNCTION("IFERROR(A155 * (1 + AVERAGE(Filter('Inflation Data'!$C:$C,'Inflation Data'!$A:$A = B$1))) + 'Fund YTD Contributions'!B155,'Fund YTD Contributions'!B155)"),0.0)</f>
        <v>0</v>
      </c>
      <c r="C155" s="152">
        <f>IFERROR(__xludf.DUMMYFUNCTION("IFERROR(B155 * (1 + AVERAGE(Filter('Inflation Data'!$C:$C,'Inflation Data'!$A:$A = C$1))) + 'Fund YTD Contributions'!C155,'Fund YTD Contributions'!C155)"),0.0)</f>
        <v>0</v>
      </c>
      <c r="D155" s="152">
        <f>IFERROR(__xludf.DUMMYFUNCTION("IFERROR(C155 * (1 + AVERAGE(Filter('Inflation Data'!$C:$C,'Inflation Data'!$A:$A = D$1))) + 'Fund YTD Contributions'!D155,'Fund YTD Contributions'!D155)"),0.0)</f>
        <v>0</v>
      </c>
      <c r="E155" s="152">
        <f>IFERROR(__xludf.DUMMYFUNCTION("IFERROR(D155 * (1 + AVERAGE(Filter('Inflation Data'!$C:$C,'Inflation Data'!$A:$A = E$1))) + 'Fund YTD Contributions'!E155,'Fund YTD Contributions'!E155)"),0.0)</f>
        <v>0</v>
      </c>
      <c r="F155" s="152">
        <f>IFERROR(__xludf.DUMMYFUNCTION("IFERROR(E155 * (1 + AVERAGE(Filter('Inflation Data'!$C:$C,'Inflation Data'!$A:$A = F$1))) + 'Fund YTD Contributions'!F155,'Fund YTD Contributions'!F155)"),0.0)</f>
        <v>0</v>
      </c>
      <c r="G155" s="152">
        <f>IFERROR(__xludf.DUMMYFUNCTION("IFERROR(F155 * (1 + AVERAGE(Filter('Inflation Data'!$C:$C,'Inflation Data'!$A:$A = G$1))) + 'Fund YTD Contributions'!G155,'Fund YTD Contributions'!G155)"),0.0)</f>
        <v>0</v>
      </c>
      <c r="H155" s="152">
        <f>IFERROR(__xludf.DUMMYFUNCTION("IFERROR(G155 * (1 + AVERAGE(Filter('Inflation Data'!$C:$C,'Inflation Data'!$A:$A = H$1))) + 'Fund YTD Contributions'!H155,'Fund YTD Contributions'!H155)"),0.0)</f>
        <v>0</v>
      </c>
      <c r="I155" s="152">
        <f>IFERROR(__xludf.DUMMYFUNCTION("IFERROR(H155 * (1 + AVERAGE(Filter('Inflation Data'!$C:$C,'Inflation Data'!$A:$A = I$1))) + 'Fund YTD Contributions'!I155,'Fund YTD Contributions'!I155)"),0.0)</f>
        <v>0</v>
      </c>
      <c r="J155" s="152">
        <f>IFERROR(__xludf.DUMMYFUNCTION("IFERROR(I155 * (1 + AVERAGE(Filter('Inflation Data'!$C:$C,'Inflation Data'!$A:$A = J$1))) + 'Fund YTD Contributions'!J155,'Fund YTD Contributions'!J155)"),0.0)</f>
        <v>0</v>
      </c>
      <c r="K155" s="152">
        <f>IFERROR(__xludf.DUMMYFUNCTION("IFERROR(J155 * (1 + AVERAGE(Filter('Inflation Data'!$C:$C,'Inflation Data'!$A:$A = K$1))) + 'Fund YTD Contributions'!K155,'Fund YTD Contributions'!K155)"),0.0)</f>
        <v>0</v>
      </c>
      <c r="L155" s="152">
        <f>IFERROR(__xludf.DUMMYFUNCTION("IFERROR(K155 * (1 + AVERAGE(Filter('Inflation Data'!$C:$C,'Inflation Data'!$A:$A = L$1))) + 'Fund YTD Contributions'!L155,'Fund YTD Contributions'!L155)"),0.0)</f>
        <v>0</v>
      </c>
      <c r="M155" s="152">
        <f>IFERROR(__xludf.DUMMYFUNCTION("IFERROR(L155 * (1 + AVERAGE(Filter('Inflation Data'!$C:$C,'Inflation Data'!$A:$A = M$1))) + 'Fund YTD Contributions'!M155,'Fund YTD Contributions'!M155)"),0.0)</f>
        <v>0</v>
      </c>
      <c r="N155" s="152">
        <f>IFERROR(__xludf.DUMMYFUNCTION("IFERROR(M155 * (1 + AVERAGE(Filter('Inflation Data'!$C:$C,'Inflation Data'!$A:$A = N$1))) + 'Fund YTD Contributions'!N155,'Fund YTD Contributions'!N155)"),0.0)</f>
        <v>0</v>
      </c>
      <c r="O155" s="152">
        <f>IFERROR(__xludf.DUMMYFUNCTION("IFERROR(N155 * (1 + AVERAGE(Filter('Inflation Data'!$C:$C,'Inflation Data'!$A:$A = O$1))) + 'Fund YTD Contributions'!O155,'Fund YTD Contributions'!O155)"),0.0)</f>
        <v>0</v>
      </c>
      <c r="P155" s="152">
        <f>IFERROR(__xludf.DUMMYFUNCTION("IFERROR(O155 * (1 + AVERAGE(Filter('Inflation Data'!$C:$C,'Inflation Data'!$A:$A = P$1))) + 'Fund YTD Contributions'!P155,'Fund YTD Contributions'!P155)"),0.0)</f>
        <v>0</v>
      </c>
      <c r="Q155" s="152">
        <f>IFERROR(__xludf.DUMMYFUNCTION("IFERROR(P155 * (1 + AVERAGE(Filter('Inflation Data'!$C:$C,'Inflation Data'!$A:$A = Q$1))) + 'Fund YTD Contributions'!Q155,'Fund YTD Contributions'!Q155)"),0.0)</f>
        <v>0</v>
      </c>
      <c r="R155" s="152">
        <f>IFERROR(__xludf.DUMMYFUNCTION("IFERROR(Q155 * (1 + AVERAGE(Filter('Inflation Data'!$C:$C,'Inflation Data'!$A:$A = R$1))) + 'Fund YTD Contributions'!R155,'Fund YTD Contributions'!R155)"),0.0)</f>
        <v>0</v>
      </c>
      <c r="S155" s="152">
        <f>IFERROR(__xludf.DUMMYFUNCTION("IFERROR(R155 * (1 + AVERAGE(Filter('Inflation Data'!$C:$C,'Inflation Data'!$A:$A = S$1))) + 'Fund YTD Contributions'!S155,'Fund YTD Contributions'!S155)"),0.0)</f>
        <v>0</v>
      </c>
      <c r="T155" s="152">
        <f>IFERROR(__xludf.DUMMYFUNCTION("IFERROR(S155 * (1 + AVERAGE(Filter('Inflation Data'!$C:$C,'Inflation Data'!$A:$A = T$1))) + 'Fund YTD Contributions'!T155,'Fund YTD Contributions'!T155)"),0.0)</f>
        <v>0</v>
      </c>
      <c r="U155" s="152">
        <f>IFERROR(__xludf.DUMMYFUNCTION("IFERROR(T155 * (1 + AVERAGE(Filter('Inflation Data'!$C:$C,'Inflation Data'!$A:$A = U$1))) + 'Fund YTD Contributions'!U155,'Fund YTD Contributions'!U155)"),0.0)</f>
        <v>0</v>
      </c>
      <c r="V155" s="152">
        <f>IFERROR(__xludf.DUMMYFUNCTION("IFERROR(U155 * (1 + AVERAGE(Filter('Inflation Data'!$C:$C,'Inflation Data'!$A:$A = V$1))) + 'Fund YTD Contributions'!V155,'Fund YTD Contributions'!V155)"),0.0)</f>
        <v>0</v>
      </c>
      <c r="W155" s="152">
        <f>IFERROR(__xludf.DUMMYFUNCTION("IFERROR(V155 * (1 + AVERAGE(Filter('Inflation Data'!$C:$C,'Inflation Data'!$A:$A = W$1))) + 'Fund YTD Contributions'!W155,'Fund YTD Contributions'!W155)"),0.0)</f>
        <v>0</v>
      </c>
      <c r="X155" s="152">
        <f>IFERROR(__xludf.DUMMYFUNCTION("IFERROR(W155 * (1 + AVERAGE(Filter('Inflation Data'!$C:$C,'Inflation Data'!$A:$A = X$1))) + 'Fund YTD Contributions'!X155,'Fund YTD Contributions'!X155)"),0.0)</f>
        <v>0</v>
      </c>
      <c r="Y155" s="152">
        <f>IFERROR(__xludf.DUMMYFUNCTION("IFERROR(X155 * (1 + AVERAGE(Filter('Inflation Data'!$C:$C,'Inflation Data'!$A:$A = Y$1))) + 'Fund YTD Contributions'!Y155,'Fund YTD Contributions'!Y155)"),0.0)</f>
        <v>0</v>
      </c>
      <c r="Z155" s="152">
        <f>IFERROR(__xludf.DUMMYFUNCTION("IFERROR(Y155 * (1 + AVERAGE(Filter('Inflation Data'!$C:$C,'Inflation Data'!$A:$A = Z$1))) + 'Fund YTD Contributions'!Z155,'Fund YTD Contributions'!Z155)"),0.0)</f>
        <v>0</v>
      </c>
      <c r="AA155" s="152"/>
      <c r="AB155" s="152"/>
      <c r="AC155" s="152"/>
      <c r="AD155" s="152"/>
      <c r="AE155" s="152"/>
      <c r="AF155" s="152"/>
    </row>
    <row r="156">
      <c r="A156" s="150" t="str">
        <f>'Endowed Funds'!A:A</f>
        <v/>
      </c>
      <c r="B156" s="152">
        <f>IFERROR(__xludf.DUMMYFUNCTION("IFERROR(A156 * (1 + AVERAGE(Filter('Inflation Data'!$C:$C,'Inflation Data'!$A:$A = B$1))) + 'Fund YTD Contributions'!B156,'Fund YTD Contributions'!B156)"),0.0)</f>
        <v>0</v>
      </c>
      <c r="C156" s="152">
        <f>IFERROR(__xludf.DUMMYFUNCTION("IFERROR(B156 * (1 + AVERAGE(Filter('Inflation Data'!$C:$C,'Inflation Data'!$A:$A = C$1))) + 'Fund YTD Contributions'!C156,'Fund YTD Contributions'!C156)"),0.0)</f>
        <v>0</v>
      </c>
      <c r="D156" s="152">
        <f>IFERROR(__xludf.DUMMYFUNCTION("IFERROR(C156 * (1 + AVERAGE(Filter('Inflation Data'!$C:$C,'Inflation Data'!$A:$A = D$1))) + 'Fund YTD Contributions'!D156,'Fund YTD Contributions'!D156)"),0.0)</f>
        <v>0</v>
      </c>
      <c r="E156" s="152">
        <f>IFERROR(__xludf.DUMMYFUNCTION("IFERROR(D156 * (1 + AVERAGE(Filter('Inflation Data'!$C:$C,'Inflation Data'!$A:$A = E$1))) + 'Fund YTD Contributions'!E156,'Fund YTD Contributions'!E156)"),0.0)</f>
        <v>0</v>
      </c>
      <c r="F156" s="152">
        <f>IFERROR(__xludf.DUMMYFUNCTION("IFERROR(E156 * (1 + AVERAGE(Filter('Inflation Data'!$C:$C,'Inflation Data'!$A:$A = F$1))) + 'Fund YTD Contributions'!F156,'Fund YTD Contributions'!F156)"),0.0)</f>
        <v>0</v>
      </c>
      <c r="G156" s="152">
        <f>IFERROR(__xludf.DUMMYFUNCTION("IFERROR(F156 * (1 + AVERAGE(Filter('Inflation Data'!$C:$C,'Inflation Data'!$A:$A = G$1))) + 'Fund YTD Contributions'!G156,'Fund YTD Contributions'!G156)"),0.0)</f>
        <v>0</v>
      </c>
      <c r="H156" s="152">
        <f>IFERROR(__xludf.DUMMYFUNCTION("IFERROR(G156 * (1 + AVERAGE(Filter('Inflation Data'!$C:$C,'Inflation Data'!$A:$A = H$1))) + 'Fund YTD Contributions'!H156,'Fund YTD Contributions'!H156)"),0.0)</f>
        <v>0</v>
      </c>
      <c r="I156" s="152">
        <f>IFERROR(__xludf.DUMMYFUNCTION("IFERROR(H156 * (1 + AVERAGE(Filter('Inflation Data'!$C:$C,'Inflation Data'!$A:$A = I$1))) + 'Fund YTD Contributions'!I156,'Fund YTD Contributions'!I156)"),0.0)</f>
        <v>0</v>
      </c>
      <c r="J156" s="152">
        <f>IFERROR(__xludf.DUMMYFUNCTION("IFERROR(I156 * (1 + AVERAGE(Filter('Inflation Data'!$C:$C,'Inflation Data'!$A:$A = J$1))) + 'Fund YTD Contributions'!J156,'Fund YTD Contributions'!J156)"),0.0)</f>
        <v>0</v>
      </c>
      <c r="K156" s="152">
        <f>IFERROR(__xludf.DUMMYFUNCTION("IFERROR(J156 * (1 + AVERAGE(Filter('Inflation Data'!$C:$C,'Inflation Data'!$A:$A = K$1))) + 'Fund YTD Contributions'!K156,'Fund YTD Contributions'!K156)"),0.0)</f>
        <v>0</v>
      </c>
      <c r="L156" s="152">
        <f>IFERROR(__xludf.DUMMYFUNCTION("IFERROR(K156 * (1 + AVERAGE(Filter('Inflation Data'!$C:$C,'Inflation Data'!$A:$A = L$1))) + 'Fund YTD Contributions'!L156,'Fund YTD Contributions'!L156)"),0.0)</f>
        <v>0</v>
      </c>
      <c r="M156" s="152">
        <f>IFERROR(__xludf.DUMMYFUNCTION("IFERROR(L156 * (1 + AVERAGE(Filter('Inflation Data'!$C:$C,'Inflation Data'!$A:$A = M$1))) + 'Fund YTD Contributions'!M156,'Fund YTD Contributions'!M156)"),0.0)</f>
        <v>0</v>
      </c>
      <c r="N156" s="152">
        <f>IFERROR(__xludf.DUMMYFUNCTION("IFERROR(M156 * (1 + AVERAGE(Filter('Inflation Data'!$C:$C,'Inflation Data'!$A:$A = N$1))) + 'Fund YTD Contributions'!N156,'Fund YTD Contributions'!N156)"),0.0)</f>
        <v>0</v>
      </c>
      <c r="O156" s="152">
        <f>IFERROR(__xludf.DUMMYFUNCTION("IFERROR(N156 * (1 + AVERAGE(Filter('Inflation Data'!$C:$C,'Inflation Data'!$A:$A = O$1))) + 'Fund YTD Contributions'!O156,'Fund YTD Contributions'!O156)"),0.0)</f>
        <v>0</v>
      </c>
      <c r="P156" s="152">
        <f>IFERROR(__xludf.DUMMYFUNCTION("IFERROR(O156 * (1 + AVERAGE(Filter('Inflation Data'!$C:$C,'Inflation Data'!$A:$A = P$1))) + 'Fund YTD Contributions'!P156,'Fund YTD Contributions'!P156)"),0.0)</f>
        <v>0</v>
      </c>
      <c r="Q156" s="152">
        <f>IFERROR(__xludf.DUMMYFUNCTION("IFERROR(P156 * (1 + AVERAGE(Filter('Inflation Data'!$C:$C,'Inflation Data'!$A:$A = Q$1))) + 'Fund YTD Contributions'!Q156,'Fund YTD Contributions'!Q156)"),0.0)</f>
        <v>0</v>
      </c>
      <c r="R156" s="152">
        <f>IFERROR(__xludf.DUMMYFUNCTION("IFERROR(Q156 * (1 + AVERAGE(Filter('Inflation Data'!$C:$C,'Inflation Data'!$A:$A = R$1))) + 'Fund YTD Contributions'!R156,'Fund YTD Contributions'!R156)"),0.0)</f>
        <v>0</v>
      </c>
      <c r="S156" s="152">
        <f>IFERROR(__xludf.DUMMYFUNCTION("IFERROR(R156 * (1 + AVERAGE(Filter('Inflation Data'!$C:$C,'Inflation Data'!$A:$A = S$1))) + 'Fund YTD Contributions'!S156,'Fund YTD Contributions'!S156)"),0.0)</f>
        <v>0</v>
      </c>
      <c r="T156" s="152">
        <f>IFERROR(__xludf.DUMMYFUNCTION("IFERROR(S156 * (1 + AVERAGE(Filter('Inflation Data'!$C:$C,'Inflation Data'!$A:$A = T$1))) + 'Fund YTD Contributions'!T156,'Fund YTD Contributions'!T156)"),0.0)</f>
        <v>0</v>
      </c>
      <c r="U156" s="152">
        <f>IFERROR(__xludf.DUMMYFUNCTION("IFERROR(T156 * (1 + AVERAGE(Filter('Inflation Data'!$C:$C,'Inflation Data'!$A:$A = U$1))) + 'Fund YTD Contributions'!U156,'Fund YTD Contributions'!U156)"),0.0)</f>
        <v>0</v>
      </c>
      <c r="V156" s="152">
        <f>IFERROR(__xludf.DUMMYFUNCTION("IFERROR(U156 * (1 + AVERAGE(Filter('Inflation Data'!$C:$C,'Inflation Data'!$A:$A = V$1))) + 'Fund YTD Contributions'!V156,'Fund YTD Contributions'!V156)"),0.0)</f>
        <v>0</v>
      </c>
      <c r="W156" s="152">
        <f>IFERROR(__xludf.DUMMYFUNCTION("IFERROR(V156 * (1 + AVERAGE(Filter('Inflation Data'!$C:$C,'Inflation Data'!$A:$A = W$1))) + 'Fund YTD Contributions'!W156,'Fund YTD Contributions'!W156)"),0.0)</f>
        <v>0</v>
      </c>
      <c r="X156" s="152">
        <f>IFERROR(__xludf.DUMMYFUNCTION("IFERROR(W156 * (1 + AVERAGE(Filter('Inflation Data'!$C:$C,'Inflation Data'!$A:$A = X$1))) + 'Fund YTD Contributions'!X156,'Fund YTD Contributions'!X156)"),0.0)</f>
        <v>0</v>
      </c>
      <c r="Y156" s="152">
        <f>IFERROR(__xludf.DUMMYFUNCTION("IFERROR(X156 * (1 + AVERAGE(Filter('Inflation Data'!$C:$C,'Inflation Data'!$A:$A = Y$1))) + 'Fund YTD Contributions'!Y156,'Fund YTD Contributions'!Y156)"),0.0)</f>
        <v>0</v>
      </c>
      <c r="Z156" s="152">
        <f>IFERROR(__xludf.DUMMYFUNCTION("IFERROR(Y156 * (1 + AVERAGE(Filter('Inflation Data'!$C:$C,'Inflation Data'!$A:$A = Z$1))) + 'Fund YTD Contributions'!Z156,'Fund YTD Contributions'!Z156)"),0.0)</f>
        <v>0</v>
      </c>
      <c r="AA156" s="152"/>
      <c r="AB156" s="152"/>
      <c r="AC156" s="152"/>
      <c r="AD156" s="152"/>
      <c r="AE156" s="152"/>
      <c r="AF156" s="152"/>
    </row>
    <row r="157">
      <c r="A157" s="150" t="str">
        <f>'Endowed Funds'!A:A</f>
        <v/>
      </c>
      <c r="B157" s="152">
        <f>IFERROR(__xludf.DUMMYFUNCTION("IFERROR(A157 * (1 + AVERAGE(Filter('Inflation Data'!$C:$C,'Inflation Data'!$A:$A = B$1))) + 'Fund YTD Contributions'!B157,'Fund YTD Contributions'!B157)"),0.0)</f>
        <v>0</v>
      </c>
      <c r="C157" s="152">
        <f>IFERROR(__xludf.DUMMYFUNCTION("IFERROR(B157 * (1 + AVERAGE(Filter('Inflation Data'!$C:$C,'Inflation Data'!$A:$A = C$1))) + 'Fund YTD Contributions'!C157,'Fund YTD Contributions'!C157)"),0.0)</f>
        <v>0</v>
      </c>
      <c r="D157" s="152">
        <f>IFERROR(__xludf.DUMMYFUNCTION("IFERROR(C157 * (1 + AVERAGE(Filter('Inflation Data'!$C:$C,'Inflation Data'!$A:$A = D$1))) + 'Fund YTD Contributions'!D157,'Fund YTD Contributions'!D157)"),0.0)</f>
        <v>0</v>
      </c>
      <c r="E157" s="152">
        <f>IFERROR(__xludf.DUMMYFUNCTION("IFERROR(D157 * (1 + AVERAGE(Filter('Inflation Data'!$C:$C,'Inflation Data'!$A:$A = E$1))) + 'Fund YTD Contributions'!E157,'Fund YTD Contributions'!E157)"),0.0)</f>
        <v>0</v>
      </c>
      <c r="F157" s="152">
        <f>IFERROR(__xludf.DUMMYFUNCTION("IFERROR(E157 * (1 + AVERAGE(Filter('Inflation Data'!$C:$C,'Inflation Data'!$A:$A = F$1))) + 'Fund YTD Contributions'!F157,'Fund YTD Contributions'!F157)"),0.0)</f>
        <v>0</v>
      </c>
      <c r="G157" s="152">
        <f>IFERROR(__xludf.DUMMYFUNCTION("IFERROR(F157 * (1 + AVERAGE(Filter('Inflation Data'!$C:$C,'Inflation Data'!$A:$A = G$1))) + 'Fund YTD Contributions'!G157,'Fund YTD Contributions'!G157)"),0.0)</f>
        <v>0</v>
      </c>
      <c r="H157" s="152">
        <f>IFERROR(__xludf.DUMMYFUNCTION("IFERROR(G157 * (1 + AVERAGE(Filter('Inflation Data'!$C:$C,'Inflation Data'!$A:$A = H$1))) + 'Fund YTD Contributions'!H157,'Fund YTD Contributions'!H157)"),0.0)</f>
        <v>0</v>
      </c>
      <c r="I157" s="152">
        <f>IFERROR(__xludf.DUMMYFUNCTION("IFERROR(H157 * (1 + AVERAGE(Filter('Inflation Data'!$C:$C,'Inflation Data'!$A:$A = I$1))) + 'Fund YTD Contributions'!I157,'Fund YTD Contributions'!I157)"),0.0)</f>
        <v>0</v>
      </c>
      <c r="J157" s="152">
        <f>IFERROR(__xludf.DUMMYFUNCTION("IFERROR(I157 * (1 + AVERAGE(Filter('Inflation Data'!$C:$C,'Inflation Data'!$A:$A = J$1))) + 'Fund YTD Contributions'!J157,'Fund YTD Contributions'!J157)"),0.0)</f>
        <v>0</v>
      </c>
      <c r="K157" s="152">
        <f>IFERROR(__xludf.DUMMYFUNCTION("IFERROR(J157 * (1 + AVERAGE(Filter('Inflation Data'!$C:$C,'Inflation Data'!$A:$A = K$1))) + 'Fund YTD Contributions'!K157,'Fund YTD Contributions'!K157)"),0.0)</f>
        <v>0</v>
      </c>
      <c r="L157" s="152">
        <f>IFERROR(__xludf.DUMMYFUNCTION("IFERROR(K157 * (1 + AVERAGE(Filter('Inflation Data'!$C:$C,'Inflation Data'!$A:$A = L$1))) + 'Fund YTD Contributions'!L157,'Fund YTD Contributions'!L157)"),0.0)</f>
        <v>0</v>
      </c>
      <c r="M157" s="152">
        <f>IFERROR(__xludf.DUMMYFUNCTION("IFERROR(L157 * (1 + AVERAGE(Filter('Inflation Data'!$C:$C,'Inflation Data'!$A:$A = M$1))) + 'Fund YTD Contributions'!M157,'Fund YTD Contributions'!M157)"),0.0)</f>
        <v>0</v>
      </c>
      <c r="N157" s="152">
        <f>IFERROR(__xludf.DUMMYFUNCTION("IFERROR(M157 * (1 + AVERAGE(Filter('Inflation Data'!$C:$C,'Inflation Data'!$A:$A = N$1))) + 'Fund YTD Contributions'!N157,'Fund YTD Contributions'!N157)"),0.0)</f>
        <v>0</v>
      </c>
      <c r="O157" s="152">
        <f>IFERROR(__xludf.DUMMYFUNCTION("IFERROR(N157 * (1 + AVERAGE(Filter('Inflation Data'!$C:$C,'Inflation Data'!$A:$A = O$1))) + 'Fund YTD Contributions'!O157,'Fund YTD Contributions'!O157)"),0.0)</f>
        <v>0</v>
      </c>
      <c r="P157" s="152">
        <f>IFERROR(__xludf.DUMMYFUNCTION("IFERROR(O157 * (1 + AVERAGE(Filter('Inflation Data'!$C:$C,'Inflation Data'!$A:$A = P$1))) + 'Fund YTD Contributions'!P157,'Fund YTD Contributions'!P157)"),0.0)</f>
        <v>0</v>
      </c>
      <c r="Q157" s="152">
        <f>IFERROR(__xludf.DUMMYFUNCTION("IFERROR(P157 * (1 + AVERAGE(Filter('Inflation Data'!$C:$C,'Inflation Data'!$A:$A = Q$1))) + 'Fund YTD Contributions'!Q157,'Fund YTD Contributions'!Q157)"),0.0)</f>
        <v>0</v>
      </c>
      <c r="R157" s="152">
        <f>IFERROR(__xludf.DUMMYFUNCTION("IFERROR(Q157 * (1 + AVERAGE(Filter('Inflation Data'!$C:$C,'Inflation Data'!$A:$A = R$1))) + 'Fund YTD Contributions'!R157,'Fund YTD Contributions'!R157)"),0.0)</f>
        <v>0</v>
      </c>
      <c r="S157" s="152">
        <f>IFERROR(__xludf.DUMMYFUNCTION("IFERROR(R157 * (1 + AVERAGE(Filter('Inflation Data'!$C:$C,'Inflation Data'!$A:$A = S$1))) + 'Fund YTD Contributions'!S157,'Fund YTD Contributions'!S157)"),0.0)</f>
        <v>0</v>
      </c>
      <c r="T157" s="152">
        <f>IFERROR(__xludf.DUMMYFUNCTION("IFERROR(S157 * (1 + AVERAGE(Filter('Inflation Data'!$C:$C,'Inflation Data'!$A:$A = T$1))) + 'Fund YTD Contributions'!T157,'Fund YTD Contributions'!T157)"),0.0)</f>
        <v>0</v>
      </c>
      <c r="U157" s="152">
        <f>IFERROR(__xludf.DUMMYFUNCTION("IFERROR(T157 * (1 + AVERAGE(Filter('Inflation Data'!$C:$C,'Inflation Data'!$A:$A = U$1))) + 'Fund YTD Contributions'!U157,'Fund YTD Contributions'!U157)"),0.0)</f>
        <v>0</v>
      </c>
      <c r="V157" s="152">
        <f>IFERROR(__xludf.DUMMYFUNCTION("IFERROR(U157 * (1 + AVERAGE(Filter('Inflation Data'!$C:$C,'Inflation Data'!$A:$A = V$1))) + 'Fund YTD Contributions'!V157,'Fund YTD Contributions'!V157)"),0.0)</f>
        <v>0</v>
      </c>
      <c r="W157" s="152">
        <f>IFERROR(__xludf.DUMMYFUNCTION("IFERROR(V157 * (1 + AVERAGE(Filter('Inflation Data'!$C:$C,'Inflation Data'!$A:$A = W$1))) + 'Fund YTD Contributions'!W157,'Fund YTD Contributions'!W157)"),0.0)</f>
        <v>0</v>
      </c>
      <c r="X157" s="152">
        <f>IFERROR(__xludf.DUMMYFUNCTION("IFERROR(W157 * (1 + AVERAGE(Filter('Inflation Data'!$C:$C,'Inflation Data'!$A:$A = X$1))) + 'Fund YTD Contributions'!X157,'Fund YTD Contributions'!X157)"),0.0)</f>
        <v>0</v>
      </c>
      <c r="Y157" s="152">
        <f>IFERROR(__xludf.DUMMYFUNCTION("IFERROR(X157 * (1 + AVERAGE(Filter('Inflation Data'!$C:$C,'Inflation Data'!$A:$A = Y$1))) + 'Fund YTD Contributions'!Y157,'Fund YTD Contributions'!Y157)"),0.0)</f>
        <v>0</v>
      </c>
      <c r="Z157" s="152">
        <f>IFERROR(__xludf.DUMMYFUNCTION("IFERROR(Y157 * (1 + AVERAGE(Filter('Inflation Data'!$C:$C,'Inflation Data'!$A:$A = Z$1))) + 'Fund YTD Contributions'!Z157,'Fund YTD Contributions'!Z157)"),0.0)</f>
        <v>0</v>
      </c>
      <c r="AA157" s="152"/>
      <c r="AB157" s="152"/>
      <c r="AC157" s="152"/>
      <c r="AD157" s="152"/>
      <c r="AE157" s="152"/>
      <c r="AF157" s="152"/>
    </row>
    <row r="158">
      <c r="A158" s="150" t="str">
        <f>'Endowed Funds'!A:A</f>
        <v/>
      </c>
      <c r="B158" s="152">
        <f>IFERROR(__xludf.DUMMYFUNCTION("IFERROR(A158 * (1 + AVERAGE(Filter('Inflation Data'!$C:$C,'Inflation Data'!$A:$A = B$1))) + 'Fund YTD Contributions'!B158,'Fund YTD Contributions'!B158)"),0.0)</f>
        <v>0</v>
      </c>
      <c r="C158" s="152">
        <f>IFERROR(__xludf.DUMMYFUNCTION("IFERROR(B158 * (1 + AVERAGE(Filter('Inflation Data'!$C:$C,'Inflation Data'!$A:$A = C$1))) + 'Fund YTD Contributions'!C158,'Fund YTD Contributions'!C158)"),0.0)</f>
        <v>0</v>
      </c>
      <c r="D158" s="152">
        <f>IFERROR(__xludf.DUMMYFUNCTION("IFERROR(C158 * (1 + AVERAGE(Filter('Inflation Data'!$C:$C,'Inflation Data'!$A:$A = D$1))) + 'Fund YTD Contributions'!D158,'Fund YTD Contributions'!D158)"),0.0)</f>
        <v>0</v>
      </c>
      <c r="E158" s="152">
        <f>IFERROR(__xludf.DUMMYFUNCTION("IFERROR(D158 * (1 + AVERAGE(Filter('Inflation Data'!$C:$C,'Inflation Data'!$A:$A = E$1))) + 'Fund YTD Contributions'!E158,'Fund YTD Contributions'!E158)"),0.0)</f>
        <v>0</v>
      </c>
      <c r="F158" s="152">
        <f>IFERROR(__xludf.DUMMYFUNCTION("IFERROR(E158 * (1 + AVERAGE(Filter('Inflation Data'!$C:$C,'Inflation Data'!$A:$A = F$1))) + 'Fund YTD Contributions'!F158,'Fund YTD Contributions'!F158)"),0.0)</f>
        <v>0</v>
      </c>
      <c r="G158" s="152">
        <f>IFERROR(__xludf.DUMMYFUNCTION("IFERROR(F158 * (1 + AVERAGE(Filter('Inflation Data'!$C:$C,'Inflation Data'!$A:$A = G$1))) + 'Fund YTD Contributions'!G158,'Fund YTD Contributions'!G158)"),0.0)</f>
        <v>0</v>
      </c>
      <c r="H158" s="152">
        <f>IFERROR(__xludf.DUMMYFUNCTION("IFERROR(G158 * (1 + AVERAGE(Filter('Inflation Data'!$C:$C,'Inflation Data'!$A:$A = H$1))) + 'Fund YTD Contributions'!H158,'Fund YTD Contributions'!H158)"),0.0)</f>
        <v>0</v>
      </c>
      <c r="I158" s="152">
        <f>IFERROR(__xludf.DUMMYFUNCTION("IFERROR(H158 * (1 + AVERAGE(Filter('Inflation Data'!$C:$C,'Inflation Data'!$A:$A = I$1))) + 'Fund YTD Contributions'!I158,'Fund YTD Contributions'!I158)"),0.0)</f>
        <v>0</v>
      </c>
      <c r="J158" s="152">
        <f>IFERROR(__xludf.DUMMYFUNCTION("IFERROR(I158 * (1 + AVERAGE(Filter('Inflation Data'!$C:$C,'Inflation Data'!$A:$A = J$1))) + 'Fund YTD Contributions'!J158,'Fund YTD Contributions'!J158)"),0.0)</f>
        <v>0</v>
      </c>
      <c r="K158" s="152">
        <f>IFERROR(__xludf.DUMMYFUNCTION("IFERROR(J158 * (1 + AVERAGE(Filter('Inflation Data'!$C:$C,'Inflation Data'!$A:$A = K$1))) + 'Fund YTD Contributions'!K158,'Fund YTD Contributions'!K158)"),0.0)</f>
        <v>0</v>
      </c>
      <c r="L158" s="152">
        <f>IFERROR(__xludf.DUMMYFUNCTION("IFERROR(K158 * (1 + AVERAGE(Filter('Inflation Data'!$C:$C,'Inflation Data'!$A:$A = L$1))) + 'Fund YTD Contributions'!L158,'Fund YTD Contributions'!L158)"),0.0)</f>
        <v>0</v>
      </c>
      <c r="M158" s="152">
        <f>IFERROR(__xludf.DUMMYFUNCTION("IFERROR(L158 * (1 + AVERAGE(Filter('Inflation Data'!$C:$C,'Inflation Data'!$A:$A = M$1))) + 'Fund YTD Contributions'!M158,'Fund YTD Contributions'!M158)"),0.0)</f>
        <v>0</v>
      </c>
      <c r="N158" s="152">
        <f>IFERROR(__xludf.DUMMYFUNCTION("IFERROR(M158 * (1 + AVERAGE(Filter('Inflation Data'!$C:$C,'Inflation Data'!$A:$A = N$1))) + 'Fund YTD Contributions'!N158,'Fund YTD Contributions'!N158)"),0.0)</f>
        <v>0</v>
      </c>
      <c r="O158" s="152">
        <f>IFERROR(__xludf.DUMMYFUNCTION("IFERROR(N158 * (1 + AVERAGE(Filter('Inflation Data'!$C:$C,'Inflation Data'!$A:$A = O$1))) + 'Fund YTD Contributions'!O158,'Fund YTD Contributions'!O158)"),0.0)</f>
        <v>0</v>
      </c>
      <c r="P158" s="152">
        <f>IFERROR(__xludf.DUMMYFUNCTION("IFERROR(O158 * (1 + AVERAGE(Filter('Inflation Data'!$C:$C,'Inflation Data'!$A:$A = P$1))) + 'Fund YTD Contributions'!P158,'Fund YTD Contributions'!P158)"),0.0)</f>
        <v>0</v>
      </c>
      <c r="Q158" s="152">
        <f>IFERROR(__xludf.DUMMYFUNCTION("IFERROR(P158 * (1 + AVERAGE(Filter('Inflation Data'!$C:$C,'Inflation Data'!$A:$A = Q$1))) + 'Fund YTD Contributions'!Q158,'Fund YTD Contributions'!Q158)"),0.0)</f>
        <v>0</v>
      </c>
      <c r="R158" s="152">
        <f>IFERROR(__xludf.DUMMYFUNCTION("IFERROR(Q158 * (1 + AVERAGE(Filter('Inflation Data'!$C:$C,'Inflation Data'!$A:$A = R$1))) + 'Fund YTD Contributions'!R158,'Fund YTD Contributions'!R158)"),0.0)</f>
        <v>0</v>
      </c>
      <c r="S158" s="152">
        <f>IFERROR(__xludf.DUMMYFUNCTION("IFERROR(R158 * (1 + AVERAGE(Filter('Inflation Data'!$C:$C,'Inflation Data'!$A:$A = S$1))) + 'Fund YTD Contributions'!S158,'Fund YTD Contributions'!S158)"),0.0)</f>
        <v>0</v>
      </c>
      <c r="T158" s="152">
        <f>IFERROR(__xludf.DUMMYFUNCTION("IFERROR(S158 * (1 + AVERAGE(Filter('Inflation Data'!$C:$C,'Inflation Data'!$A:$A = T$1))) + 'Fund YTD Contributions'!T158,'Fund YTD Contributions'!T158)"),0.0)</f>
        <v>0</v>
      </c>
      <c r="U158" s="152">
        <f>IFERROR(__xludf.DUMMYFUNCTION("IFERROR(T158 * (1 + AVERAGE(Filter('Inflation Data'!$C:$C,'Inflation Data'!$A:$A = U$1))) + 'Fund YTD Contributions'!U158,'Fund YTD Contributions'!U158)"),0.0)</f>
        <v>0</v>
      </c>
      <c r="V158" s="152">
        <f>IFERROR(__xludf.DUMMYFUNCTION("IFERROR(U158 * (1 + AVERAGE(Filter('Inflation Data'!$C:$C,'Inflation Data'!$A:$A = V$1))) + 'Fund YTD Contributions'!V158,'Fund YTD Contributions'!V158)"),0.0)</f>
        <v>0</v>
      </c>
      <c r="W158" s="152">
        <f>IFERROR(__xludf.DUMMYFUNCTION("IFERROR(V158 * (1 + AVERAGE(Filter('Inflation Data'!$C:$C,'Inflation Data'!$A:$A = W$1))) + 'Fund YTD Contributions'!W158,'Fund YTD Contributions'!W158)"),0.0)</f>
        <v>0</v>
      </c>
      <c r="X158" s="152">
        <f>IFERROR(__xludf.DUMMYFUNCTION("IFERROR(W158 * (1 + AVERAGE(Filter('Inflation Data'!$C:$C,'Inflation Data'!$A:$A = X$1))) + 'Fund YTD Contributions'!X158,'Fund YTD Contributions'!X158)"),0.0)</f>
        <v>0</v>
      </c>
      <c r="Y158" s="152">
        <f>IFERROR(__xludf.DUMMYFUNCTION("IFERROR(X158 * (1 + AVERAGE(Filter('Inflation Data'!$C:$C,'Inflation Data'!$A:$A = Y$1))) + 'Fund YTD Contributions'!Y158,'Fund YTD Contributions'!Y158)"),0.0)</f>
        <v>0</v>
      </c>
      <c r="Z158" s="152">
        <f>IFERROR(__xludf.DUMMYFUNCTION("IFERROR(Y158 * (1 + AVERAGE(Filter('Inflation Data'!$C:$C,'Inflation Data'!$A:$A = Z$1))) + 'Fund YTD Contributions'!Z158,'Fund YTD Contributions'!Z158)"),0.0)</f>
        <v>0</v>
      </c>
      <c r="AA158" s="152"/>
      <c r="AB158" s="152"/>
      <c r="AC158" s="152"/>
      <c r="AD158" s="152"/>
      <c r="AE158" s="152"/>
      <c r="AF158" s="152"/>
    </row>
    <row r="159">
      <c r="A159" s="150" t="str">
        <f>'Endowed Funds'!A:A</f>
        <v/>
      </c>
      <c r="B159" s="152">
        <f>IFERROR(__xludf.DUMMYFUNCTION("IFERROR(A159 * (1 + AVERAGE(Filter('Inflation Data'!$C:$C,'Inflation Data'!$A:$A = B$1))) + 'Fund YTD Contributions'!B159,'Fund YTD Contributions'!B159)"),0.0)</f>
        <v>0</v>
      </c>
      <c r="C159" s="152">
        <f>IFERROR(__xludf.DUMMYFUNCTION("IFERROR(B159 * (1 + AVERAGE(Filter('Inflation Data'!$C:$C,'Inflation Data'!$A:$A = C$1))) + 'Fund YTD Contributions'!C159,'Fund YTD Contributions'!C159)"),0.0)</f>
        <v>0</v>
      </c>
      <c r="D159" s="152">
        <f>IFERROR(__xludf.DUMMYFUNCTION("IFERROR(C159 * (1 + AVERAGE(Filter('Inflation Data'!$C:$C,'Inflation Data'!$A:$A = D$1))) + 'Fund YTD Contributions'!D159,'Fund YTD Contributions'!D159)"),0.0)</f>
        <v>0</v>
      </c>
      <c r="E159" s="152">
        <f>IFERROR(__xludf.DUMMYFUNCTION("IFERROR(D159 * (1 + AVERAGE(Filter('Inflation Data'!$C:$C,'Inflation Data'!$A:$A = E$1))) + 'Fund YTD Contributions'!E159,'Fund YTD Contributions'!E159)"),0.0)</f>
        <v>0</v>
      </c>
      <c r="F159" s="152">
        <f>IFERROR(__xludf.DUMMYFUNCTION("IFERROR(E159 * (1 + AVERAGE(Filter('Inflation Data'!$C:$C,'Inflation Data'!$A:$A = F$1))) + 'Fund YTD Contributions'!F159,'Fund YTD Contributions'!F159)"),0.0)</f>
        <v>0</v>
      </c>
      <c r="G159" s="152">
        <f>IFERROR(__xludf.DUMMYFUNCTION("IFERROR(F159 * (1 + AVERAGE(Filter('Inflation Data'!$C:$C,'Inflation Data'!$A:$A = G$1))) + 'Fund YTD Contributions'!G159,'Fund YTD Contributions'!G159)"),0.0)</f>
        <v>0</v>
      </c>
      <c r="H159" s="152">
        <f>IFERROR(__xludf.DUMMYFUNCTION("IFERROR(G159 * (1 + AVERAGE(Filter('Inflation Data'!$C:$C,'Inflation Data'!$A:$A = H$1))) + 'Fund YTD Contributions'!H159,'Fund YTD Contributions'!H159)"),0.0)</f>
        <v>0</v>
      </c>
      <c r="I159" s="152">
        <f>IFERROR(__xludf.DUMMYFUNCTION("IFERROR(H159 * (1 + AVERAGE(Filter('Inflation Data'!$C:$C,'Inflation Data'!$A:$A = I$1))) + 'Fund YTD Contributions'!I159,'Fund YTD Contributions'!I159)"),0.0)</f>
        <v>0</v>
      </c>
      <c r="J159" s="152">
        <f>IFERROR(__xludf.DUMMYFUNCTION("IFERROR(I159 * (1 + AVERAGE(Filter('Inflation Data'!$C:$C,'Inflation Data'!$A:$A = J$1))) + 'Fund YTD Contributions'!J159,'Fund YTD Contributions'!J159)"),0.0)</f>
        <v>0</v>
      </c>
      <c r="K159" s="152">
        <f>IFERROR(__xludf.DUMMYFUNCTION("IFERROR(J159 * (1 + AVERAGE(Filter('Inflation Data'!$C:$C,'Inflation Data'!$A:$A = K$1))) + 'Fund YTD Contributions'!K159,'Fund YTD Contributions'!K159)"),0.0)</f>
        <v>0</v>
      </c>
      <c r="L159" s="152">
        <f>IFERROR(__xludf.DUMMYFUNCTION("IFERROR(K159 * (1 + AVERAGE(Filter('Inflation Data'!$C:$C,'Inflation Data'!$A:$A = L$1))) + 'Fund YTD Contributions'!L159,'Fund YTD Contributions'!L159)"),0.0)</f>
        <v>0</v>
      </c>
      <c r="M159" s="152">
        <f>IFERROR(__xludf.DUMMYFUNCTION("IFERROR(L159 * (1 + AVERAGE(Filter('Inflation Data'!$C:$C,'Inflation Data'!$A:$A = M$1))) + 'Fund YTD Contributions'!M159,'Fund YTD Contributions'!M159)"),0.0)</f>
        <v>0</v>
      </c>
      <c r="N159" s="152">
        <f>IFERROR(__xludf.DUMMYFUNCTION("IFERROR(M159 * (1 + AVERAGE(Filter('Inflation Data'!$C:$C,'Inflation Data'!$A:$A = N$1))) + 'Fund YTD Contributions'!N159,'Fund YTD Contributions'!N159)"),0.0)</f>
        <v>0</v>
      </c>
      <c r="O159" s="152">
        <f>IFERROR(__xludf.DUMMYFUNCTION("IFERROR(N159 * (1 + AVERAGE(Filter('Inflation Data'!$C:$C,'Inflation Data'!$A:$A = O$1))) + 'Fund YTD Contributions'!O159,'Fund YTD Contributions'!O159)"),0.0)</f>
        <v>0</v>
      </c>
      <c r="P159" s="152">
        <f>IFERROR(__xludf.DUMMYFUNCTION("IFERROR(O159 * (1 + AVERAGE(Filter('Inflation Data'!$C:$C,'Inflation Data'!$A:$A = P$1))) + 'Fund YTD Contributions'!P159,'Fund YTD Contributions'!P159)"),0.0)</f>
        <v>0</v>
      </c>
      <c r="Q159" s="152">
        <f>IFERROR(__xludf.DUMMYFUNCTION("IFERROR(P159 * (1 + AVERAGE(Filter('Inflation Data'!$C:$C,'Inflation Data'!$A:$A = Q$1))) + 'Fund YTD Contributions'!Q159,'Fund YTD Contributions'!Q159)"),0.0)</f>
        <v>0</v>
      </c>
      <c r="R159" s="152">
        <f>IFERROR(__xludf.DUMMYFUNCTION("IFERROR(Q159 * (1 + AVERAGE(Filter('Inflation Data'!$C:$C,'Inflation Data'!$A:$A = R$1))) + 'Fund YTD Contributions'!R159,'Fund YTD Contributions'!R159)"),0.0)</f>
        <v>0</v>
      </c>
      <c r="S159" s="152">
        <f>IFERROR(__xludf.DUMMYFUNCTION("IFERROR(R159 * (1 + AVERAGE(Filter('Inflation Data'!$C:$C,'Inflation Data'!$A:$A = S$1))) + 'Fund YTD Contributions'!S159,'Fund YTD Contributions'!S159)"),0.0)</f>
        <v>0</v>
      </c>
      <c r="T159" s="152">
        <f>IFERROR(__xludf.DUMMYFUNCTION("IFERROR(S159 * (1 + AVERAGE(Filter('Inflation Data'!$C:$C,'Inflation Data'!$A:$A = T$1))) + 'Fund YTD Contributions'!T159,'Fund YTD Contributions'!T159)"),0.0)</f>
        <v>0</v>
      </c>
      <c r="U159" s="152">
        <f>IFERROR(__xludf.DUMMYFUNCTION("IFERROR(T159 * (1 + AVERAGE(Filter('Inflation Data'!$C:$C,'Inflation Data'!$A:$A = U$1))) + 'Fund YTD Contributions'!U159,'Fund YTD Contributions'!U159)"),0.0)</f>
        <v>0</v>
      </c>
      <c r="V159" s="152">
        <f>IFERROR(__xludf.DUMMYFUNCTION("IFERROR(U159 * (1 + AVERAGE(Filter('Inflation Data'!$C:$C,'Inflation Data'!$A:$A = V$1))) + 'Fund YTD Contributions'!V159,'Fund YTD Contributions'!V159)"),0.0)</f>
        <v>0</v>
      </c>
      <c r="W159" s="152">
        <f>IFERROR(__xludf.DUMMYFUNCTION("IFERROR(V159 * (1 + AVERAGE(Filter('Inflation Data'!$C:$C,'Inflation Data'!$A:$A = W$1))) + 'Fund YTD Contributions'!W159,'Fund YTD Contributions'!W159)"),0.0)</f>
        <v>0</v>
      </c>
      <c r="X159" s="152">
        <f>IFERROR(__xludf.DUMMYFUNCTION("IFERROR(W159 * (1 + AVERAGE(Filter('Inflation Data'!$C:$C,'Inflation Data'!$A:$A = X$1))) + 'Fund YTD Contributions'!X159,'Fund YTD Contributions'!X159)"),0.0)</f>
        <v>0</v>
      </c>
      <c r="Y159" s="152">
        <f>IFERROR(__xludf.DUMMYFUNCTION("IFERROR(X159 * (1 + AVERAGE(Filter('Inflation Data'!$C:$C,'Inflation Data'!$A:$A = Y$1))) + 'Fund YTD Contributions'!Y159,'Fund YTD Contributions'!Y159)"),0.0)</f>
        <v>0</v>
      </c>
      <c r="Z159" s="152">
        <f>IFERROR(__xludf.DUMMYFUNCTION("IFERROR(Y159 * (1 + AVERAGE(Filter('Inflation Data'!$C:$C,'Inflation Data'!$A:$A = Z$1))) + 'Fund YTD Contributions'!Z159,'Fund YTD Contributions'!Z159)"),0.0)</f>
        <v>0</v>
      </c>
      <c r="AA159" s="152"/>
      <c r="AB159" s="152"/>
      <c r="AC159" s="152"/>
      <c r="AD159" s="152"/>
      <c r="AE159" s="152"/>
      <c r="AF159" s="152"/>
    </row>
    <row r="160">
      <c r="A160" s="150" t="str">
        <f>'Endowed Funds'!A:A</f>
        <v/>
      </c>
      <c r="B160" s="152">
        <f>IFERROR(__xludf.DUMMYFUNCTION("IFERROR(A160 * (1 + AVERAGE(Filter('Inflation Data'!$C:$C,'Inflation Data'!$A:$A = B$1))) + 'Fund YTD Contributions'!B160,'Fund YTD Contributions'!B160)"),0.0)</f>
        <v>0</v>
      </c>
      <c r="C160" s="152">
        <f>IFERROR(__xludf.DUMMYFUNCTION("IFERROR(B160 * (1 + AVERAGE(Filter('Inflation Data'!$C:$C,'Inflation Data'!$A:$A = C$1))) + 'Fund YTD Contributions'!C160,'Fund YTD Contributions'!C160)"),0.0)</f>
        <v>0</v>
      </c>
      <c r="D160" s="152">
        <f>IFERROR(__xludf.DUMMYFUNCTION("IFERROR(C160 * (1 + AVERAGE(Filter('Inflation Data'!$C:$C,'Inflation Data'!$A:$A = D$1))) + 'Fund YTD Contributions'!D160,'Fund YTD Contributions'!D160)"),0.0)</f>
        <v>0</v>
      </c>
      <c r="E160" s="152">
        <f>IFERROR(__xludf.DUMMYFUNCTION("IFERROR(D160 * (1 + AVERAGE(Filter('Inflation Data'!$C:$C,'Inflation Data'!$A:$A = E$1))) + 'Fund YTD Contributions'!E160,'Fund YTD Contributions'!E160)"),0.0)</f>
        <v>0</v>
      </c>
      <c r="F160" s="152">
        <f>IFERROR(__xludf.DUMMYFUNCTION("IFERROR(E160 * (1 + AVERAGE(Filter('Inflation Data'!$C:$C,'Inflation Data'!$A:$A = F$1))) + 'Fund YTD Contributions'!F160,'Fund YTD Contributions'!F160)"),0.0)</f>
        <v>0</v>
      </c>
      <c r="G160" s="152">
        <f>IFERROR(__xludf.DUMMYFUNCTION("IFERROR(F160 * (1 + AVERAGE(Filter('Inflation Data'!$C:$C,'Inflation Data'!$A:$A = G$1))) + 'Fund YTD Contributions'!G160,'Fund YTD Contributions'!G160)"),0.0)</f>
        <v>0</v>
      </c>
      <c r="H160" s="152">
        <f>IFERROR(__xludf.DUMMYFUNCTION("IFERROR(G160 * (1 + AVERAGE(Filter('Inflation Data'!$C:$C,'Inflation Data'!$A:$A = H$1))) + 'Fund YTD Contributions'!H160,'Fund YTD Contributions'!H160)"),0.0)</f>
        <v>0</v>
      </c>
      <c r="I160" s="152">
        <f>IFERROR(__xludf.DUMMYFUNCTION("IFERROR(H160 * (1 + AVERAGE(Filter('Inflation Data'!$C:$C,'Inflation Data'!$A:$A = I$1))) + 'Fund YTD Contributions'!I160,'Fund YTD Contributions'!I160)"),0.0)</f>
        <v>0</v>
      </c>
      <c r="J160" s="152">
        <f>IFERROR(__xludf.DUMMYFUNCTION("IFERROR(I160 * (1 + AVERAGE(Filter('Inflation Data'!$C:$C,'Inflation Data'!$A:$A = J$1))) + 'Fund YTD Contributions'!J160,'Fund YTD Contributions'!J160)"),0.0)</f>
        <v>0</v>
      </c>
      <c r="K160" s="152">
        <f>IFERROR(__xludf.DUMMYFUNCTION("IFERROR(J160 * (1 + AVERAGE(Filter('Inflation Data'!$C:$C,'Inflation Data'!$A:$A = K$1))) + 'Fund YTD Contributions'!K160,'Fund YTD Contributions'!K160)"),0.0)</f>
        <v>0</v>
      </c>
      <c r="L160" s="152">
        <f>IFERROR(__xludf.DUMMYFUNCTION("IFERROR(K160 * (1 + AVERAGE(Filter('Inflation Data'!$C:$C,'Inflation Data'!$A:$A = L$1))) + 'Fund YTD Contributions'!L160,'Fund YTD Contributions'!L160)"),0.0)</f>
        <v>0</v>
      </c>
      <c r="M160" s="152">
        <f>IFERROR(__xludf.DUMMYFUNCTION("IFERROR(L160 * (1 + AVERAGE(Filter('Inflation Data'!$C:$C,'Inflation Data'!$A:$A = M$1))) + 'Fund YTD Contributions'!M160,'Fund YTD Contributions'!M160)"),0.0)</f>
        <v>0</v>
      </c>
      <c r="N160" s="152">
        <f>IFERROR(__xludf.DUMMYFUNCTION("IFERROR(M160 * (1 + AVERAGE(Filter('Inflation Data'!$C:$C,'Inflation Data'!$A:$A = N$1))) + 'Fund YTD Contributions'!N160,'Fund YTD Contributions'!N160)"),0.0)</f>
        <v>0</v>
      </c>
      <c r="O160" s="152">
        <f>IFERROR(__xludf.DUMMYFUNCTION("IFERROR(N160 * (1 + AVERAGE(Filter('Inflation Data'!$C:$C,'Inflation Data'!$A:$A = O$1))) + 'Fund YTD Contributions'!O160,'Fund YTD Contributions'!O160)"),0.0)</f>
        <v>0</v>
      </c>
      <c r="P160" s="152">
        <f>IFERROR(__xludf.DUMMYFUNCTION("IFERROR(O160 * (1 + AVERAGE(Filter('Inflation Data'!$C:$C,'Inflation Data'!$A:$A = P$1))) + 'Fund YTD Contributions'!P160,'Fund YTD Contributions'!P160)"),0.0)</f>
        <v>0</v>
      </c>
      <c r="Q160" s="152">
        <f>IFERROR(__xludf.DUMMYFUNCTION("IFERROR(P160 * (1 + AVERAGE(Filter('Inflation Data'!$C:$C,'Inflation Data'!$A:$A = Q$1))) + 'Fund YTD Contributions'!Q160,'Fund YTD Contributions'!Q160)"),0.0)</f>
        <v>0</v>
      </c>
      <c r="R160" s="152">
        <f>IFERROR(__xludf.DUMMYFUNCTION("IFERROR(Q160 * (1 + AVERAGE(Filter('Inflation Data'!$C:$C,'Inflation Data'!$A:$A = R$1))) + 'Fund YTD Contributions'!R160,'Fund YTD Contributions'!R160)"),0.0)</f>
        <v>0</v>
      </c>
      <c r="S160" s="152">
        <f>IFERROR(__xludf.DUMMYFUNCTION("IFERROR(R160 * (1 + AVERAGE(Filter('Inflation Data'!$C:$C,'Inflation Data'!$A:$A = S$1))) + 'Fund YTD Contributions'!S160,'Fund YTD Contributions'!S160)"),0.0)</f>
        <v>0</v>
      </c>
      <c r="T160" s="152">
        <f>IFERROR(__xludf.DUMMYFUNCTION("IFERROR(S160 * (1 + AVERAGE(Filter('Inflation Data'!$C:$C,'Inflation Data'!$A:$A = T$1))) + 'Fund YTD Contributions'!T160,'Fund YTD Contributions'!T160)"),0.0)</f>
        <v>0</v>
      </c>
      <c r="U160" s="152">
        <f>IFERROR(__xludf.DUMMYFUNCTION("IFERROR(T160 * (1 + AVERAGE(Filter('Inflation Data'!$C:$C,'Inflation Data'!$A:$A = U$1))) + 'Fund YTD Contributions'!U160,'Fund YTD Contributions'!U160)"),0.0)</f>
        <v>0</v>
      </c>
      <c r="V160" s="152">
        <f>IFERROR(__xludf.DUMMYFUNCTION("IFERROR(U160 * (1 + AVERAGE(Filter('Inflation Data'!$C:$C,'Inflation Data'!$A:$A = V$1))) + 'Fund YTD Contributions'!V160,'Fund YTD Contributions'!V160)"),0.0)</f>
        <v>0</v>
      </c>
      <c r="W160" s="152">
        <f>IFERROR(__xludf.DUMMYFUNCTION("IFERROR(V160 * (1 + AVERAGE(Filter('Inflation Data'!$C:$C,'Inflation Data'!$A:$A = W$1))) + 'Fund YTD Contributions'!W160,'Fund YTD Contributions'!W160)"),0.0)</f>
        <v>0</v>
      </c>
      <c r="X160" s="152">
        <f>IFERROR(__xludf.DUMMYFUNCTION("IFERROR(W160 * (1 + AVERAGE(Filter('Inflation Data'!$C:$C,'Inflation Data'!$A:$A = X$1))) + 'Fund YTD Contributions'!X160,'Fund YTD Contributions'!X160)"),0.0)</f>
        <v>0</v>
      </c>
      <c r="Y160" s="152">
        <f>IFERROR(__xludf.DUMMYFUNCTION("IFERROR(X160 * (1 + AVERAGE(Filter('Inflation Data'!$C:$C,'Inflation Data'!$A:$A = Y$1))) + 'Fund YTD Contributions'!Y160,'Fund YTD Contributions'!Y160)"),0.0)</f>
        <v>0</v>
      </c>
      <c r="Z160" s="152">
        <f>IFERROR(__xludf.DUMMYFUNCTION("IFERROR(Y160 * (1 + AVERAGE(Filter('Inflation Data'!$C:$C,'Inflation Data'!$A:$A = Z$1))) + 'Fund YTD Contributions'!Z160,'Fund YTD Contributions'!Z160)"),0.0)</f>
        <v>0</v>
      </c>
      <c r="AA160" s="152"/>
      <c r="AB160" s="152"/>
      <c r="AC160" s="152"/>
      <c r="AD160" s="152"/>
      <c r="AE160" s="152"/>
      <c r="AF160" s="152"/>
    </row>
    <row r="161">
      <c r="A161" s="150" t="str">
        <f>'Endowed Funds'!A:A</f>
        <v/>
      </c>
      <c r="B161" s="152">
        <f>IFERROR(__xludf.DUMMYFUNCTION("IFERROR(A161 * (1 + AVERAGE(Filter('Inflation Data'!$C:$C,'Inflation Data'!$A:$A = B$1))) + 'Fund YTD Contributions'!B161,'Fund YTD Contributions'!B161)"),0.0)</f>
        <v>0</v>
      </c>
      <c r="C161" s="152">
        <f>IFERROR(__xludf.DUMMYFUNCTION("IFERROR(B161 * (1 + AVERAGE(Filter('Inflation Data'!$C:$C,'Inflation Data'!$A:$A = C$1))) + 'Fund YTD Contributions'!C161,'Fund YTD Contributions'!C161)"),0.0)</f>
        <v>0</v>
      </c>
      <c r="D161" s="152">
        <f>IFERROR(__xludf.DUMMYFUNCTION("IFERROR(C161 * (1 + AVERAGE(Filter('Inflation Data'!$C:$C,'Inflation Data'!$A:$A = D$1))) + 'Fund YTD Contributions'!D161,'Fund YTD Contributions'!D161)"),0.0)</f>
        <v>0</v>
      </c>
      <c r="E161" s="152">
        <f>IFERROR(__xludf.DUMMYFUNCTION("IFERROR(D161 * (1 + AVERAGE(Filter('Inflation Data'!$C:$C,'Inflation Data'!$A:$A = E$1))) + 'Fund YTD Contributions'!E161,'Fund YTD Contributions'!E161)"),0.0)</f>
        <v>0</v>
      </c>
      <c r="F161" s="152">
        <f>IFERROR(__xludf.DUMMYFUNCTION("IFERROR(E161 * (1 + AVERAGE(Filter('Inflation Data'!$C:$C,'Inflation Data'!$A:$A = F$1))) + 'Fund YTD Contributions'!F161,'Fund YTD Contributions'!F161)"),0.0)</f>
        <v>0</v>
      </c>
      <c r="G161" s="152">
        <f>IFERROR(__xludf.DUMMYFUNCTION("IFERROR(F161 * (1 + AVERAGE(Filter('Inflation Data'!$C:$C,'Inflation Data'!$A:$A = G$1))) + 'Fund YTD Contributions'!G161,'Fund YTD Contributions'!G161)"),0.0)</f>
        <v>0</v>
      </c>
      <c r="H161" s="152">
        <f>IFERROR(__xludf.DUMMYFUNCTION("IFERROR(G161 * (1 + AVERAGE(Filter('Inflation Data'!$C:$C,'Inflation Data'!$A:$A = H$1))) + 'Fund YTD Contributions'!H161,'Fund YTD Contributions'!H161)"),0.0)</f>
        <v>0</v>
      </c>
      <c r="I161" s="152">
        <f>IFERROR(__xludf.DUMMYFUNCTION("IFERROR(H161 * (1 + AVERAGE(Filter('Inflation Data'!$C:$C,'Inflation Data'!$A:$A = I$1))) + 'Fund YTD Contributions'!I161,'Fund YTD Contributions'!I161)"),0.0)</f>
        <v>0</v>
      </c>
      <c r="J161" s="152">
        <f>IFERROR(__xludf.DUMMYFUNCTION("IFERROR(I161 * (1 + AVERAGE(Filter('Inflation Data'!$C:$C,'Inflation Data'!$A:$A = J$1))) + 'Fund YTD Contributions'!J161,'Fund YTD Contributions'!J161)"),0.0)</f>
        <v>0</v>
      </c>
      <c r="K161" s="152">
        <f>IFERROR(__xludf.DUMMYFUNCTION("IFERROR(J161 * (1 + AVERAGE(Filter('Inflation Data'!$C:$C,'Inflation Data'!$A:$A = K$1))) + 'Fund YTD Contributions'!K161,'Fund YTD Contributions'!K161)"),0.0)</f>
        <v>0</v>
      </c>
      <c r="L161" s="152">
        <f>IFERROR(__xludf.DUMMYFUNCTION("IFERROR(K161 * (1 + AVERAGE(Filter('Inflation Data'!$C:$C,'Inflation Data'!$A:$A = L$1))) + 'Fund YTD Contributions'!L161,'Fund YTD Contributions'!L161)"),0.0)</f>
        <v>0</v>
      </c>
      <c r="M161" s="152">
        <f>IFERROR(__xludf.DUMMYFUNCTION("IFERROR(L161 * (1 + AVERAGE(Filter('Inflation Data'!$C:$C,'Inflation Data'!$A:$A = M$1))) + 'Fund YTD Contributions'!M161,'Fund YTD Contributions'!M161)"),0.0)</f>
        <v>0</v>
      </c>
      <c r="N161" s="152">
        <f>IFERROR(__xludf.DUMMYFUNCTION("IFERROR(M161 * (1 + AVERAGE(Filter('Inflation Data'!$C:$C,'Inflation Data'!$A:$A = N$1))) + 'Fund YTD Contributions'!N161,'Fund YTD Contributions'!N161)"),0.0)</f>
        <v>0</v>
      </c>
      <c r="O161" s="152">
        <f>IFERROR(__xludf.DUMMYFUNCTION("IFERROR(N161 * (1 + AVERAGE(Filter('Inflation Data'!$C:$C,'Inflation Data'!$A:$A = O$1))) + 'Fund YTD Contributions'!O161,'Fund YTD Contributions'!O161)"),0.0)</f>
        <v>0</v>
      </c>
      <c r="P161" s="152">
        <f>IFERROR(__xludf.DUMMYFUNCTION("IFERROR(O161 * (1 + AVERAGE(Filter('Inflation Data'!$C:$C,'Inflation Data'!$A:$A = P$1))) + 'Fund YTD Contributions'!P161,'Fund YTD Contributions'!P161)"),0.0)</f>
        <v>0</v>
      </c>
      <c r="Q161" s="152">
        <f>IFERROR(__xludf.DUMMYFUNCTION("IFERROR(P161 * (1 + AVERAGE(Filter('Inflation Data'!$C:$C,'Inflation Data'!$A:$A = Q$1))) + 'Fund YTD Contributions'!Q161,'Fund YTD Contributions'!Q161)"),0.0)</f>
        <v>0</v>
      </c>
      <c r="R161" s="152">
        <f>IFERROR(__xludf.DUMMYFUNCTION("IFERROR(Q161 * (1 + AVERAGE(Filter('Inflation Data'!$C:$C,'Inflation Data'!$A:$A = R$1))) + 'Fund YTD Contributions'!R161,'Fund YTD Contributions'!R161)"),0.0)</f>
        <v>0</v>
      </c>
      <c r="S161" s="152">
        <f>IFERROR(__xludf.DUMMYFUNCTION("IFERROR(R161 * (1 + AVERAGE(Filter('Inflation Data'!$C:$C,'Inflation Data'!$A:$A = S$1))) + 'Fund YTD Contributions'!S161,'Fund YTD Contributions'!S161)"),0.0)</f>
        <v>0</v>
      </c>
      <c r="T161" s="152">
        <f>IFERROR(__xludf.DUMMYFUNCTION("IFERROR(S161 * (1 + AVERAGE(Filter('Inflation Data'!$C:$C,'Inflation Data'!$A:$A = T$1))) + 'Fund YTD Contributions'!T161,'Fund YTD Contributions'!T161)"),0.0)</f>
        <v>0</v>
      </c>
      <c r="U161" s="152">
        <f>IFERROR(__xludf.DUMMYFUNCTION("IFERROR(T161 * (1 + AVERAGE(Filter('Inflation Data'!$C:$C,'Inflation Data'!$A:$A = U$1))) + 'Fund YTD Contributions'!U161,'Fund YTD Contributions'!U161)"),0.0)</f>
        <v>0</v>
      </c>
      <c r="V161" s="152">
        <f>IFERROR(__xludf.DUMMYFUNCTION("IFERROR(U161 * (1 + AVERAGE(Filter('Inflation Data'!$C:$C,'Inflation Data'!$A:$A = V$1))) + 'Fund YTD Contributions'!V161,'Fund YTD Contributions'!V161)"),0.0)</f>
        <v>0</v>
      </c>
      <c r="W161" s="152">
        <f>IFERROR(__xludf.DUMMYFUNCTION("IFERROR(V161 * (1 + AVERAGE(Filter('Inflation Data'!$C:$C,'Inflation Data'!$A:$A = W$1))) + 'Fund YTD Contributions'!W161,'Fund YTD Contributions'!W161)"),0.0)</f>
        <v>0</v>
      </c>
      <c r="X161" s="152">
        <f>IFERROR(__xludf.DUMMYFUNCTION("IFERROR(W161 * (1 + AVERAGE(Filter('Inflation Data'!$C:$C,'Inflation Data'!$A:$A = X$1))) + 'Fund YTD Contributions'!X161,'Fund YTD Contributions'!X161)"),0.0)</f>
        <v>0</v>
      </c>
      <c r="Y161" s="152">
        <f>IFERROR(__xludf.DUMMYFUNCTION("IFERROR(X161 * (1 + AVERAGE(Filter('Inflation Data'!$C:$C,'Inflation Data'!$A:$A = Y$1))) + 'Fund YTD Contributions'!Y161,'Fund YTD Contributions'!Y161)"),0.0)</f>
        <v>0</v>
      </c>
      <c r="Z161" s="152">
        <f>IFERROR(__xludf.DUMMYFUNCTION("IFERROR(Y161 * (1 + AVERAGE(Filter('Inflation Data'!$C:$C,'Inflation Data'!$A:$A = Z$1))) + 'Fund YTD Contributions'!Z161,'Fund YTD Contributions'!Z161)"),0.0)</f>
        <v>0</v>
      </c>
      <c r="AA161" s="152"/>
      <c r="AB161" s="152"/>
      <c r="AC161" s="152"/>
      <c r="AD161" s="152"/>
      <c r="AE161" s="152"/>
      <c r="AF161" s="152"/>
    </row>
    <row r="162">
      <c r="A162" s="150" t="str">
        <f>'Endowed Funds'!A:A</f>
        <v/>
      </c>
      <c r="B162" s="152">
        <f>IFERROR(__xludf.DUMMYFUNCTION("IFERROR(A162 * (1 + AVERAGE(Filter('Inflation Data'!$C:$C,'Inflation Data'!$A:$A = B$1))) + 'Fund YTD Contributions'!B162,'Fund YTD Contributions'!B162)"),0.0)</f>
        <v>0</v>
      </c>
      <c r="C162" s="152">
        <f>IFERROR(__xludf.DUMMYFUNCTION("IFERROR(B162 * (1 + AVERAGE(Filter('Inflation Data'!$C:$C,'Inflation Data'!$A:$A = C$1))) + 'Fund YTD Contributions'!C162,'Fund YTD Contributions'!C162)"),0.0)</f>
        <v>0</v>
      </c>
      <c r="D162" s="152">
        <f>IFERROR(__xludf.DUMMYFUNCTION("IFERROR(C162 * (1 + AVERAGE(Filter('Inflation Data'!$C:$C,'Inflation Data'!$A:$A = D$1))) + 'Fund YTD Contributions'!D162,'Fund YTD Contributions'!D162)"),0.0)</f>
        <v>0</v>
      </c>
      <c r="E162" s="152">
        <f>IFERROR(__xludf.DUMMYFUNCTION("IFERROR(D162 * (1 + AVERAGE(Filter('Inflation Data'!$C:$C,'Inflation Data'!$A:$A = E$1))) + 'Fund YTD Contributions'!E162,'Fund YTD Contributions'!E162)"),0.0)</f>
        <v>0</v>
      </c>
      <c r="F162" s="152">
        <f>IFERROR(__xludf.DUMMYFUNCTION("IFERROR(E162 * (1 + AVERAGE(Filter('Inflation Data'!$C:$C,'Inflation Data'!$A:$A = F$1))) + 'Fund YTD Contributions'!F162,'Fund YTD Contributions'!F162)"),0.0)</f>
        <v>0</v>
      </c>
      <c r="G162" s="152">
        <f>IFERROR(__xludf.DUMMYFUNCTION("IFERROR(F162 * (1 + AVERAGE(Filter('Inflation Data'!$C:$C,'Inflation Data'!$A:$A = G$1))) + 'Fund YTD Contributions'!G162,'Fund YTD Contributions'!G162)"),0.0)</f>
        <v>0</v>
      </c>
      <c r="H162" s="152">
        <f>IFERROR(__xludf.DUMMYFUNCTION("IFERROR(G162 * (1 + AVERAGE(Filter('Inflation Data'!$C:$C,'Inflation Data'!$A:$A = H$1))) + 'Fund YTD Contributions'!H162,'Fund YTD Contributions'!H162)"),0.0)</f>
        <v>0</v>
      </c>
      <c r="I162" s="152">
        <f>IFERROR(__xludf.DUMMYFUNCTION("IFERROR(H162 * (1 + AVERAGE(Filter('Inflation Data'!$C:$C,'Inflation Data'!$A:$A = I$1))) + 'Fund YTD Contributions'!I162,'Fund YTD Contributions'!I162)"),0.0)</f>
        <v>0</v>
      </c>
      <c r="J162" s="152">
        <f>IFERROR(__xludf.DUMMYFUNCTION("IFERROR(I162 * (1 + AVERAGE(Filter('Inflation Data'!$C:$C,'Inflation Data'!$A:$A = J$1))) + 'Fund YTD Contributions'!J162,'Fund YTD Contributions'!J162)"),0.0)</f>
        <v>0</v>
      </c>
      <c r="K162" s="152">
        <f>IFERROR(__xludf.DUMMYFUNCTION("IFERROR(J162 * (1 + AVERAGE(Filter('Inflation Data'!$C:$C,'Inflation Data'!$A:$A = K$1))) + 'Fund YTD Contributions'!K162,'Fund YTD Contributions'!K162)"),0.0)</f>
        <v>0</v>
      </c>
      <c r="L162" s="152">
        <f>IFERROR(__xludf.DUMMYFUNCTION("IFERROR(K162 * (1 + AVERAGE(Filter('Inflation Data'!$C:$C,'Inflation Data'!$A:$A = L$1))) + 'Fund YTD Contributions'!L162,'Fund YTD Contributions'!L162)"),0.0)</f>
        <v>0</v>
      </c>
      <c r="M162" s="152">
        <f>IFERROR(__xludf.DUMMYFUNCTION("IFERROR(L162 * (1 + AVERAGE(Filter('Inflation Data'!$C:$C,'Inflation Data'!$A:$A = M$1))) + 'Fund YTD Contributions'!M162,'Fund YTD Contributions'!M162)"),0.0)</f>
        <v>0</v>
      </c>
      <c r="N162" s="152">
        <f>IFERROR(__xludf.DUMMYFUNCTION("IFERROR(M162 * (1 + AVERAGE(Filter('Inflation Data'!$C:$C,'Inflation Data'!$A:$A = N$1))) + 'Fund YTD Contributions'!N162,'Fund YTD Contributions'!N162)"),0.0)</f>
        <v>0</v>
      </c>
      <c r="O162" s="152">
        <f>IFERROR(__xludf.DUMMYFUNCTION("IFERROR(N162 * (1 + AVERAGE(Filter('Inflation Data'!$C:$C,'Inflation Data'!$A:$A = O$1))) + 'Fund YTD Contributions'!O162,'Fund YTD Contributions'!O162)"),0.0)</f>
        <v>0</v>
      </c>
      <c r="P162" s="152">
        <f>IFERROR(__xludf.DUMMYFUNCTION("IFERROR(O162 * (1 + AVERAGE(Filter('Inflation Data'!$C:$C,'Inflation Data'!$A:$A = P$1))) + 'Fund YTD Contributions'!P162,'Fund YTD Contributions'!P162)"),0.0)</f>
        <v>0</v>
      </c>
      <c r="Q162" s="152">
        <f>IFERROR(__xludf.DUMMYFUNCTION("IFERROR(P162 * (1 + AVERAGE(Filter('Inflation Data'!$C:$C,'Inflation Data'!$A:$A = Q$1))) + 'Fund YTD Contributions'!Q162,'Fund YTD Contributions'!Q162)"),0.0)</f>
        <v>0</v>
      </c>
      <c r="R162" s="152">
        <f>IFERROR(__xludf.DUMMYFUNCTION("IFERROR(Q162 * (1 + AVERAGE(Filter('Inflation Data'!$C:$C,'Inflation Data'!$A:$A = R$1))) + 'Fund YTD Contributions'!R162,'Fund YTD Contributions'!R162)"),0.0)</f>
        <v>0</v>
      </c>
      <c r="S162" s="152">
        <f>IFERROR(__xludf.DUMMYFUNCTION("IFERROR(R162 * (1 + AVERAGE(Filter('Inflation Data'!$C:$C,'Inflation Data'!$A:$A = S$1))) + 'Fund YTD Contributions'!S162,'Fund YTD Contributions'!S162)"),0.0)</f>
        <v>0</v>
      </c>
      <c r="T162" s="152">
        <f>IFERROR(__xludf.DUMMYFUNCTION("IFERROR(S162 * (1 + AVERAGE(Filter('Inflation Data'!$C:$C,'Inflation Data'!$A:$A = T$1))) + 'Fund YTD Contributions'!T162,'Fund YTD Contributions'!T162)"),0.0)</f>
        <v>0</v>
      </c>
      <c r="U162" s="152">
        <f>IFERROR(__xludf.DUMMYFUNCTION("IFERROR(T162 * (1 + AVERAGE(Filter('Inflation Data'!$C:$C,'Inflation Data'!$A:$A = U$1))) + 'Fund YTD Contributions'!U162,'Fund YTD Contributions'!U162)"),0.0)</f>
        <v>0</v>
      </c>
      <c r="V162" s="152">
        <f>IFERROR(__xludf.DUMMYFUNCTION("IFERROR(U162 * (1 + AVERAGE(Filter('Inflation Data'!$C:$C,'Inflation Data'!$A:$A = V$1))) + 'Fund YTD Contributions'!V162,'Fund YTD Contributions'!V162)"),0.0)</f>
        <v>0</v>
      </c>
      <c r="W162" s="152">
        <f>IFERROR(__xludf.DUMMYFUNCTION("IFERROR(V162 * (1 + AVERAGE(Filter('Inflation Data'!$C:$C,'Inflation Data'!$A:$A = W$1))) + 'Fund YTD Contributions'!W162,'Fund YTD Contributions'!W162)"),0.0)</f>
        <v>0</v>
      </c>
      <c r="X162" s="152">
        <f>IFERROR(__xludf.DUMMYFUNCTION("IFERROR(W162 * (1 + AVERAGE(Filter('Inflation Data'!$C:$C,'Inflation Data'!$A:$A = X$1))) + 'Fund YTD Contributions'!X162,'Fund YTD Contributions'!X162)"),0.0)</f>
        <v>0</v>
      </c>
      <c r="Y162" s="152">
        <f>IFERROR(__xludf.DUMMYFUNCTION("IFERROR(X162 * (1 + AVERAGE(Filter('Inflation Data'!$C:$C,'Inflation Data'!$A:$A = Y$1))) + 'Fund YTD Contributions'!Y162,'Fund YTD Contributions'!Y162)"),0.0)</f>
        <v>0</v>
      </c>
      <c r="Z162" s="152">
        <f>IFERROR(__xludf.DUMMYFUNCTION("IFERROR(Y162 * (1 + AVERAGE(Filter('Inflation Data'!$C:$C,'Inflation Data'!$A:$A = Z$1))) + 'Fund YTD Contributions'!Z162,'Fund YTD Contributions'!Z162)"),0.0)</f>
        <v>0</v>
      </c>
      <c r="AA162" s="152"/>
      <c r="AB162" s="152"/>
      <c r="AC162" s="152"/>
      <c r="AD162" s="152"/>
      <c r="AE162" s="152"/>
      <c r="AF162" s="152"/>
    </row>
    <row r="163">
      <c r="A163" s="150" t="str">
        <f>'Endowed Funds'!A:A</f>
        <v/>
      </c>
      <c r="B163" s="152">
        <f>IFERROR(__xludf.DUMMYFUNCTION("IFERROR(A163 * (1 + AVERAGE(Filter('Inflation Data'!$C:$C,'Inflation Data'!$A:$A = B$1))) + 'Fund YTD Contributions'!B163,'Fund YTD Contributions'!B163)"),0.0)</f>
        <v>0</v>
      </c>
      <c r="C163" s="152">
        <f>IFERROR(__xludf.DUMMYFUNCTION("IFERROR(B163 * (1 + AVERAGE(Filter('Inflation Data'!$C:$C,'Inflation Data'!$A:$A = C$1))) + 'Fund YTD Contributions'!C163,'Fund YTD Contributions'!C163)"),0.0)</f>
        <v>0</v>
      </c>
      <c r="D163" s="152">
        <f>IFERROR(__xludf.DUMMYFUNCTION("IFERROR(C163 * (1 + AVERAGE(Filter('Inflation Data'!$C:$C,'Inflation Data'!$A:$A = D$1))) + 'Fund YTD Contributions'!D163,'Fund YTD Contributions'!D163)"),0.0)</f>
        <v>0</v>
      </c>
      <c r="E163" s="152">
        <f>IFERROR(__xludf.DUMMYFUNCTION("IFERROR(D163 * (1 + AVERAGE(Filter('Inflation Data'!$C:$C,'Inflation Data'!$A:$A = E$1))) + 'Fund YTD Contributions'!E163,'Fund YTD Contributions'!E163)"),0.0)</f>
        <v>0</v>
      </c>
      <c r="F163" s="152">
        <f>IFERROR(__xludf.DUMMYFUNCTION("IFERROR(E163 * (1 + AVERAGE(Filter('Inflation Data'!$C:$C,'Inflation Data'!$A:$A = F$1))) + 'Fund YTD Contributions'!F163,'Fund YTD Contributions'!F163)"),0.0)</f>
        <v>0</v>
      </c>
      <c r="G163" s="152">
        <f>IFERROR(__xludf.DUMMYFUNCTION("IFERROR(F163 * (1 + AVERAGE(Filter('Inflation Data'!$C:$C,'Inflation Data'!$A:$A = G$1))) + 'Fund YTD Contributions'!G163,'Fund YTD Contributions'!G163)"),0.0)</f>
        <v>0</v>
      </c>
      <c r="H163" s="152">
        <f>IFERROR(__xludf.DUMMYFUNCTION("IFERROR(G163 * (1 + AVERAGE(Filter('Inflation Data'!$C:$C,'Inflation Data'!$A:$A = H$1))) + 'Fund YTD Contributions'!H163,'Fund YTD Contributions'!H163)"),0.0)</f>
        <v>0</v>
      </c>
      <c r="I163" s="152">
        <f>IFERROR(__xludf.DUMMYFUNCTION("IFERROR(H163 * (1 + AVERAGE(Filter('Inflation Data'!$C:$C,'Inflation Data'!$A:$A = I$1))) + 'Fund YTD Contributions'!I163,'Fund YTD Contributions'!I163)"),0.0)</f>
        <v>0</v>
      </c>
      <c r="J163" s="152">
        <f>IFERROR(__xludf.DUMMYFUNCTION("IFERROR(I163 * (1 + AVERAGE(Filter('Inflation Data'!$C:$C,'Inflation Data'!$A:$A = J$1))) + 'Fund YTD Contributions'!J163,'Fund YTD Contributions'!J163)"),0.0)</f>
        <v>0</v>
      </c>
      <c r="K163" s="152">
        <f>IFERROR(__xludf.DUMMYFUNCTION("IFERROR(J163 * (1 + AVERAGE(Filter('Inflation Data'!$C:$C,'Inflation Data'!$A:$A = K$1))) + 'Fund YTD Contributions'!K163,'Fund YTD Contributions'!K163)"),0.0)</f>
        <v>0</v>
      </c>
      <c r="L163" s="152">
        <f>IFERROR(__xludf.DUMMYFUNCTION("IFERROR(K163 * (1 + AVERAGE(Filter('Inflation Data'!$C:$C,'Inflation Data'!$A:$A = L$1))) + 'Fund YTD Contributions'!L163,'Fund YTD Contributions'!L163)"),0.0)</f>
        <v>0</v>
      </c>
      <c r="M163" s="152">
        <f>IFERROR(__xludf.DUMMYFUNCTION("IFERROR(L163 * (1 + AVERAGE(Filter('Inflation Data'!$C:$C,'Inflation Data'!$A:$A = M$1))) + 'Fund YTD Contributions'!M163,'Fund YTD Contributions'!M163)"),0.0)</f>
        <v>0</v>
      </c>
      <c r="N163" s="152">
        <f>IFERROR(__xludf.DUMMYFUNCTION("IFERROR(M163 * (1 + AVERAGE(Filter('Inflation Data'!$C:$C,'Inflation Data'!$A:$A = N$1))) + 'Fund YTD Contributions'!N163,'Fund YTD Contributions'!N163)"),0.0)</f>
        <v>0</v>
      </c>
      <c r="O163" s="152">
        <f>IFERROR(__xludf.DUMMYFUNCTION("IFERROR(N163 * (1 + AVERAGE(Filter('Inflation Data'!$C:$C,'Inflation Data'!$A:$A = O$1))) + 'Fund YTD Contributions'!O163,'Fund YTD Contributions'!O163)"),0.0)</f>
        <v>0</v>
      </c>
      <c r="P163" s="152">
        <f>IFERROR(__xludf.DUMMYFUNCTION("IFERROR(O163 * (1 + AVERAGE(Filter('Inflation Data'!$C:$C,'Inflation Data'!$A:$A = P$1))) + 'Fund YTD Contributions'!P163,'Fund YTD Contributions'!P163)"),0.0)</f>
        <v>0</v>
      </c>
      <c r="Q163" s="152">
        <f>IFERROR(__xludf.DUMMYFUNCTION("IFERROR(P163 * (1 + AVERAGE(Filter('Inflation Data'!$C:$C,'Inflation Data'!$A:$A = Q$1))) + 'Fund YTD Contributions'!Q163,'Fund YTD Contributions'!Q163)"),0.0)</f>
        <v>0</v>
      </c>
      <c r="R163" s="152">
        <f>IFERROR(__xludf.DUMMYFUNCTION("IFERROR(Q163 * (1 + AVERAGE(Filter('Inflation Data'!$C:$C,'Inflation Data'!$A:$A = R$1))) + 'Fund YTD Contributions'!R163,'Fund YTD Contributions'!R163)"),0.0)</f>
        <v>0</v>
      </c>
      <c r="S163" s="152">
        <f>IFERROR(__xludf.DUMMYFUNCTION("IFERROR(R163 * (1 + AVERAGE(Filter('Inflation Data'!$C:$C,'Inflation Data'!$A:$A = S$1))) + 'Fund YTD Contributions'!S163,'Fund YTD Contributions'!S163)"),0.0)</f>
        <v>0</v>
      </c>
      <c r="T163" s="152">
        <f>IFERROR(__xludf.DUMMYFUNCTION("IFERROR(S163 * (1 + AVERAGE(Filter('Inflation Data'!$C:$C,'Inflation Data'!$A:$A = T$1))) + 'Fund YTD Contributions'!T163,'Fund YTD Contributions'!T163)"),0.0)</f>
        <v>0</v>
      </c>
      <c r="U163" s="152">
        <f>IFERROR(__xludf.DUMMYFUNCTION("IFERROR(T163 * (1 + AVERAGE(Filter('Inflation Data'!$C:$C,'Inflation Data'!$A:$A = U$1))) + 'Fund YTD Contributions'!U163,'Fund YTD Contributions'!U163)"),0.0)</f>
        <v>0</v>
      </c>
      <c r="V163" s="152">
        <f>IFERROR(__xludf.DUMMYFUNCTION("IFERROR(U163 * (1 + AVERAGE(Filter('Inflation Data'!$C:$C,'Inflation Data'!$A:$A = V$1))) + 'Fund YTD Contributions'!V163,'Fund YTD Contributions'!V163)"),0.0)</f>
        <v>0</v>
      </c>
      <c r="W163" s="152">
        <f>IFERROR(__xludf.DUMMYFUNCTION("IFERROR(V163 * (1 + AVERAGE(Filter('Inflation Data'!$C:$C,'Inflation Data'!$A:$A = W$1))) + 'Fund YTD Contributions'!W163,'Fund YTD Contributions'!W163)"),0.0)</f>
        <v>0</v>
      </c>
      <c r="X163" s="152">
        <f>IFERROR(__xludf.DUMMYFUNCTION("IFERROR(W163 * (1 + AVERAGE(Filter('Inflation Data'!$C:$C,'Inflation Data'!$A:$A = X$1))) + 'Fund YTD Contributions'!X163,'Fund YTD Contributions'!X163)"),0.0)</f>
        <v>0</v>
      </c>
      <c r="Y163" s="152">
        <f>IFERROR(__xludf.DUMMYFUNCTION("IFERROR(X163 * (1 + AVERAGE(Filter('Inflation Data'!$C:$C,'Inflation Data'!$A:$A = Y$1))) + 'Fund YTD Contributions'!Y163,'Fund YTD Contributions'!Y163)"),0.0)</f>
        <v>0</v>
      </c>
      <c r="Z163" s="152">
        <f>IFERROR(__xludf.DUMMYFUNCTION("IFERROR(Y163 * (1 + AVERAGE(Filter('Inflation Data'!$C:$C,'Inflation Data'!$A:$A = Z$1))) + 'Fund YTD Contributions'!Z163,'Fund YTD Contributions'!Z163)"),0.0)</f>
        <v>0</v>
      </c>
      <c r="AA163" s="152"/>
      <c r="AB163" s="152"/>
      <c r="AC163" s="152"/>
      <c r="AD163" s="152"/>
      <c r="AE163" s="152"/>
      <c r="AF163" s="152"/>
    </row>
    <row r="164">
      <c r="A164" s="150" t="str">
        <f>'Endowed Funds'!A:A</f>
        <v/>
      </c>
      <c r="B164" s="152">
        <f>IFERROR(__xludf.DUMMYFUNCTION("IFERROR(A164 * (1 + AVERAGE(Filter('Inflation Data'!$C:$C,'Inflation Data'!$A:$A = B$1))) + 'Fund YTD Contributions'!B164,'Fund YTD Contributions'!B164)"),0.0)</f>
        <v>0</v>
      </c>
      <c r="C164" s="152">
        <f>IFERROR(__xludf.DUMMYFUNCTION("IFERROR(B164 * (1 + AVERAGE(Filter('Inflation Data'!$C:$C,'Inflation Data'!$A:$A = C$1))) + 'Fund YTD Contributions'!C164,'Fund YTD Contributions'!C164)"),0.0)</f>
        <v>0</v>
      </c>
      <c r="D164" s="152">
        <f>IFERROR(__xludf.DUMMYFUNCTION("IFERROR(C164 * (1 + AVERAGE(Filter('Inflation Data'!$C:$C,'Inflation Data'!$A:$A = D$1))) + 'Fund YTD Contributions'!D164,'Fund YTD Contributions'!D164)"),0.0)</f>
        <v>0</v>
      </c>
      <c r="E164" s="152">
        <f>IFERROR(__xludf.DUMMYFUNCTION("IFERROR(D164 * (1 + AVERAGE(Filter('Inflation Data'!$C:$C,'Inflation Data'!$A:$A = E$1))) + 'Fund YTD Contributions'!E164,'Fund YTD Contributions'!E164)"),0.0)</f>
        <v>0</v>
      </c>
      <c r="F164" s="152">
        <f>IFERROR(__xludf.DUMMYFUNCTION("IFERROR(E164 * (1 + AVERAGE(Filter('Inflation Data'!$C:$C,'Inflation Data'!$A:$A = F$1))) + 'Fund YTD Contributions'!F164,'Fund YTD Contributions'!F164)"),0.0)</f>
        <v>0</v>
      </c>
      <c r="G164" s="152">
        <f>IFERROR(__xludf.DUMMYFUNCTION("IFERROR(F164 * (1 + AVERAGE(Filter('Inflation Data'!$C:$C,'Inflation Data'!$A:$A = G$1))) + 'Fund YTD Contributions'!G164,'Fund YTD Contributions'!G164)"),0.0)</f>
        <v>0</v>
      </c>
      <c r="H164" s="152">
        <f>IFERROR(__xludf.DUMMYFUNCTION("IFERROR(G164 * (1 + AVERAGE(Filter('Inflation Data'!$C:$C,'Inflation Data'!$A:$A = H$1))) + 'Fund YTD Contributions'!H164,'Fund YTD Contributions'!H164)"),0.0)</f>
        <v>0</v>
      </c>
      <c r="I164" s="152">
        <f>IFERROR(__xludf.DUMMYFUNCTION("IFERROR(H164 * (1 + AVERAGE(Filter('Inflation Data'!$C:$C,'Inflation Data'!$A:$A = I$1))) + 'Fund YTD Contributions'!I164,'Fund YTD Contributions'!I164)"),0.0)</f>
        <v>0</v>
      </c>
      <c r="J164" s="152">
        <f>IFERROR(__xludf.DUMMYFUNCTION("IFERROR(I164 * (1 + AVERAGE(Filter('Inflation Data'!$C:$C,'Inflation Data'!$A:$A = J$1))) + 'Fund YTD Contributions'!J164,'Fund YTD Contributions'!J164)"),0.0)</f>
        <v>0</v>
      </c>
      <c r="K164" s="152">
        <f>IFERROR(__xludf.DUMMYFUNCTION("IFERROR(J164 * (1 + AVERAGE(Filter('Inflation Data'!$C:$C,'Inflation Data'!$A:$A = K$1))) + 'Fund YTD Contributions'!K164,'Fund YTD Contributions'!K164)"),0.0)</f>
        <v>0</v>
      </c>
      <c r="L164" s="152">
        <f>IFERROR(__xludf.DUMMYFUNCTION("IFERROR(K164 * (1 + AVERAGE(Filter('Inflation Data'!$C:$C,'Inflation Data'!$A:$A = L$1))) + 'Fund YTD Contributions'!L164,'Fund YTD Contributions'!L164)"),0.0)</f>
        <v>0</v>
      </c>
      <c r="M164" s="152">
        <f>IFERROR(__xludf.DUMMYFUNCTION("IFERROR(L164 * (1 + AVERAGE(Filter('Inflation Data'!$C:$C,'Inflation Data'!$A:$A = M$1))) + 'Fund YTD Contributions'!M164,'Fund YTD Contributions'!M164)"),0.0)</f>
        <v>0</v>
      </c>
      <c r="N164" s="152">
        <f>IFERROR(__xludf.DUMMYFUNCTION("IFERROR(M164 * (1 + AVERAGE(Filter('Inflation Data'!$C:$C,'Inflation Data'!$A:$A = N$1))) + 'Fund YTD Contributions'!N164,'Fund YTD Contributions'!N164)"),0.0)</f>
        <v>0</v>
      </c>
      <c r="O164" s="152">
        <f>IFERROR(__xludf.DUMMYFUNCTION("IFERROR(N164 * (1 + AVERAGE(Filter('Inflation Data'!$C:$C,'Inflation Data'!$A:$A = O$1))) + 'Fund YTD Contributions'!O164,'Fund YTD Contributions'!O164)"),0.0)</f>
        <v>0</v>
      </c>
      <c r="P164" s="152">
        <f>IFERROR(__xludf.DUMMYFUNCTION("IFERROR(O164 * (1 + AVERAGE(Filter('Inflation Data'!$C:$C,'Inflation Data'!$A:$A = P$1))) + 'Fund YTD Contributions'!P164,'Fund YTD Contributions'!P164)"),0.0)</f>
        <v>0</v>
      </c>
      <c r="Q164" s="152">
        <f>IFERROR(__xludf.DUMMYFUNCTION("IFERROR(P164 * (1 + AVERAGE(Filter('Inflation Data'!$C:$C,'Inflation Data'!$A:$A = Q$1))) + 'Fund YTD Contributions'!Q164,'Fund YTD Contributions'!Q164)"),0.0)</f>
        <v>0</v>
      </c>
      <c r="R164" s="152">
        <f>IFERROR(__xludf.DUMMYFUNCTION("IFERROR(Q164 * (1 + AVERAGE(Filter('Inflation Data'!$C:$C,'Inflation Data'!$A:$A = R$1))) + 'Fund YTD Contributions'!R164,'Fund YTD Contributions'!R164)"),0.0)</f>
        <v>0</v>
      </c>
      <c r="S164" s="152">
        <f>IFERROR(__xludf.DUMMYFUNCTION("IFERROR(R164 * (1 + AVERAGE(Filter('Inflation Data'!$C:$C,'Inflation Data'!$A:$A = S$1))) + 'Fund YTD Contributions'!S164,'Fund YTD Contributions'!S164)"),0.0)</f>
        <v>0</v>
      </c>
      <c r="T164" s="152">
        <f>IFERROR(__xludf.DUMMYFUNCTION("IFERROR(S164 * (1 + AVERAGE(Filter('Inflation Data'!$C:$C,'Inflation Data'!$A:$A = T$1))) + 'Fund YTD Contributions'!T164,'Fund YTD Contributions'!T164)"),0.0)</f>
        <v>0</v>
      </c>
      <c r="U164" s="152">
        <f>IFERROR(__xludf.DUMMYFUNCTION("IFERROR(T164 * (1 + AVERAGE(Filter('Inflation Data'!$C:$C,'Inflation Data'!$A:$A = U$1))) + 'Fund YTD Contributions'!U164,'Fund YTD Contributions'!U164)"),0.0)</f>
        <v>0</v>
      </c>
      <c r="V164" s="152">
        <f>IFERROR(__xludf.DUMMYFUNCTION("IFERROR(U164 * (1 + AVERAGE(Filter('Inflation Data'!$C:$C,'Inflation Data'!$A:$A = V$1))) + 'Fund YTD Contributions'!V164,'Fund YTD Contributions'!V164)"),0.0)</f>
        <v>0</v>
      </c>
      <c r="W164" s="152">
        <f>IFERROR(__xludf.DUMMYFUNCTION("IFERROR(V164 * (1 + AVERAGE(Filter('Inflation Data'!$C:$C,'Inflation Data'!$A:$A = W$1))) + 'Fund YTD Contributions'!W164,'Fund YTD Contributions'!W164)"),0.0)</f>
        <v>0</v>
      </c>
      <c r="X164" s="152">
        <f>IFERROR(__xludf.DUMMYFUNCTION("IFERROR(W164 * (1 + AVERAGE(Filter('Inflation Data'!$C:$C,'Inflation Data'!$A:$A = X$1))) + 'Fund YTD Contributions'!X164,'Fund YTD Contributions'!X164)"),0.0)</f>
        <v>0</v>
      </c>
      <c r="Y164" s="152">
        <f>IFERROR(__xludf.DUMMYFUNCTION("IFERROR(X164 * (1 + AVERAGE(Filter('Inflation Data'!$C:$C,'Inflation Data'!$A:$A = Y$1))) + 'Fund YTD Contributions'!Y164,'Fund YTD Contributions'!Y164)"),0.0)</f>
        <v>0</v>
      </c>
      <c r="Z164" s="152">
        <f>IFERROR(__xludf.DUMMYFUNCTION("IFERROR(Y164 * (1 + AVERAGE(Filter('Inflation Data'!$C:$C,'Inflation Data'!$A:$A = Z$1))) + 'Fund YTD Contributions'!Z164,'Fund YTD Contributions'!Z164)"),0.0)</f>
        <v>0</v>
      </c>
      <c r="AA164" s="152"/>
      <c r="AB164" s="152"/>
      <c r="AC164" s="152"/>
      <c r="AD164" s="152"/>
      <c r="AE164" s="152"/>
      <c r="AF164" s="152"/>
    </row>
    <row r="165">
      <c r="A165" s="150" t="str">
        <f>'Endowed Funds'!A:A</f>
        <v/>
      </c>
      <c r="B165" s="152">
        <f>IFERROR(__xludf.DUMMYFUNCTION("IFERROR(A165 * (1 + AVERAGE(Filter('Inflation Data'!$C:$C,'Inflation Data'!$A:$A = B$1))) + 'Fund YTD Contributions'!B165,'Fund YTD Contributions'!B165)"),0.0)</f>
        <v>0</v>
      </c>
      <c r="C165" s="152">
        <f>IFERROR(__xludf.DUMMYFUNCTION("IFERROR(B165 * (1 + AVERAGE(Filter('Inflation Data'!$C:$C,'Inflation Data'!$A:$A = C$1))) + 'Fund YTD Contributions'!C165,'Fund YTD Contributions'!C165)"),0.0)</f>
        <v>0</v>
      </c>
      <c r="D165" s="152">
        <f>IFERROR(__xludf.DUMMYFUNCTION("IFERROR(C165 * (1 + AVERAGE(Filter('Inflation Data'!$C:$C,'Inflation Data'!$A:$A = D$1))) + 'Fund YTD Contributions'!D165,'Fund YTD Contributions'!D165)"),0.0)</f>
        <v>0</v>
      </c>
      <c r="E165" s="152">
        <f>IFERROR(__xludf.DUMMYFUNCTION("IFERROR(D165 * (1 + AVERAGE(Filter('Inflation Data'!$C:$C,'Inflation Data'!$A:$A = E$1))) + 'Fund YTD Contributions'!E165,'Fund YTD Contributions'!E165)"),0.0)</f>
        <v>0</v>
      </c>
      <c r="F165" s="152">
        <f>IFERROR(__xludf.DUMMYFUNCTION("IFERROR(E165 * (1 + AVERAGE(Filter('Inflation Data'!$C:$C,'Inflation Data'!$A:$A = F$1))) + 'Fund YTD Contributions'!F165,'Fund YTD Contributions'!F165)"),0.0)</f>
        <v>0</v>
      </c>
      <c r="G165" s="152">
        <f>IFERROR(__xludf.DUMMYFUNCTION("IFERROR(F165 * (1 + AVERAGE(Filter('Inflation Data'!$C:$C,'Inflation Data'!$A:$A = G$1))) + 'Fund YTD Contributions'!G165,'Fund YTD Contributions'!G165)"),0.0)</f>
        <v>0</v>
      </c>
      <c r="H165" s="152">
        <f>IFERROR(__xludf.DUMMYFUNCTION("IFERROR(G165 * (1 + AVERAGE(Filter('Inflation Data'!$C:$C,'Inflation Data'!$A:$A = H$1))) + 'Fund YTD Contributions'!H165,'Fund YTD Contributions'!H165)"),0.0)</f>
        <v>0</v>
      </c>
      <c r="I165" s="152">
        <f>IFERROR(__xludf.DUMMYFUNCTION("IFERROR(H165 * (1 + AVERAGE(Filter('Inflation Data'!$C:$C,'Inflation Data'!$A:$A = I$1))) + 'Fund YTD Contributions'!I165,'Fund YTD Contributions'!I165)"),0.0)</f>
        <v>0</v>
      </c>
      <c r="J165" s="152">
        <f>IFERROR(__xludf.DUMMYFUNCTION("IFERROR(I165 * (1 + AVERAGE(Filter('Inflation Data'!$C:$C,'Inflation Data'!$A:$A = J$1))) + 'Fund YTD Contributions'!J165,'Fund YTD Contributions'!J165)"),0.0)</f>
        <v>0</v>
      </c>
      <c r="K165" s="152">
        <f>IFERROR(__xludf.DUMMYFUNCTION("IFERROR(J165 * (1 + AVERAGE(Filter('Inflation Data'!$C:$C,'Inflation Data'!$A:$A = K$1))) + 'Fund YTD Contributions'!K165,'Fund YTD Contributions'!K165)"),0.0)</f>
        <v>0</v>
      </c>
      <c r="L165" s="152">
        <f>IFERROR(__xludf.DUMMYFUNCTION("IFERROR(K165 * (1 + AVERAGE(Filter('Inflation Data'!$C:$C,'Inflation Data'!$A:$A = L$1))) + 'Fund YTD Contributions'!L165,'Fund YTD Contributions'!L165)"),0.0)</f>
        <v>0</v>
      </c>
      <c r="M165" s="152">
        <f>IFERROR(__xludf.DUMMYFUNCTION("IFERROR(L165 * (1 + AVERAGE(Filter('Inflation Data'!$C:$C,'Inflation Data'!$A:$A = M$1))) + 'Fund YTD Contributions'!M165,'Fund YTD Contributions'!M165)"),0.0)</f>
        <v>0</v>
      </c>
      <c r="N165" s="152">
        <f>IFERROR(__xludf.DUMMYFUNCTION("IFERROR(M165 * (1 + AVERAGE(Filter('Inflation Data'!$C:$C,'Inflation Data'!$A:$A = N$1))) + 'Fund YTD Contributions'!N165,'Fund YTD Contributions'!N165)"),0.0)</f>
        <v>0</v>
      </c>
      <c r="O165" s="152">
        <f>IFERROR(__xludf.DUMMYFUNCTION("IFERROR(N165 * (1 + AVERAGE(Filter('Inflation Data'!$C:$C,'Inflation Data'!$A:$A = O$1))) + 'Fund YTD Contributions'!O165,'Fund YTD Contributions'!O165)"),0.0)</f>
        <v>0</v>
      </c>
      <c r="P165" s="152">
        <f>IFERROR(__xludf.DUMMYFUNCTION("IFERROR(O165 * (1 + AVERAGE(Filter('Inflation Data'!$C:$C,'Inflation Data'!$A:$A = P$1))) + 'Fund YTD Contributions'!P165,'Fund YTD Contributions'!P165)"),0.0)</f>
        <v>0</v>
      </c>
      <c r="Q165" s="152">
        <f>IFERROR(__xludf.DUMMYFUNCTION("IFERROR(P165 * (1 + AVERAGE(Filter('Inflation Data'!$C:$C,'Inflation Data'!$A:$A = Q$1))) + 'Fund YTD Contributions'!Q165,'Fund YTD Contributions'!Q165)"),0.0)</f>
        <v>0</v>
      </c>
      <c r="R165" s="152">
        <f>IFERROR(__xludf.DUMMYFUNCTION("IFERROR(Q165 * (1 + AVERAGE(Filter('Inflation Data'!$C:$C,'Inflation Data'!$A:$A = R$1))) + 'Fund YTD Contributions'!R165,'Fund YTD Contributions'!R165)"),0.0)</f>
        <v>0</v>
      </c>
      <c r="S165" s="152">
        <f>IFERROR(__xludf.DUMMYFUNCTION("IFERROR(R165 * (1 + AVERAGE(Filter('Inflation Data'!$C:$C,'Inflation Data'!$A:$A = S$1))) + 'Fund YTD Contributions'!S165,'Fund YTD Contributions'!S165)"),0.0)</f>
        <v>0</v>
      </c>
      <c r="T165" s="152">
        <f>IFERROR(__xludf.DUMMYFUNCTION("IFERROR(S165 * (1 + AVERAGE(Filter('Inflation Data'!$C:$C,'Inflation Data'!$A:$A = T$1))) + 'Fund YTD Contributions'!T165,'Fund YTD Contributions'!T165)"),0.0)</f>
        <v>0</v>
      </c>
      <c r="U165" s="152">
        <f>IFERROR(__xludf.DUMMYFUNCTION("IFERROR(T165 * (1 + AVERAGE(Filter('Inflation Data'!$C:$C,'Inflation Data'!$A:$A = U$1))) + 'Fund YTD Contributions'!U165,'Fund YTD Contributions'!U165)"),0.0)</f>
        <v>0</v>
      </c>
      <c r="V165" s="152">
        <f>IFERROR(__xludf.DUMMYFUNCTION("IFERROR(U165 * (1 + AVERAGE(Filter('Inflation Data'!$C:$C,'Inflation Data'!$A:$A = V$1))) + 'Fund YTD Contributions'!V165,'Fund YTD Contributions'!V165)"),0.0)</f>
        <v>0</v>
      </c>
      <c r="W165" s="152">
        <f>IFERROR(__xludf.DUMMYFUNCTION("IFERROR(V165 * (1 + AVERAGE(Filter('Inflation Data'!$C:$C,'Inflation Data'!$A:$A = W$1))) + 'Fund YTD Contributions'!W165,'Fund YTD Contributions'!W165)"),0.0)</f>
        <v>0</v>
      </c>
      <c r="X165" s="152">
        <f>IFERROR(__xludf.DUMMYFUNCTION("IFERROR(W165 * (1 + AVERAGE(Filter('Inflation Data'!$C:$C,'Inflation Data'!$A:$A = X$1))) + 'Fund YTD Contributions'!X165,'Fund YTD Contributions'!X165)"),0.0)</f>
        <v>0</v>
      </c>
      <c r="Y165" s="152">
        <f>IFERROR(__xludf.DUMMYFUNCTION("IFERROR(X165 * (1 + AVERAGE(Filter('Inflation Data'!$C:$C,'Inflation Data'!$A:$A = Y$1))) + 'Fund YTD Contributions'!Y165,'Fund YTD Contributions'!Y165)"),0.0)</f>
        <v>0</v>
      </c>
      <c r="Z165" s="152">
        <f>IFERROR(__xludf.DUMMYFUNCTION("IFERROR(Y165 * (1 + AVERAGE(Filter('Inflation Data'!$C:$C,'Inflation Data'!$A:$A = Z$1))) + 'Fund YTD Contributions'!Z165,'Fund YTD Contributions'!Z165)"),0.0)</f>
        <v>0</v>
      </c>
      <c r="AA165" s="152"/>
      <c r="AB165" s="152"/>
      <c r="AC165" s="152"/>
      <c r="AD165" s="152"/>
      <c r="AE165" s="152"/>
      <c r="AF165" s="152"/>
    </row>
    <row r="166">
      <c r="A166" s="150" t="str">
        <f>'Endowed Funds'!A:A</f>
        <v/>
      </c>
      <c r="B166" s="152">
        <f>IFERROR(__xludf.DUMMYFUNCTION("IFERROR(A166 * (1 + AVERAGE(Filter('Inflation Data'!$C:$C,'Inflation Data'!$A:$A = B$1))) + 'Fund YTD Contributions'!B166,'Fund YTD Contributions'!B166)"),0.0)</f>
        <v>0</v>
      </c>
      <c r="C166" s="152">
        <f>IFERROR(__xludf.DUMMYFUNCTION("IFERROR(B166 * (1 + AVERAGE(Filter('Inflation Data'!$C:$C,'Inflation Data'!$A:$A = C$1))) + 'Fund YTD Contributions'!C166,'Fund YTD Contributions'!C166)"),0.0)</f>
        <v>0</v>
      </c>
      <c r="D166" s="152">
        <f>IFERROR(__xludf.DUMMYFUNCTION("IFERROR(C166 * (1 + AVERAGE(Filter('Inflation Data'!$C:$C,'Inflation Data'!$A:$A = D$1))) + 'Fund YTD Contributions'!D166,'Fund YTD Contributions'!D166)"),0.0)</f>
        <v>0</v>
      </c>
      <c r="E166" s="152">
        <f>IFERROR(__xludf.DUMMYFUNCTION("IFERROR(D166 * (1 + AVERAGE(Filter('Inflation Data'!$C:$C,'Inflation Data'!$A:$A = E$1))) + 'Fund YTD Contributions'!E166,'Fund YTD Contributions'!E166)"),0.0)</f>
        <v>0</v>
      </c>
      <c r="F166" s="152">
        <f>IFERROR(__xludf.DUMMYFUNCTION("IFERROR(E166 * (1 + AVERAGE(Filter('Inflation Data'!$C:$C,'Inflation Data'!$A:$A = F$1))) + 'Fund YTD Contributions'!F166,'Fund YTD Contributions'!F166)"),0.0)</f>
        <v>0</v>
      </c>
      <c r="G166" s="152">
        <f>IFERROR(__xludf.DUMMYFUNCTION("IFERROR(F166 * (1 + AVERAGE(Filter('Inflation Data'!$C:$C,'Inflation Data'!$A:$A = G$1))) + 'Fund YTD Contributions'!G166,'Fund YTD Contributions'!G166)"),0.0)</f>
        <v>0</v>
      </c>
      <c r="H166" s="152">
        <f>IFERROR(__xludf.DUMMYFUNCTION("IFERROR(G166 * (1 + AVERAGE(Filter('Inflation Data'!$C:$C,'Inflation Data'!$A:$A = H$1))) + 'Fund YTD Contributions'!H166,'Fund YTD Contributions'!H166)"),0.0)</f>
        <v>0</v>
      </c>
      <c r="I166" s="152">
        <f>IFERROR(__xludf.DUMMYFUNCTION("IFERROR(H166 * (1 + AVERAGE(Filter('Inflation Data'!$C:$C,'Inflation Data'!$A:$A = I$1))) + 'Fund YTD Contributions'!I166,'Fund YTD Contributions'!I166)"),0.0)</f>
        <v>0</v>
      </c>
      <c r="J166" s="152">
        <f>IFERROR(__xludf.DUMMYFUNCTION("IFERROR(I166 * (1 + AVERAGE(Filter('Inflation Data'!$C:$C,'Inflation Data'!$A:$A = J$1))) + 'Fund YTD Contributions'!J166,'Fund YTD Contributions'!J166)"),0.0)</f>
        <v>0</v>
      </c>
      <c r="K166" s="152">
        <f>IFERROR(__xludf.DUMMYFUNCTION("IFERROR(J166 * (1 + AVERAGE(Filter('Inflation Data'!$C:$C,'Inflation Data'!$A:$A = K$1))) + 'Fund YTD Contributions'!K166,'Fund YTD Contributions'!K166)"),0.0)</f>
        <v>0</v>
      </c>
      <c r="L166" s="152">
        <f>IFERROR(__xludf.DUMMYFUNCTION("IFERROR(K166 * (1 + AVERAGE(Filter('Inflation Data'!$C:$C,'Inflation Data'!$A:$A = L$1))) + 'Fund YTD Contributions'!L166,'Fund YTD Contributions'!L166)"),0.0)</f>
        <v>0</v>
      </c>
      <c r="M166" s="152">
        <f>IFERROR(__xludf.DUMMYFUNCTION("IFERROR(L166 * (1 + AVERAGE(Filter('Inflation Data'!$C:$C,'Inflation Data'!$A:$A = M$1))) + 'Fund YTD Contributions'!M166,'Fund YTD Contributions'!M166)"),0.0)</f>
        <v>0</v>
      </c>
      <c r="N166" s="152">
        <f>IFERROR(__xludf.DUMMYFUNCTION("IFERROR(M166 * (1 + AVERAGE(Filter('Inflation Data'!$C:$C,'Inflation Data'!$A:$A = N$1))) + 'Fund YTD Contributions'!N166,'Fund YTD Contributions'!N166)"),0.0)</f>
        <v>0</v>
      </c>
      <c r="O166" s="152">
        <f>IFERROR(__xludf.DUMMYFUNCTION("IFERROR(N166 * (1 + AVERAGE(Filter('Inflation Data'!$C:$C,'Inflation Data'!$A:$A = O$1))) + 'Fund YTD Contributions'!O166,'Fund YTD Contributions'!O166)"),0.0)</f>
        <v>0</v>
      </c>
      <c r="P166" s="152">
        <f>IFERROR(__xludf.DUMMYFUNCTION("IFERROR(O166 * (1 + AVERAGE(Filter('Inflation Data'!$C:$C,'Inflation Data'!$A:$A = P$1))) + 'Fund YTD Contributions'!P166,'Fund YTD Contributions'!P166)"),0.0)</f>
        <v>0</v>
      </c>
      <c r="Q166" s="152">
        <f>IFERROR(__xludf.DUMMYFUNCTION("IFERROR(P166 * (1 + AVERAGE(Filter('Inflation Data'!$C:$C,'Inflation Data'!$A:$A = Q$1))) + 'Fund YTD Contributions'!Q166,'Fund YTD Contributions'!Q166)"),0.0)</f>
        <v>0</v>
      </c>
      <c r="R166" s="152">
        <f>IFERROR(__xludf.DUMMYFUNCTION("IFERROR(Q166 * (1 + AVERAGE(Filter('Inflation Data'!$C:$C,'Inflation Data'!$A:$A = R$1))) + 'Fund YTD Contributions'!R166,'Fund YTD Contributions'!R166)"),0.0)</f>
        <v>0</v>
      </c>
      <c r="S166" s="152">
        <f>IFERROR(__xludf.DUMMYFUNCTION("IFERROR(R166 * (1 + AVERAGE(Filter('Inflation Data'!$C:$C,'Inflation Data'!$A:$A = S$1))) + 'Fund YTD Contributions'!S166,'Fund YTD Contributions'!S166)"),0.0)</f>
        <v>0</v>
      </c>
      <c r="T166" s="152">
        <f>IFERROR(__xludf.DUMMYFUNCTION("IFERROR(S166 * (1 + AVERAGE(Filter('Inflation Data'!$C:$C,'Inflation Data'!$A:$A = T$1))) + 'Fund YTD Contributions'!T166,'Fund YTD Contributions'!T166)"),0.0)</f>
        <v>0</v>
      </c>
      <c r="U166" s="152">
        <f>IFERROR(__xludf.DUMMYFUNCTION("IFERROR(T166 * (1 + AVERAGE(Filter('Inflation Data'!$C:$C,'Inflation Data'!$A:$A = U$1))) + 'Fund YTD Contributions'!U166,'Fund YTD Contributions'!U166)"),0.0)</f>
        <v>0</v>
      </c>
      <c r="V166" s="152">
        <f>IFERROR(__xludf.DUMMYFUNCTION("IFERROR(U166 * (1 + AVERAGE(Filter('Inflation Data'!$C:$C,'Inflation Data'!$A:$A = V$1))) + 'Fund YTD Contributions'!V166,'Fund YTD Contributions'!V166)"),0.0)</f>
        <v>0</v>
      </c>
      <c r="W166" s="152">
        <f>IFERROR(__xludf.DUMMYFUNCTION("IFERROR(V166 * (1 + AVERAGE(Filter('Inflation Data'!$C:$C,'Inflation Data'!$A:$A = W$1))) + 'Fund YTD Contributions'!W166,'Fund YTD Contributions'!W166)"),0.0)</f>
        <v>0</v>
      </c>
      <c r="X166" s="152">
        <f>IFERROR(__xludf.DUMMYFUNCTION("IFERROR(W166 * (1 + AVERAGE(Filter('Inflation Data'!$C:$C,'Inflation Data'!$A:$A = X$1))) + 'Fund YTD Contributions'!X166,'Fund YTD Contributions'!X166)"),0.0)</f>
        <v>0</v>
      </c>
      <c r="Y166" s="152">
        <f>IFERROR(__xludf.DUMMYFUNCTION("IFERROR(X166 * (1 + AVERAGE(Filter('Inflation Data'!$C:$C,'Inflation Data'!$A:$A = Y$1))) + 'Fund YTD Contributions'!Y166,'Fund YTD Contributions'!Y166)"),0.0)</f>
        <v>0</v>
      </c>
      <c r="Z166" s="152">
        <f>IFERROR(__xludf.DUMMYFUNCTION("IFERROR(Y166 * (1 + AVERAGE(Filter('Inflation Data'!$C:$C,'Inflation Data'!$A:$A = Z$1))) + 'Fund YTD Contributions'!Z166,'Fund YTD Contributions'!Z166)"),0.0)</f>
        <v>0</v>
      </c>
      <c r="AA166" s="152"/>
      <c r="AB166" s="152"/>
      <c r="AC166" s="152"/>
      <c r="AD166" s="152"/>
      <c r="AE166" s="152"/>
      <c r="AF166" s="152"/>
    </row>
    <row r="167">
      <c r="A167" s="150" t="str">
        <f>'Endowed Funds'!A:A</f>
        <v/>
      </c>
      <c r="B167" s="152">
        <f>IFERROR(__xludf.DUMMYFUNCTION("IFERROR(A167 * (1 + AVERAGE(Filter('Inflation Data'!$C:$C,'Inflation Data'!$A:$A = B$1))) + 'Fund YTD Contributions'!B167,'Fund YTD Contributions'!B167)"),0.0)</f>
        <v>0</v>
      </c>
      <c r="C167" s="152">
        <f>IFERROR(__xludf.DUMMYFUNCTION("IFERROR(B167 * (1 + AVERAGE(Filter('Inflation Data'!$C:$C,'Inflation Data'!$A:$A = C$1))) + 'Fund YTD Contributions'!C167,'Fund YTD Contributions'!C167)"),0.0)</f>
        <v>0</v>
      </c>
      <c r="D167" s="152">
        <f>IFERROR(__xludf.DUMMYFUNCTION("IFERROR(C167 * (1 + AVERAGE(Filter('Inflation Data'!$C:$C,'Inflation Data'!$A:$A = D$1))) + 'Fund YTD Contributions'!D167,'Fund YTD Contributions'!D167)"),0.0)</f>
        <v>0</v>
      </c>
      <c r="E167" s="152">
        <f>IFERROR(__xludf.DUMMYFUNCTION("IFERROR(D167 * (1 + AVERAGE(Filter('Inflation Data'!$C:$C,'Inflation Data'!$A:$A = E$1))) + 'Fund YTD Contributions'!E167,'Fund YTD Contributions'!E167)"),0.0)</f>
        <v>0</v>
      </c>
      <c r="F167" s="152">
        <f>IFERROR(__xludf.DUMMYFUNCTION("IFERROR(E167 * (1 + AVERAGE(Filter('Inflation Data'!$C:$C,'Inflation Data'!$A:$A = F$1))) + 'Fund YTD Contributions'!F167,'Fund YTD Contributions'!F167)"),0.0)</f>
        <v>0</v>
      </c>
      <c r="G167" s="152">
        <f>IFERROR(__xludf.DUMMYFUNCTION("IFERROR(F167 * (1 + AVERAGE(Filter('Inflation Data'!$C:$C,'Inflation Data'!$A:$A = G$1))) + 'Fund YTD Contributions'!G167,'Fund YTD Contributions'!G167)"),0.0)</f>
        <v>0</v>
      </c>
      <c r="H167" s="152">
        <f>IFERROR(__xludf.DUMMYFUNCTION("IFERROR(G167 * (1 + AVERAGE(Filter('Inflation Data'!$C:$C,'Inflation Data'!$A:$A = H$1))) + 'Fund YTD Contributions'!H167,'Fund YTD Contributions'!H167)"),0.0)</f>
        <v>0</v>
      </c>
      <c r="I167" s="152">
        <f>IFERROR(__xludf.DUMMYFUNCTION("IFERROR(H167 * (1 + AVERAGE(Filter('Inflation Data'!$C:$C,'Inflation Data'!$A:$A = I$1))) + 'Fund YTD Contributions'!I167,'Fund YTD Contributions'!I167)"),0.0)</f>
        <v>0</v>
      </c>
      <c r="J167" s="152">
        <f>IFERROR(__xludf.DUMMYFUNCTION("IFERROR(I167 * (1 + AVERAGE(Filter('Inflation Data'!$C:$C,'Inflation Data'!$A:$A = J$1))) + 'Fund YTD Contributions'!J167,'Fund YTD Contributions'!J167)"),0.0)</f>
        <v>0</v>
      </c>
      <c r="K167" s="152">
        <f>IFERROR(__xludf.DUMMYFUNCTION("IFERROR(J167 * (1 + AVERAGE(Filter('Inflation Data'!$C:$C,'Inflation Data'!$A:$A = K$1))) + 'Fund YTD Contributions'!K167,'Fund YTD Contributions'!K167)"),0.0)</f>
        <v>0</v>
      </c>
      <c r="L167" s="152">
        <f>IFERROR(__xludf.DUMMYFUNCTION("IFERROR(K167 * (1 + AVERAGE(Filter('Inflation Data'!$C:$C,'Inflation Data'!$A:$A = L$1))) + 'Fund YTD Contributions'!L167,'Fund YTD Contributions'!L167)"),0.0)</f>
        <v>0</v>
      </c>
      <c r="M167" s="152">
        <f>IFERROR(__xludf.DUMMYFUNCTION("IFERROR(L167 * (1 + AVERAGE(Filter('Inflation Data'!$C:$C,'Inflation Data'!$A:$A = M$1))) + 'Fund YTD Contributions'!M167,'Fund YTD Contributions'!M167)"),0.0)</f>
        <v>0</v>
      </c>
      <c r="N167" s="152">
        <f>IFERROR(__xludf.DUMMYFUNCTION("IFERROR(M167 * (1 + AVERAGE(Filter('Inflation Data'!$C:$C,'Inflation Data'!$A:$A = N$1))) + 'Fund YTD Contributions'!N167,'Fund YTD Contributions'!N167)"),0.0)</f>
        <v>0</v>
      </c>
      <c r="O167" s="152">
        <f>IFERROR(__xludf.DUMMYFUNCTION("IFERROR(N167 * (1 + AVERAGE(Filter('Inflation Data'!$C:$C,'Inflation Data'!$A:$A = O$1))) + 'Fund YTD Contributions'!O167,'Fund YTD Contributions'!O167)"),0.0)</f>
        <v>0</v>
      </c>
      <c r="P167" s="152">
        <f>IFERROR(__xludf.DUMMYFUNCTION("IFERROR(O167 * (1 + AVERAGE(Filter('Inflation Data'!$C:$C,'Inflation Data'!$A:$A = P$1))) + 'Fund YTD Contributions'!P167,'Fund YTD Contributions'!P167)"),0.0)</f>
        <v>0</v>
      </c>
      <c r="Q167" s="152">
        <f>IFERROR(__xludf.DUMMYFUNCTION("IFERROR(P167 * (1 + AVERAGE(Filter('Inflation Data'!$C:$C,'Inflation Data'!$A:$A = Q$1))) + 'Fund YTD Contributions'!Q167,'Fund YTD Contributions'!Q167)"),0.0)</f>
        <v>0</v>
      </c>
      <c r="R167" s="152">
        <f>IFERROR(__xludf.DUMMYFUNCTION("IFERROR(Q167 * (1 + AVERAGE(Filter('Inflation Data'!$C:$C,'Inflation Data'!$A:$A = R$1))) + 'Fund YTD Contributions'!R167,'Fund YTD Contributions'!R167)"),0.0)</f>
        <v>0</v>
      </c>
      <c r="S167" s="152">
        <f>IFERROR(__xludf.DUMMYFUNCTION("IFERROR(R167 * (1 + AVERAGE(Filter('Inflation Data'!$C:$C,'Inflation Data'!$A:$A = S$1))) + 'Fund YTD Contributions'!S167,'Fund YTD Contributions'!S167)"),0.0)</f>
        <v>0</v>
      </c>
      <c r="T167" s="152">
        <f>IFERROR(__xludf.DUMMYFUNCTION("IFERROR(S167 * (1 + AVERAGE(Filter('Inflation Data'!$C:$C,'Inflation Data'!$A:$A = T$1))) + 'Fund YTD Contributions'!T167,'Fund YTD Contributions'!T167)"),0.0)</f>
        <v>0</v>
      </c>
      <c r="U167" s="152">
        <f>IFERROR(__xludf.DUMMYFUNCTION("IFERROR(T167 * (1 + AVERAGE(Filter('Inflation Data'!$C:$C,'Inflation Data'!$A:$A = U$1))) + 'Fund YTD Contributions'!U167,'Fund YTD Contributions'!U167)"),0.0)</f>
        <v>0</v>
      </c>
      <c r="V167" s="152">
        <f>IFERROR(__xludf.DUMMYFUNCTION("IFERROR(U167 * (1 + AVERAGE(Filter('Inflation Data'!$C:$C,'Inflation Data'!$A:$A = V$1))) + 'Fund YTD Contributions'!V167,'Fund YTD Contributions'!V167)"),0.0)</f>
        <v>0</v>
      </c>
      <c r="W167" s="152">
        <f>IFERROR(__xludf.DUMMYFUNCTION("IFERROR(V167 * (1 + AVERAGE(Filter('Inflation Data'!$C:$C,'Inflation Data'!$A:$A = W$1))) + 'Fund YTD Contributions'!W167,'Fund YTD Contributions'!W167)"),0.0)</f>
        <v>0</v>
      </c>
      <c r="X167" s="152">
        <f>IFERROR(__xludf.DUMMYFUNCTION("IFERROR(W167 * (1 + AVERAGE(Filter('Inflation Data'!$C:$C,'Inflation Data'!$A:$A = X$1))) + 'Fund YTD Contributions'!X167,'Fund YTD Contributions'!X167)"),0.0)</f>
        <v>0</v>
      </c>
      <c r="Y167" s="152">
        <f>IFERROR(__xludf.DUMMYFUNCTION("IFERROR(X167 * (1 + AVERAGE(Filter('Inflation Data'!$C:$C,'Inflation Data'!$A:$A = Y$1))) + 'Fund YTD Contributions'!Y167,'Fund YTD Contributions'!Y167)"),0.0)</f>
        <v>0</v>
      </c>
      <c r="Z167" s="152">
        <f>IFERROR(__xludf.DUMMYFUNCTION("IFERROR(Y167 * (1 + AVERAGE(Filter('Inflation Data'!$C:$C,'Inflation Data'!$A:$A = Z$1))) + 'Fund YTD Contributions'!Z167,'Fund YTD Contributions'!Z167)"),0.0)</f>
        <v>0</v>
      </c>
      <c r="AA167" s="152"/>
      <c r="AB167" s="152"/>
      <c r="AC167" s="152"/>
      <c r="AD167" s="152"/>
      <c r="AE167" s="152"/>
      <c r="AF167" s="152"/>
    </row>
    <row r="168">
      <c r="A168" s="150" t="str">
        <f>'Endowed Funds'!A:A</f>
        <v/>
      </c>
      <c r="B168" s="152">
        <f>IFERROR(__xludf.DUMMYFUNCTION("IFERROR(A168 * (1 + AVERAGE(Filter('Inflation Data'!$C:$C,'Inflation Data'!$A:$A = B$1))) + 'Fund YTD Contributions'!B168,'Fund YTD Contributions'!B168)"),0.0)</f>
        <v>0</v>
      </c>
      <c r="C168" s="152">
        <f>IFERROR(__xludf.DUMMYFUNCTION("IFERROR(B168 * (1 + AVERAGE(Filter('Inflation Data'!$C:$C,'Inflation Data'!$A:$A = C$1))) + 'Fund YTD Contributions'!C168,'Fund YTD Contributions'!C168)"),0.0)</f>
        <v>0</v>
      </c>
      <c r="D168" s="152">
        <f>IFERROR(__xludf.DUMMYFUNCTION("IFERROR(C168 * (1 + AVERAGE(Filter('Inflation Data'!$C:$C,'Inflation Data'!$A:$A = D$1))) + 'Fund YTD Contributions'!D168,'Fund YTD Contributions'!D168)"),0.0)</f>
        <v>0</v>
      </c>
      <c r="E168" s="152">
        <f>IFERROR(__xludf.DUMMYFUNCTION("IFERROR(D168 * (1 + AVERAGE(Filter('Inflation Data'!$C:$C,'Inflation Data'!$A:$A = E$1))) + 'Fund YTD Contributions'!E168,'Fund YTD Contributions'!E168)"),0.0)</f>
        <v>0</v>
      </c>
      <c r="F168" s="152">
        <f>IFERROR(__xludf.DUMMYFUNCTION("IFERROR(E168 * (1 + AVERAGE(Filter('Inflation Data'!$C:$C,'Inflation Data'!$A:$A = F$1))) + 'Fund YTD Contributions'!F168,'Fund YTD Contributions'!F168)"),0.0)</f>
        <v>0</v>
      </c>
      <c r="G168" s="152">
        <f>IFERROR(__xludf.DUMMYFUNCTION("IFERROR(F168 * (1 + AVERAGE(Filter('Inflation Data'!$C:$C,'Inflation Data'!$A:$A = G$1))) + 'Fund YTD Contributions'!G168,'Fund YTD Contributions'!G168)"),0.0)</f>
        <v>0</v>
      </c>
      <c r="H168" s="152">
        <f>IFERROR(__xludf.DUMMYFUNCTION("IFERROR(G168 * (1 + AVERAGE(Filter('Inflation Data'!$C:$C,'Inflation Data'!$A:$A = H$1))) + 'Fund YTD Contributions'!H168,'Fund YTD Contributions'!H168)"),0.0)</f>
        <v>0</v>
      </c>
      <c r="I168" s="152">
        <f>IFERROR(__xludf.DUMMYFUNCTION("IFERROR(H168 * (1 + AVERAGE(Filter('Inflation Data'!$C:$C,'Inflation Data'!$A:$A = I$1))) + 'Fund YTD Contributions'!I168,'Fund YTD Contributions'!I168)"),0.0)</f>
        <v>0</v>
      </c>
      <c r="J168" s="152">
        <f>IFERROR(__xludf.DUMMYFUNCTION("IFERROR(I168 * (1 + AVERAGE(Filter('Inflation Data'!$C:$C,'Inflation Data'!$A:$A = J$1))) + 'Fund YTD Contributions'!J168,'Fund YTD Contributions'!J168)"),0.0)</f>
        <v>0</v>
      </c>
      <c r="K168" s="152">
        <f>IFERROR(__xludf.DUMMYFUNCTION("IFERROR(J168 * (1 + AVERAGE(Filter('Inflation Data'!$C:$C,'Inflation Data'!$A:$A = K$1))) + 'Fund YTD Contributions'!K168,'Fund YTD Contributions'!K168)"),0.0)</f>
        <v>0</v>
      </c>
      <c r="L168" s="152">
        <f>IFERROR(__xludf.DUMMYFUNCTION("IFERROR(K168 * (1 + AVERAGE(Filter('Inflation Data'!$C:$C,'Inflation Data'!$A:$A = L$1))) + 'Fund YTD Contributions'!L168,'Fund YTD Contributions'!L168)"),0.0)</f>
        <v>0</v>
      </c>
      <c r="M168" s="152">
        <f>IFERROR(__xludf.DUMMYFUNCTION("IFERROR(L168 * (1 + AVERAGE(Filter('Inflation Data'!$C:$C,'Inflation Data'!$A:$A = M$1))) + 'Fund YTD Contributions'!M168,'Fund YTD Contributions'!M168)"),0.0)</f>
        <v>0</v>
      </c>
      <c r="N168" s="152">
        <f>IFERROR(__xludf.DUMMYFUNCTION("IFERROR(M168 * (1 + AVERAGE(Filter('Inflation Data'!$C:$C,'Inflation Data'!$A:$A = N$1))) + 'Fund YTD Contributions'!N168,'Fund YTD Contributions'!N168)"),0.0)</f>
        <v>0</v>
      </c>
      <c r="O168" s="152">
        <f>IFERROR(__xludf.DUMMYFUNCTION("IFERROR(N168 * (1 + AVERAGE(Filter('Inflation Data'!$C:$C,'Inflation Data'!$A:$A = O$1))) + 'Fund YTD Contributions'!O168,'Fund YTD Contributions'!O168)"),0.0)</f>
        <v>0</v>
      </c>
      <c r="P168" s="152">
        <f>IFERROR(__xludf.DUMMYFUNCTION("IFERROR(O168 * (1 + AVERAGE(Filter('Inflation Data'!$C:$C,'Inflation Data'!$A:$A = P$1))) + 'Fund YTD Contributions'!P168,'Fund YTD Contributions'!P168)"),0.0)</f>
        <v>0</v>
      </c>
      <c r="Q168" s="152">
        <f>IFERROR(__xludf.DUMMYFUNCTION("IFERROR(P168 * (1 + AVERAGE(Filter('Inflation Data'!$C:$C,'Inflation Data'!$A:$A = Q$1))) + 'Fund YTD Contributions'!Q168,'Fund YTD Contributions'!Q168)"),0.0)</f>
        <v>0</v>
      </c>
      <c r="R168" s="152">
        <f>IFERROR(__xludf.DUMMYFUNCTION("IFERROR(Q168 * (1 + AVERAGE(Filter('Inflation Data'!$C:$C,'Inflation Data'!$A:$A = R$1))) + 'Fund YTD Contributions'!R168,'Fund YTD Contributions'!R168)"),0.0)</f>
        <v>0</v>
      </c>
      <c r="S168" s="152">
        <f>IFERROR(__xludf.DUMMYFUNCTION("IFERROR(R168 * (1 + AVERAGE(Filter('Inflation Data'!$C:$C,'Inflation Data'!$A:$A = S$1))) + 'Fund YTD Contributions'!S168,'Fund YTD Contributions'!S168)"),0.0)</f>
        <v>0</v>
      </c>
      <c r="T168" s="152">
        <f>IFERROR(__xludf.DUMMYFUNCTION("IFERROR(S168 * (1 + AVERAGE(Filter('Inflation Data'!$C:$C,'Inflation Data'!$A:$A = T$1))) + 'Fund YTD Contributions'!T168,'Fund YTD Contributions'!T168)"),0.0)</f>
        <v>0</v>
      </c>
      <c r="U168" s="152">
        <f>IFERROR(__xludf.DUMMYFUNCTION("IFERROR(T168 * (1 + AVERAGE(Filter('Inflation Data'!$C:$C,'Inflation Data'!$A:$A = U$1))) + 'Fund YTD Contributions'!U168,'Fund YTD Contributions'!U168)"),0.0)</f>
        <v>0</v>
      </c>
      <c r="V168" s="152">
        <f>IFERROR(__xludf.DUMMYFUNCTION("IFERROR(U168 * (1 + AVERAGE(Filter('Inflation Data'!$C:$C,'Inflation Data'!$A:$A = V$1))) + 'Fund YTD Contributions'!V168,'Fund YTD Contributions'!V168)"),0.0)</f>
        <v>0</v>
      </c>
      <c r="W168" s="152">
        <f>IFERROR(__xludf.DUMMYFUNCTION("IFERROR(V168 * (1 + AVERAGE(Filter('Inflation Data'!$C:$C,'Inflation Data'!$A:$A = W$1))) + 'Fund YTD Contributions'!W168,'Fund YTD Contributions'!W168)"),0.0)</f>
        <v>0</v>
      </c>
      <c r="X168" s="152">
        <f>IFERROR(__xludf.DUMMYFUNCTION("IFERROR(W168 * (1 + AVERAGE(Filter('Inflation Data'!$C:$C,'Inflation Data'!$A:$A = X$1))) + 'Fund YTD Contributions'!X168,'Fund YTD Contributions'!X168)"),0.0)</f>
        <v>0</v>
      </c>
      <c r="Y168" s="152">
        <f>IFERROR(__xludf.DUMMYFUNCTION("IFERROR(X168 * (1 + AVERAGE(Filter('Inflation Data'!$C:$C,'Inflation Data'!$A:$A = Y$1))) + 'Fund YTD Contributions'!Y168,'Fund YTD Contributions'!Y168)"),0.0)</f>
        <v>0</v>
      </c>
      <c r="Z168" s="152">
        <f>IFERROR(__xludf.DUMMYFUNCTION("IFERROR(Y168 * (1 + AVERAGE(Filter('Inflation Data'!$C:$C,'Inflation Data'!$A:$A = Z$1))) + 'Fund YTD Contributions'!Z168,'Fund YTD Contributions'!Z168)"),0.0)</f>
        <v>0</v>
      </c>
      <c r="AA168" s="152"/>
      <c r="AB168" s="152"/>
      <c r="AC168" s="152"/>
      <c r="AD168" s="152"/>
      <c r="AE168" s="152"/>
      <c r="AF168" s="152"/>
    </row>
    <row r="169">
      <c r="A169" s="150" t="str">
        <f>'Endowed Funds'!A:A</f>
        <v/>
      </c>
      <c r="B169" s="152">
        <f>IFERROR(__xludf.DUMMYFUNCTION("IFERROR(A169 * (1 + AVERAGE(Filter('Inflation Data'!$C:$C,'Inflation Data'!$A:$A = B$1))) + 'Fund YTD Contributions'!B169,'Fund YTD Contributions'!B169)"),0.0)</f>
        <v>0</v>
      </c>
      <c r="C169" s="152">
        <f>IFERROR(__xludf.DUMMYFUNCTION("IFERROR(B169 * (1 + AVERAGE(Filter('Inflation Data'!$C:$C,'Inflation Data'!$A:$A = C$1))) + 'Fund YTD Contributions'!C169,'Fund YTD Contributions'!C169)"),0.0)</f>
        <v>0</v>
      </c>
      <c r="D169" s="152">
        <f>IFERROR(__xludf.DUMMYFUNCTION("IFERROR(C169 * (1 + AVERAGE(Filter('Inflation Data'!$C:$C,'Inflation Data'!$A:$A = D$1))) + 'Fund YTD Contributions'!D169,'Fund YTD Contributions'!D169)"),0.0)</f>
        <v>0</v>
      </c>
      <c r="E169" s="152">
        <f>IFERROR(__xludf.DUMMYFUNCTION("IFERROR(D169 * (1 + AVERAGE(Filter('Inflation Data'!$C:$C,'Inflation Data'!$A:$A = E$1))) + 'Fund YTD Contributions'!E169,'Fund YTD Contributions'!E169)"),0.0)</f>
        <v>0</v>
      </c>
      <c r="F169" s="152">
        <f>IFERROR(__xludf.DUMMYFUNCTION("IFERROR(E169 * (1 + AVERAGE(Filter('Inflation Data'!$C:$C,'Inflation Data'!$A:$A = F$1))) + 'Fund YTD Contributions'!F169,'Fund YTD Contributions'!F169)"),0.0)</f>
        <v>0</v>
      </c>
      <c r="G169" s="152">
        <f>IFERROR(__xludf.DUMMYFUNCTION("IFERROR(F169 * (1 + AVERAGE(Filter('Inflation Data'!$C:$C,'Inflation Data'!$A:$A = G$1))) + 'Fund YTD Contributions'!G169,'Fund YTD Contributions'!G169)"),0.0)</f>
        <v>0</v>
      </c>
      <c r="H169" s="152">
        <f>IFERROR(__xludf.DUMMYFUNCTION("IFERROR(G169 * (1 + AVERAGE(Filter('Inflation Data'!$C:$C,'Inflation Data'!$A:$A = H$1))) + 'Fund YTD Contributions'!H169,'Fund YTD Contributions'!H169)"),0.0)</f>
        <v>0</v>
      </c>
      <c r="I169" s="152">
        <f>IFERROR(__xludf.DUMMYFUNCTION("IFERROR(H169 * (1 + AVERAGE(Filter('Inflation Data'!$C:$C,'Inflation Data'!$A:$A = I$1))) + 'Fund YTD Contributions'!I169,'Fund YTD Contributions'!I169)"),0.0)</f>
        <v>0</v>
      </c>
      <c r="J169" s="152">
        <f>IFERROR(__xludf.DUMMYFUNCTION("IFERROR(I169 * (1 + AVERAGE(Filter('Inflation Data'!$C:$C,'Inflation Data'!$A:$A = J$1))) + 'Fund YTD Contributions'!J169,'Fund YTD Contributions'!J169)"),0.0)</f>
        <v>0</v>
      </c>
      <c r="K169" s="152">
        <f>IFERROR(__xludf.DUMMYFUNCTION("IFERROR(J169 * (1 + AVERAGE(Filter('Inflation Data'!$C:$C,'Inflation Data'!$A:$A = K$1))) + 'Fund YTD Contributions'!K169,'Fund YTD Contributions'!K169)"),0.0)</f>
        <v>0</v>
      </c>
      <c r="L169" s="152">
        <f>IFERROR(__xludf.DUMMYFUNCTION("IFERROR(K169 * (1 + AVERAGE(Filter('Inflation Data'!$C:$C,'Inflation Data'!$A:$A = L$1))) + 'Fund YTD Contributions'!L169,'Fund YTD Contributions'!L169)"),0.0)</f>
        <v>0</v>
      </c>
      <c r="M169" s="152">
        <f>IFERROR(__xludf.DUMMYFUNCTION("IFERROR(L169 * (1 + AVERAGE(Filter('Inflation Data'!$C:$C,'Inflation Data'!$A:$A = M$1))) + 'Fund YTD Contributions'!M169,'Fund YTD Contributions'!M169)"),0.0)</f>
        <v>0</v>
      </c>
      <c r="N169" s="152">
        <f>IFERROR(__xludf.DUMMYFUNCTION("IFERROR(M169 * (1 + AVERAGE(Filter('Inflation Data'!$C:$C,'Inflation Data'!$A:$A = N$1))) + 'Fund YTD Contributions'!N169,'Fund YTD Contributions'!N169)"),0.0)</f>
        <v>0</v>
      </c>
      <c r="O169" s="152">
        <f>IFERROR(__xludf.DUMMYFUNCTION("IFERROR(N169 * (1 + AVERAGE(Filter('Inflation Data'!$C:$C,'Inflation Data'!$A:$A = O$1))) + 'Fund YTD Contributions'!O169,'Fund YTD Contributions'!O169)"),0.0)</f>
        <v>0</v>
      </c>
      <c r="P169" s="152">
        <f>IFERROR(__xludf.DUMMYFUNCTION("IFERROR(O169 * (1 + AVERAGE(Filter('Inflation Data'!$C:$C,'Inflation Data'!$A:$A = P$1))) + 'Fund YTD Contributions'!P169,'Fund YTD Contributions'!P169)"),0.0)</f>
        <v>0</v>
      </c>
      <c r="Q169" s="152">
        <f>IFERROR(__xludf.DUMMYFUNCTION("IFERROR(P169 * (1 + AVERAGE(Filter('Inflation Data'!$C:$C,'Inflation Data'!$A:$A = Q$1))) + 'Fund YTD Contributions'!Q169,'Fund YTD Contributions'!Q169)"),0.0)</f>
        <v>0</v>
      </c>
      <c r="R169" s="152">
        <f>IFERROR(__xludf.DUMMYFUNCTION("IFERROR(Q169 * (1 + AVERAGE(Filter('Inflation Data'!$C:$C,'Inflation Data'!$A:$A = R$1))) + 'Fund YTD Contributions'!R169,'Fund YTD Contributions'!R169)"),0.0)</f>
        <v>0</v>
      </c>
      <c r="S169" s="152">
        <f>IFERROR(__xludf.DUMMYFUNCTION("IFERROR(R169 * (1 + AVERAGE(Filter('Inflation Data'!$C:$C,'Inflation Data'!$A:$A = S$1))) + 'Fund YTD Contributions'!S169,'Fund YTD Contributions'!S169)"),0.0)</f>
        <v>0</v>
      </c>
      <c r="T169" s="152">
        <f>IFERROR(__xludf.DUMMYFUNCTION("IFERROR(S169 * (1 + AVERAGE(Filter('Inflation Data'!$C:$C,'Inflation Data'!$A:$A = T$1))) + 'Fund YTD Contributions'!T169,'Fund YTD Contributions'!T169)"),0.0)</f>
        <v>0</v>
      </c>
      <c r="U169" s="152">
        <f>IFERROR(__xludf.DUMMYFUNCTION("IFERROR(T169 * (1 + AVERAGE(Filter('Inflation Data'!$C:$C,'Inflation Data'!$A:$A = U$1))) + 'Fund YTD Contributions'!U169,'Fund YTD Contributions'!U169)"),0.0)</f>
        <v>0</v>
      </c>
      <c r="V169" s="152">
        <f>IFERROR(__xludf.DUMMYFUNCTION("IFERROR(U169 * (1 + AVERAGE(Filter('Inflation Data'!$C:$C,'Inflation Data'!$A:$A = V$1))) + 'Fund YTD Contributions'!V169,'Fund YTD Contributions'!V169)"),0.0)</f>
        <v>0</v>
      </c>
      <c r="W169" s="152">
        <f>IFERROR(__xludf.DUMMYFUNCTION("IFERROR(V169 * (1 + AVERAGE(Filter('Inflation Data'!$C:$C,'Inflation Data'!$A:$A = W$1))) + 'Fund YTD Contributions'!W169,'Fund YTD Contributions'!W169)"),0.0)</f>
        <v>0</v>
      </c>
      <c r="X169" s="152">
        <f>IFERROR(__xludf.DUMMYFUNCTION("IFERROR(W169 * (1 + AVERAGE(Filter('Inflation Data'!$C:$C,'Inflation Data'!$A:$A = X$1))) + 'Fund YTD Contributions'!X169,'Fund YTD Contributions'!X169)"),0.0)</f>
        <v>0</v>
      </c>
      <c r="Y169" s="152">
        <f>IFERROR(__xludf.DUMMYFUNCTION("IFERROR(X169 * (1 + AVERAGE(Filter('Inflation Data'!$C:$C,'Inflation Data'!$A:$A = Y$1))) + 'Fund YTD Contributions'!Y169,'Fund YTD Contributions'!Y169)"),0.0)</f>
        <v>0</v>
      </c>
      <c r="Z169" s="152">
        <f>IFERROR(__xludf.DUMMYFUNCTION("IFERROR(Y169 * (1 + AVERAGE(Filter('Inflation Data'!$C:$C,'Inflation Data'!$A:$A = Z$1))) + 'Fund YTD Contributions'!Z169,'Fund YTD Contributions'!Z169)"),0.0)</f>
        <v>0</v>
      </c>
      <c r="AA169" s="152"/>
      <c r="AB169" s="152"/>
      <c r="AC169" s="152"/>
      <c r="AD169" s="152"/>
      <c r="AE169" s="152"/>
      <c r="AF169" s="152"/>
    </row>
    <row r="170">
      <c r="B170" s="152">
        <f>IFERROR(__xludf.DUMMYFUNCTION("IFERROR(A170 * (1 + AVERAGE(Filter('Inflation Data'!$C:$C,'Inflation Data'!$A:$A = B$1))) + 'Fund YTD Contributions'!B170,'Fund YTD Contributions'!B170)"),0.0)</f>
        <v>0</v>
      </c>
      <c r="C170" s="152">
        <f>IFERROR(__xludf.DUMMYFUNCTION("IFERROR(B170 * (1 + AVERAGE(Filter('Inflation Data'!$C:$C,'Inflation Data'!$A:$A = C$1))) + 'Fund YTD Contributions'!C170,'Fund YTD Contributions'!C170)"),0.0)</f>
        <v>0</v>
      </c>
      <c r="D170" s="152">
        <f>IFERROR(__xludf.DUMMYFUNCTION("IFERROR(C170 * (1 + AVERAGE(Filter('Inflation Data'!$C:$C,'Inflation Data'!$A:$A = D$1))) + 'Fund YTD Contributions'!D170,'Fund YTD Contributions'!D170)"),0.0)</f>
        <v>0</v>
      </c>
      <c r="E170" s="152">
        <f>IFERROR(__xludf.DUMMYFUNCTION("IFERROR(D170 * (1 + AVERAGE(Filter('Inflation Data'!$C:$C,'Inflation Data'!$A:$A = E$1))) + 'Fund YTD Contributions'!E170,'Fund YTD Contributions'!E170)"),0.0)</f>
        <v>0</v>
      </c>
      <c r="F170" s="152">
        <f>IFERROR(__xludf.DUMMYFUNCTION("IFERROR(E170 * (1 + AVERAGE(Filter('Inflation Data'!$C:$C,'Inflation Data'!$A:$A = F$1))) + 'Fund YTD Contributions'!F170,'Fund YTD Contributions'!F170)"),0.0)</f>
        <v>0</v>
      </c>
      <c r="G170" s="152">
        <f>IFERROR(__xludf.DUMMYFUNCTION("IFERROR(F170 * (1 + AVERAGE(Filter('Inflation Data'!$C:$C,'Inflation Data'!$A:$A = G$1))) + 'Fund YTD Contributions'!G170,'Fund YTD Contributions'!G170)"),0.0)</f>
        <v>0</v>
      </c>
      <c r="H170" s="152">
        <f>IFERROR(__xludf.DUMMYFUNCTION("IFERROR(G170 * (1 + AVERAGE(Filter('Inflation Data'!$C:$C,'Inflation Data'!$A:$A = H$1))) + 'Fund YTD Contributions'!H170,'Fund YTD Contributions'!H170)"),0.0)</f>
        <v>0</v>
      </c>
      <c r="I170" s="152">
        <f>IFERROR(__xludf.DUMMYFUNCTION("IFERROR(H170 * (1 + AVERAGE(Filter('Inflation Data'!$C:$C,'Inflation Data'!$A:$A = I$1))) + 'Fund YTD Contributions'!I170,'Fund YTD Contributions'!I170)"),0.0)</f>
        <v>0</v>
      </c>
      <c r="J170" s="152">
        <f>IFERROR(__xludf.DUMMYFUNCTION("IFERROR(I170 * (1 + AVERAGE(Filter('Inflation Data'!$C:$C,'Inflation Data'!$A:$A = J$1))) + 'Fund YTD Contributions'!J170,'Fund YTD Contributions'!J170)"),0.0)</f>
        <v>0</v>
      </c>
      <c r="K170" s="152">
        <f>IFERROR(__xludf.DUMMYFUNCTION("IFERROR(J170 * (1 + AVERAGE(Filter('Inflation Data'!$C:$C,'Inflation Data'!$A:$A = K$1))) + 'Fund YTD Contributions'!K170,'Fund YTD Contributions'!K170)"),0.0)</f>
        <v>0</v>
      </c>
      <c r="L170" s="152">
        <f>IFERROR(__xludf.DUMMYFUNCTION("IFERROR(K170 * (1 + AVERAGE(Filter('Inflation Data'!$C:$C,'Inflation Data'!$A:$A = L$1))) + 'Fund YTD Contributions'!L170,'Fund YTD Contributions'!L170)"),0.0)</f>
        <v>0</v>
      </c>
      <c r="M170" s="152">
        <f>IFERROR(__xludf.DUMMYFUNCTION("IFERROR(L170 * (1 + AVERAGE(Filter('Inflation Data'!$C:$C,'Inflation Data'!$A:$A = M$1))) + 'Fund YTD Contributions'!M170,'Fund YTD Contributions'!M170)"),0.0)</f>
        <v>0</v>
      </c>
      <c r="N170" s="152">
        <f>IFERROR(__xludf.DUMMYFUNCTION("IFERROR(M170 * (1 + AVERAGE(Filter('Inflation Data'!$C:$C,'Inflation Data'!$A:$A = N$1))) + 'Fund YTD Contributions'!N170,'Fund YTD Contributions'!N170)"),0.0)</f>
        <v>0</v>
      </c>
      <c r="O170" s="152">
        <f>IFERROR(__xludf.DUMMYFUNCTION("IFERROR(N170 * (1 + AVERAGE(Filter('Inflation Data'!$C:$C,'Inflation Data'!$A:$A = O$1))) + 'Fund YTD Contributions'!O170,'Fund YTD Contributions'!O170)"),0.0)</f>
        <v>0</v>
      </c>
      <c r="P170" s="152">
        <f>IFERROR(__xludf.DUMMYFUNCTION("IFERROR(O170 * (1 + AVERAGE(Filter('Inflation Data'!$C:$C,'Inflation Data'!$A:$A = P$1))) + 'Fund YTD Contributions'!P170,'Fund YTD Contributions'!P170)"),0.0)</f>
        <v>0</v>
      </c>
      <c r="Q170" s="152">
        <f>IFERROR(__xludf.DUMMYFUNCTION("IFERROR(P170 * (1 + AVERAGE(Filter('Inflation Data'!$C:$C,'Inflation Data'!$A:$A = Q$1))) + 'Fund YTD Contributions'!Q170,'Fund YTD Contributions'!Q170)"),0.0)</f>
        <v>0</v>
      </c>
      <c r="R170" s="152">
        <f>IFERROR(__xludf.DUMMYFUNCTION("IFERROR(Q170 * (1 + AVERAGE(Filter('Inflation Data'!$C:$C,'Inflation Data'!$A:$A = R$1))) + 'Fund YTD Contributions'!R170,'Fund YTD Contributions'!R170)"),0.0)</f>
        <v>0</v>
      </c>
      <c r="S170" s="152">
        <f>IFERROR(__xludf.DUMMYFUNCTION("IFERROR(R170 * (1 + AVERAGE(Filter('Inflation Data'!$C:$C,'Inflation Data'!$A:$A = S$1))) + 'Fund YTD Contributions'!S170,'Fund YTD Contributions'!S170)"),0.0)</f>
        <v>0</v>
      </c>
      <c r="T170" s="152">
        <f>IFERROR(__xludf.DUMMYFUNCTION("IFERROR(S170 * (1 + AVERAGE(Filter('Inflation Data'!$C:$C,'Inflation Data'!$A:$A = T$1))) + 'Fund YTD Contributions'!T170,'Fund YTD Contributions'!T170)"),0.0)</f>
        <v>0</v>
      </c>
      <c r="U170" s="152">
        <f>IFERROR(__xludf.DUMMYFUNCTION("IFERROR(T170 * (1 + AVERAGE(Filter('Inflation Data'!$C:$C,'Inflation Data'!$A:$A = U$1))) + 'Fund YTD Contributions'!U170,'Fund YTD Contributions'!U170)"),0.0)</f>
        <v>0</v>
      </c>
      <c r="V170" s="152">
        <f>IFERROR(__xludf.DUMMYFUNCTION("IFERROR(U170 * (1 + AVERAGE(Filter('Inflation Data'!$C:$C,'Inflation Data'!$A:$A = V$1))) + 'Fund YTD Contributions'!V170,'Fund YTD Contributions'!V170)"),0.0)</f>
        <v>0</v>
      </c>
      <c r="W170" s="152">
        <f>IFERROR(__xludf.DUMMYFUNCTION("IFERROR(V170 * (1 + AVERAGE(Filter('Inflation Data'!$C:$C,'Inflation Data'!$A:$A = W$1))) + 'Fund YTD Contributions'!W170,'Fund YTD Contributions'!W170)"),0.0)</f>
        <v>0</v>
      </c>
      <c r="X170" s="152">
        <f>IFERROR(__xludf.DUMMYFUNCTION("IFERROR(W170 * (1 + AVERAGE(Filter('Inflation Data'!$C:$C,'Inflation Data'!$A:$A = X$1))) + 'Fund YTD Contributions'!X170,'Fund YTD Contributions'!X170)"),0.0)</f>
        <v>0</v>
      </c>
      <c r="Y170" s="152">
        <f>IFERROR(__xludf.DUMMYFUNCTION("IFERROR(X170 * (1 + AVERAGE(Filter('Inflation Data'!$C:$C,'Inflation Data'!$A:$A = Y$1))) + 'Fund YTD Contributions'!Y170,'Fund YTD Contributions'!Y170)"),0.0)</f>
        <v>0</v>
      </c>
      <c r="Z170" s="152">
        <f>IFERROR(__xludf.DUMMYFUNCTION("IFERROR(Y170 * (1 + AVERAGE(Filter('Inflation Data'!$C:$C,'Inflation Data'!$A:$A = Z$1))) + 'Fund YTD Contributions'!Z170,'Fund YTD Contributions'!Z170)"),0.0)</f>
        <v>0</v>
      </c>
      <c r="AA170" s="152"/>
      <c r="AB170" s="152"/>
      <c r="AC170" s="152"/>
      <c r="AD170" s="152"/>
      <c r="AE170" s="152"/>
      <c r="AF170" s="152"/>
    </row>
    <row r="171">
      <c r="B171" s="152">
        <f>IFERROR(__xludf.DUMMYFUNCTION("IFERROR(A171 * (1 + AVERAGE(Filter('Inflation Data'!$C:$C,'Inflation Data'!$A:$A = B$1))) + 'Fund YTD Contributions'!B171,'Fund YTD Contributions'!B171)"),0.0)</f>
        <v>0</v>
      </c>
      <c r="C171" s="152">
        <f>IFERROR(__xludf.DUMMYFUNCTION("IFERROR(B171 * (1 + AVERAGE(Filter('Inflation Data'!$C:$C,'Inflation Data'!$A:$A = C$1))) + 'Fund YTD Contributions'!C171,'Fund YTD Contributions'!C171)"),0.0)</f>
        <v>0</v>
      </c>
      <c r="D171" s="152">
        <f>IFERROR(__xludf.DUMMYFUNCTION("IFERROR(C171 * (1 + AVERAGE(Filter('Inflation Data'!$C:$C,'Inflation Data'!$A:$A = D$1))) + 'Fund YTD Contributions'!D171,'Fund YTD Contributions'!D171)"),0.0)</f>
        <v>0</v>
      </c>
      <c r="E171" s="152">
        <f>IFERROR(__xludf.DUMMYFUNCTION("IFERROR(D171 * (1 + AVERAGE(Filter('Inflation Data'!$C:$C,'Inflation Data'!$A:$A = E$1))) + 'Fund YTD Contributions'!E171,'Fund YTD Contributions'!E171)"),0.0)</f>
        <v>0</v>
      </c>
      <c r="F171" s="152">
        <f>IFERROR(__xludf.DUMMYFUNCTION("IFERROR(E171 * (1 + AVERAGE(Filter('Inflation Data'!$C:$C,'Inflation Data'!$A:$A = F$1))) + 'Fund YTD Contributions'!F171,'Fund YTD Contributions'!F171)"),0.0)</f>
        <v>0</v>
      </c>
      <c r="G171" s="152">
        <f>IFERROR(__xludf.DUMMYFUNCTION("IFERROR(F171 * (1 + AVERAGE(Filter('Inflation Data'!$C:$C,'Inflation Data'!$A:$A = G$1))) + 'Fund YTD Contributions'!G171,'Fund YTD Contributions'!G171)"),0.0)</f>
        <v>0</v>
      </c>
      <c r="H171" s="152">
        <f>IFERROR(__xludf.DUMMYFUNCTION("IFERROR(G171 * (1 + AVERAGE(Filter('Inflation Data'!$C:$C,'Inflation Data'!$A:$A = H$1))) + 'Fund YTD Contributions'!H171,'Fund YTD Contributions'!H171)"),0.0)</f>
        <v>0</v>
      </c>
      <c r="I171" s="152">
        <f>IFERROR(__xludf.DUMMYFUNCTION("IFERROR(H171 * (1 + AVERAGE(Filter('Inflation Data'!$C:$C,'Inflation Data'!$A:$A = I$1))) + 'Fund YTD Contributions'!I171,'Fund YTD Contributions'!I171)"),0.0)</f>
        <v>0</v>
      </c>
      <c r="J171" s="152">
        <f>IFERROR(__xludf.DUMMYFUNCTION("IFERROR(I171 * (1 + AVERAGE(Filter('Inflation Data'!$C:$C,'Inflation Data'!$A:$A = J$1))) + 'Fund YTD Contributions'!J171,'Fund YTD Contributions'!J171)"),0.0)</f>
        <v>0</v>
      </c>
      <c r="K171" s="152">
        <f>IFERROR(__xludf.DUMMYFUNCTION("IFERROR(J171 * (1 + AVERAGE(Filter('Inflation Data'!$C:$C,'Inflation Data'!$A:$A = K$1))) + 'Fund YTD Contributions'!K171,'Fund YTD Contributions'!K171)"),0.0)</f>
        <v>0</v>
      </c>
      <c r="L171" s="152">
        <f>IFERROR(__xludf.DUMMYFUNCTION("IFERROR(K171 * (1 + AVERAGE(Filter('Inflation Data'!$C:$C,'Inflation Data'!$A:$A = L$1))) + 'Fund YTD Contributions'!L171,'Fund YTD Contributions'!L171)"),0.0)</f>
        <v>0</v>
      </c>
      <c r="M171" s="152">
        <f>IFERROR(__xludf.DUMMYFUNCTION("IFERROR(L171 * (1 + AVERAGE(Filter('Inflation Data'!$C:$C,'Inflation Data'!$A:$A = M$1))) + 'Fund YTD Contributions'!M171,'Fund YTD Contributions'!M171)"),0.0)</f>
        <v>0</v>
      </c>
      <c r="N171" s="152">
        <f>IFERROR(__xludf.DUMMYFUNCTION("IFERROR(M171 * (1 + AVERAGE(Filter('Inflation Data'!$C:$C,'Inflation Data'!$A:$A = N$1))) + 'Fund YTD Contributions'!N171,'Fund YTD Contributions'!N171)"),0.0)</f>
        <v>0</v>
      </c>
      <c r="O171" s="152">
        <f>IFERROR(__xludf.DUMMYFUNCTION("IFERROR(N171 * (1 + AVERAGE(Filter('Inflation Data'!$C:$C,'Inflation Data'!$A:$A = O$1))) + 'Fund YTD Contributions'!O171,'Fund YTD Contributions'!O171)"),0.0)</f>
        <v>0</v>
      </c>
      <c r="P171" s="152">
        <f>IFERROR(__xludf.DUMMYFUNCTION("IFERROR(O171 * (1 + AVERAGE(Filter('Inflation Data'!$C:$C,'Inflation Data'!$A:$A = P$1))) + 'Fund YTD Contributions'!P171,'Fund YTD Contributions'!P171)"),0.0)</f>
        <v>0</v>
      </c>
      <c r="Q171" s="152">
        <f>IFERROR(__xludf.DUMMYFUNCTION("IFERROR(P171 * (1 + AVERAGE(Filter('Inflation Data'!$C:$C,'Inflation Data'!$A:$A = Q$1))) + 'Fund YTD Contributions'!Q171,'Fund YTD Contributions'!Q171)"),0.0)</f>
        <v>0</v>
      </c>
      <c r="R171" s="152">
        <f>IFERROR(__xludf.DUMMYFUNCTION("IFERROR(Q171 * (1 + AVERAGE(Filter('Inflation Data'!$C:$C,'Inflation Data'!$A:$A = R$1))) + 'Fund YTD Contributions'!R171,'Fund YTD Contributions'!R171)"),0.0)</f>
        <v>0</v>
      </c>
      <c r="S171" s="152">
        <f>IFERROR(__xludf.DUMMYFUNCTION("IFERROR(R171 * (1 + AVERAGE(Filter('Inflation Data'!$C:$C,'Inflation Data'!$A:$A = S$1))) + 'Fund YTD Contributions'!S171,'Fund YTD Contributions'!S171)"),0.0)</f>
        <v>0</v>
      </c>
      <c r="T171" s="152">
        <f>IFERROR(__xludf.DUMMYFUNCTION("IFERROR(S171 * (1 + AVERAGE(Filter('Inflation Data'!$C:$C,'Inflation Data'!$A:$A = T$1))) + 'Fund YTD Contributions'!T171,'Fund YTD Contributions'!T171)"),0.0)</f>
        <v>0</v>
      </c>
      <c r="U171" s="152">
        <f>IFERROR(__xludf.DUMMYFUNCTION("IFERROR(T171 * (1 + AVERAGE(Filter('Inflation Data'!$C:$C,'Inflation Data'!$A:$A = U$1))) + 'Fund YTD Contributions'!U171,'Fund YTD Contributions'!U171)"),0.0)</f>
        <v>0</v>
      </c>
      <c r="V171" s="152">
        <f>IFERROR(__xludf.DUMMYFUNCTION("IFERROR(U171 * (1 + AVERAGE(Filter('Inflation Data'!$C:$C,'Inflation Data'!$A:$A = V$1))) + 'Fund YTD Contributions'!V171,'Fund YTD Contributions'!V171)"),0.0)</f>
        <v>0</v>
      </c>
      <c r="W171" s="152">
        <f>IFERROR(__xludf.DUMMYFUNCTION("IFERROR(V171 * (1 + AVERAGE(Filter('Inflation Data'!$C:$C,'Inflation Data'!$A:$A = W$1))) + 'Fund YTD Contributions'!W171,'Fund YTD Contributions'!W171)"),0.0)</f>
        <v>0</v>
      </c>
      <c r="X171" s="152">
        <f>IFERROR(__xludf.DUMMYFUNCTION("IFERROR(W171 * (1 + AVERAGE(Filter('Inflation Data'!$C:$C,'Inflation Data'!$A:$A = X$1))) + 'Fund YTD Contributions'!X171,'Fund YTD Contributions'!X171)"),0.0)</f>
        <v>0</v>
      </c>
      <c r="Y171" s="152">
        <f>IFERROR(__xludf.DUMMYFUNCTION("IFERROR(X171 * (1 + AVERAGE(Filter('Inflation Data'!$C:$C,'Inflation Data'!$A:$A = Y$1))) + 'Fund YTD Contributions'!Y171,'Fund YTD Contributions'!Y171)"),0.0)</f>
        <v>0</v>
      </c>
      <c r="Z171" s="152">
        <f>IFERROR(__xludf.DUMMYFUNCTION("IFERROR(Y171 * (1 + AVERAGE(Filter('Inflation Data'!$C:$C,'Inflation Data'!$A:$A = Z$1))) + 'Fund YTD Contributions'!Z171,'Fund YTD Contributions'!Z171)"),0.0)</f>
        <v>0</v>
      </c>
      <c r="AA171" s="152"/>
      <c r="AB171" s="152"/>
      <c r="AC171" s="152"/>
      <c r="AD171" s="152"/>
      <c r="AE171" s="152"/>
      <c r="AF171" s="152"/>
    </row>
    <row r="172">
      <c r="B172" s="152">
        <f>IFERROR(__xludf.DUMMYFUNCTION("IFERROR(A172 * (1 + AVERAGE(Filter('Inflation Data'!$C:$C,'Inflation Data'!$A:$A = B$1))) + 'Fund YTD Contributions'!B172,'Fund YTD Contributions'!B172)"),0.0)</f>
        <v>0</v>
      </c>
      <c r="C172" s="152">
        <f>IFERROR(__xludf.DUMMYFUNCTION("IFERROR(B172 * (1 + AVERAGE(Filter('Inflation Data'!$C:$C,'Inflation Data'!$A:$A = C$1))) + 'Fund YTD Contributions'!C172,'Fund YTD Contributions'!C172)"),0.0)</f>
        <v>0</v>
      </c>
      <c r="D172" s="152">
        <f>IFERROR(__xludf.DUMMYFUNCTION("IFERROR(C172 * (1 + AVERAGE(Filter('Inflation Data'!$C:$C,'Inflation Data'!$A:$A = D$1))) + 'Fund YTD Contributions'!D172,'Fund YTD Contributions'!D172)"),0.0)</f>
        <v>0</v>
      </c>
      <c r="E172" s="152">
        <f>IFERROR(__xludf.DUMMYFUNCTION("IFERROR(D172 * (1 + AVERAGE(Filter('Inflation Data'!$C:$C,'Inflation Data'!$A:$A = E$1))) + 'Fund YTD Contributions'!E172,'Fund YTD Contributions'!E172)"),0.0)</f>
        <v>0</v>
      </c>
      <c r="F172" s="152">
        <f>IFERROR(__xludf.DUMMYFUNCTION("IFERROR(E172 * (1 + AVERAGE(Filter('Inflation Data'!$C:$C,'Inflation Data'!$A:$A = F$1))) + 'Fund YTD Contributions'!F172,'Fund YTD Contributions'!F172)"),0.0)</f>
        <v>0</v>
      </c>
      <c r="G172" s="152">
        <f>IFERROR(__xludf.DUMMYFUNCTION("IFERROR(F172 * (1 + AVERAGE(Filter('Inflation Data'!$C:$C,'Inflation Data'!$A:$A = G$1))) + 'Fund YTD Contributions'!G172,'Fund YTD Contributions'!G172)"),0.0)</f>
        <v>0</v>
      </c>
      <c r="H172" s="152">
        <f>IFERROR(__xludf.DUMMYFUNCTION("IFERROR(G172 * (1 + AVERAGE(Filter('Inflation Data'!$C:$C,'Inflation Data'!$A:$A = H$1))) + 'Fund YTD Contributions'!H172,'Fund YTD Contributions'!H172)"),0.0)</f>
        <v>0</v>
      </c>
      <c r="I172" s="152">
        <f>IFERROR(__xludf.DUMMYFUNCTION("IFERROR(H172 * (1 + AVERAGE(Filter('Inflation Data'!$C:$C,'Inflation Data'!$A:$A = I$1))) + 'Fund YTD Contributions'!I172,'Fund YTD Contributions'!I172)"),0.0)</f>
        <v>0</v>
      </c>
      <c r="J172" s="152">
        <f>IFERROR(__xludf.DUMMYFUNCTION("IFERROR(I172 * (1 + AVERAGE(Filter('Inflation Data'!$C:$C,'Inflation Data'!$A:$A = J$1))) + 'Fund YTD Contributions'!J172,'Fund YTD Contributions'!J172)"),0.0)</f>
        <v>0</v>
      </c>
      <c r="K172" s="152">
        <f>IFERROR(__xludf.DUMMYFUNCTION("IFERROR(J172 * (1 + AVERAGE(Filter('Inflation Data'!$C:$C,'Inflation Data'!$A:$A = K$1))) + 'Fund YTD Contributions'!K172,'Fund YTD Contributions'!K172)"),0.0)</f>
        <v>0</v>
      </c>
      <c r="L172" s="152">
        <f>IFERROR(__xludf.DUMMYFUNCTION("IFERROR(K172 * (1 + AVERAGE(Filter('Inflation Data'!$C:$C,'Inflation Data'!$A:$A = L$1))) + 'Fund YTD Contributions'!L172,'Fund YTD Contributions'!L172)"),0.0)</f>
        <v>0</v>
      </c>
      <c r="M172" s="152">
        <f>IFERROR(__xludf.DUMMYFUNCTION("IFERROR(L172 * (1 + AVERAGE(Filter('Inflation Data'!$C:$C,'Inflation Data'!$A:$A = M$1))) + 'Fund YTD Contributions'!M172,'Fund YTD Contributions'!M172)"),0.0)</f>
        <v>0</v>
      </c>
      <c r="N172" s="152">
        <f>IFERROR(__xludf.DUMMYFUNCTION("IFERROR(M172 * (1 + AVERAGE(Filter('Inflation Data'!$C:$C,'Inflation Data'!$A:$A = N$1))) + 'Fund YTD Contributions'!N172,'Fund YTD Contributions'!N172)"),0.0)</f>
        <v>0</v>
      </c>
      <c r="O172" s="152">
        <f>IFERROR(__xludf.DUMMYFUNCTION("IFERROR(N172 * (1 + AVERAGE(Filter('Inflation Data'!$C:$C,'Inflation Data'!$A:$A = O$1))) + 'Fund YTD Contributions'!O172,'Fund YTD Contributions'!O172)"),0.0)</f>
        <v>0</v>
      </c>
      <c r="P172" s="152">
        <f>IFERROR(__xludf.DUMMYFUNCTION("IFERROR(O172 * (1 + AVERAGE(Filter('Inflation Data'!$C:$C,'Inflation Data'!$A:$A = P$1))) + 'Fund YTD Contributions'!P172,'Fund YTD Contributions'!P172)"),0.0)</f>
        <v>0</v>
      </c>
      <c r="Q172" s="152">
        <f>IFERROR(__xludf.DUMMYFUNCTION("IFERROR(P172 * (1 + AVERAGE(Filter('Inflation Data'!$C:$C,'Inflation Data'!$A:$A = Q$1))) + 'Fund YTD Contributions'!Q172,'Fund YTD Contributions'!Q172)"),0.0)</f>
        <v>0</v>
      </c>
      <c r="R172" s="152">
        <f>IFERROR(__xludf.DUMMYFUNCTION("IFERROR(Q172 * (1 + AVERAGE(Filter('Inflation Data'!$C:$C,'Inflation Data'!$A:$A = R$1))) + 'Fund YTD Contributions'!R172,'Fund YTD Contributions'!R172)"),0.0)</f>
        <v>0</v>
      </c>
      <c r="S172" s="152">
        <f>IFERROR(__xludf.DUMMYFUNCTION("IFERROR(R172 * (1 + AVERAGE(Filter('Inflation Data'!$C:$C,'Inflation Data'!$A:$A = S$1))) + 'Fund YTD Contributions'!S172,'Fund YTD Contributions'!S172)"),0.0)</f>
        <v>0</v>
      </c>
      <c r="T172" s="152">
        <f>IFERROR(__xludf.DUMMYFUNCTION("IFERROR(S172 * (1 + AVERAGE(Filter('Inflation Data'!$C:$C,'Inflation Data'!$A:$A = T$1))) + 'Fund YTD Contributions'!T172,'Fund YTD Contributions'!T172)"),0.0)</f>
        <v>0</v>
      </c>
      <c r="U172" s="152">
        <f>IFERROR(__xludf.DUMMYFUNCTION("IFERROR(T172 * (1 + AVERAGE(Filter('Inflation Data'!$C:$C,'Inflation Data'!$A:$A = U$1))) + 'Fund YTD Contributions'!U172,'Fund YTD Contributions'!U172)"),0.0)</f>
        <v>0</v>
      </c>
      <c r="V172" s="152">
        <f>IFERROR(__xludf.DUMMYFUNCTION("IFERROR(U172 * (1 + AVERAGE(Filter('Inflation Data'!$C:$C,'Inflation Data'!$A:$A = V$1))) + 'Fund YTD Contributions'!V172,'Fund YTD Contributions'!V172)"),0.0)</f>
        <v>0</v>
      </c>
      <c r="W172" s="152">
        <f>IFERROR(__xludf.DUMMYFUNCTION("IFERROR(V172 * (1 + AVERAGE(Filter('Inflation Data'!$C:$C,'Inflation Data'!$A:$A = W$1))) + 'Fund YTD Contributions'!W172,'Fund YTD Contributions'!W172)"),0.0)</f>
        <v>0</v>
      </c>
      <c r="X172" s="152">
        <f>IFERROR(__xludf.DUMMYFUNCTION("IFERROR(W172 * (1 + AVERAGE(Filter('Inflation Data'!$C:$C,'Inflation Data'!$A:$A = X$1))) + 'Fund YTD Contributions'!X172,'Fund YTD Contributions'!X172)"),0.0)</f>
        <v>0</v>
      </c>
      <c r="Y172" s="152">
        <f>IFERROR(__xludf.DUMMYFUNCTION("IFERROR(X172 * (1 + AVERAGE(Filter('Inflation Data'!$C:$C,'Inflation Data'!$A:$A = Y$1))) + 'Fund YTD Contributions'!Y172,'Fund YTD Contributions'!Y172)"),0.0)</f>
        <v>0</v>
      </c>
      <c r="Z172" s="152">
        <f>IFERROR(__xludf.DUMMYFUNCTION("IFERROR(Y172 * (1 + AVERAGE(Filter('Inflation Data'!$C:$C,'Inflation Data'!$A:$A = Z$1))) + 'Fund YTD Contributions'!Z172,'Fund YTD Contributions'!Z172)"),0.0)</f>
        <v>0</v>
      </c>
      <c r="AA172" s="152"/>
      <c r="AB172" s="152"/>
      <c r="AC172" s="152"/>
      <c r="AD172" s="152"/>
      <c r="AE172" s="152"/>
      <c r="AF172" s="152"/>
    </row>
    <row r="173">
      <c r="B173" s="152">
        <f>IFERROR(__xludf.DUMMYFUNCTION("IFERROR(A173 * (1 + AVERAGE(Filter('Inflation Data'!$C:$C,'Inflation Data'!$A:$A = B$1))) + 'Fund YTD Contributions'!B173,'Fund YTD Contributions'!B173)"),0.0)</f>
        <v>0</v>
      </c>
      <c r="C173" s="152">
        <f>IFERROR(__xludf.DUMMYFUNCTION("IFERROR(B173 * (1 + AVERAGE(Filter('Inflation Data'!$C:$C,'Inflation Data'!$A:$A = C$1))) + 'Fund YTD Contributions'!C173,'Fund YTD Contributions'!C173)"),0.0)</f>
        <v>0</v>
      </c>
      <c r="D173" s="152">
        <f>IFERROR(__xludf.DUMMYFUNCTION("IFERROR(C173 * (1 + AVERAGE(Filter('Inflation Data'!$C:$C,'Inflation Data'!$A:$A = D$1))) + 'Fund YTD Contributions'!D173,'Fund YTD Contributions'!D173)"),0.0)</f>
        <v>0</v>
      </c>
      <c r="E173" s="152">
        <f>IFERROR(__xludf.DUMMYFUNCTION("IFERROR(D173 * (1 + AVERAGE(Filter('Inflation Data'!$C:$C,'Inflation Data'!$A:$A = E$1))) + 'Fund YTD Contributions'!E173,'Fund YTD Contributions'!E173)"),0.0)</f>
        <v>0</v>
      </c>
      <c r="F173" s="152">
        <f>IFERROR(__xludf.DUMMYFUNCTION("IFERROR(E173 * (1 + AVERAGE(Filter('Inflation Data'!$C:$C,'Inflation Data'!$A:$A = F$1))) + 'Fund YTD Contributions'!F173,'Fund YTD Contributions'!F173)"),0.0)</f>
        <v>0</v>
      </c>
      <c r="G173" s="152">
        <f>IFERROR(__xludf.DUMMYFUNCTION("IFERROR(F173 * (1 + AVERAGE(Filter('Inflation Data'!$C:$C,'Inflation Data'!$A:$A = G$1))) + 'Fund YTD Contributions'!G173,'Fund YTD Contributions'!G173)"),0.0)</f>
        <v>0</v>
      </c>
      <c r="H173" s="152">
        <f>IFERROR(__xludf.DUMMYFUNCTION("IFERROR(G173 * (1 + AVERAGE(Filter('Inflation Data'!$C:$C,'Inflation Data'!$A:$A = H$1))) + 'Fund YTD Contributions'!H173,'Fund YTD Contributions'!H173)"),0.0)</f>
        <v>0</v>
      </c>
      <c r="I173" s="152">
        <f>IFERROR(__xludf.DUMMYFUNCTION("IFERROR(H173 * (1 + AVERAGE(Filter('Inflation Data'!$C:$C,'Inflation Data'!$A:$A = I$1))) + 'Fund YTD Contributions'!I173,'Fund YTD Contributions'!I173)"),0.0)</f>
        <v>0</v>
      </c>
      <c r="J173" s="152">
        <f>IFERROR(__xludf.DUMMYFUNCTION("IFERROR(I173 * (1 + AVERAGE(Filter('Inflation Data'!$C:$C,'Inflation Data'!$A:$A = J$1))) + 'Fund YTD Contributions'!J173,'Fund YTD Contributions'!J173)"),0.0)</f>
        <v>0</v>
      </c>
      <c r="K173" s="152">
        <f>IFERROR(__xludf.DUMMYFUNCTION("IFERROR(J173 * (1 + AVERAGE(Filter('Inflation Data'!$C:$C,'Inflation Data'!$A:$A = K$1))) + 'Fund YTD Contributions'!K173,'Fund YTD Contributions'!K173)"),0.0)</f>
        <v>0</v>
      </c>
      <c r="L173" s="152">
        <f>IFERROR(__xludf.DUMMYFUNCTION("IFERROR(K173 * (1 + AVERAGE(Filter('Inflation Data'!$C:$C,'Inflation Data'!$A:$A = L$1))) + 'Fund YTD Contributions'!L173,'Fund YTD Contributions'!L173)"),0.0)</f>
        <v>0</v>
      </c>
      <c r="M173" s="152">
        <f>IFERROR(__xludf.DUMMYFUNCTION("IFERROR(L173 * (1 + AVERAGE(Filter('Inflation Data'!$C:$C,'Inflation Data'!$A:$A = M$1))) + 'Fund YTD Contributions'!M173,'Fund YTD Contributions'!M173)"),0.0)</f>
        <v>0</v>
      </c>
      <c r="N173" s="152">
        <f>IFERROR(__xludf.DUMMYFUNCTION("IFERROR(M173 * (1 + AVERAGE(Filter('Inflation Data'!$C:$C,'Inflation Data'!$A:$A = N$1))) + 'Fund YTD Contributions'!N173,'Fund YTD Contributions'!N173)"),0.0)</f>
        <v>0</v>
      </c>
      <c r="O173" s="152">
        <f>IFERROR(__xludf.DUMMYFUNCTION("IFERROR(N173 * (1 + AVERAGE(Filter('Inflation Data'!$C:$C,'Inflation Data'!$A:$A = O$1))) + 'Fund YTD Contributions'!O173,'Fund YTD Contributions'!O173)"),0.0)</f>
        <v>0</v>
      </c>
      <c r="P173" s="152">
        <f>IFERROR(__xludf.DUMMYFUNCTION("IFERROR(O173 * (1 + AVERAGE(Filter('Inflation Data'!$C:$C,'Inflation Data'!$A:$A = P$1))) + 'Fund YTD Contributions'!P173,'Fund YTD Contributions'!P173)"),0.0)</f>
        <v>0</v>
      </c>
      <c r="Q173" s="152">
        <f>IFERROR(__xludf.DUMMYFUNCTION("IFERROR(P173 * (1 + AVERAGE(Filter('Inflation Data'!$C:$C,'Inflation Data'!$A:$A = Q$1))) + 'Fund YTD Contributions'!Q173,'Fund YTD Contributions'!Q173)"),0.0)</f>
        <v>0</v>
      </c>
      <c r="R173" s="152">
        <f>IFERROR(__xludf.DUMMYFUNCTION("IFERROR(Q173 * (1 + AVERAGE(Filter('Inflation Data'!$C:$C,'Inflation Data'!$A:$A = R$1))) + 'Fund YTD Contributions'!R173,'Fund YTD Contributions'!R173)"),0.0)</f>
        <v>0</v>
      </c>
      <c r="S173" s="152">
        <f>IFERROR(__xludf.DUMMYFUNCTION("IFERROR(R173 * (1 + AVERAGE(Filter('Inflation Data'!$C:$C,'Inflation Data'!$A:$A = S$1))) + 'Fund YTD Contributions'!S173,'Fund YTD Contributions'!S173)"),0.0)</f>
        <v>0</v>
      </c>
      <c r="T173" s="152">
        <f>IFERROR(__xludf.DUMMYFUNCTION("IFERROR(S173 * (1 + AVERAGE(Filter('Inflation Data'!$C:$C,'Inflation Data'!$A:$A = T$1))) + 'Fund YTD Contributions'!T173,'Fund YTD Contributions'!T173)"),0.0)</f>
        <v>0</v>
      </c>
      <c r="U173" s="152">
        <f>IFERROR(__xludf.DUMMYFUNCTION("IFERROR(T173 * (1 + AVERAGE(Filter('Inflation Data'!$C:$C,'Inflation Data'!$A:$A = U$1))) + 'Fund YTD Contributions'!U173,'Fund YTD Contributions'!U173)"),0.0)</f>
        <v>0</v>
      </c>
      <c r="V173" s="152">
        <f>IFERROR(__xludf.DUMMYFUNCTION("IFERROR(U173 * (1 + AVERAGE(Filter('Inflation Data'!$C:$C,'Inflation Data'!$A:$A = V$1))) + 'Fund YTD Contributions'!V173,'Fund YTD Contributions'!V173)"),0.0)</f>
        <v>0</v>
      </c>
      <c r="W173" s="152">
        <f>IFERROR(__xludf.DUMMYFUNCTION("IFERROR(V173 * (1 + AVERAGE(Filter('Inflation Data'!$C:$C,'Inflation Data'!$A:$A = W$1))) + 'Fund YTD Contributions'!W173,'Fund YTD Contributions'!W173)"),0.0)</f>
        <v>0</v>
      </c>
      <c r="X173" s="152">
        <f>IFERROR(__xludf.DUMMYFUNCTION("IFERROR(W173 * (1 + AVERAGE(Filter('Inflation Data'!$C:$C,'Inflation Data'!$A:$A = X$1))) + 'Fund YTD Contributions'!X173,'Fund YTD Contributions'!X173)"),0.0)</f>
        <v>0</v>
      </c>
      <c r="Y173" s="152">
        <f>IFERROR(__xludf.DUMMYFUNCTION("IFERROR(X173 * (1 + AVERAGE(Filter('Inflation Data'!$C:$C,'Inflation Data'!$A:$A = Y$1))) + 'Fund YTD Contributions'!Y173,'Fund YTD Contributions'!Y173)"),0.0)</f>
        <v>0</v>
      </c>
      <c r="Z173" s="152">
        <f>IFERROR(__xludf.DUMMYFUNCTION("IFERROR(Y173 * (1 + AVERAGE(Filter('Inflation Data'!$C:$C,'Inflation Data'!$A:$A = Z$1))) + 'Fund YTD Contributions'!Z173,'Fund YTD Contributions'!Z173)"),0.0)</f>
        <v>0</v>
      </c>
      <c r="AA173" s="152"/>
      <c r="AB173" s="152"/>
      <c r="AC173" s="152"/>
      <c r="AD173" s="152"/>
      <c r="AE173" s="152"/>
      <c r="AF173" s="152"/>
    </row>
    <row r="174">
      <c r="B174" s="152">
        <f>IFERROR(__xludf.DUMMYFUNCTION("IFERROR(A174 * (1 + AVERAGE(Filter('Inflation Data'!$C:$C,'Inflation Data'!$A:$A = B$1))) + 'Fund YTD Contributions'!B174,'Fund YTD Contributions'!B174)"),0.0)</f>
        <v>0</v>
      </c>
      <c r="C174" s="152">
        <f>IFERROR(__xludf.DUMMYFUNCTION("IFERROR(B174 * (1 + AVERAGE(Filter('Inflation Data'!$C:$C,'Inflation Data'!$A:$A = C$1))) + 'Fund YTD Contributions'!C174,'Fund YTD Contributions'!C174)"),0.0)</f>
        <v>0</v>
      </c>
      <c r="D174" s="152">
        <f>IFERROR(__xludf.DUMMYFUNCTION("IFERROR(C174 * (1 + AVERAGE(Filter('Inflation Data'!$C:$C,'Inflation Data'!$A:$A = D$1))) + 'Fund YTD Contributions'!D174,'Fund YTD Contributions'!D174)"),0.0)</f>
        <v>0</v>
      </c>
      <c r="E174" s="152">
        <f>IFERROR(__xludf.DUMMYFUNCTION("IFERROR(D174 * (1 + AVERAGE(Filter('Inflation Data'!$C:$C,'Inflation Data'!$A:$A = E$1))) + 'Fund YTD Contributions'!E174,'Fund YTD Contributions'!E174)"),0.0)</f>
        <v>0</v>
      </c>
      <c r="F174" s="152">
        <f>IFERROR(__xludf.DUMMYFUNCTION("IFERROR(E174 * (1 + AVERAGE(Filter('Inflation Data'!$C:$C,'Inflation Data'!$A:$A = F$1))) + 'Fund YTD Contributions'!F174,'Fund YTD Contributions'!F174)"),0.0)</f>
        <v>0</v>
      </c>
      <c r="G174" s="152">
        <f>IFERROR(__xludf.DUMMYFUNCTION("IFERROR(F174 * (1 + AVERAGE(Filter('Inflation Data'!$C:$C,'Inflation Data'!$A:$A = G$1))) + 'Fund YTD Contributions'!G174,'Fund YTD Contributions'!G174)"),0.0)</f>
        <v>0</v>
      </c>
      <c r="H174" s="152">
        <f>IFERROR(__xludf.DUMMYFUNCTION("IFERROR(G174 * (1 + AVERAGE(Filter('Inflation Data'!$C:$C,'Inflation Data'!$A:$A = H$1))) + 'Fund YTD Contributions'!H174,'Fund YTD Contributions'!H174)"),0.0)</f>
        <v>0</v>
      </c>
      <c r="I174" s="152">
        <f>IFERROR(__xludf.DUMMYFUNCTION("IFERROR(H174 * (1 + AVERAGE(Filter('Inflation Data'!$C:$C,'Inflation Data'!$A:$A = I$1))) + 'Fund YTD Contributions'!I174,'Fund YTD Contributions'!I174)"),0.0)</f>
        <v>0</v>
      </c>
      <c r="J174" s="152">
        <f>IFERROR(__xludf.DUMMYFUNCTION("IFERROR(I174 * (1 + AVERAGE(Filter('Inflation Data'!$C:$C,'Inflation Data'!$A:$A = J$1))) + 'Fund YTD Contributions'!J174,'Fund YTD Contributions'!J174)"),0.0)</f>
        <v>0</v>
      </c>
      <c r="K174" s="152">
        <f>IFERROR(__xludf.DUMMYFUNCTION("IFERROR(J174 * (1 + AVERAGE(Filter('Inflation Data'!$C:$C,'Inflation Data'!$A:$A = K$1))) + 'Fund YTD Contributions'!K174,'Fund YTD Contributions'!K174)"),0.0)</f>
        <v>0</v>
      </c>
      <c r="L174" s="152">
        <f>IFERROR(__xludf.DUMMYFUNCTION("IFERROR(K174 * (1 + AVERAGE(Filter('Inflation Data'!$C:$C,'Inflation Data'!$A:$A = L$1))) + 'Fund YTD Contributions'!L174,'Fund YTD Contributions'!L174)"),0.0)</f>
        <v>0</v>
      </c>
      <c r="M174" s="152">
        <f>IFERROR(__xludf.DUMMYFUNCTION("IFERROR(L174 * (1 + AVERAGE(Filter('Inflation Data'!$C:$C,'Inflation Data'!$A:$A = M$1))) + 'Fund YTD Contributions'!M174,'Fund YTD Contributions'!M174)"),0.0)</f>
        <v>0</v>
      </c>
      <c r="N174" s="152">
        <f>IFERROR(__xludf.DUMMYFUNCTION("IFERROR(M174 * (1 + AVERAGE(Filter('Inflation Data'!$C:$C,'Inflation Data'!$A:$A = N$1))) + 'Fund YTD Contributions'!N174,'Fund YTD Contributions'!N174)"),0.0)</f>
        <v>0</v>
      </c>
      <c r="O174" s="152">
        <f>IFERROR(__xludf.DUMMYFUNCTION("IFERROR(N174 * (1 + AVERAGE(Filter('Inflation Data'!$C:$C,'Inflation Data'!$A:$A = O$1))) + 'Fund YTD Contributions'!O174,'Fund YTD Contributions'!O174)"),0.0)</f>
        <v>0</v>
      </c>
      <c r="P174" s="152">
        <f>IFERROR(__xludf.DUMMYFUNCTION("IFERROR(O174 * (1 + AVERAGE(Filter('Inflation Data'!$C:$C,'Inflation Data'!$A:$A = P$1))) + 'Fund YTD Contributions'!P174,'Fund YTD Contributions'!P174)"),0.0)</f>
        <v>0</v>
      </c>
      <c r="Q174" s="152">
        <f>IFERROR(__xludf.DUMMYFUNCTION("IFERROR(P174 * (1 + AVERAGE(Filter('Inflation Data'!$C:$C,'Inflation Data'!$A:$A = Q$1))) + 'Fund YTD Contributions'!Q174,'Fund YTD Contributions'!Q174)"),0.0)</f>
        <v>0</v>
      </c>
      <c r="R174" s="152">
        <f>IFERROR(__xludf.DUMMYFUNCTION("IFERROR(Q174 * (1 + AVERAGE(Filter('Inflation Data'!$C:$C,'Inflation Data'!$A:$A = R$1))) + 'Fund YTD Contributions'!R174,'Fund YTD Contributions'!R174)"),0.0)</f>
        <v>0</v>
      </c>
      <c r="S174" s="152">
        <f>IFERROR(__xludf.DUMMYFUNCTION("IFERROR(R174 * (1 + AVERAGE(Filter('Inflation Data'!$C:$C,'Inflation Data'!$A:$A = S$1))) + 'Fund YTD Contributions'!S174,'Fund YTD Contributions'!S174)"),0.0)</f>
        <v>0</v>
      </c>
      <c r="T174" s="152">
        <f>IFERROR(__xludf.DUMMYFUNCTION("IFERROR(S174 * (1 + AVERAGE(Filter('Inflation Data'!$C:$C,'Inflation Data'!$A:$A = T$1))) + 'Fund YTD Contributions'!T174,'Fund YTD Contributions'!T174)"),0.0)</f>
        <v>0</v>
      </c>
      <c r="U174" s="152">
        <f>IFERROR(__xludf.DUMMYFUNCTION("IFERROR(T174 * (1 + AVERAGE(Filter('Inflation Data'!$C:$C,'Inflation Data'!$A:$A = U$1))) + 'Fund YTD Contributions'!U174,'Fund YTD Contributions'!U174)"),0.0)</f>
        <v>0</v>
      </c>
      <c r="V174" s="152">
        <f>IFERROR(__xludf.DUMMYFUNCTION("IFERROR(U174 * (1 + AVERAGE(Filter('Inflation Data'!$C:$C,'Inflation Data'!$A:$A = V$1))) + 'Fund YTD Contributions'!V174,'Fund YTD Contributions'!V174)"),0.0)</f>
        <v>0</v>
      </c>
      <c r="W174" s="152">
        <f>IFERROR(__xludf.DUMMYFUNCTION("IFERROR(V174 * (1 + AVERAGE(Filter('Inflation Data'!$C:$C,'Inflation Data'!$A:$A = W$1))) + 'Fund YTD Contributions'!W174,'Fund YTD Contributions'!W174)"),0.0)</f>
        <v>0</v>
      </c>
      <c r="X174" s="152">
        <f>IFERROR(__xludf.DUMMYFUNCTION("IFERROR(W174 * (1 + AVERAGE(Filter('Inflation Data'!$C:$C,'Inflation Data'!$A:$A = X$1))) + 'Fund YTD Contributions'!X174,'Fund YTD Contributions'!X174)"),0.0)</f>
        <v>0</v>
      </c>
      <c r="Y174" s="152">
        <f>IFERROR(__xludf.DUMMYFUNCTION("IFERROR(X174 * (1 + AVERAGE(Filter('Inflation Data'!$C:$C,'Inflation Data'!$A:$A = Y$1))) + 'Fund YTD Contributions'!Y174,'Fund YTD Contributions'!Y174)"),0.0)</f>
        <v>0</v>
      </c>
      <c r="Z174" s="152">
        <f>IFERROR(__xludf.DUMMYFUNCTION("IFERROR(Y174 * (1 + AVERAGE(Filter('Inflation Data'!$C:$C,'Inflation Data'!$A:$A = Z$1))) + 'Fund YTD Contributions'!Z174,'Fund YTD Contributions'!Z174)"),0.0)</f>
        <v>0</v>
      </c>
      <c r="AA174" s="152"/>
      <c r="AB174" s="152"/>
      <c r="AC174" s="152"/>
      <c r="AD174" s="152"/>
      <c r="AE174" s="152"/>
      <c r="AF174" s="152"/>
    </row>
    <row r="175">
      <c r="B175" s="152">
        <f>IFERROR(__xludf.DUMMYFUNCTION("IFERROR(A175 * (1 + AVERAGE(Filter('Inflation Data'!$C:$C,'Inflation Data'!$A:$A = B$1))) + 'Fund YTD Contributions'!B175,'Fund YTD Contributions'!B175)"),0.0)</f>
        <v>0</v>
      </c>
      <c r="C175" s="152">
        <f>IFERROR(__xludf.DUMMYFUNCTION("IFERROR(B175 * (1 + AVERAGE(Filter('Inflation Data'!$C:$C,'Inflation Data'!$A:$A = C$1))) + 'Fund YTD Contributions'!C175,'Fund YTD Contributions'!C175)"),0.0)</f>
        <v>0</v>
      </c>
      <c r="D175" s="152">
        <f>IFERROR(__xludf.DUMMYFUNCTION("IFERROR(C175 * (1 + AVERAGE(Filter('Inflation Data'!$C:$C,'Inflation Data'!$A:$A = D$1))) + 'Fund YTD Contributions'!D175,'Fund YTD Contributions'!D175)"),0.0)</f>
        <v>0</v>
      </c>
      <c r="E175" s="152">
        <f>IFERROR(__xludf.DUMMYFUNCTION("IFERROR(D175 * (1 + AVERAGE(Filter('Inflation Data'!$C:$C,'Inflation Data'!$A:$A = E$1))) + 'Fund YTD Contributions'!E175,'Fund YTD Contributions'!E175)"),0.0)</f>
        <v>0</v>
      </c>
      <c r="F175" s="152">
        <f>IFERROR(__xludf.DUMMYFUNCTION("IFERROR(E175 * (1 + AVERAGE(Filter('Inflation Data'!$C:$C,'Inflation Data'!$A:$A = F$1))) + 'Fund YTD Contributions'!F175,'Fund YTD Contributions'!F175)"),0.0)</f>
        <v>0</v>
      </c>
      <c r="G175" s="152">
        <f>IFERROR(__xludf.DUMMYFUNCTION("IFERROR(F175 * (1 + AVERAGE(Filter('Inflation Data'!$C:$C,'Inflation Data'!$A:$A = G$1))) + 'Fund YTD Contributions'!G175,'Fund YTD Contributions'!G175)"),0.0)</f>
        <v>0</v>
      </c>
      <c r="H175" s="152">
        <f>IFERROR(__xludf.DUMMYFUNCTION("IFERROR(G175 * (1 + AVERAGE(Filter('Inflation Data'!$C:$C,'Inflation Data'!$A:$A = H$1))) + 'Fund YTD Contributions'!H175,'Fund YTD Contributions'!H175)"),0.0)</f>
        <v>0</v>
      </c>
      <c r="I175" s="152">
        <f>IFERROR(__xludf.DUMMYFUNCTION("IFERROR(H175 * (1 + AVERAGE(Filter('Inflation Data'!$C:$C,'Inflation Data'!$A:$A = I$1))) + 'Fund YTD Contributions'!I175,'Fund YTD Contributions'!I175)"),0.0)</f>
        <v>0</v>
      </c>
      <c r="J175" s="152">
        <f>IFERROR(__xludf.DUMMYFUNCTION("IFERROR(I175 * (1 + AVERAGE(Filter('Inflation Data'!$C:$C,'Inflation Data'!$A:$A = J$1))) + 'Fund YTD Contributions'!J175,'Fund YTD Contributions'!J175)"),0.0)</f>
        <v>0</v>
      </c>
      <c r="K175" s="152">
        <f>IFERROR(__xludf.DUMMYFUNCTION("IFERROR(J175 * (1 + AVERAGE(Filter('Inflation Data'!$C:$C,'Inflation Data'!$A:$A = K$1))) + 'Fund YTD Contributions'!K175,'Fund YTD Contributions'!K175)"),0.0)</f>
        <v>0</v>
      </c>
      <c r="L175" s="152">
        <f>IFERROR(__xludf.DUMMYFUNCTION("IFERROR(K175 * (1 + AVERAGE(Filter('Inflation Data'!$C:$C,'Inflation Data'!$A:$A = L$1))) + 'Fund YTD Contributions'!L175,'Fund YTD Contributions'!L175)"),0.0)</f>
        <v>0</v>
      </c>
      <c r="M175" s="152">
        <f>IFERROR(__xludf.DUMMYFUNCTION("IFERROR(L175 * (1 + AVERAGE(Filter('Inflation Data'!$C:$C,'Inflation Data'!$A:$A = M$1))) + 'Fund YTD Contributions'!M175,'Fund YTD Contributions'!M175)"),0.0)</f>
        <v>0</v>
      </c>
      <c r="N175" s="152">
        <f>IFERROR(__xludf.DUMMYFUNCTION("IFERROR(M175 * (1 + AVERAGE(Filter('Inflation Data'!$C:$C,'Inflation Data'!$A:$A = N$1))) + 'Fund YTD Contributions'!N175,'Fund YTD Contributions'!N175)"),0.0)</f>
        <v>0</v>
      </c>
      <c r="O175" s="152">
        <f>IFERROR(__xludf.DUMMYFUNCTION("IFERROR(N175 * (1 + AVERAGE(Filter('Inflation Data'!$C:$C,'Inflation Data'!$A:$A = O$1))) + 'Fund YTD Contributions'!O175,'Fund YTD Contributions'!O175)"),0.0)</f>
        <v>0</v>
      </c>
      <c r="P175" s="152">
        <f>IFERROR(__xludf.DUMMYFUNCTION("IFERROR(O175 * (1 + AVERAGE(Filter('Inflation Data'!$C:$C,'Inflation Data'!$A:$A = P$1))) + 'Fund YTD Contributions'!P175,'Fund YTD Contributions'!P175)"),0.0)</f>
        <v>0</v>
      </c>
      <c r="Q175" s="152">
        <f>IFERROR(__xludf.DUMMYFUNCTION("IFERROR(P175 * (1 + AVERAGE(Filter('Inflation Data'!$C:$C,'Inflation Data'!$A:$A = Q$1))) + 'Fund YTD Contributions'!Q175,'Fund YTD Contributions'!Q175)"),0.0)</f>
        <v>0</v>
      </c>
      <c r="R175" s="152">
        <f>IFERROR(__xludf.DUMMYFUNCTION("IFERROR(Q175 * (1 + AVERAGE(Filter('Inflation Data'!$C:$C,'Inflation Data'!$A:$A = R$1))) + 'Fund YTD Contributions'!R175,'Fund YTD Contributions'!R175)"),0.0)</f>
        <v>0</v>
      </c>
      <c r="S175" s="152">
        <f>IFERROR(__xludf.DUMMYFUNCTION("IFERROR(R175 * (1 + AVERAGE(Filter('Inflation Data'!$C:$C,'Inflation Data'!$A:$A = S$1))) + 'Fund YTD Contributions'!S175,'Fund YTD Contributions'!S175)"),0.0)</f>
        <v>0</v>
      </c>
      <c r="T175" s="152">
        <f>IFERROR(__xludf.DUMMYFUNCTION("IFERROR(S175 * (1 + AVERAGE(Filter('Inflation Data'!$C:$C,'Inflation Data'!$A:$A = T$1))) + 'Fund YTD Contributions'!T175,'Fund YTD Contributions'!T175)"),0.0)</f>
        <v>0</v>
      </c>
      <c r="U175" s="152">
        <f>IFERROR(__xludf.DUMMYFUNCTION("IFERROR(T175 * (1 + AVERAGE(Filter('Inflation Data'!$C:$C,'Inflation Data'!$A:$A = U$1))) + 'Fund YTD Contributions'!U175,'Fund YTD Contributions'!U175)"),0.0)</f>
        <v>0</v>
      </c>
      <c r="V175" s="152">
        <f>IFERROR(__xludf.DUMMYFUNCTION("IFERROR(U175 * (1 + AVERAGE(Filter('Inflation Data'!$C:$C,'Inflation Data'!$A:$A = V$1))) + 'Fund YTD Contributions'!V175,'Fund YTD Contributions'!V175)"),0.0)</f>
        <v>0</v>
      </c>
      <c r="W175" s="152">
        <f>IFERROR(__xludf.DUMMYFUNCTION("IFERROR(V175 * (1 + AVERAGE(Filter('Inflation Data'!$C:$C,'Inflation Data'!$A:$A = W$1))) + 'Fund YTD Contributions'!W175,'Fund YTD Contributions'!W175)"),0.0)</f>
        <v>0</v>
      </c>
      <c r="X175" s="152">
        <f>IFERROR(__xludf.DUMMYFUNCTION("IFERROR(W175 * (1 + AVERAGE(Filter('Inflation Data'!$C:$C,'Inflation Data'!$A:$A = X$1))) + 'Fund YTD Contributions'!X175,'Fund YTD Contributions'!X175)"),0.0)</f>
        <v>0</v>
      </c>
      <c r="Y175" s="152">
        <f>IFERROR(__xludf.DUMMYFUNCTION("IFERROR(X175 * (1 + AVERAGE(Filter('Inflation Data'!$C:$C,'Inflation Data'!$A:$A = Y$1))) + 'Fund YTD Contributions'!Y175,'Fund YTD Contributions'!Y175)"),0.0)</f>
        <v>0</v>
      </c>
      <c r="Z175" s="152">
        <f>IFERROR(__xludf.DUMMYFUNCTION("IFERROR(Y175 * (1 + AVERAGE(Filter('Inflation Data'!$C:$C,'Inflation Data'!$A:$A = Z$1))) + 'Fund YTD Contributions'!Z175,'Fund YTD Contributions'!Z175)"),0.0)</f>
        <v>0</v>
      </c>
      <c r="AA175" s="152"/>
      <c r="AB175" s="152"/>
      <c r="AC175" s="152"/>
      <c r="AD175" s="152"/>
      <c r="AE175" s="152"/>
      <c r="AF175" s="152"/>
    </row>
    <row r="176">
      <c r="B176" s="152">
        <f>IFERROR(__xludf.DUMMYFUNCTION("IFERROR(A176 * (1 + AVERAGE(Filter('Inflation Data'!$C:$C,'Inflation Data'!$A:$A = B$1))) + 'Fund YTD Contributions'!B176,'Fund YTD Contributions'!B176)"),0.0)</f>
        <v>0</v>
      </c>
      <c r="C176" s="152">
        <f>IFERROR(__xludf.DUMMYFUNCTION("IFERROR(B176 * (1 + AVERAGE(Filter('Inflation Data'!$C:$C,'Inflation Data'!$A:$A = C$1))) + 'Fund YTD Contributions'!C176,'Fund YTD Contributions'!C176)"),0.0)</f>
        <v>0</v>
      </c>
      <c r="D176" s="152">
        <f>IFERROR(__xludf.DUMMYFUNCTION("IFERROR(C176 * (1 + AVERAGE(Filter('Inflation Data'!$C:$C,'Inflation Data'!$A:$A = D$1))) + 'Fund YTD Contributions'!D176,'Fund YTD Contributions'!D176)"),0.0)</f>
        <v>0</v>
      </c>
      <c r="E176" s="152">
        <f>IFERROR(__xludf.DUMMYFUNCTION("IFERROR(D176 * (1 + AVERAGE(Filter('Inflation Data'!$C:$C,'Inflation Data'!$A:$A = E$1))) + 'Fund YTD Contributions'!E176,'Fund YTD Contributions'!E176)"),0.0)</f>
        <v>0</v>
      </c>
      <c r="F176" s="152">
        <f>IFERROR(__xludf.DUMMYFUNCTION("IFERROR(E176 * (1 + AVERAGE(Filter('Inflation Data'!$C:$C,'Inflation Data'!$A:$A = F$1))) + 'Fund YTD Contributions'!F176,'Fund YTD Contributions'!F176)"),0.0)</f>
        <v>0</v>
      </c>
      <c r="G176" s="152">
        <f>IFERROR(__xludf.DUMMYFUNCTION("IFERROR(F176 * (1 + AVERAGE(Filter('Inflation Data'!$C:$C,'Inflation Data'!$A:$A = G$1))) + 'Fund YTD Contributions'!G176,'Fund YTD Contributions'!G176)"),0.0)</f>
        <v>0</v>
      </c>
      <c r="H176" s="152">
        <f>IFERROR(__xludf.DUMMYFUNCTION("IFERROR(G176 * (1 + AVERAGE(Filter('Inflation Data'!$C:$C,'Inflation Data'!$A:$A = H$1))) + 'Fund YTD Contributions'!H176,'Fund YTD Contributions'!H176)"),0.0)</f>
        <v>0</v>
      </c>
      <c r="I176" s="152">
        <f>IFERROR(__xludf.DUMMYFUNCTION("IFERROR(H176 * (1 + AVERAGE(Filter('Inflation Data'!$C:$C,'Inflation Data'!$A:$A = I$1))) + 'Fund YTD Contributions'!I176,'Fund YTD Contributions'!I176)"),0.0)</f>
        <v>0</v>
      </c>
      <c r="J176" s="152">
        <f>IFERROR(__xludf.DUMMYFUNCTION("IFERROR(I176 * (1 + AVERAGE(Filter('Inflation Data'!$C:$C,'Inflation Data'!$A:$A = J$1))) + 'Fund YTD Contributions'!J176,'Fund YTD Contributions'!J176)"),0.0)</f>
        <v>0</v>
      </c>
      <c r="K176" s="152">
        <f>IFERROR(__xludf.DUMMYFUNCTION("IFERROR(J176 * (1 + AVERAGE(Filter('Inflation Data'!$C:$C,'Inflation Data'!$A:$A = K$1))) + 'Fund YTD Contributions'!K176,'Fund YTD Contributions'!K176)"),0.0)</f>
        <v>0</v>
      </c>
      <c r="L176" s="152">
        <f>IFERROR(__xludf.DUMMYFUNCTION("IFERROR(K176 * (1 + AVERAGE(Filter('Inflation Data'!$C:$C,'Inflation Data'!$A:$A = L$1))) + 'Fund YTD Contributions'!L176,'Fund YTD Contributions'!L176)"),0.0)</f>
        <v>0</v>
      </c>
      <c r="M176" s="152">
        <f>IFERROR(__xludf.DUMMYFUNCTION("IFERROR(L176 * (1 + AVERAGE(Filter('Inflation Data'!$C:$C,'Inflation Data'!$A:$A = M$1))) + 'Fund YTD Contributions'!M176,'Fund YTD Contributions'!M176)"),0.0)</f>
        <v>0</v>
      </c>
      <c r="N176" s="152">
        <f>IFERROR(__xludf.DUMMYFUNCTION("IFERROR(M176 * (1 + AVERAGE(Filter('Inflation Data'!$C:$C,'Inflation Data'!$A:$A = N$1))) + 'Fund YTD Contributions'!N176,'Fund YTD Contributions'!N176)"),0.0)</f>
        <v>0</v>
      </c>
      <c r="O176" s="152">
        <f>IFERROR(__xludf.DUMMYFUNCTION("IFERROR(N176 * (1 + AVERAGE(Filter('Inflation Data'!$C:$C,'Inflation Data'!$A:$A = O$1))) + 'Fund YTD Contributions'!O176,'Fund YTD Contributions'!O176)"),0.0)</f>
        <v>0</v>
      </c>
      <c r="P176" s="152">
        <f>IFERROR(__xludf.DUMMYFUNCTION("IFERROR(O176 * (1 + AVERAGE(Filter('Inflation Data'!$C:$C,'Inflation Data'!$A:$A = P$1))) + 'Fund YTD Contributions'!P176,'Fund YTD Contributions'!P176)"),0.0)</f>
        <v>0</v>
      </c>
      <c r="Q176" s="152">
        <f>IFERROR(__xludf.DUMMYFUNCTION("IFERROR(P176 * (1 + AVERAGE(Filter('Inflation Data'!$C:$C,'Inflation Data'!$A:$A = Q$1))) + 'Fund YTD Contributions'!Q176,'Fund YTD Contributions'!Q176)"),0.0)</f>
        <v>0</v>
      </c>
      <c r="R176" s="152">
        <f>IFERROR(__xludf.DUMMYFUNCTION("IFERROR(Q176 * (1 + AVERAGE(Filter('Inflation Data'!$C:$C,'Inflation Data'!$A:$A = R$1))) + 'Fund YTD Contributions'!R176,'Fund YTD Contributions'!R176)"),0.0)</f>
        <v>0</v>
      </c>
      <c r="S176" s="152">
        <f>IFERROR(__xludf.DUMMYFUNCTION("IFERROR(R176 * (1 + AVERAGE(Filter('Inflation Data'!$C:$C,'Inflation Data'!$A:$A = S$1))) + 'Fund YTD Contributions'!S176,'Fund YTD Contributions'!S176)"),0.0)</f>
        <v>0</v>
      </c>
      <c r="T176" s="152">
        <f>IFERROR(__xludf.DUMMYFUNCTION("IFERROR(S176 * (1 + AVERAGE(Filter('Inflation Data'!$C:$C,'Inflation Data'!$A:$A = T$1))) + 'Fund YTD Contributions'!T176,'Fund YTD Contributions'!T176)"),0.0)</f>
        <v>0</v>
      </c>
      <c r="U176" s="152">
        <f>IFERROR(__xludf.DUMMYFUNCTION("IFERROR(T176 * (1 + AVERAGE(Filter('Inflation Data'!$C:$C,'Inflation Data'!$A:$A = U$1))) + 'Fund YTD Contributions'!U176,'Fund YTD Contributions'!U176)"),0.0)</f>
        <v>0</v>
      </c>
      <c r="V176" s="152">
        <f>IFERROR(__xludf.DUMMYFUNCTION("IFERROR(U176 * (1 + AVERAGE(Filter('Inflation Data'!$C:$C,'Inflation Data'!$A:$A = V$1))) + 'Fund YTD Contributions'!V176,'Fund YTD Contributions'!V176)"),0.0)</f>
        <v>0</v>
      </c>
      <c r="W176" s="152">
        <f>IFERROR(__xludf.DUMMYFUNCTION("IFERROR(V176 * (1 + AVERAGE(Filter('Inflation Data'!$C:$C,'Inflation Data'!$A:$A = W$1))) + 'Fund YTD Contributions'!W176,'Fund YTD Contributions'!W176)"),0.0)</f>
        <v>0</v>
      </c>
      <c r="X176" s="152">
        <f>IFERROR(__xludf.DUMMYFUNCTION("IFERROR(W176 * (1 + AVERAGE(Filter('Inflation Data'!$C:$C,'Inflation Data'!$A:$A = X$1))) + 'Fund YTD Contributions'!X176,'Fund YTD Contributions'!X176)"),0.0)</f>
        <v>0</v>
      </c>
      <c r="Y176" s="152">
        <f>IFERROR(__xludf.DUMMYFUNCTION("IFERROR(X176 * (1 + AVERAGE(Filter('Inflation Data'!$C:$C,'Inflation Data'!$A:$A = Y$1))) + 'Fund YTD Contributions'!Y176,'Fund YTD Contributions'!Y176)"),0.0)</f>
        <v>0</v>
      </c>
      <c r="Z176" s="152">
        <f>IFERROR(__xludf.DUMMYFUNCTION("IFERROR(Y176 * (1 + AVERAGE(Filter('Inflation Data'!$C:$C,'Inflation Data'!$A:$A = Z$1))) + 'Fund YTD Contributions'!Z176,'Fund YTD Contributions'!Z176)"),0.0)</f>
        <v>0</v>
      </c>
      <c r="AA176" s="152"/>
      <c r="AB176" s="152"/>
      <c r="AC176" s="152"/>
      <c r="AD176" s="152"/>
      <c r="AE176" s="152"/>
      <c r="AF176" s="152"/>
    </row>
    <row r="177">
      <c r="B177" s="152">
        <f>IFERROR(__xludf.DUMMYFUNCTION("IFERROR(A177 * (1 + AVERAGE(Filter('Inflation Data'!$C:$C,'Inflation Data'!$A:$A = B$1))) + 'Fund YTD Contributions'!B177,'Fund YTD Contributions'!B177)"),0.0)</f>
        <v>0</v>
      </c>
      <c r="C177" s="152">
        <f>IFERROR(__xludf.DUMMYFUNCTION("IFERROR(B177 * (1 + AVERAGE(Filter('Inflation Data'!$C:$C,'Inflation Data'!$A:$A = C$1))) + 'Fund YTD Contributions'!C177,'Fund YTD Contributions'!C177)"),0.0)</f>
        <v>0</v>
      </c>
      <c r="D177" s="152">
        <f>IFERROR(__xludf.DUMMYFUNCTION("IFERROR(C177 * (1 + AVERAGE(Filter('Inflation Data'!$C:$C,'Inflation Data'!$A:$A = D$1))) + 'Fund YTD Contributions'!D177,'Fund YTD Contributions'!D177)"),0.0)</f>
        <v>0</v>
      </c>
      <c r="E177" s="152">
        <f>IFERROR(__xludf.DUMMYFUNCTION("IFERROR(D177 * (1 + AVERAGE(Filter('Inflation Data'!$C:$C,'Inflation Data'!$A:$A = E$1))) + 'Fund YTD Contributions'!E177,'Fund YTD Contributions'!E177)"),0.0)</f>
        <v>0</v>
      </c>
      <c r="F177" s="152">
        <f>IFERROR(__xludf.DUMMYFUNCTION("IFERROR(E177 * (1 + AVERAGE(Filter('Inflation Data'!$C:$C,'Inflation Data'!$A:$A = F$1))) + 'Fund YTD Contributions'!F177,'Fund YTD Contributions'!F177)"),0.0)</f>
        <v>0</v>
      </c>
      <c r="G177" s="152">
        <f>IFERROR(__xludf.DUMMYFUNCTION("IFERROR(F177 * (1 + AVERAGE(Filter('Inflation Data'!$C:$C,'Inflation Data'!$A:$A = G$1))) + 'Fund YTD Contributions'!G177,'Fund YTD Contributions'!G177)"),0.0)</f>
        <v>0</v>
      </c>
      <c r="H177" s="152">
        <f>IFERROR(__xludf.DUMMYFUNCTION("IFERROR(G177 * (1 + AVERAGE(Filter('Inflation Data'!$C:$C,'Inflation Data'!$A:$A = H$1))) + 'Fund YTD Contributions'!H177,'Fund YTD Contributions'!H177)"),0.0)</f>
        <v>0</v>
      </c>
      <c r="I177" s="152">
        <f>IFERROR(__xludf.DUMMYFUNCTION("IFERROR(H177 * (1 + AVERAGE(Filter('Inflation Data'!$C:$C,'Inflation Data'!$A:$A = I$1))) + 'Fund YTD Contributions'!I177,'Fund YTD Contributions'!I177)"),0.0)</f>
        <v>0</v>
      </c>
      <c r="J177" s="152">
        <f>IFERROR(__xludf.DUMMYFUNCTION("IFERROR(I177 * (1 + AVERAGE(Filter('Inflation Data'!$C:$C,'Inflation Data'!$A:$A = J$1))) + 'Fund YTD Contributions'!J177,'Fund YTD Contributions'!J177)"),0.0)</f>
        <v>0</v>
      </c>
      <c r="K177" s="152">
        <f>IFERROR(__xludf.DUMMYFUNCTION("IFERROR(J177 * (1 + AVERAGE(Filter('Inflation Data'!$C:$C,'Inflation Data'!$A:$A = K$1))) + 'Fund YTD Contributions'!K177,'Fund YTD Contributions'!K177)"),0.0)</f>
        <v>0</v>
      </c>
      <c r="L177" s="152">
        <f>IFERROR(__xludf.DUMMYFUNCTION("IFERROR(K177 * (1 + AVERAGE(Filter('Inflation Data'!$C:$C,'Inflation Data'!$A:$A = L$1))) + 'Fund YTD Contributions'!L177,'Fund YTD Contributions'!L177)"),0.0)</f>
        <v>0</v>
      </c>
      <c r="M177" s="152">
        <f>IFERROR(__xludf.DUMMYFUNCTION("IFERROR(L177 * (1 + AVERAGE(Filter('Inflation Data'!$C:$C,'Inflation Data'!$A:$A = M$1))) + 'Fund YTD Contributions'!M177,'Fund YTD Contributions'!M177)"),0.0)</f>
        <v>0</v>
      </c>
      <c r="N177" s="152">
        <f>IFERROR(__xludf.DUMMYFUNCTION("IFERROR(M177 * (1 + AVERAGE(Filter('Inflation Data'!$C:$C,'Inflation Data'!$A:$A = N$1))) + 'Fund YTD Contributions'!N177,'Fund YTD Contributions'!N177)"),0.0)</f>
        <v>0</v>
      </c>
      <c r="O177" s="152">
        <f>IFERROR(__xludf.DUMMYFUNCTION("IFERROR(N177 * (1 + AVERAGE(Filter('Inflation Data'!$C:$C,'Inflation Data'!$A:$A = O$1))) + 'Fund YTD Contributions'!O177,'Fund YTD Contributions'!O177)"),0.0)</f>
        <v>0</v>
      </c>
      <c r="P177" s="152">
        <f>IFERROR(__xludf.DUMMYFUNCTION("IFERROR(O177 * (1 + AVERAGE(Filter('Inflation Data'!$C:$C,'Inflation Data'!$A:$A = P$1))) + 'Fund YTD Contributions'!P177,'Fund YTD Contributions'!P177)"),0.0)</f>
        <v>0</v>
      </c>
      <c r="Q177" s="152">
        <f>IFERROR(__xludf.DUMMYFUNCTION("IFERROR(P177 * (1 + AVERAGE(Filter('Inflation Data'!$C:$C,'Inflation Data'!$A:$A = Q$1))) + 'Fund YTD Contributions'!Q177,'Fund YTD Contributions'!Q177)"),0.0)</f>
        <v>0</v>
      </c>
      <c r="R177" s="152">
        <f>IFERROR(__xludf.DUMMYFUNCTION("IFERROR(Q177 * (1 + AVERAGE(Filter('Inflation Data'!$C:$C,'Inflation Data'!$A:$A = R$1))) + 'Fund YTD Contributions'!R177,'Fund YTD Contributions'!R177)"),0.0)</f>
        <v>0</v>
      </c>
      <c r="S177" s="152">
        <f>IFERROR(__xludf.DUMMYFUNCTION("IFERROR(R177 * (1 + AVERAGE(Filter('Inflation Data'!$C:$C,'Inflation Data'!$A:$A = S$1))) + 'Fund YTD Contributions'!S177,'Fund YTD Contributions'!S177)"),0.0)</f>
        <v>0</v>
      </c>
      <c r="T177" s="152">
        <f>IFERROR(__xludf.DUMMYFUNCTION("IFERROR(S177 * (1 + AVERAGE(Filter('Inflation Data'!$C:$C,'Inflation Data'!$A:$A = T$1))) + 'Fund YTD Contributions'!T177,'Fund YTD Contributions'!T177)"),0.0)</f>
        <v>0</v>
      </c>
      <c r="U177" s="152">
        <f>IFERROR(__xludf.DUMMYFUNCTION("IFERROR(T177 * (1 + AVERAGE(Filter('Inflation Data'!$C:$C,'Inflation Data'!$A:$A = U$1))) + 'Fund YTD Contributions'!U177,'Fund YTD Contributions'!U177)"),0.0)</f>
        <v>0</v>
      </c>
      <c r="V177" s="152">
        <f>IFERROR(__xludf.DUMMYFUNCTION("IFERROR(U177 * (1 + AVERAGE(Filter('Inflation Data'!$C:$C,'Inflation Data'!$A:$A = V$1))) + 'Fund YTD Contributions'!V177,'Fund YTD Contributions'!V177)"),0.0)</f>
        <v>0</v>
      </c>
      <c r="W177" s="152">
        <f>IFERROR(__xludf.DUMMYFUNCTION("IFERROR(V177 * (1 + AVERAGE(Filter('Inflation Data'!$C:$C,'Inflation Data'!$A:$A = W$1))) + 'Fund YTD Contributions'!W177,'Fund YTD Contributions'!W177)"),0.0)</f>
        <v>0</v>
      </c>
      <c r="X177" s="152">
        <f>IFERROR(__xludf.DUMMYFUNCTION("IFERROR(W177 * (1 + AVERAGE(Filter('Inflation Data'!$C:$C,'Inflation Data'!$A:$A = X$1))) + 'Fund YTD Contributions'!X177,'Fund YTD Contributions'!X177)"),0.0)</f>
        <v>0</v>
      </c>
      <c r="Y177" s="152">
        <f>IFERROR(__xludf.DUMMYFUNCTION("IFERROR(X177 * (1 + AVERAGE(Filter('Inflation Data'!$C:$C,'Inflation Data'!$A:$A = Y$1))) + 'Fund YTD Contributions'!Y177,'Fund YTD Contributions'!Y177)"),0.0)</f>
        <v>0</v>
      </c>
      <c r="Z177" s="152">
        <f>IFERROR(__xludf.DUMMYFUNCTION("IFERROR(Y177 * (1 + AVERAGE(Filter('Inflation Data'!$C:$C,'Inflation Data'!$A:$A = Z$1))) + 'Fund YTD Contributions'!Z177,'Fund YTD Contributions'!Z177)"),0.0)</f>
        <v>0</v>
      </c>
      <c r="AA177" s="152"/>
      <c r="AB177" s="152"/>
      <c r="AC177" s="152"/>
      <c r="AD177" s="152"/>
      <c r="AE177" s="152"/>
      <c r="AF177" s="152"/>
    </row>
    <row r="178">
      <c r="B178" s="152">
        <f>IFERROR(__xludf.DUMMYFUNCTION("IFERROR(A178 * (1 + AVERAGE(Filter('Inflation Data'!$C:$C,'Inflation Data'!$A:$A = B$1))) + 'Fund YTD Contributions'!B178,'Fund YTD Contributions'!B178)"),0.0)</f>
        <v>0</v>
      </c>
      <c r="C178" s="152">
        <f>IFERROR(__xludf.DUMMYFUNCTION("IFERROR(B178 * (1 + AVERAGE(Filter('Inflation Data'!$C:$C,'Inflation Data'!$A:$A = C$1))) + 'Fund YTD Contributions'!C178,'Fund YTD Contributions'!C178)"),0.0)</f>
        <v>0</v>
      </c>
      <c r="D178" s="152">
        <f>IFERROR(__xludf.DUMMYFUNCTION("IFERROR(C178 * (1 + AVERAGE(Filter('Inflation Data'!$C:$C,'Inflation Data'!$A:$A = D$1))) + 'Fund YTD Contributions'!D178,'Fund YTD Contributions'!D178)"),0.0)</f>
        <v>0</v>
      </c>
      <c r="E178" s="152">
        <f>IFERROR(__xludf.DUMMYFUNCTION("IFERROR(D178 * (1 + AVERAGE(Filter('Inflation Data'!$C:$C,'Inflation Data'!$A:$A = E$1))) + 'Fund YTD Contributions'!E178,'Fund YTD Contributions'!E178)"),0.0)</f>
        <v>0</v>
      </c>
      <c r="F178" s="152">
        <f>IFERROR(__xludf.DUMMYFUNCTION("IFERROR(E178 * (1 + AVERAGE(Filter('Inflation Data'!$C:$C,'Inflation Data'!$A:$A = F$1))) + 'Fund YTD Contributions'!F178,'Fund YTD Contributions'!F178)"),0.0)</f>
        <v>0</v>
      </c>
      <c r="G178" s="152">
        <f>IFERROR(__xludf.DUMMYFUNCTION("IFERROR(F178 * (1 + AVERAGE(Filter('Inflation Data'!$C:$C,'Inflation Data'!$A:$A = G$1))) + 'Fund YTD Contributions'!G178,'Fund YTD Contributions'!G178)"),0.0)</f>
        <v>0</v>
      </c>
      <c r="H178" s="152">
        <f>IFERROR(__xludf.DUMMYFUNCTION("IFERROR(G178 * (1 + AVERAGE(Filter('Inflation Data'!$C:$C,'Inflation Data'!$A:$A = H$1))) + 'Fund YTD Contributions'!H178,'Fund YTD Contributions'!H178)"),0.0)</f>
        <v>0</v>
      </c>
      <c r="I178" s="152">
        <f>IFERROR(__xludf.DUMMYFUNCTION("IFERROR(H178 * (1 + AVERAGE(Filter('Inflation Data'!$C:$C,'Inflation Data'!$A:$A = I$1))) + 'Fund YTD Contributions'!I178,'Fund YTD Contributions'!I178)"),0.0)</f>
        <v>0</v>
      </c>
      <c r="J178" s="152">
        <f>IFERROR(__xludf.DUMMYFUNCTION("IFERROR(I178 * (1 + AVERAGE(Filter('Inflation Data'!$C:$C,'Inflation Data'!$A:$A = J$1))) + 'Fund YTD Contributions'!J178,'Fund YTD Contributions'!J178)"),0.0)</f>
        <v>0</v>
      </c>
      <c r="K178" s="152">
        <f>IFERROR(__xludf.DUMMYFUNCTION("IFERROR(J178 * (1 + AVERAGE(Filter('Inflation Data'!$C:$C,'Inflation Data'!$A:$A = K$1))) + 'Fund YTD Contributions'!K178,'Fund YTD Contributions'!K178)"),0.0)</f>
        <v>0</v>
      </c>
      <c r="L178" s="152">
        <f>IFERROR(__xludf.DUMMYFUNCTION("IFERROR(K178 * (1 + AVERAGE(Filter('Inflation Data'!$C:$C,'Inflation Data'!$A:$A = L$1))) + 'Fund YTD Contributions'!L178,'Fund YTD Contributions'!L178)"),0.0)</f>
        <v>0</v>
      </c>
      <c r="M178" s="152">
        <f>IFERROR(__xludf.DUMMYFUNCTION("IFERROR(L178 * (1 + AVERAGE(Filter('Inflation Data'!$C:$C,'Inflation Data'!$A:$A = M$1))) + 'Fund YTD Contributions'!M178,'Fund YTD Contributions'!M178)"),0.0)</f>
        <v>0</v>
      </c>
      <c r="N178" s="152">
        <f>IFERROR(__xludf.DUMMYFUNCTION("IFERROR(M178 * (1 + AVERAGE(Filter('Inflation Data'!$C:$C,'Inflation Data'!$A:$A = N$1))) + 'Fund YTD Contributions'!N178,'Fund YTD Contributions'!N178)"),0.0)</f>
        <v>0</v>
      </c>
      <c r="O178" s="152">
        <f>IFERROR(__xludf.DUMMYFUNCTION("IFERROR(N178 * (1 + AVERAGE(Filter('Inflation Data'!$C:$C,'Inflation Data'!$A:$A = O$1))) + 'Fund YTD Contributions'!O178,'Fund YTD Contributions'!O178)"),0.0)</f>
        <v>0</v>
      </c>
      <c r="P178" s="152">
        <f>IFERROR(__xludf.DUMMYFUNCTION("IFERROR(O178 * (1 + AVERAGE(Filter('Inflation Data'!$C:$C,'Inflation Data'!$A:$A = P$1))) + 'Fund YTD Contributions'!P178,'Fund YTD Contributions'!P178)"),0.0)</f>
        <v>0</v>
      </c>
      <c r="Q178" s="152">
        <f>IFERROR(__xludf.DUMMYFUNCTION("IFERROR(P178 * (1 + AVERAGE(Filter('Inflation Data'!$C:$C,'Inflation Data'!$A:$A = Q$1))) + 'Fund YTD Contributions'!Q178,'Fund YTD Contributions'!Q178)"),0.0)</f>
        <v>0</v>
      </c>
      <c r="R178" s="152">
        <f>IFERROR(__xludf.DUMMYFUNCTION("IFERROR(Q178 * (1 + AVERAGE(Filter('Inflation Data'!$C:$C,'Inflation Data'!$A:$A = R$1))) + 'Fund YTD Contributions'!R178,'Fund YTD Contributions'!R178)"),0.0)</f>
        <v>0</v>
      </c>
      <c r="S178" s="152">
        <f>IFERROR(__xludf.DUMMYFUNCTION("IFERROR(R178 * (1 + AVERAGE(Filter('Inflation Data'!$C:$C,'Inflation Data'!$A:$A = S$1))) + 'Fund YTD Contributions'!S178,'Fund YTD Contributions'!S178)"),0.0)</f>
        <v>0</v>
      </c>
      <c r="T178" s="152">
        <f>IFERROR(__xludf.DUMMYFUNCTION("IFERROR(S178 * (1 + AVERAGE(Filter('Inflation Data'!$C:$C,'Inflation Data'!$A:$A = T$1))) + 'Fund YTD Contributions'!T178,'Fund YTD Contributions'!T178)"),0.0)</f>
        <v>0</v>
      </c>
      <c r="U178" s="152">
        <f>IFERROR(__xludf.DUMMYFUNCTION("IFERROR(T178 * (1 + AVERAGE(Filter('Inflation Data'!$C:$C,'Inflation Data'!$A:$A = U$1))) + 'Fund YTD Contributions'!U178,'Fund YTD Contributions'!U178)"),0.0)</f>
        <v>0</v>
      </c>
      <c r="V178" s="152">
        <f>IFERROR(__xludf.DUMMYFUNCTION("IFERROR(U178 * (1 + AVERAGE(Filter('Inflation Data'!$C:$C,'Inflation Data'!$A:$A = V$1))) + 'Fund YTD Contributions'!V178,'Fund YTD Contributions'!V178)"),0.0)</f>
        <v>0</v>
      </c>
      <c r="W178" s="152">
        <f>IFERROR(__xludf.DUMMYFUNCTION("IFERROR(V178 * (1 + AVERAGE(Filter('Inflation Data'!$C:$C,'Inflation Data'!$A:$A = W$1))) + 'Fund YTD Contributions'!W178,'Fund YTD Contributions'!W178)"),0.0)</f>
        <v>0</v>
      </c>
      <c r="X178" s="152">
        <f>IFERROR(__xludf.DUMMYFUNCTION("IFERROR(W178 * (1 + AVERAGE(Filter('Inflation Data'!$C:$C,'Inflation Data'!$A:$A = X$1))) + 'Fund YTD Contributions'!X178,'Fund YTD Contributions'!X178)"),0.0)</f>
        <v>0</v>
      </c>
      <c r="Y178" s="152">
        <f>IFERROR(__xludf.DUMMYFUNCTION("IFERROR(X178 * (1 + AVERAGE(Filter('Inflation Data'!$C:$C,'Inflation Data'!$A:$A = Y$1))) + 'Fund YTD Contributions'!Y178,'Fund YTD Contributions'!Y178)"),0.0)</f>
        <v>0</v>
      </c>
      <c r="Z178" s="152">
        <f>IFERROR(__xludf.DUMMYFUNCTION("IFERROR(Y178 * (1 + AVERAGE(Filter('Inflation Data'!$C:$C,'Inflation Data'!$A:$A = Z$1))) + 'Fund YTD Contributions'!Z178,'Fund YTD Contributions'!Z178)"),0.0)</f>
        <v>0</v>
      </c>
      <c r="AA178" s="152"/>
      <c r="AB178" s="152"/>
      <c r="AC178" s="152"/>
      <c r="AD178" s="152"/>
      <c r="AE178" s="152"/>
      <c r="AF178" s="152"/>
    </row>
    <row r="179">
      <c r="B179" s="152">
        <f>IFERROR(__xludf.DUMMYFUNCTION("IFERROR(A179 * (1 + AVERAGE(Filter('Inflation Data'!$C:$C,'Inflation Data'!$A:$A = B$1))) + 'Fund YTD Contributions'!B179,'Fund YTD Contributions'!B179)"),0.0)</f>
        <v>0</v>
      </c>
      <c r="C179" s="152">
        <f>IFERROR(__xludf.DUMMYFUNCTION("IFERROR(B179 * (1 + AVERAGE(Filter('Inflation Data'!$C:$C,'Inflation Data'!$A:$A = C$1))) + 'Fund YTD Contributions'!C179,'Fund YTD Contributions'!C179)"),0.0)</f>
        <v>0</v>
      </c>
      <c r="D179" s="152">
        <f>IFERROR(__xludf.DUMMYFUNCTION("IFERROR(C179 * (1 + AVERAGE(Filter('Inflation Data'!$C:$C,'Inflation Data'!$A:$A = D$1))) + 'Fund YTD Contributions'!D179,'Fund YTD Contributions'!D179)"),0.0)</f>
        <v>0</v>
      </c>
      <c r="E179" s="152">
        <f>IFERROR(__xludf.DUMMYFUNCTION("IFERROR(D179 * (1 + AVERAGE(Filter('Inflation Data'!$C:$C,'Inflation Data'!$A:$A = E$1))) + 'Fund YTD Contributions'!E179,'Fund YTD Contributions'!E179)"),0.0)</f>
        <v>0</v>
      </c>
      <c r="F179" s="152">
        <f>IFERROR(__xludf.DUMMYFUNCTION("IFERROR(E179 * (1 + AVERAGE(Filter('Inflation Data'!$C:$C,'Inflation Data'!$A:$A = F$1))) + 'Fund YTD Contributions'!F179,'Fund YTD Contributions'!F179)"),0.0)</f>
        <v>0</v>
      </c>
      <c r="G179" s="152">
        <f>IFERROR(__xludf.DUMMYFUNCTION("IFERROR(F179 * (1 + AVERAGE(Filter('Inflation Data'!$C:$C,'Inflation Data'!$A:$A = G$1))) + 'Fund YTD Contributions'!G179,'Fund YTD Contributions'!G179)"),0.0)</f>
        <v>0</v>
      </c>
      <c r="H179" s="152">
        <f>IFERROR(__xludf.DUMMYFUNCTION("IFERROR(G179 * (1 + AVERAGE(Filter('Inflation Data'!$C:$C,'Inflation Data'!$A:$A = H$1))) + 'Fund YTD Contributions'!H179,'Fund YTD Contributions'!H179)"),0.0)</f>
        <v>0</v>
      </c>
      <c r="I179" s="152">
        <f>IFERROR(__xludf.DUMMYFUNCTION("IFERROR(H179 * (1 + AVERAGE(Filter('Inflation Data'!$C:$C,'Inflation Data'!$A:$A = I$1))) + 'Fund YTD Contributions'!I179,'Fund YTD Contributions'!I179)"),0.0)</f>
        <v>0</v>
      </c>
      <c r="J179" s="152">
        <f>IFERROR(__xludf.DUMMYFUNCTION("IFERROR(I179 * (1 + AVERAGE(Filter('Inflation Data'!$C:$C,'Inflation Data'!$A:$A = J$1))) + 'Fund YTD Contributions'!J179,'Fund YTD Contributions'!J179)"),0.0)</f>
        <v>0</v>
      </c>
      <c r="K179" s="152">
        <f>IFERROR(__xludf.DUMMYFUNCTION("IFERROR(J179 * (1 + AVERAGE(Filter('Inflation Data'!$C:$C,'Inflation Data'!$A:$A = K$1))) + 'Fund YTD Contributions'!K179,'Fund YTD Contributions'!K179)"),0.0)</f>
        <v>0</v>
      </c>
      <c r="L179" s="152">
        <f>IFERROR(__xludf.DUMMYFUNCTION("IFERROR(K179 * (1 + AVERAGE(Filter('Inflation Data'!$C:$C,'Inflation Data'!$A:$A = L$1))) + 'Fund YTD Contributions'!L179,'Fund YTD Contributions'!L179)"),0.0)</f>
        <v>0</v>
      </c>
      <c r="M179" s="152">
        <f>IFERROR(__xludf.DUMMYFUNCTION("IFERROR(L179 * (1 + AVERAGE(Filter('Inflation Data'!$C:$C,'Inflation Data'!$A:$A = M$1))) + 'Fund YTD Contributions'!M179,'Fund YTD Contributions'!M179)"),0.0)</f>
        <v>0</v>
      </c>
      <c r="N179" s="152">
        <f>IFERROR(__xludf.DUMMYFUNCTION("IFERROR(M179 * (1 + AVERAGE(Filter('Inflation Data'!$C:$C,'Inflation Data'!$A:$A = N$1))) + 'Fund YTD Contributions'!N179,'Fund YTD Contributions'!N179)"),0.0)</f>
        <v>0</v>
      </c>
      <c r="O179" s="152">
        <f>IFERROR(__xludf.DUMMYFUNCTION("IFERROR(N179 * (1 + AVERAGE(Filter('Inflation Data'!$C:$C,'Inflation Data'!$A:$A = O$1))) + 'Fund YTD Contributions'!O179,'Fund YTD Contributions'!O179)"),0.0)</f>
        <v>0</v>
      </c>
      <c r="P179" s="152">
        <f>IFERROR(__xludf.DUMMYFUNCTION("IFERROR(O179 * (1 + AVERAGE(Filter('Inflation Data'!$C:$C,'Inflation Data'!$A:$A = P$1))) + 'Fund YTD Contributions'!P179,'Fund YTD Contributions'!P179)"),0.0)</f>
        <v>0</v>
      </c>
      <c r="Q179" s="152">
        <f>IFERROR(__xludf.DUMMYFUNCTION("IFERROR(P179 * (1 + AVERAGE(Filter('Inflation Data'!$C:$C,'Inflation Data'!$A:$A = Q$1))) + 'Fund YTD Contributions'!Q179,'Fund YTD Contributions'!Q179)"),0.0)</f>
        <v>0</v>
      </c>
      <c r="R179" s="152">
        <f>IFERROR(__xludf.DUMMYFUNCTION("IFERROR(Q179 * (1 + AVERAGE(Filter('Inflation Data'!$C:$C,'Inflation Data'!$A:$A = R$1))) + 'Fund YTD Contributions'!R179,'Fund YTD Contributions'!R179)"),0.0)</f>
        <v>0</v>
      </c>
      <c r="S179" s="152">
        <f>IFERROR(__xludf.DUMMYFUNCTION("IFERROR(R179 * (1 + AVERAGE(Filter('Inflation Data'!$C:$C,'Inflation Data'!$A:$A = S$1))) + 'Fund YTD Contributions'!S179,'Fund YTD Contributions'!S179)"),0.0)</f>
        <v>0</v>
      </c>
      <c r="T179" s="152">
        <f>IFERROR(__xludf.DUMMYFUNCTION("IFERROR(S179 * (1 + AVERAGE(Filter('Inflation Data'!$C:$C,'Inflation Data'!$A:$A = T$1))) + 'Fund YTD Contributions'!T179,'Fund YTD Contributions'!T179)"),0.0)</f>
        <v>0</v>
      </c>
      <c r="U179" s="152">
        <f>IFERROR(__xludf.DUMMYFUNCTION("IFERROR(T179 * (1 + AVERAGE(Filter('Inflation Data'!$C:$C,'Inflation Data'!$A:$A = U$1))) + 'Fund YTD Contributions'!U179,'Fund YTD Contributions'!U179)"),0.0)</f>
        <v>0</v>
      </c>
      <c r="V179" s="152">
        <f>IFERROR(__xludf.DUMMYFUNCTION("IFERROR(U179 * (1 + AVERAGE(Filter('Inflation Data'!$C:$C,'Inflation Data'!$A:$A = V$1))) + 'Fund YTD Contributions'!V179,'Fund YTD Contributions'!V179)"),0.0)</f>
        <v>0</v>
      </c>
      <c r="W179" s="152">
        <f>IFERROR(__xludf.DUMMYFUNCTION("IFERROR(V179 * (1 + AVERAGE(Filter('Inflation Data'!$C:$C,'Inflation Data'!$A:$A = W$1))) + 'Fund YTD Contributions'!W179,'Fund YTD Contributions'!W179)"),0.0)</f>
        <v>0</v>
      </c>
      <c r="X179" s="152">
        <f>IFERROR(__xludf.DUMMYFUNCTION("IFERROR(W179 * (1 + AVERAGE(Filter('Inflation Data'!$C:$C,'Inflation Data'!$A:$A = X$1))) + 'Fund YTD Contributions'!X179,'Fund YTD Contributions'!X179)"),0.0)</f>
        <v>0</v>
      </c>
      <c r="Y179" s="152">
        <f>IFERROR(__xludf.DUMMYFUNCTION("IFERROR(X179 * (1 + AVERAGE(Filter('Inflation Data'!$C:$C,'Inflation Data'!$A:$A = Y$1))) + 'Fund YTD Contributions'!Y179,'Fund YTD Contributions'!Y179)"),0.0)</f>
        <v>0</v>
      </c>
      <c r="Z179" s="152">
        <f>IFERROR(__xludf.DUMMYFUNCTION("IFERROR(Y179 * (1 + AVERAGE(Filter('Inflation Data'!$C:$C,'Inflation Data'!$A:$A = Z$1))) + 'Fund YTD Contributions'!Z179,'Fund YTD Contributions'!Z179)"),0.0)</f>
        <v>0</v>
      </c>
      <c r="AA179" s="152"/>
      <c r="AB179" s="152"/>
      <c r="AC179" s="152"/>
      <c r="AD179" s="152"/>
      <c r="AE179" s="152"/>
      <c r="AF179" s="152"/>
    </row>
    <row r="180">
      <c r="B180" s="152">
        <f>IFERROR(__xludf.DUMMYFUNCTION("IFERROR(A180 * (1 + AVERAGE(Filter('Inflation Data'!$C:$C,'Inflation Data'!$A:$A = B$1))) + 'Fund YTD Contributions'!B180,'Fund YTD Contributions'!B180)"),0.0)</f>
        <v>0</v>
      </c>
      <c r="C180" s="152">
        <f>IFERROR(__xludf.DUMMYFUNCTION("IFERROR(B180 * (1 + AVERAGE(Filter('Inflation Data'!$C:$C,'Inflation Data'!$A:$A = C$1))) + 'Fund YTD Contributions'!C180,'Fund YTD Contributions'!C180)"),0.0)</f>
        <v>0</v>
      </c>
      <c r="D180" s="152">
        <f>IFERROR(__xludf.DUMMYFUNCTION("IFERROR(C180 * (1 + AVERAGE(Filter('Inflation Data'!$C:$C,'Inflation Data'!$A:$A = D$1))) + 'Fund YTD Contributions'!D180,'Fund YTD Contributions'!D180)"),0.0)</f>
        <v>0</v>
      </c>
      <c r="E180" s="152">
        <f>IFERROR(__xludf.DUMMYFUNCTION("IFERROR(D180 * (1 + AVERAGE(Filter('Inflation Data'!$C:$C,'Inflation Data'!$A:$A = E$1))) + 'Fund YTD Contributions'!E180,'Fund YTD Contributions'!E180)"),0.0)</f>
        <v>0</v>
      </c>
      <c r="F180" s="152">
        <f>IFERROR(__xludf.DUMMYFUNCTION("IFERROR(E180 * (1 + AVERAGE(Filter('Inflation Data'!$C:$C,'Inflation Data'!$A:$A = F$1))) + 'Fund YTD Contributions'!F180,'Fund YTD Contributions'!F180)"),0.0)</f>
        <v>0</v>
      </c>
      <c r="G180" s="152">
        <f>IFERROR(__xludf.DUMMYFUNCTION("IFERROR(F180 * (1 + AVERAGE(Filter('Inflation Data'!$C:$C,'Inflation Data'!$A:$A = G$1))) + 'Fund YTD Contributions'!G180,'Fund YTD Contributions'!G180)"),0.0)</f>
        <v>0</v>
      </c>
      <c r="H180" s="152">
        <f>IFERROR(__xludf.DUMMYFUNCTION("IFERROR(G180 * (1 + AVERAGE(Filter('Inflation Data'!$C:$C,'Inflation Data'!$A:$A = H$1))) + 'Fund YTD Contributions'!H180,'Fund YTD Contributions'!H180)"),0.0)</f>
        <v>0</v>
      </c>
      <c r="I180" s="152">
        <f>IFERROR(__xludf.DUMMYFUNCTION("IFERROR(H180 * (1 + AVERAGE(Filter('Inflation Data'!$C:$C,'Inflation Data'!$A:$A = I$1))) + 'Fund YTD Contributions'!I180,'Fund YTD Contributions'!I180)"),0.0)</f>
        <v>0</v>
      </c>
      <c r="J180" s="152">
        <f>IFERROR(__xludf.DUMMYFUNCTION("IFERROR(I180 * (1 + AVERAGE(Filter('Inflation Data'!$C:$C,'Inflation Data'!$A:$A = J$1))) + 'Fund YTD Contributions'!J180,'Fund YTD Contributions'!J180)"),0.0)</f>
        <v>0</v>
      </c>
      <c r="K180" s="152">
        <f>IFERROR(__xludf.DUMMYFUNCTION("IFERROR(J180 * (1 + AVERAGE(Filter('Inflation Data'!$C:$C,'Inflation Data'!$A:$A = K$1))) + 'Fund YTD Contributions'!K180,'Fund YTD Contributions'!K180)"),0.0)</f>
        <v>0</v>
      </c>
      <c r="L180" s="152">
        <f>IFERROR(__xludf.DUMMYFUNCTION("IFERROR(K180 * (1 + AVERAGE(Filter('Inflation Data'!$C:$C,'Inflation Data'!$A:$A = L$1))) + 'Fund YTD Contributions'!L180,'Fund YTD Contributions'!L180)"),0.0)</f>
        <v>0</v>
      </c>
      <c r="M180" s="152">
        <f>IFERROR(__xludf.DUMMYFUNCTION("IFERROR(L180 * (1 + AVERAGE(Filter('Inflation Data'!$C:$C,'Inflation Data'!$A:$A = M$1))) + 'Fund YTD Contributions'!M180,'Fund YTD Contributions'!M180)"),0.0)</f>
        <v>0</v>
      </c>
      <c r="N180" s="152">
        <f>IFERROR(__xludf.DUMMYFUNCTION("IFERROR(M180 * (1 + AVERAGE(Filter('Inflation Data'!$C:$C,'Inflation Data'!$A:$A = N$1))) + 'Fund YTD Contributions'!N180,'Fund YTD Contributions'!N180)"),0.0)</f>
        <v>0</v>
      </c>
      <c r="O180" s="152">
        <f>IFERROR(__xludf.DUMMYFUNCTION("IFERROR(N180 * (1 + AVERAGE(Filter('Inflation Data'!$C:$C,'Inflation Data'!$A:$A = O$1))) + 'Fund YTD Contributions'!O180,'Fund YTD Contributions'!O180)"),0.0)</f>
        <v>0</v>
      </c>
      <c r="P180" s="152">
        <f>IFERROR(__xludf.DUMMYFUNCTION("IFERROR(O180 * (1 + AVERAGE(Filter('Inflation Data'!$C:$C,'Inflation Data'!$A:$A = P$1))) + 'Fund YTD Contributions'!P180,'Fund YTD Contributions'!P180)"),0.0)</f>
        <v>0</v>
      </c>
      <c r="Q180" s="152">
        <f>IFERROR(__xludf.DUMMYFUNCTION("IFERROR(P180 * (1 + AVERAGE(Filter('Inflation Data'!$C:$C,'Inflation Data'!$A:$A = Q$1))) + 'Fund YTD Contributions'!Q180,'Fund YTD Contributions'!Q180)"),0.0)</f>
        <v>0</v>
      </c>
      <c r="R180" s="152">
        <f>IFERROR(__xludf.DUMMYFUNCTION("IFERROR(Q180 * (1 + AVERAGE(Filter('Inflation Data'!$C:$C,'Inflation Data'!$A:$A = R$1))) + 'Fund YTD Contributions'!R180,'Fund YTD Contributions'!R180)"),0.0)</f>
        <v>0</v>
      </c>
      <c r="S180" s="152">
        <f>IFERROR(__xludf.DUMMYFUNCTION("IFERROR(R180 * (1 + AVERAGE(Filter('Inflation Data'!$C:$C,'Inflation Data'!$A:$A = S$1))) + 'Fund YTD Contributions'!S180,'Fund YTD Contributions'!S180)"),0.0)</f>
        <v>0</v>
      </c>
      <c r="T180" s="152">
        <f>IFERROR(__xludf.DUMMYFUNCTION("IFERROR(S180 * (1 + AVERAGE(Filter('Inflation Data'!$C:$C,'Inflation Data'!$A:$A = T$1))) + 'Fund YTD Contributions'!T180,'Fund YTD Contributions'!T180)"),0.0)</f>
        <v>0</v>
      </c>
      <c r="U180" s="152">
        <f>IFERROR(__xludf.DUMMYFUNCTION("IFERROR(T180 * (1 + AVERAGE(Filter('Inflation Data'!$C:$C,'Inflation Data'!$A:$A = U$1))) + 'Fund YTD Contributions'!U180,'Fund YTD Contributions'!U180)"),0.0)</f>
        <v>0</v>
      </c>
      <c r="V180" s="152">
        <f>IFERROR(__xludf.DUMMYFUNCTION("IFERROR(U180 * (1 + AVERAGE(Filter('Inflation Data'!$C:$C,'Inflation Data'!$A:$A = V$1))) + 'Fund YTD Contributions'!V180,'Fund YTD Contributions'!V180)"),0.0)</f>
        <v>0</v>
      </c>
      <c r="W180" s="152">
        <f>IFERROR(__xludf.DUMMYFUNCTION("IFERROR(V180 * (1 + AVERAGE(Filter('Inflation Data'!$C:$C,'Inflation Data'!$A:$A = W$1))) + 'Fund YTD Contributions'!W180,'Fund YTD Contributions'!W180)"),0.0)</f>
        <v>0</v>
      </c>
      <c r="X180" s="152">
        <f>IFERROR(__xludf.DUMMYFUNCTION("IFERROR(W180 * (1 + AVERAGE(Filter('Inflation Data'!$C:$C,'Inflation Data'!$A:$A = X$1))) + 'Fund YTD Contributions'!X180,'Fund YTD Contributions'!X180)"),0.0)</f>
        <v>0</v>
      </c>
      <c r="Y180" s="152">
        <f>IFERROR(__xludf.DUMMYFUNCTION("IFERROR(X180 * (1 + AVERAGE(Filter('Inflation Data'!$C:$C,'Inflation Data'!$A:$A = Y$1))) + 'Fund YTD Contributions'!Y180,'Fund YTD Contributions'!Y180)"),0.0)</f>
        <v>0</v>
      </c>
      <c r="Z180" s="152">
        <f>IFERROR(__xludf.DUMMYFUNCTION("IFERROR(Y180 * (1 + AVERAGE(Filter('Inflation Data'!$C:$C,'Inflation Data'!$A:$A = Z$1))) + 'Fund YTD Contributions'!Z180,'Fund YTD Contributions'!Z180)"),0.0)</f>
        <v>0</v>
      </c>
      <c r="AA180" s="152"/>
      <c r="AB180" s="152"/>
      <c r="AC180" s="152"/>
      <c r="AD180" s="152"/>
      <c r="AE180" s="152"/>
      <c r="AF180" s="152"/>
    </row>
    <row r="181">
      <c r="B181" s="153"/>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3"/>
    </row>
    <row r="182">
      <c r="B182" s="153"/>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3"/>
    </row>
    <row r="183">
      <c r="B183" s="153"/>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3"/>
    </row>
    <row r="184">
      <c r="B184" s="153"/>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3"/>
    </row>
    <row r="185">
      <c r="B185" s="153"/>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3"/>
    </row>
    <row r="186">
      <c r="B186" s="153"/>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3"/>
    </row>
    <row r="187">
      <c r="B187" s="153"/>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row>
    <row r="188">
      <c r="B188" s="153"/>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3"/>
    </row>
    <row r="189">
      <c r="B189" s="153"/>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row>
    <row r="190">
      <c r="B190" s="153"/>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row>
    <row r="191">
      <c r="B191" s="153"/>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3"/>
    </row>
    <row r="192">
      <c r="B192" s="153"/>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row>
    <row r="193">
      <c r="B193" s="153"/>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3"/>
    </row>
    <row r="194">
      <c r="B194" s="153"/>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3"/>
    </row>
    <row r="195">
      <c r="B195" s="153"/>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3"/>
    </row>
    <row r="196">
      <c r="B196" s="153"/>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3"/>
    </row>
    <row r="197">
      <c r="B197" s="153"/>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3"/>
    </row>
    <row r="198">
      <c r="B198" s="153"/>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row>
    <row r="199">
      <c r="B199" s="153"/>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row>
    <row r="200">
      <c r="B200" s="153"/>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row>
    <row r="201">
      <c r="B201" s="153"/>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row>
    <row r="202">
      <c r="B202" s="153"/>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3"/>
    </row>
    <row r="203">
      <c r="B203" s="153"/>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3"/>
    </row>
    <row r="204">
      <c r="B204" s="153"/>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3"/>
    </row>
    <row r="205">
      <c r="B205" s="153"/>
      <c r="C205" s="153"/>
      <c r="D205" s="153"/>
      <c r="E205" s="153"/>
      <c r="F205" s="153"/>
      <c r="G205" s="153"/>
      <c r="H205" s="153"/>
      <c r="I205" s="153"/>
      <c r="J205" s="153"/>
      <c r="K205" s="153"/>
      <c r="L205" s="153"/>
      <c r="M205" s="153"/>
      <c r="N205" s="153"/>
      <c r="O205" s="153"/>
      <c r="P205" s="153"/>
      <c r="Q205" s="153"/>
      <c r="R205" s="153"/>
      <c r="S205" s="153"/>
      <c r="T205" s="153"/>
      <c r="U205" s="153"/>
      <c r="V205" s="153"/>
      <c r="W205" s="153"/>
      <c r="X205" s="153"/>
      <c r="Y205" s="153"/>
      <c r="Z205" s="153"/>
      <c r="AA205" s="153"/>
      <c r="AB205" s="153"/>
      <c r="AC205" s="153"/>
      <c r="AD205" s="153"/>
      <c r="AE205" s="153"/>
      <c r="AF205" s="153"/>
    </row>
    <row r="206">
      <c r="B206" s="153"/>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row>
    <row r="207">
      <c r="B207" s="153"/>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row>
    <row r="208">
      <c r="B208" s="153"/>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3"/>
    </row>
    <row r="209">
      <c r="B209" s="153"/>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row>
    <row r="210">
      <c r="B210" s="153"/>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row>
    <row r="211">
      <c r="B211" s="153"/>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3"/>
    </row>
    <row r="212">
      <c r="B212" s="153"/>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3"/>
    </row>
    <row r="213">
      <c r="B213" s="153"/>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row>
    <row r="214">
      <c r="B214" s="153"/>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3"/>
    </row>
    <row r="215">
      <c r="B215" s="153"/>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3"/>
    </row>
    <row r="216">
      <c r="B216" s="153"/>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3"/>
    </row>
    <row r="217">
      <c r="B217" s="153"/>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3"/>
    </row>
    <row r="218">
      <c r="B218" s="153"/>
      <c r="C218" s="153"/>
      <c r="D218" s="153"/>
      <c r="E218" s="153"/>
      <c r="F218" s="153"/>
      <c r="G218" s="153"/>
      <c r="H218" s="153"/>
      <c r="I218" s="153"/>
      <c r="J218" s="153"/>
      <c r="K218" s="153"/>
      <c r="L218" s="153"/>
      <c r="M218" s="153"/>
      <c r="N218" s="153"/>
      <c r="O218" s="153"/>
      <c r="P218" s="153"/>
      <c r="Q218" s="153"/>
      <c r="R218" s="153"/>
      <c r="S218" s="153"/>
      <c r="T218" s="153"/>
      <c r="U218" s="153"/>
      <c r="V218" s="153"/>
      <c r="W218" s="153"/>
      <c r="X218" s="153"/>
      <c r="Y218" s="153"/>
      <c r="Z218" s="153"/>
      <c r="AA218" s="153"/>
      <c r="AB218" s="153"/>
      <c r="AC218" s="153"/>
      <c r="AD218" s="153"/>
      <c r="AE218" s="153"/>
      <c r="AF218" s="153"/>
    </row>
    <row r="219">
      <c r="B219" s="153"/>
      <c r="C219" s="153"/>
      <c r="D219" s="153"/>
      <c r="E219" s="153"/>
      <c r="F219" s="153"/>
      <c r="G219" s="153"/>
      <c r="H219" s="153"/>
      <c r="I219" s="153"/>
      <c r="J219" s="153"/>
      <c r="K219" s="153"/>
      <c r="L219" s="153"/>
      <c r="M219" s="153"/>
      <c r="N219" s="153"/>
      <c r="O219" s="153"/>
      <c r="P219" s="153"/>
      <c r="Q219" s="153"/>
      <c r="R219" s="153"/>
      <c r="S219" s="153"/>
      <c r="T219" s="153"/>
      <c r="U219" s="153"/>
      <c r="V219" s="153"/>
      <c r="W219" s="153"/>
      <c r="X219" s="153"/>
      <c r="Y219" s="153"/>
      <c r="Z219" s="153"/>
      <c r="AA219" s="153"/>
      <c r="AB219" s="153"/>
      <c r="AC219" s="153"/>
      <c r="AD219" s="153"/>
      <c r="AE219" s="153"/>
      <c r="AF219" s="153"/>
    </row>
    <row r="220">
      <c r="B220" s="153"/>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3"/>
    </row>
    <row r="221">
      <c r="B221" s="153"/>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3"/>
    </row>
    <row r="222">
      <c r="B222" s="153"/>
      <c r="C222" s="153"/>
      <c r="D222" s="153"/>
      <c r="E222" s="153"/>
      <c r="F222" s="153"/>
      <c r="G222" s="153"/>
      <c r="H222" s="153"/>
      <c r="I222" s="153"/>
      <c r="J222" s="153"/>
      <c r="K222" s="153"/>
      <c r="L222" s="153"/>
      <c r="M222" s="153"/>
      <c r="N222" s="153"/>
      <c r="O222" s="153"/>
      <c r="P222" s="153"/>
      <c r="Q222" s="153"/>
      <c r="R222" s="153"/>
      <c r="S222" s="153"/>
      <c r="T222" s="153"/>
      <c r="U222" s="153"/>
      <c r="V222" s="153"/>
      <c r="W222" s="153"/>
      <c r="X222" s="153"/>
      <c r="Y222" s="153"/>
      <c r="Z222" s="153"/>
      <c r="AA222" s="153"/>
      <c r="AB222" s="153"/>
      <c r="AC222" s="153"/>
      <c r="AD222" s="153"/>
      <c r="AE222" s="153"/>
      <c r="AF222" s="153"/>
    </row>
    <row r="223">
      <c r="B223" s="153"/>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3"/>
    </row>
    <row r="224">
      <c r="B224" s="153"/>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3"/>
    </row>
    <row r="225">
      <c r="B225" s="153"/>
      <c r="C225" s="153"/>
      <c r="D225" s="153"/>
      <c r="E225" s="153"/>
      <c r="F225" s="153"/>
      <c r="G225" s="153"/>
      <c r="H225" s="153"/>
      <c r="I225" s="153"/>
      <c r="J225" s="153"/>
      <c r="K225" s="153"/>
      <c r="L225" s="153"/>
      <c r="M225" s="153"/>
      <c r="N225" s="153"/>
      <c r="O225" s="153"/>
      <c r="P225" s="153"/>
      <c r="Q225" s="153"/>
      <c r="R225" s="153"/>
      <c r="S225" s="153"/>
      <c r="T225" s="153"/>
      <c r="U225" s="153"/>
      <c r="V225" s="153"/>
      <c r="W225" s="153"/>
      <c r="X225" s="153"/>
      <c r="Y225" s="153"/>
      <c r="Z225" s="153"/>
      <c r="AA225" s="153"/>
      <c r="AB225" s="153"/>
      <c r="AC225" s="153"/>
      <c r="AD225" s="153"/>
      <c r="AE225" s="153"/>
      <c r="AF225" s="153"/>
    </row>
    <row r="226">
      <c r="B226" s="153"/>
      <c r="C226" s="153"/>
      <c r="D226" s="153"/>
      <c r="E226" s="153"/>
      <c r="F226" s="153"/>
      <c r="G226" s="153"/>
      <c r="H226" s="153"/>
      <c r="I226" s="153"/>
      <c r="J226" s="153"/>
      <c r="K226" s="153"/>
      <c r="L226" s="153"/>
      <c r="M226" s="153"/>
      <c r="N226" s="153"/>
      <c r="O226" s="153"/>
      <c r="P226" s="153"/>
      <c r="Q226" s="153"/>
      <c r="R226" s="153"/>
      <c r="S226" s="153"/>
      <c r="T226" s="153"/>
      <c r="U226" s="153"/>
      <c r="V226" s="153"/>
      <c r="W226" s="153"/>
      <c r="X226" s="153"/>
      <c r="Y226" s="153"/>
      <c r="Z226" s="153"/>
      <c r="AA226" s="153"/>
      <c r="AB226" s="153"/>
      <c r="AC226" s="153"/>
      <c r="AD226" s="153"/>
      <c r="AE226" s="153"/>
      <c r="AF226" s="153"/>
    </row>
    <row r="227">
      <c r="B227" s="153"/>
      <c r="C227" s="153"/>
      <c r="D227" s="153"/>
      <c r="E227" s="153"/>
      <c r="F227" s="153"/>
      <c r="G227" s="153"/>
      <c r="H227" s="153"/>
      <c r="I227" s="153"/>
      <c r="J227" s="153"/>
      <c r="K227" s="153"/>
      <c r="L227" s="153"/>
      <c r="M227" s="153"/>
      <c r="N227" s="153"/>
      <c r="O227" s="153"/>
      <c r="P227" s="153"/>
      <c r="Q227" s="153"/>
      <c r="R227" s="153"/>
      <c r="S227" s="153"/>
      <c r="T227" s="153"/>
      <c r="U227" s="153"/>
      <c r="V227" s="153"/>
      <c r="W227" s="153"/>
      <c r="X227" s="153"/>
      <c r="Y227" s="153"/>
      <c r="Z227" s="153"/>
      <c r="AA227" s="153"/>
      <c r="AB227" s="153"/>
      <c r="AC227" s="153"/>
      <c r="AD227" s="153"/>
      <c r="AE227" s="153"/>
      <c r="AF227" s="153"/>
    </row>
    <row r="228">
      <c r="B228" s="153"/>
      <c r="C228" s="153"/>
      <c r="D228" s="153"/>
      <c r="E228" s="153"/>
      <c r="F228" s="153"/>
      <c r="G228" s="153"/>
      <c r="H228" s="153"/>
      <c r="I228" s="153"/>
      <c r="J228" s="153"/>
      <c r="K228" s="153"/>
      <c r="L228" s="153"/>
      <c r="M228" s="153"/>
      <c r="N228" s="153"/>
      <c r="O228" s="153"/>
      <c r="P228" s="153"/>
      <c r="Q228" s="153"/>
      <c r="R228" s="153"/>
      <c r="S228" s="153"/>
      <c r="T228" s="153"/>
      <c r="U228" s="153"/>
      <c r="V228" s="153"/>
      <c r="W228" s="153"/>
      <c r="X228" s="153"/>
      <c r="Y228" s="153"/>
      <c r="Z228" s="153"/>
      <c r="AA228" s="153"/>
      <c r="AB228" s="153"/>
      <c r="AC228" s="153"/>
      <c r="AD228" s="153"/>
      <c r="AE228" s="153"/>
      <c r="AF228" s="153"/>
    </row>
    <row r="229">
      <c r="B229" s="153"/>
      <c r="C229" s="153"/>
      <c r="D229" s="153"/>
      <c r="E229" s="153"/>
      <c r="F229" s="153"/>
      <c r="G229" s="153"/>
      <c r="H229" s="153"/>
      <c r="I229" s="153"/>
      <c r="J229" s="153"/>
      <c r="K229" s="153"/>
      <c r="L229" s="153"/>
      <c r="M229" s="153"/>
      <c r="N229" s="153"/>
      <c r="O229" s="153"/>
      <c r="P229" s="153"/>
      <c r="Q229" s="153"/>
      <c r="R229" s="153"/>
      <c r="S229" s="153"/>
      <c r="T229" s="153"/>
      <c r="U229" s="153"/>
      <c r="V229" s="153"/>
      <c r="W229" s="153"/>
      <c r="X229" s="153"/>
      <c r="Y229" s="153"/>
      <c r="Z229" s="153"/>
      <c r="AA229" s="153"/>
      <c r="AB229" s="153"/>
      <c r="AC229" s="153"/>
      <c r="AD229" s="153"/>
      <c r="AE229" s="153"/>
      <c r="AF229" s="153"/>
    </row>
    <row r="230">
      <c r="B230" s="153"/>
      <c r="C230" s="153"/>
      <c r="D230" s="153"/>
      <c r="E230" s="153"/>
      <c r="F230" s="153"/>
      <c r="G230" s="153"/>
      <c r="H230" s="153"/>
      <c r="I230" s="153"/>
      <c r="J230" s="153"/>
      <c r="K230" s="153"/>
      <c r="L230" s="153"/>
      <c r="M230" s="153"/>
      <c r="N230" s="153"/>
      <c r="O230" s="153"/>
      <c r="P230" s="153"/>
      <c r="Q230" s="153"/>
      <c r="R230" s="153"/>
      <c r="S230" s="153"/>
      <c r="T230" s="153"/>
      <c r="U230" s="153"/>
      <c r="V230" s="153"/>
      <c r="W230" s="153"/>
      <c r="X230" s="153"/>
      <c r="Y230" s="153"/>
      <c r="Z230" s="153"/>
      <c r="AA230" s="153"/>
      <c r="AB230" s="153"/>
      <c r="AC230" s="153"/>
      <c r="AD230" s="153"/>
      <c r="AE230" s="153"/>
      <c r="AF230" s="153"/>
    </row>
    <row r="231">
      <c r="B231" s="153"/>
      <c r="C231" s="153"/>
      <c r="D231" s="153"/>
      <c r="E231" s="153"/>
      <c r="F231" s="153"/>
      <c r="G231" s="153"/>
      <c r="H231" s="153"/>
      <c r="I231" s="153"/>
      <c r="J231" s="153"/>
      <c r="K231" s="153"/>
      <c r="L231" s="153"/>
      <c r="M231" s="153"/>
      <c r="N231" s="153"/>
      <c r="O231" s="153"/>
      <c r="P231" s="153"/>
      <c r="Q231" s="153"/>
      <c r="R231" s="153"/>
      <c r="S231" s="153"/>
      <c r="T231" s="153"/>
      <c r="U231" s="153"/>
      <c r="V231" s="153"/>
      <c r="W231" s="153"/>
      <c r="X231" s="153"/>
      <c r="Y231" s="153"/>
      <c r="Z231" s="153"/>
      <c r="AA231" s="153"/>
      <c r="AB231" s="153"/>
      <c r="AC231" s="153"/>
      <c r="AD231" s="153"/>
      <c r="AE231" s="153"/>
      <c r="AF231" s="153"/>
    </row>
    <row r="232">
      <c r="B232" s="153"/>
      <c r="C232" s="153"/>
      <c r="D232" s="153"/>
      <c r="E232" s="153"/>
      <c r="F232" s="153"/>
      <c r="G232" s="153"/>
      <c r="H232" s="153"/>
      <c r="I232" s="153"/>
      <c r="J232" s="153"/>
      <c r="K232" s="153"/>
      <c r="L232" s="153"/>
      <c r="M232" s="153"/>
      <c r="N232" s="153"/>
      <c r="O232" s="153"/>
      <c r="P232" s="153"/>
      <c r="Q232" s="153"/>
      <c r="R232" s="153"/>
      <c r="S232" s="153"/>
      <c r="T232" s="153"/>
      <c r="U232" s="153"/>
      <c r="V232" s="153"/>
      <c r="W232" s="153"/>
      <c r="X232" s="153"/>
      <c r="Y232" s="153"/>
      <c r="Z232" s="153"/>
      <c r="AA232" s="153"/>
      <c r="AB232" s="153"/>
      <c r="AC232" s="153"/>
      <c r="AD232" s="153"/>
      <c r="AE232" s="153"/>
      <c r="AF232" s="153"/>
    </row>
    <row r="233">
      <c r="B233" s="153"/>
      <c r="C233" s="153"/>
      <c r="D233" s="153"/>
      <c r="E233" s="153"/>
      <c r="F233" s="153"/>
      <c r="G233" s="153"/>
      <c r="H233" s="153"/>
      <c r="I233" s="153"/>
      <c r="J233" s="153"/>
      <c r="K233" s="153"/>
      <c r="L233" s="153"/>
      <c r="M233" s="153"/>
      <c r="N233" s="153"/>
      <c r="O233" s="153"/>
      <c r="P233" s="153"/>
      <c r="Q233" s="153"/>
      <c r="R233" s="153"/>
      <c r="S233" s="153"/>
      <c r="T233" s="153"/>
      <c r="U233" s="153"/>
      <c r="V233" s="153"/>
      <c r="W233" s="153"/>
      <c r="X233" s="153"/>
      <c r="Y233" s="153"/>
      <c r="Z233" s="153"/>
      <c r="AA233" s="153"/>
      <c r="AB233" s="153"/>
      <c r="AC233" s="153"/>
      <c r="AD233" s="153"/>
      <c r="AE233" s="153"/>
      <c r="AF233" s="153"/>
    </row>
    <row r="234">
      <c r="B234" s="153"/>
      <c r="C234" s="153"/>
      <c r="D234" s="153"/>
      <c r="E234" s="153"/>
      <c r="F234" s="153"/>
      <c r="G234" s="153"/>
      <c r="H234" s="153"/>
      <c r="I234" s="153"/>
      <c r="J234" s="153"/>
      <c r="K234" s="153"/>
      <c r="L234" s="153"/>
      <c r="M234" s="153"/>
      <c r="N234" s="153"/>
      <c r="O234" s="153"/>
      <c r="P234" s="153"/>
      <c r="Q234" s="153"/>
      <c r="R234" s="153"/>
      <c r="S234" s="153"/>
      <c r="T234" s="153"/>
      <c r="U234" s="153"/>
      <c r="V234" s="153"/>
      <c r="W234" s="153"/>
      <c r="X234" s="153"/>
      <c r="Y234" s="153"/>
      <c r="Z234" s="153"/>
      <c r="AA234" s="153"/>
      <c r="AB234" s="153"/>
      <c r="AC234" s="153"/>
      <c r="AD234" s="153"/>
      <c r="AE234" s="153"/>
      <c r="AF234" s="153"/>
    </row>
    <row r="235">
      <c r="B235" s="153"/>
      <c r="C235" s="153"/>
      <c r="D235" s="153"/>
      <c r="E235" s="153"/>
      <c r="F235" s="153"/>
      <c r="G235" s="153"/>
      <c r="H235" s="153"/>
      <c r="I235" s="153"/>
      <c r="J235" s="153"/>
      <c r="K235" s="153"/>
      <c r="L235" s="153"/>
      <c r="M235" s="153"/>
      <c r="N235" s="153"/>
      <c r="O235" s="153"/>
      <c r="P235" s="153"/>
      <c r="Q235" s="153"/>
      <c r="R235" s="153"/>
      <c r="S235" s="153"/>
      <c r="T235" s="153"/>
      <c r="U235" s="153"/>
      <c r="V235" s="153"/>
      <c r="W235" s="153"/>
      <c r="X235" s="153"/>
      <c r="Y235" s="153"/>
      <c r="Z235" s="153"/>
      <c r="AA235" s="153"/>
      <c r="AB235" s="153"/>
      <c r="AC235" s="153"/>
      <c r="AD235" s="153"/>
      <c r="AE235" s="153"/>
      <c r="AF235" s="153"/>
    </row>
    <row r="236">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c r="Z236" s="153"/>
      <c r="AA236" s="153"/>
      <c r="AB236" s="153"/>
      <c r="AC236" s="153"/>
      <c r="AD236" s="153"/>
      <c r="AE236" s="153"/>
      <c r="AF236" s="153"/>
    </row>
    <row r="237">
      <c r="B237" s="153"/>
      <c r="C237" s="153"/>
      <c r="D237" s="153"/>
      <c r="E237" s="153"/>
      <c r="F237" s="153"/>
      <c r="G237" s="153"/>
      <c r="H237" s="153"/>
      <c r="I237" s="153"/>
      <c r="J237" s="153"/>
      <c r="K237" s="153"/>
      <c r="L237" s="153"/>
      <c r="M237" s="153"/>
      <c r="N237" s="153"/>
      <c r="O237" s="153"/>
      <c r="P237" s="153"/>
      <c r="Q237" s="153"/>
      <c r="R237" s="153"/>
      <c r="S237" s="153"/>
      <c r="T237" s="153"/>
      <c r="U237" s="153"/>
      <c r="V237" s="153"/>
      <c r="W237" s="153"/>
      <c r="X237" s="153"/>
      <c r="Y237" s="153"/>
      <c r="Z237" s="153"/>
      <c r="AA237" s="153"/>
      <c r="AB237" s="153"/>
      <c r="AC237" s="153"/>
      <c r="AD237" s="153"/>
      <c r="AE237" s="153"/>
      <c r="AF237" s="153"/>
    </row>
    <row r="238">
      <c r="B238" s="153"/>
      <c r="C238" s="153"/>
      <c r="D238" s="153"/>
      <c r="E238" s="153"/>
      <c r="F238" s="153"/>
      <c r="G238" s="153"/>
      <c r="H238" s="153"/>
      <c r="I238" s="153"/>
      <c r="J238" s="153"/>
      <c r="K238" s="153"/>
      <c r="L238" s="153"/>
      <c r="M238" s="153"/>
      <c r="N238" s="153"/>
      <c r="O238" s="153"/>
      <c r="P238" s="153"/>
      <c r="Q238" s="153"/>
      <c r="R238" s="153"/>
      <c r="S238" s="153"/>
      <c r="T238" s="153"/>
      <c r="U238" s="153"/>
      <c r="V238" s="153"/>
      <c r="W238" s="153"/>
      <c r="X238" s="153"/>
      <c r="Y238" s="153"/>
      <c r="Z238" s="153"/>
      <c r="AA238" s="153"/>
      <c r="AB238" s="153"/>
      <c r="AC238" s="153"/>
      <c r="AD238" s="153"/>
      <c r="AE238" s="153"/>
      <c r="AF238" s="153"/>
    </row>
    <row r="239">
      <c r="B239" s="153"/>
      <c r="C239" s="153"/>
      <c r="D239" s="153"/>
      <c r="E239" s="153"/>
      <c r="F239" s="153"/>
      <c r="G239" s="153"/>
      <c r="H239" s="153"/>
      <c r="I239" s="153"/>
      <c r="J239" s="153"/>
      <c r="K239" s="153"/>
      <c r="L239" s="153"/>
      <c r="M239" s="153"/>
      <c r="N239" s="153"/>
      <c r="O239" s="153"/>
      <c r="P239" s="153"/>
      <c r="Q239" s="153"/>
      <c r="R239" s="153"/>
      <c r="S239" s="153"/>
      <c r="T239" s="153"/>
      <c r="U239" s="153"/>
      <c r="V239" s="153"/>
      <c r="W239" s="153"/>
      <c r="X239" s="153"/>
      <c r="Y239" s="153"/>
      <c r="Z239" s="153"/>
      <c r="AA239" s="153"/>
      <c r="AB239" s="153"/>
      <c r="AC239" s="153"/>
      <c r="AD239" s="153"/>
      <c r="AE239" s="153"/>
      <c r="AF239" s="153"/>
    </row>
    <row r="240">
      <c r="B240" s="153"/>
      <c r="C240" s="153"/>
      <c r="D240" s="153"/>
      <c r="E240" s="153"/>
      <c r="F240" s="153"/>
      <c r="G240" s="153"/>
      <c r="H240" s="153"/>
      <c r="I240" s="153"/>
      <c r="J240" s="153"/>
      <c r="K240" s="153"/>
      <c r="L240" s="153"/>
      <c r="M240" s="153"/>
      <c r="N240" s="153"/>
      <c r="O240" s="153"/>
      <c r="P240" s="153"/>
      <c r="Q240" s="153"/>
      <c r="R240" s="153"/>
      <c r="S240" s="153"/>
      <c r="T240" s="153"/>
      <c r="U240" s="153"/>
      <c r="V240" s="153"/>
      <c r="W240" s="153"/>
      <c r="X240" s="153"/>
      <c r="Y240" s="153"/>
      <c r="Z240" s="153"/>
      <c r="AA240" s="153"/>
      <c r="AB240" s="153"/>
      <c r="AC240" s="153"/>
      <c r="AD240" s="153"/>
      <c r="AE240" s="153"/>
      <c r="AF240" s="153"/>
    </row>
    <row r="241">
      <c r="B241" s="153"/>
      <c r="C241" s="153"/>
      <c r="D241" s="153"/>
      <c r="E241" s="153"/>
      <c r="F241" s="153"/>
      <c r="G241" s="153"/>
      <c r="H241" s="153"/>
      <c r="I241" s="153"/>
      <c r="J241" s="153"/>
      <c r="K241" s="153"/>
      <c r="L241" s="153"/>
      <c r="M241" s="153"/>
      <c r="N241" s="153"/>
      <c r="O241" s="153"/>
      <c r="P241" s="153"/>
      <c r="Q241" s="153"/>
      <c r="R241" s="153"/>
      <c r="S241" s="153"/>
      <c r="T241" s="153"/>
      <c r="U241" s="153"/>
      <c r="V241" s="153"/>
      <c r="W241" s="153"/>
      <c r="X241" s="153"/>
      <c r="Y241" s="153"/>
      <c r="Z241" s="153"/>
      <c r="AA241" s="153"/>
      <c r="AB241" s="153"/>
      <c r="AC241" s="153"/>
      <c r="AD241" s="153"/>
      <c r="AE241" s="153"/>
      <c r="AF241" s="153"/>
    </row>
    <row r="242">
      <c r="B242" s="153"/>
      <c r="C242" s="153"/>
      <c r="D242" s="153"/>
      <c r="E242" s="153"/>
      <c r="F242" s="153"/>
      <c r="G242" s="153"/>
      <c r="H242" s="153"/>
      <c r="I242" s="153"/>
      <c r="J242" s="153"/>
      <c r="K242" s="153"/>
      <c r="L242" s="153"/>
      <c r="M242" s="153"/>
      <c r="N242" s="153"/>
      <c r="O242" s="153"/>
      <c r="P242" s="153"/>
      <c r="Q242" s="153"/>
      <c r="R242" s="153"/>
      <c r="S242" s="153"/>
      <c r="T242" s="153"/>
      <c r="U242" s="153"/>
      <c r="V242" s="153"/>
      <c r="W242" s="153"/>
      <c r="X242" s="153"/>
      <c r="Y242" s="153"/>
      <c r="Z242" s="153"/>
      <c r="AA242" s="153"/>
      <c r="AB242" s="153"/>
      <c r="AC242" s="153"/>
      <c r="AD242" s="153"/>
      <c r="AE242" s="153"/>
      <c r="AF242" s="153"/>
    </row>
    <row r="243">
      <c r="B243" s="153"/>
      <c r="C243" s="153"/>
      <c r="D243" s="153"/>
      <c r="E243" s="153"/>
      <c r="F243" s="153"/>
      <c r="G243" s="153"/>
      <c r="H243" s="153"/>
      <c r="I243" s="153"/>
      <c r="J243" s="153"/>
      <c r="K243" s="153"/>
      <c r="L243" s="153"/>
      <c r="M243" s="153"/>
      <c r="N243" s="153"/>
      <c r="O243" s="153"/>
      <c r="P243" s="153"/>
      <c r="Q243" s="153"/>
      <c r="R243" s="153"/>
      <c r="S243" s="153"/>
      <c r="T243" s="153"/>
      <c r="U243" s="153"/>
      <c r="V243" s="153"/>
      <c r="W243" s="153"/>
      <c r="X243" s="153"/>
      <c r="Y243" s="153"/>
      <c r="Z243" s="153"/>
      <c r="AA243" s="153"/>
      <c r="AB243" s="153"/>
      <c r="AC243" s="153"/>
      <c r="AD243" s="153"/>
      <c r="AE243" s="153"/>
      <c r="AF243" s="153"/>
    </row>
    <row r="244">
      <c r="B244" s="153"/>
      <c r="C244" s="153"/>
      <c r="D244" s="153"/>
      <c r="E244" s="153"/>
      <c r="F244" s="153"/>
      <c r="G244" s="153"/>
      <c r="H244" s="153"/>
      <c r="I244" s="153"/>
      <c r="J244" s="153"/>
      <c r="K244" s="153"/>
      <c r="L244" s="153"/>
      <c r="M244" s="153"/>
      <c r="N244" s="153"/>
      <c r="O244" s="153"/>
      <c r="P244" s="153"/>
      <c r="Q244" s="153"/>
      <c r="R244" s="153"/>
      <c r="S244" s="153"/>
      <c r="T244" s="153"/>
      <c r="U244" s="153"/>
      <c r="V244" s="153"/>
      <c r="W244" s="153"/>
      <c r="X244" s="153"/>
      <c r="Y244" s="153"/>
      <c r="Z244" s="153"/>
      <c r="AA244" s="153"/>
      <c r="AB244" s="153"/>
      <c r="AC244" s="153"/>
      <c r="AD244" s="153"/>
      <c r="AE244" s="153"/>
      <c r="AF244" s="153"/>
    </row>
    <row r="245">
      <c r="B245" s="153"/>
      <c r="C245" s="153"/>
      <c r="D245" s="153"/>
      <c r="E245" s="153"/>
      <c r="F245" s="153"/>
      <c r="G245" s="153"/>
      <c r="H245" s="153"/>
      <c r="I245" s="153"/>
      <c r="J245" s="153"/>
      <c r="K245" s="153"/>
      <c r="L245" s="153"/>
      <c r="M245" s="153"/>
      <c r="N245" s="153"/>
      <c r="O245" s="153"/>
      <c r="P245" s="153"/>
      <c r="Q245" s="153"/>
      <c r="R245" s="153"/>
      <c r="S245" s="153"/>
      <c r="T245" s="153"/>
      <c r="U245" s="153"/>
      <c r="V245" s="153"/>
      <c r="W245" s="153"/>
      <c r="X245" s="153"/>
      <c r="Y245" s="153"/>
      <c r="Z245" s="153"/>
      <c r="AA245" s="153"/>
      <c r="AB245" s="153"/>
      <c r="AC245" s="153"/>
      <c r="AD245" s="153"/>
      <c r="AE245" s="153"/>
      <c r="AF245" s="153"/>
    </row>
    <row r="246">
      <c r="B246" s="153"/>
      <c r="C246" s="153"/>
      <c r="D246" s="153"/>
      <c r="E246" s="153"/>
      <c r="F246" s="153"/>
      <c r="G246" s="153"/>
      <c r="H246" s="153"/>
      <c r="I246" s="153"/>
      <c r="J246" s="153"/>
      <c r="K246" s="153"/>
      <c r="L246" s="153"/>
      <c r="M246" s="153"/>
      <c r="N246" s="153"/>
      <c r="O246" s="153"/>
      <c r="P246" s="153"/>
      <c r="Q246" s="153"/>
      <c r="R246" s="153"/>
      <c r="S246" s="153"/>
      <c r="T246" s="153"/>
      <c r="U246" s="153"/>
      <c r="V246" s="153"/>
      <c r="W246" s="153"/>
      <c r="X246" s="153"/>
      <c r="Y246" s="153"/>
      <c r="Z246" s="153"/>
      <c r="AA246" s="153"/>
      <c r="AB246" s="153"/>
      <c r="AC246" s="153"/>
      <c r="AD246" s="153"/>
      <c r="AE246" s="153"/>
      <c r="AF246" s="153"/>
    </row>
    <row r="247">
      <c r="B247" s="153"/>
      <c r="C247" s="153"/>
      <c r="D247" s="153"/>
      <c r="E247" s="153"/>
      <c r="F247" s="153"/>
      <c r="G247" s="153"/>
      <c r="H247" s="153"/>
      <c r="I247" s="153"/>
      <c r="J247" s="153"/>
      <c r="K247" s="153"/>
      <c r="L247" s="153"/>
      <c r="M247" s="153"/>
      <c r="N247" s="153"/>
      <c r="O247" s="153"/>
      <c r="P247" s="153"/>
      <c r="Q247" s="153"/>
      <c r="R247" s="153"/>
      <c r="S247" s="153"/>
      <c r="T247" s="153"/>
      <c r="U247" s="153"/>
      <c r="V247" s="153"/>
      <c r="W247" s="153"/>
      <c r="X247" s="153"/>
      <c r="Y247" s="153"/>
      <c r="Z247" s="153"/>
      <c r="AA247" s="153"/>
      <c r="AB247" s="153"/>
      <c r="AC247" s="153"/>
      <c r="AD247" s="153"/>
      <c r="AE247" s="153"/>
      <c r="AF247" s="153"/>
    </row>
    <row r="248">
      <c r="B248" s="153"/>
      <c r="C248" s="153"/>
      <c r="D248" s="153"/>
      <c r="E248" s="153"/>
      <c r="F248" s="153"/>
      <c r="G248" s="153"/>
      <c r="H248" s="153"/>
      <c r="I248" s="153"/>
      <c r="J248" s="153"/>
      <c r="K248" s="153"/>
      <c r="L248" s="153"/>
      <c r="M248" s="153"/>
      <c r="N248" s="153"/>
      <c r="O248" s="153"/>
      <c r="P248" s="153"/>
      <c r="Q248" s="153"/>
      <c r="R248" s="153"/>
      <c r="S248" s="153"/>
      <c r="T248" s="153"/>
      <c r="U248" s="153"/>
      <c r="V248" s="153"/>
      <c r="W248" s="153"/>
      <c r="X248" s="153"/>
      <c r="Y248" s="153"/>
      <c r="Z248" s="153"/>
      <c r="AA248" s="153"/>
      <c r="AB248" s="153"/>
      <c r="AC248" s="153"/>
      <c r="AD248" s="153"/>
      <c r="AE248" s="153"/>
      <c r="AF248" s="153"/>
    </row>
    <row r="249">
      <c r="B249" s="153"/>
      <c r="C249" s="153"/>
      <c r="D249" s="153"/>
      <c r="E249" s="153"/>
      <c r="F249" s="153"/>
      <c r="G249" s="153"/>
      <c r="H249" s="153"/>
      <c r="I249" s="153"/>
      <c r="J249" s="153"/>
      <c r="K249" s="153"/>
      <c r="L249" s="153"/>
      <c r="M249" s="153"/>
      <c r="N249" s="153"/>
      <c r="O249" s="153"/>
      <c r="P249" s="153"/>
      <c r="Q249" s="153"/>
      <c r="R249" s="153"/>
      <c r="S249" s="153"/>
      <c r="T249" s="153"/>
      <c r="U249" s="153"/>
      <c r="V249" s="153"/>
      <c r="W249" s="153"/>
      <c r="X249" s="153"/>
      <c r="Y249" s="153"/>
      <c r="Z249" s="153"/>
      <c r="AA249" s="153"/>
      <c r="AB249" s="153"/>
      <c r="AC249" s="153"/>
      <c r="AD249" s="153"/>
      <c r="AE249" s="153"/>
      <c r="AF249" s="153"/>
    </row>
    <row r="250">
      <c r="B250" s="153"/>
      <c r="C250" s="153"/>
      <c r="D250" s="153"/>
      <c r="E250" s="153"/>
      <c r="F250" s="153"/>
      <c r="G250" s="153"/>
      <c r="H250" s="153"/>
      <c r="I250" s="153"/>
      <c r="J250" s="153"/>
      <c r="K250" s="153"/>
      <c r="L250" s="153"/>
      <c r="M250" s="153"/>
      <c r="N250" s="153"/>
      <c r="O250" s="153"/>
      <c r="P250" s="153"/>
      <c r="Q250" s="153"/>
      <c r="R250" s="153"/>
      <c r="S250" s="153"/>
      <c r="T250" s="153"/>
      <c r="U250" s="153"/>
      <c r="V250" s="153"/>
      <c r="W250" s="153"/>
      <c r="X250" s="153"/>
      <c r="Y250" s="153"/>
      <c r="Z250" s="153"/>
      <c r="AA250" s="153"/>
      <c r="AB250" s="153"/>
      <c r="AC250" s="153"/>
      <c r="AD250" s="153"/>
      <c r="AE250" s="153"/>
      <c r="AF250" s="153"/>
    </row>
    <row r="251">
      <c r="B251" s="153"/>
      <c r="C251" s="153"/>
      <c r="D251" s="153"/>
      <c r="E251" s="153"/>
      <c r="F251" s="153"/>
      <c r="G251" s="153"/>
      <c r="H251" s="153"/>
      <c r="I251" s="153"/>
      <c r="J251" s="153"/>
      <c r="K251" s="153"/>
      <c r="L251" s="153"/>
      <c r="M251" s="153"/>
      <c r="N251" s="153"/>
      <c r="O251" s="153"/>
      <c r="P251" s="153"/>
      <c r="Q251" s="153"/>
      <c r="R251" s="153"/>
      <c r="S251" s="153"/>
      <c r="T251" s="153"/>
      <c r="U251" s="153"/>
      <c r="V251" s="153"/>
      <c r="W251" s="153"/>
      <c r="X251" s="153"/>
      <c r="Y251" s="153"/>
      <c r="Z251" s="153"/>
      <c r="AA251" s="153"/>
      <c r="AB251" s="153"/>
      <c r="AC251" s="153"/>
      <c r="AD251" s="153"/>
      <c r="AE251" s="153"/>
      <c r="AF251" s="153"/>
    </row>
    <row r="252">
      <c r="B252" s="153"/>
      <c r="C252" s="153"/>
      <c r="D252" s="153"/>
      <c r="E252" s="153"/>
      <c r="F252" s="153"/>
      <c r="G252" s="153"/>
      <c r="H252" s="153"/>
      <c r="I252" s="153"/>
      <c r="J252" s="153"/>
      <c r="K252" s="153"/>
      <c r="L252" s="153"/>
      <c r="M252" s="153"/>
      <c r="N252" s="153"/>
      <c r="O252" s="153"/>
      <c r="P252" s="153"/>
      <c r="Q252" s="153"/>
      <c r="R252" s="153"/>
      <c r="S252" s="153"/>
      <c r="T252" s="153"/>
      <c r="U252" s="153"/>
      <c r="V252" s="153"/>
      <c r="W252" s="153"/>
      <c r="X252" s="153"/>
      <c r="Y252" s="153"/>
      <c r="Z252" s="153"/>
      <c r="AA252" s="153"/>
      <c r="AB252" s="153"/>
      <c r="AC252" s="153"/>
      <c r="AD252" s="153"/>
      <c r="AE252" s="153"/>
      <c r="AF252" s="153"/>
    </row>
    <row r="253">
      <c r="B253" s="153"/>
      <c r="C253" s="153"/>
      <c r="D253" s="153"/>
      <c r="E253" s="153"/>
      <c r="F253" s="153"/>
      <c r="G253" s="153"/>
      <c r="H253" s="153"/>
      <c r="I253" s="153"/>
      <c r="J253" s="153"/>
      <c r="K253" s="153"/>
      <c r="L253" s="153"/>
      <c r="M253" s="153"/>
      <c r="N253" s="153"/>
      <c r="O253" s="153"/>
      <c r="P253" s="153"/>
      <c r="Q253" s="153"/>
      <c r="R253" s="153"/>
      <c r="S253" s="153"/>
      <c r="T253" s="153"/>
      <c r="U253" s="153"/>
      <c r="V253" s="153"/>
      <c r="W253" s="153"/>
      <c r="X253" s="153"/>
      <c r="Y253" s="153"/>
      <c r="Z253" s="153"/>
      <c r="AA253" s="153"/>
      <c r="AB253" s="153"/>
      <c r="AC253" s="153"/>
      <c r="AD253" s="153"/>
      <c r="AE253" s="153"/>
      <c r="AF253" s="153"/>
    </row>
    <row r="254">
      <c r="B254" s="153"/>
      <c r="C254" s="153"/>
      <c r="D254" s="153"/>
      <c r="E254" s="153"/>
      <c r="F254" s="153"/>
      <c r="G254" s="153"/>
      <c r="H254" s="153"/>
      <c r="I254" s="153"/>
      <c r="J254" s="153"/>
      <c r="K254" s="153"/>
      <c r="L254" s="153"/>
      <c r="M254" s="153"/>
      <c r="N254" s="153"/>
      <c r="O254" s="153"/>
      <c r="P254" s="153"/>
      <c r="Q254" s="153"/>
      <c r="R254" s="153"/>
      <c r="S254" s="153"/>
      <c r="T254" s="153"/>
      <c r="U254" s="153"/>
      <c r="V254" s="153"/>
      <c r="W254" s="153"/>
      <c r="X254" s="153"/>
      <c r="Y254" s="153"/>
      <c r="Z254" s="153"/>
      <c r="AA254" s="153"/>
      <c r="AB254" s="153"/>
      <c r="AC254" s="153"/>
      <c r="AD254" s="153"/>
      <c r="AE254" s="153"/>
      <c r="AF254" s="153"/>
    </row>
    <row r="255">
      <c r="B255" s="153"/>
      <c r="C255" s="153"/>
      <c r="D255" s="153"/>
      <c r="E255" s="153"/>
      <c r="F255" s="153"/>
      <c r="G255" s="153"/>
      <c r="H255" s="153"/>
      <c r="I255" s="153"/>
      <c r="J255" s="153"/>
      <c r="K255" s="153"/>
      <c r="L255" s="153"/>
      <c r="M255" s="153"/>
      <c r="N255" s="153"/>
      <c r="O255" s="153"/>
      <c r="P255" s="153"/>
      <c r="Q255" s="153"/>
      <c r="R255" s="153"/>
      <c r="S255" s="153"/>
      <c r="T255" s="153"/>
      <c r="U255" s="153"/>
      <c r="V255" s="153"/>
      <c r="W255" s="153"/>
      <c r="X255" s="153"/>
      <c r="Y255" s="153"/>
      <c r="Z255" s="153"/>
      <c r="AA255" s="153"/>
      <c r="AB255" s="153"/>
      <c r="AC255" s="153"/>
      <c r="AD255" s="153"/>
      <c r="AE255" s="153"/>
      <c r="AF255" s="153"/>
    </row>
    <row r="256">
      <c r="B256" s="153"/>
      <c r="C256" s="153"/>
      <c r="D256" s="153"/>
      <c r="E256" s="153"/>
      <c r="F256" s="153"/>
      <c r="G256" s="153"/>
      <c r="H256" s="153"/>
      <c r="I256" s="153"/>
      <c r="J256" s="153"/>
      <c r="K256" s="153"/>
      <c r="L256" s="153"/>
      <c r="M256" s="153"/>
      <c r="N256" s="153"/>
      <c r="O256" s="153"/>
      <c r="P256" s="153"/>
      <c r="Q256" s="153"/>
      <c r="R256" s="153"/>
      <c r="S256" s="153"/>
      <c r="T256" s="153"/>
      <c r="U256" s="153"/>
      <c r="V256" s="153"/>
      <c r="W256" s="153"/>
      <c r="X256" s="153"/>
      <c r="Y256" s="153"/>
      <c r="Z256" s="153"/>
      <c r="AA256" s="153"/>
      <c r="AB256" s="153"/>
      <c r="AC256" s="153"/>
      <c r="AD256" s="153"/>
      <c r="AE256" s="153"/>
      <c r="AF256" s="15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2" max="2" width="6.57"/>
    <col customWidth="1" min="3" max="3" width="27.43"/>
  </cols>
  <sheetData>
    <row r="1">
      <c r="A1" s="80" t="s">
        <v>4</v>
      </c>
      <c r="B1" s="81" t="s">
        <v>188</v>
      </c>
      <c r="C1" s="82" t="s">
        <v>10</v>
      </c>
      <c r="D1" s="83" t="s">
        <v>189</v>
      </c>
      <c r="E1" s="83" t="s">
        <v>193</v>
      </c>
      <c r="F1" s="83" t="s">
        <v>190</v>
      </c>
      <c r="G1" s="83" t="s">
        <v>191</v>
      </c>
      <c r="H1" s="83" t="s">
        <v>192</v>
      </c>
      <c r="I1" s="83" t="s">
        <v>196</v>
      </c>
      <c r="J1" s="83" t="s">
        <v>194</v>
      </c>
      <c r="K1" s="83" t="s">
        <v>197</v>
      </c>
      <c r="L1" s="83" t="s">
        <v>195</v>
      </c>
      <c r="M1" s="83" t="s">
        <v>198</v>
      </c>
      <c r="N1" s="83" t="s">
        <v>199</v>
      </c>
      <c r="O1" s="83" t="s">
        <v>200</v>
      </c>
      <c r="P1" s="83" t="s">
        <v>201</v>
      </c>
      <c r="Q1" s="83" t="s">
        <v>202</v>
      </c>
      <c r="R1" s="154"/>
      <c r="S1" s="154"/>
      <c r="T1" s="154"/>
      <c r="U1" s="154"/>
      <c r="V1" s="154"/>
      <c r="W1" s="154"/>
      <c r="X1" s="155"/>
      <c r="Y1" s="155"/>
      <c r="Z1" s="155"/>
      <c r="AA1" s="155"/>
      <c r="AB1" s="155"/>
      <c r="AC1" s="155"/>
      <c r="AD1" s="155"/>
    </row>
    <row r="2">
      <c r="A2" s="86">
        <v>1996.0</v>
      </c>
      <c r="B2" s="88" t="s">
        <v>475</v>
      </c>
      <c r="C2" s="88" t="s">
        <v>476</v>
      </c>
      <c r="D2" s="28">
        <v>4698.41</v>
      </c>
      <c r="E2" s="93">
        <v>183.49</v>
      </c>
      <c r="F2" s="93">
        <v>0.0</v>
      </c>
      <c r="G2" s="93">
        <v>-5.0</v>
      </c>
      <c r="H2" s="32"/>
      <c r="I2" s="32"/>
      <c r="J2" s="93">
        <v>-16.0</v>
      </c>
      <c r="K2" s="93">
        <v>-22.0</v>
      </c>
      <c r="L2" s="93">
        <v>-1.0</v>
      </c>
      <c r="M2" s="93"/>
      <c r="N2" s="93">
        <v>3187.0</v>
      </c>
      <c r="O2" s="91" t="str">
        <f>IFERROR(__xludf.DUMMYFUNCTION("sum(FILTER('Fund Investment Data'!$D:$M,'Fund Investment Data'!$C:$C = $C2,'Fund Investment Data'!$A:$A &lt;= $A2))"),"#N/A")</f>
        <v>#N/A</v>
      </c>
      <c r="P2" s="92" t="str">
        <f t="shared" ref="P2:P28" si="1">N2-O2</f>
        <v>#N/A</v>
      </c>
      <c r="Q2" s="32"/>
      <c r="R2" s="45"/>
      <c r="S2" s="45"/>
      <c r="T2" s="45"/>
      <c r="U2" s="45"/>
      <c r="V2" s="45"/>
      <c r="W2" s="45"/>
    </row>
    <row r="3">
      <c r="A3" s="86">
        <v>1997.0</v>
      </c>
      <c r="B3" s="88" t="s">
        <v>475</v>
      </c>
      <c r="C3" s="88" t="s">
        <v>476</v>
      </c>
      <c r="D3" s="32"/>
      <c r="E3" s="93">
        <v>118.31</v>
      </c>
      <c r="F3" s="93">
        <v>-200.0</v>
      </c>
      <c r="G3" s="32"/>
      <c r="H3" s="93">
        <v>74.26</v>
      </c>
      <c r="I3" s="93">
        <v>1.78</v>
      </c>
      <c r="J3" s="93">
        <v>-6.69</v>
      </c>
      <c r="K3" s="93">
        <v>413.0</v>
      </c>
      <c r="L3" s="93">
        <v>0.0</v>
      </c>
      <c r="M3" s="93"/>
      <c r="N3" s="93">
        <v>3588.0</v>
      </c>
      <c r="O3" s="91" t="str">
        <f>IFERROR(__xludf.DUMMYFUNCTION("sum(FILTER('Fund Investment Data'!$D:$M,'Fund Investment Data'!$C:$C = $C3,'Fund Investment Data'!$A:$A &lt;= $A3))"),"#N/A")</f>
        <v>#N/A</v>
      </c>
      <c r="P3" s="92" t="str">
        <f t="shared" si="1"/>
        <v>#N/A</v>
      </c>
      <c r="Q3" s="32"/>
      <c r="R3" s="45"/>
      <c r="S3" s="45"/>
      <c r="T3" s="45"/>
      <c r="U3" s="45"/>
      <c r="V3" s="45"/>
      <c r="W3" s="45"/>
    </row>
    <row r="4">
      <c r="A4" s="86">
        <v>1998.0</v>
      </c>
      <c r="B4" s="88" t="s">
        <v>475</v>
      </c>
      <c r="C4" s="88" t="s">
        <v>476</v>
      </c>
      <c r="D4" s="32"/>
      <c r="E4" s="93">
        <v>117.47</v>
      </c>
      <c r="F4" s="32"/>
      <c r="G4" s="32"/>
      <c r="H4" s="93">
        <v>142.28</v>
      </c>
      <c r="I4" s="93">
        <v>74.47</v>
      </c>
      <c r="J4" s="32"/>
      <c r="K4" s="93">
        <v>211.24</v>
      </c>
      <c r="L4" s="93">
        <v>-0.37</v>
      </c>
      <c r="M4" s="93"/>
      <c r="N4" s="93">
        <v>4133.0</v>
      </c>
      <c r="O4" s="91" t="str">
        <f>IFERROR(__xludf.DUMMYFUNCTION("sum(FILTER('Fund Investment Data'!$D:$M,'Fund Investment Data'!$C:$C = $C4,'Fund Investment Data'!$A:$A &lt;= $A4))"),"#N/A")</f>
        <v>#N/A</v>
      </c>
      <c r="P4" s="92" t="str">
        <f t="shared" si="1"/>
        <v>#N/A</v>
      </c>
      <c r="Q4" s="32"/>
      <c r="R4" s="45"/>
      <c r="S4" s="45"/>
      <c r="T4" s="45"/>
      <c r="U4" s="45"/>
      <c r="V4" s="45"/>
      <c r="W4" s="45"/>
    </row>
    <row r="5">
      <c r="A5" s="86">
        <v>1999.0</v>
      </c>
      <c r="B5" s="88" t="s">
        <v>475</v>
      </c>
      <c r="C5" s="88" t="s">
        <v>476</v>
      </c>
      <c r="D5" s="32"/>
      <c r="E5" s="93">
        <v>112.62</v>
      </c>
      <c r="F5" s="32"/>
      <c r="G5" s="93">
        <v>-11.44</v>
      </c>
      <c r="H5" s="93">
        <v>262.39</v>
      </c>
      <c r="I5" s="93">
        <v>197.0</v>
      </c>
      <c r="J5" s="93">
        <v>-14.18</v>
      </c>
      <c r="K5" s="93">
        <v>-81.22</v>
      </c>
      <c r="L5" s="93">
        <v>0.84</v>
      </c>
      <c r="M5" s="93">
        <v>3.71</v>
      </c>
      <c r="N5" s="93">
        <v>4603.0</v>
      </c>
      <c r="O5" s="91" t="str">
        <f>IFERROR(__xludf.DUMMYFUNCTION("sum(FILTER('Fund Investment Data'!$D:$M,'Fund Investment Data'!$C:$C = $C5,'Fund Investment Data'!$A:$A &lt;= $A5))"),"#N/A")</f>
        <v>#N/A</v>
      </c>
      <c r="P5" s="92" t="str">
        <f t="shared" si="1"/>
        <v>#N/A</v>
      </c>
      <c r="Q5" s="32"/>
      <c r="R5" s="45"/>
      <c r="S5" s="45"/>
      <c r="T5" s="45"/>
      <c r="U5" s="45"/>
      <c r="V5" s="45"/>
      <c r="W5" s="45"/>
    </row>
    <row r="6">
      <c r="A6" s="86">
        <v>2000.0</v>
      </c>
      <c r="B6" s="88" t="s">
        <v>475</v>
      </c>
      <c r="C6" s="88" t="s">
        <v>476</v>
      </c>
      <c r="D6" s="93">
        <v>-4698.41</v>
      </c>
      <c r="E6" s="93">
        <v>85.01</v>
      </c>
      <c r="F6" s="32"/>
      <c r="G6" s="93">
        <v>-11.92</v>
      </c>
      <c r="H6" s="93">
        <v>0.0</v>
      </c>
      <c r="I6" s="32"/>
      <c r="J6" s="93">
        <v>-25.26</v>
      </c>
      <c r="K6" s="93">
        <v>49.08</v>
      </c>
      <c r="L6" s="93">
        <v>-1.11</v>
      </c>
      <c r="M6" s="93"/>
      <c r="N6" s="93">
        <v>0.0</v>
      </c>
      <c r="O6" s="91" t="str">
        <f>IFERROR(__xludf.DUMMYFUNCTION("sum(FILTER('Fund Investment Data'!$D:$M,'Fund Investment Data'!$C:$C = $C6,'Fund Investment Data'!$A:$A &lt;= $A6))"),"#N/A")</f>
        <v>#N/A</v>
      </c>
      <c r="P6" s="92" t="str">
        <f t="shared" si="1"/>
        <v>#N/A</v>
      </c>
      <c r="Q6" s="32"/>
      <c r="R6" s="45"/>
      <c r="S6" s="45"/>
      <c r="T6" s="45"/>
      <c r="U6" s="45"/>
      <c r="V6" s="45"/>
      <c r="W6" s="45"/>
    </row>
    <row r="7">
      <c r="A7" s="86">
        <v>1996.0</v>
      </c>
      <c r="B7" s="88" t="s">
        <v>475</v>
      </c>
      <c r="C7" s="88" t="s">
        <v>477</v>
      </c>
      <c r="D7" s="32">
        <v>185181.79</v>
      </c>
      <c r="E7" s="93">
        <v>10894.21</v>
      </c>
      <c r="F7" s="93">
        <v>-10000.0</v>
      </c>
      <c r="G7" s="93">
        <v>-295.0</v>
      </c>
      <c r="H7" s="32"/>
      <c r="I7" s="32"/>
      <c r="J7" s="93">
        <v>-1166.0</v>
      </c>
      <c r="K7" s="93">
        <v>-1487.0</v>
      </c>
      <c r="L7" s="93">
        <v>-43.0</v>
      </c>
      <c r="M7" s="93"/>
      <c r="N7" s="93">
        <v>183085.0</v>
      </c>
      <c r="O7" s="91" t="str">
        <f>IFERROR(__xludf.DUMMYFUNCTION("sum(FILTER('Fund Investment Data'!$D:$M,'Fund Investment Data'!$C:$C = $C7,'Fund Investment Data'!$A:$A &lt;= $A7))"),"#N/A")</f>
        <v>#N/A</v>
      </c>
      <c r="P7" s="92" t="str">
        <f t="shared" si="1"/>
        <v>#N/A</v>
      </c>
      <c r="Q7" s="32"/>
      <c r="R7" s="45"/>
      <c r="S7" s="45"/>
      <c r="T7" s="45"/>
      <c r="U7" s="45"/>
      <c r="V7" s="45"/>
      <c r="W7" s="45"/>
    </row>
    <row r="8">
      <c r="A8" s="86">
        <v>1997.0</v>
      </c>
      <c r="B8" s="88" t="s">
        <v>475</v>
      </c>
      <c r="C8" s="88" t="s">
        <v>477</v>
      </c>
      <c r="D8" s="32"/>
      <c r="E8" s="93">
        <v>7105.46</v>
      </c>
      <c r="F8" s="93">
        <v>-6500.0</v>
      </c>
      <c r="G8" s="32"/>
      <c r="H8" s="93">
        <v>4439.34</v>
      </c>
      <c r="I8" s="93">
        <v>517.01</v>
      </c>
      <c r="J8" s="93">
        <v>-416.14</v>
      </c>
      <c r="K8" s="93">
        <v>24818.0</v>
      </c>
      <c r="L8" s="93">
        <v>-4.0</v>
      </c>
      <c r="M8" s="93"/>
      <c r="N8" s="93">
        <v>213045.0</v>
      </c>
      <c r="O8" s="91" t="str">
        <f>IFERROR(__xludf.DUMMYFUNCTION("sum(FILTER('Fund Investment Data'!$D:$M,'Fund Investment Data'!$C:$C = $C8,'Fund Investment Data'!$A:$A &lt;= $A8))"),"#N/A")</f>
        <v>#N/A</v>
      </c>
      <c r="P8" s="92" t="str">
        <f t="shared" si="1"/>
        <v>#N/A</v>
      </c>
      <c r="Q8" s="32"/>
      <c r="R8" s="45"/>
      <c r="S8" s="45"/>
      <c r="T8" s="45"/>
      <c r="U8" s="45"/>
      <c r="V8" s="45"/>
      <c r="W8" s="45"/>
    </row>
    <row r="9">
      <c r="A9" s="86">
        <v>1998.0</v>
      </c>
      <c r="B9" s="88" t="s">
        <v>475</v>
      </c>
      <c r="C9" s="88" t="s">
        <v>477</v>
      </c>
      <c r="D9" s="32"/>
      <c r="E9" s="93">
        <v>6883.09</v>
      </c>
      <c r="F9" s="93">
        <v>-4000.0</v>
      </c>
      <c r="G9" s="32"/>
      <c r="H9" s="93">
        <v>8335.44</v>
      </c>
      <c r="I9" s="93">
        <v>4935.71</v>
      </c>
      <c r="J9" s="32"/>
      <c r="K9" s="93">
        <v>11956.16</v>
      </c>
      <c r="L9" s="93">
        <v>2.9</v>
      </c>
      <c r="M9" s="93"/>
      <c r="N9" s="93">
        <v>241158.0</v>
      </c>
      <c r="O9" s="91" t="str">
        <f>IFERROR(__xludf.DUMMYFUNCTION("sum(FILTER('Fund Investment Data'!$D:$M,'Fund Investment Data'!$C:$C = $C9,'Fund Investment Data'!$A:$A &lt;= $A9))"),"#N/A")</f>
        <v>#N/A</v>
      </c>
      <c r="P9" s="92" t="str">
        <f t="shared" si="1"/>
        <v>#N/A</v>
      </c>
      <c r="Q9" s="32"/>
      <c r="R9" s="45"/>
      <c r="S9" s="45"/>
      <c r="T9" s="45"/>
      <c r="U9" s="45"/>
      <c r="V9" s="45"/>
      <c r="W9" s="45"/>
    </row>
    <row r="10">
      <c r="A10" s="86">
        <v>1999.0</v>
      </c>
      <c r="B10" s="88" t="s">
        <v>475</v>
      </c>
      <c r="C10" s="88" t="s">
        <v>477</v>
      </c>
      <c r="D10" s="32"/>
      <c r="E10" s="93">
        <v>5557.68</v>
      </c>
      <c r="F10" s="93">
        <v>-25000.0</v>
      </c>
      <c r="G10" s="93">
        <v>-603.44</v>
      </c>
      <c r="H10" s="93">
        <v>13862.86</v>
      </c>
      <c r="I10" s="93">
        <v>10770.69</v>
      </c>
      <c r="J10" s="93">
        <v>-936.5</v>
      </c>
      <c r="K10" s="93">
        <v>-6467.63</v>
      </c>
      <c r="L10" s="93">
        <v>39.89</v>
      </c>
      <c r="M10" s="93">
        <v>192.59</v>
      </c>
      <c r="N10" s="93">
        <v>238574.0</v>
      </c>
      <c r="O10" s="91" t="str">
        <f>IFERROR(__xludf.DUMMYFUNCTION("sum(FILTER('Fund Investment Data'!$D:$M,'Fund Investment Data'!$C:$C = $C10,'Fund Investment Data'!$A:$A &lt;= $A10))"),"#N/A")</f>
        <v>#N/A</v>
      </c>
      <c r="P10" s="92" t="str">
        <f t="shared" si="1"/>
        <v>#N/A</v>
      </c>
      <c r="Q10" s="32"/>
      <c r="R10" s="45"/>
      <c r="S10" s="45"/>
      <c r="T10" s="45"/>
      <c r="U10" s="45"/>
      <c r="V10" s="45"/>
      <c r="W10" s="45"/>
    </row>
    <row r="11">
      <c r="A11" s="86">
        <v>2000.0</v>
      </c>
      <c r="B11" s="88" t="s">
        <v>475</v>
      </c>
      <c r="C11" s="88" t="s">
        <v>477</v>
      </c>
      <c r="D11" s="32"/>
      <c r="E11" s="93">
        <v>4465.69</v>
      </c>
      <c r="F11" s="93">
        <v>-10000.0</v>
      </c>
      <c r="G11" s="93">
        <v>-717.8</v>
      </c>
      <c r="H11" s="93">
        <v>20136.04</v>
      </c>
      <c r="I11" s="93">
        <v>237.97</v>
      </c>
      <c r="J11" s="93">
        <v>-836.33</v>
      </c>
      <c r="K11" s="93">
        <v>-21264.32</v>
      </c>
      <c r="L11" s="93">
        <v>413.5</v>
      </c>
      <c r="M11" s="93"/>
      <c r="N11" s="93">
        <v>231009.0</v>
      </c>
      <c r="O11" s="91" t="str">
        <f>IFERROR(__xludf.DUMMYFUNCTION("sum(FILTER('Fund Investment Data'!$D:$M,'Fund Investment Data'!$C:$C = $C11,'Fund Investment Data'!$A:$A &lt;= $A11))"),"#N/A")</f>
        <v>#N/A</v>
      </c>
      <c r="P11" s="92" t="str">
        <f t="shared" si="1"/>
        <v>#N/A</v>
      </c>
      <c r="Q11" s="32"/>
      <c r="R11" s="45"/>
      <c r="S11" s="45"/>
      <c r="T11" s="45"/>
      <c r="U11" s="45"/>
      <c r="V11" s="45"/>
      <c r="W11" s="45"/>
    </row>
    <row r="12">
      <c r="A12" s="86">
        <v>2001.0</v>
      </c>
      <c r="B12" s="88" t="s">
        <v>475</v>
      </c>
      <c r="C12" s="88" t="s">
        <v>477</v>
      </c>
      <c r="D12" s="32"/>
      <c r="E12" s="93">
        <v>5693.3</v>
      </c>
      <c r="F12" s="93">
        <v>-25000.0</v>
      </c>
      <c r="G12" s="93">
        <v>-654.84</v>
      </c>
      <c r="H12" s="93">
        <v>545.89</v>
      </c>
      <c r="I12" s="93">
        <v>2721.31</v>
      </c>
      <c r="J12" s="93">
        <v>-8677.79</v>
      </c>
      <c r="K12" s="93">
        <v>-8705.7</v>
      </c>
      <c r="L12" s="93">
        <v>-455.7</v>
      </c>
      <c r="M12" s="93"/>
      <c r="N12" s="93">
        <v>196475.0</v>
      </c>
      <c r="O12" s="91" t="str">
        <f>IFERROR(__xludf.DUMMYFUNCTION("sum(FILTER('Fund Investment Data'!$D:$M,'Fund Investment Data'!$C:$C = $C12,'Fund Investment Data'!$A:$A &lt;= $A12))"),"#N/A")</f>
        <v>#N/A</v>
      </c>
      <c r="P12" s="92" t="str">
        <f t="shared" si="1"/>
        <v>#N/A</v>
      </c>
      <c r="Q12" s="32"/>
      <c r="R12" s="45"/>
      <c r="S12" s="45"/>
      <c r="T12" s="45"/>
      <c r="U12" s="45"/>
      <c r="V12" s="45"/>
      <c r="W12" s="45"/>
    </row>
    <row r="13">
      <c r="A13" s="86">
        <v>2002.0</v>
      </c>
      <c r="B13" s="88" t="s">
        <v>475</v>
      </c>
      <c r="C13" s="88" t="s">
        <v>477</v>
      </c>
      <c r="D13" s="32"/>
      <c r="E13" s="93">
        <v>3919.99</v>
      </c>
      <c r="F13" s="93">
        <v>-30000.0</v>
      </c>
      <c r="G13" s="93">
        <v>-576.37</v>
      </c>
      <c r="H13" s="93">
        <v>2462.94</v>
      </c>
      <c r="I13" s="93">
        <v>467.42</v>
      </c>
      <c r="J13" s="93">
        <v>-23996.39</v>
      </c>
      <c r="K13" s="93">
        <v>-6859.51</v>
      </c>
      <c r="L13" s="93">
        <v>-6.52</v>
      </c>
      <c r="M13" s="93"/>
      <c r="N13" s="93">
        <v>141887.0</v>
      </c>
      <c r="O13" s="91" t="str">
        <f>IFERROR(__xludf.DUMMYFUNCTION("sum(FILTER('Fund Investment Data'!$D:$M,'Fund Investment Data'!$C:$C = $C13,'Fund Investment Data'!$A:$A &lt;= $A13))"),"#N/A")</f>
        <v>#N/A</v>
      </c>
      <c r="P13" s="92" t="str">
        <f t="shared" si="1"/>
        <v>#N/A</v>
      </c>
      <c r="Q13" s="32"/>
      <c r="R13" s="45"/>
      <c r="S13" s="45"/>
      <c r="T13" s="45"/>
      <c r="U13" s="45"/>
      <c r="V13" s="45"/>
      <c r="W13" s="45"/>
    </row>
    <row r="14">
      <c r="A14" s="86">
        <v>2003.0</v>
      </c>
      <c r="B14" s="88" t="s">
        <v>475</v>
      </c>
      <c r="C14" s="88" t="s">
        <v>477</v>
      </c>
      <c r="D14" s="32"/>
      <c r="E14" s="93">
        <v>3721.59</v>
      </c>
      <c r="F14" s="93">
        <v>-46500.0</v>
      </c>
      <c r="G14" s="93">
        <v>-533.56</v>
      </c>
      <c r="H14" s="93">
        <v>1424.29</v>
      </c>
      <c r="I14" s="93">
        <v>17216.21</v>
      </c>
      <c r="J14" s="93">
        <v>-903.21</v>
      </c>
      <c r="K14" s="93">
        <v>14523.0</v>
      </c>
      <c r="L14" s="93">
        <v>0.2</v>
      </c>
      <c r="M14" s="93"/>
      <c r="N14" s="93">
        <v>130836.0</v>
      </c>
      <c r="O14" s="91" t="str">
        <f>IFERROR(__xludf.DUMMYFUNCTION("sum(FILTER('Fund Investment Data'!$D:$M,'Fund Investment Data'!$C:$C = $C14,'Fund Investment Data'!$A:$A &lt;= $A14))"),"#N/A")</f>
        <v>#N/A</v>
      </c>
      <c r="P14" s="92" t="str">
        <f t="shared" si="1"/>
        <v>#N/A</v>
      </c>
      <c r="Q14" s="32"/>
      <c r="R14" s="45"/>
      <c r="S14" s="45"/>
      <c r="T14" s="45"/>
      <c r="U14" s="45"/>
      <c r="V14" s="45"/>
      <c r="W14" s="45"/>
    </row>
    <row r="15">
      <c r="A15" s="86">
        <v>2004.0</v>
      </c>
      <c r="B15" s="88" t="s">
        <v>475</v>
      </c>
      <c r="C15" s="88" t="s">
        <v>477</v>
      </c>
      <c r="D15" s="93">
        <v>-185181.9</v>
      </c>
      <c r="E15" s="93">
        <v>2171.0</v>
      </c>
      <c r="F15" s="93">
        <v>-131350.0</v>
      </c>
      <c r="G15" s="93">
        <v>-443.0</v>
      </c>
      <c r="H15" s="32"/>
      <c r="I15" s="93">
        <v>8912.0</v>
      </c>
      <c r="J15" s="93">
        <v>-10122.0</v>
      </c>
      <c r="K15" s="93">
        <v>0.0</v>
      </c>
      <c r="L15" s="93">
        <v>-2.0</v>
      </c>
      <c r="M15" s="93"/>
      <c r="N15" s="93">
        <v>1.0</v>
      </c>
      <c r="O15" s="91" t="str">
        <f>IFERROR(__xludf.DUMMYFUNCTION("sum(FILTER('Fund Investment Data'!$D:$M,'Fund Investment Data'!$C:$C = $C15,'Fund Investment Data'!$A:$A &lt;= $A15))"),"#N/A")</f>
        <v>#N/A</v>
      </c>
      <c r="P15" s="92" t="str">
        <f t="shared" si="1"/>
        <v>#N/A</v>
      </c>
      <c r="Q15" s="32"/>
      <c r="R15" s="45"/>
      <c r="S15" s="45"/>
      <c r="T15" s="45"/>
      <c r="U15" s="45"/>
      <c r="V15" s="45"/>
      <c r="W15" s="45"/>
    </row>
    <row r="16">
      <c r="A16" s="86">
        <v>1995.0</v>
      </c>
      <c r="B16" s="88" t="s">
        <v>475</v>
      </c>
      <c r="C16" s="88" t="s">
        <v>478</v>
      </c>
      <c r="D16" s="93">
        <v>1071000.0</v>
      </c>
      <c r="E16" s="93"/>
      <c r="F16" s="93"/>
      <c r="G16" s="93"/>
      <c r="H16" s="32"/>
      <c r="I16" s="32"/>
      <c r="J16" s="93"/>
      <c r="K16" s="93"/>
      <c r="L16" s="93"/>
      <c r="M16" s="93"/>
      <c r="N16" s="93"/>
      <c r="O16" s="91" t="str">
        <f>IFERROR(__xludf.DUMMYFUNCTION("sum(FILTER('Fund Investment Data'!$D:$M,'Fund Investment Data'!$C:$C = $C16,'Fund Investment Data'!$A:$A &lt;= $A16))"),"#N/A")</f>
        <v>#N/A</v>
      </c>
      <c r="P16" s="92" t="str">
        <f t="shared" si="1"/>
        <v>#N/A</v>
      </c>
      <c r="Q16" s="32"/>
      <c r="R16" s="45"/>
      <c r="S16" s="45"/>
      <c r="T16" s="45"/>
      <c r="U16" s="45"/>
      <c r="V16" s="45"/>
      <c r="W16" s="45"/>
    </row>
    <row r="17">
      <c r="A17" s="86">
        <v>1996.0</v>
      </c>
      <c r="B17" s="88" t="s">
        <v>475</v>
      </c>
      <c r="C17" s="88" t="s">
        <v>478</v>
      </c>
      <c r="D17" s="93">
        <v>-406000.0</v>
      </c>
      <c r="E17" s="93">
        <v>157506.4</v>
      </c>
      <c r="F17" s="93">
        <v>-155000.0</v>
      </c>
      <c r="G17" s="93">
        <v>-2601.0</v>
      </c>
      <c r="H17" s="32"/>
      <c r="I17" s="32"/>
      <c r="J17" s="93">
        <v>-25042.0</v>
      </c>
      <c r="K17" s="93">
        <v>-29902.0</v>
      </c>
      <c r="L17" s="93">
        <v>-65.0</v>
      </c>
      <c r="M17" s="93"/>
      <c r="N17" s="93">
        <v>1178949.0</v>
      </c>
      <c r="O17" s="91" t="str">
        <f>IFERROR(__xludf.DUMMYFUNCTION("sum(FILTER('Fund Investment Data'!$D:$M,'Fund Investment Data'!$C:$C = $C17,'Fund Investment Data'!$A:$A &lt;= $A17))"),"#N/A")</f>
        <v>#N/A</v>
      </c>
      <c r="P17" s="92" t="str">
        <f t="shared" si="1"/>
        <v>#N/A</v>
      </c>
      <c r="Q17" s="32"/>
      <c r="R17" s="45"/>
      <c r="S17" s="45"/>
      <c r="T17" s="45"/>
      <c r="U17" s="45"/>
      <c r="V17" s="45"/>
      <c r="W17" s="45"/>
    </row>
    <row r="18">
      <c r="A18" s="86">
        <v>1997.0</v>
      </c>
      <c r="B18" s="88" t="s">
        <v>475</v>
      </c>
      <c r="C18" s="88" t="s">
        <v>478</v>
      </c>
      <c r="D18" s="93">
        <v>-665000.0</v>
      </c>
      <c r="E18" s="93">
        <v>28821.07</v>
      </c>
      <c r="F18" s="93">
        <v>-23000.0</v>
      </c>
      <c r="G18" s="93">
        <v>-3000.0</v>
      </c>
      <c r="H18" s="93">
        <v>12997.19</v>
      </c>
      <c r="I18" s="93">
        <v>26648.02</v>
      </c>
      <c r="J18" s="93">
        <v>-98.23</v>
      </c>
      <c r="K18" s="93">
        <v>93280.0</v>
      </c>
      <c r="L18" s="93">
        <v>-477.0</v>
      </c>
      <c r="M18" s="93"/>
      <c r="N18" s="93">
        <v>649120.0</v>
      </c>
      <c r="O18" s="91" t="str">
        <f>IFERROR(__xludf.DUMMYFUNCTION("sum(FILTER('Fund Investment Data'!$D:$M,'Fund Investment Data'!$C:$C = $C18,'Fund Investment Data'!$A:$A &lt;= $A18))"),"#N/A")</f>
        <v>#N/A</v>
      </c>
      <c r="P18" s="92" t="str">
        <f t="shared" si="1"/>
        <v>#N/A</v>
      </c>
      <c r="Q18" s="32"/>
      <c r="R18" s="45"/>
      <c r="S18" s="45"/>
      <c r="T18" s="45"/>
      <c r="U18" s="45"/>
      <c r="V18" s="45"/>
      <c r="W18" s="45"/>
    </row>
    <row r="19">
      <c r="A19" s="86">
        <v>1998.0</v>
      </c>
      <c r="B19" s="88" t="s">
        <v>475</v>
      </c>
      <c r="C19" s="88" t="s">
        <v>478</v>
      </c>
      <c r="D19" s="32"/>
      <c r="E19" s="93">
        <v>20021.49</v>
      </c>
      <c r="F19" s="93">
        <v>-76000.0</v>
      </c>
      <c r="G19" s="93">
        <v>-2750.0</v>
      </c>
      <c r="H19" s="93">
        <v>24656.34</v>
      </c>
      <c r="I19" s="93">
        <v>16797.3</v>
      </c>
      <c r="J19" s="32"/>
      <c r="K19" s="93">
        <v>34076.05</v>
      </c>
      <c r="L19" s="93">
        <v>6.91</v>
      </c>
      <c r="M19" s="93"/>
      <c r="N19" s="93">
        <v>665928.0</v>
      </c>
      <c r="O19" s="91" t="str">
        <f>IFERROR(__xludf.DUMMYFUNCTION("sum(FILTER('Fund Investment Data'!$D:$M,'Fund Investment Data'!$C:$C = $C19,'Fund Investment Data'!$A:$A &lt;= $A19))"),"#N/A")</f>
        <v>#N/A</v>
      </c>
      <c r="P19" s="92" t="str">
        <f t="shared" si="1"/>
        <v>#N/A</v>
      </c>
      <c r="Q19" s="32"/>
      <c r="R19" s="45"/>
      <c r="S19" s="45"/>
      <c r="T19" s="45"/>
      <c r="U19" s="45"/>
      <c r="V19" s="45"/>
      <c r="W19" s="45"/>
    </row>
    <row r="20">
      <c r="A20" s="86">
        <v>1999.0</v>
      </c>
      <c r="B20" s="88" t="s">
        <v>475</v>
      </c>
      <c r="C20" s="88" t="s">
        <v>478</v>
      </c>
      <c r="D20" s="32"/>
      <c r="E20" s="93">
        <v>15571.94</v>
      </c>
      <c r="F20" s="93">
        <v>-65000.0</v>
      </c>
      <c r="G20" s="93">
        <v>-1780.73</v>
      </c>
      <c r="H20" s="93">
        <v>38927.09</v>
      </c>
      <c r="I20" s="93">
        <v>38531.36</v>
      </c>
      <c r="J20" s="93">
        <v>-1029.0</v>
      </c>
      <c r="K20" s="93">
        <v>-27887.66</v>
      </c>
      <c r="L20" s="93">
        <v>92.43</v>
      </c>
      <c r="M20" s="93">
        <v>535.85</v>
      </c>
      <c r="N20" s="93">
        <v>663889.0</v>
      </c>
      <c r="O20" s="91" t="str">
        <f>IFERROR(__xludf.DUMMYFUNCTION("sum(FILTER('Fund Investment Data'!$D:$M,'Fund Investment Data'!$C:$C = $C20,'Fund Investment Data'!$A:$A &lt;= $A20))"),"#N/A")</f>
        <v>#N/A</v>
      </c>
      <c r="P20" s="92" t="str">
        <f t="shared" si="1"/>
        <v>#N/A</v>
      </c>
      <c r="Q20" s="32"/>
      <c r="R20" s="45"/>
      <c r="S20" s="45"/>
      <c r="T20" s="45"/>
      <c r="U20" s="45"/>
      <c r="V20" s="45"/>
      <c r="W20" s="45"/>
    </row>
    <row r="21">
      <c r="A21" s="86">
        <v>2000.0</v>
      </c>
      <c r="B21" s="88" t="s">
        <v>475</v>
      </c>
      <c r="C21" s="88" t="s">
        <v>478</v>
      </c>
      <c r="D21" s="32"/>
      <c r="E21" s="93">
        <v>12252.28</v>
      </c>
      <c r="F21" s="93">
        <v>-30000.0</v>
      </c>
      <c r="G21" s="93">
        <v>-1747.25</v>
      </c>
      <c r="H21" s="93">
        <v>56631.08</v>
      </c>
      <c r="I21" s="93">
        <v>698.65</v>
      </c>
      <c r="J21" s="93">
        <v>-2369.42</v>
      </c>
      <c r="K21" s="93">
        <v>-59684.61</v>
      </c>
      <c r="L21" s="93">
        <v>1158.07</v>
      </c>
      <c r="M21" s="93"/>
      <c r="N21" s="93">
        <v>640828.0</v>
      </c>
      <c r="O21" s="91" t="str">
        <f>IFERROR(__xludf.DUMMYFUNCTION("sum(FILTER('Fund Investment Data'!$D:$M,'Fund Investment Data'!$C:$C = $C21,'Fund Investment Data'!$A:$A &lt;= $A21))"),"#N/A")</f>
        <v>#N/A</v>
      </c>
      <c r="P21" s="92" t="str">
        <f t="shared" si="1"/>
        <v>#N/A</v>
      </c>
      <c r="Q21" s="32"/>
      <c r="R21" s="45"/>
      <c r="S21" s="45"/>
      <c r="T21" s="45"/>
      <c r="U21" s="45"/>
      <c r="V21" s="45"/>
      <c r="W21" s="45"/>
    </row>
    <row r="22">
      <c r="A22" s="86">
        <v>2001.0</v>
      </c>
      <c r="B22" s="88" t="s">
        <v>475</v>
      </c>
      <c r="C22" s="88" t="s">
        <v>478</v>
      </c>
      <c r="D22" s="32"/>
      <c r="E22" s="93">
        <v>15871.08</v>
      </c>
      <c r="F22" s="93">
        <v>-25000.0</v>
      </c>
      <c r="G22" s="93">
        <v>-1821.68</v>
      </c>
      <c r="H22" s="93">
        <v>1634.15</v>
      </c>
      <c r="I22" s="93">
        <v>7623.0</v>
      </c>
      <c r="J22" s="93">
        <v>-22281.99</v>
      </c>
      <c r="K22" s="93">
        <v>-23263.74</v>
      </c>
      <c r="L22" s="93">
        <v>-1256.58</v>
      </c>
      <c r="M22" s="93"/>
      <c r="N22" s="93">
        <v>592332.0</v>
      </c>
      <c r="O22" s="91" t="str">
        <f>IFERROR(__xludf.DUMMYFUNCTION("sum(FILTER('Fund Investment Data'!$D:$M,'Fund Investment Data'!$C:$C = $C22,'Fund Investment Data'!$A:$A &lt;= $A22))"),"#N/A")</f>
        <v>#N/A</v>
      </c>
      <c r="P22" s="92" t="str">
        <f t="shared" si="1"/>
        <v>#N/A</v>
      </c>
      <c r="Q22" s="32"/>
      <c r="R22" s="45"/>
      <c r="S22" s="45"/>
      <c r="T22" s="45"/>
      <c r="U22" s="45"/>
      <c r="V22" s="45"/>
      <c r="W22" s="45"/>
    </row>
    <row r="23">
      <c r="A23" s="86">
        <v>2002.0</v>
      </c>
      <c r="B23" s="88" t="s">
        <v>475</v>
      </c>
      <c r="C23" s="88" t="s">
        <v>478</v>
      </c>
      <c r="D23" s="32"/>
      <c r="E23" s="93">
        <v>11790.73</v>
      </c>
      <c r="F23" s="93">
        <v>-100000.0</v>
      </c>
      <c r="G23" s="93">
        <v>-1749.65</v>
      </c>
      <c r="H23" s="93">
        <v>7454.87</v>
      </c>
      <c r="I23" s="93">
        <v>1702.89</v>
      </c>
      <c r="J23" s="93">
        <v>-69562.89</v>
      </c>
      <c r="K23" s="93">
        <v>-28591.25</v>
      </c>
      <c r="L23" s="93">
        <v>-14.63</v>
      </c>
      <c r="M23" s="93"/>
      <c r="N23" s="93">
        <v>413362.0</v>
      </c>
      <c r="O23" s="91" t="str">
        <f>IFERROR(__xludf.DUMMYFUNCTION("sum(FILTER('Fund Investment Data'!$D:$M,'Fund Investment Data'!$C:$C = $C23,'Fund Investment Data'!$A:$A &lt;= $A23))"),"#N/A")</f>
        <v>#N/A</v>
      </c>
      <c r="P23" s="92" t="str">
        <f t="shared" si="1"/>
        <v>#N/A</v>
      </c>
      <c r="Q23" s="32"/>
      <c r="R23" s="45"/>
      <c r="S23" s="45"/>
      <c r="T23" s="45"/>
      <c r="U23" s="45"/>
      <c r="V23" s="45"/>
      <c r="W23" s="45"/>
    </row>
    <row r="24">
      <c r="A24" s="86">
        <v>2003.0</v>
      </c>
      <c r="B24" s="88" t="s">
        <v>475</v>
      </c>
      <c r="C24" s="88" t="s">
        <v>478</v>
      </c>
      <c r="D24" s="32"/>
      <c r="E24" s="93">
        <v>9230.36</v>
      </c>
      <c r="F24" s="93">
        <v>-190000.0</v>
      </c>
      <c r="G24" s="93">
        <v>-1357.24</v>
      </c>
      <c r="H24" s="93">
        <v>3803.9</v>
      </c>
      <c r="I24" s="93">
        <v>37227.05</v>
      </c>
      <c r="J24" s="93">
        <v>-8942.89</v>
      </c>
      <c r="K24" s="93">
        <v>44248.0</v>
      </c>
      <c r="L24" s="93">
        <v>4.34</v>
      </c>
      <c r="M24" s="93"/>
      <c r="N24" s="93">
        <v>307575.0</v>
      </c>
      <c r="O24" s="91" t="str">
        <f>IFERROR(__xludf.DUMMYFUNCTION("sum(FILTER('Fund Investment Data'!$D:$M,'Fund Investment Data'!$C:$C = $C24,'Fund Investment Data'!$A:$A &lt;= $A24))"),"#N/A")</f>
        <v>#N/A</v>
      </c>
      <c r="P24" s="92" t="str">
        <f t="shared" si="1"/>
        <v>#N/A</v>
      </c>
      <c r="Q24" s="32"/>
      <c r="R24" s="45"/>
      <c r="S24" s="45"/>
      <c r="T24" s="45"/>
      <c r="U24" s="45"/>
      <c r="V24" s="45"/>
      <c r="W24" s="45"/>
    </row>
    <row r="25">
      <c r="A25" s="86">
        <v>2004.0</v>
      </c>
      <c r="B25" s="88" t="s">
        <v>475</v>
      </c>
      <c r="C25" s="88" t="s">
        <v>478</v>
      </c>
      <c r="D25" s="32"/>
      <c r="E25" s="93">
        <v>9229.0</v>
      </c>
      <c r="F25" s="32"/>
      <c r="G25" s="93">
        <v>-1411.0</v>
      </c>
      <c r="H25" s="93">
        <v>3650.0</v>
      </c>
      <c r="I25" s="93">
        <v>5429.0</v>
      </c>
      <c r="J25" s="93">
        <v>-4640.0</v>
      </c>
      <c r="K25" s="93">
        <v>17522.0</v>
      </c>
      <c r="L25" s="93">
        <v>-2.0</v>
      </c>
      <c r="M25" s="93"/>
      <c r="N25" s="93">
        <v>337351.0</v>
      </c>
      <c r="O25" s="91" t="str">
        <f>IFERROR(__xludf.DUMMYFUNCTION("sum(FILTER('Fund Investment Data'!$D:$M,'Fund Investment Data'!$C:$C = $C25,'Fund Investment Data'!$A:$A &lt;= $A25))"),"#N/A")</f>
        <v>#N/A</v>
      </c>
      <c r="P25" s="92" t="str">
        <f t="shared" si="1"/>
        <v>#N/A</v>
      </c>
      <c r="Q25" s="32"/>
      <c r="R25" s="45"/>
      <c r="S25" s="45"/>
      <c r="T25" s="45"/>
      <c r="U25" s="45"/>
      <c r="V25" s="45"/>
      <c r="W25" s="45"/>
    </row>
    <row r="26">
      <c r="A26" s="86">
        <v>2005.0</v>
      </c>
      <c r="B26" s="88" t="s">
        <v>475</v>
      </c>
      <c r="C26" s="88" t="s">
        <v>478</v>
      </c>
      <c r="D26" s="32"/>
      <c r="E26" s="93">
        <v>6597.32</v>
      </c>
      <c r="F26" s="93">
        <v>-101250.0</v>
      </c>
      <c r="G26" s="93">
        <v>-1742.13</v>
      </c>
      <c r="H26" s="32"/>
      <c r="I26" s="93">
        <v>46893.58</v>
      </c>
      <c r="J26" s="32"/>
      <c r="K26" s="93">
        <v>-36573.61</v>
      </c>
      <c r="L26" s="93">
        <v>705.71</v>
      </c>
      <c r="M26" s="93"/>
      <c r="N26" s="93">
        <v>251982.0</v>
      </c>
      <c r="O26" s="91" t="str">
        <f>IFERROR(__xludf.DUMMYFUNCTION("sum(FILTER('Fund Investment Data'!$D:$M,'Fund Investment Data'!$C:$C = $C26,'Fund Investment Data'!$A:$A &lt;= $A26))"),"#N/A")</f>
        <v>#N/A</v>
      </c>
      <c r="P26" s="92" t="str">
        <f t="shared" si="1"/>
        <v>#N/A</v>
      </c>
      <c r="Q26" s="32"/>
      <c r="R26" s="45"/>
      <c r="S26" s="45"/>
      <c r="T26" s="45"/>
      <c r="U26" s="45"/>
      <c r="V26" s="45"/>
      <c r="W26" s="45"/>
    </row>
    <row r="27">
      <c r="A27" s="86">
        <v>2006.0</v>
      </c>
      <c r="B27" s="88" t="s">
        <v>475</v>
      </c>
      <c r="C27" s="88" t="s">
        <v>478</v>
      </c>
      <c r="D27" s="32"/>
      <c r="E27" s="93">
        <v>3432.42</v>
      </c>
      <c r="F27" s="93">
        <v>-271557.15</v>
      </c>
      <c r="G27" s="93">
        <v>-1212.35</v>
      </c>
      <c r="H27" s="32"/>
      <c r="I27" s="93">
        <v>17936.53</v>
      </c>
      <c r="J27" s="32"/>
      <c r="K27" s="93">
        <v>132.84</v>
      </c>
      <c r="L27" s="93">
        <v>-714.55</v>
      </c>
      <c r="M27" s="93"/>
      <c r="N27" s="93">
        <v>0.0</v>
      </c>
      <c r="O27" s="91" t="str">
        <f>IFERROR(__xludf.DUMMYFUNCTION("sum(FILTER('Fund Investment Data'!$D:$M,'Fund Investment Data'!$C:$C = $C27,'Fund Investment Data'!$A:$A &lt;= $A27))"),"#N/A")</f>
        <v>#N/A</v>
      </c>
      <c r="P27" s="92" t="str">
        <f t="shared" si="1"/>
        <v>#N/A</v>
      </c>
      <c r="Q27" s="32"/>
      <c r="R27" s="45"/>
      <c r="S27" s="45"/>
      <c r="T27" s="45"/>
      <c r="U27" s="45"/>
      <c r="V27" s="45"/>
      <c r="W27" s="45"/>
    </row>
    <row r="28">
      <c r="A28" s="86">
        <v>2007.0</v>
      </c>
      <c r="B28" s="88" t="s">
        <v>475</v>
      </c>
      <c r="C28" s="88" t="s">
        <v>478</v>
      </c>
      <c r="D28" s="32"/>
      <c r="E28" s="93">
        <v>175.44</v>
      </c>
      <c r="F28" s="93">
        <v>-175.44</v>
      </c>
      <c r="G28" s="32"/>
      <c r="H28" s="32"/>
      <c r="I28" s="32"/>
      <c r="J28" s="32"/>
      <c r="K28" s="32"/>
      <c r="L28" s="32"/>
      <c r="M28" s="93">
        <v>-1.66</v>
      </c>
      <c r="N28" s="93">
        <v>0.0</v>
      </c>
      <c r="O28" s="91" t="str">
        <f>IFERROR(__xludf.DUMMYFUNCTION("sum(FILTER('Fund Investment Data'!$D:$M,'Fund Investment Data'!$C:$C = $C28,'Fund Investment Data'!$A:$A &lt;= $A28))"),"#N/A")</f>
        <v>#N/A</v>
      </c>
      <c r="P28" s="92" t="str">
        <f t="shared" si="1"/>
        <v>#N/A</v>
      </c>
      <c r="Q28" s="32"/>
      <c r="R28" s="45"/>
      <c r="S28" s="45"/>
      <c r="T28" s="45"/>
      <c r="U28" s="45"/>
      <c r="V28" s="45"/>
      <c r="W28" s="45"/>
    </row>
    <row r="29">
      <c r="A29" s="156">
        <v>2012.0</v>
      </c>
      <c r="B29" s="156">
        <v>12.0</v>
      </c>
      <c r="C29" s="156" t="s">
        <v>479</v>
      </c>
      <c r="D29" s="157">
        <v>946968.0</v>
      </c>
      <c r="E29" s="157">
        <v>1563.23</v>
      </c>
      <c r="F29" s="158"/>
      <c r="G29" s="157"/>
      <c r="H29" s="157">
        <v>-514.44</v>
      </c>
      <c r="I29" s="158"/>
      <c r="J29" s="158"/>
      <c r="K29" s="158"/>
      <c r="L29" s="157">
        <v>31295.93</v>
      </c>
      <c r="M29" s="158"/>
      <c r="N29" s="158"/>
      <c r="O29" s="157">
        <v>979313.0</v>
      </c>
      <c r="P29" s="158">
        <v>979312.7200000001</v>
      </c>
      <c r="Q29" s="158"/>
    </row>
    <row r="30">
      <c r="A30" s="156">
        <v>2013.0</v>
      </c>
      <c r="B30" s="156">
        <v>12.0</v>
      </c>
      <c r="C30" s="156" t="s">
        <v>479</v>
      </c>
      <c r="D30" s="158"/>
      <c r="E30" s="157">
        <v>20695.2</v>
      </c>
      <c r="F30" s="157">
        <v>-25000.0</v>
      </c>
      <c r="G30" s="157"/>
      <c r="H30" s="157">
        <v>-6453.46</v>
      </c>
      <c r="I30" s="158"/>
      <c r="J30" s="157">
        <v>433.63</v>
      </c>
      <c r="K30" s="158"/>
      <c r="L30" s="157">
        <v>87203.16</v>
      </c>
      <c r="M30" s="158"/>
      <c r="N30" s="158"/>
      <c r="O30" s="157">
        <v>1056191.0</v>
      </c>
      <c r="P30" s="158">
        <v>1056191.25</v>
      </c>
      <c r="Q30" s="158"/>
    </row>
    <row r="31">
      <c r="A31" s="156">
        <v>2014.0</v>
      </c>
      <c r="B31" s="156">
        <v>12.0</v>
      </c>
      <c r="C31" s="156" t="s">
        <v>479</v>
      </c>
      <c r="D31" s="158"/>
      <c r="E31" s="157">
        <v>20040.77</v>
      </c>
      <c r="F31" s="157">
        <v>-25000.0</v>
      </c>
      <c r="G31" s="157"/>
      <c r="H31" s="157">
        <v>-6774.78</v>
      </c>
      <c r="I31" s="158"/>
      <c r="J31" s="157">
        <v>1296.83</v>
      </c>
      <c r="K31" s="158"/>
      <c r="L31" s="157">
        <v>3237.56</v>
      </c>
      <c r="M31" s="158"/>
      <c r="N31" s="158"/>
      <c r="O31" s="157">
        <v>1048991.0</v>
      </c>
      <c r="P31" s="158">
        <v>1048991.63</v>
      </c>
      <c r="Q31" s="158"/>
    </row>
    <row r="32">
      <c r="A32" s="156">
        <v>2015.0</v>
      </c>
      <c r="B32" s="156">
        <v>12.0</v>
      </c>
      <c r="C32" s="156" t="s">
        <v>479</v>
      </c>
      <c r="D32" s="157">
        <v>424200.0</v>
      </c>
      <c r="E32" s="157">
        <v>28565.36</v>
      </c>
      <c r="F32" s="157">
        <v>-43100.0</v>
      </c>
      <c r="G32" s="157"/>
      <c r="H32" s="157">
        <v>-8407.85</v>
      </c>
      <c r="I32" s="158"/>
      <c r="J32" s="157">
        <v>562.24</v>
      </c>
      <c r="K32" s="158"/>
      <c r="L32" s="157">
        <v>-71580.49</v>
      </c>
      <c r="M32" s="158"/>
      <c r="N32" s="158"/>
      <c r="O32" s="157">
        <v>1379230.0</v>
      </c>
      <c r="P32" s="158">
        <v>1379230.89</v>
      </c>
      <c r="Q32" s="158"/>
    </row>
    <row r="33">
      <c r="A33" s="156">
        <v>2016.0</v>
      </c>
      <c r="B33" s="156">
        <v>12.0</v>
      </c>
      <c r="C33" s="156" t="s">
        <v>479</v>
      </c>
      <c r="D33" s="158"/>
      <c r="E33" s="157">
        <v>30427.4</v>
      </c>
      <c r="F33" s="157">
        <v>-79000.0</v>
      </c>
      <c r="G33" s="157"/>
      <c r="H33" s="157">
        <v>-8681.13</v>
      </c>
      <c r="I33" s="158"/>
      <c r="J33" s="158"/>
      <c r="K33" s="157">
        <v>-1895.3</v>
      </c>
      <c r="L33" s="157">
        <v>63832.86</v>
      </c>
      <c r="M33" s="158"/>
      <c r="N33" s="158"/>
      <c r="O33" s="157">
        <v>1383914.0</v>
      </c>
      <c r="P33" s="158">
        <v>1383914.72</v>
      </c>
      <c r="Q33" s="158"/>
    </row>
    <row r="34">
      <c r="A34" s="156">
        <v>2017.0</v>
      </c>
      <c r="B34" s="156">
        <v>1.0</v>
      </c>
      <c r="C34" s="156" t="s">
        <v>479</v>
      </c>
      <c r="D34" s="158"/>
      <c r="E34" s="157">
        <v>10520.54</v>
      </c>
      <c r="F34" s="158"/>
      <c r="G34" s="158"/>
      <c r="H34" s="157">
        <v>-721.13</v>
      </c>
      <c r="I34" s="158"/>
      <c r="J34" s="158"/>
      <c r="K34" s="158"/>
      <c r="L34" s="157">
        <v>21877.03</v>
      </c>
      <c r="M34" s="158"/>
      <c r="N34" s="158"/>
      <c r="O34" s="157">
        <v>1415591.0</v>
      </c>
      <c r="P34" s="158">
        <v>1415591.16</v>
      </c>
      <c r="Q34" s="158"/>
    </row>
    <row r="35">
      <c r="A35" s="156">
        <v>2017.0</v>
      </c>
      <c r="B35" s="156">
        <v>2.0</v>
      </c>
      <c r="C35" s="156" t="s">
        <v>479</v>
      </c>
      <c r="D35" s="158"/>
      <c r="E35" s="157">
        <v>11519.14</v>
      </c>
      <c r="F35" s="158"/>
      <c r="G35" s="158"/>
      <c r="H35" s="157">
        <v>-1458.1</v>
      </c>
      <c r="I35" s="158"/>
      <c r="J35" s="158"/>
      <c r="K35" s="158"/>
      <c r="L35" s="157">
        <v>50043.06</v>
      </c>
      <c r="M35" s="158"/>
      <c r="N35" s="158"/>
      <c r="O35" s="157">
        <v>1444018.0</v>
      </c>
      <c r="P35" s="158">
        <v>1444018.82</v>
      </c>
      <c r="Q35" s="158"/>
    </row>
    <row r="36">
      <c r="A36" s="156">
        <v>2017.0</v>
      </c>
      <c r="B36" s="156">
        <v>3.0</v>
      </c>
      <c r="C36" s="156" t="s">
        <v>479</v>
      </c>
      <c r="D36" s="158"/>
      <c r="E36" s="157">
        <v>12488.11</v>
      </c>
      <c r="F36" s="158"/>
      <c r="G36" s="158"/>
      <c r="H36" s="157">
        <v>-2209.28</v>
      </c>
      <c r="I36" s="158"/>
      <c r="J36" s="158"/>
      <c r="K36" s="158"/>
      <c r="L36" s="157">
        <v>55214.93</v>
      </c>
      <c r="M36" s="158"/>
      <c r="N36" s="158"/>
      <c r="O36" s="157">
        <v>1449408.0</v>
      </c>
      <c r="P36" s="158">
        <v>1449408.48</v>
      </c>
      <c r="Q36" s="158"/>
    </row>
    <row r="37">
      <c r="A37" s="156">
        <v>2017.0</v>
      </c>
      <c r="B37" s="156">
        <v>4.0</v>
      </c>
      <c r="C37" s="156" t="s">
        <v>479</v>
      </c>
      <c r="D37" s="158"/>
      <c r="E37" s="157">
        <v>16501.84</v>
      </c>
      <c r="F37" s="158"/>
      <c r="G37" s="158"/>
      <c r="H37" s="157">
        <v>-2963.15</v>
      </c>
      <c r="I37" s="158"/>
      <c r="J37" s="158"/>
      <c r="K37" s="158"/>
      <c r="L37" s="157">
        <v>69923.74</v>
      </c>
      <c r="M37" s="158"/>
      <c r="N37" s="158"/>
      <c r="O37" s="157">
        <v>1467377.0</v>
      </c>
      <c r="P37" s="158">
        <v>1467377.15</v>
      </c>
      <c r="Q37" s="158"/>
    </row>
    <row r="38">
      <c r="A38" s="156">
        <v>2017.0</v>
      </c>
      <c r="B38" s="156">
        <v>5.0</v>
      </c>
      <c r="C38" s="156" t="s">
        <v>479</v>
      </c>
      <c r="D38" s="158"/>
      <c r="E38" s="157">
        <v>17455.14</v>
      </c>
      <c r="F38" s="157">
        <v>-20000.0</v>
      </c>
      <c r="G38" s="158"/>
      <c r="H38" s="157">
        <v>-3726.01</v>
      </c>
      <c r="I38" s="158"/>
      <c r="J38" s="157">
        <v>77.73</v>
      </c>
      <c r="K38" s="158"/>
      <c r="L38" s="157">
        <v>86409.96</v>
      </c>
      <c r="M38" s="158"/>
      <c r="N38" s="158"/>
      <c r="O38" s="157">
        <v>1464131.0</v>
      </c>
      <c r="P38" s="158">
        <v>1464131.54</v>
      </c>
      <c r="Q38" s="158"/>
    </row>
    <row r="39">
      <c r="A39" s="156">
        <v>2017.0</v>
      </c>
      <c r="B39" s="156">
        <v>6.0</v>
      </c>
      <c r="C39" s="156" t="s">
        <v>479</v>
      </c>
      <c r="D39" s="158"/>
      <c r="E39" s="157">
        <v>18440.41</v>
      </c>
      <c r="F39" s="157">
        <v>-20000.0</v>
      </c>
      <c r="G39" s="158"/>
      <c r="H39" s="157">
        <v>-4487.58</v>
      </c>
      <c r="I39" s="158"/>
      <c r="J39" s="157">
        <v>77.73</v>
      </c>
      <c r="K39" s="158"/>
      <c r="L39" s="157">
        <v>89598.61</v>
      </c>
      <c r="M39" s="158"/>
      <c r="N39" s="158"/>
      <c r="O39" s="157">
        <v>1467543.0</v>
      </c>
      <c r="P39" s="158">
        <v>1467543.89</v>
      </c>
      <c r="Q39" s="158"/>
    </row>
    <row r="40">
      <c r="A40" s="156">
        <v>2017.0</v>
      </c>
      <c r="B40" s="156">
        <v>7.0</v>
      </c>
      <c r="C40" s="156" t="s">
        <v>479</v>
      </c>
      <c r="D40" s="158"/>
      <c r="E40" s="157">
        <v>23158.39</v>
      </c>
      <c r="F40" s="157">
        <v>-20000.0</v>
      </c>
      <c r="G40" s="158"/>
      <c r="H40" s="157">
        <v>-5250.63</v>
      </c>
      <c r="I40" s="158"/>
      <c r="J40" s="157">
        <v>77.73</v>
      </c>
      <c r="K40" s="158"/>
      <c r="L40" s="157">
        <v>120607.94</v>
      </c>
      <c r="M40" s="158"/>
      <c r="N40" s="158"/>
      <c r="O40" s="157">
        <v>1502508.0</v>
      </c>
      <c r="P40" s="158">
        <v>1502508.15</v>
      </c>
      <c r="Q40" s="158"/>
    </row>
    <row r="41">
      <c r="A41" s="156">
        <v>2017.0</v>
      </c>
      <c r="B41" s="156">
        <v>8.0</v>
      </c>
      <c r="C41" s="156" t="s">
        <v>479</v>
      </c>
      <c r="D41" s="158"/>
      <c r="E41" s="157">
        <v>24184.49</v>
      </c>
      <c r="F41" s="157">
        <v>-23800.0</v>
      </c>
      <c r="G41" s="158"/>
      <c r="H41" s="157">
        <v>-6031.5</v>
      </c>
      <c r="I41" s="158"/>
      <c r="J41" s="157">
        <v>77.73</v>
      </c>
      <c r="K41" s="158"/>
      <c r="L41" s="157">
        <v>124529.25</v>
      </c>
      <c r="M41" s="158"/>
      <c r="N41" s="158"/>
      <c r="O41" s="157">
        <v>1502874.0</v>
      </c>
      <c r="P41" s="158">
        <v>1502874.69</v>
      </c>
      <c r="Q41" s="158"/>
    </row>
    <row r="42">
      <c r="A42" s="156">
        <v>2017.0</v>
      </c>
      <c r="B42" s="156">
        <v>9.0</v>
      </c>
      <c r="C42" s="156" t="s">
        <v>479</v>
      </c>
      <c r="D42" s="158"/>
      <c r="E42" s="157">
        <v>26075.57</v>
      </c>
      <c r="F42" s="157">
        <v>-25100.0</v>
      </c>
      <c r="G42" s="158"/>
      <c r="H42" s="157">
        <v>-6811.66</v>
      </c>
      <c r="I42" s="158"/>
      <c r="J42" s="157">
        <v>77.73</v>
      </c>
      <c r="K42" s="158"/>
      <c r="L42" s="157">
        <v>139419.92</v>
      </c>
      <c r="M42" s="158"/>
      <c r="N42" s="158"/>
      <c r="O42" s="157">
        <v>1517576.0</v>
      </c>
      <c r="P42" s="158">
        <v>1517576.28</v>
      </c>
      <c r="Q42" s="158"/>
    </row>
    <row r="43">
      <c r="A43" s="156">
        <v>2017.0</v>
      </c>
      <c r="B43" s="156">
        <v>10.0</v>
      </c>
      <c r="C43" s="156" t="s">
        <v>479</v>
      </c>
      <c r="D43" s="158"/>
      <c r="E43" s="157">
        <v>29236.05</v>
      </c>
      <c r="F43" s="157">
        <v>-25100.0</v>
      </c>
      <c r="G43" s="158"/>
      <c r="H43" s="157">
        <v>-7599.62</v>
      </c>
      <c r="I43" s="158"/>
      <c r="J43" s="157">
        <v>77.73</v>
      </c>
      <c r="K43" s="158"/>
      <c r="L43" s="157">
        <v>159119.36</v>
      </c>
      <c r="M43" s="158"/>
      <c r="N43" s="158"/>
      <c r="O43" s="157">
        <v>1539648.0</v>
      </c>
      <c r="P43" s="158">
        <v>1539648.24</v>
      </c>
      <c r="Q43" s="158"/>
    </row>
    <row r="44">
      <c r="A44" s="156">
        <v>2017.0</v>
      </c>
      <c r="B44" s="156">
        <v>11.0</v>
      </c>
      <c r="C44" s="156" t="s">
        <v>479</v>
      </c>
      <c r="D44" s="158"/>
      <c r="E44" s="157">
        <v>30274.61</v>
      </c>
      <c r="F44" s="157">
        <v>-45000.0</v>
      </c>
      <c r="G44" s="158"/>
      <c r="H44" s="157">
        <v>-8398.61</v>
      </c>
      <c r="I44" s="158"/>
      <c r="J44" s="157">
        <v>1220.38</v>
      </c>
      <c r="K44" s="158"/>
      <c r="L44" s="157">
        <v>175093.55</v>
      </c>
      <c r="M44" s="158"/>
      <c r="N44" s="158"/>
      <c r="O44" s="157">
        <v>1537104.0</v>
      </c>
      <c r="P44" s="158">
        <v>1537104.65</v>
      </c>
      <c r="Q44" s="158"/>
    </row>
    <row r="45">
      <c r="A45" s="156">
        <v>2017.0</v>
      </c>
      <c r="B45" s="156">
        <v>12.0</v>
      </c>
      <c r="C45" s="156" t="s">
        <v>479</v>
      </c>
      <c r="D45" s="158"/>
      <c r="E45" s="157">
        <v>32445.85</v>
      </c>
      <c r="F45" s="157">
        <v>-55000.0</v>
      </c>
      <c r="G45" s="157"/>
      <c r="H45" s="157">
        <v>-9196.54</v>
      </c>
      <c r="I45" s="158"/>
      <c r="J45" s="157">
        <v>1220.38</v>
      </c>
      <c r="K45" s="158"/>
      <c r="L45" s="157">
        <v>182522.67</v>
      </c>
      <c r="M45" s="158"/>
      <c r="N45" s="158"/>
      <c r="O45" s="157">
        <v>1535906.0</v>
      </c>
      <c r="P45" s="158">
        <v>1535907.08</v>
      </c>
      <c r="Q45" s="158"/>
    </row>
    <row r="46">
      <c r="A46" s="156">
        <v>2018.0</v>
      </c>
      <c r="B46" s="156">
        <v>1.0</v>
      </c>
      <c r="C46" s="156" t="s">
        <v>479</v>
      </c>
      <c r="D46" s="158"/>
      <c r="E46" s="157">
        <v>9560.76</v>
      </c>
      <c r="F46" s="158"/>
      <c r="G46" s="158"/>
      <c r="H46" s="157">
        <v>-3069.59</v>
      </c>
      <c r="I46" s="158"/>
      <c r="J46" s="158"/>
      <c r="K46" s="158"/>
      <c r="L46" s="157">
        <v>48258.65</v>
      </c>
      <c r="M46" s="158"/>
      <c r="N46" s="158"/>
      <c r="O46" s="157">
        <v>1590656.0</v>
      </c>
      <c r="P46" s="158">
        <v>1590656.9</v>
      </c>
      <c r="Q46" s="158"/>
    </row>
    <row r="47">
      <c r="A47" s="156">
        <v>2018.0</v>
      </c>
      <c r="B47" s="156">
        <v>2.0</v>
      </c>
      <c r="C47" s="156" t="s">
        <v>479</v>
      </c>
      <c r="D47" s="158"/>
      <c r="E47" s="157">
        <v>10700.01</v>
      </c>
      <c r="F47" s="158"/>
      <c r="G47" s="158"/>
      <c r="H47" s="157">
        <v>-3896.42</v>
      </c>
      <c r="I47" s="158"/>
      <c r="J47" s="157">
        <v>377.1</v>
      </c>
      <c r="K47" s="158"/>
      <c r="L47" s="157">
        <v>763.06</v>
      </c>
      <c r="M47" s="158"/>
      <c r="N47" s="158"/>
      <c r="O47" s="157">
        <v>1543850.0</v>
      </c>
      <c r="P47" s="158">
        <v>1543850.8299999998</v>
      </c>
      <c r="Q47" s="158"/>
    </row>
    <row r="48">
      <c r="A48" s="156">
        <v>2018.0</v>
      </c>
      <c r="B48" s="156">
        <v>3.0</v>
      </c>
      <c r="C48" s="156" t="s">
        <v>479</v>
      </c>
      <c r="D48" s="158"/>
      <c r="E48" s="157">
        <v>12050.95</v>
      </c>
      <c r="F48" s="158"/>
      <c r="G48" s="158"/>
      <c r="H48" s="157">
        <v>-2430.45</v>
      </c>
      <c r="I48" s="158"/>
      <c r="J48" s="157">
        <v>377.1</v>
      </c>
      <c r="K48" s="158"/>
      <c r="L48" s="157">
        <v>-10367.76</v>
      </c>
      <c r="M48" s="158"/>
      <c r="N48" s="158"/>
      <c r="O48" s="157">
        <v>1535536.0</v>
      </c>
      <c r="P48" s="158">
        <v>1535536.92</v>
      </c>
      <c r="Q48" s="158"/>
    </row>
    <row r="49">
      <c r="A49" s="156">
        <v>2018.0</v>
      </c>
      <c r="B49" s="156">
        <v>4.0</v>
      </c>
      <c r="C49" s="156" t="s">
        <v>479</v>
      </c>
      <c r="D49" s="158"/>
      <c r="E49" s="157">
        <v>15764.62</v>
      </c>
      <c r="F49" s="158"/>
      <c r="G49" s="158"/>
      <c r="H49" s="157">
        <v>-3227.39</v>
      </c>
      <c r="I49" s="158"/>
      <c r="J49" s="157">
        <v>377.1</v>
      </c>
      <c r="K49" s="158"/>
      <c r="L49" s="157">
        <v>-9105.01</v>
      </c>
      <c r="M49" s="158"/>
      <c r="N49" s="158"/>
      <c r="O49" s="157">
        <v>1539716.0</v>
      </c>
      <c r="P49" s="158">
        <v>1539716.4</v>
      </c>
      <c r="Q49" s="158"/>
    </row>
    <row r="50">
      <c r="A50" s="156">
        <v>2018.0</v>
      </c>
      <c r="B50" s="156">
        <v>5.0</v>
      </c>
      <c r="C50" s="156" t="s">
        <v>479</v>
      </c>
      <c r="D50" s="158"/>
      <c r="E50" s="157">
        <v>16975.76</v>
      </c>
      <c r="F50" s="157">
        <v>-7000.0</v>
      </c>
      <c r="G50" s="158"/>
      <c r="H50" s="157">
        <v>-4026.42</v>
      </c>
      <c r="I50" s="158"/>
      <c r="J50" s="157">
        <v>377.1</v>
      </c>
      <c r="K50" s="158"/>
      <c r="L50" s="157">
        <v>-5856.5</v>
      </c>
      <c r="M50" s="158"/>
      <c r="N50" s="158"/>
      <c r="O50" s="157">
        <v>1536376.0</v>
      </c>
      <c r="P50" s="158">
        <v>1536377.0199999998</v>
      </c>
      <c r="Q50" s="158"/>
    </row>
    <row r="51">
      <c r="A51" s="156">
        <v>2018.0</v>
      </c>
      <c r="B51" s="156">
        <v>6.0</v>
      </c>
      <c r="C51" s="156" t="s">
        <v>479</v>
      </c>
      <c r="D51" s="158"/>
      <c r="E51" s="157">
        <v>19166.69</v>
      </c>
      <c r="F51" s="157">
        <v>-28000.0</v>
      </c>
      <c r="G51" s="158"/>
      <c r="H51" s="157">
        <v>-4823.78</v>
      </c>
      <c r="I51" s="158"/>
      <c r="J51" s="157">
        <v>-2150.81</v>
      </c>
      <c r="K51" s="158"/>
      <c r="L51" s="157">
        <v>-14525.2</v>
      </c>
      <c r="M51" s="158"/>
      <c r="N51" s="158"/>
      <c r="O51" s="157">
        <v>1505573.0</v>
      </c>
      <c r="P51" s="158">
        <v>1505573.9799999997</v>
      </c>
      <c r="Q51" s="158"/>
    </row>
    <row r="52">
      <c r="A52" s="156">
        <v>2018.0</v>
      </c>
      <c r="B52" s="156">
        <v>7.0</v>
      </c>
      <c r="C52" s="156" t="s">
        <v>479</v>
      </c>
      <c r="D52" s="158"/>
      <c r="E52" s="157">
        <v>22586.02</v>
      </c>
      <c r="F52" s="157">
        <v>-31400.0</v>
      </c>
      <c r="G52" s="158"/>
      <c r="H52" s="157">
        <v>-5605.73</v>
      </c>
      <c r="I52" s="158"/>
      <c r="J52" s="157">
        <v>2150.81</v>
      </c>
      <c r="K52" s="158"/>
      <c r="L52" s="157">
        <v>6092.65</v>
      </c>
      <c r="M52" s="158"/>
      <c r="N52" s="158"/>
      <c r="O52" s="157">
        <v>1529730.0</v>
      </c>
      <c r="P52" s="158">
        <v>1529730.8299999998</v>
      </c>
      <c r="Q52" s="158"/>
    </row>
    <row r="53">
      <c r="A53" s="156">
        <v>2018.0</v>
      </c>
      <c r="B53" s="156">
        <v>8.0</v>
      </c>
      <c r="C53" s="156" t="s">
        <v>479</v>
      </c>
      <c r="D53" s="158"/>
      <c r="E53" s="157">
        <v>23847.44</v>
      </c>
      <c r="F53" s="157">
        <v>-51400.0</v>
      </c>
      <c r="G53" s="158"/>
      <c r="H53" s="157">
        <v>-6399.77</v>
      </c>
      <c r="I53" s="158"/>
      <c r="J53" s="157">
        <v>3634.75</v>
      </c>
      <c r="K53" s="158"/>
      <c r="L53" s="157">
        <v>9242.27</v>
      </c>
      <c r="M53" s="158"/>
      <c r="N53" s="158"/>
      <c r="O53" s="157">
        <v>1514831.0</v>
      </c>
      <c r="P53" s="158">
        <v>1514831.7699999998</v>
      </c>
      <c r="Q53" s="158"/>
    </row>
    <row r="54">
      <c r="A54" s="156">
        <v>2018.0</v>
      </c>
      <c r="B54" s="156">
        <v>9.0</v>
      </c>
      <c r="C54" s="156" t="s">
        <v>479</v>
      </c>
      <c r="D54" s="158"/>
      <c r="E54" s="157">
        <v>25142.23</v>
      </c>
      <c r="F54" s="157">
        <v>-65000.0</v>
      </c>
      <c r="G54" s="158"/>
      <c r="H54" s="157">
        <v>-7186.47</v>
      </c>
      <c r="I54" s="158"/>
      <c r="J54" s="157">
        <v>4790.58</v>
      </c>
      <c r="K54" s="158"/>
      <c r="L54" s="157">
        <v>2557.12</v>
      </c>
      <c r="M54" s="158"/>
      <c r="N54" s="158"/>
      <c r="O54" s="157">
        <v>1496210.0</v>
      </c>
      <c r="P54" s="158">
        <v>1496210.5399999998</v>
      </c>
      <c r="Q54" s="158"/>
    </row>
    <row r="55">
      <c r="A55" s="156">
        <v>2018.0</v>
      </c>
      <c r="B55" s="156">
        <v>10.0</v>
      </c>
      <c r="C55" s="156" t="s">
        <v>479</v>
      </c>
      <c r="D55" s="158"/>
      <c r="E55" s="157">
        <v>29424.55</v>
      </c>
      <c r="F55" s="157">
        <v>-65000.0</v>
      </c>
      <c r="G55" s="158"/>
      <c r="H55" s="157">
        <v>-7186.47</v>
      </c>
      <c r="I55" s="158"/>
      <c r="J55" s="157">
        <v>4790.58</v>
      </c>
      <c r="K55" s="158"/>
      <c r="L55" s="157">
        <v>-73843.85</v>
      </c>
      <c r="M55" s="158"/>
      <c r="N55" s="158"/>
      <c r="O55" s="157">
        <v>1424091.0</v>
      </c>
      <c r="P55" s="158">
        <v>1424091.89</v>
      </c>
      <c r="Q55" s="158"/>
    </row>
    <row r="56">
      <c r="A56" s="156">
        <v>2018.0</v>
      </c>
      <c r="B56" s="156">
        <v>11.0</v>
      </c>
      <c r="C56" s="156" t="s">
        <v>479</v>
      </c>
      <c r="D56" s="158"/>
      <c r="E56" s="157">
        <v>30700.75</v>
      </c>
      <c r="F56" s="157">
        <v>-65000.0</v>
      </c>
      <c r="G56" s="158"/>
      <c r="H56" s="157">
        <v>-8553.69</v>
      </c>
      <c r="I56" s="158"/>
      <c r="J56" s="157">
        <v>4790.58</v>
      </c>
      <c r="K56" s="158"/>
      <c r="L56" s="157">
        <v>-61449.72</v>
      </c>
      <c r="M56" s="158"/>
      <c r="N56" s="158"/>
      <c r="O56" s="157">
        <v>1436394.0</v>
      </c>
      <c r="P56" s="158">
        <v>1436394.9999999998</v>
      </c>
      <c r="Q56" s="158"/>
    </row>
    <row r="57">
      <c r="A57" s="156">
        <v>2018.0</v>
      </c>
      <c r="B57" s="156">
        <v>12.0</v>
      </c>
      <c r="C57" s="156" t="s">
        <v>479</v>
      </c>
      <c r="D57" s="158"/>
      <c r="E57" s="157">
        <v>32613.6</v>
      </c>
      <c r="F57" s="157">
        <v>-65000.0</v>
      </c>
      <c r="G57" s="158"/>
      <c r="H57" s="157">
        <v>-9227.51</v>
      </c>
      <c r="I57" s="158"/>
      <c r="J57" s="157">
        <v>4790.58</v>
      </c>
      <c r="K57" s="158"/>
      <c r="L57" s="157">
        <v>-141657.47</v>
      </c>
      <c r="M57" s="158"/>
      <c r="N57" s="158"/>
      <c r="O57" s="157">
        <v>1357426.0</v>
      </c>
      <c r="P57" s="158">
        <v>1357426.2799999998</v>
      </c>
      <c r="Q57" s="158"/>
    </row>
    <row r="58">
      <c r="A58" s="156">
        <v>2019.0</v>
      </c>
      <c r="B58" s="156">
        <v>1.0</v>
      </c>
      <c r="C58" s="156" t="s">
        <v>479</v>
      </c>
      <c r="D58" s="158"/>
      <c r="E58" s="157">
        <v>9000.39</v>
      </c>
      <c r="F58" s="158"/>
      <c r="G58" s="158"/>
      <c r="H58" s="157">
        <v>-640.47</v>
      </c>
      <c r="I58" s="158"/>
      <c r="J58" s="158"/>
      <c r="K58" s="158"/>
      <c r="L58" s="157">
        <v>81063.53</v>
      </c>
      <c r="M58" s="158"/>
      <c r="N58" s="158"/>
      <c r="O58" s="157">
        <v>1446849.0</v>
      </c>
      <c r="P58" s="158">
        <v>1446849.73</v>
      </c>
      <c r="Q58" s="158"/>
    </row>
    <row r="59">
      <c r="A59" s="156">
        <v>2019.0</v>
      </c>
      <c r="B59" s="156">
        <v>2.0</v>
      </c>
      <c r="C59" s="156" t="s">
        <v>479</v>
      </c>
      <c r="D59" s="158"/>
      <c r="E59" s="157">
        <v>9731.1</v>
      </c>
      <c r="F59" s="158"/>
      <c r="G59" s="158"/>
      <c r="H59" s="157">
        <v>-1318.23</v>
      </c>
      <c r="I59" s="158"/>
      <c r="J59" s="158"/>
      <c r="K59" s="158"/>
      <c r="L59" s="157">
        <v>104789.45</v>
      </c>
      <c r="M59" s="158"/>
      <c r="N59" s="158"/>
      <c r="O59" s="157">
        <v>1470628.0</v>
      </c>
      <c r="P59" s="158">
        <v>1470628.6</v>
      </c>
      <c r="Q59" s="158"/>
    </row>
    <row r="60">
      <c r="A60" s="156">
        <v>2019.0</v>
      </c>
      <c r="B60" s="156">
        <v>3.0</v>
      </c>
      <c r="C60" s="156" t="s">
        <v>479</v>
      </c>
      <c r="D60" s="158"/>
      <c r="E60" s="157">
        <v>11509.99</v>
      </c>
      <c r="F60" s="158"/>
      <c r="G60" s="158"/>
      <c r="H60" s="157">
        <v>-2005.88</v>
      </c>
      <c r="I60" s="158"/>
      <c r="J60" s="158"/>
      <c r="K60" s="158"/>
      <c r="L60" s="157">
        <v>113199.75</v>
      </c>
      <c r="M60" s="158"/>
      <c r="N60" s="158"/>
      <c r="O60" s="157">
        <v>1480130.0</v>
      </c>
      <c r="P60" s="158">
        <v>1480130.1400000001</v>
      </c>
      <c r="Q60" s="158"/>
    </row>
    <row r="61">
      <c r="A61" s="156">
        <v>2019.0</v>
      </c>
      <c r="B61" s="156">
        <v>4.0</v>
      </c>
      <c r="C61" s="156" t="s">
        <v>479</v>
      </c>
      <c r="D61" s="158"/>
      <c r="E61" s="157">
        <v>15204.25</v>
      </c>
      <c r="F61" s="157">
        <v>-67000.0</v>
      </c>
      <c r="G61" s="158"/>
      <c r="H61" s="157">
        <v>-2697.94</v>
      </c>
      <c r="I61" s="158"/>
      <c r="J61" s="157">
        <v>3674.64</v>
      </c>
      <c r="K61" s="158"/>
      <c r="L61" s="157">
        <v>137937.22</v>
      </c>
      <c r="M61" s="158"/>
      <c r="N61" s="158"/>
      <c r="O61" s="157">
        <v>1444544.0</v>
      </c>
      <c r="P61" s="158">
        <v>1444544.45</v>
      </c>
      <c r="Q61" s="158"/>
    </row>
    <row r="62">
      <c r="A62" s="156">
        <v>2019.0</v>
      </c>
      <c r="B62" s="156">
        <v>5.0</v>
      </c>
      <c r="C62" s="156" t="s">
        <v>479</v>
      </c>
      <c r="D62" s="158"/>
      <c r="E62" s="157">
        <v>16010.09</v>
      </c>
      <c r="F62" s="157">
        <v>-66999.66999999993</v>
      </c>
      <c r="G62" s="157">
        <v>400.0</v>
      </c>
      <c r="H62" s="157">
        <v>-3372.55</v>
      </c>
      <c r="I62" s="158"/>
      <c r="J62" s="157">
        <v>296465.87</v>
      </c>
      <c r="K62" s="158"/>
      <c r="L62" s="157">
        <v>-154854.21</v>
      </c>
      <c r="M62" s="158"/>
      <c r="N62" s="158"/>
      <c r="O62" s="158">
        <v>1445075.81</v>
      </c>
      <c r="P62" s="158">
        <v>1445075.81</v>
      </c>
      <c r="Q62" s="158"/>
    </row>
    <row r="63">
      <c r="A63" s="156">
        <v>2019.0</v>
      </c>
      <c r="B63" s="156">
        <v>6.0</v>
      </c>
      <c r="C63" s="156" t="s">
        <v>479</v>
      </c>
      <c r="D63" s="157"/>
      <c r="E63" s="157">
        <v>21246.0</v>
      </c>
      <c r="F63" s="157">
        <v>-66999.66999999993</v>
      </c>
      <c r="G63" s="157">
        <v>400.0</v>
      </c>
      <c r="H63" s="157">
        <v>-3372.55</v>
      </c>
      <c r="I63" s="158"/>
      <c r="J63" s="157">
        <v>296465.87</v>
      </c>
      <c r="K63" s="158"/>
      <c r="L63" s="157">
        <v>-132626.76</v>
      </c>
      <c r="M63" s="158"/>
      <c r="N63" s="158"/>
      <c r="O63" s="157">
        <v>1472538.82</v>
      </c>
      <c r="P63" s="158">
        <v>1472539.1700000002</v>
      </c>
      <c r="Q63" s="158"/>
    </row>
    <row r="64">
      <c r="A64" s="156">
        <v>2019.0</v>
      </c>
      <c r="B64" s="156">
        <v>7.0</v>
      </c>
      <c r="C64" s="156" t="s">
        <v>479</v>
      </c>
      <c r="D64" s="158"/>
      <c r="E64" s="157">
        <v>7594.98</v>
      </c>
      <c r="F64" s="157">
        <v>1445075.67</v>
      </c>
      <c r="G64" s="157">
        <v>0.0</v>
      </c>
      <c r="H64" s="157"/>
      <c r="I64" s="158"/>
      <c r="J64" s="157"/>
      <c r="K64" s="158"/>
      <c r="L64" s="157">
        <v>26332.58</v>
      </c>
      <c r="M64" s="158"/>
      <c r="N64" s="158"/>
      <c r="O64" s="157">
        <v>1479003.23</v>
      </c>
      <c r="P64" s="158">
        <v>2836429.51</v>
      </c>
      <c r="Q64" s="158"/>
    </row>
    <row r="65">
      <c r="D65" s="158"/>
      <c r="E65" s="158"/>
      <c r="F65" s="158"/>
      <c r="G65" s="158"/>
      <c r="H65" s="158"/>
      <c r="I65" s="158"/>
      <c r="J65" s="158"/>
      <c r="K65" s="158"/>
      <c r="L65" s="158"/>
      <c r="M65" s="158"/>
      <c r="N65" s="158"/>
      <c r="O65" s="158"/>
      <c r="P65" s="158"/>
      <c r="Q65" s="158"/>
    </row>
    <row r="66">
      <c r="D66" s="158"/>
      <c r="E66" s="158"/>
      <c r="F66" s="158"/>
      <c r="G66" s="158"/>
      <c r="H66" s="158"/>
      <c r="I66" s="158"/>
      <c r="J66" s="158"/>
      <c r="K66" s="158"/>
      <c r="L66" s="158"/>
      <c r="M66" s="158"/>
      <c r="N66" s="158"/>
      <c r="O66" s="158"/>
      <c r="P66" s="158"/>
      <c r="Q66" s="158"/>
    </row>
    <row r="67">
      <c r="D67" s="158"/>
      <c r="E67" s="158"/>
      <c r="F67" s="158"/>
      <c r="G67" s="158"/>
      <c r="H67" s="158"/>
      <c r="I67" s="158"/>
      <c r="J67" s="158"/>
      <c r="K67" s="158"/>
      <c r="L67" s="158"/>
      <c r="M67" s="158"/>
      <c r="N67" s="158"/>
      <c r="O67" s="158"/>
      <c r="P67" s="158"/>
      <c r="Q67" s="158"/>
    </row>
    <row r="68">
      <c r="D68" s="158"/>
      <c r="E68" s="158"/>
      <c r="F68" s="158"/>
      <c r="G68" s="158"/>
      <c r="H68" s="158"/>
      <c r="I68" s="158"/>
      <c r="J68" s="158"/>
      <c r="K68" s="158"/>
      <c r="L68" s="158"/>
      <c r="M68" s="158"/>
      <c r="N68" s="158"/>
      <c r="O68" s="158"/>
      <c r="P68" s="158"/>
      <c r="Q68" s="158"/>
    </row>
    <row r="69">
      <c r="D69" s="158"/>
      <c r="E69" s="158"/>
      <c r="F69" s="158"/>
      <c r="G69" s="158"/>
      <c r="H69" s="158"/>
      <c r="I69" s="158"/>
      <c r="J69" s="158"/>
      <c r="K69" s="158"/>
      <c r="L69" s="158"/>
      <c r="M69" s="158"/>
      <c r="N69" s="158"/>
      <c r="O69" s="158"/>
      <c r="P69" s="158"/>
      <c r="Q69" s="158"/>
    </row>
    <row r="70">
      <c r="D70" s="158"/>
      <c r="E70" s="158"/>
      <c r="F70" s="158"/>
      <c r="G70" s="158"/>
      <c r="H70" s="158"/>
      <c r="I70" s="158"/>
      <c r="J70" s="158"/>
      <c r="K70" s="158"/>
      <c r="L70" s="158"/>
      <c r="M70" s="158"/>
      <c r="N70" s="158"/>
      <c r="O70" s="158"/>
      <c r="P70" s="158"/>
      <c r="Q70" s="158"/>
    </row>
    <row r="71">
      <c r="D71" s="158"/>
      <c r="E71" s="158"/>
      <c r="F71" s="158"/>
      <c r="G71" s="158"/>
      <c r="H71" s="158"/>
      <c r="I71" s="158"/>
      <c r="J71" s="158"/>
      <c r="K71" s="158"/>
      <c r="L71" s="158"/>
      <c r="M71" s="158"/>
      <c r="N71" s="158"/>
      <c r="O71" s="158"/>
      <c r="P71" s="158"/>
      <c r="Q71" s="158"/>
    </row>
    <row r="72">
      <c r="D72" s="158"/>
      <c r="E72" s="158"/>
      <c r="F72" s="158"/>
      <c r="G72" s="158"/>
      <c r="H72" s="158"/>
      <c r="I72" s="158"/>
      <c r="J72" s="158"/>
      <c r="K72" s="158"/>
      <c r="L72" s="158"/>
      <c r="M72" s="158"/>
      <c r="N72" s="158"/>
      <c r="O72" s="158"/>
      <c r="P72" s="158"/>
      <c r="Q72" s="158"/>
    </row>
    <row r="73">
      <c r="D73" s="158"/>
      <c r="E73" s="158"/>
      <c r="F73" s="158"/>
      <c r="G73" s="158"/>
      <c r="H73" s="158"/>
      <c r="I73" s="158"/>
      <c r="J73" s="158"/>
      <c r="K73" s="158"/>
      <c r="L73" s="158"/>
      <c r="M73" s="158"/>
      <c r="N73" s="158"/>
      <c r="O73" s="158"/>
      <c r="P73" s="158"/>
      <c r="Q73" s="158"/>
    </row>
    <row r="74">
      <c r="D74" s="158"/>
      <c r="E74" s="158"/>
      <c r="F74" s="158"/>
      <c r="G74" s="158"/>
      <c r="H74" s="158"/>
      <c r="I74" s="158"/>
      <c r="J74" s="158"/>
      <c r="K74" s="158"/>
      <c r="L74" s="158"/>
      <c r="M74" s="158"/>
      <c r="N74" s="158"/>
      <c r="O74" s="158"/>
      <c r="P74" s="158"/>
      <c r="Q74" s="158"/>
    </row>
    <row r="75">
      <c r="D75" s="158"/>
      <c r="E75" s="158"/>
      <c r="F75" s="158"/>
      <c r="G75" s="158"/>
      <c r="H75" s="158"/>
      <c r="I75" s="158"/>
      <c r="J75" s="158"/>
      <c r="K75" s="158"/>
      <c r="L75" s="158"/>
      <c r="M75" s="158"/>
      <c r="N75" s="158"/>
      <c r="O75" s="158"/>
      <c r="P75" s="158"/>
      <c r="Q75" s="158"/>
    </row>
    <row r="76">
      <c r="D76" s="158"/>
      <c r="E76" s="158"/>
      <c r="F76" s="158"/>
      <c r="G76" s="158"/>
      <c r="H76" s="158"/>
      <c r="I76" s="158"/>
      <c r="J76" s="158"/>
      <c r="K76" s="158"/>
      <c r="L76" s="158"/>
      <c r="M76" s="158"/>
      <c r="N76" s="158"/>
      <c r="O76" s="158"/>
      <c r="P76" s="158"/>
      <c r="Q76" s="158"/>
    </row>
    <row r="77">
      <c r="D77" s="158"/>
      <c r="E77" s="158"/>
      <c r="F77" s="158"/>
      <c r="G77" s="158"/>
      <c r="H77" s="158"/>
      <c r="I77" s="158"/>
      <c r="J77" s="158"/>
      <c r="K77" s="158"/>
      <c r="L77" s="158"/>
      <c r="M77" s="158"/>
      <c r="N77" s="158"/>
      <c r="O77" s="158"/>
      <c r="P77" s="158"/>
      <c r="Q77" s="158"/>
    </row>
    <row r="78">
      <c r="D78" s="158"/>
      <c r="E78" s="158"/>
      <c r="F78" s="158"/>
      <c r="G78" s="158"/>
      <c r="H78" s="158"/>
      <c r="I78" s="158"/>
      <c r="J78" s="158"/>
      <c r="K78" s="158"/>
      <c r="L78" s="158"/>
      <c r="M78" s="158"/>
      <c r="N78" s="158"/>
      <c r="O78" s="158"/>
      <c r="P78" s="158"/>
      <c r="Q78" s="158"/>
    </row>
    <row r="79">
      <c r="D79" s="158"/>
      <c r="E79" s="158"/>
      <c r="F79" s="158"/>
      <c r="G79" s="158"/>
      <c r="H79" s="158"/>
      <c r="I79" s="158"/>
      <c r="J79" s="158"/>
      <c r="K79" s="158"/>
      <c r="L79" s="158"/>
      <c r="M79" s="158"/>
      <c r="N79" s="158"/>
      <c r="O79" s="158"/>
      <c r="P79" s="158"/>
      <c r="Q79" s="158"/>
    </row>
    <row r="80">
      <c r="D80" s="158"/>
      <c r="E80" s="158"/>
      <c r="F80" s="158"/>
      <c r="G80" s="158"/>
      <c r="H80" s="158"/>
      <c r="I80" s="158"/>
      <c r="J80" s="158"/>
      <c r="K80" s="158"/>
      <c r="L80" s="158"/>
      <c r="M80" s="158"/>
      <c r="N80" s="158"/>
      <c r="O80" s="158"/>
      <c r="P80" s="158"/>
      <c r="Q80" s="158"/>
    </row>
    <row r="81">
      <c r="D81" s="158"/>
      <c r="E81" s="158"/>
      <c r="F81" s="158"/>
      <c r="G81" s="158"/>
      <c r="H81" s="158"/>
      <c r="I81" s="158"/>
      <c r="J81" s="158"/>
      <c r="K81" s="158"/>
      <c r="L81" s="158"/>
      <c r="M81" s="158"/>
      <c r="N81" s="158"/>
      <c r="O81" s="158"/>
      <c r="P81" s="158"/>
      <c r="Q81" s="158"/>
    </row>
    <row r="82">
      <c r="D82" s="158"/>
      <c r="E82" s="158"/>
      <c r="F82" s="158"/>
      <c r="G82" s="158"/>
      <c r="H82" s="158"/>
      <c r="I82" s="158"/>
      <c r="J82" s="158"/>
      <c r="K82" s="158"/>
      <c r="L82" s="158"/>
      <c r="M82" s="158"/>
      <c r="N82" s="158"/>
      <c r="O82" s="158"/>
      <c r="P82" s="158"/>
      <c r="Q82" s="158"/>
    </row>
    <row r="83">
      <c r="D83" s="158"/>
      <c r="E83" s="158"/>
      <c r="F83" s="158"/>
      <c r="G83" s="158"/>
      <c r="H83" s="158"/>
      <c r="I83" s="158"/>
      <c r="J83" s="158"/>
      <c r="K83" s="158"/>
      <c r="L83" s="158"/>
      <c r="M83" s="158"/>
      <c r="N83" s="158"/>
      <c r="O83" s="158"/>
      <c r="P83" s="158"/>
      <c r="Q83" s="158"/>
    </row>
    <row r="84">
      <c r="D84" s="158"/>
      <c r="E84" s="158"/>
      <c r="F84" s="158"/>
      <c r="G84" s="158"/>
      <c r="H84" s="158"/>
      <c r="I84" s="158"/>
      <c r="J84" s="158"/>
      <c r="K84" s="158"/>
      <c r="L84" s="158"/>
      <c r="M84" s="158"/>
      <c r="N84" s="158"/>
      <c r="O84" s="158"/>
      <c r="P84" s="158"/>
      <c r="Q84" s="158"/>
    </row>
    <row r="85">
      <c r="D85" s="158"/>
      <c r="E85" s="158"/>
      <c r="F85" s="158"/>
      <c r="G85" s="158"/>
      <c r="H85" s="158"/>
      <c r="I85" s="158"/>
      <c r="J85" s="158"/>
      <c r="K85" s="158"/>
      <c r="L85" s="158"/>
      <c r="M85" s="158"/>
      <c r="N85" s="158"/>
      <c r="O85" s="158"/>
      <c r="P85" s="158"/>
      <c r="Q85" s="158"/>
    </row>
    <row r="86">
      <c r="D86" s="158"/>
      <c r="E86" s="158"/>
      <c r="F86" s="158"/>
      <c r="G86" s="158"/>
      <c r="H86" s="158"/>
      <c r="I86" s="158"/>
      <c r="J86" s="158"/>
      <c r="K86" s="158"/>
      <c r="L86" s="158"/>
      <c r="M86" s="158"/>
      <c r="N86" s="158"/>
      <c r="O86" s="158"/>
      <c r="P86" s="158"/>
      <c r="Q86" s="158"/>
    </row>
    <row r="87">
      <c r="D87" s="158"/>
      <c r="E87" s="158"/>
      <c r="F87" s="158"/>
      <c r="G87" s="158"/>
      <c r="H87" s="158"/>
      <c r="I87" s="158"/>
      <c r="J87" s="158"/>
      <c r="K87" s="158"/>
      <c r="L87" s="158"/>
      <c r="M87" s="158"/>
      <c r="N87" s="158"/>
      <c r="O87" s="158"/>
      <c r="P87" s="158"/>
      <c r="Q87" s="158"/>
    </row>
    <row r="88">
      <c r="D88" s="158"/>
      <c r="E88" s="158"/>
      <c r="F88" s="158"/>
      <c r="G88" s="158"/>
      <c r="H88" s="158"/>
      <c r="I88" s="158"/>
      <c r="J88" s="158"/>
      <c r="K88" s="158"/>
      <c r="L88" s="158"/>
      <c r="M88" s="158"/>
      <c r="N88" s="158"/>
      <c r="O88" s="158"/>
      <c r="P88" s="158"/>
      <c r="Q88" s="158"/>
    </row>
    <row r="89">
      <c r="D89" s="158"/>
      <c r="E89" s="158"/>
      <c r="F89" s="158"/>
      <c r="G89" s="158"/>
      <c r="H89" s="158"/>
      <c r="I89" s="158"/>
      <c r="J89" s="158"/>
      <c r="K89" s="158"/>
      <c r="L89" s="158"/>
      <c r="M89" s="158"/>
      <c r="N89" s="158"/>
      <c r="O89" s="158"/>
      <c r="P89" s="158"/>
      <c r="Q89" s="158"/>
    </row>
    <row r="90">
      <c r="D90" s="158"/>
      <c r="E90" s="158"/>
      <c r="F90" s="158"/>
      <c r="G90" s="158"/>
      <c r="H90" s="158"/>
      <c r="I90" s="158"/>
      <c r="J90" s="158"/>
      <c r="K90" s="158"/>
      <c r="L90" s="158"/>
      <c r="M90" s="158"/>
      <c r="N90" s="158"/>
      <c r="O90" s="158"/>
      <c r="P90" s="158"/>
      <c r="Q90" s="158"/>
    </row>
    <row r="91">
      <c r="D91" s="158"/>
      <c r="E91" s="158"/>
      <c r="F91" s="158"/>
      <c r="G91" s="158"/>
      <c r="H91" s="158"/>
      <c r="I91" s="158"/>
      <c r="J91" s="158"/>
      <c r="K91" s="158"/>
      <c r="L91" s="158"/>
      <c r="M91" s="158"/>
      <c r="N91" s="158"/>
      <c r="O91" s="158"/>
      <c r="P91" s="158"/>
      <c r="Q91" s="158"/>
    </row>
    <row r="92">
      <c r="D92" s="158"/>
      <c r="E92" s="158"/>
      <c r="F92" s="158"/>
      <c r="G92" s="158"/>
      <c r="H92" s="158"/>
      <c r="I92" s="158"/>
      <c r="J92" s="158"/>
      <c r="K92" s="158"/>
      <c r="L92" s="158"/>
      <c r="M92" s="158"/>
      <c r="N92" s="158"/>
      <c r="O92" s="158"/>
      <c r="P92" s="158"/>
      <c r="Q92" s="158"/>
    </row>
    <row r="93">
      <c r="D93" s="158"/>
      <c r="E93" s="158"/>
      <c r="F93" s="158"/>
      <c r="G93" s="158"/>
      <c r="H93" s="158"/>
      <c r="I93" s="158"/>
      <c r="J93" s="158"/>
      <c r="K93" s="158"/>
      <c r="L93" s="158"/>
      <c r="M93" s="158"/>
      <c r="N93" s="158"/>
      <c r="O93" s="158"/>
      <c r="P93" s="158"/>
      <c r="Q93" s="158"/>
    </row>
    <row r="94">
      <c r="D94" s="158"/>
      <c r="E94" s="158"/>
      <c r="F94" s="158"/>
      <c r="G94" s="158"/>
      <c r="H94" s="158"/>
      <c r="I94" s="158"/>
      <c r="J94" s="158"/>
      <c r="K94" s="158"/>
      <c r="L94" s="158"/>
      <c r="M94" s="158"/>
      <c r="N94" s="158"/>
      <c r="O94" s="158"/>
      <c r="P94" s="158"/>
      <c r="Q94" s="158"/>
    </row>
    <row r="95">
      <c r="D95" s="158"/>
      <c r="E95" s="158"/>
      <c r="F95" s="158"/>
      <c r="G95" s="158"/>
      <c r="H95" s="158"/>
      <c r="I95" s="158"/>
      <c r="J95" s="158"/>
      <c r="K95" s="158"/>
      <c r="L95" s="158"/>
      <c r="M95" s="158"/>
      <c r="N95" s="158"/>
      <c r="O95" s="158"/>
      <c r="P95" s="158"/>
      <c r="Q95" s="158"/>
    </row>
    <row r="96">
      <c r="D96" s="158"/>
      <c r="E96" s="158"/>
      <c r="F96" s="158"/>
      <c r="G96" s="158"/>
      <c r="H96" s="158"/>
      <c r="I96" s="158"/>
      <c r="J96" s="158"/>
      <c r="K96" s="158"/>
      <c r="L96" s="158"/>
      <c r="M96" s="158"/>
      <c r="N96" s="158"/>
      <c r="O96" s="158"/>
      <c r="P96" s="158"/>
      <c r="Q96" s="158"/>
    </row>
    <row r="97">
      <c r="D97" s="158"/>
      <c r="E97" s="158"/>
      <c r="F97" s="158"/>
      <c r="G97" s="158"/>
      <c r="H97" s="158"/>
      <c r="I97" s="158"/>
      <c r="J97" s="158"/>
      <c r="K97" s="158"/>
      <c r="L97" s="158"/>
      <c r="M97" s="158"/>
      <c r="N97" s="158"/>
      <c r="O97" s="158"/>
      <c r="P97" s="158"/>
      <c r="Q97" s="158"/>
    </row>
    <row r="98">
      <c r="D98" s="158"/>
      <c r="E98" s="158"/>
      <c r="F98" s="158"/>
      <c r="G98" s="158"/>
      <c r="H98" s="158"/>
      <c r="I98" s="158"/>
      <c r="J98" s="158"/>
      <c r="K98" s="158"/>
      <c r="L98" s="158"/>
      <c r="M98" s="158"/>
      <c r="N98" s="158"/>
      <c r="O98" s="158"/>
      <c r="P98" s="158"/>
      <c r="Q98" s="158"/>
    </row>
    <row r="99">
      <c r="D99" s="158"/>
      <c r="E99" s="158"/>
      <c r="F99" s="158"/>
      <c r="G99" s="158"/>
      <c r="H99" s="158"/>
      <c r="I99" s="158"/>
      <c r="J99" s="158"/>
      <c r="K99" s="158"/>
      <c r="L99" s="158"/>
      <c r="M99" s="158"/>
      <c r="N99" s="158"/>
      <c r="O99" s="158"/>
      <c r="P99" s="158"/>
      <c r="Q99" s="158"/>
    </row>
    <row r="100">
      <c r="D100" s="158"/>
      <c r="E100" s="158"/>
      <c r="F100" s="158"/>
      <c r="G100" s="158"/>
      <c r="H100" s="158"/>
      <c r="I100" s="158"/>
      <c r="J100" s="158"/>
      <c r="K100" s="158"/>
      <c r="L100" s="158"/>
      <c r="M100" s="158"/>
      <c r="N100" s="158"/>
      <c r="O100" s="158"/>
      <c r="P100" s="158"/>
      <c r="Q100" s="158"/>
    </row>
    <row r="101">
      <c r="D101" s="158"/>
      <c r="E101" s="158"/>
      <c r="F101" s="158"/>
      <c r="G101" s="158"/>
      <c r="H101" s="158"/>
      <c r="I101" s="158"/>
      <c r="J101" s="158"/>
      <c r="K101" s="158"/>
      <c r="L101" s="158"/>
      <c r="M101" s="158"/>
      <c r="N101" s="158"/>
      <c r="O101" s="158"/>
      <c r="P101" s="158"/>
      <c r="Q101" s="158"/>
    </row>
    <row r="102">
      <c r="D102" s="158"/>
      <c r="E102" s="158"/>
      <c r="F102" s="158"/>
      <c r="G102" s="158"/>
      <c r="H102" s="158"/>
      <c r="I102" s="158"/>
      <c r="J102" s="158"/>
      <c r="K102" s="158"/>
      <c r="L102" s="158"/>
      <c r="M102" s="158"/>
      <c r="N102" s="158"/>
      <c r="O102" s="158"/>
      <c r="P102" s="158"/>
      <c r="Q102" s="158"/>
    </row>
    <row r="103">
      <c r="D103" s="158"/>
      <c r="E103" s="158"/>
      <c r="F103" s="158"/>
      <c r="G103" s="158"/>
      <c r="H103" s="158"/>
      <c r="I103" s="158"/>
      <c r="J103" s="158"/>
      <c r="K103" s="158"/>
      <c r="L103" s="158"/>
      <c r="M103" s="158"/>
      <c r="N103" s="158"/>
      <c r="O103" s="158"/>
      <c r="P103" s="158"/>
      <c r="Q103" s="158"/>
    </row>
    <row r="104">
      <c r="D104" s="158"/>
      <c r="E104" s="158"/>
      <c r="F104" s="158"/>
      <c r="G104" s="158"/>
      <c r="H104" s="158"/>
      <c r="I104" s="158"/>
      <c r="J104" s="158"/>
      <c r="K104" s="158"/>
      <c r="L104" s="158"/>
      <c r="M104" s="158"/>
      <c r="N104" s="158"/>
      <c r="O104" s="158"/>
      <c r="P104" s="158"/>
      <c r="Q104" s="158"/>
    </row>
    <row r="105">
      <c r="D105" s="158"/>
      <c r="E105" s="158"/>
      <c r="F105" s="158"/>
      <c r="G105" s="158"/>
      <c r="H105" s="158"/>
      <c r="I105" s="158"/>
      <c r="J105" s="158"/>
      <c r="K105" s="158"/>
      <c r="L105" s="158"/>
      <c r="M105" s="158"/>
      <c r="N105" s="158"/>
      <c r="O105" s="158"/>
      <c r="P105" s="158"/>
      <c r="Q105" s="158"/>
    </row>
    <row r="106">
      <c r="D106" s="158"/>
      <c r="E106" s="158"/>
      <c r="F106" s="158"/>
      <c r="G106" s="158"/>
      <c r="H106" s="158"/>
      <c r="I106" s="158"/>
      <c r="J106" s="158"/>
      <c r="K106" s="158"/>
      <c r="L106" s="158"/>
      <c r="M106" s="158"/>
      <c r="N106" s="158"/>
      <c r="O106" s="158"/>
      <c r="P106" s="158"/>
      <c r="Q106" s="158"/>
    </row>
    <row r="107">
      <c r="D107" s="158"/>
      <c r="E107" s="158"/>
      <c r="F107" s="158"/>
      <c r="G107" s="158"/>
      <c r="H107" s="158"/>
      <c r="I107" s="158"/>
      <c r="J107" s="158"/>
      <c r="K107" s="158"/>
      <c r="L107" s="158"/>
      <c r="M107" s="158"/>
      <c r="N107" s="158"/>
      <c r="O107" s="158"/>
      <c r="P107" s="158"/>
      <c r="Q107" s="158"/>
    </row>
    <row r="108">
      <c r="D108" s="158"/>
      <c r="E108" s="158"/>
      <c r="F108" s="158"/>
      <c r="G108" s="158"/>
      <c r="H108" s="158"/>
      <c r="I108" s="158"/>
      <c r="J108" s="158"/>
      <c r="K108" s="158"/>
      <c r="L108" s="158"/>
      <c r="M108" s="158"/>
      <c r="N108" s="158"/>
      <c r="O108" s="158"/>
      <c r="P108" s="158"/>
      <c r="Q108" s="158"/>
    </row>
    <row r="109">
      <c r="D109" s="158"/>
      <c r="E109" s="158"/>
      <c r="F109" s="158"/>
      <c r="G109" s="158"/>
      <c r="H109" s="158"/>
      <c r="I109" s="158"/>
      <c r="J109" s="158"/>
      <c r="K109" s="158"/>
      <c r="L109" s="158"/>
      <c r="M109" s="158"/>
      <c r="N109" s="158"/>
      <c r="O109" s="158"/>
      <c r="P109" s="158"/>
      <c r="Q109" s="158"/>
    </row>
    <row r="110">
      <c r="D110" s="158"/>
      <c r="E110" s="158"/>
      <c r="F110" s="158"/>
      <c r="G110" s="158"/>
      <c r="H110" s="158"/>
      <c r="I110" s="158"/>
      <c r="J110" s="158"/>
      <c r="K110" s="158"/>
      <c r="L110" s="158"/>
      <c r="M110" s="158"/>
      <c r="N110" s="158"/>
      <c r="O110" s="158"/>
      <c r="P110" s="158"/>
      <c r="Q110" s="158"/>
    </row>
    <row r="111">
      <c r="D111" s="158"/>
      <c r="E111" s="158"/>
      <c r="F111" s="158"/>
      <c r="G111" s="158"/>
      <c r="H111" s="158"/>
      <c r="I111" s="158"/>
      <c r="J111" s="158"/>
      <c r="K111" s="158"/>
      <c r="L111" s="158"/>
      <c r="M111" s="158"/>
      <c r="N111" s="158"/>
      <c r="O111" s="158"/>
      <c r="P111" s="158"/>
      <c r="Q111" s="158"/>
    </row>
    <row r="112">
      <c r="D112" s="158"/>
      <c r="E112" s="158"/>
      <c r="F112" s="158"/>
      <c r="G112" s="158"/>
      <c r="H112" s="158"/>
      <c r="I112" s="158"/>
      <c r="J112" s="158"/>
      <c r="K112" s="158"/>
      <c r="L112" s="158"/>
      <c r="M112" s="158"/>
      <c r="N112" s="158"/>
      <c r="O112" s="158"/>
      <c r="P112" s="158"/>
      <c r="Q112" s="158"/>
    </row>
    <row r="113">
      <c r="D113" s="158"/>
      <c r="E113" s="158"/>
      <c r="F113" s="158"/>
      <c r="G113" s="158"/>
      <c r="H113" s="158"/>
      <c r="I113" s="158"/>
      <c r="J113" s="158"/>
      <c r="K113" s="158"/>
      <c r="L113" s="158"/>
      <c r="M113" s="158"/>
      <c r="N113" s="158"/>
      <c r="O113" s="158"/>
      <c r="P113" s="158"/>
      <c r="Q113" s="158"/>
    </row>
    <row r="114">
      <c r="D114" s="158"/>
      <c r="E114" s="158"/>
      <c r="F114" s="158"/>
      <c r="G114" s="158"/>
      <c r="H114" s="158"/>
      <c r="I114" s="158"/>
      <c r="J114" s="158"/>
      <c r="K114" s="158"/>
      <c r="L114" s="158"/>
      <c r="M114" s="158"/>
      <c r="N114" s="158"/>
      <c r="O114" s="158"/>
      <c r="P114" s="158"/>
      <c r="Q114" s="158"/>
    </row>
    <row r="115">
      <c r="D115" s="158"/>
      <c r="E115" s="158"/>
      <c r="F115" s="158"/>
      <c r="G115" s="158"/>
      <c r="H115" s="158"/>
      <c r="I115" s="158"/>
      <c r="J115" s="158"/>
      <c r="K115" s="158"/>
      <c r="L115" s="158"/>
      <c r="M115" s="158"/>
      <c r="N115" s="158"/>
      <c r="O115" s="158"/>
      <c r="P115" s="158"/>
      <c r="Q115" s="158"/>
    </row>
    <row r="116">
      <c r="D116" s="158"/>
      <c r="E116" s="158"/>
      <c r="F116" s="158"/>
      <c r="G116" s="158"/>
      <c r="H116" s="158"/>
      <c r="I116" s="158"/>
      <c r="J116" s="158"/>
      <c r="K116" s="158"/>
      <c r="L116" s="158"/>
      <c r="M116" s="158"/>
      <c r="N116" s="158"/>
      <c r="O116" s="158"/>
      <c r="P116" s="158"/>
      <c r="Q116" s="158"/>
    </row>
    <row r="117">
      <c r="D117" s="158"/>
      <c r="E117" s="158"/>
      <c r="F117" s="158"/>
      <c r="G117" s="158"/>
      <c r="H117" s="158"/>
      <c r="I117" s="158"/>
      <c r="J117" s="158"/>
      <c r="K117" s="158"/>
      <c r="L117" s="158"/>
      <c r="M117" s="158"/>
      <c r="N117" s="158"/>
      <c r="O117" s="158"/>
      <c r="P117" s="158"/>
      <c r="Q117" s="158"/>
    </row>
    <row r="118">
      <c r="D118" s="158"/>
      <c r="E118" s="158"/>
      <c r="F118" s="158"/>
      <c r="G118" s="158"/>
      <c r="H118" s="158"/>
      <c r="I118" s="158"/>
      <c r="J118" s="158"/>
      <c r="K118" s="158"/>
      <c r="L118" s="158"/>
      <c r="M118" s="158"/>
      <c r="N118" s="158"/>
      <c r="O118" s="158"/>
      <c r="P118" s="158"/>
      <c r="Q118" s="158"/>
    </row>
    <row r="119">
      <c r="D119" s="158"/>
      <c r="E119" s="158"/>
      <c r="F119" s="158"/>
      <c r="G119" s="158"/>
      <c r="H119" s="158"/>
      <c r="I119" s="158"/>
      <c r="J119" s="158"/>
      <c r="K119" s="158"/>
      <c r="L119" s="158"/>
      <c r="M119" s="158"/>
      <c r="N119" s="158"/>
      <c r="O119" s="158"/>
      <c r="P119" s="158"/>
      <c r="Q119" s="158"/>
    </row>
    <row r="120">
      <c r="D120" s="158"/>
      <c r="E120" s="158"/>
      <c r="F120" s="158"/>
      <c r="G120" s="158"/>
      <c r="H120" s="158"/>
      <c r="I120" s="158"/>
      <c r="J120" s="158"/>
      <c r="K120" s="158"/>
      <c r="L120" s="158"/>
      <c r="M120" s="158"/>
      <c r="N120" s="158"/>
      <c r="O120" s="158"/>
      <c r="P120" s="158"/>
      <c r="Q120" s="158"/>
    </row>
    <row r="121">
      <c r="D121" s="158"/>
      <c r="E121" s="158"/>
      <c r="F121" s="158"/>
      <c r="G121" s="158"/>
      <c r="H121" s="158"/>
      <c r="I121" s="158"/>
      <c r="J121" s="158"/>
      <c r="K121" s="158"/>
      <c r="L121" s="158"/>
      <c r="M121" s="158"/>
      <c r="N121" s="158"/>
      <c r="O121" s="158"/>
      <c r="P121" s="158"/>
      <c r="Q121" s="158"/>
    </row>
    <row r="122">
      <c r="D122" s="158"/>
      <c r="E122" s="158"/>
      <c r="F122" s="158"/>
      <c r="G122" s="158"/>
      <c r="H122" s="158"/>
      <c r="I122" s="158"/>
      <c r="J122" s="158"/>
      <c r="K122" s="158"/>
      <c r="L122" s="158"/>
      <c r="M122" s="158"/>
      <c r="N122" s="158"/>
      <c r="O122" s="158"/>
      <c r="P122" s="158"/>
      <c r="Q122" s="158"/>
    </row>
    <row r="123">
      <c r="D123" s="158"/>
      <c r="E123" s="158"/>
      <c r="F123" s="158"/>
      <c r="G123" s="158"/>
      <c r="H123" s="158"/>
      <c r="I123" s="158"/>
      <c r="J123" s="158"/>
      <c r="K123" s="158"/>
      <c r="L123" s="158"/>
      <c r="M123" s="158"/>
      <c r="N123" s="158"/>
      <c r="O123" s="158"/>
      <c r="P123" s="158"/>
      <c r="Q123" s="158"/>
    </row>
    <row r="124">
      <c r="D124" s="158"/>
      <c r="E124" s="158"/>
      <c r="F124" s="158"/>
      <c r="G124" s="158"/>
      <c r="H124" s="158"/>
      <c r="I124" s="158"/>
      <c r="J124" s="158"/>
      <c r="K124" s="158"/>
      <c r="L124" s="158"/>
      <c r="M124" s="158"/>
      <c r="N124" s="158"/>
      <c r="O124" s="158"/>
      <c r="P124" s="158"/>
      <c r="Q124" s="158"/>
    </row>
    <row r="125">
      <c r="D125" s="158"/>
      <c r="E125" s="158"/>
      <c r="F125" s="158"/>
      <c r="G125" s="158"/>
      <c r="H125" s="158"/>
      <c r="I125" s="158"/>
      <c r="J125" s="158"/>
      <c r="K125" s="158"/>
      <c r="L125" s="158"/>
      <c r="M125" s="158"/>
      <c r="N125" s="158"/>
      <c r="O125" s="158"/>
      <c r="P125" s="158"/>
      <c r="Q125" s="158"/>
    </row>
    <row r="126">
      <c r="D126" s="158"/>
      <c r="E126" s="158"/>
      <c r="F126" s="158"/>
      <c r="G126" s="158"/>
      <c r="H126" s="158"/>
      <c r="I126" s="158"/>
      <c r="J126" s="158"/>
      <c r="K126" s="158"/>
      <c r="L126" s="158"/>
      <c r="M126" s="158"/>
      <c r="N126" s="158"/>
      <c r="O126" s="158"/>
      <c r="P126" s="158"/>
      <c r="Q126" s="158"/>
    </row>
    <row r="127">
      <c r="D127" s="158"/>
      <c r="E127" s="158"/>
      <c r="F127" s="158"/>
      <c r="G127" s="158"/>
      <c r="H127" s="158"/>
      <c r="I127" s="158"/>
      <c r="J127" s="158"/>
      <c r="K127" s="158"/>
      <c r="L127" s="158"/>
      <c r="M127" s="158"/>
      <c r="N127" s="158"/>
      <c r="O127" s="158"/>
      <c r="P127" s="158"/>
      <c r="Q127" s="158"/>
    </row>
    <row r="128">
      <c r="D128" s="158"/>
      <c r="E128" s="158"/>
      <c r="F128" s="158"/>
      <c r="G128" s="158"/>
      <c r="H128" s="158"/>
      <c r="I128" s="158"/>
      <c r="J128" s="158"/>
      <c r="K128" s="158"/>
      <c r="L128" s="158"/>
      <c r="M128" s="158"/>
      <c r="N128" s="158"/>
      <c r="O128" s="158"/>
      <c r="P128" s="158"/>
      <c r="Q128" s="158"/>
    </row>
    <row r="129">
      <c r="D129" s="158"/>
      <c r="E129" s="158"/>
      <c r="F129" s="158"/>
      <c r="G129" s="158"/>
      <c r="H129" s="158"/>
      <c r="I129" s="158"/>
      <c r="J129" s="158"/>
      <c r="K129" s="158"/>
      <c r="L129" s="158"/>
      <c r="M129" s="158"/>
      <c r="N129" s="158"/>
      <c r="O129" s="158"/>
      <c r="P129" s="158"/>
      <c r="Q129" s="158"/>
    </row>
    <row r="130">
      <c r="D130" s="158"/>
      <c r="E130" s="158"/>
      <c r="F130" s="158"/>
      <c r="G130" s="158"/>
      <c r="H130" s="158"/>
      <c r="I130" s="158"/>
      <c r="J130" s="158"/>
      <c r="K130" s="158"/>
      <c r="L130" s="158"/>
      <c r="M130" s="158"/>
      <c r="N130" s="158"/>
      <c r="O130" s="158"/>
      <c r="P130" s="158"/>
      <c r="Q130" s="158"/>
    </row>
    <row r="131">
      <c r="D131" s="158"/>
      <c r="E131" s="158"/>
      <c r="F131" s="158"/>
      <c r="G131" s="158"/>
      <c r="H131" s="158"/>
      <c r="I131" s="158"/>
      <c r="J131" s="158"/>
      <c r="K131" s="158"/>
      <c r="L131" s="158"/>
      <c r="M131" s="158"/>
      <c r="N131" s="158"/>
      <c r="O131" s="158"/>
      <c r="P131" s="158"/>
      <c r="Q131" s="158"/>
    </row>
    <row r="132">
      <c r="D132" s="158"/>
      <c r="E132" s="158"/>
      <c r="F132" s="158"/>
      <c r="G132" s="158"/>
      <c r="H132" s="158"/>
      <c r="I132" s="158"/>
      <c r="J132" s="158"/>
      <c r="K132" s="158"/>
      <c r="L132" s="158"/>
      <c r="M132" s="158"/>
      <c r="N132" s="158"/>
      <c r="O132" s="158"/>
      <c r="P132" s="158"/>
      <c r="Q132" s="158"/>
    </row>
    <row r="133">
      <c r="D133" s="158"/>
      <c r="E133" s="158"/>
      <c r="F133" s="158"/>
      <c r="G133" s="158"/>
      <c r="H133" s="158"/>
      <c r="I133" s="158"/>
      <c r="J133" s="158"/>
      <c r="K133" s="158"/>
      <c r="L133" s="158"/>
      <c r="M133" s="158"/>
      <c r="N133" s="158"/>
      <c r="O133" s="158"/>
      <c r="P133" s="158"/>
      <c r="Q133" s="158"/>
    </row>
    <row r="134">
      <c r="D134" s="158"/>
      <c r="E134" s="158"/>
      <c r="F134" s="158"/>
      <c r="G134" s="158"/>
      <c r="H134" s="158"/>
      <c r="I134" s="158"/>
      <c r="J134" s="158"/>
      <c r="K134" s="158"/>
      <c r="L134" s="158"/>
      <c r="M134" s="158"/>
      <c r="N134" s="158"/>
      <c r="O134" s="158"/>
      <c r="P134" s="158"/>
      <c r="Q134" s="158"/>
    </row>
    <row r="135">
      <c r="D135" s="158"/>
      <c r="E135" s="158"/>
      <c r="F135" s="158"/>
      <c r="G135" s="158"/>
      <c r="H135" s="158"/>
      <c r="I135" s="158"/>
      <c r="J135" s="158"/>
      <c r="K135" s="158"/>
      <c r="L135" s="158"/>
      <c r="M135" s="158"/>
      <c r="N135" s="158"/>
      <c r="O135" s="158"/>
      <c r="P135" s="158"/>
      <c r="Q135" s="158"/>
    </row>
    <row r="136">
      <c r="D136" s="158"/>
      <c r="E136" s="158"/>
      <c r="F136" s="158"/>
      <c r="G136" s="158"/>
      <c r="H136" s="158"/>
      <c r="I136" s="158"/>
      <c r="J136" s="158"/>
      <c r="K136" s="158"/>
      <c r="L136" s="158"/>
      <c r="M136" s="158"/>
      <c r="N136" s="158"/>
      <c r="O136" s="158"/>
      <c r="P136" s="158"/>
      <c r="Q136" s="158"/>
    </row>
    <row r="137">
      <c r="D137" s="158"/>
      <c r="E137" s="158"/>
      <c r="F137" s="158"/>
      <c r="G137" s="158"/>
      <c r="H137" s="158"/>
      <c r="I137" s="158"/>
      <c r="J137" s="158"/>
      <c r="K137" s="158"/>
      <c r="L137" s="158"/>
      <c r="M137" s="158"/>
      <c r="N137" s="158"/>
      <c r="O137" s="158"/>
      <c r="P137" s="158"/>
      <c r="Q137" s="158"/>
    </row>
    <row r="138">
      <c r="D138" s="158"/>
      <c r="E138" s="158"/>
      <c r="F138" s="158"/>
      <c r="G138" s="158"/>
      <c r="H138" s="158"/>
      <c r="I138" s="158"/>
      <c r="J138" s="158"/>
      <c r="K138" s="158"/>
      <c r="L138" s="158"/>
      <c r="M138" s="158"/>
      <c r="N138" s="158"/>
      <c r="O138" s="158"/>
      <c r="P138" s="158"/>
      <c r="Q138" s="158"/>
    </row>
    <row r="139">
      <c r="D139" s="158"/>
      <c r="E139" s="158"/>
      <c r="F139" s="158"/>
      <c r="G139" s="158"/>
      <c r="H139" s="158"/>
      <c r="I139" s="158"/>
      <c r="J139" s="158"/>
      <c r="K139" s="158"/>
      <c r="L139" s="158"/>
      <c r="M139" s="158"/>
      <c r="N139" s="158"/>
      <c r="O139" s="158"/>
      <c r="P139" s="158"/>
      <c r="Q139" s="158"/>
    </row>
    <row r="140">
      <c r="D140" s="158"/>
      <c r="E140" s="158"/>
      <c r="F140" s="158"/>
      <c r="G140" s="158"/>
      <c r="H140" s="158"/>
      <c r="I140" s="158"/>
      <c r="J140" s="158"/>
      <c r="K140" s="158"/>
      <c r="L140" s="158"/>
      <c r="M140" s="158"/>
      <c r="N140" s="158"/>
      <c r="O140" s="158"/>
      <c r="P140" s="158"/>
      <c r="Q140" s="158"/>
    </row>
    <row r="141">
      <c r="D141" s="158"/>
      <c r="E141" s="158"/>
      <c r="F141" s="158"/>
      <c r="G141" s="158"/>
      <c r="H141" s="158"/>
      <c r="I141" s="158"/>
      <c r="J141" s="158"/>
      <c r="K141" s="158"/>
      <c r="L141" s="158"/>
      <c r="M141" s="158"/>
      <c r="N141" s="158"/>
      <c r="O141" s="158"/>
      <c r="P141" s="158"/>
      <c r="Q141" s="158"/>
    </row>
    <row r="142">
      <c r="D142" s="158"/>
      <c r="E142" s="158"/>
      <c r="F142" s="158"/>
      <c r="G142" s="158"/>
      <c r="H142" s="158"/>
      <c r="I142" s="158"/>
      <c r="J142" s="158"/>
      <c r="K142" s="158"/>
      <c r="L142" s="158"/>
      <c r="M142" s="158"/>
      <c r="N142" s="158"/>
      <c r="O142" s="158"/>
      <c r="P142" s="158"/>
      <c r="Q142" s="158"/>
    </row>
    <row r="143">
      <c r="D143" s="158"/>
      <c r="E143" s="158"/>
      <c r="F143" s="158"/>
      <c r="G143" s="158"/>
      <c r="H143" s="158"/>
      <c r="I143" s="158"/>
      <c r="J143" s="158"/>
      <c r="K143" s="158"/>
      <c r="L143" s="158"/>
      <c r="M143" s="158"/>
      <c r="N143" s="158"/>
      <c r="O143" s="158"/>
      <c r="P143" s="158"/>
      <c r="Q143" s="158"/>
    </row>
    <row r="144">
      <c r="D144" s="158"/>
      <c r="E144" s="158"/>
      <c r="F144" s="158"/>
      <c r="G144" s="158"/>
      <c r="H144" s="158"/>
      <c r="I144" s="158"/>
      <c r="J144" s="158"/>
      <c r="K144" s="158"/>
      <c r="L144" s="158"/>
      <c r="M144" s="158"/>
      <c r="N144" s="158"/>
      <c r="O144" s="158"/>
      <c r="P144" s="158"/>
      <c r="Q144" s="158"/>
    </row>
    <row r="145">
      <c r="D145" s="158"/>
      <c r="E145" s="158"/>
      <c r="F145" s="158"/>
      <c r="G145" s="158"/>
      <c r="H145" s="158"/>
      <c r="I145" s="158"/>
      <c r="J145" s="158"/>
      <c r="K145" s="158"/>
      <c r="L145" s="158"/>
      <c r="M145" s="158"/>
      <c r="N145" s="158"/>
      <c r="O145" s="158"/>
      <c r="P145" s="158"/>
      <c r="Q145" s="158"/>
    </row>
    <row r="146">
      <c r="D146" s="158"/>
      <c r="E146" s="158"/>
      <c r="F146" s="158"/>
      <c r="G146" s="158"/>
      <c r="H146" s="158"/>
      <c r="I146" s="158"/>
      <c r="J146" s="158"/>
      <c r="K146" s="158"/>
      <c r="L146" s="158"/>
      <c r="M146" s="158"/>
      <c r="N146" s="158"/>
      <c r="O146" s="158"/>
      <c r="P146" s="158"/>
      <c r="Q146" s="158"/>
    </row>
    <row r="147">
      <c r="D147" s="158"/>
      <c r="E147" s="158"/>
      <c r="F147" s="158"/>
      <c r="G147" s="158"/>
      <c r="H147" s="158"/>
      <c r="I147" s="158"/>
      <c r="J147" s="158"/>
      <c r="K147" s="158"/>
      <c r="L147" s="158"/>
      <c r="M147" s="158"/>
      <c r="N147" s="158"/>
      <c r="O147" s="158"/>
      <c r="P147" s="158"/>
      <c r="Q147" s="158"/>
    </row>
    <row r="148">
      <c r="D148" s="158"/>
      <c r="E148" s="158"/>
      <c r="F148" s="158"/>
      <c r="G148" s="158"/>
      <c r="H148" s="158"/>
      <c r="I148" s="158"/>
      <c r="J148" s="158"/>
      <c r="K148" s="158"/>
      <c r="L148" s="158"/>
      <c r="M148" s="158"/>
      <c r="N148" s="158"/>
      <c r="O148" s="158"/>
      <c r="P148" s="158"/>
      <c r="Q148" s="158"/>
    </row>
    <row r="149">
      <c r="D149" s="158"/>
      <c r="E149" s="158"/>
      <c r="F149" s="158"/>
      <c r="G149" s="158"/>
      <c r="H149" s="158"/>
      <c r="I149" s="158"/>
      <c r="J149" s="158"/>
      <c r="K149" s="158"/>
      <c r="L149" s="158"/>
      <c r="M149" s="158"/>
      <c r="N149" s="158"/>
      <c r="O149" s="158"/>
      <c r="P149" s="158"/>
      <c r="Q149" s="158"/>
    </row>
    <row r="150">
      <c r="D150" s="158"/>
      <c r="E150" s="158"/>
      <c r="F150" s="158"/>
      <c r="G150" s="158"/>
      <c r="H150" s="158"/>
      <c r="I150" s="158"/>
      <c r="J150" s="158"/>
      <c r="K150" s="158"/>
      <c r="L150" s="158"/>
      <c r="M150" s="158"/>
      <c r="N150" s="158"/>
      <c r="O150" s="158"/>
      <c r="P150" s="158"/>
      <c r="Q150" s="158"/>
    </row>
    <row r="151">
      <c r="D151" s="158"/>
      <c r="E151" s="158"/>
      <c r="F151" s="158"/>
      <c r="G151" s="158"/>
      <c r="H151" s="158"/>
      <c r="I151" s="158"/>
      <c r="J151" s="158"/>
      <c r="K151" s="158"/>
      <c r="L151" s="158"/>
      <c r="M151" s="158"/>
      <c r="N151" s="158"/>
      <c r="O151" s="158"/>
      <c r="P151" s="158"/>
      <c r="Q151" s="158"/>
    </row>
    <row r="152">
      <c r="D152" s="158"/>
      <c r="E152" s="158"/>
      <c r="F152" s="158"/>
      <c r="G152" s="158"/>
      <c r="H152" s="158"/>
      <c r="I152" s="158"/>
      <c r="J152" s="158"/>
      <c r="K152" s="158"/>
      <c r="L152" s="158"/>
      <c r="M152" s="158"/>
      <c r="N152" s="158"/>
      <c r="O152" s="158"/>
      <c r="P152" s="158"/>
      <c r="Q152" s="158"/>
    </row>
    <row r="153">
      <c r="D153" s="158"/>
      <c r="E153" s="158"/>
      <c r="F153" s="158"/>
      <c r="G153" s="158"/>
      <c r="H153" s="158"/>
      <c r="I153" s="158"/>
      <c r="J153" s="158"/>
      <c r="K153" s="158"/>
      <c r="L153" s="158"/>
      <c r="M153" s="158"/>
      <c r="N153" s="158"/>
      <c r="O153" s="158"/>
      <c r="P153" s="158"/>
      <c r="Q153" s="158"/>
    </row>
    <row r="154">
      <c r="D154" s="158"/>
      <c r="E154" s="158"/>
      <c r="F154" s="158"/>
      <c r="G154" s="158"/>
      <c r="H154" s="158"/>
      <c r="I154" s="158"/>
      <c r="J154" s="158"/>
      <c r="K154" s="158"/>
      <c r="L154" s="158"/>
      <c r="M154" s="158"/>
      <c r="N154" s="158"/>
      <c r="O154" s="158"/>
      <c r="P154" s="158"/>
      <c r="Q154" s="158"/>
    </row>
    <row r="155">
      <c r="D155" s="158"/>
      <c r="E155" s="158"/>
      <c r="F155" s="158"/>
      <c r="G155" s="158"/>
      <c r="H155" s="158"/>
      <c r="I155" s="158"/>
      <c r="J155" s="158"/>
      <c r="K155" s="158"/>
      <c r="L155" s="158"/>
      <c r="M155" s="158"/>
      <c r="N155" s="158"/>
      <c r="O155" s="158"/>
      <c r="P155" s="158"/>
      <c r="Q155" s="158"/>
    </row>
    <row r="156">
      <c r="D156" s="158"/>
      <c r="E156" s="158"/>
      <c r="F156" s="158"/>
      <c r="G156" s="158"/>
      <c r="H156" s="158"/>
      <c r="I156" s="158"/>
      <c r="J156" s="158"/>
      <c r="K156" s="158"/>
      <c r="L156" s="158"/>
      <c r="M156" s="158"/>
      <c r="N156" s="158"/>
      <c r="O156" s="158"/>
      <c r="P156" s="158"/>
      <c r="Q156" s="158"/>
    </row>
    <row r="157">
      <c r="D157" s="158"/>
      <c r="E157" s="158"/>
      <c r="F157" s="158"/>
      <c r="G157" s="158"/>
      <c r="H157" s="158"/>
      <c r="I157" s="158"/>
      <c r="J157" s="158"/>
      <c r="K157" s="158"/>
      <c r="L157" s="158"/>
      <c r="M157" s="158"/>
      <c r="N157" s="158"/>
      <c r="O157" s="158"/>
      <c r="P157" s="158"/>
      <c r="Q157" s="158"/>
    </row>
    <row r="158">
      <c r="D158" s="158"/>
      <c r="E158" s="158"/>
      <c r="F158" s="158"/>
      <c r="G158" s="158"/>
      <c r="H158" s="158"/>
      <c r="I158" s="158"/>
      <c r="J158" s="158"/>
      <c r="K158" s="158"/>
      <c r="L158" s="158"/>
      <c r="M158" s="158"/>
      <c r="N158" s="158"/>
      <c r="O158" s="158"/>
      <c r="P158" s="158"/>
      <c r="Q158" s="158"/>
    </row>
    <row r="159">
      <c r="D159" s="158"/>
      <c r="E159" s="158"/>
      <c r="F159" s="158"/>
      <c r="G159" s="158"/>
      <c r="H159" s="158"/>
      <c r="I159" s="158"/>
      <c r="J159" s="158"/>
      <c r="K159" s="158"/>
      <c r="L159" s="158"/>
      <c r="M159" s="158"/>
      <c r="N159" s="158"/>
      <c r="O159" s="158"/>
      <c r="P159" s="158"/>
      <c r="Q159" s="158"/>
    </row>
    <row r="160">
      <c r="D160" s="158"/>
      <c r="E160" s="158"/>
      <c r="F160" s="158"/>
      <c r="G160" s="158"/>
      <c r="H160" s="158"/>
      <c r="I160" s="158"/>
      <c r="J160" s="158"/>
      <c r="K160" s="158"/>
      <c r="L160" s="158"/>
      <c r="M160" s="158"/>
      <c r="N160" s="158"/>
      <c r="O160" s="158"/>
      <c r="P160" s="158"/>
      <c r="Q160" s="158"/>
    </row>
    <row r="161">
      <c r="D161" s="158"/>
      <c r="E161" s="158"/>
      <c r="F161" s="158"/>
      <c r="G161" s="158"/>
      <c r="H161" s="158"/>
      <c r="I161" s="158"/>
      <c r="J161" s="158"/>
      <c r="K161" s="158"/>
      <c r="L161" s="158"/>
      <c r="M161" s="158"/>
      <c r="N161" s="158"/>
      <c r="O161" s="158"/>
      <c r="P161" s="158"/>
      <c r="Q161" s="158"/>
    </row>
    <row r="162">
      <c r="D162" s="158"/>
      <c r="E162" s="158"/>
      <c r="F162" s="158"/>
      <c r="G162" s="158"/>
      <c r="H162" s="158"/>
      <c r="I162" s="158"/>
      <c r="J162" s="158"/>
      <c r="K162" s="158"/>
      <c r="L162" s="158"/>
      <c r="M162" s="158"/>
      <c r="N162" s="158"/>
      <c r="O162" s="158"/>
      <c r="P162" s="158"/>
      <c r="Q162" s="158"/>
    </row>
    <row r="163">
      <c r="D163" s="158"/>
      <c r="E163" s="158"/>
      <c r="F163" s="158"/>
      <c r="G163" s="158"/>
      <c r="H163" s="158"/>
      <c r="I163" s="158"/>
      <c r="J163" s="158"/>
      <c r="K163" s="158"/>
      <c r="L163" s="158"/>
      <c r="M163" s="158"/>
      <c r="N163" s="158"/>
      <c r="O163" s="158"/>
      <c r="P163" s="158"/>
      <c r="Q163" s="158"/>
    </row>
    <row r="164">
      <c r="D164" s="158"/>
      <c r="E164" s="158"/>
      <c r="F164" s="158"/>
      <c r="G164" s="158"/>
      <c r="H164" s="158"/>
      <c r="I164" s="158"/>
      <c r="J164" s="158"/>
      <c r="K164" s="158"/>
      <c r="L164" s="158"/>
      <c r="M164" s="158"/>
      <c r="N164" s="158"/>
      <c r="O164" s="158"/>
      <c r="P164" s="158"/>
      <c r="Q164" s="158"/>
    </row>
    <row r="165">
      <c r="D165" s="158"/>
      <c r="E165" s="158"/>
      <c r="F165" s="158"/>
      <c r="G165" s="158"/>
      <c r="H165" s="158"/>
      <c r="I165" s="158"/>
      <c r="J165" s="158"/>
      <c r="K165" s="158"/>
      <c r="L165" s="158"/>
      <c r="M165" s="158"/>
      <c r="N165" s="158"/>
      <c r="O165" s="158"/>
      <c r="P165" s="158"/>
      <c r="Q165" s="158"/>
    </row>
    <row r="166">
      <c r="D166" s="158"/>
      <c r="E166" s="158"/>
      <c r="F166" s="158"/>
      <c r="G166" s="158"/>
      <c r="H166" s="158"/>
      <c r="I166" s="158"/>
      <c r="J166" s="158"/>
      <c r="K166" s="158"/>
      <c r="L166" s="158"/>
      <c r="M166" s="158"/>
      <c r="N166" s="158"/>
      <c r="O166" s="158"/>
      <c r="P166" s="158"/>
      <c r="Q166" s="158"/>
    </row>
    <row r="167">
      <c r="D167" s="158"/>
      <c r="E167" s="158"/>
      <c r="F167" s="158"/>
      <c r="G167" s="158"/>
      <c r="H167" s="158"/>
      <c r="I167" s="158"/>
      <c r="J167" s="158"/>
      <c r="K167" s="158"/>
      <c r="L167" s="158"/>
      <c r="M167" s="158"/>
      <c r="N167" s="158"/>
      <c r="O167" s="158"/>
      <c r="P167" s="158"/>
      <c r="Q167" s="158"/>
    </row>
    <row r="168">
      <c r="D168" s="158"/>
      <c r="E168" s="158"/>
      <c r="F168" s="158"/>
      <c r="G168" s="158"/>
      <c r="H168" s="158"/>
      <c r="I168" s="158"/>
      <c r="J168" s="158"/>
      <c r="K168" s="158"/>
      <c r="L168" s="158"/>
      <c r="M168" s="158"/>
      <c r="N168" s="158"/>
      <c r="O168" s="158"/>
      <c r="P168" s="158"/>
      <c r="Q168" s="158"/>
    </row>
    <row r="169">
      <c r="D169" s="158"/>
      <c r="E169" s="158"/>
      <c r="F169" s="158"/>
      <c r="G169" s="158"/>
      <c r="H169" s="158"/>
      <c r="I169" s="158"/>
      <c r="J169" s="158"/>
      <c r="K169" s="158"/>
      <c r="L169" s="158"/>
      <c r="M169" s="158"/>
      <c r="N169" s="158"/>
      <c r="O169" s="158"/>
      <c r="P169" s="158"/>
      <c r="Q169" s="158"/>
    </row>
    <row r="170">
      <c r="D170" s="158"/>
      <c r="E170" s="158"/>
      <c r="F170" s="158"/>
      <c r="G170" s="158"/>
      <c r="H170" s="158"/>
      <c r="I170" s="158"/>
      <c r="J170" s="158"/>
      <c r="K170" s="158"/>
      <c r="L170" s="158"/>
      <c r="M170" s="158"/>
      <c r="N170" s="158"/>
      <c r="O170" s="158"/>
      <c r="P170" s="158"/>
      <c r="Q170" s="158"/>
    </row>
    <row r="171">
      <c r="D171" s="158"/>
      <c r="E171" s="158"/>
      <c r="F171" s="158"/>
      <c r="G171" s="158"/>
      <c r="H171" s="158"/>
      <c r="I171" s="158"/>
      <c r="J171" s="158"/>
      <c r="K171" s="158"/>
      <c r="L171" s="158"/>
      <c r="M171" s="158"/>
      <c r="N171" s="158"/>
      <c r="O171" s="158"/>
      <c r="P171" s="158"/>
      <c r="Q171" s="158"/>
    </row>
    <row r="172">
      <c r="D172" s="158"/>
      <c r="E172" s="158"/>
      <c r="F172" s="158"/>
      <c r="G172" s="158"/>
      <c r="H172" s="158"/>
      <c r="I172" s="158"/>
      <c r="J172" s="158"/>
      <c r="K172" s="158"/>
      <c r="L172" s="158"/>
      <c r="M172" s="158"/>
      <c r="N172" s="158"/>
      <c r="O172" s="158"/>
      <c r="P172" s="158"/>
      <c r="Q172" s="158"/>
    </row>
    <row r="173">
      <c r="D173" s="158"/>
      <c r="E173" s="158"/>
      <c r="F173" s="158"/>
      <c r="G173" s="158"/>
      <c r="H173" s="158"/>
      <c r="I173" s="158"/>
      <c r="J173" s="158"/>
      <c r="K173" s="158"/>
      <c r="L173" s="158"/>
      <c r="M173" s="158"/>
      <c r="N173" s="158"/>
      <c r="O173" s="158"/>
      <c r="P173" s="158"/>
      <c r="Q173" s="158"/>
    </row>
    <row r="174">
      <c r="D174" s="158"/>
      <c r="E174" s="158"/>
      <c r="F174" s="158"/>
      <c r="G174" s="158"/>
      <c r="H174" s="158"/>
      <c r="I174" s="158"/>
      <c r="J174" s="158"/>
      <c r="K174" s="158"/>
      <c r="L174" s="158"/>
      <c r="M174" s="158"/>
      <c r="N174" s="158"/>
      <c r="O174" s="158"/>
      <c r="P174" s="158"/>
      <c r="Q174" s="158"/>
    </row>
    <row r="175">
      <c r="D175" s="158"/>
      <c r="E175" s="158"/>
      <c r="F175" s="158"/>
      <c r="G175" s="158"/>
      <c r="H175" s="158"/>
      <c r="I175" s="158"/>
      <c r="J175" s="158"/>
      <c r="K175" s="158"/>
      <c r="L175" s="158"/>
      <c r="M175" s="158"/>
      <c r="N175" s="158"/>
      <c r="O175" s="158"/>
      <c r="P175" s="158"/>
      <c r="Q175" s="158"/>
    </row>
    <row r="176">
      <c r="D176" s="158"/>
      <c r="E176" s="158"/>
      <c r="F176" s="158"/>
      <c r="G176" s="158"/>
      <c r="H176" s="158"/>
      <c r="I176" s="158"/>
      <c r="J176" s="158"/>
      <c r="K176" s="158"/>
      <c r="L176" s="158"/>
      <c r="M176" s="158"/>
      <c r="N176" s="158"/>
      <c r="O176" s="158"/>
      <c r="P176" s="158"/>
      <c r="Q176" s="158"/>
    </row>
    <row r="177">
      <c r="D177" s="158"/>
      <c r="E177" s="158"/>
      <c r="F177" s="158"/>
      <c r="G177" s="158"/>
      <c r="H177" s="158"/>
      <c r="I177" s="158"/>
      <c r="J177" s="158"/>
      <c r="K177" s="158"/>
      <c r="L177" s="158"/>
      <c r="M177" s="158"/>
      <c r="N177" s="158"/>
      <c r="O177" s="158"/>
      <c r="P177" s="158"/>
      <c r="Q177" s="158"/>
    </row>
    <row r="178">
      <c r="D178" s="158"/>
      <c r="E178" s="158"/>
      <c r="F178" s="158"/>
      <c r="G178" s="158"/>
      <c r="H178" s="158"/>
      <c r="I178" s="158"/>
      <c r="J178" s="158"/>
      <c r="K178" s="158"/>
      <c r="L178" s="158"/>
      <c r="M178" s="158"/>
      <c r="N178" s="158"/>
      <c r="O178" s="158"/>
      <c r="P178" s="158"/>
      <c r="Q178" s="158"/>
    </row>
    <row r="179">
      <c r="D179" s="158"/>
      <c r="E179" s="158"/>
      <c r="F179" s="158"/>
      <c r="G179" s="158"/>
      <c r="H179" s="158"/>
      <c r="I179" s="158"/>
      <c r="J179" s="158"/>
      <c r="K179" s="158"/>
      <c r="L179" s="158"/>
      <c r="M179" s="158"/>
      <c r="N179" s="158"/>
      <c r="O179" s="158"/>
      <c r="P179" s="158"/>
      <c r="Q179" s="158"/>
    </row>
    <row r="180">
      <c r="D180" s="158"/>
      <c r="E180" s="158"/>
      <c r="F180" s="158"/>
      <c r="G180" s="158"/>
      <c r="H180" s="158"/>
      <c r="I180" s="158"/>
      <c r="J180" s="158"/>
      <c r="K180" s="158"/>
      <c r="L180" s="158"/>
      <c r="M180" s="158"/>
      <c r="N180" s="158"/>
      <c r="O180" s="158"/>
      <c r="P180" s="158"/>
      <c r="Q180" s="158"/>
    </row>
    <row r="181">
      <c r="D181" s="158"/>
      <c r="E181" s="158"/>
      <c r="F181" s="158"/>
      <c r="G181" s="158"/>
      <c r="H181" s="158"/>
      <c r="I181" s="158"/>
      <c r="J181" s="158"/>
      <c r="K181" s="158"/>
      <c r="L181" s="158"/>
      <c r="M181" s="158"/>
      <c r="N181" s="158"/>
      <c r="O181" s="158"/>
      <c r="P181" s="158"/>
      <c r="Q181" s="158"/>
    </row>
    <row r="182">
      <c r="D182" s="158"/>
      <c r="E182" s="158"/>
      <c r="F182" s="158"/>
      <c r="G182" s="158"/>
      <c r="H182" s="158"/>
      <c r="I182" s="158"/>
      <c r="J182" s="158"/>
      <c r="K182" s="158"/>
      <c r="L182" s="158"/>
      <c r="M182" s="158"/>
      <c r="N182" s="158"/>
      <c r="O182" s="158"/>
      <c r="P182" s="158"/>
      <c r="Q182" s="158"/>
    </row>
    <row r="183">
      <c r="D183" s="158"/>
      <c r="E183" s="158"/>
      <c r="F183" s="158"/>
      <c r="G183" s="158"/>
      <c r="H183" s="158"/>
      <c r="I183" s="158"/>
      <c r="J183" s="158"/>
      <c r="K183" s="158"/>
      <c r="L183" s="158"/>
      <c r="M183" s="158"/>
      <c r="N183" s="158"/>
      <c r="O183" s="158"/>
      <c r="P183" s="158"/>
      <c r="Q183" s="158"/>
    </row>
    <row r="184">
      <c r="D184" s="158"/>
      <c r="E184" s="158"/>
      <c r="F184" s="158"/>
      <c r="G184" s="158"/>
      <c r="H184" s="158"/>
      <c r="I184" s="158"/>
      <c r="J184" s="158"/>
      <c r="K184" s="158"/>
      <c r="L184" s="158"/>
      <c r="M184" s="158"/>
      <c r="N184" s="158"/>
      <c r="O184" s="158"/>
      <c r="P184" s="158"/>
      <c r="Q184" s="158"/>
    </row>
    <row r="185">
      <c r="D185" s="158"/>
      <c r="E185" s="158"/>
      <c r="F185" s="158"/>
      <c r="G185" s="158"/>
      <c r="H185" s="158"/>
      <c r="I185" s="158"/>
      <c r="J185" s="158"/>
      <c r="K185" s="158"/>
      <c r="L185" s="158"/>
      <c r="M185" s="158"/>
      <c r="N185" s="158"/>
      <c r="O185" s="158"/>
      <c r="P185" s="158"/>
      <c r="Q185" s="158"/>
    </row>
    <row r="186">
      <c r="D186" s="158"/>
      <c r="E186" s="158"/>
      <c r="F186" s="158"/>
      <c r="G186" s="158"/>
      <c r="H186" s="158"/>
      <c r="I186" s="158"/>
      <c r="J186" s="158"/>
      <c r="K186" s="158"/>
      <c r="L186" s="158"/>
      <c r="M186" s="158"/>
      <c r="N186" s="158"/>
      <c r="O186" s="158"/>
      <c r="P186" s="158"/>
      <c r="Q186" s="158"/>
    </row>
    <row r="187">
      <c r="D187" s="158"/>
      <c r="E187" s="158"/>
      <c r="F187" s="158"/>
      <c r="G187" s="158"/>
      <c r="H187" s="158"/>
      <c r="I187" s="158"/>
      <c r="J187" s="158"/>
      <c r="K187" s="158"/>
      <c r="L187" s="158"/>
      <c r="M187" s="158"/>
      <c r="N187" s="158"/>
      <c r="O187" s="158"/>
      <c r="P187" s="158"/>
      <c r="Q187" s="158"/>
    </row>
    <row r="188">
      <c r="D188" s="158"/>
      <c r="E188" s="158"/>
      <c r="F188" s="158"/>
      <c r="G188" s="158"/>
      <c r="H188" s="158"/>
      <c r="I188" s="158"/>
      <c r="J188" s="158"/>
      <c r="K188" s="158"/>
      <c r="L188" s="158"/>
      <c r="M188" s="158"/>
      <c r="N188" s="158"/>
      <c r="O188" s="158"/>
      <c r="P188" s="158"/>
      <c r="Q188" s="158"/>
    </row>
    <row r="189">
      <c r="D189" s="158"/>
      <c r="E189" s="158"/>
      <c r="F189" s="158"/>
      <c r="G189" s="158"/>
      <c r="H189" s="158"/>
      <c r="I189" s="158"/>
      <c r="J189" s="158"/>
      <c r="K189" s="158"/>
      <c r="L189" s="158"/>
      <c r="M189" s="158"/>
      <c r="N189" s="158"/>
      <c r="O189" s="158"/>
      <c r="P189" s="158"/>
      <c r="Q189" s="158"/>
    </row>
    <row r="190">
      <c r="D190" s="158"/>
      <c r="E190" s="158"/>
      <c r="F190" s="158"/>
      <c r="G190" s="158"/>
      <c r="H190" s="158"/>
      <c r="I190" s="158"/>
      <c r="J190" s="158"/>
      <c r="K190" s="158"/>
      <c r="L190" s="158"/>
      <c r="M190" s="158"/>
      <c r="N190" s="158"/>
      <c r="O190" s="158"/>
      <c r="P190" s="158"/>
      <c r="Q190" s="158"/>
    </row>
    <row r="191">
      <c r="D191" s="158"/>
      <c r="E191" s="158"/>
      <c r="F191" s="158"/>
      <c r="G191" s="158"/>
      <c r="H191" s="158"/>
      <c r="I191" s="158"/>
      <c r="J191" s="158"/>
      <c r="K191" s="158"/>
      <c r="L191" s="158"/>
      <c r="M191" s="158"/>
      <c r="N191" s="158"/>
      <c r="O191" s="158"/>
      <c r="P191" s="158"/>
      <c r="Q191" s="158"/>
    </row>
    <row r="192">
      <c r="D192" s="158"/>
      <c r="E192" s="158"/>
      <c r="F192" s="158"/>
      <c r="G192" s="158"/>
      <c r="H192" s="158"/>
      <c r="I192" s="158"/>
      <c r="J192" s="158"/>
      <c r="K192" s="158"/>
      <c r="L192" s="158"/>
      <c r="M192" s="158"/>
      <c r="N192" s="158"/>
      <c r="O192" s="158"/>
      <c r="P192" s="158"/>
      <c r="Q192" s="158"/>
    </row>
    <row r="193">
      <c r="D193" s="158"/>
      <c r="E193" s="158"/>
      <c r="F193" s="158"/>
      <c r="G193" s="158"/>
      <c r="H193" s="158"/>
      <c r="I193" s="158"/>
      <c r="J193" s="158"/>
      <c r="K193" s="158"/>
      <c r="L193" s="158"/>
      <c r="M193" s="158"/>
      <c r="N193" s="158"/>
      <c r="O193" s="158"/>
      <c r="P193" s="158"/>
      <c r="Q193" s="158"/>
    </row>
    <row r="194">
      <c r="D194" s="158"/>
      <c r="E194" s="158"/>
      <c r="F194" s="158"/>
      <c r="G194" s="158"/>
      <c r="H194" s="158"/>
      <c r="I194" s="158"/>
      <c r="J194" s="158"/>
      <c r="K194" s="158"/>
      <c r="L194" s="158"/>
      <c r="M194" s="158"/>
      <c r="N194" s="158"/>
      <c r="O194" s="158"/>
      <c r="P194" s="158"/>
      <c r="Q194" s="158"/>
    </row>
    <row r="195">
      <c r="D195" s="158"/>
      <c r="E195" s="158"/>
      <c r="F195" s="158"/>
      <c r="G195" s="158"/>
      <c r="H195" s="158"/>
      <c r="I195" s="158"/>
      <c r="J195" s="158"/>
      <c r="K195" s="158"/>
      <c r="L195" s="158"/>
      <c r="M195" s="158"/>
      <c r="N195" s="158"/>
      <c r="O195" s="158"/>
      <c r="P195" s="158"/>
      <c r="Q195" s="158"/>
    </row>
    <row r="196">
      <c r="D196" s="158"/>
      <c r="E196" s="158"/>
      <c r="F196" s="158"/>
      <c r="G196" s="158"/>
      <c r="H196" s="158"/>
      <c r="I196" s="158"/>
      <c r="J196" s="158"/>
      <c r="K196" s="158"/>
      <c r="L196" s="158"/>
      <c r="M196" s="158"/>
      <c r="N196" s="158"/>
      <c r="O196" s="158"/>
      <c r="P196" s="158"/>
      <c r="Q196" s="158"/>
    </row>
    <row r="197">
      <c r="D197" s="158"/>
      <c r="E197" s="158"/>
      <c r="F197" s="158"/>
      <c r="G197" s="158"/>
      <c r="H197" s="158"/>
      <c r="I197" s="158"/>
      <c r="J197" s="158"/>
      <c r="K197" s="158"/>
      <c r="L197" s="158"/>
      <c r="M197" s="158"/>
      <c r="N197" s="158"/>
      <c r="O197" s="158"/>
      <c r="P197" s="158"/>
      <c r="Q197" s="158"/>
    </row>
    <row r="198">
      <c r="D198" s="158"/>
      <c r="E198" s="158"/>
      <c r="F198" s="158"/>
      <c r="G198" s="158"/>
      <c r="H198" s="158"/>
      <c r="I198" s="158"/>
      <c r="J198" s="158"/>
      <c r="K198" s="158"/>
      <c r="L198" s="158"/>
      <c r="M198" s="158"/>
      <c r="N198" s="158"/>
      <c r="O198" s="158"/>
      <c r="P198" s="158"/>
      <c r="Q198" s="158"/>
    </row>
    <row r="199">
      <c r="D199" s="158"/>
      <c r="E199" s="158"/>
      <c r="F199" s="158"/>
      <c r="G199" s="158"/>
      <c r="H199" s="158"/>
      <c r="I199" s="158"/>
      <c r="J199" s="158"/>
      <c r="K199" s="158"/>
      <c r="L199" s="158"/>
      <c r="M199" s="158"/>
      <c r="N199" s="158"/>
      <c r="O199" s="158"/>
      <c r="P199" s="158"/>
      <c r="Q199" s="158"/>
    </row>
    <row r="200">
      <c r="D200" s="158"/>
      <c r="E200" s="158"/>
      <c r="F200" s="158"/>
      <c r="G200" s="158"/>
      <c r="H200" s="158"/>
      <c r="I200" s="158"/>
      <c r="J200" s="158"/>
      <c r="K200" s="158"/>
      <c r="L200" s="158"/>
      <c r="M200" s="158"/>
      <c r="N200" s="158"/>
      <c r="O200" s="158"/>
      <c r="P200" s="158"/>
      <c r="Q200" s="158"/>
    </row>
    <row r="201">
      <c r="D201" s="158"/>
      <c r="E201" s="158"/>
      <c r="F201" s="158"/>
      <c r="G201" s="158"/>
      <c r="H201" s="158"/>
      <c r="I201" s="158"/>
      <c r="J201" s="158"/>
      <c r="K201" s="158"/>
      <c r="L201" s="158"/>
      <c r="M201" s="158"/>
      <c r="N201" s="158"/>
      <c r="O201" s="158"/>
      <c r="P201" s="158"/>
      <c r="Q201" s="158"/>
    </row>
    <row r="202">
      <c r="D202" s="158"/>
      <c r="E202" s="158"/>
      <c r="F202" s="158"/>
      <c r="G202" s="158"/>
      <c r="H202" s="158"/>
      <c r="I202" s="158"/>
      <c r="J202" s="158"/>
      <c r="K202" s="158"/>
      <c r="L202" s="158"/>
      <c r="M202" s="158"/>
      <c r="N202" s="158"/>
      <c r="O202" s="158"/>
      <c r="P202" s="158"/>
      <c r="Q202" s="158"/>
    </row>
    <row r="203">
      <c r="D203" s="158"/>
      <c r="E203" s="158"/>
      <c r="F203" s="158"/>
      <c r="G203" s="158"/>
      <c r="H203" s="158"/>
      <c r="I203" s="158"/>
      <c r="J203" s="158"/>
      <c r="K203" s="158"/>
      <c r="L203" s="158"/>
      <c r="M203" s="158"/>
      <c r="N203" s="158"/>
      <c r="O203" s="158"/>
      <c r="P203" s="158"/>
      <c r="Q203" s="158"/>
    </row>
    <row r="204">
      <c r="D204" s="158"/>
      <c r="E204" s="158"/>
      <c r="F204" s="158"/>
      <c r="G204" s="158"/>
      <c r="H204" s="158"/>
      <c r="I204" s="158"/>
      <c r="J204" s="158"/>
      <c r="K204" s="158"/>
      <c r="L204" s="158"/>
      <c r="M204" s="158"/>
      <c r="N204" s="158"/>
      <c r="O204" s="158"/>
      <c r="P204" s="158"/>
      <c r="Q204" s="158"/>
    </row>
    <row r="205">
      <c r="D205" s="158"/>
      <c r="E205" s="158"/>
      <c r="F205" s="158"/>
      <c r="G205" s="158"/>
      <c r="H205" s="158"/>
      <c r="I205" s="158"/>
      <c r="J205" s="158"/>
      <c r="K205" s="158"/>
      <c r="L205" s="158"/>
      <c r="M205" s="158"/>
      <c r="N205" s="158"/>
      <c r="O205" s="158"/>
      <c r="P205" s="158"/>
      <c r="Q205" s="158"/>
    </row>
    <row r="206">
      <c r="D206" s="158"/>
      <c r="E206" s="158"/>
      <c r="F206" s="158"/>
      <c r="G206" s="158"/>
      <c r="H206" s="158"/>
      <c r="I206" s="158"/>
      <c r="J206" s="158"/>
      <c r="K206" s="158"/>
      <c r="L206" s="158"/>
      <c r="M206" s="158"/>
      <c r="N206" s="158"/>
      <c r="O206" s="158"/>
      <c r="P206" s="158"/>
      <c r="Q206" s="158"/>
    </row>
    <row r="207">
      <c r="D207" s="158"/>
      <c r="E207" s="158"/>
      <c r="F207" s="158"/>
      <c r="G207" s="158"/>
      <c r="H207" s="158"/>
      <c r="I207" s="158"/>
      <c r="J207" s="158"/>
      <c r="K207" s="158"/>
      <c r="L207" s="158"/>
      <c r="M207" s="158"/>
      <c r="N207" s="158"/>
      <c r="O207" s="158"/>
      <c r="P207" s="158"/>
      <c r="Q207" s="158"/>
    </row>
    <row r="208">
      <c r="D208" s="158"/>
      <c r="E208" s="158"/>
      <c r="F208" s="158"/>
      <c r="G208" s="158"/>
      <c r="H208" s="158"/>
      <c r="I208" s="158"/>
      <c r="J208" s="158"/>
      <c r="K208" s="158"/>
      <c r="L208" s="158"/>
      <c r="M208" s="158"/>
      <c r="N208" s="158"/>
      <c r="O208" s="158"/>
      <c r="P208" s="158"/>
      <c r="Q208" s="158"/>
    </row>
    <row r="209">
      <c r="D209" s="158"/>
      <c r="E209" s="158"/>
      <c r="F209" s="158"/>
      <c r="G209" s="158"/>
      <c r="H209" s="158"/>
      <c r="I209" s="158"/>
      <c r="J209" s="158"/>
      <c r="K209" s="158"/>
      <c r="L209" s="158"/>
      <c r="M209" s="158"/>
      <c r="N209" s="158"/>
      <c r="O209" s="158"/>
      <c r="P209" s="158"/>
      <c r="Q209" s="158"/>
    </row>
    <row r="210">
      <c r="D210" s="158"/>
      <c r="E210" s="158"/>
      <c r="F210" s="158"/>
      <c r="G210" s="158"/>
      <c r="H210" s="158"/>
      <c r="I210" s="158"/>
      <c r="J210" s="158"/>
      <c r="K210" s="158"/>
      <c r="L210" s="158"/>
      <c r="M210" s="158"/>
      <c r="N210" s="158"/>
      <c r="O210" s="158"/>
      <c r="P210" s="158"/>
      <c r="Q210" s="158"/>
    </row>
    <row r="211">
      <c r="D211" s="158"/>
      <c r="E211" s="158"/>
      <c r="F211" s="158"/>
      <c r="G211" s="158"/>
      <c r="H211" s="158"/>
      <c r="I211" s="158"/>
      <c r="J211" s="158"/>
      <c r="K211" s="158"/>
      <c r="L211" s="158"/>
      <c r="M211" s="158"/>
      <c r="N211" s="158"/>
      <c r="O211" s="158"/>
      <c r="P211" s="158"/>
      <c r="Q211" s="158"/>
    </row>
    <row r="212">
      <c r="D212" s="158"/>
      <c r="E212" s="158"/>
      <c r="F212" s="158"/>
      <c r="G212" s="158"/>
      <c r="H212" s="158"/>
      <c r="I212" s="158"/>
      <c r="J212" s="158"/>
      <c r="K212" s="158"/>
      <c r="L212" s="158"/>
      <c r="M212" s="158"/>
      <c r="N212" s="158"/>
      <c r="O212" s="158"/>
      <c r="P212" s="158"/>
      <c r="Q212" s="158"/>
    </row>
    <row r="213">
      <c r="D213" s="158"/>
      <c r="E213" s="158"/>
      <c r="F213" s="158"/>
      <c r="G213" s="158"/>
      <c r="H213" s="158"/>
      <c r="I213" s="158"/>
      <c r="J213" s="158"/>
      <c r="K213" s="158"/>
      <c r="L213" s="158"/>
      <c r="M213" s="158"/>
      <c r="N213" s="158"/>
      <c r="O213" s="158"/>
      <c r="P213" s="158"/>
      <c r="Q213" s="158"/>
    </row>
    <row r="214">
      <c r="D214" s="158"/>
      <c r="E214" s="158"/>
      <c r="F214" s="158"/>
      <c r="G214" s="158"/>
      <c r="H214" s="158"/>
      <c r="I214" s="158"/>
      <c r="J214" s="158"/>
      <c r="K214" s="158"/>
      <c r="L214" s="158"/>
      <c r="M214" s="158"/>
      <c r="N214" s="158"/>
      <c r="O214" s="158"/>
      <c r="P214" s="158"/>
      <c r="Q214" s="158"/>
    </row>
    <row r="215">
      <c r="D215" s="158"/>
      <c r="E215" s="158"/>
      <c r="F215" s="158"/>
      <c r="G215" s="158"/>
      <c r="H215" s="158"/>
      <c r="I215" s="158"/>
      <c r="J215" s="158"/>
      <c r="K215" s="158"/>
      <c r="L215" s="158"/>
      <c r="M215" s="158"/>
      <c r="N215" s="158"/>
      <c r="O215" s="158"/>
      <c r="P215" s="158"/>
      <c r="Q215" s="158"/>
    </row>
    <row r="216">
      <c r="D216" s="158"/>
      <c r="E216" s="158"/>
      <c r="F216" s="158"/>
      <c r="G216" s="158"/>
      <c r="H216" s="158"/>
      <c r="I216" s="158"/>
      <c r="J216" s="158"/>
      <c r="K216" s="158"/>
      <c r="L216" s="158"/>
      <c r="M216" s="158"/>
      <c r="N216" s="158"/>
      <c r="O216" s="158"/>
      <c r="P216" s="158"/>
      <c r="Q216" s="158"/>
    </row>
    <row r="217">
      <c r="D217" s="158"/>
      <c r="E217" s="158"/>
      <c r="F217" s="158"/>
      <c r="G217" s="158"/>
      <c r="H217" s="158"/>
      <c r="I217" s="158"/>
      <c r="J217" s="158"/>
      <c r="K217" s="158"/>
      <c r="L217" s="158"/>
      <c r="M217" s="158"/>
      <c r="N217" s="158"/>
      <c r="O217" s="158"/>
      <c r="P217" s="158"/>
      <c r="Q217" s="158"/>
    </row>
    <row r="218">
      <c r="D218" s="158"/>
      <c r="E218" s="158"/>
      <c r="F218" s="158"/>
      <c r="G218" s="158"/>
      <c r="H218" s="158"/>
      <c r="I218" s="158"/>
      <c r="J218" s="158"/>
      <c r="K218" s="158"/>
      <c r="L218" s="158"/>
      <c r="M218" s="158"/>
      <c r="N218" s="158"/>
      <c r="O218" s="158"/>
      <c r="P218" s="158"/>
      <c r="Q218" s="158"/>
    </row>
    <row r="219">
      <c r="D219" s="158"/>
      <c r="E219" s="158"/>
      <c r="F219" s="158"/>
      <c r="G219" s="158"/>
      <c r="H219" s="158"/>
      <c r="I219" s="158"/>
      <c r="J219" s="158"/>
      <c r="K219" s="158"/>
      <c r="L219" s="158"/>
      <c r="M219" s="158"/>
      <c r="N219" s="158"/>
      <c r="O219" s="158"/>
      <c r="P219" s="158"/>
      <c r="Q219" s="158"/>
    </row>
    <row r="220">
      <c r="D220" s="158"/>
      <c r="E220" s="158"/>
      <c r="F220" s="158"/>
      <c r="G220" s="158"/>
      <c r="H220" s="158"/>
      <c r="I220" s="158"/>
      <c r="J220" s="158"/>
      <c r="K220" s="158"/>
      <c r="L220" s="158"/>
      <c r="M220" s="158"/>
      <c r="N220" s="158"/>
      <c r="O220" s="158"/>
      <c r="P220" s="158"/>
      <c r="Q220" s="158"/>
    </row>
    <row r="221">
      <c r="D221" s="158"/>
      <c r="E221" s="158"/>
      <c r="F221" s="158"/>
      <c r="G221" s="158"/>
      <c r="H221" s="158"/>
      <c r="I221" s="158"/>
      <c r="J221" s="158"/>
      <c r="K221" s="158"/>
      <c r="L221" s="158"/>
      <c r="M221" s="158"/>
      <c r="N221" s="158"/>
      <c r="O221" s="158"/>
      <c r="P221" s="158"/>
      <c r="Q221" s="158"/>
    </row>
    <row r="222">
      <c r="D222" s="158"/>
      <c r="E222" s="158"/>
      <c r="F222" s="158"/>
      <c r="G222" s="158"/>
      <c r="H222" s="158"/>
      <c r="I222" s="158"/>
      <c r="J222" s="158"/>
      <c r="K222" s="158"/>
      <c r="L222" s="158"/>
      <c r="M222" s="158"/>
      <c r="N222" s="158"/>
      <c r="O222" s="158"/>
      <c r="P222" s="158"/>
      <c r="Q222" s="158"/>
    </row>
    <row r="223">
      <c r="D223" s="158"/>
      <c r="E223" s="158"/>
      <c r="F223" s="158"/>
      <c r="G223" s="158"/>
      <c r="H223" s="158"/>
      <c r="I223" s="158"/>
      <c r="J223" s="158"/>
      <c r="K223" s="158"/>
      <c r="L223" s="158"/>
      <c r="M223" s="158"/>
      <c r="N223" s="158"/>
      <c r="O223" s="158"/>
      <c r="P223" s="158"/>
      <c r="Q223" s="158"/>
    </row>
    <row r="224">
      <c r="D224" s="158"/>
      <c r="E224" s="158"/>
      <c r="F224" s="158"/>
      <c r="G224" s="158"/>
      <c r="H224" s="158"/>
      <c r="I224" s="158"/>
      <c r="J224" s="158"/>
      <c r="K224" s="158"/>
      <c r="L224" s="158"/>
      <c r="M224" s="158"/>
      <c r="N224" s="158"/>
      <c r="O224" s="158"/>
      <c r="P224" s="158"/>
      <c r="Q224" s="158"/>
    </row>
    <row r="225">
      <c r="D225" s="158"/>
      <c r="E225" s="158"/>
      <c r="F225" s="158"/>
      <c r="G225" s="158"/>
      <c r="H225" s="158"/>
      <c r="I225" s="158"/>
      <c r="J225" s="158"/>
      <c r="K225" s="158"/>
      <c r="L225" s="158"/>
      <c r="M225" s="158"/>
      <c r="N225" s="158"/>
      <c r="O225" s="158"/>
      <c r="P225" s="158"/>
      <c r="Q225" s="158"/>
    </row>
    <row r="226">
      <c r="D226" s="158"/>
      <c r="E226" s="158"/>
      <c r="F226" s="158"/>
      <c r="G226" s="158"/>
      <c r="H226" s="158"/>
      <c r="I226" s="158"/>
      <c r="J226" s="158"/>
      <c r="K226" s="158"/>
      <c r="L226" s="158"/>
      <c r="M226" s="158"/>
      <c r="N226" s="158"/>
      <c r="O226" s="158"/>
      <c r="P226" s="158"/>
      <c r="Q226" s="158"/>
    </row>
    <row r="227">
      <c r="D227" s="158"/>
      <c r="E227" s="158"/>
      <c r="F227" s="158"/>
      <c r="G227" s="158"/>
      <c r="H227" s="158"/>
      <c r="I227" s="158"/>
      <c r="J227" s="158"/>
      <c r="K227" s="158"/>
      <c r="L227" s="158"/>
      <c r="M227" s="158"/>
      <c r="N227" s="158"/>
      <c r="O227" s="158"/>
      <c r="P227" s="158"/>
      <c r="Q227" s="158"/>
    </row>
    <row r="228">
      <c r="D228" s="158"/>
      <c r="E228" s="158"/>
      <c r="F228" s="158"/>
      <c r="G228" s="158"/>
      <c r="H228" s="158"/>
      <c r="I228" s="158"/>
      <c r="J228" s="158"/>
      <c r="K228" s="158"/>
      <c r="L228" s="158"/>
      <c r="M228" s="158"/>
      <c r="N228" s="158"/>
      <c r="O228" s="158"/>
      <c r="P228" s="158"/>
      <c r="Q228" s="158"/>
    </row>
    <row r="229">
      <c r="D229" s="158"/>
      <c r="E229" s="158"/>
      <c r="F229" s="158"/>
      <c r="G229" s="158"/>
      <c r="H229" s="158"/>
      <c r="I229" s="158"/>
      <c r="J229" s="158"/>
      <c r="K229" s="158"/>
      <c r="L229" s="158"/>
      <c r="M229" s="158"/>
      <c r="N229" s="158"/>
      <c r="O229" s="158"/>
      <c r="P229" s="158"/>
      <c r="Q229" s="158"/>
    </row>
    <row r="230">
      <c r="D230" s="158"/>
      <c r="E230" s="158"/>
      <c r="F230" s="158"/>
      <c r="G230" s="158"/>
      <c r="H230" s="158"/>
      <c r="I230" s="158"/>
      <c r="J230" s="158"/>
      <c r="K230" s="158"/>
      <c r="L230" s="158"/>
      <c r="M230" s="158"/>
      <c r="N230" s="158"/>
      <c r="O230" s="158"/>
      <c r="P230" s="158"/>
      <c r="Q230" s="158"/>
    </row>
    <row r="231">
      <c r="D231" s="158"/>
      <c r="E231" s="158"/>
      <c r="F231" s="158"/>
      <c r="G231" s="158"/>
      <c r="H231" s="158"/>
      <c r="I231" s="158"/>
      <c r="J231" s="158"/>
      <c r="K231" s="158"/>
      <c r="L231" s="158"/>
      <c r="M231" s="158"/>
      <c r="N231" s="158"/>
      <c r="O231" s="158"/>
      <c r="P231" s="158"/>
      <c r="Q231" s="158"/>
    </row>
    <row r="232">
      <c r="D232" s="158"/>
      <c r="E232" s="158"/>
      <c r="F232" s="158"/>
      <c r="G232" s="158"/>
      <c r="H232" s="158"/>
      <c r="I232" s="158"/>
      <c r="J232" s="158"/>
      <c r="K232" s="158"/>
      <c r="L232" s="158"/>
      <c r="M232" s="158"/>
      <c r="N232" s="158"/>
      <c r="O232" s="158"/>
      <c r="P232" s="158"/>
      <c r="Q232" s="158"/>
    </row>
    <row r="233">
      <c r="D233" s="158"/>
      <c r="E233" s="158"/>
      <c r="F233" s="158"/>
      <c r="G233" s="158"/>
      <c r="H233" s="158"/>
      <c r="I233" s="158"/>
      <c r="J233" s="158"/>
      <c r="K233" s="158"/>
      <c r="L233" s="158"/>
      <c r="M233" s="158"/>
      <c r="N233" s="158"/>
      <c r="O233" s="158"/>
      <c r="P233" s="158"/>
      <c r="Q233" s="158"/>
    </row>
    <row r="234">
      <c r="D234" s="158"/>
      <c r="E234" s="158"/>
      <c r="F234" s="158"/>
      <c r="G234" s="158"/>
      <c r="H234" s="158"/>
      <c r="I234" s="158"/>
      <c r="J234" s="158"/>
      <c r="K234" s="158"/>
      <c r="L234" s="158"/>
      <c r="M234" s="158"/>
      <c r="N234" s="158"/>
      <c r="O234" s="158"/>
      <c r="P234" s="158"/>
      <c r="Q234" s="158"/>
    </row>
    <row r="235">
      <c r="D235" s="158"/>
      <c r="E235" s="158"/>
      <c r="F235" s="158"/>
      <c r="G235" s="158"/>
      <c r="H235" s="158"/>
      <c r="I235" s="158"/>
      <c r="J235" s="158"/>
      <c r="K235" s="158"/>
      <c r="L235" s="158"/>
      <c r="M235" s="158"/>
      <c r="N235" s="158"/>
      <c r="O235" s="158"/>
      <c r="P235" s="158"/>
      <c r="Q235" s="158"/>
    </row>
    <row r="236">
      <c r="D236" s="158"/>
      <c r="E236" s="158"/>
      <c r="F236" s="158"/>
      <c r="G236" s="158"/>
      <c r="H236" s="158"/>
      <c r="I236" s="158"/>
      <c r="J236" s="158"/>
      <c r="K236" s="158"/>
      <c r="L236" s="158"/>
      <c r="M236" s="158"/>
      <c r="N236" s="158"/>
      <c r="O236" s="158"/>
      <c r="P236" s="158"/>
      <c r="Q236" s="158"/>
    </row>
    <row r="237">
      <c r="D237" s="158"/>
      <c r="E237" s="158"/>
      <c r="F237" s="158"/>
      <c r="G237" s="158"/>
      <c r="H237" s="158"/>
      <c r="I237" s="158"/>
      <c r="J237" s="158"/>
      <c r="K237" s="158"/>
      <c r="L237" s="158"/>
      <c r="M237" s="158"/>
      <c r="N237" s="158"/>
      <c r="O237" s="158"/>
      <c r="P237" s="158"/>
      <c r="Q237" s="158"/>
    </row>
    <row r="238">
      <c r="D238" s="158"/>
      <c r="E238" s="158"/>
      <c r="F238" s="158"/>
      <c r="G238" s="158"/>
      <c r="H238" s="158"/>
      <c r="I238" s="158"/>
      <c r="J238" s="158"/>
      <c r="K238" s="158"/>
      <c r="L238" s="158"/>
      <c r="M238" s="158"/>
      <c r="N238" s="158"/>
      <c r="O238" s="158"/>
      <c r="P238" s="158"/>
      <c r="Q238" s="158"/>
    </row>
    <row r="239">
      <c r="D239" s="158"/>
      <c r="E239" s="158"/>
      <c r="F239" s="158"/>
      <c r="G239" s="158"/>
      <c r="H239" s="158"/>
      <c r="I239" s="158"/>
      <c r="J239" s="158"/>
      <c r="K239" s="158"/>
      <c r="L239" s="158"/>
      <c r="M239" s="158"/>
      <c r="N239" s="158"/>
      <c r="O239" s="158"/>
      <c r="P239" s="158"/>
      <c r="Q239" s="158"/>
    </row>
    <row r="240">
      <c r="D240" s="158"/>
      <c r="E240" s="158"/>
      <c r="F240" s="158"/>
      <c r="G240" s="158"/>
      <c r="H240" s="158"/>
      <c r="I240" s="158"/>
      <c r="J240" s="158"/>
      <c r="K240" s="158"/>
      <c r="L240" s="158"/>
      <c r="M240" s="158"/>
      <c r="N240" s="158"/>
      <c r="O240" s="158"/>
      <c r="P240" s="158"/>
      <c r="Q240" s="158"/>
    </row>
    <row r="241">
      <c r="D241" s="158"/>
      <c r="E241" s="158"/>
      <c r="F241" s="158"/>
      <c r="G241" s="158"/>
      <c r="H241" s="158"/>
      <c r="I241" s="158"/>
      <c r="J241" s="158"/>
      <c r="K241" s="158"/>
      <c r="L241" s="158"/>
      <c r="M241" s="158"/>
      <c r="N241" s="158"/>
      <c r="O241" s="158"/>
      <c r="P241" s="158"/>
      <c r="Q241" s="158"/>
    </row>
    <row r="242">
      <c r="D242" s="158"/>
      <c r="E242" s="158"/>
      <c r="F242" s="158"/>
      <c r="G242" s="158"/>
      <c r="H242" s="158"/>
      <c r="I242" s="158"/>
      <c r="J242" s="158"/>
      <c r="K242" s="158"/>
      <c r="L242" s="158"/>
      <c r="M242" s="158"/>
      <c r="N242" s="158"/>
      <c r="O242" s="158"/>
      <c r="P242" s="158"/>
      <c r="Q242" s="158"/>
    </row>
    <row r="243">
      <c r="D243" s="158"/>
      <c r="E243" s="158"/>
      <c r="F243" s="158"/>
      <c r="G243" s="158"/>
      <c r="H243" s="158"/>
      <c r="I243" s="158"/>
      <c r="J243" s="158"/>
      <c r="K243" s="158"/>
      <c r="L243" s="158"/>
      <c r="M243" s="158"/>
      <c r="N243" s="158"/>
      <c r="O243" s="158"/>
      <c r="P243" s="158"/>
      <c r="Q243" s="158"/>
    </row>
    <row r="244">
      <c r="D244" s="158"/>
      <c r="E244" s="158"/>
      <c r="F244" s="158"/>
      <c r="G244" s="158"/>
      <c r="H244" s="158"/>
      <c r="I244" s="158"/>
      <c r="J244" s="158"/>
      <c r="K244" s="158"/>
      <c r="L244" s="158"/>
      <c r="M244" s="158"/>
      <c r="N244" s="158"/>
      <c r="O244" s="158"/>
      <c r="P244" s="158"/>
      <c r="Q244" s="158"/>
    </row>
    <row r="245">
      <c r="D245" s="158"/>
      <c r="E245" s="158"/>
      <c r="F245" s="158"/>
      <c r="G245" s="158"/>
      <c r="H245" s="158"/>
      <c r="I245" s="158"/>
      <c r="J245" s="158"/>
      <c r="K245" s="158"/>
      <c r="L245" s="158"/>
      <c r="M245" s="158"/>
      <c r="N245" s="158"/>
      <c r="O245" s="158"/>
      <c r="P245" s="158"/>
      <c r="Q245" s="158"/>
    </row>
    <row r="246">
      <c r="D246" s="158"/>
      <c r="E246" s="158"/>
      <c r="F246" s="158"/>
      <c r="G246" s="158"/>
      <c r="H246" s="158"/>
      <c r="I246" s="158"/>
      <c r="J246" s="158"/>
      <c r="K246" s="158"/>
      <c r="L246" s="158"/>
      <c r="M246" s="158"/>
      <c r="N246" s="158"/>
      <c r="O246" s="158"/>
      <c r="P246" s="158"/>
      <c r="Q246" s="158"/>
    </row>
    <row r="247">
      <c r="D247" s="158"/>
      <c r="E247" s="158"/>
      <c r="F247" s="158"/>
      <c r="G247" s="158"/>
      <c r="H247" s="158"/>
      <c r="I247" s="158"/>
      <c r="J247" s="158"/>
      <c r="K247" s="158"/>
      <c r="L247" s="158"/>
      <c r="M247" s="158"/>
      <c r="N247" s="158"/>
      <c r="O247" s="158"/>
      <c r="P247" s="158"/>
      <c r="Q247" s="158"/>
    </row>
    <row r="248">
      <c r="D248" s="158"/>
      <c r="E248" s="158"/>
      <c r="F248" s="158"/>
      <c r="G248" s="158"/>
      <c r="H248" s="158"/>
      <c r="I248" s="158"/>
      <c r="J248" s="158"/>
      <c r="K248" s="158"/>
      <c r="L248" s="158"/>
      <c r="M248" s="158"/>
      <c r="N248" s="158"/>
      <c r="O248" s="158"/>
      <c r="P248" s="158"/>
      <c r="Q248" s="158"/>
    </row>
    <row r="249">
      <c r="D249" s="158"/>
      <c r="E249" s="158"/>
      <c r="F249" s="158"/>
      <c r="G249" s="158"/>
      <c r="H249" s="158"/>
      <c r="I249" s="158"/>
      <c r="J249" s="158"/>
      <c r="K249" s="158"/>
      <c r="L249" s="158"/>
      <c r="M249" s="158"/>
      <c r="N249" s="158"/>
      <c r="O249" s="158"/>
      <c r="P249" s="158"/>
      <c r="Q249" s="158"/>
    </row>
    <row r="250">
      <c r="D250" s="158"/>
      <c r="E250" s="158"/>
      <c r="F250" s="158"/>
      <c r="G250" s="158"/>
      <c r="H250" s="158"/>
      <c r="I250" s="158"/>
      <c r="J250" s="158"/>
      <c r="K250" s="158"/>
      <c r="L250" s="158"/>
      <c r="M250" s="158"/>
      <c r="N250" s="158"/>
      <c r="O250" s="158"/>
      <c r="P250" s="158"/>
      <c r="Q250" s="158"/>
    </row>
    <row r="251">
      <c r="D251" s="158"/>
      <c r="E251" s="158"/>
      <c r="F251" s="158"/>
      <c r="G251" s="158"/>
      <c r="H251" s="158"/>
      <c r="I251" s="158"/>
      <c r="J251" s="158"/>
      <c r="K251" s="158"/>
      <c r="L251" s="158"/>
      <c r="M251" s="158"/>
      <c r="N251" s="158"/>
      <c r="O251" s="158"/>
      <c r="P251" s="158"/>
      <c r="Q251" s="158"/>
    </row>
    <row r="252">
      <c r="D252" s="158"/>
      <c r="E252" s="158"/>
      <c r="F252" s="158"/>
      <c r="G252" s="158"/>
      <c r="H252" s="158"/>
      <c r="I252" s="158"/>
      <c r="J252" s="158"/>
      <c r="K252" s="158"/>
      <c r="L252" s="158"/>
      <c r="M252" s="158"/>
      <c r="N252" s="158"/>
      <c r="O252" s="158"/>
      <c r="P252" s="158"/>
      <c r="Q252" s="158"/>
    </row>
    <row r="253">
      <c r="D253" s="158"/>
      <c r="E253" s="158"/>
      <c r="F253" s="158"/>
      <c r="G253" s="158"/>
      <c r="H253" s="158"/>
      <c r="I253" s="158"/>
      <c r="J253" s="158"/>
      <c r="K253" s="158"/>
      <c r="L253" s="158"/>
      <c r="M253" s="158"/>
      <c r="N253" s="158"/>
      <c r="O253" s="158"/>
      <c r="P253" s="158"/>
      <c r="Q253" s="158"/>
    </row>
    <row r="254">
      <c r="D254" s="158"/>
      <c r="E254" s="158"/>
      <c r="F254" s="158"/>
      <c r="G254" s="158"/>
      <c r="H254" s="158"/>
      <c r="I254" s="158"/>
      <c r="J254" s="158"/>
      <c r="K254" s="158"/>
      <c r="L254" s="158"/>
      <c r="M254" s="158"/>
      <c r="N254" s="158"/>
      <c r="O254" s="158"/>
      <c r="P254" s="158"/>
      <c r="Q254" s="158"/>
    </row>
    <row r="255">
      <c r="D255" s="158"/>
      <c r="E255" s="158"/>
      <c r="F255" s="158"/>
      <c r="G255" s="158"/>
      <c r="H255" s="158"/>
      <c r="I255" s="158"/>
      <c r="J255" s="158"/>
      <c r="K255" s="158"/>
      <c r="L255" s="158"/>
      <c r="M255" s="158"/>
      <c r="N255" s="158"/>
      <c r="O255" s="158"/>
      <c r="P255" s="158"/>
      <c r="Q255" s="158"/>
    </row>
    <row r="256">
      <c r="D256" s="158"/>
      <c r="E256" s="158"/>
      <c r="F256" s="158"/>
      <c r="G256" s="158"/>
      <c r="H256" s="158"/>
      <c r="I256" s="158"/>
      <c r="J256" s="158"/>
      <c r="K256" s="158"/>
      <c r="L256" s="158"/>
      <c r="M256" s="158"/>
      <c r="N256" s="158"/>
      <c r="O256" s="158"/>
      <c r="P256" s="158"/>
      <c r="Q256" s="158"/>
    </row>
    <row r="257">
      <c r="D257" s="158"/>
      <c r="E257" s="158"/>
      <c r="F257" s="158"/>
      <c r="G257" s="158"/>
      <c r="H257" s="158"/>
      <c r="I257" s="158"/>
      <c r="J257" s="158"/>
      <c r="K257" s="158"/>
      <c r="L257" s="158"/>
      <c r="M257" s="158"/>
      <c r="N257" s="158"/>
      <c r="O257" s="158"/>
      <c r="P257" s="158"/>
      <c r="Q257" s="158"/>
    </row>
    <row r="258">
      <c r="D258" s="158"/>
      <c r="E258" s="158"/>
      <c r="F258" s="158"/>
      <c r="G258" s="158"/>
      <c r="H258" s="158"/>
      <c r="I258" s="158"/>
      <c r="J258" s="158"/>
      <c r="K258" s="158"/>
      <c r="L258" s="158"/>
      <c r="M258" s="158"/>
      <c r="N258" s="158"/>
      <c r="O258" s="158"/>
      <c r="P258" s="158"/>
      <c r="Q258" s="158"/>
    </row>
    <row r="259">
      <c r="D259" s="158"/>
      <c r="E259" s="158"/>
      <c r="F259" s="158"/>
      <c r="G259" s="158"/>
      <c r="H259" s="158"/>
      <c r="I259" s="158"/>
      <c r="J259" s="158"/>
      <c r="K259" s="158"/>
      <c r="L259" s="158"/>
      <c r="M259" s="158"/>
      <c r="N259" s="158"/>
      <c r="O259" s="158"/>
      <c r="P259" s="158"/>
      <c r="Q259" s="158"/>
    </row>
    <row r="260">
      <c r="D260" s="158"/>
      <c r="E260" s="158"/>
      <c r="F260" s="158"/>
      <c r="G260" s="158"/>
      <c r="H260" s="158"/>
      <c r="I260" s="158"/>
      <c r="J260" s="158"/>
      <c r="K260" s="158"/>
      <c r="L260" s="158"/>
      <c r="M260" s="158"/>
      <c r="N260" s="158"/>
      <c r="O260" s="158"/>
      <c r="P260" s="158"/>
      <c r="Q260" s="158"/>
    </row>
    <row r="261">
      <c r="D261" s="158"/>
      <c r="E261" s="158"/>
      <c r="F261" s="158"/>
      <c r="G261" s="158"/>
      <c r="H261" s="158"/>
      <c r="I261" s="158"/>
      <c r="J261" s="158"/>
      <c r="K261" s="158"/>
      <c r="L261" s="158"/>
      <c r="M261" s="158"/>
      <c r="N261" s="158"/>
      <c r="O261" s="158"/>
      <c r="P261" s="158"/>
      <c r="Q261" s="158"/>
    </row>
    <row r="262">
      <c r="D262" s="158"/>
      <c r="E262" s="158"/>
      <c r="F262" s="158"/>
      <c r="G262" s="158"/>
      <c r="H262" s="158"/>
      <c r="I262" s="158"/>
      <c r="J262" s="158"/>
      <c r="K262" s="158"/>
      <c r="L262" s="158"/>
      <c r="M262" s="158"/>
      <c r="N262" s="158"/>
      <c r="O262" s="158"/>
      <c r="P262" s="158"/>
      <c r="Q262" s="158"/>
    </row>
    <row r="263">
      <c r="D263" s="158"/>
      <c r="E263" s="158"/>
      <c r="F263" s="158"/>
      <c r="G263" s="158"/>
      <c r="H263" s="158"/>
      <c r="I263" s="158"/>
      <c r="J263" s="158"/>
      <c r="K263" s="158"/>
      <c r="L263" s="158"/>
      <c r="M263" s="158"/>
      <c r="N263" s="158"/>
      <c r="O263" s="158"/>
      <c r="P263" s="158"/>
      <c r="Q263" s="158"/>
    </row>
    <row r="264">
      <c r="D264" s="158"/>
      <c r="E264" s="158"/>
      <c r="F264" s="158"/>
      <c r="G264" s="158"/>
      <c r="H264" s="158"/>
      <c r="I264" s="158"/>
      <c r="J264" s="158"/>
      <c r="K264" s="158"/>
      <c r="L264" s="158"/>
      <c r="M264" s="158"/>
      <c r="N264" s="158"/>
      <c r="O264" s="158"/>
      <c r="P264" s="158"/>
      <c r="Q264" s="158"/>
    </row>
    <row r="265">
      <c r="D265" s="158"/>
      <c r="E265" s="158"/>
      <c r="F265" s="158"/>
      <c r="G265" s="158"/>
      <c r="H265" s="158"/>
      <c r="I265" s="158"/>
      <c r="J265" s="158"/>
      <c r="K265" s="158"/>
      <c r="L265" s="158"/>
      <c r="M265" s="158"/>
      <c r="N265" s="158"/>
      <c r="O265" s="158"/>
      <c r="P265" s="158"/>
      <c r="Q265" s="158"/>
    </row>
    <row r="266">
      <c r="D266" s="158"/>
      <c r="E266" s="158"/>
      <c r="F266" s="158"/>
      <c r="G266" s="158"/>
      <c r="H266" s="158"/>
      <c r="I266" s="158"/>
      <c r="J266" s="158"/>
      <c r="K266" s="158"/>
      <c r="L266" s="158"/>
      <c r="M266" s="158"/>
      <c r="N266" s="158"/>
      <c r="O266" s="158"/>
      <c r="P266" s="158"/>
      <c r="Q266" s="158"/>
    </row>
    <row r="267">
      <c r="D267" s="158"/>
      <c r="E267" s="158"/>
      <c r="F267" s="158"/>
      <c r="G267" s="158"/>
      <c r="H267" s="158"/>
      <c r="I267" s="158"/>
      <c r="J267" s="158"/>
      <c r="K267" s="158"/>
      <c r="L267" s="158"/>
      <c r="M267" s="158"/>
      <c r="N267" s="158"/>
      <c r="O267" s="158"/>
      <c r="P267" s="158"/>
      <c r="Q267" s="158"/>
    </row>
    <row r="268">
      <c r="D268" s="158"/>
      <c r="E268" s="158"/>
      <c r="F268" s="158"/>
      <c r="G268" s="158"/>
      <c r="H268" s="158"/>
      <c r="I268" s="158"/>
      <c r="J268" s="158"/>
      <c r="K268" s="158"/>
      <c r="L268" s="158"/>
      <c r="M268" s="158"/>
      <c r="N268" s="158"/>
      <c r="O268" s="158"/>
      <c r="P268" s="158"/>
      <c r="Q268" s="158"/>
    </row>
    <row r="269">
      <c r="D269" s="158"/>
      <c r="E269" s="158"/>
      <c r="F269" s="158"/>
      <c r="G269" s="158"/>
      <c r="H269" s="158"/>
      <c r="I269" s="158"/>
      <c r="J269" s="158"/>
      <c r="K269" s="158"/>
      <c r="L269" s="158"/>
      <c r="M269" s="158"/>
      <c r="N269" s="158"/>
      <c r="O269" s="158"/>
      <c r="P269" s="158"/>
      <c r="Q269" s="158"/>
    </row>
    <row r="270">
      <c r="D270" s="158"/>
      <c r="E270" s="158"/>
      <c r="F270" s="158"/>
      <c r="G270" s="158"/>
      <c r="H270" s="158"/>
      <c r="I270" s="158"/>
      <c r="J270" s="158"/>
      <c r="K270" s="158"/>
      <c r="L270" s="158"/>
      <c r="M270" s="158"/>
      <c r="N270" s="158"/>
      <c r="O270" s="158"/>
      <c r="P270" s="158"/>
      <c r="Q270" s="158"/>
    </row>
    <row r="271">
      <c r="D271" s="158"/>
      <c r="E271" s="158"/>
      <c r="F271" s="158"/>
      <c r="G271" s="158"/>
      <c r="H271" s="158"/>
      <c r="I271" s="158"/>
      <c r="J271" s="158"/>
      <c r="K271" s="158"/>
      <c r="L271" s="158"/>
      <c r="M271" s="158"/>
      <c r="N271" s="158"/>
      <c r="O271" s="158"/>
      <c r="P271" s="158"/>
      <c r="Q271" s="158"/>
    </row>
    <row r="272">
      <c r="D272" s="158"/>
      <c r="E272" s="158"/>
      <c r="F272" s="158"/>
      <c r="G272" s="158"/>
      <c r="H272" s="158"/>
      <c r="I272" s="158"/>
      <c r="J272" s="158"/>
      <c r="K272" s="158"/>
      <c r="L272" s="158"/>
      <c r="M272" s="158"/>
      <c r="N272" s="158"/>
      <c r="O272" s="158"/>
      <c r="P272" s="158"/>
      <c r="Q272" s="158"/>
    </row>
    <row r="273">
      <c r="D273" s="158"/>
      <c r="E273" s="158"/>
      <c r="F273" s="158"/>
      <c r="G273" s="158"/>
      <c r="H273" s="158"/>
      <c r="I273" s="158"/>
      <c r="J273" s="158"/>
      <c r="K273" s="158"/>
      <c r="L273" s="158"/>
      <c r="M273" s="158"/>
      <c r="N273" s="158"/>
      <c r="O273" s="158"/>
      <c r="P273" s="158"/>
      <c r="Q273" s="158"/>
    </row>
    <row r="274">
      <c r="D274" s="158"/>
      <c r="E274" s="158"/>
      <c r="F274" s="158"/>
      <c r="G274" s="158"/>
      <c r="H274" s="158"/>
      <c r="I274" s="158"/>
      <c r="J274" s="158"/>
      <c r="K274" s="158"/>
      <c r="L274" s="158"/>
      <c r="M274" s="158"/>
      <c r="N274" s="158"/>
      <c r="O274" s="158"/>
      <c r="P274" s="158"/>
      <c r="Q274" s="158"/>
    </row>
    <row r="275">
      <c r="D275" s="158"/>
      <c r="E275" s="158"/>
      <c r="F275" s="158"/>
      <c r="G275" s="158"/>
      <c r="H275" s="158"/>
      <c r="I275" s="158"/>
      <c r="J275" s="158"/>
      <c r="K275" s="158"/>
      <c r="L275" s="158"/>
      <c r="M275" s="158"/>
      <c r="N275" s="158"/>
      <c r="O275" s="158"/>
      <c r="P275" s="158"/>
      <c r="Q275" s="158"/>
    </row>
    <row r="276">
      <c r="D276" s="158"/>
      <c r="E276" s="158"/>
      <c r="F276" s="158"/>
      <c r="G276" s="158"/>
      <c r="H276" s="158"/>
      <c r="I276" s="158"/>
      <c r="J276" s="158"/>
      <c r="K276" s="158"/>
      <c r="L276" s="158"/>
      <c r="M276" s="158"/>
      <c r="N276" s="158"/>
      <c r="O276" s="158"/>
      <c r="P276" s="158"/>
      <c r="Q276" s="158"/>
    </row>
    <row r="277">
      <c r="D277" s="158"/>
      <c r="E277" s="158"/>
      <c r="F277" s="158"/>
      <c r="G277" s="158"/>
      <c r="H277" s="158"/>
      <c r="I277" s="158"/>
      <c r="J277" s="158"/>
      <c r="K277" s="158"/>
      <c r="L277" s="158"/>
      <c r="M277" s="158"/>
      <c r="N277" s="158"/>
      <c r="O277" s="158"/>
      <c r="P277" s="158"/>
      <c r="Q277" s="158"/>
    </row>
    <row r="278">
      <c r="D278" s="158"/>
      <c r="E278" s="158"/>
      <c r="F278" s="158"/>
      <c r="G278" s="158"/>
      <c r="H278" s="158"/>
      <c r="I278" s="158"/>
      <c r="J278" s="158"/>
      <c r="K278" s="158"/>
      <c r="L278" s="158"/>
      <c r="M278" s="158"/>
      <c r="N278" s="158"/>
      <c r="O278" s="158"/>
      <c r="P278" s="158"/>
      <c r="Q278" s="158"/>
    </row>
    <row r="279">
      <c r="D279" s="158"/>
      <c r="E279" s="158"/>
      <c r="F279" s="158"/>
      <c r="G279" s="158"/>
      <c r="H279" s="158"/>
      <c r="I279" s="158"/>
      <c r="J279" s="158"/>
      <c r="K279" s="158"/>
      <c r="L279" s="158"/>
      <c r="M279" s="158"/>
      <c r="N279" s="158"/>
      <c r="O279" s="158"/>
      <c r="P279" s="158"/>
      <c r="Q279" s="158"/>
    </row>
    <row r="280">
      <c r="D280" s="158"/>
      <c r="E280" s="158"/>
      <c r="F280" s="158"/>
      <c r="G280" s="158"/>
      <c r="H280" s="158"/>
      <c r="I280" s="158"/>
      <c r="J280" s="158"/>
      <c r="K280" s="158"/>
      <c r="L280" s="158"/>
      <c r="M280" s="158"/>
      <c r="N280" s="158"/>
      <c r="O280" s="158"/>
      <c r="P280" s="158"/>
      <c r="Q280" s="158"/>
    </row>
    <row r="281">
      <c r="D281" s="158"/>
      <c r="E281" s="158"/>
      <c r="F281" s="158"/>
      <c r="G281" s="158"/>
      <c r="H281" s="158"/>
      <c r="I281" s="158"/>
      <c r="J281" s="158"/>
      <c r="K281" s="158"/>
      <c r="L281" s="158"/>
      <c r="M281" s="158"/>
      <c r="N281" s="158"/>
      <c r="O281" s="158"/>
      <c r="P281" s="158"/>
      <c r="Q281" s="158"/>
    </row>
    <row r="282">
      <c r="D282" s="158"/>
      <c r="E282" s="158"/>
      <c r="F282" s="158"/>
      <c r="G282" s="158"/>
      <c r="H282" s="158"/>
      <c r="I282" s="158"/>
      <c r="J282" s="158"/>
      <c r="K282" s="158"/>
      <c r="L282" s="158"/>
      <c r="M282" s="158"/>
      <c r="N282" s="158"/>
      <c r="O282" s="158"/>
      <c r="P282" s="158"/>
      <c r="Q282" s="158"/>
    </row>
    <row r="283">
      <c r="D283" s="158"/>
      <c r="E283" s="158"/>
      <c r="F283" s="158"/>
      <c r="G283" s="158"/>
      <c r="H283" s="158"/>
      <c r="I283" s="158"/>
      <c r="J283" s="158"/>
      <c r="K283" s="158"/>
      <c r="L283" s="158"/>
      <c r="M283" s="158"/>
      <c r="N283" s="158"/>
      <c r="O283" s="158"/>
      <c r="P283" s="158"/>
      <c r="Q283" s="158"/>
    </row>
    <row r="284">
      <c r="D284" s="158"/>
      <c r="E284" s="158"/>
      <c r="F284" s="158"/>
      <c r="G284" s="158"/>
      <c r="H284" s="158"/>
      <c r="I284" s="158"/>
      <c r="J284" s="158"/>
      <c r="K284" s="158"/>
      <c r="L284" s="158"/>
      <c r="M284" s="158"/>
      <c r="N284" s="158"/>
      <c r="O284" s="158"/>
      <c r="P284" s="158"/>
      <c r="Q284" s="158"/>
    </row>
    <row r="285">
      <c r="D285" s="158"/>
      <c r="E285" s="158"/>
      <c r="F285" s="158"/>
      <c r="G285" s="158"/>
      <c r="H285" s="158"/>
      <c r="I285" s="158"/>
      <c r="J285" s="158"/>
      <c r="K285" s="158"/>
      <c r="L285" s="158"/>
      <c r="M285" s="158"/>
      <c r="N285" s="158"/>
      <c r="O285" s="158"/>
      <c r="P285" s="158"/>
      <c r="Q285" s="158"/>
    </row>
    <row r="286">
      <c r="D286" s="158"/>
      <c r="E286" s="158"/>
      <c r="F286" s="158"/>
      <c r="G286" s="158"/>
      <c r="H286" s="158"/>
      <c r="I286" s="158"/>
      <c r="J286" s="158"/>
      <c r="K286" s="158"/>
      <c r="L286" s="158"/>
      <c r="M286" s="158"/>
      <c r="N286" s="158"/>
      <c r="O286" s="158"/>
      <c r="P286" s="158"/>
      <c r="Q286" s="158"/>
    </row>
    <row r="287">
      <c r="D287" s="158"/>
      <c r="E287" s="158"/>
      <c r="F287" s="158"/>
      <c r="G287" s="158"/>
      <c r="H287" s="158"/>
      <c r="I287" s="158"/>
      <c r="J287" s="158"/>
      <c r="K287" s="158"/>
      <c r="L287" s="158"/>
      <c r="M287" s="158"/>
      <c r="N287" s="158"/>
      <c r="O287" s="158"/>
      <c r="P287" s="158"/>
      <c r="Q287" s="158"/>
    </row>
    <row r="288">
      <c r="D288" s="158"/>
      <c r="E288" s="158"/>
      <c r="F288" s="158"/>
      <c r="G288" s="158"/>
      <c r="H288" s="158"/>
      <c r="I288" s="158"/>
      <c r="J288" s="158"/>
      <c r="K288" s="158"/>
      <c r="L288" s="158"/>
      <c r="M288" s="158"/>
      <c r="N288" s="158"/>
      <c r="O288" s="158"/>
      <c r="P288" s="158"/>
      <c r="Q288" s="158"/>
    </row>
    <row r="289">
      <c r="D289" s="158"/>
      <c r="E289" s="158"/>
      <c r="F289" s="158"/>
      <c r="G289" s="158"/>
      <c r="H289" s="158"/>
      <c r="I289" s="158"/>
      <c r="J289" s="158"/>
      <c r="K289" s="158"/>
      <c r="L289" s="158"/>
      <c r="M289" s="158"/>
      <c r="N289" s="158"/>
      <c r="O289" s="158"/>
      <c r="P289" s="158"/>
      <c r="Q289" s="158"/>
    </row>
    <row r="290">
      <c r="D290" s="158"/>
      <c r="E290" s="158"/>
      <c r="F290" s="158"/>
      <c r="G290" s="158"/>
      <c r="H290" s="158"/>
      <c r="I290" s="158"/>
      <c r="J290" s="158"/>
      <c r="K290" s="158"/>
      <c r="L290" s="158"/>
      <c r="M290" s="158"/>
      <c r="N290" s="158"/>
      <c r="O290" s="158"/>
      <c r="P290" s="158"/>
      <c r="Q290" s="158"/>
    </row>
    <row r="291">
      <c r="D291" s="158"/>
      <c r="E291" s="158"/>
      <c r="F291" s="158"/>
      <c r="G291" s="158"/>
      <c r="H291" s="158"/>
      <c r="I291" s="158"/>
      <c r="J291" s="158"/>
      <c r="K291" s="158"/>
      <c r="L291" s="158"/>
      <c r="M291" s="158"/>
      <c r="N291" s="158"/>
      <c r="O291" s="158"/>
      <c r="P291" s="158"/>
      <c r="Q291" s="158"/>
    </row>
    <row r="292">
      <c r="D292" s="158"/>
      <c r="E292" s="158"/>
      <c r="F292" s="158"/>
      <c r="G292" s="158"/>
      <c r="H292" s="158"/>
      <c r="I292" s="158"/>
      <c r="J292" s="158"/>
      <c r="K292" s="158"/>
      <c r="L292" s="158"/>
      <c r="M292" s="158"/>
      <c r="N292" s="158"/>
      <c r="O292" s="158"/>
      <c r="P292" s="158"/>
      <c r="Q292" s="158"/>
    </row>
    <row r="293">
      <c r="D293" s="158"/>
      <c r="E293" s="158"/>
      <c r="F293" s="158"/>
      <c r="G293" s="158"/>
      <c r="H293" s="158"/>
      <c r="I293" s="158"/>
      <c r="J293" s="158"/>
      <c r="K293" s="158"/>
      <c r="L293" s="158"/>
      <c r="M293" s="158"/>
      <c r="N293" s="158"/>
      <c r="O293" s="158"/>
      <c r="P293" s="158"/>
      <c r="Q293" s="158"/>
    </row>
    <row r="294">
      <c r="D294" s="158"/>
      <c r="E294" s="158"/>
      <c r="F294" s="158"/>
      <c r="G294" s="158"/>
      <c r="H294" s="158"/>
      <c r="I294" s="158"/>
      <c r="J294" s="158"/>
      <c r="K294" s="158"/>
      <c r="L294" s="158"/>
      <c r="M294" s="158"/>
      <c r="N294" s="158"/>
      <c r="O294" s="158"/>
      <c r="P294" s="158"/>
      <c r="Q294" s="158"/>
    </row>
    <row r="295">
      <c r="D295" s="158"/>
      <c r="E295" s="158"/>
      <c r="F295" s="158"/>
      <c r="G295" s="158"/>
      <c r="H295" s="158"/>
      <c r="I295" s="158"/>
      <c r="J295" s="158"/>
      <c r="K295" s="158"/>
      <c r="L295" s="158"/>
      <c r="M295" s="158"/>
      <c r="N295" s="158"/>
      <c r="O295" s="158"/>
      <c r="P295" s="158"/>
      <c r="Q295" s="158"/>
    </row>
    <row r="296">
      <c r="D296" s="158"/>
      <c r="E296" s="158"/>
      <c r="F296" s="158"/>
      <c r="G296" s="158"/>
      <c r="H296" s="158"/>
      <c r="I296" s="158"/>
      <c r="J296" s="158"/>
      <c r="K296" s="158"/>
      <c r="L296" s="158"/>
      <c r="M296" s="158"/>
      <c r="N296" s="158"/>
      <c r="O296" s="158"/>
      <c r="P296" s="158"/>
      <c r="Q296" s="158"/>
    </row>
    <row r="297">
      <c r="D297" s="158"/>
      <c r="E297" s="158"/>
      <c r="F297" s="158"/>
      <c r="G297" s="158"/>
      <c r="H297" s="158"/>
      <c r="I297" s="158"/>
      <c r="J297" s="158"/>
      <c r="K297" s="158"/>
      <c r="L297" s="158"/>
      <c r="M297" s="158"/>
      <c r="N297" s="158"/>
      <c r="O297" s="158"/>
      <c r="P297" s="158"/>
      <c r="Q297" s="158"/>
    </row>
    <row r="298">
      <c r="D298" s="158"/>
      <c r="E298" s="158"/>
      <c r="F298" s="158"/>
      <c r="G298" s="158"/>
      <c r="H298" s="158"/>
      <c r="I298" s="158"/>
      <c r="J298" s="158"/>
      <c r="K298" s="158"/>
      <c r="L298" s="158"/>
      <c r="M298" s="158"/>
      <c r="N298" s="158"/>
      <c r="O298" s="158"/>
      <c r="P298" s="158"/>
      <c r="Q298" s="158"/>
    </row>
    <row r="299">
      <c r="D299" s="158"/>
      <c r="E299" s="158"/>
      <c r="F299" s="158"/>
      <c r="G299" s="158"/>
      <c r="H299" s="158"/>
      <c r="I299" s="158"/>
      <c r="J299" s="158"/>
      <c r="K299" s="158"/>
      <c r="L299" s="158"/>
      <c r="M299" s="158"/>
      <c r="N299" s="158"/>
      <c r="O299" s="158"/>
      <c r="P299" s="158"/>
      <c r="Q299" s="158"/>
    </row>
    <row r="300">
      <c r="D300" s="158"/>
      <c r="E300" s="158"/>
      <c r="F300" s="158"/>
      <c r="G300" s="158"/>
      <c r="H300" s="158"/>
      <c r="I300" s="158"/>
      <c r="J300" s="158"/>
      <c r="K300" s="158"/>
      <c r="L300" s="158"/>
      <c r="M300" s="158"/>
      <c r="N300" s="158"/>
      <c r="O300" s="158"/>
      <c r="P300" s="158"/>
      <c r="Q300" s="158"/>
    </row>
    <row r="301">
      <c r="D301" s="158"/>
      <c r="E301" s="158"/>
      <c r="F301" s="158"/>
      <c r="G301" s="158"/>
      <c r="H301" s="158"/>
      <c r="I301" s="158"/>
      <c r="J301" s="158"/>
      <c r="K301" s="158"/>
      <c r="L301" s="158"/>
      <c r="M301" s="158"/>
      <c r="N301" s="158"/>
      <c r="O301" s="158"/>
      <c r="P301" s="158"/>
      <c r="Q301" s="158"/>
    </row>
    <row r="302">
      <c r="D302" s="158"/>
      <c r="E302" s="158"/>
      <c r="F302" s="158"/>
      <c r="G302" s="158"/>
      <c r="H302" s="158"/>
      <c r="I302" s="158"/>
      <c r="J302" s="158"/>
      <c r="K302" s="158"/>
      <c r="L302" s="158"/>
      <c r="M302" s="158"/>
      <c r="N302" s="158"/>
      <c r="O302" s="158"/>
      <c r="P302" s="158"/>
      <c r="Q302" s="158"/>
    </row>
    <row r="303">
      <c r="D303" s="158"/>
      <c r="E303" s="158"/>
      <c r="F303" s="158"/>
      <c r="G303" s="158"/>
      <c r="H303" s="158"/>
      <c r="I303" s="158"/>
      <c r="J303" s="158"/>
      <c r="K303" s="158"/>
      <c r="L303" s="158"/>
      <c r="M303" s="158"/>
      <c r="N303" s="158"/>
      <c r="O303" s="158"/>
      <c r="P303" s="158"/>
      <c r="Q303" s="158"/>
    </row>
    <row r="304">
      <c r="D304" s="158"/>
      <c r="E304" s="158"/>
      <c r="F304" s="158"/>
      <c r="G304" s="158"/>
      <c r="H304" s="158"/>
      <c r="I304" s="158"/>
      <c r="J304" s="158"/>
      <c r="K304" s="158"/>
      <c r="L304" s="158"/>
      <c r="M304" s="158"/>
      <c r="N304" s="158"/>
      <c r="O304" s="158"/>
      <c r="P304" s="158"/>
      <c r="Q304" s="158"/>
    </row>
    <row r="305">
      <c r="D305" s="158"/>
      <c r="E305" s="158"/>
      <c r="F305" s="158"/>
      <c r="G305" s="158"/>
      <c r="H305" s="158"/>
      <c r="I305" s="158"/>
      <c r="J305" s="158"/>
      <c r="K305" s="158"/>
      <c r="L305" s="158"/>
      <c r="M305" s="158"/>
      <c r="N305" s="158"/>
      <c r="O305" s="158"/>
      <c r="P305" s="158"/>
      <c r="Q305" s="158"/>
    </row>
    <row r="306">
      <c r="D306" s="158"/>
      <c r="E306" s="158"/>
      <c r="F306" s="158"/>
      <c r="G306" s="158"/>
      <c r="H306" s="158"/>
      <c r="I306" s="158"/>
      <c r="J306" s="158"/>
      <c r="K306" s="158"/>
      <c r="L306" s="158"/>
      <c r="M306" s="158"/>
      <c r="N306" s="158"/>
      <c r="O306" s="158"/>
      <c r="P306" s="158"/>
      <c r="Q306" s="158"/>
    </row>
    <row r="307">
      <c r="D307" s="158"/>
      <c r="E307" s="158"/>
      <c r="F307" s="158"/>
      <c r="G307" s="158"/>
      <c r="H307" s="158"/>
      <c r="I307" s="158"/>
      <c r="J307" s="158"/>
      <c r="K307" s="158"/>
      <c r="L307" s="158"/>
      <c r="M307" s="158"/>
      <c r="N307" s="158"/>
      <c r="O307" s="158"/>
      <c r="P307" s="158"/>
      <c r="Q307" s="158"/>
    </row>
    <row r="308">
      <c r="D308" s="158"/>
      <c r="E308" s="158"/>
      <c r="F308" s="158"/>
      <c r="G308" s="158"/>
      <c r="H308" s="158"/>
      <c r="I308" s="158"/>
      <c r="J308" s="158"/>
      <c r="K308" s="158"/>
      <c r="L308" s="158"/>
      <c r="M308" s="158"/>
      <c r="N308" s="158"/>
      <c r="O308" s="158"/>
      <c r="P308" s="158"/>
      <c r="Q308" s="158"/>
    </row>
    <row r="309">
      <c r="D309" s="158"/>
      <c r="E309" s="158"/>
      <c r="F309" s="158"/>
      <c r="G309" s="158"/>
      <c r="H309" s="158"/>
      <c r="I309" s="158"/>
      <c r="J309" s="158"/>
      <c r="K309" s="158"/>
      <c r="L309" s="158"/>
      <c r="M309" s="158"/>
      <c r="N309" s="158"/>
      <c r="O309" s="158"/>
      <c r="P309" s="158"/>
      <c r="Q309" s="158"/>
    </row>
    <row r="310">
      <c r="D310" s="158"/>
      <c r="E310" s="158"/>
      <c r="F310" s="158"/>
      <c r="G310" s="158"/>
      <c r="H310" s="158"/>
      <c r="I310" s="158"/>
      <c r="J310" s="158"/>
      <c r="K310" s="158"/>
      <c r="L310" s="158"/>
      <c r="M310" s="158"/>
      <c r="N310" s="158"/>
      <c r="O310" s="158"/>
      <c r="P310" s="158"/>
      <c r="Q310" s="158"/>
    </row>
    <row r="311">
      <c r="D311" s="158"/>
      <c r="E311" s="158"/>
      <c r="F311" s="158"/>
      <c r="G311" s="158"/>
      <c r="H311" s="158"/>
      <c r="I311" s="158"/>
      <c r="J311" s="158"/>
      <c r="K311" s="158"/>
      <c r="L311" s="158"/>
      <c r="M311" s="158"/>
      <c r="N311" s="158"/>
      <c r="O311" s="158"/>
      <c r="P311" s="158"/>
      <c r="Q311" s="158"/>
    </row>
    <row r="312">
      <c r="D312" s="158"/>
      <c r="E312" s="158"/>
      <c r="F312" s="158"/>
      <c r="G312" s="158"/>
      <c r="H312" s="158"/>
      <c r="I312" s="158"/>
      <c r="J312" s="158"/>
      <c r="K312" s="158"/>
      <c r="L312" s="158"/>
      <c r="M312" s="158"/>
      <c r="N312" s="158"/>
      <c r="O312" s="158"/>
      <c r="P312" s="158"/>
      <c r="Q312" s="158"/>
    </row>
    <row r="313">
      <c r="D313" s="158"/>
      <c r="E313" s="158"/>
      <c r="F313" s="158"/>
      <c r="G313" s="158"/>
      <c r="H313" s="158"/>
      <c r="I313" s="158"/>
      <c r="J313" s="158"/>
      <c r="K313" s="158"/>
      <c r="L313" s="158"/>
      <c r="M313" s="158"/>
      <c r="N313" s="158"/>
      <c r="O313" s="158"/>
      <c r="P313" s="158"/>
      <c r="Q313" s="158"/>
    </row>
    <row r="314">
      <c r="D314" s="158"/>
      <c r="E314" s="158"/>
      <c r="F314" s="158"/>
      <c r="G314" s="158"/>
      <c r="H314" s="158"/>
      <c r="I314" s="158"/>
      <c r="J314" s="158"/>
      <c r="K314" s="158"/>
      <c r="L314" s="158"/>
      <c r="M314" s="158"/>
      <c r="N314" s="158"/>
      <c r="O314" s="158"/>
      <c r="P314" s="158"/>
      <c r="Q314" s="158"/>
    </row>
    <row r="315">
      <c r="D315" s="158"/>
      <c r="E315" s="158"/>
      <c r="F315" s="158"/>
      <c r="G315" s="158"/>
      <c r="H315" s="158"/>
      <c r="I315" s="158"/>
      <c r="J315" s="158"/>
      <c r="K315" s="158"/>
      <c r="L315" s="158"/>
      <c r="M315" s="158"/>
      <c r="N315" s="158"/>
      <c r="O315" s="158"/>
      <c r="P315" s="158"/>
      <c r="Q315" s="158"/>
    </row>
    <row r="316">
      <c r="D316" s="158"/>
      <c r="E316" s="158"/>
      <c r="F316" s="158"/>
      <c r="G316" s="158"/>
      <c r="H316" s="158"/>
      <c r="I316" s="158"/>
      <c r="J316" s="158"/>
      <c r="K316" s="158"/>
      <c r="L316" s="158"/>
      <c r="M316" s="158"/>
      <c r="N316" s="158"/>
      <c r="O316" s="158"/>
      <c r="P316" s="158"/>
      <c r="Q316" s="158"/>
    </row>
    <row r="317">
      <c r="D317" s="158"/>
      <c r="E317" s="158"/>
      <c r="F317" s="158"/>
      <c r="G317" s="158"/>
      <c r="H317" s="158"/>
      <c r="I317" s="158"/>
      <c r="J317" s="158"/>
      <c r="K317" s="158"/>
      <c r="L317" s="158"/>
      <c r="M317" s="158"/>
      <c r="N317" s="158"/>
      <c r="O317" s="158"/>
      <c r="P317" s="158"/>
      <c r="Q317" s="158"/>
    </row>
    <row r="318">
      <c r="D318" s="158"/>
      <c r="E318" s="158"/>
      <c r="F318" s="158"/>
      <c r="G318" s="158"/>
      <c r="H318" s="158"/>
      <c r="I318" s="158"/>
      <c r="J318" s="158"/>
      <c r="K318" s="158"/>
      <c r="L318" s="158"/>
      <c r="M318" s="158"/>
      <c r="N318" s="158"/>
      <c r="O318" s="158"/>
      <c r="P318" s="158"/>
      <c r="Q318" s="158"/>
    </row>
    <row r="319">
      <c r="D319" s="158"/>
      <c r="E319" s="158"/>
      <c r="F319" s="158"/>
      <c r="G319" s="158"/>
      <c r="H319" s="158"/>
      <c r="I319" s="158"/>
      <c r="J319" s="158"/>
      <c r="K319" s="158"/>
      <c r="L319" s="158"/>
      <c r="M319" s="158"/>
      <c r="N319" s="158"/>
      <c r="O319" s="158"/>
      <c r="P319" s="158"/>
      <c r="Q319" s="158"/>
    </row>
    <row r="320">
      <c r="D320" s="158"/>
      <c r="E320" s="158"/>
      <c r="F320" s="158"/>
      <c r="G320" s="158"/>
      <c r="H320" s="158"/>
      <c r="I320" s="158"/>
      <c r="J320" s="158"/>
      <c r="K320" s="158"/>
      <c r="L320" s="158"/>
      <c r="M320" s="158"/>
      <c r="N320" s="158"/>
      <c r="O320" s="158"/>
      <c r="P320" s="158"/>
      <c r="Q320" s="158"/>
    </row>
    <row r="321">
      <c r="D321" s="158"/>
      <c r="E321" s="158"/>
      <c r="F321" s="158"/>
      <c r="G321" s="158"/>
      <c r="H321" s="158"/>
      <c r="I321" s="158"/>
      <c r="J321" s="158"/>
      <c r="K321" s="158"/>
      <c r="L321" s="158"/>
      <c r="M321" s="158"/>
      <c r="N321" s="158"/>
      <c r="O321" s="158"/>
      <c r="P321" s="158"/>
      <c r="Q321" s="158"/>
    </row>
    <row r="322">
      <c r="D322" s="158"/>
      <c r="E322" s="158"/>
      <c r="F322" s="158"/>
      <c r="G322" s="158"/>
      <c r="H322" s="158"/>
      <c r="I322" s="158"/>
      <c r="J322" s="158"/>
      <c r="K322" s="158"/>
      <c r="L322" s="158"/>
      <c r="M322" s="158"/>
      <c r="N322" s="158"/>
      <c r="O322" s="158"/>
      <c r="P322" s="158"/>
      <c r="Q322" s="158"/>
    </row>
    <row r="323">
      <c r="D323" s="158"/>
      <c r="E323" s="158"/>
      <c r="F323" s="158"/>
      <c r="G323" s="158"/>
      <c r="H323" s="158"/>
      <c r="I323" s="158"/>
      <c r="J323" s="158"/>
      <c r="K323" s="158"/>
      <c r="L323" s="158"/>
      <c r="M323" s="158"/>
      <c r="N323" s="158"/>
      <c r="O323" s="158"/>
      <c r="P323" s="158"/>
      <c r="Q323" s="158"/>
    </row>
    <row r="324">
      <c r="D324" s="158"/>
      <c r="E324" s="158"/>
      <c r="F324" s="158"/>
      <c r="G324" s="158"/>
      <c r="H324" s="158"/>
      <c r="I324" s="158"/>
      <c r="J324" s="158"/>
      <c r="K324" s="158"/>
      <c r="L324" s="158"/>
      <c r="M324" s="158"/>
      <c r="N324" s="158"/>
      <c r="O324" s="158"/>
      <c r="P324" s="158"/>
      <c r="Q324" s="158"/>
    </row>
    <row r="325">
      <c r="D325" s="158"/>
      <c r="E325" s="158"/>
      <c r="F325" s="158"/>
      <c r="G325" s="158"/>
      <c r="H325" s="158"/>
      <c r="I325" s="158"/>
      <c r="J325" s="158"/>
      <c r="K325" s="158"/>
      <c r="L325" s="158"/>
      <c r="M325" s="158"/>
      <c r="N325" s="158"/>
      <c r="O325" s="158"/>
      <c r="P325" s="158"/>
      <c r="Q325" s="158"/>
    </row>
    <row r="326">
      <c r="D326" s="158"/>
      <c r="E326" s="158"/>
      <c r="F326" s="158"/>
      <c r="G326" s="158"/>
      <c r="H326" s="158"/>
      <c r="I326" s="158"/>
      <c r="J326" s="158"/>
      <c r="K326" s="158"/>
      <c r="L326" s="158"/>
      <c r="M326" s="158"/>
      <c r="N326" s="158"/>
      <c r="O326" s="158"/>
      <c r="P326" s="158"/>
      <c r="Q326" s="158"/>
    </row>
    <row r="327">
      <c r="D327" s="158"/>
      <c r="E327" s="158"/>
      <c r="F327" s="158"/>
      <c r="G327" s="158"/>
      <c r="H327" s="158"/>
      <c r="I327" s="158"/>
      <c r="J327" s="158"/>
      <c r="K327" s="158"/>
      <c r="L327" s="158"/>
      <c r="M327" s="158"/>
      <c r="N327" s="158"/>
      <c r="O327" s="158"/>
      <c r="P327" s="158"/>
      <c r="Q327" s="158"/>
    </row>
    <row r="328">
      <c r="D328" s="158"/>
      <c r="E328" s="158"/>
      <c r="F328" s="158"/>
      <c r="G328" s="158"/>
      <c r="H328" s="158"/>
      <c r="I328" s="158"/>
      <c r="J328" s="158"/>
      <c r="K328" s="158"/>
      <c r="L328" s="158"/>
      <c r="M328" s="158"/>
      <c r="N328" s="158"/>
      <c r="O328" s="158"/>
      <c r="P328" s="158"/>
      <c r="Q328" s="158"/>
    </row>
    <row r="329">
      <c r="D329" s="158"/>
      <c r="E329" s="158"/>
      <c r="F329" s="158"/>
      <c r="G329" s="158"/>
      <c r="H329" s="158"/>
      <c r="I329" s="158"/>
      <c r="J329" s="158"/>
      <c r="K329" s="158"/>
      <c r="L329" s="158"/>
      <c r="M329" s="158"/>
      <c r="N329" s="158"/>
      <c r="O329" s="158"/>
      <c r="P329" s="158"/>
      <c r="Q329" s="158"/>
    </row>
    <row r="330">
      <c r="D330" s="158"/>
      <c r="E330" s="158"/>
      <c r="F330" s="158"/>
      <c r="G330" s="158"/>
      <c r="H330" s="158"/>
      <c r="I330" s="158"/>
      <c r="J330" s="158"/>
      <c r="K330" s="158"/>
      <c r="L330" s="158"/>
      <c r="M330" s="158"/>
      <c r="N330" s="158"/>
      <c r="O330" s="158"/>
      <c r="P330" s="158"/>
      <c r="Q330" s="158"/>
    </row>
    <row r="331">
      <c r="D331" s="158"/>
      <c r="E331" s="158"/>
      <c r="F331" s="158"/>
      <c r="G331" s="158"/>
      <c r="H331" s="158"/>
      <c r="I331" s="158"/>
      <c r="J331" s="158"/>
      <c r="K331" s="158"/>
      <c r="L331" s="158"/>
      <c r="M331" s="158"/>
      <c r="N331" s="158"/>
      <c r="O331" s="158"/>
      <c r="P331" s="158"/>
      <c r="Q331" s="158"/>
    </row>
    <row r="332">
      <c r="D332" s="158"/>
      <c r="E332" s="158"/>
      <c r="F332" s="158"/>
      <c r="G332" s="158"/>
      <c r="H332" s="158"/>
      <c r="I332" s="158"/>
      <c r="J332" s="158"/>
      <c r="K332" s="158"/>
      <c r="L332" s="158"/>
      <c r="M332" s="158"/>
      <c r="N332" s="158"/>
      <c r="O332" s="158"/>
      <c r="P332" s="158"/>
      <c r="Q332" s="158"/>
    </row>
    <row r="333">
      <c r="D333" s="158"/>
      <c r="E333" s="158"/>
      <c r="F333" s="158"/>
      <c r="G333" s="158"/>
      <c r="H333" s="158"/>
      <c r="I333" s="158"/>
      <c r="J333" s="158"/>
      <c r="K333" s="158"/>
      <c r="L333" s="158"/>
      <c r="M333" s="158"/>
      <c r="N333" s="158"/>
      <c r="O333" s="158"/>
      <c r="P333" s="158"/>
      <c r="Q333" s="158"/>
    </row>
    <row r="334">
      <c r="D334" s="158"/>
      <c r="E334" s="158"/>
      <c r="F334" s="158"/>
      <c r="G334" s="158"/>
      <c r="H334" s="158"/>
      <c r="I334" s="158"/>
      <c r="J334" s="158"/>
      <c r="K334" s="158"/>
      <c r="L334" s="158"/>
      <c r="M334" s="158"/>
      <c r="N334" s="158"/>
      <c r="O334" s="158"/>
      <c r="P334" s="158"/>
      <c r="Q334" s="158"/>
    </row>
    <row r="335">
      <c r="D335" s="158"/>
      <c r="E335" s="158"/>
      <c r="F335" s="158"/>
      <c r="G335" s="158"/>
      <c r="H335" s="158"/>
      <c r="I335" s="158"/>
      <c r="J335" s="158"/>
      <c r="K335" s="158"/>
      <c r="L335" s="158"/>
      <c r="M335" s="158"/>
      <c r="N335" s="158"/>
      <c r="O335" s="158"/>
      <c r="P335" s="158"/>
      <c r="Q335" s="158"/>
    </row>
    <row r="336">
      <c r="D336" s="158"/>
      <c r="E336" s="158"/>
      <c r="F336" s="158"/>
      <c r="G336" s="158"/>
      <c r="H336" s="158"/>
      <c r="I336" s="158"/>
      <c r="J336" s="158"/>
      <c r="K336" s="158"/>
      <c r="L336" s="158"/>
      <c r="M336" s="158"/>
      <c r="N336" s="158"/>
      <c r="O336" s="158"/>
      <c r="P336" s="158"/>
      <c r="Q336" s="158"/>
    </row>
    <row r="337">
      <c r="D337" s="158"/>
      <c r="E337" s="158"/>
      <c r="F337" s="158"/>
      <c r="G337" s="158"/>
      <c r="H337" s="158"/>
      <c r="I337" s="158"/>
      <c r="J337" s="158"/>
      <c r="K337" s="158"/>
      <c r="L337" s="158"/>
      <c r="M337" s="158"/>
      <c r="N337" s="158"/>
      <c r="O337" s="158"/>
      <c r="P337" s="158"/>
      <c r="Q337" s="158"/>
    </row>
    <row r="338">
      <c r="D338" s="158"/>
      <c r="E338" s="158"/>
      <c r="F338" s="158"/>
      <c r="G338" s="158"/>
      <c r="H338" s="158"/>
      <c r="I338" s="158"/>
      <c r="J338" s="158"/>
      <c r="K338" s="158"/>
      <c r="L338" s="158"/>
      <c r="M338" s="158"/>
      <c r="N338" s="158"/>
      <c r="O338" s="158"/>
      <c r="P338" s="158"/>
      <c r="Q338" s="158"/>
    </row>
    <row r="339">
      <c r="D339" s="158"/>
      <c r="E339" s="158"/>
      <c r="F339" s="158"/>
      <c r="G339" s="158"/>
      <c r="H339" s="158"/>
      <c r="I339" s="158"/>
      <c r="J339" s="158"/>
      <c r="K339" s="158"/>
      <c r="L339" s="158"/>
      <c r="M339" s="158"/>
      <c r="N339" s="158"/>
      <c r="O339" s="158"/>
      <c r="P339" s="158"/>
      <c r="Q339" s="158"/>
    </row>
    <row r="340">
      <c r="D340" s="158"/>
      <c r="E340" s="158"/>
      <c r="F340" s="158"/>
      <c r="G340" s="158"/>
      <c r="H340" s="158"/>
      <c r="I340" s="158"/>
      <c r="J340" s="158"/>
      <c r="K340" s="158"/>
      <c r="L340" s="158"/>
      <c r="M340" s="158"/>
      <c r="N340" s="158"/>
      <c r="O340" s="158"/>
      <c r="P340" s="158"/>
      <c r="Q340" s="158"/>
    </row>
    <row r="341">
      <c r="D341" s="158"/>
      <c r="E341" s="158"/>
      <c r="F341" s="158"/>
      <c r="G341" s="158"/>
      <c r="H341" s="158"/>
      <c r="I341" s="158"/>
      <c r="J341" s="158"/>
      <c r="K341" s="158"/>
      <c r="L341" s="158"/>
      <c r="M341" s="158"/>
      <c r="N341" s="158"/>
      <c r="O341" s="158"/>
      <c r="P341" s="158"/>
      <c r="Q341" s="158"/>
    </row>
    <row r="342">
      <c r="D342" s="158"/>
      <c r="E342" s="158"/>
      <c r="F342" s="158"/>
      <c r="G342" s="158"/>
      <c r="H342" s="158"/>
      <c r="I342" s="158"/>
      <c r="J342" s="158"/>
      <c r="K342" s="158"/>
      <c r="L342" s="158"/>
      <c r="M342" s="158"/>
      <c r="N342" s="158"/>
      <c r="O342" s="158"/>
      <c r="P342" s="158"/>
      <c r="Q342" s="158"/>
    </row>
    <row r="343">
      <c r="D343" s="158"/>
      <c r="E343" s="158"/>
      <c r="F343" s="158"/>
      <c r="G343" s="158"/>
      <c r="H343" s="158"/>
      <c r="I343" s="158"/>
      <c r="J343" s="158"/>
      <c r="K343" s="158"/>
      <c r="L343" s="158"/>
      <c r="M343" s="158"/>
      <c r="N343" s="158"/>
      <c r="O343" s="158"/>
      <c r="P343" s="158"/>
      <c r="Q343" s="158"/>
    </row>
    <row r="344">
      <c r="D344" s="158"/>
      <c r="E344" s="158"/>
      <c r="F344" s="158"/>
      <c r="G344" s="158"/>
      <c r="H344" s="158"/>
      <c r="I344" s="158"/>
      <c r="J344" s="158"/>
      <c r="K344" s="158"/>
      <c r="L344" s="158"/>
      <c r="M344" s="158"/>
      <c r="N344" s="158"/>
      <c r="O344" s="158"/>
      <c r="P344" s="158"/>
      <c r="Q344" s="158"/>
    </row>
    <row r="345">
      <c r="D345" s="158"/>
      <c r="E345" s="158"/>
      <c r="F345" s="158"/>
      <c r="G345" s="158"/>
      <c r="H345" s="158"/>
      <c r="I345" s="158"/>
      <c r="J345" s="158"/>
      <c r="K345" s="158"/>
      <c r="L345" s="158"/>
      <c r="M345" s="158"/>
      <c r="N345" s="158"/>
      <c r="O345" s="158"/>
      <c r="P345" s="158"/>
      <c r="Q345" s="158"/>
    </row>
    <row r="346">
      <c r="D346" s="158"/>
      <c r="E346" s="158"/>
      <c r="F346" s="158"/>
      <c r="G346" s="158"/>
      <c r="H346" s="158"/>
      <c r="I346" s="158"/>
      <c r="J346" s="158"/>
      <c r="K346" s="158"/>
      <c r="L346" s="158"/>
      <c r="M346" s="158"/>
      <c r="N346" s="158"/>
      <c r="O346" s="158"/>
      <c r="P346" s="158"/>
      <c r="Q346" s="158"/>
    </row>
    <row r="347">
      <c r="D347" s="158"/>
      <c r="E347" s="158"/>
      <c r="F347" s="158"/>
      <c r="G347" s="158"/>
      <c r="H347" s="158"/>
      <c r="I347" s="158"/>
      <c r="J347" s="158"/>
      <c r="K347" s="158"/>
      <c r="L347" s="158"/>
      <c r="M347" s="158"/>
      <c r="N347" s="158"/>
      <c r="O347" s="158"/>
      <c r="P347" s="158"/>
      <c r="Q347" s="158"/>
    </row>
    <row r="348">
      <c r="D348" s="158"/>
      <c r="E348" s="158"/>
      <c r="F348" s="158"/>
      <c r="G348" s="158"/>
      <c r="H348" s="158"/>
      <c r="I348" s="158"/>
      <c r="J348" s="158"/>
      <c r="K348" s="158"/>
      <c r="L348" s="158"/>
      <c r="M348" s="158"/>
      <c r="N348" s="158"/>
      <c r="O348" s="158"/>
      <c r="P348" s="158"/>
      <c r="Q348" s="158"/>
    </row>
    <row r="349">
      <c r="D349" s="158"/>
      <c r="E349" s="158"/>
      <c r="F349" s="158"/>
      <c r="G349" s="158"/>
      <c r="H349" s="158"/>
      <c r="I349" s="158"/>
      <c r="J349" s="158"/>
      <c r="K349" s="158"/>
      <c r="L349" s="158"/>
      <c r="M349" s="158"/>
      <c r="N349" s="158"/>
      <c r="O349" s="158"/>
      <c r="P349" s="158"/>
      <c r="Q349" s="158"/>
    </row>
    <row r="350">
      <c r="D350" s="158"/>
      <c r="E350" s="158"/>
      <c r="F350" s="158"/>
      <c r="G350" s="158"/>
      <c r="H350" s="158"/>
      <c r="I350" s="158"/>
      <c r="J350" s="158"/>
      <c r="K350" s="158"/>
      <c r="L350" s="158"/>
      <c r="M350" s="158"/>
      <c r="N350" s="158"/>
      <c r="O350" s="158"/>
      <c r="P350" s="158"/>
      <c r="Q350" s="158"/>
    </row>
    <row r="351">
      <c r="D351" s="158"/>
      <c r="E351" s="158"/>
      <c r="F351" s="158"/>
      <c r="G351" s="158"/>
      <c r="H351" s="158"/>
      <c r="I351" s="158"/>
      <c r="J351" s="158"/>
      <c r="K351" s="158"/>
      <c r="L351" s="158"/>
      <c r="M351" s="158"/>
      <c r="N351" s="158"/>
      <c r="O351" s="158"/>
      <c r="P351" s="158"/>
      <c r="Q351" s="158"/>
    </row>
    <row r="352">
      <c r="D352" s="158"/>
      <c r="E352" s="158"/>
      <c r="F352" s="158"/>
      <c r="G352" s="158"/>
      <c r="H352" s="158"/>
      <c r="I352" s="158"/>
      <c r="J352" s="158"/>
      <c r="K352" s="158"/>
      <c r="L352" s="158"/>
      <c r="M352" s="158"/>
      <c r="N352" s="158"/>
      <c r="O352" s="158"/>
      <c r="P352" s="158"/>
      <c r="Q352" s="158"/>
    </row>
    <row r="353">
      <c r="D353" s="158"/>
      <c r="E353" s="158"/>
      <c r="F353" s="158"/>
      <c r="G353" s="158"/>
      <c r="H353" s="158"/>
      <c r="I353" s="158"/>
      <c r="J353" s="158"/>
      <c r="K353" s="158"/>
      <c r="L353" s="158"/>
      <c r="M353" s="158"/>
      <c r="N353" s="158"/>
      <c r="O353" s="158"/>
      <c r="P353" s="158"/>
      <c r="Q353" s="158"/>
    </row>
    <row r="354">
      <c r="D354" s="158"/>
      <c r="E354" s="158"/>
      <c r="F354" s="158"/>
      <c r="G354" s="158"/>
      <c r="H354" s="158"/>
      <c r="I354" s="158"/>
      <c r="J354" s="158"/>
      <c r="K354" s="158"/>
      <c r="L354" s="158"/>
      <c r="M354" s="158"/>
      <c r="N354" s="158"/>
      <c r="O354" s="158"/>
      <c r="P354" s="158"/>
      <c r="Q354" s="158"/>
    </row>
    <row r="355">
      <c r="D355" s="158"/>
      <c r="E355" s="158"/>
      <c r="F355" s="158"/>
      <c r="G355" s="158"/>
      <c r="H355" s="158"/>
      <c r="I355" s="158"/>
      <c r="J355" s="158"/>
      <c r="K355" s="158"/>
      <c r="L355" s="158"/>
      <c r="M355" s="158"/>
      <c r="N355" s="158"/>
      <c r="O355" s="158"/>
      <c r="P355" s="158"/>
      <c r="Q355" s="158"/>
    </row>
    <row r="356">
      <c r="D356" s="158"/>
      <c r="E356" s="158"/>
      <c r="F356" s="158"/>
      <c r="G356" s="158"/>
      <c r="H356" s="158"/>
      <c r="I356" s="158"/>
      <c r="J356" s="158"/>
      <c r="K356" s="158"/>
      <c r="L356" s="158"/>
      <c r="M356" s="158"/>
      <c r="N356" s="158"/>
      <c r="O356" s="158"/>
      <c r="P356" s="158"/>
      <c r="Q356" s="158"/>
    </row>
    <row r="357">
      <c r="D357" s="158"/>
      <c r="E357" s="158"/>
      <c r="F357" s="158"/>
      <c r="G357" s="158"/>
      <c r="H357" s="158"/>
      <c r="I357" s="158"/>
      <c r="J357" s="158"/>
      <c r="K357" s="158"/>
      <c r="L357" s="158"/>
      <c r="M357" s="158"/>
      <c r="N357" s="158"/>
      <c r="O357" s="158"/>
      <c r="P357" s="158"/>
      <c r="Q357" s="158"/>
    </row>
    <row r="358">
      <c r="D358" s="158"/>
      <c r="E358" s="158"/>
      <c r="F358" s="158"/>
      <c r="G358" s="158"/>
      <c r="H358" s="158"/>
      <c r="I358" s="158"/>
      <c r="J358" s="158"/>
      <c r="K358" s="158"/>
      <c r="L358" s="158"/>
      <c r="M358" s="158"/>
      <c r="N358" s="158"/>
      <c r="O358" s="158"/>
      <c r="P358" s="158"/>
      <c r="Q358" s="158"/>
    </row>
    <row r="359">
      <c r="D359" s="158"/>
      <c r="E359" s="158"/>
      <c r="F359" s="158"/>
      <c r="G359" s="158"/>
      <c r="H359" s="158"/>
      <c r="I359" s="158"/>
      <c r="J359" s="158"/>
      <c r="K359" s="158"/>
      <c r="L359" s="158"/>
      <c r="M359" s="158"/>
      <c r="N359" s="158"/>
      <c r="O359" s="158"/>
      <c r="P359" s="158"/>
      <c r="Q359" s="158"/>
    </row>
    <row r="360">
      <c r="D360" s="158"/>
      <c r="E360" s="158"/>
      <c r="F360" s="158"/>
      <c r="G360" s="158"/>
      <c r="H360" s="158"/>
      <c r="I360" s="158"/>
      <c r="J360" s="158"/>
      <c r="K360" s="158"/>
      <c r="L360" s="158"/>
      <c r="M360" s="158"/>
      <c r="N360" s="158"/>
      <c r="O360" s="158"/>
      <c r="P360" s="158"/>
      <c r="Q360" s="158"/>
    </row>
    <row r="361">
      <c r="D361" s="158"/>
      <c r="E361" s="158"/>
      <c r="F361" s="158"/>
      <c r="G361" s="158"/>
      <c r="H361" s="158"/>
      <c r="I361" s="158"/>
      <c r="J361" s="158"/>
      <c r="K361" s="158"/>
      <c r="L361" s="158"/>
      <c r="M361" s="158"/>
      <c r="N361" s="158"/>
      <c r="O361" s="158"/>
      <c r="P361" s="158"/>
      <c r="Q361" s="158"/>
    </row>
    <row r="362">
      <c r="D362" s="158"/>
      <c r="E362" s="158"/>
      <c r="F362" s="158"/>
      <c r="G362" s="158"/>
      <c r="H362" s="158"/>
      <c r="I362" s="158"/>
      <c r="J362" s="158"/>
      <c r="K362" s="158"/>
      <c r="L362" s="158"/>
      <c r="M362" s="158"/>
      <c r="N362" s="158"/>
      <c r="O362" s="158"/>
      <c r="P362" s="158"/>
      <c r="Q362" s="158"/>
    </row>
    <row r="363">
      <c r="D363" s="158"/>
      <c r="E363" s="158"/>
      <c r="F363" s="158"/>
      <c r="G363" s="158"/>
      <c r="H363" s="158"/>
      <c r="I363" s="158"/>
      <c r="J363" s="158"/>
      <c r="K363" s="158"/>
      <c r="L363" s="158"/>
      <c r="M363" s="158"/>
      <c r="N363" s="158"/>
      <c r="O363" s="158"/>
      <c r="P363" s="158"/>
      <c r="Q363" s="158"/>
    </row>
    <row r="364">
      <c r="D364" s="158"/>
      <c r="E364" s="158"/>
      <c r="F364" s="158"/>
      <c r="G364" s="158"/>
      <c r="H364" s="158"/>
      <c r="I364" s="158"/>
      <c r="J364" s="158"/>
      <c r="K364" s="158"/>
      <c r="L364" s="158"/>
      <c r="M364" s="158"/>
      <c r="N364" s="158"/>
      <c r="O364" s="158"/>
      <c r="P364" s="158"/>
      <c r="Q364" s="158"/>
    </row>
    <row r="365">
      <c r="D365" s="158"/>
      <c r="E365" s="158"/>
      <c r="F365" s="158"/>
      <c r="G365" s="158"/>
      <c r="H365" s="158"/>
      <c r="I365" s="158"/>
      <c r="J365" s="158"/>
      <c r="K365" s="158"/>
      <c r="L365" s="158"/>
      <c r="M365" s="158"/>
      <c r="N365" s="158"/>
      <c r="O365" s="158"/>
      <c r="P365" s="158"/>
      <c r="Q365" s="158"/>
    </row>
    <row r="366">
      <c r="D366" s="158"/>
      <c r="E366" s="158"/>
      <c r="F366" s="158"/>
      <c r="G366" s="158"/>
      <c r="H366" s="158"/>
      <c r="I366" s="158"/>
      <c r="J366" s="158"/>
      <c r="K366" s="158"/>
      <c r="L366" s="158"/>
      <c r="M366" s="158"/>
      <c r="N366" s="158"/>
      <c r="O366" s="158"/>
      <c r="P366" s="158"/>
      <c r="Q366" s="158"/>
    </row>
    <row r="367">
      <c r="D367" s="158"/>
      <c r="E367" s="158"/>
      <c r="F367" s="158"/>
      <c r="G367" s="158"/>
      <c r="H367" s="158"/>
      <c r="I367" s="158"/>
      <c r="J367" s="158"/>
      <c r="K367" s="158"/>
      <c r="L367" s="158"/>
      <c r="M367" s="158"/>
      <c r="N367" s="158"/>
      <c r="O367" s="158"/>
      <c r="P367" s="158"/>
      <c r="Q367" s="158"/>
    </row>
    <row r="368">
      <c r="D368" s="158"/>
      <c r="E368" s="158"/>
      <c r="F368" s="158"/>
      <c r="G368" s="158"/>
      <c r="H368" s="158"/>
      <c r="I368" s="158"/>
      <c r="J368" s="158"/>
      <c r="K368" s="158"/>
      <c r="L368" s="158"/>
      <c r="M368" s="158"/>
      <c r="N368" s="158"/>
      <c r="O368" s="158"/>
      <c r="P368" s="158"/>
      <c r="Q368" s="158"/>
    </row>
    <row r="369">
      <c r="D369" s="158"/>
      <c r="E369" s="158"/>
      <c r="F369" s="158"/>
      <c r="G369" s="158"/>
      <c r="H369" s="158"/>
      <c r="I369" s="158"/>
      <c r="J369" s="158"/>
      <c r="K369" s="158"/>
      <c r="L369" s="158"/>
      <c r="M369" s="158"/>
      <c r="N369" s="158"/>
      <c r="O369" s="158"/>
      <c r="P369" s="158"/>
      <c r="Q369" s="158"/>
    </row>
    <row r="370">
      <c r="D370" s="158"/>
      <c r="E370" s="158"/>
      <c r="F370" s="158"/>
      <c r="G370" s="158"/>
      <c r="H370" s="158"/>
      <c r="I370" s="158"/>
      <c r="J370" s="158"/>
      <c r="K370" s="158"/>
      <c r="L370" s="158"/>
      <c r="M370" s="158"/>
      <c r="N370" s="158"/>
      <c r="O370" s="158"/>
      <c r="P370" s="158"/>
      <c r="Q370" s="158"/>
    </row>
    <row r="371">
      <c r="D371" s="158"/>
      <c r="E371" s="158"/>
      <c r="F371" s="158"/>
      <c r="G371" s="158"/>
      <c r="H371" s="158"/>
      <c r="I371" s="158"/>
      <c r="J371" s="158"/>
      <c r="K371" s="158"/>
      <c r="L371" s="158"/>
      <c r="M371" s="158"/>
      <c r="N371" s="158"/>
      <c r="O371" s="158"/>
      <c r="P371" s="158"/>
      <c r="Q371" s="158"/>
    </row>
    <row r="372">
      <c r="D372" s="158"/>
      <c r="E372" s="158"/>
      <c r="F372" s="158"/>
      <c r="G372" s="158"/>
      <c r="H372" s="158"/>
      <c r="I372" s="158"/>
      <c r="J372" s="158"/>
      <c r="K372" s="158"/>
      <c r="L372" s="158"/>
      <c r="M372" s="158"/>
      <c r="N372" s="158"/>
      <c r="O372" s="158"/>
      <c r="P372" s="158"/>
      <c r="Q372" s="158"/>
    </row>
    <row r="373">
      <c r="D373" s="158"/>
      <c r="E373" s="158"/>
      <c r="F373" s="158"/>
      <c r="G373" s="158"/>
      <c r="H373" s="158"/>
      <c r="I373" s="158"/>
      <c r="J373" s="158"/>
      <c r="K373" s="158"/>
      <c r="L373" s="158"/>
      <c r="M373" s="158"/>
      <c r="N373" s="158"/>
      <c r="O373" s="158"/>
      <c r="P373" s="158"/>
      <c r="Q373" s="158"/>
    </row>
    <row r="374">
      <c r="D374" s="158"/>
      <c r="E374" s="158"/>
      <c r="F374" s="158"/>
      <c r="G374" s="158"/>
      <c r="H374" s="158"/>
      <c r="I374" s="158"/>
      <c r="J374" s="158"/>
      <c r="K374" s="158"/>
      <c r="L374" s="158"/>
      <c r="M374" s="158"/>
      <c r="N374" s="158"/>
      <c r="O374" s="158"/>
      <c r="P374" s="158"/>
      <c r="Q374" s="158"/>
    </row>
    <row r="375">
      <c r="D375" s="158"/>
      <c r="E375" s="158"/>
      <c r="F375" s="158"/>
      <c r="G375" s="158"/>
      <c r="H375" s="158"/>
      <c r="I375" s="158"/>
      <c r="J375" s="158"/>
      <c r="K375" s="158"/>
      <c r="L375" s="158"/>
      <c r="M375" s="158"/>
      <c r="N375" s="158"/>
      <c r="O375" s="158"/>
      <c r="P375" s="158"/>
      <c r="Q375" s="158"/>
    </row>
    <row r="376">
      <c r="D376" s="158"/>
      <c r="E376" s="158"/>
      <c r="F376" s="158"/>
      <c r="G376" s="158"/>
      <c r="H376" s="158"/>
      <c r="I376" s="158"/>
      <c r="J376" s="158"/>
      <c r="K376" s="158"/>
      <c r="L376" s="158"/>
      <c r="M376" s="158"/>
      <c r="N376" s="158"/>
      <c r="O376" s="158"/>
      <c r="P376" s="158"/>
      <c r="Q376" s="158"/>
    </row>
    <row r="377">
      <c r="D377" s="158"/>
      <c r="E377" s="158"/>
      <c r="F377" s="158"/>
      <c r="G377" s="158"/>
      <c r="H377" s="158"/>
      <c r="I377" s="158"/>
      <c r="J377" s="158"/>
      <c r="K377" s="158"/>
      <c r="L377" s="158"/>
      <c r="M377" s="158"/>
      <c r="N377" s="158"/>
      <c r="O377" s="158"/>
      <c r="P377" s="158"/>
      <c r="Q377" s="158"/>
    </row>
    <row r="378">
      <c r="D378" s="158"/>
      <c r="E378" s="158"/>
      <c r="F378" s="158"/>
      <c r="G378" s="158"/>
      <c r="H378" s="158"/>
      <c r="I378" s="158"/>
      <c r="J378" s="158"/>
      <c r="K378" s="158"/>
      <c r="L378" s="158"/>
      <c r="M378" s="158"/>
      <c r="N378" s="158"/>
      <c r="O378" s="158"/>
      <c r="P378" s="158"/>
      <c r="Q378" s="158"/>
    </row>
    <row r="379">
      <c r="D379" s="158"/>
      <c r="E379" s="158"/>
      <c r="F379" s="158"/>
      <c r="G379" s="158"/>
      <c r="H379" s="158"/>
      <c r="I379" s="158"/>
      <c r="J379" s="158"/>
      <c r="K379" s="158"/>
      <c r="L379" s="158"/>
      <c r="M379" s="158"/>
      <c r="N379" s="158"/>
      <c r="O379" s="158"/>
      <c r="P379" s="158"/>
      <c r="Q379" s="158"/>
    </row>
    <row r="380">
      <c r="D380" s="158"/>
      <c r="E380" s="158"/>
      <c r="F380" s="158"/>
      <c r="G380" s="158"/>
      <c r="H380" s="158"/>
      <c r="I380" s="158"/>
      <c r="J380" s="158"/>
      <c r="K380" s="158"/>
      <c r="L380" s="158"/>
      <c r="M380" s="158"/>
      <c r="N380" s="158"/>
      <c r="O380" s="158"/>
      <c r="P380" s="158"/>
      <c r="Q380" s="158"/>
    </row>
    <row r="381">
      <c r="D381" s="158"/>
      <c r="E381" s="158"/>
      <c r="F381" s="158"/>
      <c r="G381" s="158"/>
      <c r="H381" s="158"/>
      <c r="I381" s="158"/>
      <c r="J381" s="158"/>
      <c r="K381" s="158"/>
      <c r="L381" s="158"/>
      <c r="M381" s="158"/>
      <c r="N381" s="158"/>
      <c r="O381" s="158"/>
      <c r="P381" s="158"/>
      <c r="Q381" s="158"/>
    </row>
    <row r="382">
      <c r="D382" s="158"/>
      <c r="E382" s="158"/>
      <c r="F382" s="158"/>
      <c r="G382" s="158"/>
      <c r="H382" s="158"/>
      <c r="I382" s="158"/>
      <c r="J382" s="158"/>
      <c r="K382" s="158"/>
      <c r="L382" s="158"/>
      <c r="M382" s="158"/>
      <c r="N382" s="158"/>
      <c r="O382" s="158"/>
      <c r="P382" s="158"/>
      <c r="Q382" s="158"/>
    </row>
    <row r="383">
      <c r="D383" s="158"/>
      <c r="E383" s="158"/>
      <c r="F383" s="158"/>
      <c r="G383" s="158"/>
      <c r="H383" s="158"/>
      <c r="I383" s="158"/>
      <c r="J383" s="158"/>
      <c r="K383" s="158"/>
      <c r="L383" s="158"/>
      <c r="M383" s="158"/>
      <c r="N383" s="158"/>
      <c r="O383" s="158"/>
      <c r="P383" s="158"/>
      <c r="Q383" s="158"/>
    </row>
    <row r="384">
      <c r="D384" s="158"/>
      <c r="E384" s="158"/>
      <c r="F384" s="158"/>
      <c r="G384" s="158"/>
      <c r="H384" s="158"/>
      <c r="I384" s="158"/>
      <c r="J384" s="158"/>
      <c r="K384" s="158"/>
      <c r="L384" s="158"/>
      <c r="M384" s="158"/>
      <c r="N384" s="158"/>
      <c r="O384" s="158"/>
      <c r="P384" s="158"/>
      <c r="Q384" s="158"/>
    </row>
    <row r="385">
      <c r="D385" s="158"/>
      <c r="E385" s="158"/>
      <c r="F385" s="158"/>
      <c r="G385" s="158"/>
      <c r="H385" s="158"/>
      <c r="I385" s="158"/>
      <c r="J385" s="158"/>
      <c r="K385" s="158"/>
      <c r="L385" s="158"/>
      <c r="M385" s="158"/>
      <c r="N385" s="158"/>
      <c r="O385" s="158"/>
      <c r="P385" s="158"/>
      <c r="Q385" s="158"/>
    </row>
    <row r="386">
      <c r="D386" s="158"/>
      <c r="E386" s="158"/>
      <c r="F386" s="158"/>
      <c r="G386" s="158"/>
      <c r="H386" s="158"/>
      <c r="I386" s="158"/>
      <c r="J386" s="158"/>
      <c r="K386" s="158"/>
      <c r="L386" s="158"/>
      <c r="M386" s="158"/>
      <c r="N386" s="158"/>
      <c r="O386" s="158"/>
      <c r="P386" s="158"/>
      <c r="Q386" s="158"/>
    </row>
    <row r="387">
      <c r="D387" s="158"/>
      <c r="E387" s="158"/>
      <c r="F387" s="158"/>
      <c r="G387" s="158"/>
      <c r="H387" s="158"/>
      <c r="I387" s="158"/>
      <c r="J387" s="158"/>
      <c r="K387" s="158"/>
      <c r="L387" s="158"/>
      <c r="M387" s="158"/>
      <c r="N387" s="158"/>
      <c r="O387" s="158"/>
      <c r="P387" s="158"/>
      <c r="Q387" s="158"/>
    </row>
    <row r="388">
      <c r="D388" s="158"/>
      <c r="E388" s="158"/>
      <c r="F388" s="158"/>
      <c r="G388" s="158"/>
      <c r="H388" s="158"/>
      <c r="I388" s="158"/>
      <c r="J388" s="158"/>
      <c r="K388" s="158"/>
      <c r="L388" s="158"/>
      <c r="M388" s="158"/>
      <c r="N388" s="158"/>
      <c r="O388" s="158"/>
      <c r="P388" s="158"/>
      <c r="Q388" s="158"/>
    </row>
    <row r="389">
      <c r="D389" s="158"/>
      <c r="E389" s="158"/>
      <c r="F389" s="158"/>
      <c r="G389" s="158"/>
      <c r="H389" s="158"/>
      <c r="I389" s="158"/>
      <c r="J389" s="158"/>
      <c r="K389" s="158"/>
      <c r="L389" s="158"/>
      <c r="M389" s="158"/>
      <c r="N389" s="158"/>
      <c r="O389" s="158"/>
      <c r="P389" s="158"/>
      <c r="Q389" s="158"/>
    </row>
    <row r="390">
      <c r="D390" s="158"/>
      <c r="E390" s="158"/>
      <c r="F390" s="158"/>
      <c r="G390" s="158"/>
      <c r="H390" s="158"/>
      <c r="I390" s="158"/>
      <c r="J390" s="158"/>
      <c r="K390" s="158"/>
      <c r="L390" s="158"/>
      <c r="M390" s="158"/>
      <c r="N390" s="158"/>
      <c r="O390" s="158"/>
      <c r="P390" s="158"/>
      <c r="Q390" s="158"/>
    </row>
    <row r="391">
      <c r="D391" s="158"/>
      <c r="E391" s="158"/>
      <c r="F391" s="158"/>
      <c r="G391" s="158"/>
      <c r="H391" s="158"/>
      <c r="I391" s="158"/>
      <c r="J391" s="158"/>
      <c r="K391" s="158"/>
      <c r="L391" s="158"/>
      <c r="M391" s="158"/>
      <c r="N391" s="158"/>
      <c r="O391" s="158"/>
      <c r="P391" s="158"/>
      <c r="Q391" s="158"/>
    </row>
    <row r="392">
      <c r="D392" s="158"/>
      <c r="E392" s="158"/>
      <c r="F392" s="158"/>
      <c r="G392" s="158"/>
      <c r="H392" s="158"/>
      <c r="I392" s="158"/>
      <c r="J392" s="158"/>
      <c r="K392" s="158"/>
      <c r="L392" s="158"/>
      <c r="M392" s="158"/>
      <c r="N392" s="158"/>
      <c r="O392" s="158"/>
      <c r="P392" s="158"/>
      <c r="Q392" s="158"/>
    </row>
    <row r="393">
      <c r="D393" s="158"/>
      <c r="E393" s="158"/>
      <c r="F393" s="158"/>
      <c r="G393" s="158"/>
      <c r="H393" s="158"/>
      <c r="I393" s="158"/>
      <c r="J393" s="158"/>
      <c r="K393" s="158"/>
      <c r="L393" s="158"/>
      <c r="M393" s="158"/>
      <c r="N393" s="158"/>
      <c r="O393" s="158"/>
      <c r="P393" s="158"/>
      <c r="Q393" s="158"/>
    </row>
    <row r="394">
      <c r="D394" s="158"/>
      <c r="E394" s="158"/>
      <c r="F394" s="158"/>
      <c r="G394" s="158"/>
      <c r="H394" s="158"/>
      <c r="I394" s="158"/>
      <c r="J394" s="158"/>
      <c r="K394" s="158"/>
      <c r="L394" s="158"/>
      <c r="M394" s="158"/>
      <c r="N394" s="158"/>
      <c r="O394" s="158"/>
      <c r="P394" s="158"/>
      <c r="Q394" s="158"/>
    </row>
    <row r="395">
      <c r="D395" s="158"/>
      <c r="E395" s="158"/>
      <c r="F395" s="158"/>
      <c r="G395" s="158"/>
      <c r="H395" s="158"/>
      <c r="I395" s="158"/>
      <c r="J395" s="158"/>
      <c r="K395" s="158"/>
      <c r="L395" s="158"/>
      <c r="M395" s="158"/>
      <c r="N395" s="158"/>
      <c r="O395" s="158"/>
      <c r="P395" s="158"/>
      <c r="Q395" s="158"/>
    </row>
    <row r="396">
      <c r="D396" s="158"/>
      <c r="E396" s="158"/>
      <c r="F396" s="158"/>
      <c r="G396" s="158"/>
      <c r="H396" s="158"/>
      <c r="I396" s="158"/>
      <c r="J396" s="158"/>
      <c r="K396" s="158"/>
      <c r="L396" s="158"/>
      <c r="M396" s="158"/>
      <c r="N396" s="158"/>
      <c r="O396" s="158"/>
      <c r="P396" s="158"/>
      <c r="Q396" s="158"/>
    </row>
    <row r="397">
      <c r="D397" s="158"/>
      <c r="E397" s="158"/>
      <c r="F397" s="158"/>
      <c r="G397" s="158"/>
      <c r="H397" s="158"/>
      <c r="I397" s="158"/>
      <c r="J397" s="158"/>
      <c r="K397" s="158"/>
      <c r="L397" s="158"/>
      <c r="M397" s="158"/>
      <c r="N397" s="158"/>
      <c r="O397" s="158"/>
      <c r="P397" s="158"/>
      <c r="Q397" s="158"/>
    </row>
    <row r="398">
      <c r="D398" s="158"/>
      <c r="E398" s="158"/>
      <c r="F398" s="158"/>
      <c r="G398" s="158"/>
      <c r="H398" s="158"/>
      <c r="I398" s="158"/>
      <c r="J398" s="158"/>
      <c r="K398" s="158"/>
      <c r="L398" s="158"/>
      <c r="M398" s="158"/>
      <c r="N398" s="158"/>
      <c r="O398" s="158"/>
      <c r="P398" s="158"/>
      <c r="Q398" s="158"/>
    </row>
    <row r="399">
      <c r="D399" s="158"/>
      <c r="E399" s="158"/>
      <c r="F399" s="158"/>
      <c r="G399" s="158"/>
      <c r="H399" s="158"/>
      <c r="I399" s="158"/>
      <c r="J399" s="158"/>
      <c r="K399" s="158"/>
      <c r="L399" s="158"/>
      <c r="M399" s="158"/>
      <c r="N399" s="158"/>
      <c r="O399" s="158"/>
      <c r="P399" s="158"/>
      <c r="Q399" s="158"/>
    </row>
    <row r="400">
      <c r="D400" s="158"/>
      <c r="E400" s="158"/>
      <c r="F400" s="158"/>
      <c r="G400" s="158"/>
      <c r="H400" s="158"/>
      <c r="I400" s="158"/>
      <c r="J400" s="158"/>
      <c r="K400" s="158"/>
      <c r="L400" s="158"/>
      <c r="M400" s="158"/>
      <c r="N400" s="158"/>
      <c r="O400" s="158"/>
      <c r="P400" s="158"/>
      <c r="Q400" s="158"/>
    </row>
    <row r="401">
      <c r="D401" s="158"/>
      <c r="E401" s="158"/>
      <c r="F401" s="158"/>
      <c r="G401" s="158"/>
      <c r="H401" s="158"/>
      <c r="I401" s="158"/>
      <c r="J401" s="158"/>
      <c r="K401" s="158"/>
      <c r="L401" s="158"/>
      <c r="M401" s="158"/>
      <c r="N401" s="158"/>
      <c r="O401" s="158"/>
      <c r="P401" s="158"/>
      <c r="Q401" s="158"/>
    </row>
    <row r="402">
      <c r="D402" s="158"/>
      <c r="E402" s="158"/>
      <c r="F402" s="158"/>
      <c r="G402" s="158"/>
      <c r="H402" s="158"/>
      <c r="I402" s="158"/>
      <c r="J402" s="158"/>
      <c r="K402" s="158"/>
      <c r="L402" s="158"/>
      <c r="M402" s="158"/>
      <c r="N402" s="158"/>
      <c r="O402" s="158"/>
      <c r="P402" s="158"/>
      <c r="Q402" s="158"/>
    </row>
    <row r="403">
      <c r="D403" s="158"/>
      <c r="E403" s="158"/>
      <c r="F403" s="158"/>
      <c r="G403" s="158"/>
      <c r="H403" s="158"/>
      <c r="I403" s="158"/>
      <c r="J403" s="158"/>
      <c r="K403" s="158"/>
      <c r="L403" s="158"/>
      <c r="M403" s="158"/>
      <c r="N403" s="158"/>
      <c r="O403" s="158"/>
      <c r="P403" s="158"/>
      <c r="Q403" s="158"/>
    </row>
    <row r="404">
      <c r="D404" s="158"/>
      <c r="E404" s="158"/>
      <c r="F404" s="158"/>
      <c r="G404" s="158"/>
      <c r="H404" s="158"/>
      <c r="I404" s="158"/>
      <c r="J404" s="158"/>
      <c r="K404" s="158"/>
      <c r="L404" s="158"/>
      <c r="M404" s="158"/>
      <c r="N404" s="158"/>
      <c r="O404" s="158"/>
      <c r="P404" s="158"/>
      <c r="Q404" s="158"/>
    </row>
    <row r="405">
      <c r="D405" s="158"/>
      <c r="E405" s="158"/>
      <c r="F405" s="158"/>
      <c r="G405" s="158"/>
      <c r="H405" s="158"/>
      <c r="I405" s="158"/>
      <c r="J405" s="158"/>
      <c r="K405" s="158"/>
      <c r="L405" s="158"/>
      <c r="M405" s="158"/>
      <c r="N405" s="158"/>
      <c r="O405" s="158"/>
      <c r="P405" s="158"/>
      <c r="Q405" s="158"/>
    </row>
    <row r="406">
      <c r="D406" s="158"/>
      <c r="E406" s="158"/>
      <c r="F406" s="158"/>
      <c r="G406" s="158"/>
      <c r="H406" s="158"/>
      <c r="I406" s="158"/>
      <c r="J406" s="158"/>
      <c r="K406" s="158"/>
      <c r="L406" s="158"/>
      <c r="M406" s="158"/>
      <c r="N406" s="158"/>
      <c r="O406" s="158"/>
      <c r="P406" s="158"/>
      <c r="Q406" s="158"/>
    </row>
    <row r="407">
      <c r="D407" s="158"/>
      <c r="E407" s="158"/>
      <c r="F407" s="158"/>
      <c r="G407" s="158"/>
      <c r="H407" s="158"/>
      <c r="I407" s="158"/>
      <c r="J407" s="158"/>
      <c r="K407" s="158"/>
      <c r="L407" s="158"/>
      <c r="M407" s="158"/>
      <c r="N407" s="158"/>
      <c r="O407" s="158"/>
      <c r="P407" s="158"/>
      <c r="Q407" s="158"/>
    </row>
    <row r="408">
      <c r="D408" s="158"/>
      <c r="E408" s="158"/>
      <c r="F408" s="158"/>
      <c r="G408" s="158"/>
      <c r="H408" s="158"/>
      <c r="I408" s="158"/>
      <c r="J408" s="158"/>
      <c r="K408" s="158"/>
      <c r="L408" s="158"/>
      <c r="M408" s="158"/>
      <c r="N408" s="158"/>
      <c r="O408" s="158"/>
      <c r="P408" s="158"/>
      <c r="Q408" s="158"/>
    </row>
    <row r="409">
      <c r="D409" s="158"/>
      <c r="E409" s="158"/>
      <c r="F409" s="158"/>
      <c r="G409" s="158"/>
      <c r="H409" s="158"/>
      <c r="I409" s="158"/>
      <c r="J409" s="158"/>
      <c r="K409" s="158"/>
      <c r="L409" s="158"/>
      <c r="M409" s="158"/>
      <c r="N409" s="158"/>
      <c r="O409" s="158"/>
      <c r="P409" s="158"/>
      <c r="Q409" s="158"/>
    </row>
    <row r="410">
      <c r="D410" s="158"/>
      <c r="E410" s="158"/>
      <c r="F410" s="158"/>
      <c r="G410" s="158"/>
      <c r="H410" s="158"/>
      <c r="I410" s="158"/>
      <c r="J410" s="158"/>
      <c r="K410" s="158"/>
      <c r="L410" s="158"/>
      <c r="M410" s="158"/>
      <c r="N410" s="158"/>
      <c r="O410" s="158"/>
      <c r="P410" s="158"/>
      <c r="Q410" s="158"/>
    </row>
    <row r="411">
      <c r="D411" s="158"/>
      <c r="E411" s="158"/>
      <c r="F411" s="158"/>
      <c r="G411" s="158"/>
      <c r="H411" s="158"/>
      <c r="I411" s="158"/>
      <c r="J411" s="158"/>
      <c r="K411" s="158"/>
      <c r="L411" s="158"/>
      <c r="M411" s="158"/>
      <c r="N411" s="158"/>
      <c r="O411" s="158"/>
      <c r="P411" s="158"/>
      <c r="Q411" s="158"/>
    </row>
    <row r="412">
      <c r="D412" s="158"/>
      <c r="E412" s="158"/>
      <c r="F412" s="158"/>
      <c r="G412" s="158"/>
      <c r="H412" s="158"/>
      <c r="I412" s="158"/>
      <c r="J412" s="158"/>
      <c r="K412" s="158"/>
      <c r="L412" s="158"/>
      <c r="M412" s="158"/>
      <c r="N412" s="158"/>
      <c r="O412" s="158"/>
      <c r="P412" s="158"/>
      <c r="Q412" s="158"/>
    </row>
    <row r="413">
      <c r="D413" s="158"/>
      <c r="E413" s="158"/>
      <c r="F413" s="158"/>
      <c r="G413" s="158"/>
      <c r="H413" s="158"/>
      <c r="I413" s="158"/>
      <c r="J413" s="158"/>
      <c r="K413" s="158"/>
      <c r="L413" s="158"/>
      <c r="M413" s="158"/>
      <c r="N413" s="158"/>
      <c r="O413" s="158"/>
      <c r="P413" s="158"/>
      <c r="Q413" s="158"/>
    </row>
    <row r="414">
      <c r="D414" s="158"/>
      <c r="E414" s="158"/>
      <c r="F414" s="158"/>
      <c r="G414" s="158"/>
      <c r="H414" s="158"/>
      <c r="I414" s="158"/>
      <c r="J414" s="158"/>
      <c r="K414" s="158"/>
      <c r="L414" s="158"/>
      <c r="M414" s="158"/>
      <c r="N414" s="158"/>
      <c r="O414" s="158"/>
      <c r="P414" s="158"/>
      <c r="Q414" s="158"/>
    </row>
    <row r="415">
      <c r="D415" s="158"/>
      <c r="E415" s="158"/>
      <c r="F415" s="158"/>
      <c r="G415" s="158"/>
      <c r="H415" s="158"/>
      <c r="I415" s="158"/>
      <c r="J415" s="158"/>
      <c r="K415" s="158"/>
      <c r="L415" s="158"/>
      <c r="M415" s="158"/>
      <c r="N415" s="158"/>
      <c r="O415" s="158"/>
      <c r="P415" s="158"/>
      <c r="Q415" s="158"/>
    </row>
    <row r="416">
      <c r="D416" s="158"/>
      <c r="E416" s="158"/>
      <c r="F416" s="158"/>
      <c r="G416" s="158"/>
      <c r="H416" s="158"/>
      <c r="I416" s="158"/>
      <c r="J416" s="158"/>
      <c r="K416" s="158"/>
      <c r="L416" s="158"/>
      <c r="M416" s="158"/>
      <c r="N416" s="158"/>
      <c r="O416" s="158"/>
      <c r="P416" s="158"/>
      <c r="Q416" s="158"/>
    </row>
    <row r="417">
      <c r="D417" s="158"/>
      <c r="E417" s="158"/>
      <c r="F417" s="158"/>
      <c r="G417" s="158"/>
      <c r="H417" s="158"/>
      <c r="I417" s="158"/>
      <c r="J417" s="158"/>
      <c r="K417" s="158"/>
      <c r="L417" s="158"/>
      <c r="M417" s="158"/>
      <c r="N417" s="158"/>
      <c r="O417" s="158"/>
      <c r="P417" s="158"/>
      <c r="Q417" s="158"/>
    </row>
    <row r="418">
      <c r="D418" s="158"/>
      <c r="E418" s="158"/>
      <c r="F418" s="158"/>
      <c r="G418" s="158"/>
      <c r="H418" s="158"/>
      <c r="I418" s="158"/>
      <c r="J418" s="158"/>
      <c r="K418" s="158"/>
      <c r="L418" s="158"/>
      <c r="M418" s="158"/>
      <c r="N418" s="158"/>
      <c r="O418" s="158"/>
      <c r="P418" s="158"/>
      <c r="Q418" s="158"/>
    </row>
    <row r="419">
      <c r="D419" s="158"/>
      <c r="E419" s="158"/>
      <c r="F419" s="158"/>
      <c r="G419" s="158"/>
      <c r="H419" s="158"/>
      <c r="I419" s="158"/>
      <c r="J419" s="158"/>
      <c r="K419" s="158"/>
      <c r="L419" s="158"/>
      <c r="M419" s="158"/>
      <c r="N419" s="158"/>
      <c r="O419" s="158"/>
      <c r="P419" s="158"/>
      <c r="Q419" s="158"/>
    </row>
    <row r="420">
      <c r="D420" s="158"/>
      <c r="E420" s="158"/>
      <c r="F420" s="158"/>
      <c r="G420" s="158"/>
      <c r="H420" s="158"/>
      <c r="I420" s="158"/>
      <c r="J420" s="158"/>
      <c r="K420" s="158"/>
      <c r="L420" s="158"/>
      <c r="M420" s="158"/>
      <c r="N420" s="158"/>
      <c r="O420" s="158"/>
      <c r="P420" s="158"/>
      <c r="Q420" s="158"/>
    </row>
    <row r="421">
      <c r="D421" s="158"/>
      <c r="E421" s="158"/>
      <c r="F421" s="158"/>
      <c r="G421" s="158"/>
      <c r="H421" s="158"/>
      <c r="I421" s="158"/>
      <c r="J421" s="158"/>
      <c r="K421" s="158"/>
      <c r="L421" s="158"/>
      <c r="M421" s="158"/>
      <c r="N421" s="158"/>
      <c r="O421" s="158"/>
      <c r="P421" s="158"/>
      <c r="Q421" s="158"/>
    </row>
    <row r="422">
      <c r="D422" s="158"/>
      <c r="E422" s="158"/>
      <c r="F422" s="158"/>
      <c r="G422" s="158"/>
      <c r="H422" s="158"/>
      <c r="I422" s="158"/>
      <c r="J422" s="158"/>
      <c r="K422" s="158"/>
      <c r="L422" s="158"/>
      <c r="M422" s="158"/>
      <c r="N422" s="158"/>
      <c r="O422" s="158"/>
      <c r="P422" s="158"/>
      <c r="Q422" s="158"/>
    </row>
    <row r="423">
      <c r="D423" s="158"/>
      <c r="E423" s="158"/>
      <c r="F423" s="158"/>
      <c r="G423" s="158"/>
      <c r="H423" s="158"/>
      <c r="I423" s="158"/>
      <c r="J423" s="158"/>
      <c r="K423" s="158"/>
      <c r="L423" s="158"/>
      <c r="M423" s="158"/>
      <c r="N423" s="158"/>
      <c r="O423" s="158"/>
      <c r="P423" s="158"/>
      <c r="Q423" s="158"/>
    </row>
    <row r="424">
      <c r="D424" s="158"/>
      <c r="E424" s="158"/>
      <c r="F424" s="158"/>
      <c r="G424" s="158"/>
      <c r="H424" s="158"/>
      <c r="I424" s="158"/>
      <c r="J424" s="158"/>
      <c r="K424" s="158"/>
      <c r="L424" s="158"/>
      <c r="M424" s="158"/>
      <c r="N424" s="158"/>
      <c r="O424" s="158"/>
      <c r="P424" s="158"/>
      <c r="Q424" s="158"/>
    </row>
    <row r="425">
      <c r="D425" s="158"/>
      <c r="E425" s="158"/>
      <c r="F425" s="158"/>
      <c r="G425" s="158"/>
      <c r="H425" s="158"/>
      <c r="I425" s="158"/>
      <c r="J425" s="158"/>
      <c r="K425" s="158"/>
      <c r="L425" s="158"/>
      <c r="M425" s="158"/>
      <c r="N425" s="158"/>
      <c r="O425" s="158"/>
      <c r="P425" s="158"/>
      <c r="Q425" s="158"/>
    </row>
    <row r="426">
      <c r="D426" s="158"/>
      <c r="E426" s="158"/>
      <c r="F426" s="158"/>
      <c r="G426" s="158"/>
      <c r="H426" s="158"/>
      <c r="I426" s="158"/>
      <c r="J426" s="158"/>
      <c r="K426" s="158"/>
      <c r="L426" s="158"/>
      <c r="M426" s="158"/>
      <c r="N426" s="158"/>
      <c r="O426" s="158"/>
      <c r="P426" s="158"/>
      <c r="Q426" s="158"/>
    </row>
    <row r="427">
      <c r="D427" s="158"/>
      <c r="E427" s="158"/>
      <c r="F427" s="158"/>
      <c r="G427" s="158"/>
      <c r="H427" s="158"/>
      <c r="I427" s="158"/>
      <c r="J427" s="158"/>
      <c r="K427" s="158"/>
      <c r="L427" s="158"/>
      <c r="M427" s="158"/>
      <c r="N427" s="158"/>
      <c r="O427" s="158"/>
      <c r="P427" s="158"/>
      <c r="Q427" s="158"/>
    </row>
    <row r="428">
      <c r="D428" s="158"/>
      <c r="E428" s="158"/>
      <c r="F428" s="158"/>
      <c r="G428" s="158"/>
      <c r="H428" s="158"/>
      <c r="I428" s="158"/>
      <c r="J428" s="158"/>
      <c r="K428" s="158"/>
      <c r="L428" s="158"/>
      <c r="M428" s="158"/>
      <c r="N428" s="158"/>
      <c r="O428" s="158"/>
      <c r="P428" s="158"/>
      <c r="Q428" s="158"/>
    </row>
    <row r="429">
      <c r="D429" s="158"/>
      <c r="E429" s="158"/>
      <c r="F429" s="158"/>
      <c r="G429" s="158"/>
      <c r="H429" s="158"/>
      <c r="I429" s="158"/>
      <c r="J429" s="158"/>
      <c r="K429" s="158"/>
      <c r="L429" s="158"/>
      <c r="M429" s="158"/>
      <c r="N429" s="158"/>
      <c r="O429" s="158"/>
      <c r="P429" s="158"/>
      <c r="Q429" s="158"/>
    </row>
    <row r="430">
      <c r="D430" s="158"/>
      <c r="E430" s="158"/>
      <c r="F430" s="158"/>
      <c r="G430" s="158"/>
      <c r="H430" s="158"/>
      <c r="I430" s="158"/>
      <c r="J430" s="158"/>
      <c r="K430" s="158"/>
      <c r="L430" s="158"/>
      <c r="M430" s="158"/>
      <c r="N430" s="158"/>
      <c r="O430" s="158"/>
      <c r="P430" s="158"/>
      <c r="Q430" s="158"/>
    </row>
    <row r="431">
      <c r="D431" s="158"/>
      <c r="E431" s="158"/>
      <c r="F431" s="158"/>
      <c r="G431" s="158"/>
      <c r="H431" s="158"/>
      <c r="I431" s="158"/>
      <c r="J431" s="158"/>
      <c r="K431" s="158"/>
      <c r="L431" s="158"/>
      <c r="M431" s="158"/>
      <c r="N431" s="158"/>
      <c r="O431" s="158"/>
      <c r="P431" s="158"/>
      <c r="Q431" s="158"/>
    </row>
    <row r="432">
      <c r="D432" s="158"/>
      <c r="E432" s="158"/>
      <c r="F432" s="158"/>
      <c r="G432" s="158"/>
      <c r="H432" s="158"/>
      <c r="I432" s="158"/>
      <c r="J432" s="158"/>
      <c r="K432" s="158"/>
      <c r="L432" s="158"/>
      <c r="M432" s="158"/>
      <c r="N432" s="158"/>
      <c r="O432" s="158"/>
      <c r="P432" s="158"/>
      <c r="Q432" s="158"/>
    </row>
    <row r="433">
      <c r="D433" s="158"/>
      <c r="E433" s="158"/>
      <c r="F433" s="158"/>
      <c r="G433" s="158"/>
      <c r="H433" s="158"/>
      <c r="I433" s="158"/>
      <c r="J433" s="158"/>
      <c r="K433" s="158"/>
      <c r="L433" s="158"/>
      <c r="M433" s="158"/>
      <c r="N433" s="158"/>
      <c r="O433" s="158"/>
      <c r="P433" s="158"/>
      <c r="Q433" s="158"/>
    </row>
    <row r="434">
      <c r="D434" s="158"/>
      <c r="E434" s="158"/>
      <c r="F434" s="158"/>
      <c r="G434" s="158"/>
      <c r="H434" s="158"/>
      <c r="I434" s="158"/>
      <c r="J434" s="158"/>
      <c r="K434" s="158"/>
      <c r="L434" s="158"/>
      <c r="M434" s="158"/>
      <c r="N434" s="158"/>
      <c r="O434" s="158"/>
      <c r="P434" s="158"/>
      <c r="Q434" s="158"/>
    </row>
    <row r="435">
      <c r="D435" s="158"/>
      <c r="E435" s="158"/>
      <c r="F435" s="158"/>
      <c r="G435" s="158"/>
      <c r="H435" s="158"/>
      <c r="I435" s="158"/>
      <c r="J435" s="158"/>
      <c r="K435" s="158"/>
      <c r="L435" s="158"/>
      <c r="M435" s="158"/>
      <c r="N435" s="158"/>
      <c r="O435" s="158"/>
      <c r="P435" s="158"/>
      <c r="Q435" s="158"/>
    </row>
    <row r="436">
      <c r="D436" s="158"/>
      <c r="E436" s="158"/>
      <c r="F436" s="158"/>
      <c r="G436" s="158"/>
      <c r="H436" s="158"/>
      <c r="I436" s="158"/>
      <c r="J436" s="158"/>
      <c r="K436" s="158"/>
      <c r="L436" s="158"/>
      <c r="M436" s="158"/>
      <c r="N436" s="158"/>
      <c r="O436" s="158"/>
      <c r="P436" s="158"/>
      <c r="Q436" s="158"/>
    </row>
    <row r="437">
      <c r="D437" s="158"/>
      <c r="E437" s="158"/>
      <c r="F437" s="158"/>
      <c r="G437" s="158"/>
      <c r="H437" s="158"/>
      <c r="I437" s="158"/>
      <c r="J437" s="158"/>
      <c r="K437" s="158"/>
      <c r="L437" s="158"/>
      <c r="M437" s="158"/>
      <c r="N437" s="158"/>
      <c r="O437" s="158"/>
      <c r="P437" s="158"/>
      <c r="Q437" s="158"/>
    </row>
    <row r="438">
      <c r="D438" s="158"/>
      <c r="E438" s="158"/>
      <c r="F438" s="158"/>
      <c r="G438" s="158"/>
      <c r="H438" s="158"/>
      <c r="I438" s="158"/>
      <c r="J438" s="158"/>
      <c r="K438" s="158"/>
      <c r="L438" s="158"/>
      <c r="M438" s="158"/>
      <c r="N438" s="158"/>
      <c r="O438" s="158"/>
      <c r="P438" s="158"/>
      <c r="Q438" s="158"/>
    </row>
    <row r="439">
      <c r="D439" s="158"/>
      <c r="E439" s="158"/>
      <c r="F439" s="158"/>
      <c r="G439" s="158"/>
      <c r="H439" s="158"/>
      <c r="I439" s="158"/>
      <c r="J439" s="158"/>
      <c r="K439" s="158"/>
      <c r="L439" s="158"/>
      <c r="M439" s="158"/>
      <c r="N439" s="158"/>
      <c r="O439" s="158"/>
      <c r="P439" s="158"/>
      <c r="Q439" s="158"/>
    </row>
    <row r="440">
      <c r="D440" s="158"/>
      <c r="E440" s="158"/>
      <c r="F440" s="158"/>
      <c r="G440" s="158"/>
      <c r="H440" s="158"/>
      <c r="I440" s="158"/>
      <c r="J440" s="158"/>
      <c r="K440" s="158"/>
      <c r="L440" s="158"/>
      <c r="M440" s="158"/>
      <c r="N440" s="158"/>
      <c r="O440" s="158"/>
      <c r="P440" s="158"/>
      <c r="Q440" s="158"/>
    </row>
    <row r="441">
      <c r="D441" s="158"/>
      <c r="E441" s="158"/>
      <c r="F441" s="158"/>
      <c r="G441" s="158"/>
      <c r="H441" s="158"/>
      <c r="I441" s="158"/>
      <c r="J441" s="158"/>
      <c r="K441" s="158"/>
      <c r="L441" s="158"/>
      <c r="M441" s="158"/>
      <c r="N441" s="158"/>
      <c r="O441" s="158"/>
      <c r="P441" s="158"/>
      <c r="Q441" s="158"/>
    </row>
    <row r="442">
      <c r="D442" s="158"/>
      <c r="E442" s="158"/>
      <c r="F442" s="158"/>
      <c r="G442" s="158"/>
      <c r="H442" s="158"/>
      <c r="I442" s="158"/>
      <c r="J442" s="158"/>
      <c r="K442" s="158"/>
      <c r="L442" s="158"/>
      <c r="M442" s="158"/>
      <c r="N442" s="158"/>
      <c r="O442" s="158"/>
      <c r="P442" s="158"/>
      <c r="Q442" s="158"/>
    </row>
    <row r="443">
      <c r="D443" s="158"/>
      <c r="E443" s="158"/>
      <c r="F443" s="158"/>
      <c r="G443" s="158"/>
      <c r="H443" s="158"/>
      <c r="I443" s="158"/>
      <c r="J443" s="158"/>
      <c r="K443" s="158"/>
      <c r="L443" s="158"/>
      <c r="M443" s="158"/>
      <c r="N443" s="158"/>
      <c r="O443" s="158"/>
      <c r="P443" s="158"/>
      <c r="Q443" s="158"/>
    </row>
    <row r="444">
      <c r="D444" s="158"/>
      <c r="E444" s="158"/>
      <c r="F444" s="158"/>
      <c r="G444" s="158"/>
      <c r="H444" s="158"/>
      <c r="I444" s="158"/>
      <c r="J444" s="158"/>
      <c r="K444" s="158"/>
      <c r="L444" s="158"/>
      <c r="M444" s="158"/>
      <c r="N444" s="158"/>
      <c r="O444" s="158"/>
      <c r="P444" s="158"/>
      <c r="Q444" s="158"/>
    </row>
    <row r="445">
      <c r="D445" s="158"/>
      <c r="E445" s="158"/>
      <c r="F445" s="158"/>
      <c r="G445" s="158"/>
      <c r="H445" s="158"/>
      <c r="I445" s="158"/>
      <c r="J445" s="158"/>
      <c r="K445" s="158"/>
      <c r="L445" s="158"/>
      <c r="M445" s="158"/>
      <c r="N445" s="158"/>
      <c r="O445" s="158"/>
      <c r="P445" s="158"/>
      <c r="Q445" s="158"/>
    </row>
    <row r="446">
      <c r="D446" s="158"/>
      <c r="E446" s="158"/>
      <c r="F446" s="158"/>
      <c r="G446" s="158"/>
      <c r="H446" s="158"/>
      <c r="I446" s="158"/>
      <c r="J446" s="158"/>
      <c r="K446" s="158"/>
      <c r="L446" s="158"/>
      <c r="M446" s="158"/>
      <c r="N446" s="158"/>
      <c r="O446" s="158"/>
      <c r="P446" s="158"/>
      <c r="Q446" s="158"/>
    </row>
    <row r="447">
      <c r="D447" s="158"/>
      <c r="E447" s="158"/>
      <c r="F447" s="158"/>
      <c r="G447" s="158"/>
      <c r="H447" s="158"/>
      <c r="I447" s="158"/>
      <c r="J447" s="158"/>
      <c r="K447" s="158"/>
      <c r="L447" s="158"/>
      <c r="M447" s="158"/>
      <c r="N447" s="158"/>
      <c r="O447" s="158"/>
      <c r="P447" s="158"/>
      <c r="Q447" s="158"/>
    </row>
    <row r="448">
      <c r="D448" s="158"/>
      <c r="E448" s="158"/>
      <c r="F448" s="158"/>
      <c r="G448" s="158"/>
      <c r="H448" s="158"/>
      <c r="I448" s="158"/>
      <c r="J448" s="158"/>
      <c r="K448" s="158"/>
      <c r="L448" s="158"/>
      <c r="M448" s="158"/>
      <c r="N448" s="158"/>
      <c r="O448" s="158"/>
      <c r="P448" s="158"/>
      <c r="Q448" s="158"/>
    </row>
    <row r="449">
      <c r="D449" s="158"/>
      <c r="E449" s="158"/>
      <c r="F449" s="158"/>
      <c r="G449" s="158"/>
      <c r="H449" s="158"/>
      <c r="I449" s="158"/>
      <c r="J449" s="158"/>
      <c r="K449" s="158"/>
      <c r="L449" s="158"/>
      <c r="M449" s="158"/>
      <c r="N449" s="158"/>
      <c r="O449" s="158"/>
      <c r="P449" s="158"/>
      <c r="Q449" s="158"/>
    </row>
    <row r="450">
      <c r="D450" s="158"/>
      <c r="E450" s="158"/>
      <c r="F450" s="158"/>
      <c r="G450" s="158"/>
      <c r="H450" s="158"/>
      <c r="I450" s="158"/>
      <c r="J450" s="158"/>
      <c r="K450" s="158"/>
      <c r="L450" s="158"/>
      <c r="M450" s="158"/>
      <c r="N450" s="158"/>
      <c r="O450" s="158"/>
      <c r="P450" s="158"/>
      <c r="Q450" s="158"/>
    </row>
    <row r="451">
      <c r="D451" s="158"/>
      <c r="E451" s="158"/>
      <c r="F451" s="158"/>
      <c r="G451" s="158"/>
      <c r="H451" s="158"/>
      <c r="I451" s="158"/>
      <c r="J451" s="158"/>
      <c r="K451" s="158"/>
      <c r="L451" s="158"/>
      <c r="M451" s="158"/>
      <c r="N451" s="158"/>
      <c r="O451" s="158"/>
      <c r="P451" s="158"/>
      <c r="Q451" s="158"/>
    </row>
    <row r="452">
      <c r="D452" s="158"/>
      <c r="E452" s="158"/>
      <c r="F452" s="158"/>
      <c r="G452" s="158"/>
      <c r="H452" s="158"/>
      <c r="I452" s="158"/>
      <c r="J452" s="158"/>
      <c r="K452" s="158"/>
      <c r="L452" s="158"/>
      <c r="M452" s="158"/>
      <c r="N452" s="158"/>
      <c r="O452" s="158"/>
      <c r="P452" s="158"/>
      <c r="Q452" s="158"/>
    </row>
    <row r="453">
      <c r="D453" s="158"/>
      <c r="E453" s="158"/>
      <c r="F453" s="158"/>
      <c r="G453" s="158"/>
      <c r="H453" s="158"/>
      <c r="I453" s="158"/>
      <c r="J453" s="158"/>
      <c r="K453" s="158"/>
      <c r="L453" s="158"/>
      <c r="M453" s="158"/>
      <c r="N453" s="158"/>
      <c r="O453" s="158"/>
      <c r="P453" s="158"/>
      <c r="Q453" s="158"/>
    </row>
    <row r="454">
      <c r="D454" s="158"/>
      <c r="E454" s="158"/>
      <c r="F454" s="158"/>
      <c r="G454" s="158"/>
      <c r="H454" s="158"/>
      <c r="I454" s="158"/>
      <c r="J454" s="158"/>
      <c r="K454" s="158"/>
      <c r="L454" s="158"/>
      <c r="M454" s="158"/>
      <c r="N454" s="158"/>
      <c r="O454" s="158"/>
      <c r="P454" s="158"/>
      <c r="Q454" s="158"/>
    </row>
    <row r="455">
      <c r="D455" s="158"/>
      <c r="E455" s="158"/>
      <c r="F455" s="158"/>
      <c r="G455" s="158"/>
      <c r="H455" s="158"/>
      <c r="I455" s="158"/>
      <c r="J455" s="158"/>
      <c r="K455" s="158"/>
      <c r="L455" s="158"/>
      <c r="M455" s="158"/>
      <c r="N455" s="158"/>
      <c r="O455" s="158"/>
      <c r="P455" s="158"/>
      <c r="Q455" s="158"/>
    </row>
    <row r="456">
      <c r="D456" s="158"/>
      <c r="E456" s="158"/>
      <c r="F456" s="158"/>
      <c r="G456" s="158"/>
      <c r="H456" s="158"/>
      <c r="I456" s="158"/>
      <c r="J456" s="158"/>
      <c r="K456" s="158"/>
      <c r="L456" s="158"/>
      <c r="M456" s="158"/>
      <c r="N456" s="158"/>
      <c r="O456" s="158"/>
      <c r="P456" s="158"/>
      <c r="Q456" s="158"/>
    </row>
    <row r="457">
      <c r="D457" s="158"/>
      <c r="E457" s="158"/>
      <c r="F457" s="158"/>
      <c r="G457" s="158"/>
      <c r="H457" s="158"/>
      <c r="I457" s="158"/>
      <c r="J457" s="158"/>
      <c r="K457" s="158"/>
      <c r="L457" s="158"/>
      <c r="M457" s="158"/>
      <c r="N457" s="158"/>
      <c r="O457" s="158"/>
      <c r="P457" s="158"/>
      <c r="Q457" s="158"/>
    </row>
    <row r="458">
      <c r="D458" s="158"/>
      <c r="E458" s="158"/>
      <c r="F458" s="158"/>
      <c r="G458" s="158"/>
      <c r="H458" s="158"/>
      <c r="I458" s="158"/>
      <c r="J458" s="158"/>
      <c r="K458" s="158"/>
      <c r="L458" s="158"/>
      <c r="M458" s="158"/>
      <c r="N458" s="158"/>
      <c r="O458" s="158"/>
      <c r="P458" s="158"/>
      <c r="Q458" s="158"/>
    </row>
    <row r="459">
      <c r="D459" s="158"/>
      <c r="E459" s="158"/>
      <c r="F459" s="158"/>
      <c r="G459" s="158"/>
      <c r="H459" s="158"/>
      <c r="I459" s="158"/>
      <c r="J459" s="158"/>
      <c r="K459" s="158"/>
      <c r="L459" s="158"/>
      <c r="M459" s="158"/>
      <c r="N459" s="158"/>
      <c r="O459" s="158"/>
      <c r="P459" s="158"/>
      <c r="Q459" s="158"/>
    </row>
    <row r="460">
      <c r="D460" s="158"/>
      <c r="E460" s="158"/>
      <c r="F460" s="158"/>
      <c r="G460" s="158"/>
      <c r="H460" s="158"/>
      <c r="I460" s="158"/>
      <c r="J460" s="158"/>
      <c r="K460" s="158"/>
      <c r="L460" s="158"/>
      <c r="M460" s="158"/>
      <c r="N460" s="158"/>
      <c r="O460" s="158"/>
      <c r="P460" s="158"/>
      <c r="Q460" s="158"/>
    </row>
    <row r="461">
      <c r="D461" s="158"/>
      <c r="E461" s="158"/>
      <c r="F461" s="158"/>
      <c r="G461" s="158"/>
      <c r="H461" s="158"/>
      <c r="I461" s="158"/>
      <c r="J461" s="158"/>
      <c r="K461" s="158"/>
      <c r="L461" s="158"/>
      <c r="M461" s="158"/>
      <c r="N461" s="158"/>
      <c r="O461" s="158"/>
      <c r="P461" s="158"/>
      <c r="Q461" s="158"/>
    </row>
    <row r="462">
      <c r="D462" s="158"/>
      <c r="E462" s="158"/>
      <c r="F462" s="158"/>
      <c r="G462" s="158"/>
      <c r="H462" s="158"/>
      <c r="I462" s="158"/>
      <c r="J462" s="158"/>
      <c r="K462" s="158"/>
      <c r="L462" s="158"/>
      <c r="M462" s="158"/>
      <c r="N462" s="158"/>
      <c r="O462" s="158"/>
      <c r="P462" s="158"/>
      <c r="Q462" s="158"/>
    </row>
    <row r="463">
      <c r="D463" s="158"/>
      <c r="E463" s="158"/>
      <c r="F463" s="158"/>
      <c r="G463" s="158"/>
      <c r="H463" s="158"/>
      <c r="I463" s="158"/>
      <c r="J463" s="158"/>
      <c r="K463" s="158"/>
      <c r="L463" s="158"/>
      <c r="M463" s="158"/>
      <c r="N463" s="158"/>
      <c r="O463" s="158"/>
      <c r="P463" s="158"/>
      <c r="Q463" s="158"/>
    </row>
    <row r="464">
      <c r="D464" s="158"/>
      <c r="E464" s="158"/>
      <c r="F464" s="158"/>
      <c r="G464" s="158"/>
      <c r="H464" s="158"/>
      <c r="I464" s="158"/>
      <c r="J464" s="158"/>
      <c r="K464" s="158"/>
      <c r="L464" s="158"/>
      <c r="M464" s="158"/>
      <c r="N464" s="158"/>
      <c r="O464" s="158"/>
      <c r="P464" s="158"/>
      <c r="Q464" s="158"/>
    </row>
    <row r="465">
      <c r="D465" s="158"/>
      <c r="E465" s="158"/>
      <c r="F465" s="158"/>
      <c r="G465" s="158"/>
      <c r="H465" s="158"/>
      <c r="I465" s="158"/>
      <c r="J465" s="158"/>
      <c r="K465" s="158"/>
      <c r="L465" s="158"/>
      <c r="M465" s="158"/>
      <c r="N465" s="158"/>
      <c r="O465" s="158"/>
      <c r="P465" s="158"/>
      <c r="Q465" s="158"/>
    </row>
    <row r="466">
      <c r="D466" s="158"/>
      <c r="E466" s="158"/>
      <c r="F466" s="158"/>
      <c r="G466" s="158"/>
      <c r="H466" s="158"/>
      <c r="I466" s="158"/>
      <c r="J466" s="158"/>
      <c r="K466" s="158"/>
      <c r="L466" s="158"/>
      <c r="M466" s="158"/>
      <c r="N466" s="158"/>
      <c r="O466" s="158"/>
      <c r="P466" s="158"/>
      <c r="Q466" s="158"/>
    </row>
    <row r="467">
      <c r="D467" s="158"/>
      <c r="E467" s="158"/>
      <c r="F467" s="158"/>
      <c r="G467" s="158"/>
      <c r="H467" s="158"/>
      <c r="I467" s="158"/>
      <c r="J467" s="158"/>
      <c r="K467" s="158"/>
      <c r="L467" s="158"/>
      <c r="M467" s="158"/>
      <c r="N467" s="158"/>
      <c r="O467" s="158"/>
      <c r="P467" s="158"/>
      <c r="Q467" s="158"/>
    </row>
    <row r="468">
      <c r="D468" s="158"/>
      <c r="E468" s="158"/>
      <c r="F468" s="158"/>
      <c r="G468" s="158"/>
      <c r="H468" s="158"/>
      <c r="I468" s="158"/>
      <c r="J468" s="158"/>
      <c r="K468" s="158"/>
      <c r="L468" s="158"/>
      <c r="M468" s="158"/>
      <c r="N468" s="158"/>
      <c r="O468" s="158"/>
      <c r="P468" s="158"/>
      <c r="Q468" s="158"/>
    </row>
    <row r="469">
      <c r="D469" s="158"/>
      <c r="E469" s="158"/>
      <c r="F469" s="158"/>
      <c r="G469" s="158"/>
      <c r="H469" s="158"/>
      <c r="I469" s="158"/>
      <c r="J469" s="158"/>
      <c r="K469" s="158"/>
      <c r="L469" s="158"/>
      <c r="M469" s="158"/>
      <c r="N469" s="158"/>
      <c r="O469" s="158"/>
      <c r="P469" s="158"/>
      <c r="Q469" s="158"/>
    </row>
    <row r="470">
      <c r="D470" s="158"/>
      <c r="E470" s="158"/>
      <c r="F470" s="158"/>
      <c r="G470" s="158"/>
      <c r="H470" s="158"/>
      <c r="I470" s="158"/>
      <c r="J470" s="158"/>
      <c r="K470" s="158"/>
      <c r="L470" s="158"/>
      <c r="M470" s="158"/>
      <c r="N470" s="158"/>
      <c r="O470" s="158"/>
      <c r="P470" s="158"/>
      <c r="Q470" s="158"/>
    </row>
    <row r="471">
      <c r="D471" s="158"/>
      <c r="E471" s="158"/>
      <c r="F471" s="158"/>
      <c r="G471" s="158"/>
      <c r="H471" s="158"/>
      <c r="I471" s="158"/>
      <c r="J471" s="158"/>
      <c r="K471" s="158"/>
      <c r="L471" s="158"/>
      <c r="M471" s="158"/>
      <c r="N471" s="158"/>
      <c r="O471" s="158"/>
      <c r="P471" s="158"/>
      <c r="Q471" s="158"/>
    </row>
    <row r="472">
      <c r="D472" s="158"/>
      <c r="E472" s="158"/>
      <c r="F472" s="158"/>
      <c r="G472" s="158"/>
      <c r="H472" s="158"/>
      <c r="I472" s="158"/>
      <c r="J472" s="158"/>
      <c r="K472" s="158"/>
      <c r="L472" s="158"/>
      <c r="M472" s="158"/>
      <c r="N472" s="158"/>
      <c r="O472" s="158"/>
      <c r="P472" s="158"/>
      <c r="Q472" s="158"/>
    </row>
    <row r="473">
      <c r="D473" s="158"/>
      <c r="E473" s="158"/>
      <c r="F473" s="158"/>
      <c r="G473" s="158"/>
      <c r="H473" s="158"/>
      <c r="I473" s="158"/>
      <c r="J473" s="158"/>
      <c r="K473" s="158"/>
      <c r="L473" s="158"/>
      <c r="M473" s="158"/>
      <c r="N473" s="158"/>
      <c r="O473" s="158"/>
      <c r="P473" s="158"/>
      <c r="Q473" s="158"/>
    </row>
    <row r="474">
      <c r="D474" s="158"/>
      <c r="E474" s="158"/>
      <c r="F474" s="158"/>
      <c r="G474" s="158"/>
      <c r="H474" s="158"/>
      <c r="I474" s="158"/>
      <c r="J474" s="158"/>
      <c r="K474" s="158"/>
      <c r="L474" s="158"/>
      <c r="M474" s="158"/>
      <c r="N474" s="158"/>
      <c r="O474" s="158"/>
      <c r="P474" s="158"/>
      <c r="Q474" s="158"/>
    </row>
    <row r="475">
      <c r="D475" s="158"/>
      <c r="E475" s="158"/>
      <c r="F475" s="158"/>
      <c r="G475" s="158"/>
      <c r="H475" s="158"/>
      <c r="I475" s="158"/>
      <c r="J475" s="158"/>
      <c r="K475" s="158"/>
      <c r="L475" s="158"/>
      <c r="M475" s="158"/>
      <c r="N475" s="158"/>
      <c r="O475" s="158"/>
      <c r="P475" s="158"/>
      <c r="Q475" s="158"/>
    </row>
    <row r="476">
      <c r="D476" s="158"/>
      <c r="E476" s="158"/>
      <c r="F476" s="158"/>
      <c r="G476" s="158"/>
      <c r="H476" s="158"/>
      <c r="I476" s="158"/>
      <c r="J476" s="158"/>
      <c r="K476" s="158"/>
      <c r="L476" s="158"/>
      <c r="M476" s="158"/>
      <c r="N476" s="158"/>
      <c r="O476" s="158"/>
      <c r="P476" s="158"/>
      <c r="Q476" s="158"/>
    </row>
    <row r="477">
      <c r="D477" s="158"/>
      <c r="E477" s="158"/>
      <c r="F477" s="158"/>
      <c r="G477" s="158"/>
      <c r="H477" s="158"/>
      <c r="I477" s="158"/>
      <c r="J477" s="158"/>
      <c r="K477" s="158"/>
      <c r="L477" s="158"/>
      <c r="M477" s="158"/>
      <c r="N477" s="158"/>
      <c r="O477" s="158"/>
      <c r="P477" s="158"/>
      <c r="Q477" s="158"/>
    </row>
    <row r="478">
      <c r="D478" s="158"/>
      <c r="E478" s="158"/>
      <c r="F478" s="158"/>
      <c r="G478" s="158"/>
      <c r="H478" s="158"/>
      <c r="I478" s="158"/>
      <c r="J478" s="158"/>
      <c r="K478" s="158"/>
      <c r="L478" s="158"/>
      <c r="M478" s="158"/>
      <c r="N478" s="158"/>
      <c r="O478" s="158"/>
      <c r="P478" s="158"/>
      <c r="Q478" s="158"/>
    </row>
    <row r="479">
      <c r="D479" s="158"/>
      <c r="E479" s="158"/>
      <c r="F479" s="158"/>
      <c r="G479" s="158"/>
      <c r="H479" s="158"/>
      <c r="I479" s="158"/>
      <c r="J479" s="158"/>
      <c r="K479" s="158"/>
      <c r="L479" s="158"/>
      <c r="M479" s="158"/>
      <c r="N479" s="158"/>
      <c r="O479" s="158"/>
      <c r="P479" s="158"/>
      <c r="Q479" s="158"/>
    </row>
    <row r="480">
      <c r="D480" s="158"/>
      <c r="E480" s="158"/>
      <c r="F480" s="158"/>
      <c r="G480" s="158"/>
      <c r="H480" s="158"/>
      <c r="I480" s="158"/>
      <c r="J480" s="158"/>
      <c r="K480" s="158"/>
      <c r="L480" s="158"/>
      <c r="M480" s="158"/>
      <c r="N480" s="158"/>
      <c r="O480" s="158"/>
      <c r="P480" s="158"/>
      <c r="Q480" s="158"/>
    </row>
    <row r="481">
      <c r="D481" s="158"/>
      <c r="E481" s="158"/>
      <c r="F481" s="158"/>
      <c r="G481" s="158"/>
      <c r="H481" s="158"/>
      <c r="I481" s="158"/>
      <c r="J481" s="158"/>
      <c r="K481" s="158"/>
      <c r="L481" s="158"/>
      <c r="M481" s="158"/>
      <c r="N481" s="158"/>
      <c r="O481" s="158"/>
      <c r="P481" s="158"/>
      <c r="Q481" s="158"/>
    </row>
    <row r="482">
      <c r="D482" s="158"/>
      <c r="E482" s="158"/>
      <c r="F482" s="158"/>
      <c r="G482" s="158"/>
      <c r="H482" s="158"/>
      <c r="I482" s="158"/>
      <c r="J482" s="158"/>
      <c r="K482" s="158"/>
      <c r="L482" s="158"/>
      <c r="M482" s="158"/>
      <c r="N482" s="158"/>
      <c r="O482" s="158"/>
      <c r="P482" s="158"/>
      <c r="Q482" s="158"/>
    </row>
    <row r="483">
      <c r="D483" s="158"/>
      <c r="E483" s="158"/>
      <c r="F483" s="158"/>
      <c r="G483" s="158"/>
      <c r="H483" s="158"/>
      <c r="I483" s="158"/>
      <c r="J483" s="158"/>
      <c r="K483" s="158"/>
      <c r="L483" s="158"/>
      <c r="M483" s="158"/>
      <c r="N483" s="158"/>
      <c r="O483" s="158"/>
      <c r="P483" s="158"/>
      <c r="Q483" s="158"/>
    </row>
    <row r="484">
      <c r="D484" s="158"/>
      <c r="E484" s="158"/>
      <c r="F484" s="158"/>
      <c r="G484" s="158"/>
      <c r="H484" s="158"/>
      <c r="I484" s="158"/>
      <c r="J484" s="158"/>
      <c r="K484" s="158"/>
      <c r="L484" s="158"/>
      <c r="M484" s="158"/>
      <c r="N484" s="158"/>
      <c r="O484" s="158"/>
      <c r="P484" s="158"/>
      <c r="Q484" s="158"/>
    </row>
    <row r="485">
      <c r="D485" s="158"/>
      <c r="E485" s="158"/>
      <c r="F485" s="158"/>
      <c r="G485" s="158"/>
      <c r="H485" s="158"/>
      <c r="I485" s="158"/>
      <c r="J485" s="158"/>
      <c r="K485" s="158"/>
      <c r="L485" s="158"/>
      <c r="M485" s="158"/>
      <c r="N485" s="158"/>
      <c r="O485" s="158"/>
      <c r="P485" s="158"/>
      <c r="Q485" s="158"/>
    </row>
    <row r="486">
      <c r="D486" s="158"/>
      <c r="E486" s="158"/>
      <c r="F486" s="158"/>
      <c r="G486" s="158"/>
      <c r="H486" s="158"/>
      <c r="I486" s="158"/>
      <c r="J486" s="158"/>
      <c r="K486" s="158"/>
      <c r="L486" s="158"/>
      <c r="M486" s="158"/>
      <c r="N486" s="158"/>
      <c r="O486" s="158"/>
      <c r="P486" s="158"/>
      <c r="Q486" s="158"/>
    </row>
    <row r="487">
      <c r="D487" s="158"/>
      <c r="E487" s="158"/>
      <c r="F487" s="158"/>
      <c r="G487" s="158"/>
      <c r="H487" s="158"/>
      <c r="I487" s="158"/>
      <c r="J487" s="158"/>
      <c r="K487" s="158"/>
      <c r="L487" s="158"/>
      <c r="M487" s="158"/>
      <c r="N487" s="158"/>
      <c r="O487" s="158"/>
      <c r="P487" s="158"/>
      <c r="Q487" s="158"/>
    </row>
    <row r="488">
      <c r="D488" s="158"/>
      <c r="E488" s="158"/>
      <c r="F488" s="158"/>
      <c r="G488" s="158"/>
      <c r="H488" s="158"/>
      <c r="I488" s="158"/>
      <c r="J488" s="158"/>
      <c r="K488" s="158"/>
      <c r="L488" s="158"/>
      <c r="M488" s="158"/>
      <c r="N488" s="158"/>
      <c r="O488" s="158"/>
      <c r="P488" s="158"/>
      <c r="Q488" s="158"/>
    </row>
    <row r="489">
      <c r="D489" s="158"/>
      <c r="E489" s="158"/>
      <c r="F489" s="158"/>
      <c r="G489" s="158"/>
      <c r="H489" s="158"/>
      <c r="I489" s="158"/>
      <c r="J489" s="158"/>
      <c r="K489" s="158"/>
      <c r="L489" s="158"/>
      <c r="M489" s="158"/>
      <c r="N489" s="158"/>
      <c r="O489" s="158"/>
      <c r="P489" s="158"/>
      <c r="Q489" s="158"/>
    </row>
    <row r="490">
      <c r="D490" s="158"/>
      <c r="E490" s="158"/>
      <c r="F490" s="158"/>
      <c r="G490" s="158"/>
      <c r="H490" s="158"/>
      <c r="I490" s="158"/>
      <c r="J490" s="158"/>
      <c r="K490" s="158"/>
      <c r="L490" s="158"/>
      <c r="M490" s="158"/>
      <c r="N490" s="158"/>
      <c r="O490" s="158"/>
      <c r="P490" s="158"/>
      <c r="Q490" s="158"/>
    </row>
    <row r="491">
      <c r="D491" s="158"/>
      <c r="E491" s="158"/>
      <c r="F491" s="158"/>
      <c r="G491" s="158"/>
      <c r="H491" s="158"/>
      <c r="I491" s="158"/>
      <c r="J491" s="158"/>
      <c r="K491" s="158"/>
      <c r="L491" s="158"/>
      <c r="M491" s="158"/>
      <c r="N491" s="158"/>
      <c r="O491" s="158"/>
      <c r="P491" s="158"/>
      <c r="Q491" s="158"/>
    </row>
    <row r="492">
      <c r="D492" s="158"/>
      <c r="E492" s="158"/>
      <c r="F492" s="158"/>
      <c r="G492" s="158"/>
      <c r="H492" s="158"/>
      <c r="I492" s="158"/>
      <c r="J492" s="158"/>
      <c r="K492" s="158"/>
      <c r="L492" s="158"/>
      <c r="M492" s="158"/>
      <c r="N492" s="158"/>
      <c r="O492" s="158"/>
      <c r="P492" s="158"/>
      <c r="Q492" s="158"/>
    </row>
    <row r="493">
      <c r="D493" s="158"/>
      <c r="E493" s="158"/>
      <c r="F493" s="158"/>
      <c r="G493" s="158"/>
      <c r="H493" s="158"/>
      <c r="I493" s="158"/>
      <c r="J493" s="158"/>
      <c r="K493" s="158"/>
      <c r="L493" s="158"/>
      <c r="M493" s="158"/>
      <c r="N493" s="158"/>
      <c r="O493" s="158"/>
      <c r="P493" s="158"/>
      <c r="Q493" s="158"/>
    </row>
    <row r="494">
      <c r="D494" s="158"/>
      <c r="E494" s="158"/>
      <c r="F494" s="158"/>
      <c r="G494" s="158"/>
      <c r="H494" s="158"/>
      <c r="I494" s="158"/>
      <c r="J494" s="158"/>
      <c r="K494" s="158"/>
      <c r="L494" s="158"/>
      <c r="M494" s="158"/>
      <c r="N494" s="158"/>
      <c r="O494" s="158"/>
      <c r="P494" s="158"/>
      <c r="Q494" s="158"/>
    </row>
    <row r="495">
      <c r="D495" s="158"/>
      <c r="E495" s="158"/>
      <c r="F495" s="158"/>
      <c r="G495" s="158"/>
      <c r="H495" s="158"/>
      <c r="I495" s="158"/>
      <c r="J495" s="158"/>
      <c r="K495" s="158"/>
      <c r="L495" s="158"/>
      <c r="M495" s="158"/>
      <c r="N495" s="158"/>
      <c r="O495" s="158"/>
      <c r="P495" s="158"/>
      <c r="Q495" s="158"/>
    </row>
    <row r="496">
      <c r="D496" s="158"/>
      <c r="E496" s="158"/>
      <c r="F496" s="158"/>
      <c r="G496" s="158"/>
      <c r="H496" s="158"/>
      <c r="I496" s="158"/>
      <c r="J496" s="158"/>
      <c r="K496" s="158"/>
      <c r="L496" s="158"/>
      <c r="M496" s="158"/>
      <c r="N496" s="158"/>
      <c r="O496" s="158"/>
      <c r="P496" s="158"/>
      <c r="Q496" s="158"/>
    </row>
    <row r="497">
      <c r="D497" s="158"/>
      <c r="E497" s="158"/>
      <c r="F497" s="158"/>
      <c r="G497" s="158"/>
      <c r="H497" s="158"/>
      <c r="I497" s="158"/>
      <c r="J497" s="158"/>
      <c r="K497" s="158"/>
      <c r="L497" s="158"/>
      <c r="M497" s="158"/>
      <c r="N497" s="158"/>
      <c r="O497" s="158"/>
      <c r="P497" s="158"/>
      <c r="Q497" s="158"/>
    </row>
    <row r="498">
      <c r="D498" s="158"/>
      <c r="E498" s="158"/>
      <c r="F498" s="158"/>
      <c r="G498" s="158"/>
      <c r="H498" s="158"/>
      <c r="I498" s="158"/>
      <c r="J498" s="158"/>
      <c r="K498" s="158"/>
      <c r="L498" s="158"/>
      <c r="M498" s="158"/>
      <c r="N498" s="158"/>
      <c r="O498" s="158"/>
      <c r="P498" s="158"/>
      <c r="Q498" s="158"/>
    </row>
    <row r="499">
      <c r="D499" s="158"/>
      <c r="E499" s="158"/>
      <c r="F499" s="158"/>
      <c r="G499" s="158"/>
      <c r="H499" s="158"/>
      <c r="I499" s="158"/>
      <c r="J499" s="158"/>
      <c r="K499" s="158"/>
      <c r="L499" s="158"/>
      <c r="M499" s="158"/>
      <c r="N499" s="158"/>
      <c r="O499" s="158"/>
      <c r="P499" s="158"/>
      <c r="Q499" s="158"/>
    </row>
    <row r="500">
      <c r="D500" s="158"/>
      <c r="E500" s="158"/>
      <c r="F500" s="158"/>
      <c r="G500" s="158"/>
      <c r="H500" s="158"/>
      <c r="I500" s="158"/>
      <c r="J500" s="158"/>
      <c r="K500" s="158"/>
      <c r="L500" s="158"/>
      <c r="M500" s="158"/>
      <c r="N500" s="158"/>
      <c r="O500" s="158"/>
      <c r="P500" s="158"/>
      <c r="Q500" s="158"/>
    </row>
    <row r="501">
      <c r="D501" s="158"/>
      <c r="E501" s="158"/>
      <c r="F501" s="158"/>
      <c r="G501" s="158"/>
      <c r="H501" s="158"/>
      <c r="I501" s="158"/>
      <c r="J501" s="158"/>
      <c r="K501" s="158"/>
      <c r="L501" s="158"/>
      <c r="M501" s="158"/>
      <c r="N501" s="158"/>
      <c r="O501" s="158"/>
      <c r="P501" s="158"/>
      <c r="Q501" s="158"/>
    </row>
    <row r="502">
      <c r="D502" s="158"/>
      <c r="E502" s="158"/>
      <c r="F502" s="158"/>
      <c r="G502" s="158"/>
      <c r="H502" s="158"/>
      <c r="I502" s="158"/>
      <c r="J502" s="158"/>
      <c r="K502" s="158"/>
      <c r="L502" s="158"/>
      <c r="M502" s="158"/>
      <c r="N502" s="158"/>
      <c r="O502" s="158"/>
      <c r="P502" s="158"/>
      <c r="Q502" s="158"/>
    </row>
    <row r="503">
      <c r="D503" s="158"/>
      <c r="E503" s="158"/>
      <c r="F503" s="158"/>
      <c r="G503" s="158"/>
      <c r="H503" s="158"/>
      <c r="I503" s="158"/>
      <c r="J503" s="158"/>
      <c r="K503" s="158"/>
      <c r="L503" s="158"/>
      <c r="M503" s="158"/>
      <c r="N503" s="158"/>
      <c r="O503" s="158"/>
      <c r="P503" s="158"/>
      <c r="Q503" s="158"/>
    </row>
    <row r="504">
      <c r="D504" s="158"/>
      <c r="E504" s="158"/>
      <c r="F504" s="158"/>
      <c r="G504" s="158"/>
      <c r="H504" s="158"/>
      <c r="I504" s="158"/>
      <c r="J504" s="158"/>
      <c r="K504" s="158"/>
      <c r="L504" s="158"/>
      <c r="M504" s="158"/>
      <c r="N504" s="158"/>
      <c r="O504" s="158"/>
      <c r="P504" s="158"/>
      <c r="Q504" s="158"/>
    </row>
    <row r="505">
      <c r="D505" s="158"/>
      <c r="E505" s="158"/>
      <c r="F505" s="158"/>
      <c r="G505" s="158"/>
      <c r="H505" s="158"/>
      <c r="I505" s="158"/>
      <c r="J505" s="158"/>
      <c r="K505" s="158"/>
      <c r="L505" s="158"/>
      <c r="M505" s="158"/>
      <c r="N505" s="158"/>
      <c r="O505" s="158"/>
      <c r="P505" s="158"/>
      <c r="Q505" s="158"/>
    </row>
    <row r="506">
      <c r="D506" s="158"/>
      <c r="E506" s="158"/>
      <c r="F506" s="158"/>
      <c r="G506" s="158"/>
      <c r="H506" s="158"/>
      <c r="I506" s="158"/>
      <c r="J506" s="158"/>
      <c r="K506" s="158"/>
      <c r="L506" s="158"/>
      <c r="M506" s="158"/>
      <c r="N506" s="158"/>
      <c r="O506" s="158"/>
      <c r="P506" s="158"/>
      <c r="Q506" s="158"/>
    </row>
    <row r="507">
      <c r="D507" s="158"/>
      <c r="E507" s="158"/>
      <c r="F507" s="158"/>
      <c r="G507" s="158"/>
      <c r="H507" s="158"/>
      <c r="I507" s="158"/>
      <c r="J507" s="158"/>
      <c r="K507" s="158"/>
      <c r="L507" s="158"/>
      <c r="M507" s="158"/>
      <c r="N507" s="158"/>
      <c r="O507" s="158"/>
      <c r="P507" s="158"/>
      <c r="Q507" s="158"/>
    </row>
    <row r="508">
      <c r="D508" s="158"/>
      <c r="E508" s="158"/>
      <c r="F508" s="158"/>
      <c r="G508" s="158"/>
      <c r="H508" s="158"/>
      <c r="I508" s="158"/>
      <c r="J508" s="158"/>
      <c r="K508" s="158"/>
      <c r="L508" s="158"/>
      <c r="M508" s="158"/>
      <c r="N508" s="158"/>
      <c r="O508" s="158"/>
      <c r="P508" s="158"/>
      <c r="Q508" s="158"/>
    </row>
    <row r="509">
      <c r="D509" s="158"/>
      <c r="E509" s="158"/>
      <c r="F509" s="158"/>
      <c r="G509" s="158"/>
      <c r="H509" s="158"/>
      <c r="I509" s="158"/>
      <c r="J509" s="158"/>
      <c r="K509" s="158"/>
      <c r="L509" s="158"/>
      <c r="M509" s="158"/>
      <c r="N509" s="158"/>
      <c r="O509" s="158"/>
      <c r="P509" s="158"/>
      <c r="Q509" s="158"/>
    </row>
    <row r="510">
      <c r="D510" s="158"/>
      <c r="E510" s="158"/>
      <c r="F510" s="158"/>
      <c r="G510" s="158"/>
      <c r="H510" s="158"/>
      <c r="I510" s="158"/>
      <c r="J510" s="158"/>
      <c r="K510" s="158"/>
      <c r="L510" s="158"/>
      <c r="M510" s="158"/>
      <c r="N510" s="158"/>
      <c r="O510" s="158"/>
      <c r="P510" s="158"/>
      <c r="Q510" s="158"/>
    </row>
    <row r="511">
      <c r="D511" s="158"/>
      <c r="E511" s="158"/>
      <c r="F511" s="158"/>
      <c r="G511" s="158"/>
      <c r="H511" s="158"/>
      <c r="I511" s="158"/>
      <c r="J511" s="158"/>
      <c r="K511" s="158"/>
      <c r="L511" s="158"/>
      <c r="M511" s="158"/>
      <c r="N511" s="158"/>
      <c r="O511" s="158"/>
      <c r="P511" s="158"/>
      <c r="Q511" s="158"/>
    </row>
    <row r="512">
      <c r="D512" s="158"/>
      <c r="E512" s="158"/>
      <c r="F512" s="158"/>
      <c r="G512" s="158"/>
      <c r="H512" s="158"/>
      <c r="I512" s="158"/>
      <c r="J512" s="158"/>
      <c r="K512" s="158"/>
      <c r="L512" s="158"/>
      <c r="M512" s="158"/>
      <c r="N512" s="158"/>
      <c r="O512" s="158"/>
      <c r="P512" s="158"/>
      <c r="Q512" s="158"/>
    </row>
    <row r="513">
      <c r="D513" s="158"/>
      <c r="E513" s="158"/>
      <c r="F513" s="158"/>
      <c r="G513" s="158"/>
      <c r="H513" s="158"/>
      <c r="I513" s="158"/>
      <c r="J513" s="158"/>
      <c r="K513" s="158"/>
      <c r="L513" s="158"/>
      <c r="M513" s="158"/>
      <c r="N513" s="158"/>
      <c r="O513" s="158"/>
      <c r="P513" s="158"/>
      <c r="Q513" s="158"/>
    </row>
    <row r="514">
      <c r="D514" s="158"/>
      <c r="E514" s="158"/>
      <c r="F514" s="158"/>
      <c r="G514" s="158"/>
      <c r="H514" s="158"/>
      <c r="I514" s="158"/>
      <c r="J514" s="158"/>
      <c r="K514" s="158"/>
      <c r="L514" s="158"/>
      <c r="M514" s="158"/>
      <c r="N514" s="158"/>
      <c r="O514" s="158"/>
      <c r="P514" s="158"/>
      <c r="Q514" s="158"/>
    </row>
    <row r="515">
      <c r="D515" s="158"/>
      <c r="E515" s="158"/>
      <c r="F515" s="158"/>
      <c r="G515" s="158"/>
      <c r="H515" s="158"/>
      <c r="I515" s="158"/>
      <c r="J515" s="158"/>
      <c r="K515" s="158"/>
      <c r="L515" s="158"/>
      <c r="M515" s="158"/>
      <c r="N515" s="158"/>
      <c r="O515" s="158"/>
      <c r="P515" s="158"/>
      <c r="Q515" s="158"/>
    </row>
    <row r="516">
      <c r="D516" s="158"/>
      <c r="E516" s="158"/>
      <c r="F516" s="158"/>
      <c r="G516" s="158"/>
      <c r="H516" s="158"/>
      <c r="I516" s="158"/>
      <c r="J516" s="158"/>
      <c r="K516" s="158"/>
      <c r="L516" s="158"/>
      <c r="M516" s="158"/>
      <c r="N516" s="158"/>
      <c r="O516" s="158"/>
      <c r="P516" s="158"/>
      <c r="Q516" s="158"/>
    </row>
    <row r="517">
      <c r="D517" s="158"/>
      <c r="E517" s="158"/>
      <c r="F517" s="158"/>
      <c r="G517" s="158"/>
      <c r="H517" s="158"/>
      <c r="I517" s="158"/>
      <c r="J517" s="158"/>
      <c r="K517" s="158"/>
      <c r="L517" s="158"/>
      <c r="M517" s="158"/>
      <c r="N517" s="158"/>
      <c r="O517" s="158"/>
      <c r="P517" s="158"/>
      <c r="Q517" s="158"/>
    </row>
    <row r="518">
      <c r="D518" s="158"/>
      <c r="E518" s="158"/>
      <c r="F518" s="158"/>
      <c r="G518" s="158"/>
      <c r="H518" s="158"/>
      <c r="I518" s="158"/>
      <c r="J518" s="158"/>
      <c r="K518" s="158"/>
      <c r="L518" s="158"/>
      <c r="M518" s="158"/>
      <c r="N518" s="158"/>
      <c r="O518" s="158"/>
      <c r="P518" s="158"/>
      <c r="Q518" s="158"/>
    </row>
    <row r="519">
      <c r="D519" s="158"/>
      <c r="E519" s="158"/>
      <c r="F519" s="158"/>
      <c r="G519" s="158"/>
      <c r="H519" s="158"/>
      <c r="I519" s="158"/>
      <c r="J519" s="158"/>
      <c r="K519" s="158"/>
      <c r="L519" s="158"/>
      <c r="M519" s="158"/>
      <c r="N519" s="158"/>
      <c r="O519" s="158"/>
      <c r="P519" s="158"/>
      <c r="Q519" s="158"/>
    </row>
    <row r="520">
      <c r="D520" s="158"/>
      <c r="E520" s="158"/>
      <c r="F520" s="158"/>
      <c r="G520" s="158"/>
      <c r="H520" s="158"/>
      <c r="I520" s="158"/>
      <c r="J520" s="158"/>
      <c r="K520" s="158"/>
      <c r="L520" s="158"/>
      <c r="M520" s="158"/>
      <c r="N520" s="158"/>
      <c r="O520" s="158"/>
      <c r="P520" s="158"/>
      <c r="Q520" s="158"/>
    </row>
    <row r="521">
      <c r="D521" s="158"/>
      <c r="E521" s="158"/>
      <c r="F521" s="158"/>
      <c r="G521" s="158"/>
      <c r="H521" s="158"/>
      <c r="I521" s="158"/>
      <c r="J521" s="158"/>
      <c r="K521" s="158"/>
      <c r="L521" s="158"/>
      <c r="M521" s="158"/>
      <c r="N521" s="158"/>
      <c r="O521" s="158"/>
      <c r="P521" s="158"/>
      <c r="Q521" s="158"/>
    </row>
    <row r="522">
      <c r="D522" s="158"/>
      <c r="E522" s="158"/>
      <c r="F522" s="158"/>
      <c r="G522" s="158"/>
      <c r="H522" s="158"/>
      <c r="I522" s="158"/>
      <c r="J522" s="158"/>
      <c r="K522" s="158"/>
      <c r="L522" s="158"/>
      <c r="M522" s="158"/>
      <c r="N522" s="158"/>
      <c r="O522" s="158"/>
      <c r="P522" s="158"/>
      <c r="Q522" s="158"/>
    </row>
    <row r="523">
      <c r="D523" s="158"/>
      <c r="E523" s="158"/>
      <c r="F523" s="158"/>
      <c r="G523" s="158"/>
      <c r="H523" s="158"/>
      <c r="I523" s="158"/>
      <c r="J523" s="158"/>
      <c r="K523" s="158"/>
      <c r="L523" s="158"/>
      <c r="M523" s="158"/>
      <c r="N523" s="158"/>
      <c r="O523" s="158"/>
      <c r="P523" s="158"/>
      <c r="Q523" s="158"/>
    </row>
    <row r="524">
      <c r="D524" s="158"/>
      <c r="E524" s="158"/>
      <c r="F524" s="158"/>
      <c r="G524" s="158"/>
      <c r="H524" s="158"/>
      <c r="I524" s="158"/>
      <c r="J524" s="158"/>
      <c r="K524" s="158"/>
      <c r="L524" s="158"/>
      <c r="M524" s="158"/>
      <c r="N524" s="158"/>
      <c r="O524" s="158"/>
      <c r="P524" s="158"/>
      <c r="Q524" s="158"/>
    </row>
    <row r="525">
      <c r="D525" s="158"/>
      <c r="E525" s="158"/>
      <c r="F525" s="158"/>
      <c r="G525" s="158"/>
      <c r="H525" s="158"/>
      <c r="I525" s="158"/>
      <c r="J525" s="158"/>
      <c r="K525" s="158"/>
      <c r="L525" s="158"/>
      <c r="M525" s="158"/>
      <c r="N525" s="158"/>
      <c r="O525" s="158"/>
      <c r="P525" s="158"/>
      <c r="Q525" s="158"/>
    </row>
    <row r="526">
      <c r="D526" s="158"/>
      <c r="E526" s="158"/>
      <c r="F526" s="158"/>
      <c r="G526" s="158"/>
      <c r="H526" s="158"/>
      <c r="I526" s="158"/>
      <c r="J526" s="158"/>
      <c r="K526" s="158"/>
      <c r="L526" s="158"/>
      <c r="M526" s="158"/>
      <c r="N526" s="158"/>
      <c r="O526" s="158"/>
      <c r="P526" s="158"/>
      <c r="Q526" s="158"/>
    </row>
    <row r="527">
      <c r="D527" s="158"/>
      <c r="E527" s="158"/>
      <c r="F527" s="158"/>
      <c r="G527" s="158"/>
      <c r="H527" s="158"/>
      <c r="I527" s="158"/>
      <c r="J527" s="158"/>
      <c r="K527" s="158"/>
      <c r="L527" s="158"/>
      <c r="M527" s="158"/>
      <c r="N527" s="158"/>
      <c r="O527" s="158"/>
      <c r="P527" s="158"/>
      <c r="Q527" s="158"/>
    </row>
    <row r="528">
      <c r="D528" s="158"/>
      <c r="E528" s="158"/>
      <c r="F528" s="158"/>
      <c r="G528" s="158"/>
      <c r="H528" s="158"/>
      <c r="I528" s="158"/>
      <c r="J528" s="158"/>
      <c r="K528" s="158"/>
      <c r="L528" s="158"/>
      <c r="M528" s="158"/>
      <c r="N528" s="158"/>
      <c r="O528" s="158"/>
      <c r="P528" s="158"/>
      <c r="Q528" s="158"/>
    </row>
    <row r="529">
      <c r="D529" s="158"/>
      <c r="E529" s="158"/>
      <c r="F529" s="158"/>
      <c r="G529" s="158"/>
      <c r="H529" s="158"/>
      <c r="I529" s="158"/>
      <c r="J529" s="158"/>
      <c r="K529" s="158"/>
      <c r="L529" s="158"/>
      <c r="M529" s="158"/>
      <c r="N529" s="158"/>
      <c r="O529" s="158"/>
      <c r="P529" s="158"/>
      <c r="Q529" s="158"/>
    </row>
    <row r="530">
      <c r="D530" s="158"/>
      <c r="E530" s="158"/>
      <c r="F530" s="158"/>
      <c r="G530" s="158"/>
      <c r="H530" s="158"/>
      <c r="I530" s="158"/>
      <c r="J530" s="158"/>
      <c r="K530" s="158"/>
      <c r="L530" s="158"/>
      <c r="M530" s="158"/>
      <c r="N530" s="158"/>
      <c r="O530" s="158"/>
      <c r="P530" s="158"/>
      <c r="Q530" s="158"/>
    </row>
    <row r="531">
      <c r="D531" s="158"/>
      <c r="E531" s="158"/>
      <c r="F531" s="158"/>
      <c r="G531" s="158"/>
      <c r="H531" s="158"/>
      <c r="I531" s="158"/>
      <c r="J531" s="158"/>
      <c r="K531" s="158"/>
      <c r="L531" s="158"/>
      <c r="M531" s="158"/>
      <c r="N531" s="158"/>
      <c r="O531" s="158"/>
      <c r="P531" s="158"/>
      <c r="Q531" s="158"/>
    </row>
    <row r="532">
      <c r="D532" s="158"/>
      <c r="E532" s="158"/>
      <c r="F532" s="158"/>
      <c r="G532" s="158"/>
      <c r="H532" s="158"/>
      <c r="I532" s="158"/>
      <c r="J532" s="158"/>
      <c r="K532" s="158"/>
      <c r="L532" s="158"/>
      <c r="M532" s="158"/>
      <c r="N532" s="158"/>
      <c r="O532" s="158"/>
      <c r="P532" s="158"/>
      <c r="Q532" s="158"/>
    </row>
    <row r="533">
      <c r="D533" s="158"/>
      <c r="E533" s="158"/>
      <c r="F533" s="158"/>
      <c r="G533" s="158"/>
      <c r="H533" s="158"/>
      <c r="I533" s="158"/>
      <c r="J533" s="158"/>
      <c r="K533" s="158"/>
      <c r="L533" s="158"/>
      <c r="M533" s="158"/>
      <c r="N533" s="158"/>
      <c r="O533" s="158"/>
      <c r="P533" s="158"/>
      <c r="Q533" s="158"/>
    </row>
    <row r="534">
      <c r="D534" s="158"/>
      <c r="E534" s="158"/>
      <c r="F534" s="158"/>
      <c r="G534" s="158"/>
      <c r="H534" s="158"/>
      <c r="I534" s="158"/>
      <c r="J534" s="158"/>
      <c r="K534" s="158"/>
      <c r="L534" s="158"/>
      <c r="M534" s="158"/>
      <c r="N534" s="158"/>
      <c r="O534" s="158"/>
      <c r="P534" s="158"/>
      <c r="Q534" s="158"/>
    </row>
    <row r="535">
      <c r="D535" s="158"/>
      <c r="E535" s="158"/>
      <c r="F535" s="158"/>
      <c r="G535" s="158"/>
      <c r="H535" s="158"/>
      <c r="I535" s="158"/>
      <c r="J535" s="158"/>
      <c r="K535" s="158"/>
      <c r="L535" s="158"/>
      <c r="M535" s="158"/>
      <c r="N535" s="158"/>
      <c r="O535" s="158"/>
      <c r="P535" s="158"/>
      <c r="Q535" s="158"/>
    </row>
    <row r="536">
      <c r="D536" s="158"/>
      <c r="E536" s="158"/>
      <c r="F536" s="158"/>
      <c r="G536" s="158"/>
      <c r="H536" s="158"/>
      <c r="I536" s="158"/>
      <c r="J536" s="158"/>
      <c r="K536" s="158"/>
      <c r="L536" s="158"/>
      <c r="M536" s="158"/>
      <c r="N536" s="158"/>
      <c r="O536" s="158"/>
      <c r="P536" s="158"/>
      <c r="Q536" s="158"/>
    </row>
    <row r="537">
      <c r="D537" s="158"/>
      <c r="E537" s="158"/>
      <c r="F537" s="158"/>
      <c r="G537" s="158"/>
      <c r="H537" s="158"/>
      <c r="I537" s="158"/>
      <c r="J537" s="158"/>
      <c r="K537" s="158"/>
      <c r="L537" s="158"/>
      <c r="M537" s="158"/>
      <c r="N537" s="158"/>
      <c r="O537" s="158"/>
      <c r="P537" s="158"/>
      <c r="Q537" s="158"/>
    </row>
    <row r="538">
      <c r="D538" s="158"/>
      <c r="E538" s="158"/>
      <c r="F538" s="158"/>
      <c r="G538" s="158"/>
      <c r="H538" s="158"/>
      <c r="I538" s="158"/>
      <c r="J538" s="158"/>
      <c r="K538" s="158"/>
      <c r="L538" s="158"/>
      <c r="M538" s="158"/>
      <c r="N538" s="158"/>
      <c r="O538" s="158"/>
      <c r="P538" s="158"/>
      <c r="Q538" s="158"/>
    </row>
    <row r="539">
      <c r="D539" s="158"/>
      <c r="E539" s="158"/>
      <c r="F539" s="158"/>
      <c r="G539" s="158"/>
      <c r="H539" s="158"/>
      <c r="I539" s="158"/>
      <c r="J539" s="158"/>
      <c r="K539" s="158"/>
      <c r="L539" s="158"/>
      <c r="M539" s="158"/>
      <c r="N539" s="158"/>
      <c r="O539" s="158"/>
      <c r="P539" s="158"/>
      <c r="Q539" s="158"/>
    </row>
    <row r="540">
      <c r="D540" s="158"/>
      <c r="E540" s="158"/>
      <c r="F540" s="158"/>
      <c r="G540" s="158"/>
      <c r="H540" s="158"/>
      <c r="I540" s="158"/>
      <c r="J540" s="158"/>
      <c r="K540" s="158"/>
      <c r="L540" s="158"/>
      <c r="M540" s="158"/>
      <c r="N540" s="158"/>
      <c r="O540" s="158"/>
      <c r="P540" s="158"/>
      <c r="Q540" s="158"/>
    </row>
    <row r="541">
      <c r="D541" s="158"/>
      <c r="E541" s="158"/>
      <c r="F541" s="158"/>
      <c r="G541" s="158"/>
      <c r="H541" s="158"/>
      <c r="I541" s="158"/>
      <c r="J541" s="158"/>
      <c r="K541" s="158"/>
      <c r="L541" s="158"/>
      <c r="M541" s="158"/>
      <c r="N541" s="158"/>
      <c r="O541" s="158"/>
      <c r="P541" s="158"/>
      <c r="Q541" s="158"/>
    </row>
    <row r="542">
      <c r="D542" s="158"/>
      <c r="E542" s="158"/>
      <c r="F542" s="158"/>
      <c r="G542" s="158"/>
      <c r="H542" s="158"/>
      <c r="I542" s="158"/>
      <c r="J542" s="158"/>
      <c r="K542" s="158"/>
      <c r="L542" s="158"/>
      <c r="M542" s="158"/>
      <c r="N542" s="158"/>
      <c r="O542" s="158"/>
      <c r="P542" s="158"/>
      <c r="Q542" s="158"/>
    </row>
    <row r="543">
      <c r="D543" s="158"/>
      <c r="E543" s="158"/>
      <c r="F543" s="158"/>
      <c r="G543" s="158"/>
      <c r="H543" s="158"/>
      <c r="I543" s="158"/>
      <c r="J543" s="158"/>
      <c r="K543" s="158"/>
      <c r="L543" s="158"/>
      <c r="M543" s="158"/>
      <c r="N543" s="158"/>
      <c r="O543" s="158"/>
      <c r="P543" s="158"/>
      <c r="Q543" s="158"/>
    </row>
    <row r="544">
      <c r="D544" s="158"/>
      <c r="E544" s="158"/>
      <c r="F544" s="158"/>
      <c r="G544" s="158"/>
      <c r="H544" s="158"/>
      <c r="I544" s="158"/>
      <c r="J544" s="158"/>
      <c r="K544" s="158"/>
      <c r="L544" s="158"/>
      <c r="M544" s="158"/>
      <c r="N544" s="158"/>
      <c r="O544" s="158"/>
      <c r="P544" s="158"/>
      <c r="Q544" s="158"/>
    </row>
    <row r="545">
      <c r="D545" s="158"/>
      <c r="E545" s="158"/>
      <c r="F545" s="158"/>
      <c r="G545" s="158"/>
      <c r="H545" s="158"/>
      <c r="I545" s="158"/>
      <c r="J545" s="158"/>
      <c r="K545" s="158"/>
      <c r="L545" s="158"/>
      <c r="M545" s="158"/>
      <c r="N545" s="158"/>
      <c r="O545" s="158"/>
      <c r="P545" s="158"/>
      <c r="Q545" s="158"/>
    </row>
    <row r="546">
      <c r="D546" s="158"/>
      <c r="E546" s="158"/>
      <c r="F546" s="158"/>
      <c r="G546" s="158"/>
      <c r="H546" s="158"/>
      <c r="I546" s="158"/>
      <c r="J546" s="158"/>
      <c r="K546" s="158"/>
      <c r="L546" s="158"/>
      <c r="M546" s="158"/>
      <c r="N546" s="158"/>
      <c r="O546" s="158"/>
      <c r="P546" s="158"/>
      <c r="Q546" s="158"/>
    </row>
    <row r="547">
      <c r="D547" s="158"/>
      <c r="E547" s="158"/>
      <c r="F547" s="158"/>
      <c r="G547" s="158"/>
      <c r="H547" s="158"/>
      <c r="I547" s="158"/>
      <c r="J547" s="158"/>
      <c r="K547" s="158"/>
      <c r="L547" s="158"/>
      <c r="M547" s="158"/>
      <c r="N547" s="158"/>
      <c r="O547" s="158"/>
      <c r="P547" s="158"/>
      <c r="Q547" s="158"/>
    </row>
    <row r="548">
      <c r="D548" s="158"/>
      <c r="E548" s="158"/>
      <c r="F548" s="158"/>
      <c r="G548" s="158"/>
      <c r="H548" s="158"/>
      <c r="I548" s="158"/>
      <c r="J548" s="158"/>
      <c r="K548" s="158"/>
      <c r="L548" s="158"/>
      <c r="M548" s="158"/>
      <c r="N548" s="158"/>
      <c r="O548" s="158"/>
      <c r="P548" s="158"/>
      <c r="Q548" s="158"/>
    </row>
    <row r="549">
      <c r="D549" s="158"/>
      <c r="E549" s="158"/>
      <c r="F549" s="158"/>
      <c r="G549" s="158"/>
      <c r="H549" s="158"/>
      <c r="I549" s="158"/>
      <c r="J549" s="158"/>
      <c r="K549" s="158"/>
      <c r="L549" s="158"/>
      <c r="M549" s="158"/>
      <c r="N549" s="158"/>
      <c r="O549" s="158"/>
      <c r="P549" s="158"/>
      <c r="Q549" s="158"/>
    </row>
    <row r="550">
      <c r="D550" s="158"/>
      <c r="E550" s="158"/>
      <c r="F550" s="158"/>
      <c r="G550" s="158"/>
      <c r="H550" s="158"/>
      <c r="I550" s="158"/>
      <c r="J550" s="158"/>
      <c r="K550" s="158"/>
      <c r="L550" s="158"/>
      <c r="M550" s="158"/>
      <c r="N550" s="158"/>
      <c r="O550" s="158"/>
      <c r="P550" s="158"/>
      <c r="Q550" s="158"/>
    </row>
    <row r="551">
      <c r="D551" s="158"/>
      <c r="E551" s="158"/>
      <c r="F551" s="158"/>
      <c r="G551" s="158"/>
      <c r="H551" s="158"/>
      <c r="I551" s="158"/>
      <c r="J551" s="158"/>
      <c r="K551" s="158"/>
      <c r="L551" s="158"/>
      <c r="M551" s="158"/>
      <c r="N551" s="158"/>
      <c r="O551" s="158"/>
      <c r="P551" s="158"/>
      <c r="Q551" s="158"/>
    </row>
    <row r="552">
      <c r="D552" s="158"/>
      <c r="E552" s="158"/>
      <c r="F552" s="158"/>
      <c r="G552" s="158"/>
      <c r="H552" s="158"/>
      <c r="I552" s="158"/>
      <c r="J552" s="158"/>
      <c r="K552" s="158"/>
      <c r="L552" s="158"/>
      <c r="M552" s="158"/>
      <c r="N552" s="158"/>
      <c r="O552" s="158"/>
      <c r="P552" s="158"/>
      <c r="Q552" s="158"/>
    </row>
    <row r="553">
      <c r="D553" s="158"/>
      <c r="E553" s="158"/>
      <c r="F553" s="158"/>
      <c r="G553" s="158"/>
      <c r="H553" s="158"/>
      <c r="I553" s="158"/>
      <c r="J553" s="158"/>
      <c r="K553" s="158"/>
      <c r="L553" s="158"/>
      <c r="M553" s="158"/>
      <c r="N553" s="158"/>
      <c r="O553" s="158"/>
      <c r="P553" s="158"/>
      <c r="Q553" s="158"/>
    </row>
    <row r="554">
      <c r="D554" s="158"/>
      <c r="E554" s="158"/>
      <c r="F554" s="158"/>
      <c r="G554" s="158"/>
      <c r="H554" s="158"/>
      <c r="I554" s="158"/>
      <c r="J554" s="158"/>
      <c r="K554" s="158"/>
      <c r="L554" s="158"/>
      <c r="M554" s="158"/>
      <c r="N554" s="158"/>
      <c r="O554" s="158"/>
      <c r="P554" s="158"/>
      <c r="Q554" s="158"/>
    </row>
    <row r="555">
      <c r="D555" s="158"/>
      <c r="E555" s="158"/>
      <c r="F555" s="158"/>
      <c r="G555" s="158"/>
      <c r="H555" s="158"/>
      <c r="I555" s="158"/>
      <c r="J555" s="158"/>
      <c r="K555" s="158"/>
      <c r="L555" s="158"/>
      <c r="M555" s="158"/>
      <c r="N555" s="158"/>
      <c r="O555" s="158"/>
      <c r="P555" s="158"/>
      <c r="Q555" s="158"/>
    </row>
    <row r="556">
      <c r="D556" s="158"/>
      <c r="E556" s="158"/>
      <c r="F556" s="158"/>
      <c r="G556" s="158"/>
      <c r="H556" s="158"/>
      <c r="I556" s="158"/>
      <c r="J556" s="158"/>
      <c r="K556" s="158"/>
      <c r="L556" s="158"/>
      <c r="M556" s="158"/>
      <c r="N556" s="158"/>
      <c r="O556" s="158"/>
      <c r="P556" s="158"/>
      <c r="Q556" s="158"/>
    </row>
    <row r="557">
      <c r="D557" s="158"/>
      <c r="E557" s="158"/>
      <c r="F557" s="158"/>
      <c r="G557" s="158"/>
      <c r="H557" s="158"/>
      <c r="I557" s="158"/>
      <c r="J557" s="158"/>
      <c r="K557" s="158"/>
      <c r="L557" s="158"/>
      <c r="M557" s="158"/>
      <c r="N557" s="158"/>
      <c r="O557" s="158"/>
      <c r="P557" s="158"/>
      <c r="Q557" s="158"/>
    </row>
    <row r="558">
      <c r="D558" s="158"/>
      <c r="E558" s="158"/>
      <c r="F558" s="158"/>
      <c r="G558" s="158"/>
      <c r="H558" s="158"/>
      <c r="I558" s="158"/>
      <c r="J558" s="158"/>
      <c r="K558" s="158"/>
      <c r="L558" s="158"/>
      <c r="M558" s="158"/>
      <c r="N558" s="158"/>
      <c r="O558" s="158"/>
      <c r="P558" s="158"/>
      <c r="Q558" s="158"/>
    </row>
    <row r="559">
      <c r="D559" s="158"/>
      <c r="E559" s="158"/>
      <c r="F559" s="158"/>
      <c r="G559" s="158"/>
      <c r="H559" s="158"/>
      <c r="I559" s="158"/>
      <c r="J559" s="158"/>
      <c r="K559" s="158"/>
      <c r="L559" s="158"/>
      <c r="M559" s="158"/>
      <c r="N559" s="158"/>
      <c r="O559" s="158"/>
      <c r="P559" s="158"/>
      <c r="Q559" s="158"/>
    </row>
    <row r="560">
      <c r="D560" s="158"/>
      <c r="E560" s="158"/>
      <c r="F560" s="158"/>
      <c r="G560" s="158"/>
      <c r="H560" s="158"/>
      <c r="I560" s="158"/>
      <c r="J560" s="158"/>
      <c r="K560" s="158"/>
      <c r="L560" s="158"/>
      <c r="M560" s="158"/>
      <c r="N560" s="158"/>
      <c r="O560" s="158"/>
      <c r="P560" s="158"/>
      <c r="Q560" s="158"/>
    </row>
    <row r="561">
      <c r="D561" s="158"/>
      <c r="E561" s="158"/>
      <c r="F561" s="158"/>
      <c r="G561" s="158"/>
      <c r="H561" s="158"/>
      <c r="I561" s="158"/>
      <c r="J561" s="158"/>
      <c r="K561" s="158"/>
      <c r="L561" s="158"/>
      <c r="M561" s="158"/>
      <c r="N561" s="158"/>
      <c r="O561" s="158"/>
      <c r="P561" s="158"/>
      <c r="Q561" s="158"/>
    </row>
    <row r="562">
      <c r="D562" s="158"/>
      <c r="E562" s="158"/>
      <c r="F562" s="158"/>
      <c r="G562" s="158"/>
      <c r="H562" s="158"/>
      <c r="I562" s="158"/>
      <c r="J562" s="158"/>
      <c r="K562" s="158"/>
      <c r="L562" s="158"/>
      <c r="M562" s="158"/>
      <c r="N562" s="158"/>
      <c r="O562" s="158"/>
      <c r="P562" s="158"/>
      <c r="Q562" s="158"/>
    </row>
    <row r="563">
      <c r="D563" s="158"/>
      <c r="E563" s="158"/>
      <c r="F563" s="158"/>
      <c r="G563" s="158"/>
      <c r="H563" s="158"/>
      <c r="I563" s="158"/>
      <c r="J563" s="158"/>
      <c r="K563" s="158"/>
      <c r="L563" s="158"/>
      <c r="M563" s="158"/>
      <c r="N563" s="158"/>
      <c r="O563" s="158"/>
      <c r="P563" s="158"/>
      <c r="Q563" s="158"/>
    </row>
    <row r="564">
      <c r="D564" s="158"/>
      <c r="E564" s="158"/>
      <c r="F564" s="158"/>
      <c r="G564" s="158"/>
      <c r="H564" s="158"/>
      <c r="I564" s="158"/>
      <c r="J564" s="158"/>
      <c r="K564" s="158"/>
      <c r="L564" s="158"/>
      <c r="M564" s="158"/>
      <c r="N564" s="158"/>
      <c r="O564" s="158"/>
      <c r="P564" s="158"/>
      <c r="Q564" s="158"/>
    </row>
    <row r="565">
      <c r="D565" s="158"/>
      <c r="E565" s="158"/>
      <c r="F565" s="158"/>
      <c r="G565" s="158"/>
      <c r="H565" s="158"/>
      <c r="I565" s="158"/>
      <c r="J565" s="158"/>
      <c r="K565" s="158"/>
      <c r="L565" s="158"/>
      <c r="M565" s="158"/>
      <c r="N565" s="158"/>
      <c r="O565" s="158"/>
      <c r="P565" s="158"/>
      <c r="Q565" s="158"/>
    </row>
    <row r="566">
      <c r="D566" s="158"/>
      <c r="E566" s="158"/>
      <c r="F566" s="158"/>
      <c r="G566" s="158"/>
      <c r="H566" s="158"/>
      <c r="I566" s="158"/>
      <c r="J566" s="158"/>
      <c r="K566" s="158"/>
      <c r="L566" s="158"/>
      <c r="M566" s="158"/>
      <c r="N566" s="158"/>
      <c r="O566" s="158"/>
      <c r="P566" s="158"/>
      <c r="Q566" s="158"/>
    </row>
    <row r="567">
      <c r="D567" s="158"/>
      <c r="E567" s="158"/>
      <c r="F567" s="158"/>
      <c r="G567" s="158"/>
      <c r="H567" s="158"/>
      <c r="I567" s="158"/>
      <c r="J567" s="158"/>
      <c r="K567" s="158"/>
      <c r="L567" s="158"/>
      <c r="M567" s="158"/>
      <c r="N567" s="158"/>
      <c r="O567" s="158"/>
      <c r="P567" s="158"/>
      <c r="Q567" s="158"/>
    </row>
    <row r="568">
      <c r="D568" s="158"/>
      <c r="E568" s="158"/>
      <c r="F568" s="158"/>
      <c r="G568" s="158"/>
      <c r="H568" s="158"/>
      <c r="I568" s="158"/>
      <c r="J568" s="158"/>
      <c r="K568" s="158"/>
      <c r="L568" s="158"/>
      <c r="M568" s="158"/>
      <c r="N568" s="158"/>
      <c r="O568" s="158"/>
      <c r="P568" s="158"/>
      <c r="Q568" s="158"/>
    </row>
    <row r="569">
      <c r="D569" s="158"/>
      <c r="E569" s="158"/>
      <c r="F569" s="158"/>
      <c r="G569" s="158"/>
      <c r="H569" s="158"/>
      <c r="I569" s="158"/>
      <c r="J569" s="158"/>
      <c r="K569" s="158"/>
      <c r="L569" s="158"/>
      <c r="M569" s="158"/>
      <c r="N569" s="158"/>
      <c r="O569" s="158"/>
      <c r="P569" s="158"/>
      <c r="Q569" s="158"/>
    </row>
    <row r="570">
      <c r="D570" s="158"/>
      <c r="E570" s="158"/>
      <c r="F570" s="158"/>
      <c r="G570" s="158"/>
      <c r="H570" s="158"/>
      <c r="I570" s="158"/>
      <c r="J570" s="158"/>
      <c r="K570" s="158"/>
      <c r="L570" s="158"/>
      <c r="M570" s="158"/>
      <c r="N570" s="158"/>
      <c r="O570" s="158"/>
      <c r="P570" s="158"/>
      <c r="Q570" s="158"/>
    </row>
    <row r="571">
      <c r="D571" s="158"/>
      <c r="E571" s="158"/>
      <c r="F571" s="158"/>
      <c r="G571" s="158"/>
      <c r="H571" s="158"/>
      <c r="I571" s="158"/>
      <c r="J571" s="158"/>
      <c r="K571" s="158"/>
      <c r="L571" s="158"/>
      <c r="M571" s="158"/>
      <c r="N571" s="158"/>
      <c r="O571" s="158"/>
      <c r="P571" s="158"/>
      <c r="Q571" s="158"/>
    </row>
    <row r="572">
      <c r="D572" s="158"/>
      <c r="E572" s="158"/>
      <c r="F572" s="158"/>
      <c r="G572" s="158"/>
      <c r="H572" s="158"/>
      <c r="I572" s="158"/>
      <c r="J572" s="158"/>
      <c r="K572" s="158"/>
      <c r="L572" s="158"/>
      <c r="M572" s="158"/>
      <c r="N572" s="158"/>
      <c r="O572" s="158"/>
      <c r="P572" s="158"/>
      <c r="Q572" s="158"/>
    </row>
    <row r="573">
      <c r="D573" s="158"/>
      <c r="E573" s="158"/>
      <c r="F573" s="158"/>
      <c r="G573" s="158"/>
      <c r="H573" s="158"/>
      <c r="I573" s="158"/>
      <c r="J573" s="158"/>
      <c r="K573" s="158"/>
      <c r="L573" s="158"/>
      <c r="M573" s="158"/>
      <c r="N573" s="158"/>
      <c r="O573" s="158"/>
      <c r="P573" s="158"/>
      <c r="Q573" s="158"/>
    </row>
    <row r="574">
      <c r="D574" s="158"/>
      <c r="E574" s="158"/>
      <c r="F574" s="158"/>
      <c r="G574" s="158"/>
      <c r="H574" s="158"/>
      <c r="I574" s="158"/>
      <c r="J574" s="158"/>
      <c r="K574" s="158"/>
      <c r="L574" s="158"/>
      <c r="M574" s="158"/>
      <c r="N574" s="158"/>
      <c r="O574" s="158"/>
      <c r="P574" s="158"/>
      <c r="Q574" s="158"/>
    </row>
    <row r="575">
      <c r="D575" s="158"/>
      <c r="E575" s="158"/>
      <c r="F575" s="158"/>
      <c r="G575" s="158"/>
      <c r="H575" s="158"/>
      <c r="I575" s="158"/>
      <c r="J575" s="158"/>
      <c r="K575" s="158"/>
      <c r="L575" s="158"/>
      <c r="M575" s="158"/>
      <c r="N575" s="158"/>
      <c r="O575" s="158"/>
      <c r="P575" s="158"/>
      <c r="Q575" s="158"/>
    </row>
    <row r="576">
      <c r="D576" s="158"/>
      <c r="E576" s="158"/>
      <c r="F576" s="158"/>
      <c r="G576" s="158"/>
      <c r="H576" s="158"/>
      <c r="I576" s="158"/>
      <c r="J576" s="158"/>
      <c r="K576" s="158"/>
      <c r="L576" s="158"/>
      <c r="M576" s="158"/>
      <c r="N576" s="158"/>
      <c r="O576" s="158"/>
      <c r="P576" s="158"/>
      <c r="Q576" s="158"/>
    </row>
    <row r="577">
      <c r="D577" s="158"/>
      <c r="E577" s="158"/>
      <c r="F577" s="158"/>
      <c r="G577" s="158"/>
      <c r="H577" s="158"/>
      <c r="I577" s="158"/>
      <c r="J577" s="158"/>
      <c r="K577" s="158"/>
      <c r="L577" s="158"/>
      <c r="M577" s="158"/>
      <c r="N577" s="158"/>
      <c r="O577" s="158"/>
      <c r="P577" s="158"/>
      <c r="Q577" s="158"/>
    </row>
    <row r="578">
      <c r="D578" s="158"/>
      <c r="E578" s="158"/>
      <c r="F578" s="158"/>
      <c r="G578" s="158"/>
      <c r="H578" s="158"/>
      <c r="I578" s="158"/>
      <c r="J578" s="158"/>
      <c r="K578" s="158"/>
      <c r="L578" s="158"/>
      <c r="M578" s="158"/>
      <c r="N578" s="158"/>
      <c r="O578" s="158"/>
      <c r="P578" s="158"/>
      <c r="Q578" s="158"/>
    </row>
    <row r="579">
      <c r="D579" s="158"/>
      <c r="E579" s="158"/>
      <c r="F579" s="158"/>
      <c r="G579" s="158"/>
      <c r="H579" s="158"/>
      <c r="I579" s="158"/>
      <c r="J579" s="158"/>
      <c r="K579" s="158"/>
      <c r="L579" s="158"/>
      <c r="M579" s="158"/>
      <c r="N579" s="158"/>
      <c r="O579" s="158"/>
      <c r="P579" s="158"/>
      <c r="Q579" s="158"/>
    </row>
    <row r="580">
      <c r="D580" s="158"/>
      <c r="E580" s="158"/>
      <c r="F580" s="158"/>
      <c r="G580" s="158"/>
      <c r="H580" s="158"/>
      <c r="I580" s="158"/>
      <c r="J580" s="158"/>
      <c r="K580" s="158"/>
      <c r="L580" s="158"/>
      <c r="M580" s="158"/>
      <c r="N580" s="158"/>
      <c r="O580" s="158"/>
      <c r="P580" s="158"/>
      <c r="Q580" s="158"/>
    </row>
    <row r="581">
      <c r="D581" s="158"/>
      <c r="E581" s="158"/>
      <c r="F581" s="158"/>
      <c r="G581" s="158"/>
      <c r="H581" s="158"/>
      <c r="I581" s="158"/>
      <c r="J581" s="158"/>
      <c r="K581" s="158"/>
      <c r="L581" s="158"/>
      <c r="M581" s="158"/>
      <c r="N581" s="158"/>
      <c r="O581" s="158"/>
      <c r="P581" s="158"/>
      <c r="Q581" s="158"/>
    </row>
    <row r="582">
      <c r="D582" s="158"/>
      <c r="E582" s="158"/>
      <c r="F582" s="158"/>
      <c r="G582" s="158"/>
      <c r="H582" s="158"/>
      <c r="I582" s="158"/>
      <c r="J582" s="158"/>
      <c r="K582" s="158"/>
      <c r="L582" s="158"/>
      <c r="M582" s="158"/>
      <c r="N582" s="158"/>
      <c r="O582" s="158"/>
      <c r="P582" s="158"/>
      <c r="Q582" s="158"/>
    </row>
    <row r="583">
      <c r="D583" s="158"/>
      <c r="E583" s="158"/>
      <c r="F583" s="158"/>
      <c r="G583" s="158"/>
      <c r="H583" s="158"/>
      <c r="I583" s="158"/>
      <c r="J583" s="158"/>
      <c r="K583" s="158"/>
      <c r="L583" s="158"/>
      <c r="M583" s="158"/>
      <c r="N583" s="158"/>
      <c r="O583" s="158"/>
      <c r="P583" s="158"/>
      <c r="Q583" s="158"/>
    </row>
    <row r="584">
      <c r="D584" s="158"/>
      <c r="E584" s="158"/>
      <c r="F584" s="158"/>
      <c r="G584" s="158"/>
      <c r="H584" s="158"/>
      <c r="I584" s="158"/>
      <c r="J584" s="158"/>
      <c r="K584" s="158"/>
      <c r="L584" s="158"/>
      <c r="M584" s="158"/>
      <c r="N584" s="158"/>
      <c r="O584" s="158"/>
      <c r="P584" s="158"/>
      <c r="Q584" s="158"/>
    </row>
    <row r="585">
      <c r="D585" s="158"/>
      <c r="E585" s="158"/>
      <c r="F585" s="158"/>
      <c r="G585" s="158"/>
      <c r="H585" s="158"/>
      <c r="I585" s="158"/>
      <c r="J585" s="158"/>
      <c r="K585" s="158"/>
      <c r="L585" s="158"/>
      <c r="M585" s="158"/>
      <c r="N585" s="158"/>
      <c r="O585" s="158"/>
      <c r="P585" s="158"/>
      <c r="Q585" s="158"/>
    </row>
    <row r="586">
      <c r="D586" s="158"/>
      <c r="E586" s="158"/>
      <c r="F586" s="158"/>
      <c r="G586" s="158"/>
      <c r="H586" s="158"/>
      <c r="I586" s="158"/>
      <c r="J586" s="158"/>
      <c r="K586" s="158"/>
      <c r="L586" s="158"/>
      <c r="M586" s="158"/>
      <c r="N586" s="158"/>
      <c r="O586" s="158"/>
      <c r="P586" s="158"/>
      <c r="Q586" s="158"/>
    </row>
    <row r="587">
      <c r="D587" s="158"/>
      <c r="E587" s="158"/>
      <c r="F587" s="158"/>
      <c r="G587" s="158"/>
      <c r="H587" s="158"/>
      <c r="I587" s="158"/>
      <c r="J587" s="158"/>
      <c r="K587" s="158"/>
      <c r="L587" s="158"/>
      <c r="M587" s="158"/>
      <c r="N587" s="158"/>
      <c r="O587" s="158"/>
      <c r="P587" s="158"/>
      <c r="Q587" s="158"/>
    </row>
    <row r="588">
      <c r="D588" s="158"/>
      <c r="E588" s="158"/>
      <c r="F588" s="158"/>
      <c r="G588" s="158"/>
      <c r="H588" s="158"/>
      <c r="I588" s="158"/>
      <c r="J588" s="158"/>
      <c r="K588" s="158"/>
      <c r="L588" s="158"/>
      <c r="M588" s="158"/>
      <c r="N588" s="158"/>
      <c r="O588" s="158"/>
      <c r="P588" s="158"/>
      <c r="Q588" s="158"/>
    </row>
    <row r="589">
      <c r="D589" s="158"/>
      <c r="E589" s="158"/>
      <c r="F589" s="158"/>
      <c r="G589" s="158"/>
      <c r="H589" s="158"/>
      <c r="I589" s="158"/>
      <c r="J589" s="158"/>
      <c r="K589" s="158"/>
      <c r="L589" s="158"/>
      <c r="M589" s="158"/>
      <c r="N589" s="158"/>
      <c r="O589" s="158"/>
      <c r="P589" s="158"/>
      <c r="Q589" s="158"/>
    </row>
    <row r="590">
      <c r="D590" s="158"/>
      <c r="E590" s="158"/>
      <c r="F590" s="158"/>
      <c r="G590" s="158"/>
      <c r="H590" s="158"/>
      <c r="I590" s="158"/>
      <c r="J590" s="158"/>
      <c r="K590" s="158"/>
      <c r="L590" s="158"/>
      <c r="M590" s="158"/>
      <c r="N590" s="158"/>
      <c r="O590" s="158"/>
      <c r="P590" s="158"/>
      <c r="Q590" s="158"/>
    </row>
    <row r="591">
      <c r="D591" s="158"/>
      <c r="E591" s="158"/>
      <c r="F591" s="158"/>
      <c r="G591" s="158"/>
      <c r="H591" s="158"/>
      <c r="I591" s="158"/>
      <c r="J591" s="158"/>
      <c r="K591" s="158"/>
      <c r="L591" s="158"/>
      <c r="M591" s="158"/>
      <c r="N591" s="158"/>
      <c r="O591" s="158"/>
      <c r="P591" s="158"/>
      <c r="Q591" s="158"/>
    </row>
    <row r="592">
      <c r="D592" s="158"/>
      <c r="E592" s="158"/>
      <c r="F592" s="158"/>
      <c r="G592" s="158"/>
      <c r="H592" s="158"/>
      <c r="I592" s="158"/>
      <c r="J592" s="158"/>
      <c r="K592" s="158"/>
      <c r="L592" s="158"/>
      <c r="M592" s="158"/>
      <c r="N592" s="158"/>
      <c r="O592" s="158"/>
      <c r="P592" s="158"/>
      <c r="Q592" s="158"/>
    </row>
    <row r="593">
      <c r="D593" s="158"/>
      <c r="E593" s="158"/>
      <c r="F593" s="158"/>
      <c r="G593" s="158"/>
      <c r="H593" s="158"/>
      <c r="I593" s="158"/>
      <c r="J593" s="158"/>
      <c r="K593" s="158"/>
      <c r="L593" s="158"/>
      <c r="M593" s="158"/>
      <c r="N593" s="158"/>
      <c r="O593" s="158"/>
      <c r="P593" s="158"/>
      <c r="Q593" s="158"/>
    </row>
    <row r="594">
      <c r="D594" s="158"/>
      <c r="E594" s="158"/>
      <c r="F594" s="158"/>
      <c r="G594" s="158"/>
      <c r="H594" s="158"/>
      <c r="I594" s="158"/>
      <c r="J594" s="158"/>
      <c r="K594" s="158"/>
      <c r="L594" s="158"/>
      <c r="M594" s="158"/>
      <c r="N594" s="158"/>
      <c r="O594" s="158"/>
      <c r="P594" s="158"/>
      <c r="Q594" s="158"/>
    </row>
    <row r="595">
      <c r="D595" s="158"/>
      <c r="E595" s="158"/>
      <c r="F595" s="158"/>
      <c r="G595" s="158"/>
      <c r="H595" s="158"/>
      <c r="I595" s="158"/>
      <c r="J595" s="158"/>
      <c r="K595" s="158"/>
      <c r="L595" s="158"/>
      <c r="M595" s="158"/>
      <c r="N595" s="158"/>
      <c r="O595" s="158"/>
      <c r="P595" s="158"/>
      <c r="Q595" s="158"/>
    </row>
    <row r="596">
      <c r="D596" s="158"/>
      <c r="E596" s="158"/>
      <c r="F596" s="158"/>
      <c r="G596" s="158"/>
      <c r="H596" s="158"/>
      <c r="I596" s="158"/>
      <c r="J596" s="158"/>
      <c r="K596" s="158"/>
      <c r="L596" s="158"/>
      <c r="M596" s="158"/>
      <c r="N596" s="158"/>
      <c r="O596" s="158"/>
      <c r="P596" s="158"/>
      <c r="Q596" s="158"/>
    </row>
    <row r="597">
      <c r="D597" s="158"/>
      <c r="E597" s="158"/>
      <c r="F597" s="158"/>
      <c r="G597" s="158"/>
      <c r="H597" s="158"/>
      <c r="I597" s="158"/>
      <c r="J597" s="158"/>
      <c r="K597" s="158"/>
      <c r="L597" s="158"/>
      <c r="M597" s="158"/>
      <c r="N597" s="158"/>
      <c r="O597" s="158"/>
      <c r="P597" s="158"/>
      <c r="Q597" s="158"/>
    </row>
    <row r="598">
      <c r="D598" s="158"/>
      <c r="E598" s="158"/>
      <c r="F598" s="158"/>
      <c r="G598" s="158"/>
      <c r="H598" s="158"/>
      <c r="I598" s="158"/>
      <c r="J598" s="158"/>
      <c r="K598" s="158"/>
      <c r="L598" s="158"/>
      <c r="M598" s="158"/>
      <c r="N598" s="158"/>
      <c r="O598" s="158"/>
      <c r="P598" s="158"/>
      <c r="Q598" s="158"/>
    </row>
    <row r="599">
      <c r="D599" s="158"/>
      <c r="E599" s="158"/>
      <c r="F599" s="158"/>
      <c r="G599" s="158"/>
      <c r="H599" s="158"/>
      <c r="I599" s="158"/>
      <c r="J599" s="158"/>
      <c r="K599" s="158"/>
      <c r="L599" s="158"/>
      <c r="M599" s="158"/>
      <c r="N599" s="158"/>
      <c r="O599" s="158"/>
      <c r="P599" s="158"/>
      <c r="Q599" s="158"/>
    </row>
    <row r="600">
      <c r="D600" s="158"/>
      <c r="E600" s="158"/>
      <c r="F600" s="158"/>
      <c r="G600" s="158"/>
      <c r="H600" s="158"/>
      <c r="I600" s="158"/>
      <c r="J600" s="158"/>
      <c r="K600" s="158"/>
      <c r="L600" s="158"/>
      <c r="M600" s="158"/>
      <c r="N600" s="158"/>
      <c r="O600" s="158"/>
      <c r="P600" s="158"/>
      <c r="Q600" s="158"/>
    </row>
    <row r="601">
      <c r="D601" s="158"/>
      <c r="E601" s="158"/>
      <c r="F601" s="158"/>
      <c r="G601" s="158"/>
      <c r="H601" s="158"/>
      <c r="I601" s="158"/>
      <c r="J601" s="158"/>
      <c r="K601" s="158"/>
      <c r="L601" s="158"/>
      <c r="M601" s="158"/>
      <c r="N601" s="158"/>
      <c r="O601" s="158"/>
      <c r="P601" s="158"/>
      <c r="Q601" s="158"/>
    </row>
    <row r="602">
      <c r="D602" s="158"/>
      <c r="E602" s="158"/>
      <c r="F602" s="158"/>
      <c r="G602" s="158"/>
      <c r="H602" s="158"/>
      <c r="I602" s="158"/>
      <c r="J602" s="158"/>
      <c r="K602" s="158"/>
      <c r="L602" s="158"/>
      <c r="M602" s="158"/>
      <c r="N602" s="158"/>
      <c r="O602" s="158"/>
      <c r="P602" s="158"/>
      <c r="Q602" s="158"/>
    </row>
    <row r="603">
      <c r="D603" s="158"/>
      <c r="E603" s="158"/>
      <c r="F603" s="158"/>
      <c r="G603" s="158"/>
      <c r="H603" s="158"/>
      <c r="I603" s="158"/>
      <c r="J603" s="158"/>
      <c r="K603" s="158"/>
      <c r="L603" s="158"/>
      <c r="M603" s="158"/>
      <c r="N603" s="158"/>
      <c r="O603" s="158"/>
      <c r="P603" s="158"/>
      <c r="Q603" s="158"/>
    </row>
    <row r="604">
      <c r="D604" s="158"/>
      <c r="E604" s="158"/>
      <c r="F604" s="158"/>
      <c r="G604" s="158"/>
      <c r="H604" s="158"/>
      <c r="I604" s="158"/>
      <c r="J604" s="158"/>
      <c r="K604" s="158"/>
      <c r="L604" s="158"/>
      <c r="M604" s="158"/>
      <c r="N604" s="158"/>
      <c r="O604" s="158"/>
      <c r="P604" s="158"/>
      <c r="Q604" s="158"/>
    </row>
    <row r="605">
      <c r="D605" s="158"/>
      <c r="E605" s="158"/>
      <c r="F605" s="158"/>
      <c r="G605" s="158"/>
      <c r="H605" s="158"/>
      <c r="I605" s="158"/>
      <c r="J605" s="158"/>
      <c r="K605" s="158"/>
      <c r="L605" s="158"/>
      <c r="M605" s="158"/>
      <c r="N605" s="158"/>
      <c r="O605" s="158"/>
      <c r="P605" s="158"/>
      <c r="Q605" s="158"/>
    </row>
    <row r="606">
      <c r="D606" s="158"/>
      <c r="E606" s="158"/>
      <c r="F606" s="158"/>
      <c r="G606" s="158"/>
      <c r="H606" s="158"/>
      <c r="I606" s="158"/>
      <c r="J606" s="158"/>
      <c r="K606" s="158"/>
      <c r="L606" s="158"/>
      <c r="M606" s="158"/>
      <c r="N606" s="158"/>
      <c r="O606" s="158"/>
      <c r="P606" s="158"/>
      <c r="Q606" s="158"/>
    </row>
    <row r="607">
      <c r="D607" s="158"/>
      <c r="E607" s="158"/>
      <c r="F607" s="158"/>
      <c r="G607" s="158"/>
      <c r="H607" s="158"/>
      <c r="I607" s="158"/>
      <c r="J607" s="158"/>
      <c r="K607" s="158"/>
      <c r="L607" s="158"/>
      <c r="M607" s="158"/>
      <c r="N607" s="158"/>
      <c r="O607" s="158"/>
      <c r="P607" s="158"/>
      <c r="Q607" s="158"/>
    </row>
    <row r="608">
      <c r="D608" s="158"/>
      <c r="E608" s="158"/>
      <c r="F608" s="158"/>
      <c r="G608" s="158"/>
      <c r="H608" s="158"/>
      <c r="I608" s="158"/>
      <c r="J608" s="158"/>
      <c r="K608" s="158"/>
      <c r="L608" s="158"/>
      <c r="M608" s="158"/>
      <c r="N608" s="158"/>
      <c r="O608" s="158"/>
      <c r="P608" s="158"/>
      <c r="Q608" s="158"/>
    </row>
    <row r="609">
      <c r="D609" s="158"/>
      <c r="E609" s="158"/>
      <c r="F609" s="158"/>
      <c r="G609" s="158"/>
      <c r="H609" s="158"/>
      <c r="I609" s="158"/>
      <c r="J609" s="158"/>
      <c r="K609" s="158"/>
      <c r="L609" s="158"/>
      <c r="M609" s="158"/>
      <c r="N609" s="158"/>
      <c r="O609" s="158"/>
      <c r="P609" s="158"/>
      <c r="Q609" s="158"/>
    </row>
    <row r="610">
      <c r="D610" s="158"/>
      <c r="E610" s="158"/>
      <c r="F610" s="158"/>
      <c r="G610" s="158"/>
      <c r="H610" s="158"/>
      <c r="I610" s="158"/>
      <c r="J610" s="158"/>
      <c r="K610" s="158"/>
      <c r="L610" s="158"/>
      <c r="M610" s="158"/>
      <c r="N610" s="158"/>
      <c r="O610" s="158"/>
      <c r="P610" s="158"/>
      <c r="Q610" s="158"/>
    </row>
    <row r="611">
      <c r="D611" s="158"/>
      <c r="E611" s="158"/>
      <c r="F611" s="158"/>
      <c r="G611" s="158"/>
      <c r="H611" s="158"/>
      <c r="I611" s="158"/>
      <c r="J611" s="158"/>
      <c r="K611" s="158"/>
      <c r="L611" s="158"/>
      <c r="M611" s="158"/>
      <c r="N611" s="158"/>
      <c r="O611" s="158"/>
      <c r="P611" s="158"/>
      <c r="Q611" s="158"/>
    </row>
    <row r="612">
      <c r="D612" s="158"/>
      <c r="E612" s="158"/>
      <c r="F612" s="158"/>
      <c r="G612" s="158"/>
      <c r="H612" s="158"/>
      <c r="I612" s="158"/>
      <c r="J612" s="158"/>
      <c r="K612" s="158"/>
      <c r="L612" s="158"/>
      <c r="M612" s="158"/>
      <c r="N612" s="158"/>
      <c r="O612" s="158"/>
      <c r="P612" s="158"/>
      <c r="Q612" s="158"/>
    </row>
    <row r="613">
      <c r="D613" s="158"/>
      <c r="E613" s="158"/>
      <c r="F613" s="158"/>
      <c r="G613" s="158"/>
      <c r="H613" s="158"/>
      <c r="I613" s="158"/>
      <c r="J613" s="158"/>
      <c r="K613" s="158"/>
      <c r="L613" s="158"/>
      <c r="M613" s="158"/>
      <c r="N613" s="158"/>
      <c r="O613" s="158"/>
      <c r="P613" s="158"/>
      <c r="Q613" s="158"/>
    </row>
    <row r="614">
      <c r="D614" s="158"/>
      <c r="E614" s="158"/>
      <c r="F614" s="158"/>
      <c r="G614" s="158"/>
      <c r="H614" s="158"/>
      <c r="I614" s="158"/>
      <c r="J614" s="158"/>
      <c r="K614" s="158"/>
      <c r="L614" s="158"/>
      <c r="M614" s="158"/>
      <c r="N614" s="158"/>
      <c r="O614" s="158"/>
      <c r="P614" s="158"/>
      <c r="Q614" s="158"/>
    </row>
    <row r="615">
      <c r="D615" s="158"/>
      <c r="E615" s="158"/>
      <c r="F615" s="158"/>
      <c r="G615" s="158"/>
      <c r="H615" s="158"/>
      <c r="I615" s="158"/>
      <c r="J615" s="158"/>
      <c r="K615" s="158"/>
      <c r="L615" s="158"/>
      <c r="M615" s="158"/>
      <c r="N615" s="158"/>
      <c r="O615" s="158"/>
      <c r="P615" s="158"/>
      <c r="Q615" s="158"/>
    </row>
    <row r="616">
      <c r="D616" s="158"/>
      <c r="E616" s="158"/>
      <c r="F616" s="158"/>
      <c r="G616" s="158"/>
      <c r="H616" s="158"/>
      <c r="I616" s="158"/>
      <c r="J616" s="158"/>
      <c r="K616" s="158"/>
      <c r="L616" s="158"/>
      <c r="M616" s="158"/>
      <c r="N616" s="158"/>
      <c r="O616" s="158"/>
      <c r="P616" s="158"/>
      <c r="Q616" s="158"/>
    </row>
    <row r="617">
      <c r="D617" s="158"/>
      <c r="E617" s="158"/>
      <c r="F617" s="158"/>
      <c r="G617" s="158"/>
      <c r="H617" s="158"/>
      <c r="I617" s="158"/>
      <c r="J617" s="158"/>
      <c r="K617" s="158"/>
      <c r="L617" s="158"/>
      <c r="M617" s="158"/>
      <c r="N617" s="158"/>
      <c r="O617" s="158"/>
      <c r="P617" s="158"/>
      <c r="Q617" s="158"/>
    </row>
    <row r="618">
      <c r="D618" s="158"/>
      <c r="E618" s="158"/>
      <c r="F618" s="158"/>
      <c r="G618" s="158"/>
      <c r="H618" s="158"/>
      <c r="I618" s="158"/>
      <c r="J618" s="158"/>
      <c r="K618" s="158"/>
      <c r="L618" s="158"/>
      <c r="M618" s="158"/>
      <c r="N618" s="158"/>
      <c r="O618" s="158"/>
      <c r="P618" s="158"/>
      <c r="Q618" s="158"/>
    </row>
    <row r="619">
      <c r="D619" s="158"/>
      <c r="E619" s="158"/>
      <c r="F619" s="158"/>
      <c r="G619" s="158"/>
      <c r="H619" s="158"/>
      <c r="I619" s="158"/>
      <c r="J619" s="158"/>
      <c r="K619" s="158"/>
      <c r="L619" s="158"/>
      <c r="M619" s="158"/>
      <c r="N619" s="158"/>
      <c r="O619" s="158"/>
      <c r="P619" s="158"/>
      <c r="Q619" s="158"/>
    </row>
    <row r="620">
      <c r="D620" s="158"/>
      <c r="E620" s="158"/>
      <c r="F620" s="158"/>
      <c r="G620" s="158"/>
      <c r="H620" s="158"/>
      <c r="I620" s="158"/>
      <c r="J620" s="158"/>
      <c r="K620" s="158"/>
      <c r="L620" s="158"/>
      <c r="M620" s="158"/>
      <c r="N620" s="158"/>
      <c r="O620" s="158"/>
      <c r="P620" s="158"/>
      <c r="Q620" s="158"/>
    </row>
    <row r="621">
      <c r="D621" s="158"/>
      <c r="E621" s="158"/>
      <c r="F621" s="158"/>
      <c r="G621" s="158"/>
      <c r="H621" s="158"/>
      <c r="I621" s="158"/>
      <c r="J621" s="158"/>
      <c r="K621" s="158"/>
      <c r="L621" s="158"/>
      <c r="M621" s="158"/>
      <c r="N621" s="158"/>
      <c r="O621" s="158"/>
      <c r="P621" s="158"/>
      <c r="Q621" s="158"/>
    </row>
    <row r="622">
      <c r="D622" s="158"/>
      <c r="E622" s="158"/>
      <c r="F622" s="158"/>
      <c r="G622" s="158"/>
      <c r="H622" s="158"/>
      <c r="I622" s="158"/>
      <c r="J622" s="158"/>
      <c r="K622" s="158"/>
      <c r="L622" s="158"/>
      <c r="M622" s="158"/>
      <c r="N622" s="158"/>
      <c r="O622" s="158"/>
      <c r="P622" s="158"/>
      <c r="Q622" s="158"/>
    </row>
    <row r="623">
      <c r="D623" s="158"/>
      <c r="E623" s="158"/>
      <c r="F623" s="158"/>
      <c r="G623" s="158"/>
      <c r="H623" s="158"/>
      <c r="I623" s="158"/>
      <c r="J623" s="158"/>
      <c r="K623" s="158"/>
      <c r="L623" s="158"/>
      <c r="M623" s="158"/>
      <c r="N623" s="158"/>
      <c r="O623" s="158"/>
      <c r="P623" s="158"/>
      <c r="Q623" s="158"/>
    </row>
    <row r="624">
      <c r="D624" s="158"/>
      <c r="E624" s="158"/>
      <c r="F624" s="158"/>
      <c r="G624" s="158"/>
      <c r="H624" s="158"/>
      <c r="I624" s="158"/>
      <c r="J624" s="158"/>
      <c r="K624" s="158"/>
      <c r="L624" s="158"/>
      <c r="M624" s="158"/>
      <c r="N624" s="158"/>
      <c r="O624" s="158"/>
      <c r="P624" s="158"/>
      <c r="Q624" s="158"/>
    </row>
    <row r="625">
      <c r="D625" s="158"/>
      <c r="E625" s="158"/>
      <c r="F625" s="158"/>
      <c r="G625" s="158"/>
      <c r="H625" s="158"/>
      <c r="I625" s="158"/>
      <c r="J625" s="158"/>
      <c r="K625" s="158"/>
      <c r="L625" s="158"/>
      <c r="M625" s="158"/>
      <c r="N625" s="158"/>
      <c r="O625" s="158"/>
      <c r="P625" s="158"/>
      <c r="Q625" s="158"/>
    </row>
    <row r="626">
      <c r="D626" s="158"/>
      <c r="E626" s="158"/>
      <c r="F626" s="158"/>
      <c r="G626" s="158"/>
      <c r="H626" s="158"/>
      <c r="I626" s="158"/>
      <c r="J626" s="158"/>
      <c r="K626" s="158"/>
      <c r="L626" s="158"/>
      <c r="M626" s="158"/>
      <c r="N626" s="158"/>
      <c r="O626" s="158"/>
      <c r="P626" s="158"/>
      <c r="Q626" s="158"/>
    </row>
    <row r="627">
      <c r="D627" s="158"/>
      <c r="E627" s="158"/>
      <c r="F627" s="158"/>
      <c r="G627" s="158"/>
      <c r="H627" s="158"/>
      <c r="I627" s="158"/>
      <c r="J627" s="158"/>
      <c r="K627" s="158"/>
      <c r="L627" s="158"/>
      <c r="M627" s="158"/>
      <c r="N627" s="158"/>
      <c r="O627" s="158"/>
      <c r="P627" s="158"/>
      <c r="Q627" s="158"/>
    </row>
    <row r="628">
      <c r="D628" s="158"/>
      <c r="E628" s="158"/>
      <c r="F628" s="158"/>
      <c r="G628" s="158"/>
      <c r="H628" s="158"/>
      <c r="I628" s="158"/>
      <c r="J628" s="158"/>
      <c r="K628" s="158"/>
      <c r="L628" s="158"/>
      <c r="M628" s="158"/>
      <c r="N628" s="158"/>
      <c r="O628" s="158"/>
      <c r="P628" s="158"/>
      <c r="Q628" s="158"/>
    </row>
    <row r="629">
      <c r="D629" s="158"/>
      <c r="E629" s="158"/>
      <c r="F629" s="158"/>
      <c r="G629" s="158"/>
      <c r="H629" s="158"/>
      <c r="I629" s="158"/>
      <c r="J629" s="158"/>
      <c r="K629" s="158"/>
      <c r="L629" s="158"/>
      <c r="M629" s="158"/>
      <c r="N629" s="158"/>
      <c r="O629" s="158"/>
      <c r="P629" s="158"/>
      <c r="Q629" s="158"/>
    </row>
    <row r="630">
      <c r="D630" s="158"/>
      <c r="E630" s="158"/>
      <c r="F630" s="158"/>
      <c r="G630" s="158"/>
      <c r="H630" s="158"/>
      <c r="I630" s="158"/>
      <c r="J630" s="158"/>
      <c r="K630" s="158"/>
      <c r="L630" s="158"/>
      <c r="M630" s="158"/>
      <c r="N630" s="158"/>
      <c r="O630" s="158"/>
      <c r="P630" s="158"/>
      <c r="Q630" s="158"/>
    </row>
    <row r="631">
      <c r="D631" s="158"/>
      <c r="E631" s="158"/>
      <c r="F631" s="158"/>
      <c r="G631" s="158"/>
      <c r="H631" s="158"/>
      <c r="I631" s="158"/>
      <c r="J631" s="158"/>
      <c r="K631" s="158"/>
      <c r="L631" s="158"/>
      <c r="M631" s="158"/>
      <c r="N631" s="158"/>
      <c r="O631" s="158"/>
      <c r="P631" s="158"/>
      <c r="Q631" s="158"/>
    </row>
    <row r="632">
      <c r="D632" s="158"/>
      <c r="E632" s="158"/>
      <c r="F632" s="158"/>
      <c r="G632" s="158"/>
      <c r="H632" s="158"/>
      <c r="I632" s="158"/>
      <c r="J632" s="158"/>
      <c r="K632" s="158"/>
      <c r="L632" s="158"/>
      <c r="M632" s="158"/>
      <c r="N632" s="158"/>
      <c r="O632" s="158"/>
      <c r="P632" s="158"/>
      <c r="Q632" s="158"/>
    </row>
    <row r="633">
      <c r="D633" s="158"/>
      <c r="E633" s="158"/>
      <c r="F633" s="158"/>
      <c r="G633" s="158"/>
      <c r="H633" s="158"/>
      <c r="I633" s="158"/>
      <c r="J633" s="158"/>
      <c r="K633" s="158"/>
      <c r="L633" s="158"/>
      <c r="M633" s="158"/>
      <c r="N633" s="158"/>
      <c r="O633" s="158"/>
      <c r="P633" s="158"/>
      <c r="Q633" s="158"/>
    </row>
    <row r="634">
      <c r="D634" s="158"/>
      <c r="E634" s="158"/>
      <c r="F634" s="158"/>
      <c r="G634" s="158"/>
      <c r="H634" s="158"/>
      <c r="I634" s="158"/>
      <c r="J634" s="158"/>
      <c r="K634" s="158"/>
      <c r="L634" s="158"/>
      <c r="M634" s="158"/>
      <c r="N634" s="158"/>
      <c r="O634" s="158"/>
      <c r="P634" s="158"/>
      <c r="Q634" s="158"/>
    </row>
    <row r="635">
      <c r="D635" s="158"/>
      <c r="E635" s="158"/>
      <c r="F635" s="158"/>
      <c r="G635" s="158"/>
      <c r="H635" s="158"/>
      <c r="I635" s="158"/>
      <c r="J635" s="158"/>
      <c r="K635" s="158"/>
      <c r="L635" s="158"/>
      <c r="M635" s="158"/>
      <c r="N635" s="158"/>
      <c r="O635" s="158"/>
      <c r="P635" s="158"/>
      <c r="Q635" s="158"/>
    </row>
    <row r="636">
      <c r="D636" s="158"/>
      <c r="E636" s="158"/>
      <c r="F636" s="158"/>
      <c r="G636" s="158"/>
      <c r="H636" s="158"/>
      <c r="I636" s="158"/>
      <c r="J636" s="158"/>
      <c r="K636" s="158"/>
      <c r="L636" s="158"/>
      <c r="M636" s="158"/>
      <c r="N636" s="158"/>
      <c r="O636" s="158"/>
      <c r="P636" s="158"/>
      <c r="Q636" s="158"/>
    </row>
    <row r="637">
      <c r="D637" s="158"/>
      <c r="E637" s="158"/>
      <c r="F637" s="158"/>
      <c r="G637" s="158"/>
      <c r="H637" s="158"/>
      <c r="I637" s="158"/>
      <c r="J637" s="158"/>
      <c r="K637" s="158"/>
      <c r="L637" s="158"/>
      <c r="M637" s="158"/>
      <c r="N637" s="158"/>
      <c r="O637" s="158"/>
      <c r="P637" s="158"/>
      <c r="Q637" s="158"/>
    </row>
    <row r="638">
      <c r="D638" s="158"/>
      <c r="E638" s="158"/>
      <c r="F638" s="158"/>
      <c r="G638" s="158"/>
      <c r="H638" s="158"/>
      <c r="I638" s="158"/>
      <c r="J638" s="158"/>
      <c r="K638" s="158"/>
      <c r="L638" s="158"/>
      <c r="M638" s="158"/>
      <c r="N638" s="158"/>
      <c r="O638" s="158"/>
      <c r="P638" s="158"/>
      <c r="Q638" s="158"/>
    </row>
    <row r="639">
      <c r="D639" s="158"/>
      <c r="E639" s="158"/>
      <c r="F639" s="158"/>
      <c r="G639" s="158"/>
      <c r="H639" s="158"/>
      <c r="I639" s="158"/>
      <c r="J639" s="158"/>
      <c r="K639" s="158"/>
      <c r="L639" s="158"/>
      <c r="M639" s="158"/>
      <c r="N639" s="158"/>
      <c r="O639" s="158"/>
      <c r="P639" s="158"/>
      <c r="Q639" s="158"/>
    </row>
    <row r="640">
      <c r="D640" s="158"/>
      <c r="E640" s="158"/>
      <c r="F640" s="158"/>
      <c r="G640" s="158"/>
      <c r="H640" s="158"/>
      <c r="I640" s="158"/>
      <c r="J640" s="158"/>
      <c r="K640" s="158"/>
      <c r="L640" s="158"/>
      <c r="M640" s="158"/>
      <c r="N640" s="158"/>
      <c r="O640" s="158"/>
      <c r="P640" s="158"/>
      <c r="Q640" s="158"/>
    </row>
    <row r="641">
      <c r="D641" s="158"/>
      <c r="E641" s="158"/>
      <c r="F641" s="158"/>
      <c r="G641" s="158"/>
      <c r="H641" s="158"/>
      <c r="I641" s="158"/>
      <c r="J641" s="158"/>
      <c r="K641" s="158"/>
      <c r="L641" s="158"/>
      <c r="M641" s="158"/>
      <c r="N641" s="158"/>
      <c r="O641" s="158"/>
      <c r="P641" s="158"/>
      <c r="Q641" s="158"/>
    </row>
    <row r="642">
      <c r="D642" s="158"/>
      <c r="E642" s="158"/>
      <c r="F642" s="158"/>
      <c r="G642" s="158"/>
      <c r="H642" s="158"/>
      <c r="I642" s="158"/>
      <c r="J642" s="158"/>
      <c r="K642" s="158"/>
      <c r="L642" s="158"/>
      <c r="M642" s="158"/>
      <c r="N642" s="158"/>
      <c r="O642" s="158"/>
      <c r="P642" s="158"/>
      <c r="Q642" s="158"/>
    </row>
    <row r="643">
      <c r="D643" s="158"/>
      <c r="E643" s="158"/>
      <c r="F643" s="158"/>
      <c r="G643" s="158"/>
      <c r="H643" s="158"/>
      <c r="I643" s="158"/>
      <c r="J643" s="158"/>
      <c r="K643" s="158"/>
      <c r="L643" s="158"/>
      <c r="M643" s="158"/>
      <c r="N643" s="158"/>
      <c r="O643" s="158"/>
      <c r="P643" s="158"/>
      <c r="Q643" s="158"/>
    </row>
    <row r="644">
      <c r="D644" s="158"/>
      <c r="E644" s="158"/>
      <c r="F644" s="158"/>
      <c r="G644" s="158"/>
      <c r="H644" s="158"/>
      <c r="I644" s="158"/>
      <c r="J644" s="158"/>
      <c r="K644" s="158"/>
      <c r="L644" s="158"/>
      <c r="M644" s="158"/>
      <c r="N644" s="158"/>
      <c r="O644" s="158"/>
      <c r="P644" s="158"/>
      <c r="Q644" s="158"/>
    </row>
    <row r="645">
      <c r="D645" s="158"/>
      <c r="E645" s="158"/>
      <c r="F645" s="158"/>
      <c r="G645" s="158"/>
      <c r="H645" s="158"/>
      <c r="I645" s="158"/>
      <c r="J645" s="158"/>
      <c r="K645" s="158"/>
      <c r="L645" s="158"/>
      <c r="M645" s="158"/>
      <c r="N645" s="158"/>
      <c r="O645" s="158"/>
      <c r="P645" s="158"/>
      <c r="Q645" s="158"/>
    </row>
    <row r="646">
      <c r="D646" s="158"/>
      <c r="E646" s="158"/>
      <c r="F646" s="158"/>
      <c r="G646" s="158"/>
      <c r="H646" s="158"/>
      <c r="I646" s="158"/>
      <c r="J646" s="158"/>
      <c r="K646" s="158"/>
      <c r="L646" s="158"/>
      <c r="M646" s="158"/>
      <c r="N646" s="158"/>
      <c r="O646" s="158"/>
      <c r="P646" s="158"/>
      <c r="Q646" s="158"/>
    </row>
    <row r="647">
      <c r="D647" s="158"/>
      <c r="E647" s="158"/>
      <c r="F647" s="158"/>
      <c r="G647" s="158"/>
      <c r="H647" s="158"/>
      <c r="I647" s="158"/>
      <c r="J647" s="158"/>
      <c r="K647" s="158"/>
      <c r="L647" s="158"/>
      <c r="M647" s="158"/>
      <c r="N647" s="158"/>
      <c r="O647" s="158"/>
      <c r="P647" s="158"/>
      <c r="Q647" s="158"/>
    </row>
    <row r="648">
      <c r="D648" s="158"/>
      <c r="E648" s="158"/>
      <c r="F648" s="158"/>
      <c r="G648" s="158"/>
      <c r="H648" s="158"/>
      <c r="I648" s="158"/>
      <c r="J648" s="158"/>
      <c r="K648" s="158"/>
      <c r="L648" s="158"/>
      <c r="M648" s="158"/>
      <c r="N648" s="158"/>
      <c r="O648" s="158"/>
      <c r="P648" s="158"/>
      <c r="Q648" s="158"/>
    </row>
    <row r="649">
      <c r="D649" s="158"/>
      <c r="E649" s="158"/>
      <c r="F649" s="158"/>
      <c r="G649" s="158"/>
      <c r="H649" s="158"/>
      <c r="I649" s="158"/>
      <c r="J649" s="158"/>
      <c r="K649" s="158"/>
      <c r="L649" s="158"/>
      <c r="M649" s="158"/>
      <c r="N649" s="158"/>
      <c r="O649" s="158"/>
      <c r="P649" s="158"/>
      <c r="Q649" s="158"/>
    </row>
    <row r="650">
      <c r="D650" s="158"/>
      <c r="E650" s="158"/>
      <c r="F650" s="158"/>
      <c r="G650" s="158"/>
      <c r="H650" s="158"/>
      <c r="I650" s="158"/>
      <c r="J650" s="158"/>
      <c r="K650" s="158"/>
      <c r="L650" s="158"/>
      <c r="M650" s="158"/>
      <c r="N650" s="158"/>
      <c r="O650" s="158"/>
      <c r="P650" s="158"/>
      <c r="Q650" s="158"/>
    </row>
    <row r="651">
      <c r="D651" s="158"/>
      <c r="E651" s="158"/>
      <c r="F651" s="158"/>
      <c r="G651" s="158"/>
      <c r="H651" s="158"/>
      <c r="I651" s="158"/>
      <c r="J651" s="158"/>
      <c r="K651" s="158"/>
      <c r="L651" s="158"/>
      <c r="M651" s="158"/>
      <c r="N651" s="158"/>
      <c r="O651" s="158"/>
      <c r="P651" s="158"/>
      <c r="Q651" s="158"/>
    </row>
    <row r="652">
      <c r="D652" s="158"/>
      <c r="E652" s="158"/>
      <c r="F652" s="158"/>
      <c r="G652" s="158"/>
      <c r="H652" s="158"/>
      <c r="I652" s="158"/>
      <c r="J652" s="158"/>
      <c r="K652" s="158"/>
      <c r="L652" s="158"/>
      <c r="M652" s="158"/>
      <c r="N652" s="158"/>
      <c r="O652" s="158"/>
      <c r="P652" s="158"/>
      <c r="Q652" s="158"/>
    </row>
    <row r="653">
      <c r="D653" s="158"/>
      <c r="E653" s="158"/>
      <c r="F653" s="158"/>
      <c r="G653" s="158"/>
      <c r="H653" s="158"/>
      <c r="I653" s="158"/>
      <c r="J653" s="158"/>
      <c r="K653" s="158"/>
      <c r="L653" s="158"/>
      <c r="M653" s="158"/>
      <c r="N653" s="158"/>
      <c r="O653" s="158"/>
      <c r="P653" s="158"/>
      <c r="Q653" s="158"/>
    </row>
    <row r="654">
      <c r="D654" s="158"/>
      <c r="E654" s="158"/>
      <c r="F654" s="158"/>
      <c r="G654" s="158"/>
      <c r="H654" s="158"/>
      <c r="I654" s="158"/>
      <c r="J654" s="158"/>
      <c r="K654" s="158"/>
      <c r="L654" s="158"/>
      <c r="M654" s="158"/>
      <c r="N654" s="158"/>
      <c r="O654" s="158"/>
      <c r="P654" s="158"/>
      <c r="Q654" s="158"/>
    </row>
    <row r="655">
      <c r="D655" s="158"/>
      <c r="E655" s="158"/>
      <c r="F655" s="158"/>
      <c r="G655" s="158"/>
      <c r="H655" s="158"/>
      <c r="I655" s="158"/>
      <c r="J655" s="158"/>
      <c r="K655" s="158"/>
      <c r="L655" s="158"/>
      <c r="M655" s="158"/>
      <c r="N655" s="158"/>
      <c r="O655" s="158"/>
      <c r="P655" s="158"/>
      <c r="Q655" s="158"/>
    </row>
    <row r="656">
      <c r="D656" s="158"/>
      <c r="E656" s="158"/>
      <c r="F656" s="158"/>
      <c r="G656" s="158"/>
      <c r="H656" s="158"/>
      <c r="I656" s="158"/>
      <c r="J656" s="158"/>
      <c r="K656" s="158"/>
      <c r="L656" s="158"/>
      <c r="M656" s="158"/>
      <c r="N656" s="158"/>
      <c r="O656" s="158"/>
      <c r="P656" s="158"/>
      <c r="Q656" s="158"/>
    </row>
    <row r="657">
      <c r="D657" s="158"/>
      <c r="E657" s="158"/>
      <c r="F657" s="158"/>
      <c r="G657" s="158"/>
      <c r="H657" s="158"/>
      <c r="I657" s="158"/>
      <c r="J657" s="158"/>
      <c r="K657" s="158"/>
      <c r="L657" s="158"/>
      <c r="M657" s="158"/>
      <c r="N657" s="158"/>
      <c r="O657" s="158"/>
      <c r="P657" s="158"/>
      <c r="Q657" s="158"/>
    </row>
    <row r="658">
      <c r="D658" s="158"/>
      <c r="E658" s="158"/>
      <c r="F658" s="158"/>
      <c r="G658" s="158"/>
      <c r="H658" s="158"/>
      <c r="I658" s="158"/>
      <c r="J658" s="158"/>
      <c r="K658" s="158"/>
      <c r="L658" s="158"/>
      <c r="M658" s="158"/>
      <c r="N658" s="158"/>
      <c r="O658" s="158"/>
      <c r="P658" s="158"/>
      <c r="Q658" s="158"/>
    </row>
    <row r="659">
      <c r="D659" s="158"/>
      <c r="E659" s="158"/>
      <c r="F659" s="158"/>
      <c r="G659" s="158"/>
      <c r="H659" s="158"/>
      <c r="I659" s="158"/>
      <c r="J659" s="158"/>
      <c r="K659" s="158"/>
      <c r="L659" s="158"/>
      <c r="M659" s="158"/>
      <c r="N659" s="158"/>
      <c r="O659" s="158"/>
      <c r="P659" s="158"/>
      <c r="Q659" s="158"/>
    </row>
    <row r="660">
      <c r="D660" s="158"/>
      <c r="E660" s="158"/>
      <c r="F660" s="158"/>
      <c r="G660" s="158"/>
      <c r="H660" s="158"/>
      <c r="I660" s="158"/>
      <c r="J660" s="158"/>
      <c r="K660" s="158"/>
      <c r="L660" s="158"/>
      <c r="M660" s="158"/>
      <c r="N660" s="158"/>
      <c r="O660" s="158"/>
      <c r="P660" s="158"/>
      <c r="Q660" s="158"/>
    </row>
    <row r="661">
      <c r="D661" s="158"/>
      <c r="E661" s="158"/>
      <c r="F661" s="158"/>
      <c r="G661" s="158"/>
      <c r="H661" s="158"/>
      <c r="I661" s="158"/>
      <c r="J661" s="158"/>
      <c r="K661" s="158"/>
      <c r="L661" s="158"/>
      <c r="M661" s="158"/>
      <c r="N661" s="158"/>
      <c r="O661" s="158"/>
      <c r="P661" s="158"/>
      <c r="Q661" s="158"/>
    </row>
    <row r="662">
      <c r="D662" s="158"/>
      <c r="E662" s="158"/>
      <c r="F662" s="158"/>
      <c r="G662" s="158"/>
      <c r="H662" s="158"/>
      <c r="I662" s="158"/>
      <c r="J662" s="158"/>
      <c r="K662" s="158"/>
      <c r="L662" s="158"/>
      <c r="M662" s="158"/>
      <c r="N662" s="158"/>
      <c r="O662" s="158"/>
      <c r="P662" s="158"/>
      <c r="Q662" s="158"/>
    </row>
    <row r="663">
      <c r="D663" s="158"/>
      <c r="E663" s="158"/>
      <c r="F663" s="158"/>
      <c r="G663" s="158"/>
      <c r="H663" s="158"/>
      <c r="I663" s="158"/>
      <c r="J663" s="158"/>
      <c r="K663" s="158"/>
      <c r="L663" s="158"/>
      <c r="M663" s="158"/>
      <c r="N663" s="158"/>
      <c r="O663" s="158"/>
      <c r="P663" s="158"/>
      <c r="Q663" s="158"/>
    </row>
    <row r="664">
      <c r="D664" s="158"/>
      <c r="E664" s="158"/>
      <c r="F664" s="158"/>
      <c r="G664" s="158"/>
      <c r="H664" s="158"/>
      <c r="I664" s="158"/>
      <c r="J664" s="158"/>
      <c r="K664" s="158"/>
      <c r="L664" s="158"/>
      <c r="M664" s="158"/>
      <c r="N664" s="158"/>
      <c r="O664" s="158"/>
      <c r="P664" s="158"/>
      <c r="Q664" s="158"/>
    </row>
    <row r="665">
      <c r="D665" s="158"/>
      <c r="E665" s="158"/>
      <c r="F665" s="158"/>
      <c r="G665" s="158"/>
      <c r="H665" s="158"/>
      <c r="I665" s="158"/>
      <c r="J665" s="158"/>
      <c r="K665" s="158"/>
      <c r="L665" s="158"/>
      <c r="M665" s="158"/>
      <c r="N665" s="158"/>
      <c r="O665" s="158"/>
      <c r="P665" s="158"/>
      <c r="Q665" s="158"/>
    </row>
    <row r="666">
      <c r="D666" s="158"/>
      <c r="E666" s="158"/>
      <c r="F666" s="158"/>
      <c r="G666" s="158"/>
      <c r="H666" s="158"/>
      <c r="I666" s="158"/>
      <c r="J666" s="158"/>
      <c r="K666" s="158"/>
      <c r="L666" s="158"/>
      <c r="M666" s="158"/>
      <c r="N666" s="158"/>
      <c r="O666" s="158"/>
      <c r="P666" s="158"/>
      <c r="Q666" s="158"/>
    </row>
    <row r="667">
      <c r="D667" s="158"/>
      <c r="E667" s="158"/>
      <c r="F667" s="158"/>
      <c r="G667" s="158"/>
      <c r="H667" s="158"/>
      <c r="I667" s="158"/>
      <c r="J667" s="158"/>
      <c r="K667" s="158"/>
      <c r="L667" s="158"/>
      <c r="M667" s="158"/>
      <c r="N667" s="158"/>
      <c r="O667" s="158"/>
      <c r="P667" s="158"/>
      <c r="Q667" s="158"/>
    </row>
    <row r="668">
      <c r="D668" s="158"/>
      <c r="E668" s="158"/>
      <c r="F668" s="158"/>
      <c r="G668" s="158"/>
      <c r="H668" s="158"/>
      <c r="I668" s="158"/>
      <c r="J668" s="158"/>
      <c r="K668" s="158"/>
      <c r="L668" s="158"/>
      <c r="M668" s="158"/>
      <c r="N668" s="158"/>
      <c r="O668" s="158"/>
      <c r="P668" s="158"/>
      <c r="Q668" s="158"/>
    </row>
    <row r="669">
      <c r="D669" s="158"/>
      <c r="E669" s="158"/>
      <c r="F669" s="158"/>
      <c r="G669" s="158"/>
      <c r="H669" s="158"/>
      <c r="I669" s="158"/>
      <c r="J669" s="158"/>
      <c r="K669" s="158"/>
      <c r="L669" s="158"/>
      <c r="M669" s="158"/>
      <c r="N669" s="158"/>
      <c r="O669" s="158"/>
      <c r="P669" s="158"/>
      <c r="Q669" s="158"/>
    </row>
    <row r="670">
      <c r="D670" s="158"/>
      <c r="E670" s="158"/>
      <c r="F670" s="158"/>
      <c r="G670" s="158"/>
      <c r="H670" s="158"/>
      <c r="I670" s="158"/>
      <c r="J670" s="158"/>
      <c r="K670" s="158"/>
      <c r="L670" s="158"/>
      <c r="M670" s="158"/>
      <c r="N670" s="158"/>
      <c r="O670" s="158"/>
      <c r="P670" s="158"/>
      <c r="Q670" s="158"/>
    </row>
    <row r="671">
      <c r="D671" s="158"/>
      <c r="E671" s="158"/>
      <c r="F671" s="158"/>
      <c r="G671" s="158"/>
      <c r="H671" s="158"/>
      <c r="I671" s="158"/>
      <c r="J671" s="158"/>
      <c r="K671" s="158"/>
      <c r="L671" s="158"/>
      <c r="M671" s="158"/>
      <c r="N671" s="158"/>
      <c r="O671" s="158"/>
      <c r="P671" s="158"/>
      <c r="Q671" s="158"/>
    </row>
    <row r="672">
      <c r="D672" s="158"/>
      <c r="E672" s="158"/>
      <c r="F672" s="158"/>
      <c r="G672" s="158"/>
      <c r="H672" s="158"/>
      <c r="I672" s="158"/>
      <c r="J672" s="158"/>
      <c r="K672" s="158"/>
      <c r="L672" s="158"/>
      <c r="M672" s="158"/>
      <c r="N672" s="158"/>
      <c r="O672" s="158"/>
      <c r="P672" s="158"/>
      <c r="Q672" s="158"/>
    </row>
    <row r="673">
      <c r="D673" s="158"/>
      <c r="E673" s="158"/>
      <c r="F673" s="158"/>
      <c r="G673" s="158"/>
      <c r="H673" s="158"/>
      <c r="I673" s="158"/>
      <c r="J673" s="158"/>
      <c r="K673" s="158"/>
      <c r="L673" s="158"/>
      <c r="M673" s="158"/>
      <c r="N673" s="158"/>
      <c r="O673" s="158"/>
      <c r="P673" s="158"/>
      <c r="Q673" s="158"/>
    </row>
    <row r="674">
      <c r="D674" s="158"/>
      <c r="E674" s="158"/>
      <c r="F674" s="158"/>
      <c r="G674" s="158"/>
      <c r="H674" s="158"/>
      <c r="I674" s="158"/>
      <c r="J674" s="158"/>
      <c r="K674" s="158"/>
      <c r="L674" s="158"/>
      <c r="M674" s="158"/>
      <c r="N674" s="158"/>
      <c r="O674" s="158"/>
      <c r="P674" s="158"/>
      <c r="Q674" s="158"/>
    </row>
    <row r="675">
      <c r="D675" s="158"/>
      <c r="E675" s="158"/>
      <c r="F675" s="158"/>
      <c r="G675" s="158"/>
      <c r="H675" s="158"/>
      <c r="I675" s="158"/>
      <c r="J675" s="158"/>
      <c r="K675" s="158"/>
      <c r="L675" s="158"/>
      <c r="M675" s="158"/>
      <c r="N675" s="158"/>
      <c r="O675" s="158"/>
      <c r="P675" s="158"/>
      <c r="Q675" s="158"/>
    </row>
    <row r="676">
      <c r="D676" s="158"/>
      <c r="E676" s="158"/>
      <c r="F676" s="158"/>
      <c r="G676" s="158"/>
      <c r="H676" s="158"/>
      <c r="I676" s="158"/>
      <c r="J676" s="158"/>
      <c r="K676" s="158"/>
      <c r="L676" s="158"/>
      <c r="M676" s="158"/>
      <c r="N676" s="158"/>
      <c r="O676" s="158"/>
      <c r="P676" s="158"/>
      <c r="Q676" s="158"/>
    </row>
    <row r="677">
      <c r="D677" s="158"/>
      <c r="E677" s="158"/>
      <c r="F677" s="158"/>
      <c r="G677" s="158"/>
      <c r="H677" s="158"/>
      <c r="I677" s="158"/>
      <c r="J677" s="158"/>
      <c r="K677" s="158"/>
      <c r="L677" s="158"/>
      <c r="M677" s="158"/>
      <c r="N677" s="158"/>
      <c r="O677" s="158"/>
      <c r="P677" s="158"/>
      <c r="Q677" s="158"/>
    </row>
    <row r="678">
      <c r="D678" s="158"/>
      <c r="E678" s="158"/>
      <c r="F678" s="158"/>
      <c r="G678" s="158"/>
      <c r="H678" s="158"/>
      <c r="I678" s="158"/>
      <c r="J678" s="158"/>
      <c r="K678" s="158"/>
      <c r="L678" s="158"/>
      <c r="M678" s="158"/>
      <c r="N678" s="158"/>
      <c r="O678" s="158"/>
      <c r="P678" s="158"/>
      <c r="Q678" s="158"/>
    </row>
    <row r="679">
      <c r="D679" s="158"/>
      <c r="E679" s="158"/>
      <c r="F679" s="158"/>
      <c r="G679" s="158"/>
      <c r="H679" s="158"/>
      <c r="I679" s="158"/>
      <c r="J679" s="158"/>
      <c r="K679" s="158"/>
      <c r="L679" s="158"/>
      <c r="M679" s="158"/>
      <c r="N679" s="158"/>
      <c r="O679" s="158"/>
      <c r="P679" s="158"/>
      <c r="Q679" s="158"/>
    </row>
    <row r="680">
      <c r="D680" s="158"/>
      <c r="E680" s="158"/>
      <c r="F680" s="158"/>
      <c r="G680" s="158"/>
      <c r="H680" s="158"/>
      <c r="I680" s="158"/>
      <c r="J680" s="158"/>
      <c r="K680" s="158"/>
      <c r="L680" s="158"/>
      <c r="M680" s="158"/>
      <c r="N680" s="158"/>
      <c r="O680" s="158"/>
      <c r="P680" s="158"/>
      <c r="Q680" s="158"/>
    </row>
    <row r="681">
      <c r="D681" s="158"/>
      <c r="E681" s="158"/>
      <c r="F681" s="158"/>
      <c r="G681" s="158"/>
      <c r="H681" s="158"/>
      <c r="I681" s="158"/>
      <c r="J681" s="158"/>
      <c r="K681" s="158"/>
      <c r="L681" s="158"/>
      <c r="M681" s="158"/>
      <c r="N681" s="158"/>
      <c r="O681" s="158"/>
      <c r="P681" s="158"/>
      <c r="Q681" s="158"/>
    </row>
    <row r="682">
      <c r="D682" s="158"/>
      <c r="E682" s="158"/>
      <c r="F682" s="158"/>
      <c r="G682" s="158"/>
      <c r="H682" s="158"/>
      <c r="I682" s="158"/>
      <c r="J682" s="158"/>
      <c r="K682" s="158"/>
      <c r="L682" s="158"/>
      <c r="M682" s="158"/>
      <c r="N682" s="158"/>
      <c r="O682" s="158"/>
      <c r="P682" s="158"/>
      <c r="Q682" s="158"/>
    </row>
    <row r="683">
      <c r="D683" s="158"/>
      <c r="E683" s="158"/>
      <c r="F683" s="158"/>
      <c r="G683" s="158"/>
      <c r="H683" s="158"/>
      <c r="I683" s="158"/>
      <c r="J683" s="158"/>
      <c r="K683" s="158"/>
      <c r="L683" s="158"/>
      <c r="M683" s="158"/>
      <c r="N683" s="158"/>
      <c r="O683" s="158"/>
      <c r="P683" s="158"/>
      <c r="Q683" s="158"/>
    </row>
    <row r="684">
      <c r="D684" s="158"/>
      <c r="E684" s="158"/>
      <c r="F684" s="158"/>
      <c r="G684" s="158"/>
      <c r="H684" s="158"/>
      <c r="I684" s="158"/>
      <c r="J684" s="158"/>
      <c r="K684" s="158"/>
      <c r="L684" s="158"/>
      <c r="M684" s="158"/>
      <c r="N684" s="158"/>
      <c r="O684" s="158"/>
      <c r="P684" s="158"/>
      <c r="Q684" s="158"/>
    </row>
    <row r="685">
      <c r="D685" s="158"/>
      <c r="E685" s="158"/>
      <c r="F685" s="158"/>
      <c r="G685" s="158"/>
      <c r="H685" s="158"/>
      <c r="I685" s="158"/>
      <c r="J685" s="158"/>
      <c r="K685" s="158"/>
      <c r="L685" s="158"/>
      <c r="M685" s="158"/>
      <c r="N685" s="158"/>
      <c r="O685" s="158"/>
      <c r="P685" s="158"/>
      <c r="Q685" s="158"/>
    </row>
    <row r="686">
      <c r="D686" s="158"/>
      <c r="E686" s="158"/>
      <c r="F686" s="158"/>
      <c r="G686" s="158"/>
      <c r="H686" s="158"/>
      <c r="I686" s="158"/>
      <c r="J686" s="158"/>
      <c r="K686" s="158"/>
      <c r="L686" s="158"/>
      <c r="M686" s="158"/>
      <c r="N686" s="158"/>
      <c r="O686" s="158"/>
      <c r="P686" s="158"/>
      <c r="Q686" s="158"/>
    </row>
    <row r="687">
      <c r="D687" s="158"/>
      <c r="E687" s="158"/>
      <c r="F687" s="158"/>
      <c r="G687" s="158"/>
      <c r="H687" s="158"/>
      <c r="I687" s="158"/>
      <c r="J687" s="158"/>
      <c r="K687" s="158"/>
      <c r="L687" s="158"/>
      <c r="M687" s="158"/>
      <c r="N687" s="158"/>
      <c r="O687" s="158"/>
      <c r="P687" s="158"/>
      <c r="Q687" s="158"/>
    </row>
    <row r="688">
      <c r="D688" s="158"/>
      <c r="E688" s="158"/>
      <c r="F688" s="158"/>
      <c r="G688" s="158"/>
      <c r="H688" s="158"/>
      <c r="I688" s="158"/>
      <c r="J688" s="158"/>
      <c r="K688" s="158"/>
      <c r="L688" s="158"/>
      <c r="M688" s="158"/>
      <c r="N688" s="158"/>
      <c r="O688" s="158"/>
      <c r="P688" s="158"/>
      <c r="Q688" s="158"/>
    </row>
    <row r="689">
      <c r="D689" s="158"/>
      <c r="E689" s="158"/>
      <c r="F689" s="158"/>
      <c r="G689" s="158"/>
      <c r="H689" s="158"/>
      <c r="I689" s="158"/>
      <c r="J689" s="158"/>
      <c r="K689" s="158"/>
      <c r="L689" s="158"/>
      <c r="M689" s="158"/>
      <c r="N689" s="158"/>
      <c r="O689" s="158"/>
      <c r="P689" s="158"/>
      <c r="Q689" s="158"/>
    </row>
    <row r="690">
      <c r="D690" s="158"/>
      <c r="E690" s="158"/>
      <c r="F690" s="158"/>
      <c r="G690" s="158"/>
      <c r="H690" s="158"/>
      <c r="I690" s="158"/>
      <c r="J690" s="158"/>
      <c r="K690" s="158"/>
      <c r="L690" s="158"/>
      <c r="M690" s="158"/>
      <c r="N690" s="158"/>
      <c r="O690" s="158"/>
      <c r="P690" s="158"/>
      <c r="Q690" s="158"/>
    </row>
    <row r="691">
      <c r="D691" s="158"/>
      <c r="E691" s="158"/>
      <c r="F691" s="158"/>
      <c r="G691" s="158"/>
      <c r="H691" s="158"/>
      <c r="I691" s="158"/>
      <c r="J691" s="158"/>
      <c r="K691" s="158"/>
      <c r="L691" s="158"/>
      <c r="M691" s="158"/>
      <c r="N691" s="158"/>
      <c r="O691" s="158"/>
      <c r="P691" s="158"/>
      <c r="Q691" s="158"/>
    </row>
    <row r="692">
      <c r="D692" s="158"/>
      <c r="E692" s="158"/>
      <c r="F692" s="158"/>
      <c r="G692" s="158"/>
      <c r="H692" s="158"/>
      <c r="I692" s="158"/>
      <c r="J692" s="158"/>
      <c r="K692" s="158"/>
      <c r="L692" s="158"/>
      <c r="M692" s="158"/>
      <c r="N692" s="158"/>
      <c r="O692" s="158"/>
      <c r="P692" s="158"/>
      <c r="Q692" s="158"/>
    </row>
    <row r="693">
      <c r="D693" s="158"/>
      <c r="E693" s="158"/>
      <c r="F693" s="158"/>
      <c r="G693" s="158"/>
      <c r="H693" s="158"/>
      <c r="I693" s="158"/>
      <c r="J693" s="158"/>
      <c r="K693" s="158"/>
      <c r="L693" s="158"/>
      <c r="M693" s="158"/>
      <c r="N693" s="158"/>
      <c r="O693" s="158"/>
      <c r="P693" s="158"/>
      <c r="Q693" s="158"/>
    </row>
    <row r="694">
      <c r="D694" s="158"/>
      <c r="E694" s="158"/>
      <c r="F694" s="158"/>
      <c r="G694" s="158"/>
      <c r="H694" s="158"/>
      <c r="I694" s="158"/>
      <c r="J694" s="158"/>
      <c r="K694" s="158"/>
      <c r="L694" s="158"/>
      <c r="M694" s="158"/>
      <c r="N694" s="158"/>
      <c r="O694" s="158"/>
      <c r="P694" s="158"/>
      <c r="Q694" s="158"/>
    </row>
    <row r="695">
      <c r="D695" s="158"/>
      <c r="E695" s="158"/>
      <c r="F695" s="158"/>
      <c r="G695" s="158"/>
      <c r="H695" s="158"/>
      <c r="I695" s="158"/>
      <c r="J695" s="158"/>
      <c r="K695" s="158"/>
      <c r="L695" s="158"/>
      <c r="M695" s="158"/>
      <c r="N695" s="158"/>
      <c r="O695" s="158"/>
      <c r="P695" s="158"/>
      <c r="Q695" s="158"/>
    </row>
    <row r="696">
      <c r="D696" s="158"/>
      <c r="E696" s="158"/>
      <c r="F696" s="158"/>
      <c r="G696" s="158"/>
      <c r="H696" s="158"/>
      <c r="I696" s="158"/>
      <c r="J696" s="158"/>
      <c r="K696" s="158"/>
      <c r="L696" s="158"/>
      <c r="M696" s="158"/>
      <c r="N696" s="158"/>
      <c r="O696" s="158"/>
      <c r="P696" s="158"/>
      <c r="Q696" s="158"/>
    </row>
    <row r="697">
      <c r="D697" s="158"/>
      <c r="E697" s="158"/>
      <c r="F697" s="158"/>
      <c r="G697" s="158"/>
      <c r="H697" s="158"/>
      <c r="I697" s="158"/>
      <c r="J697" s="158"/>
      <c r="K697" s="158"/>
      <c r="L697" s="158"/>
      <c r="M697" s="158"/>
      <c r="N697" s="158"/>
      <c r="O697" s="158"/>
      <c r="P697" s="158"/>
      <c r="Q697" s="158"/>
    </row>
    <row r="698">
      <c r="D698" s="158"/>
      <c r="E698" s="158"/>
      <c r="F698" s="158"/>
      <c r="G698" s="158"/>
      <c r="H698" s="158"/>
      <c r="I698" s="158"/>
      <c r="J698" s="158"/>
      <c r="K698" s="158"/>
      <c r="L698" s="158"/>
      <c r="M698" s="158"/>
      <c r="N698" s="158"/>
      <c r="O698" s="158"/>
      <c r="P698" s="158"/>
      <c r="Q698" s="158"/>
    </row>
    <row r="699">
      <c r="D699" s="158"/>
      <c r="E699" s="158"/>
      <c r="F699" s="158"/>
      <c r="G699" s="158"/>
      <c r="H699" s="158"/>
      <c r="I699" s="158"/>
      <c r="J699" s="158"/>
      <c r="K699" s="158"/>
      <c r="L699" s="158"/>
      <c r="M699" s="158"/>
      <c r="N699" s="158"/>
      <c r="O699" s="158"/>
      <c r="P699" s="158"/>
      <c r="Q699" s="158"/>
    </row>
    <row r="700">
      <c r="D700" s="158"/>
      <c r="E700" s="158"/>
      <c r="F700" s="158"/>
      <c r="G700" s="158"/>
      <c r="H700" s="158"/>
      <c r="I700" s="158"/>
      <c r="J700" s="158"/>
      <c r="K700" s="158"/>
      <c r="L700" s="158"/>
      <c r="M700" s="158"/>
      <c r="N700" s="158"/>
      <c r="O700" s="158"/>
      <c r="P700" s="158"/>
      <c r="Q700" s="158"/>
    </row>
    <row r="701">
      <c r="D701" s="158"/>
      <c r="E701" s="158"/>
      <c r="F701" s="158"/>
      <c r="G701" s="158"/>
      <c r="H701" s="158"/>
      <c r="I701" s="158"/>
      <c r="J701" s="158"/>
      <c r="K701" s="158"/>
      <c r="L701" s="158"/>
      <c r="M701" s="158"/>
      <c r="N701" s="158"/>
      <c r="O701" s="158"/>
      <c r="P701" s="158"/>
      <c r="Q701" s="158"/>
    </row>
    <row r="702">
      <c r="D702" s="158"/>
      <c r="E702" s="158"/>
      <c r="F702" s="158"/>
      <c r="G702" s="158"/>
      <c r="H702" s="158"/>
      <c r="I702" s="158"/>
      <c r="J702" s="158"/>
      <c r="K702" s="158"/>
      <c r="L702" s="158"/>
      <c r="M702" s="158"/>
      <c r="N702" s="158"/>
      <c r="O702" s="158"/>
      <c r="P702" s="158"/>
      <c r="Q702" s="158"/>
    </row>
    <row r="703">
      <c r="D703" s="158"/>
      <c r="E703" s="158"/>
      <c r="F703" s="158"/>
      <c r="G703" s="158"/>
      <c r="H703" s="158"/>
      <c r="I703" s="158"/>
      <c r="J703" s="158"/>
      <c r="K703" s="158"/>
      <c r="L703" s="158"/>
      <c r="M703" s="158"/>
      <c r="N703" s="158"/>
      <c r="O703" s="158"/>
      <c r="P703" s="158"/>
      <c r="Q703" s="158"/>
    </row>
    <row r="704">
      <c r="D704" s="158"/>
      <c r="E704" s="158"/>
      <c r="F704" s="158"/>
      <c r="G704" s="158"/>
      <c r="H704" s="158"/>
      <c r="I704" s="158"/>
      <c r="J704" s="158"/>
      <c r="K704" s="158"/>
      <c r="L704" s="158"/>
      <c r="M704" s="158"/>
      <c r="N704" s="158"/>
      <c r="O704" s="158"/>
      <c r="P704" s="158"/>
      <c r="Q704" s="158"/>
    </row>
    <row r="705">
      <c r="D705" s="158"/>
      <c r="E705" s="158"/>
      <c r="F705" s="158"/>
      <c r="G705" s="158"/>
      <c r="H705" s="158"/>
      <c r="I705" s="158"/>
      <c r="J705" s="158"/>
      <c r="K705" s="158"/>
      <c r="L705" s="158"/>
      <c r="M705" s="158"/>
      <c r="N705" s="158"/>
      <c r="O705" s="158"/>
      <c r="P705" s="158"/>
      <c r="Q705" s="158"/>
    </row>
    <row r="706">
      <c r="D706" s="158"/>
      <c r="E706" s="158"/>
      <c r="F706" s="158"/>
      <c r="G706" s="158"/>
      <c r="H706" s="158"/>
      <c r="I706" s="158"/>
      <c r="J706" s="158"/>
      <c r="K706" s="158"/>
      <c r="L706" s="158"/>
      <c r="M706" s="158"/>
      <c r="N706" s="158"/>
      <c r="O706" s="158"/>
      <c r="P706" s="158"/>
      <c r="Q706" s="158"/>
    </row>
    <row r="707">
      <c r="D707" s="158"/>
      <c r="E707" s="158"/>
      <c r="F707" s="158"/>
      <c r="G707" s="158"/>
      <c r="H707" s="158"/>
      <c r="I707" s="158"/>
      <c r="J707" s="158"/>
      <c r="K707" s="158"/>
      <c r="L707" s="158"/>
      <c r="M707" s="158"/>
      <c r="N707" s="158"/>
      <c r="O707" s="158"/>
      <c r="P707" s="158"/>
      <c r="Q707" s="158"/>
    </row>
    <row r="708">
      <c r="D708" s="158"/>
      <c r="E708" s="158"/>
      <c r="F708" s="158"/>
      <c r="G708" s="158"/>
      <c r="H708" s="158"/>
      <c r="I708" s="158"/>
      <c r="J708" s="158"/>
      <c r="K708" s="158"/>
      <c r="L708" s="158"/>
      <c r="M708" s="158"/>
      <c r="N708" s="158"/>
      <c r="O708" s="158"/>
      <c r="P708" s="158"/>
      <c r="Q708" s="158"/>
    </row>
    <row r="709">
      <c r="D709" s="158"/>
      <c r="E709" s="158"/>
      <c r="F709" s="158"/>
      <c r="G709" s="158"/>
      <c r="H709" s="158"/>
      <c r="I709" s="158"/>
      <c r="J709" s="158"/>
      <c r="K709" s="158"/>
      <c r="L709" s="158"/>
      <c r="M709" s="158"/>
      <c r="N709" s="158"/>
      <c r="O709" s="158"/>
      <c r="P709" s="158"/>
      <c r="Q709" s="158"/>
    </row>
    <row r="710">
      <c r="D710" s="158"/>
      <c r="E710" s="158"/>
      <c r="F710" s="158"/>
      <c r="G710" s="158"/>
      <c r="H710" s="158"/>
      <c r="I710" s="158"/>
      <c r="J710" s="158"/>
      <c r="K710" s="158"/>
      <c r="L710" s="158"/>
      <c r="M710" s="158"/>
      <c r="N710" s="158"/>
      <c r="O710" s="158"/>
      <c r="P710" s="158"/>
      <c r="Q710" s="158"/>
    </row>
    <row r="711">
      <c r="D711" s="158"/>
      <c r="E711" s="158"/>
      <c r="F711" s="158"/>
      <c r="G711" s="158"/>
      <c r="H711" s="158"/>
      <c r="I711" s="158"/>
      <c r="J711" s="158"/>
      <c r="K711" s="158"/>
      <c r="L711" s="158"/>
      <c r="M711" s="158"/>
      <c r="N711" s="158"/>
      <c r="O711" s="158"/>
      <c r="P711" s="158"/>
      <c r="Q711" s="158"/>
    </row>
    <row r="712">
      <c r="D712" s="158"/>
      <c r="E712" s="158"/>
      <c r="F712" s="158"/>
      <c r="G712" s="158"/>
      <c r="H712" s="158"/>
      <c r="I712" s="158"/>
      <c r="J712" s="158"/>
      <c r="K712" s="158"/>
      <c r="L712" s="158"/>
      <c r="M712" s="158"/>
      <c r="N712" s="158"/>
      <c r="O712" s="158"/>
      <c r="P712" s="158"/>
      <c r="Q712" s="158"/>
    </row>
    <row r="713">
      <c r="D713" s="158"/>
      <c r="E713" s="158"/>
      <c r="F713" s="158"/>
      <c r="G713" s="158"/>
      <c r="H713" s="158"/>
      <c r="I713" s="158"/>
      <c r="J713" s="158"/>
      <c r="K713" s="158"/>
      <c r="L713" s="158"/>
      <c r="M713" s="158"/>
      <c r="N713" s="158"/>
      <c r="O713" s="158"/>
      <c r="P713" s="158"/>
      <c r="Q713" s="158"/>
    </row>
    <row r="714">
      <c r="D714" s="158"/>
      <c r="E714" s="158"/>
      <c r="F714" s="158"/>
      <c r="G714" s="158"/>
      <c r="H714" s="158"/>
      <c r="I714" s="158"/>
      <c r="J714" s="158"/>
      <c r="K714" s="158"/>
      <c r="L714" s="158"/>
      <c r="M714" s="158"/>
      <c r="N714" s="158"/>
      <c r="O714" s="158"/>
      <c r="P714" s="158"/>
      <c r="Q714" s="158"/>
    </row>
    <row r="715">
      <c r="D715" s="158"/>
      <c r="E715" s="158"/>
      <c r="F715" s="158"/>
      <c r="G715" s="158"/>
      <c r="H715" s="158"/>
      <c r="I715" s="158"/>
      <c r="J715" s="158"/>
      <c r="K715" s="158"/>
      <c r="L715" s="158"/>
      <c r="M715" s="158"/>
      <c r="N715" s="158"/>
      <c r="O715" s="158"/>
      <c r="P715" s="158"/>
      <c r="Q715" s="158"/>
    </row>
    <row r="716">
      <c r="D716" s="158"/>
      <c r="E716" s="158"/>
      <c r="F716" s="158"/>
      <c r="G716" s="158"/>
      <c r="H716" s="158"/>
      <c r="I716" s="158"/>
      <c r="J716" s="158"/>
      <c r="K716" s="158"/>
      <c r="L716" s="158"/>
      <c r="M716" s="158"/>
      <c r="N716" s="158"/>
      <c r="O716" s="158"/>
      <c r="P716" s="158"/>
      <c r="Q716" s="158"/>
    </row>
    <row r="717">
      <c r="D717" s="158"/>
      <c r="E717" s="158"/>
      <c r="F717" s="158"/>
      <c r="G717" s="158"/>
      <c r="H717" s="158"/>
      <c r="I717" s="158"/>
      <c r="J717" s="158"/>
      <c r="K717" s="158"/>
      <c r="L717" s="158"/>
      <c r="M717" s="158"/>
      <c r="N717" s="158"/>
      <c r="O717" s="158"/>
      <c r="P717" s="158"/>
      <c r="Q717" s="158"/>
    </row>
    <row r="718">
      <c r="D718" s="158"/>
      <c r="E718" s="158"/>
      <c r="F718" s="158"/>
      <c r="G718" s="158"/>
      <c r="H718" s="158"/>
      <c r="I718" s="158"/>
      <c r="J718" s="158"/>
      <c r="K718" s="158"/>
      <c r="L718" s="158"/>
      <c r="M718" s="158"/>
      <c r="N718" s="158"/>
      <c r="O718" s="158"/>
      <c r="P718" s="158"/>
      <c r="Q718" s="158"/>
    </row>
    <row r="719">
      <c r="D719" s="158"/>
      <c r="E719" s="158"/>
      <c r="F719" s="158"/>
      <c r="G719" s="158"/>
      <c r="H719" s="158"/>
      <c r="I719" s="158"/>
      <c r="J719" s="158"/>
      <c r="K719" s="158"/>
      <c r="L719" s="158"/>
      <c r="M719" s="158"/>
      <c r="N719" s="158"/>
      <c r="O719" s="158"/>
      <c r="P719" s="158"/>
      <c r="Q719" s="158"/>
    </row>
    <row r="720">
      <c r="D720" s="158"/>
      <c r="E720" s="158"/>
      <c r="F720" s="158"/>
      <c r="G720" s="158"/>
      <c r="H720" s="158"/>
      <c r="I720" s="158"/>
      <c r="J720" s="158"/>
      <c r="K720" s="158"/>
      <c r="L720" s="158"/>
      <c r="M720" s="158"/>
      <c r="N720" s="158"/>
      <c r="O720" s="158"/>
      <c r="P720" s="158"/>
      <c r="Q720" s="158"/>
    </row>
    <row r="721">
      <c r="D721" s="158"/>
      <c r="E721" s="158"/>
      <c r="F721" s="158"/>
      <c r="G721" s="158"/>
      <c r="H721" s="158"/>
      <c r="I721" s="158"/>
      <c r="J721" s="158"/>
      <c r="K721" s="158"/>
      <c r="L721" s="158"/>
      <c r="M721" s="158"/>
      <c r="N721" s="158"/>
      <c r="O721" s="158"/>
      <c r="P721" s="158"/>
      <c r="Q721" s="158"/>
    </row>
    <row r="722">
      <c r="D722" s="158"/>
      <c r="E722" s="158"/>
      <c r="F722" s="158"/>
      <c r="G722" s="158"/>
      <c r="H722" s="158"/>
      <c r="I722" s="158"/>
      <c r="J722" s="158"/>
      <c r="K722" s="158"/>
      <c r="L722" s="158"/>
      <c r="M722" s="158"/>
      <c r="N722" s="158"/>
      <c r="O722" s="158"/>
      <c r="P722" s="158"/>
      <c r="Q722" s="158"/>
    </row>
    <row r="723">
      <c r="D723" s="158"/>
      <c r="E723" s="158"/>
      <c r="F723" s="158"/>
      <c r="G723" s="158"/>
      <c r="H723" s="158"/>
      <c r="I723" s="158"/>
      <c r="J723" s="158"/>
      <c r="K723" s="158"/>
      <c r="L723" s="158"/>
      <c r="M723" s="158"/>
      <c r="N723" s="158"/>
      <c r="O723" s="158"/>
      <c r="P723" s="158"/>
      <c r="Q723" s="158"/>
    </row>
    <row r="724">
      <c r="D724" s="158"/>
      <c r="E724" s="158"/>
      <c r="F724" s="158"/>
      <c r="G724" s="158"/>
      <c r="H724" s="158"/>
      <c r="I724" s="158"/>
      <c r="J724" s="158"/>
      <c r="K724" s="158"/>
      <c r="L724" s="158"/>
      <c r="M724" s="158"/>
      <c r="N724" s="158"/>
      <c r="O724" s="158"/>
      <c r="P724" s="158"/>
      <c r="Q724" s="158"/>
    </row>
    <row r="725">
      <c r="D725" s="158"/>
      <c r="E725" s="158"/>
      <c r="F725" s="158"/>
      <c r="G725" s="158"/>
      <c r="H725" s="158"/>
      <c r="I725" s="158"/>
      <c r="J725" s="158"/>
      <c r="K725" s="158"/>
      <c r="L725" s="158"/>
      <c r="M725" s="158"/>
      <c r="N725" s="158"/>
      <c r="O725" s="158"/>
      <c r="P725" s="158"/>
      <c r="Q725" s="158"/>
    </row>
    <row r="726">
      <c r="D726" s="158"/>
      <c r="E726" s="158"/>
      <c r="F726" s="158"/>
      <c r="G726" s="158"/>
      <c r="H726" s="158"/>
      <c r="I726" s="158"/>
      <c r="J726" s="158"/>
      <c r="K726" s="158"/>
      <c r="L726" s="158"/>
      <c r="M726" s="158"/>
      <c r="N726" s="158"/>
      <c r="O726" s="158"/>
      <c r="P726" s="158"/>
      <c r="Q726" s="158"/>
    </row>
    <row r="727">
      <c r="D727" s="158"/>
      <c r="E727" s="158"/>
      <c r="F727" s="158"/>
      <c r="G727" s="158"/>
      <c r="H727" s="158"/>
      <c r="I727" s="158"/>
      <c r="J727" s="158"/>
      <c r="K727" s="158"/>
      <c r="L727" s="158"/>
      <c r="M727" s="158"/>
      <c r="N727" s="158"/>
      <c r="O727" s="158"/>
      <c r="P727" s="158"/>
      <c r="Q727" s="158"/>
    </row>
    <row r="728">
      <c r="D728" s="158"/>
      <c r="E728" s="158"/>
      <c r="F728" s="158"/>
      <c r="G728" s="158"/>
      <c r="H728" s="158"/>
      <c r="I728" s="158"/>
      <c r="J728" s="158"/>
      <c r="K728" s="158"/>
      <c r="L728" s="158"/>
      <c r="M728" s="158"/>
      <c r="N728" s="158"/>
      <c r="O728" s="158"/>
      <c r="P728" s="158"/>
      <c r="Q728" s="158"/>
    </row>
    <row r="729">
      <c r="D729" s="158"/>
      <c r="E729" s="158"/>
      <c r="F729" s="158"/>
      <c r="G729" s="158"/>
      <c r="H729" s="158"/>
      <c r="I729" s="158"/>
      <c r="J729" s="158"/>
      <c r="K729" s="158"/>
      <c r="L729" s="158"/>
      <c r="M729" s="158"/>
      <c r="N729" s="158"/>
      <c r="O729" s="158"/>
      <c r="P729" s="158"/>
      <c r="Q729" s="158"/>
    </row>
    <row r="730">
      <c r="D730" s="158"/>
      <c r="E730" s="158"/>
      <c r="F730" s="158"/>
      <c r="G730" s="158"/>
      <c r="H730" s="158"/>
      <c r="I730" s="158"/>
      <c r="J730" s="158"/>
      <c r="K730" s="158"/>
      <c r="L730" s="158"/>
      <c r="M730" s="158"/>
      <c r="N730" s="158"/>
      <c r="O730" s="158"/>
      <c r="P730" s="158"/>
      <c r="Q730" s="158"/>
    </row>
    <row r="731">
      <c r="D731" s="158"/>
      <c r="E731" s="158"/>
      <c r="F731" s="158"/>
      <c r="G731" s="158"/>
      <c r="H731" s="158"/>
      <c r="I731" s="158"/>
      <c r="J731" s="158"/>
      <c r="K731" s="158"/>
      <c r="L731" s="158"/>
      <c r="M731" s="158"/>
      <c r="N731" s="158"/>
      <c r="O731" s="158"/>
      <c r="P731" s="158"/>
      <c r="Q731" s="158"/>
    </row>
    <row r="732">
      <c r="D732" s="158"/>
      <c r="E732" s="158"/>
      <c r="F732" s="158"/>
      <c r="G732" s="158"/>
      <c r="H732" s="158"/>
      <c r="I732" s="158"/>
      <c r="J732" s="158"/>
      <c r="K732" s="158"/>
      <c r="L732" s="158"/>
      <c r="M732" s="158"/>
      <c r="N732" s="158"/>
      <c r="O732" s="158"/>
      <c r="P732" s="158"/>
      <c r="Q732" s="158"/>
    </row>
    <row r="733">
      <c r="D733" s="158"/>
      <c r="E733" s="158"/>
      <c r="F733" s="158"/>
      <c r="G733" s="158"/>
      <c r="H733" s="158"/>
      <c r="I733" s="158"/>
      <c r="J733" s="158"/>
      <c r="K733" s="158"/>
      <c r="L733" s="158"/>
      <c r="M733" s="158"/>
      <c r="N733" s="158"/>
      <c r="O733" s="158"/>
      <c r="P733" s="158"/>
      <c r="Q733" s="158"/>
    </row>
    <row r="734">
      <c r="D734" s="158"/>
      <c r="E734" s="158"/>
      <c r="F734" s="158"/>
      <c r="G734" s="158"/>
      <c r="H734" s="158"/>
      <c r="I734" s="158"/>
      <c r="J734" s="158"/>
      <c r="K734" s="158"/>
      <c r="L734" s="158"/>
      <c r="M734" s="158"/>
      <c r="N734" s="158"/>
      <c r="O734" s="158"/>
      <c r="P734" s="158"/>
      <c r="Q734" s="158"/>
    </row>
    <row r="735">
      <c r="D735" s="158"/>
      <c r="E735" s="158"/>
      <c r="F735" s="158"/>
      <c r="G735" s="158"/>
      <c r="H735" s="158"/>
      <c r="I735" s="158"/>
      <c r="J735" s="158"/>
      <c r="K735" s="158"/>
      <c r="L735" s="158"/>
      <c r="M735" s="158"/>
      <c r="N735" s="158"/>
      <c r="O735" s="158"/>
      <c r="P735" s="158"/>
      <c r="Q735" s="158"/>
    </row>
    <row r="736">
      <c r="D736" s="158"/>
      <c r="E736" s="158"/>
      <c r="F736" s="158"/>
      <c r="G736" s="158"/>
      <c r="H736" s="158"/>
      <c r="I736" s="158"/>
      <c r="J736" s="158"/>
      <c r="K736" s="158"/>
      <c r="L736" s="158"/>
      <c r="M736" s="158"/>
      <c r="N736" s="158"/>
      <c r="O736" s="158"/>
      <c r="P736" s="158"/>
      <c r="Q736" s="158"/>
    </row>
    <row r="737">
      <c r="D737" s="158"/>
      <c r="E737" s="158"/>
      <c r="F737" s="158"/>
      <c r="G737" s="158"/>
      <c r="H737" s="158"/>
      <c r="I737" s="158"/>
      <c r="J737" s="158"/>
      <c r="K737" s="158"/>
      <c r="L737" s="158"/>
      <c r="M737" s="158"/>
      <c r="N737" s="158"/>
      <c r="O737" s="158"/>
      <c r="P737" s="158"/>
      <c r="Q737" s="158"/>
    </row>
    <row r="738">
      <c r="D738" s="158"/>
      <c r="E738" s="158"/>
      <c r="F738" s="158"/>
      <c r="G738" s="158"/>
      <c r="H738" s="158"/>
      <c r="I738" s="158"/>
      <c r="J738" s="158"/>
      <c r="K738" s="158"/>
      <c r="L738" s="158"/>
      <c r="M738" s="158"/>
      <c r="N738" s="158"/>
      <c r="O738" s="158"/>
      <c r="P738" s="158"/>
      <c r="Q738" s="158"/>
    </row>
    <row r="739">
      <c r="D739" s="158"/>
      <c r="E739" s="158"/>
      <c r="F739" s="158"/>
      <c r="G739" s="158"/>
      <c r="H739" s="158"/>
      <c r="I739" s="158"/>
      <c r="J739" s="158"/>
      <c r="K739" s="158"/>
      <c r="L739" s="158"/>
      <c r="M739" s="158"/>
      <c r="N739" s="158"/>
      <c r="O739" s="158"/>
      <c r="P739" s="158"/>
      <c r="Q739" s="158"/>
    </row>
    <row r="740">
      <c r="D740" s="158"/>
      <c r="E740" s="158"/>
      <c r="F740" s="158"/>
      <c r="G740" s="158"/>
      <c r="H740" s="158"/>
      <c r="I740" s="158"/>
      <c r="J740" s="158"/>
      <c r="K740" s="158"/>
      <c r="L740" s="158"/>
      <c r="M740" s="158"/>
      <c r="N740" s="158"/>
      <c r="O740" s="158"/>
      <c r="P740" s="158"/>
      <c r="Q740" s="158"/>
    </row>
    <row r="741">
      <c r="D741" s="158"/>
      <c r="E741" s="158"/>
      <c r="F741" s="158"/>
      <c r="G741" s="158"/>
      <c r="H741" s="158"/>
      <c r="I741" s="158"/>
      <c r="J741" s="158"/>
      <c r="K741" s="158"/>
      <c r="L741" s="158"/>
      <c r="M741" s="158"/>
      <c r="N741" s="158"/>
      <c r="O741" s="158"/>
      <c r="P741" s="158"/>
      <c r="Q741" s="158"/>
    </row>
    <row r="742">
      <c r="D742" s="158"/>
      <c r="E742" s="158"/>
      <c r="F742" s="158"/>
      <c r="G742" s="158"/>
      <c r="H742" s="158"/>
      <c r="I742" s="158"/>
      <c r="J742" s="158"/>
      <c r="K742" s="158"/>
      <c r="L742" s="158"/>
      <c r="M742" s="158"/>
      <c r="N742" s="158"/>
      <c r="O742" s="158"/>
      <c r="P742" s="158"/>
      <c r="Q742" s="158"/>
    </row>
    <row r="743">
      <c r="D743" s="158"/>
      <c r="E743" s="158"/>
      <c r="F743" s="158"/>
      <c r="G743" s="158"/>
      <c r="H743" s="158"/>
      <c r="I743" s="158"/>
      <c r="J743" s="158"/>
      <c r="K743" s="158"/>
      <c r="L743" s="158"/>
      <c r="M743" s="158"/>
      <c r="N743" s="158"/>
      <c r="O743" s="158"/>
      <c r="P743" s="158"/>
      <c r="Q743" s="158"/>
    </row>
    <row r="744">
      <c r="D744" s="158"/>
      <c r="E744" s="158"/>
      <c r="F744" s="158"/>
      <c r="G744" s="158"/>
      <c r="H744" s="158"/>
      <c r="I744" s="158"/>
      <c r="J744" s="158"/>
      <c r="K744" s="158"/>
      <c r="L744" s="158"/>
      <c r="M744" s="158"/>
      <c r="N744" s="158"/>
      <c r="O744" s="158"/>
      <c r="P744" s="158"/>
      <c r="Q744" s="158"/>
    </row>
    <row r="745">
      <c r="D745" s="158"/>
      <c r="E745" s="158"/>
      <c r="F745" s="158"/>
      <c r="G745" s="158"/>
      <c r="H745" s="158"/>
      <c r="I745" s="158"/>
      <c r="J745" s="158"/>
      <c r="K745" s="158"/>
      <c r="L745" s="158"/>
      <c r="M745" s="158"/>
      <c r="N745" s="158"/>
      <c r="O745" s="158"/>
      <c r="P745" s="158"/>
      <c r="Q745" s="158"/>
    </row>
    <row r="746">
      <c r="D746" s="158"/>
      <c r="E746" s="158"/>
      <c r="F746" s="158"/>
      <c r="G746" s="158"/>
      <c r="H746" s="158"/>
      <c r="I746" s="158"/>
      <c r="J746" s="158"/>
      <c r="K746" s="158"/>
      <c r="L746" s="158"/>
      <c r="M746" s="158"/>
      <c r="N746" s="158"/>
      <c r="O746" s="158"/>
      <c r="P746" s="158"/>
      <c r="Q746" s="158"/>
    </row>
    <row r="747">
      <c r="D747" s="158"/>
      <c r="E747" s="158"/>
      <c r="F747" s="158"/>
      <c r="G747" s="158"/>
      <c r="H747" s="158"/>
      <c r="I747" s="158"/>
      <c r="J747" s="158"/>
      <c r="K747" s="158"/>
      <c r="L747" s="158"/>
      <c r="M747" s="158"/>
      <c r="N747" s="158"/>
      <c r="O747" s="158"/>
      <c r="P747" s="158"/>
      <c r="Q747" s="158"/>
    </row>
    <row r="748">
      <c r="D748" s="158"/>
      <c r="E748" s="158"/>
      <c r="F748" s="158"/>
      <c r="G748" s="158"/>
      <c r="H748" s="158"/>
      <c r="I748" s="158"/>
      <c r="J748" s="158"/>
      <c r="K748" s="158"/>
      <c r="L748" s="158"/>
      <c r="M748" s="158"/>
      <c r="N748" s="158"/>
      <c r="O748" s="158"/>
      <c r="P748" s="158"/>
      <c r="Q748" s="158"/>
    </row>
    <row r="749">
      <c r="D749" s="158"/>
      <c r="E749" s="158"/>
      <c r="F749" s="158"/>
      <c r="G749" s="158"/>
      <c r="H749" s="158"/>
      <c r="I749" s="158"/>
      <c r="J749" s="158"/>
      <c r="K749" s="158"/>
      <c r="L749" s="158"/>
      <c r="M749" s="158"/>
      <c r="N749" s="158"/>
      <c r="O749" s="158"/>
      <c r="P749" s="158"/>
      <c r="Q749" s="158"/>
    </row>
    <row r="750">
      <c r="D750" s="158"/>
      <c r="E750" s="158"/>
      <c r="F750" s="158"/>
      <c r="G750" s="158"/>
      <c r="H750" s="158"/>
      <c r="I750" s="158"/>
      <c r="J750" s="158"/>
      <c r="K750" s="158"/>
      <c r="L750" s="158"/>
      <c r="M750" s="158"/>
      <c r="N750" s="158"/>
      <c r="O750" s="158"/>
      <c r="P750" s="158"/>
      <c r="Q750" s="158"/>
    </row>
    <row r="751">
      <c r="D751" s="158"/>
      <c r="E751" s="158"/>
      <c r="F751" s="158"/>
      <c r="G751" s="158"/>
      <c r="H751" s="158"/>
      <c r="I751" s="158"/>
      <c r="J751" s="158"/>
      <c r="K751" s="158"/>
      <c r="L751" s="158"/>
      <c r="M751" s="158"/>
      <c r="N751" s="158"/>
      <c r="O751" s="158"/>
      <c r="P751" s="158"/>
      <c r="Q751" s="158"/>
    </row>
    <row r="752">
      <c r="D752" s="158"/>
      <c r="E752" s="158"/>
      <c r="F752" s="158"/>
      <c r="G752" s="158"/>
      <c r="H752" s="158"/>
      <c r="I752" s="158"/>
      <c r="J752" s="158"/>
      <c r="K752" s="158"/>
      <c r="L752" s="158"/>
      <c r="M752" s="158"/>
      <c r="N752" s="158"/>
      <c r="O752" s="158"/>
      <c r="P752" s="158"/>
      <c r="Q752" s="158"/>
    </row>
    <row r="753">
      <c r="D753" s="158"/>
      <c r="E753" s="158"/>
      <c r="F753" s="158"/>
      <c r="G753" s="158"/>
      <c r="H753" s="158"/>
      <c r="I753" s="158"/>
      <c r="J753" s="158"/>
      <c r="K753" s="158"/>
      <c r="L753" s="158"/>
      <c r="M753" s="158"/>
      <c r="N753" s="158"/>
      <c r="O753" s="158"/>
      <c r="P753" s="158"/>
      <c r="Q753" s="158"/>
    </row>
    <row r="754">
      <c r="D754" s="158"/>
      <c r="E754" s="158"/>
      <c r="F754" s="158"/>
      <c r="G754" s="158"/>
      <c r="H754" s="158"/>
      <c r="I754" s="158"/>
      <c r="J754" s="158"/>
      <c r="K754" s="158"/>
      <c r="L754" s="158"/>
      <c r="M754" s="158"/>
      <c r="N754" s="158"/>
      <c r="O754" s="158"/>
      <c r="P754" s="158"/>
      <c r="Q754" s="158"/>
    </row>
    <row r="755">
      <c r="D755" s="158"/>
      <c r="E755" s="158"/>
      <c r="F755" s="158"/>
      <c r="G755" s="158"/>
      <c r="H755" s="158"/>
      <c r="I755" s="158"/>
      <c r="J755" s="158"/>
      <c r="K755" s="158"/>
      <c r="L755" s="158"/>
      <c r="M755" s="158"/>
      <c r="N755" s="158"/>
      <c r="O755" s="158"/>
      <c r="P755" s="158"/>
      <c r="Q755" s="158"/>
    </row>
    <row r="756">
      <c r="D756" s="158"/>
      <c r="E756" s="158"/>
      <c r="F756" s="158"/>
      <c r="G756" s="158"/>
      <c r="H756" s="158"/>
      <c r="I756" s="158"/>
      <c r="J756" s="158"/>
      <c r="K756" s="158"/>
      <c r="L756" s="158"/>
      <c r="M756" s="158"/>
      <c r="N756" s="158"/>
      <c r="O756" s="158"/>
      <c r="P756" s="158"/>
      <c r="Q756" s="158"/>
    </row>
    <row r="757">
      <c r="D757" s="158"/>
      <c r="E757" s="158"/>
      <c r="F757" s="158"/>
      <c r="G757" s="158"/>
      <c r="H757" s="158"/>
      <c r="I757" s="158"/>
      <c r="J757" s="158"/>
      <c r="K757" s="158"/>
      <c r="L757" s="158"/>
      <c r="M757" s="158"/>
      <c r="N757" s="158"/>
      <c r="O757" s="158"/>
      <c r="P757" s="158"/>
      <c r="Q757" s="158"/>
    </row>
    <row r="758">
      <c r="D758" s="158"/>
      <c r="E758" s="158"/>
      <c r="F758" s="158"/>
      <c r="G758" s="158"/>
      <c r="H758" s="158"/>
      <c r="I758" s="158"/>
      <c r="J758" s="158"/>
      <c r="K758" s="158"/>
      <c r="L758" s="158"/>
      <c r="M758" s="158"/>
      <c r="N758" s="158"/>
      <c r="O758" s="158"/>
      <c r="P758" s="158"/>
      <c r="Q758" s="158"/>
    </row>
    <row r="759">
      <c r="D759" s="158"/>
      <c r="E759" s="158"/>
      <c r="F759" s="158"/>
      <c r="G759" s="158"/>
      <c r="H759" s="158"/>
      <c r="I759" s="158"/>
      <c r="J759" s="158"/>
      <c r="K759" s="158"/>
      <c r="L759" s="158"/>
      <c r="M759" s="158"/>
      <c r="N759" s="158"/>
      <c r="O759" s="158"/>
      <c r="P759" s="158"/>
      <c r="Q759" s="158"/>
    </row>
    <row r="760">
      <c r="D760" s="158"/>
      <c r="E760" s="158"/>
      <c r="F760" s="158"/>
      <c r="G760" s="158"/>
      <c r="H760" s="158"/>
      <c r="I760" s="158"/>
      <c r="J760" s="158"/>
      <c r="K760" s="158"/>
      <c r="L760" s="158"/>
      <c r="M760" s="158"/>
      <c r="N760" s="158"/>
      <c r="O760" s="158"/>
      <c r="P760" s="158"/>
      <c r="Q760" s="158"/>
    </row>
    <row r="761">
      <c r="D761" s="158"/>
      <c r="E761" s="158"/>
      <c r="F761" s="158"/>
      <c r="G761" s="158"/>
      <c r="H761" s="158"/>
      <c r="I761" s="158"/>
      <c r="J761" s="158"/>
      <c r="K761" s="158"/>
      <c r="L761" s="158"/>
      <c r="M761" s="158"/>
      <c r="N761" s="158"/>
      <c r="O761" s="158"/>
      <c r="P761" s="158"/>
      <c r="Q761" s="158"/>
    </row>
    <row r="762">
      <c r="D762" s="158"/>
      <c r="E762" s="158"/>
      <c r="F762" s="158"/>
      <c r="G762" s="158"/>
      <c r="H762" s="158"/>
      <c r="I762" s="158"/>
      <c r="J762" s="158"/>
      <c r="K762" s="158"/>
      <c r="L762" s="158"/>
      <c r="M762" s="158"/>
      <c r="N762" s="158"/>
      <c r="O762" s="158"/>
      <c r="P762" s="158"/>
      <c r="Q762" s="158"/>
    </row>
    <row r="763">
      <c r="D763" s="158"/>
      <c r="E763" s="158"/>
      <c r="F763" s="158"/>
      <c r="G763" s="158"/>
      <c r="H763" s="158"/>
      <c r="I763" s="158"/>
      <c r="J763" s="158"/>
      <c r="K763" s="158"/>
      <c r="L763" s="158"/>
      <c r="M763" s="158"/>
      <c r="N763" s="158"/>
      <c r="O763" s="158"/>
      <c r="P763" s="158"/>
      <c r="Q763" s="158"/>
    </row>
    <row r="764">
      <c r="D764" s="158"/>
      <c r="E764" s="158"/>
      <c r="F764" s="158"/>
      <c r="G764" s="158"/>
      <c r="H764" s="158"/>
      <c r="I764" s="158"/>
      <c r="J764" s="158"/>
      <c r="K764" s="158"/>
      <c r="L764" s="158"/>
      <c r="M764" s="158"/>
      <c r="N764" s="158"/>
      <c r="O764" s="158"/>
      <c r="P764" s="158"/>
      <c r="Q764" s="158"/>
    </row>
    <row r="765">
      <c r="D765" s="158"/>
      <c r="E765" s="158"/>
      <c r="F765" s="158"/>
      <c r="G765" s="158"/>
      <c r="H765" s="158"/>
      <c r="I765" s="158"/>
      <c r="J765" s="158"/>
      <c r="K765" s="158"/>
      <c r="L765" s="158"/>
      <c r="M765" s="158"/>
      <c r="N765" s="158"/>
      <c r="O765" s="158"/>
      <c r="P765" s="158"/>
      <c r="Q765" s="158"/>
    </row>
    <row r="766">
      <c r="D766" s="158"/>
      <c r="E766" s="158"/>
      <c r="F766" s="158"/>
      <c r="G766" s="158"/>
      <c r="H766" s="158"/>
      <c r="I766" s="158"/>
      <c r="J766" s="158"/>
      <c r="K766" s="158"/>
      <c r="L766" s="158"/>
      <c r="M766" s="158"/>
      <c r="N766" s="158"/>
      <c r="O766" s="158"/>
      <c r="P766" s="158"/>
      <c r="Q766" s="158"/>
    </row>
    <row r="767">
      <c r="D767" s="158"/>
      <c r="E767" s="158"/>
      <c r="F767" s="158"/>
      <c r="G767" s="158"/>
      <c r="H767" s="158"/>
      <c r="I767" s="158"/>
      <c r="J767" s="158"/>
      <c r="K767" s="158"/>
      <c r="L767" s="158"/>
      <c r="M767" s="158"/>
      <c r="N767" s="158"/>
      <c r="O767" s="158"/>
      <c r="P767" s="158"/>
      <c r="Q767" s="158"/>
    </row>
    <row r="768">
      <c r="D768" s="158"/>
      <c r="E768" s="158"/>
      <c r="F768" s="158"/>
      <c r="G768" s="158"/>
      <c r="H768" s="158"/>
      <c r="I768" s="158"/>
      <c r="J768" s="158"/>
      <c r="K768" s="158"/>
      <c r="L768" s="158"/>
      <c r="M768" s="158"/>
      <c r="N768" s="158"/>
      <c r="O768" s="158"/>
      <c r="P768" s="158"/>
      <c r="Q768" s="158"/>
    </row>
    <row r="769">
      <c r="D769" s="158"/>
      <c r="E769" s="158"/>
      <c r="F769" s="158"/>
      <c r="G769" s="158"/>
      <c r="H769" s="158"/>
      <c r="I769" s="158"/>
      <c r="J769" s="158"/>
      <c r="K769" s="158"/>
      <c r="L769" s="158"/>
      <c r="M769" s="158"/>
      <c r="N769" s="158"/>
      <c r="O769" s="158"/>
      <c r="P769" s="158"/>
      <c r="Q769" s="158"/>
    </row>
    <row r="770">
      <c r="D770" s="158"/>
      <c r="E770" s="158"/>
      <c r="F770" s="158"/>
      <c r="G770" s="158"/>
      <c r="H770" s="158"/>
      <c r="I770" s="158"/>
      <c r="J770" s="158"/>
      <c r="K770" s="158"/>
      <c r="L770" s="158"/>
      <c r="M770" s="158"/>
      <c r="N770" s="158"/>
      <c r="O770" s="158"/>
      <c r="P770" s="158"/>
      <c r="Q770" s="158"/>
    </row>
    <row r="771">
      <c r="D771" s="158"/>
      <c r="E771" s="158"/>
      <c r="F771" s="158"/>
      <c r="G771" s="158"/>
      <c r="H771" s="158"/>
      <c r="I771" s="158"/>
      <c r="J771" s="158"/>
      <c r="K771" s="158"/>
      <c r="L771" s="158"/>
      <c r="M771" s="158"/>
      <c r="N771" s="158"/>
      <c r="O771" s="158"/>
      <c r="P771" s="158"/>
      <c r="Q771" s="158"/>
    </row>
    <row r="772">
      <c r="D772" s="158"/>
      <c r="E772" s="158"/>
      <c r="F772" s="158"/>
      <c r="G772" s="158"/>
      <c r="H772" s="158"/>
      <c r="I772" s="158"/>
      <c r="J772" s="158"/>
      <c r="K772" s="158"/>
      <c r="L772" s="158"/>
      <c r="M772" s="158"/>
      <c r="N772" s="158"/>
      <c r="O772" s="158"/>
      <c r="P772" s="158"/>
      <c r="Q772" s="158"/>
    </row>
    <row r="773">
      <c r="D773" s="158"/>
      <c r="E773" s="158"/>
      <c r="F773" s="158"/>
      <c r="G773" s="158"/>
      <c r="H773" s="158"/>
      <c r="I773" s="158"/>
      <c r="J773" s="158"/>
      <c r="K773" s="158"/>
      <c r="L773" s="158"/>
      <c r="M773" s="158"/>
      <c r="N773" s="158"/>
      <c r="O773" s="158"/>
      <c r="P773" s="158"/>
      <c r="Q773" s="158"/>
    </row>
    <row r="774">
      <c r="D774" s="158"/>
      <c r="E774" s="158"/>
      <c r="F774" s="158"/>
      <c r="G774" s="158"/>
      <c r="H774" s="158"/>
      <c r="I774" s="158"/>
      <c r="J774" s="158"/>
      <c r="K774" s="158"/>
      <c r="L774" s="158"/>
      <c r="M774" s="158"/>
      <c r="N774" s="158"/>
      <c r="O774" s="158"/>
      <c r="P774" s="158"/>
      <c r="Q774" s="158"/>
    </row>
    <row r="775">
      <c r="D775" s="158"/>
      <c r="E775" s="158"/>
      <c r="F775" s="158"/>
      <c r="G775" s="158"/>
      <c r="H775" s="158"/>
      <c r="I775" s="158"/>
      <c r="J775" s="158"/>
      <c r="K775" s="158"/>
      <c r="L775" s="158"/>
      <c r="M775" s="158"/>
      <c r="N775" s="158"/>
      <c r="O775" s="158"/>
      <c r="P775" s="158"/>
      <c r="Q775" s="158"/>
    </row>
    <row r="776">
      <c r="D776" s="158"/>
      <c r="E776" s="158"/>
      <c r="F776" s="158"/>
      <c r="G776" s="158"/>
      <c r="H776" s="158"/>
      <c r="I776" s="158"/>
      <c r="J776" s="158"/>
      <c r="K776" s="158"/>
      <c r="L776" s="158"/>
      <c r="M776" s="158"/>
      <c r="N776" s="158"/>
      <c r="O776" s="158"/>
      <c r="P776" s="158"/>
      <c r="Q776" s="158"/>
    </row>
    <row r="777">
      <c r="D777" s="158"/>
      <c r="E777" s="158"/>
      <c r="F777" s="158"/>
      <c r="G777" s="158"/>
      <c r="H777" s="158"/>
      <c r="I777" s="158"/>
      <c r="J777" s="158"/>
      <c r="K777" s="158"/>
      <c r="L777" s="158"/>
      <c r="M777" s="158"/>
      <c r="N777" s="158"/>
      <c r="O777" s="158"/>
      <c r="P777" s="158"/>
      <c r="Q777" s="158"/>
    </row>
    <row r="778">
      <c r="D778" s="158"/>
      <c r="E778" s="158"/>
      <c r="F778" s="158"/>
      <c r="G778" s="158"/>
      <c r="H778" s="158"/>
      <c r="I778" s="158"/>
      <c r="J778" s="158"/>
      <c r="K778" s="158"/>
      <c r="L778" s="158"/>
      <c r="M778" s="158"/>
      <c r="N778" s="158"/>
      <c r="O778" s="158"/>
      <c r="P778" s="158"/>
      <c r="Q778" s="158"/>
    </row>
    <row r="779">
      <c r="D779" s="158"/>
      <c r="E779" s="158"/>
      <c r="F779" s="158"/>
      <c r="G779" s="158"/>
      <c r="H779" s="158"/>
      <c r="I779" s="158"/>
      <c r="J779" s="158"/>
      <c r="K779" s="158"/>
      <c r="L779" s="158"/>
      <c r="M779" s="158"/>
      <c r="N779" s="158"/>
      <c r="O779" s="158"/>
      <c r="P779" s="158"/>
      <c r="Q779" s="158"/>
    </row>
    <row r="780">
      <c r="D780" s="158"/>
      <c r="E780" s="158"/>
      <c r="F780" s="158"/>
      <c r="G780" s="158"/>
      <c r="H780" s="158"/>
      <c r="I780" s="158"/>
      <c r="J780" s="158"/>
      <c r="K780" s="158"/>
      <c r="L780" s="158"/>
      <c r="M780" s="158"/>
      <c r="N780" s="158"/>
      <c r="O780" s="158"/>
      <c r="P780" s="158"/>
      <c r="Q780" s="158"/>
    </row>
    <row r="781">
      <c r="D781" s="158"/>
      <c r="E781" s="158"/>
      <c r="F781" s="158"/>
      <c r="G781" s="158"/>
      <c r="H781" s="158"/>
      <c r="I781" s="158"/>
      <c r="J781" s="158"/>
      <c r="K781" s="158"/>
      <c r="L781" s="158"/>
      <c r="M781" s="158"/>
      <c r="N781" s="158"/>
      <c r="O781" s="158"/>
      <c r="P781" s="158"/>
      <c r="Q781" s="158"/>
    </row>
    <row r="782">
      <c r="D782" s="158"/>
      <c r="E782" s="158"/>
      <c r="F782" s="158"/>
      <c r="G782" s="158"/>
      <c r="H782" s="158"/>
      <c r="I782" s="158"/>
      <c r="J782" s="158"/>
      <c r="K782" s="158"/>
      <c r="L782" s="158"/>
      <c r="M782" s="158"/>
      <c r="N782" s="158"/>
      <c r="O782" s="158"/>
      <c r="P782" s="158"/>
      <c r="Q782" s="158"/>
    </row>
    <row r="783">
      <c r="D783" s="158"/>
      <c r="E783" s="158"/>
      <c r="F783" s="158"/>
      <c r="G783" s="158"/>
      <c r="H783" s="158"/>
      <c r="I783" s="158"/>
      <c r="J783" s="158"/>
      <c r="K783" s="158"/>
      <c r="L783" s="158"/>
      <c r="M783" s="158"/>
      <c r="N783" s="158"/>
      <c r="O783" s="158"/>
      <c r="P783" s="158"/>
      <c r="Q783" s="158"/>
    </row>
    <row r="784">
      <c r="D784" s="158"/>
      <c r="E784" s="158"/>
      <c r="F784" s="158"/>
      <c r="G784" s="158"/>
      <c r="H784" s="158"/>
      <c r="I784" s="158"/>
      <c r="J784" s="158"/>
      <c r="K784" s="158"/>
      <c r="L784" s="158"/>
      <c r="M784" s="158"/>
      <c r="N784" s="158"/>
      <c r="O784" s="158"/>
      <c r="P784" s="158"/>
      <c r="Q784" s="158"/>
    </row>
    <row r="785">
      <c r="D785" s="158"/>
      <c r="E785" s="158"/>
      <c r="F785" s="158"/>
      <c r="G785" s="158"/>
      <c r="H785" s="158"/>
      <c r="I785" s="158"/>
      <c r="J785" s="158"/>
      <c r="K785" s="158"/>
      <c r="L785" s="158"/>
      <c r="M785" s="158"/>
      <c r="N785" s="158"/>
      <c r="O785" s="158"/>
      <c r="P785" s="158"/>
      <c r="Q785" s="158"/>
    </row>
    <row r="786">
      <c r="D786" s="158"/>
      <c r="E786" s="158"/>
      <c r="F786" s="158"/>
      <c r="G786" s="158"/>
      <c r="H786" s="158"/>
      <c r="I786" s="158"/>
      <c r="J786" s="158"/>
      <c r="K786" s="158"/>
      <c r="L786" s="158"/>
      <c r="M786" s="158"/>
      <c r="N786" s="158"/>
      <c r="O786" s="158"/>
      <c r="P786" s="158"/>
      <c r="Q786" s="158"/>
    </row>
    <row r="787">
      <c r="D787" s="158"/>
      <c r="E787" s="158"/>
      <c r="F787" s="158"/>
      <c r="G787" s="158"/>
      <c r="H787" s="158"/>
      <c r="I787" s="158"/>
      <c r="J787" s="158"/>
      <c r="K787" s="158"/>
      <c r="L787" s="158"/>
      <c r="M787" s="158"/>
      <c r="N787" s="158"/>
      <c r="O787" s="158"/>
      <c r="P787" s="158"/>
      <c r="Q787" s="158"/>
    </row>
    <row r="788">
      <c r="D788" s="158"/>
      <c r="E788" s="158"/>
      <c r="F788" s="158"/>
      <c r="G788" s="158"/>
      <c r="H788" s="158"/>
      <c r="I788" s="158"/>
      <c r="J788" s="158"/>
      <c r="K788" s="158"/>
      <c r="L788" s="158"/>
      <c r="M788" s="158"/>
      <c r="N788" s="158"/>
      <c r="O788" s="158"/>
      <c r="P788" s="158"/>
      <c r="Q788" s="158"/>
    </row>
    <row r="789">
      <c r="D789" s="158"/>
      <c r="E789" s="158"/>
      <c r="F789" s="158"/>
      <c r="G789" s="158"/>
      <c r="H789" s="158"/>
      <c r="I789" s="158"/>
      <c r="J789" s="158"/>
      <c r="K789" s="158"/>
      <c r="L789" s="158"/>
      <c r="M789" s="158"/>
      <c r="N789" s="158"/>
      <c r="O789" s="158"/>
      <c r="P789" s="158"/>
      <c r="Q789" s="158"/>
    </row>
    <row r="790">
      <c r="D790" s="158"/>
      <c r="E790" s="158"/>
      <c r="F790" s="158"/>
      <c r="G790" s="158"/>
      <c r="H790" s="158"/>
      <c r="I790" s="158"/>
      <c r="J790" s="158"/>
      <c r="K790" s="158"/>
      <c r="L790" s="158"/>
      <c r="M790" s="158"/>
      <c r="N790" s="158"/>
      <c r="O790" s="158"/>
      <c r="P790" s="158"/>
      <c r="Q790" s="158"/>
    </row>
    <row r="791">
      <c r="D791" s="158"/>
      <c r="E791" s="158"/>
      <c r="F791" s="158"/>
      <c r="G791" s="158"/>
      <c r="H791" s="158"/>
      <c r="I791" s="158"/>
      <c r="J791" s="158"/>
      <c r="K791" s="158"/>
      <c r="L791" s="158"/>
      <c r="M791" s="158"/>
      <c r="N791" s="158"/>
      <c r="O791" s="158"/>
      <c r="P791" s="158"/>
      <c r="Q791" s="158"/>
    </row>
    <row r="792">
      <c r="D792" s="158"/>
      <c r="E792" s="158"/>
      <c r="F792" s="158"/>
      <c r="G792" s="158"/>
      <c r="H792" s="158"/>
      <c r="I792" s="158"/>
      <c r="J792" s="158"/>
      <c r="K792" s="158"/>
      <c r="L792" s="158"/>
      <c r="M792" s="158"/>
      <c r="N792" s="158"/>
      <c r="O792" s="158"/>
      <c r="P792" s="158"/>
      <c r="Q792" s="158"/>
    </row>
    <row r="793">
      <c r="D793" s="158"/>
      <c r="E793" s="158"/>
      <c r="F793" s="158"/>
      <c r="G793" s="158"/>
      <c r="H793" s="158"/>
      <c r="I793" s="158"/>
      <c r="J793" s="158"/>
      <c r="K793" s="158"/>
      <c r="L793" s="158"/>
      <c r="M793" s="158"/>
      <c r="N793" s="158"/>
      <c r="O793" s="158"/>
      <c r="P793" s="158"/>
      <c r="Q793" s="158"/>
    </row>
    <row r="794">
      <c r="D794" s="158"/>
      <c r="E794" s="158"/>
      <c r="F794" s="158"/>
      <c r="G794" s="158"/>
      <c r="H794" s="158"/>
      <c r="I794" s="158"/>
      <c r="J794" s="158"/>
      <c r="K794" s="158"/>
      <c r="L794" s="158"/>
      <c r="M794" s="158"/>
      <c r="N794" s="158"/>
      <c r="O794" s="158"/>
      <c r="P794" s="158"/>
      <c r="Q794" s="158"/>
    </row>
    <row r="795">
      <c r="D795" s="158"/>
      <c r="E795" s="158"/>
      <c r="F795" s="158"/>
      <c r="G795" s="158"/>
      <c r="H795" s="158"/>
      <c r="I795" s="158"/>
      <c r="J795" s="158"/>
      <c r="K795" s="158"/>
      <c r="L795" s="158"/>
      <c r="M795" s="158"/>
      <c r="N795" s="158"/>
      <c r="O795" s="158"/>
      <c r="P795" s="158"/>
      <c r="Q795" s="158"/>
    </row>
    <row r="796">
      <c r="D796" s="158"/>
      <c r="E796" s="158"/>
      <c r="F796" s="158"/>
      <c r="G796" s="158"/>
      <c r="H796" s="158"/>
      <c r="I796" s="158"/>
      <c r="J796" s="158"/>
      <c r="K796" s="158"/>
      <c r="L796" s="158"/>
      <c r="M796" s="158"/>
      <c r="N796" s="158"/>
      <c r="O796" s="158"/>
      <c r="P796" s="158"/>
      <c r="Q796" s="158"/>
    </row>
    <row r="797">
      <c r="D797" s="158"/>
      <c r="E797" s="158"/>
      <c r="F797" s="158"/>
      <c r="G797" s="158"/>
      <c r="H797" s="158"/>
      <c r="I797" s="158"/>
      <c r="J797" s="158"/>
      <c r="K797" s="158"/>
      <c r="L797" s="158"/>
      <c r="M797" s="158"/>
      <c r="N797" s="158"/>
      <c r="O797" s="158"/>
      <c r="P797" s="158"/>
      <c r="Q797" s="158"/>
    </row>
    <row r="798">
      <c r="D798" s="158"/>
      <c r="E798" s="158"/>
      <c r="F798" s="158"/>
      <c r="G798" s="158"/>
      <c r="H798" s="158"/>
      <c r="I798" s="158"/>
      <c r="J798" s="158"/>
      <c r="K798" s="158"/>
      <c r="L798" s="158"/>
      <c r="M798" s="158"/>
      <c r="N798" s="158"/>
      <c r="O798" s="158"/>
      <c r="P798" s="158"/>
      <c r="Q798" s="158"/>
    </row>
    <row r="799">
      <c r="D799" s="158"/>
      <c r="E799" s="158"/>
      <c r="F799" s="158"/>
      <c r="G799" s="158"/>
      <c r="H799" s="158"/>
      <c r="I799" s="158"/>
      <c r="J799" s="158"/>
      <c r="K799" s="158"/>
      <c r="L799" s="158"/>
      <c r="M799" s="158"/>
      <c r="N799" s="158"/>
      <c r="O799" s="158"/>
      <c r="P799" s="158"/>
      <c r="Q799" s="158"/>
    </row>
    <row r="800">
      <c r="D800" s="158"/>
      <c r="E800" s="158"/>
      <c r="F800" s="158"/>
      <c r="G800" s="158"/>
      <c r="H800" s="158"/>
      <c r="I800" s="158"/>
      <c r="J800" s="158"/>
      <c r="K800" s="158"/>
      <c r="L800" s="158"/>
      <c r="M800" s="158"/>
      <c r="N800" s="158"/>
      <c r="O800" s="158"/>
      <c r="P800" s="158"/>
      <c r="Q800" s="158"/>
    </row>
    <row r="801">
      <c r="D801" s="158"/>
      <c r="E801" s="158"/>
      <c r="F801" s="158"/>
      <c r="G801" s="158"/>
      <c r="H801" s="158"/>
      <c r="I801" s="158"/>
      <c r="J801" s="158"/>
      <c r="K801" s="158"/>
      <c r="L801" s="158"/>
      <c r="M801" s="158"/>
      <c r="N801" s="158"/>
      <c r="O801" s="158"/>
      <c r="P801" s="158"/>
      <c r="Q801" s="158"/>
    </row>
    <row r="802">
      <c r="D802" s="158"/>
      <c r="E802" s="158"/>
      <c r="F802" s="158"/>
      <c r="G802" s="158"/>
      <c r="H802" s="158"/>
      <c r="I802" s="158"/>
      <c r="J802" s="158"/>
      <c r="K802" s="158"/>
      <c r="L802" s="158"/>
      <c r="M802" s="158"/>
      <c r="N802" s="158"/>
      <c r="O802" s="158"/>
      <c r="P802" s="158"/>
      <c r="Q802" s="158"/>
    </row>
    <row r="803">
      <c r="D803" s="158"/>
      <c r="E803" s="158"/>
      <c r="F803" s="158"/>
      <c r="G803" s="158"/>
      <c r="H803" s="158"/>
      <c r="I803" s="158"/>
      <c r="J803" s="158"/>
      <c r="K803" s="158"/>
      <c r="L803" s="158"/>
      <c r="M803" s="158"/>
      <c r="N803" s="158"/>
      <c r="O803" s="158"/>
      <c r="P803" s="158"/>
      <c r="Q803" s="158"/>
    </row>
    <row r="804">
      <c r="D804" s="158"/>
      <c r="E804" s="158"/>
      <c r="F804" s="158"/>
      <c r="G804" s="158"/>
      <c r="H804" s="158"/>
      <c r="I804" s="158"/>
      <c r="J804" s="158"/>
      <c r="K804" s="158"/>
      <c r="L804" s="158"/>
      <c r="M804" s="158"/>
      <c r="N804" s="158"/>
      <c r="O804" s="158"/>
      <c r="P804" s="158"/>
      <c r="Q804" s="158"/>
    </row>
    <row r="805">
      <c r="D805" s="158"/>
      <c r="E805" s="158"/>
      <c r="F805" s="158"/>
      <c r="G805" s="158"/>
      <c r="H805" s="158"/>
      <c r="I805" s="158"/>
      <c r="J805" s="158"/>
      <c r="K805" s="158"/>
      <c r="L805" s="158"/>
      <c r="M805" s="158"/>
      <c r="N805" s="158"/>
      <c r="O805" s="158"/>
      <c r="P805" s="158"/>
      <c r="Q805" s="158"/>
    </row>
    <row r="806">
      <c r="D806" s="158"/>
      <c r="E806" s="158"/>
      <c r="F806" s="158"/>
      <c r="G806" s="158"/>
      <c r="H806" s="158"/>
      <c r="I806" s="158"/>
      <c r="J806" s="158"/>
      <c r="K806" s="158"/>
      <c r="L806" s="158"/>
      <c r="M806" s="158"/>
      <c r="N806" s="158"/>
      <c r="O806" s="158"/>
      <c r="P806" s="158"/>
      <c r="Q806" s="158"/>
    </row>
    <row r="807">
      <c r="D807" s="158"/>
      <c r="E807" s="158"/>
      <c r="F807" s="158"/>
      <c r="G807" s="158"/>
      <c r="H807" s="158"/>
      <c r="I807" s="158"/>
      <c r="J807" s="158"/>
      <c r="K807" s="158"/>
      <c r="L807" s="158"/>
      <c r="M807" s="158"/>
      <c r="N807" s="158"/>
      <c r="O807" s="158"/>
      <c r="P807" s="158"/>
      <c r="Q807" s="158"/>
    </row>
    <row r="808">
      <c r="D808" s="158"/>
      <c r="E808" s="158"/>
      <c r="F808" s="158"/>
      <c r="G808" s="158"/>
      <c r="H808" s="158"/>
      <c r="I808" s="158"/>
      <c r="J808" s="158"/>
      <c r="K808" s="158"/>
      <c r="L808" s="158"/>
      <c r="M808" s="158"/>
      <c r="N808" s="158"/>
      <c r="O808" s="158"/>
      <c r="P808" s="158"/>
      <c r="Q808" s="158"/>
    </row>
    <row r="809">
      <c r="D809" s="158"/>
      <c r="E809" s="158"/>
      <c r="F809" s="158"/>
      <c r="G809" s="158"/>
      <c r="H809" s="158"/>
      <c r="I809" s="158"/>
      <c r="J809" s="158"/>
      <c r="K809" s="158"/>
      <c r="L809" s="158"/>
      <c r="M809" s="158"/>
      <c r="N809" s="158"/>
      <c r="O809" s="158"/>
      <c r="P809" s="158"/>
      <c r="Q809" s="158"/>
    </row>
    <row r="810">
      <c r="D810" s="158"/>
      <c r="E810" s="158"/>
      <c r="F810" s="158"/>
      <c r="G810" s="158"/>
      <c r="H810" s="158"/>
      <c r="I810" s="158"/>
      <c r="J810" s="158"/>
      <c r="K810" s="158"/>
      <c r="L810" s="158"/>
      <c r="M810" s="158"/>
      <c r="N810" s="158"/>
      <c r="O810" s="158"/>
      <c r="P810" s="158"/>
      <c r="Q810" s="158"/>
    </row>
    <row r="811">
      <c r="D811" s="158"/>
      <c r="E811" s="158"/>
      <c r="F811" s="158"/>
      <c r="G811" s="158"/>
      <c r="H811" s="158"/>
      <c r="I811" s="158"/>
      <c r="J811" s="158"/>
      <c r="K811" s="158"/>
      <c r="L811" s="158"/>
      <c r="M811" s="158"/>
      <c r="N811" s="158"/>
      <c r="O811" s="158"/>
      <c r="P811" s="158"/>
      <c r="Q811" s="158"/>
    </row>
    <row r="812">
      <c r="D812" s="158"/>
      <c r="E812" s="158"/>
      <c r="F812" s="158"/>
      <c r="G812" s="158"/>
      <c r="H812" s="158"/>
      <c r="I812" s="158"/>
      <c r="J812" s="158"/>
      <c r="K812" s="158"/>
      <c r="L812" s="158"/>
      <c r="M812" s="158"/>
      <c r="N812" s="158"/>
      <c r="O812" s="158"/>
      <c r="P812" s="158"/>
      <c r="Q812" s="158"/>
    </row>
    <row r="813">
      <c r="D813" s="158"/>
      <c r="E813" s="158"/>
      <c r="F813" s="158"/>
      <c r="G813" s="158"/>
      <c r="H813" s="158"/>
      <c r="I813" s="158"/>
      <c r="J813" s="158"/>
      <c r="K813" s="158"/>
      <c r="L813" s="158"/>
      <c r="M813" s="158"/>
      <c r="N813" s="158"/>
      <c r="O813" s="158"/>
      <c r="P813" s="158"/>
      <c r="Q813" s="158"/>
    </row>
    <row r="814">
      <c r="D814" s="158"/>
      <c r="E814" s="158"/>
      <c r="F814" s="158"/>
      <c r="G814" s="158"/>
      <c r="H814" s="158"/>
      <c r="I814" s="158"/>
      <c r="J814" s="158"/>
      <c r="K814" s="158"/>
      <c r="L814" s="158"/>
      <c r="M814" s="158"/>
      <c r="N814" s="158"/>
      <c r="O814" s="158"/>
      <c r="P814" s="158"/>
      <c r="Q814" s="158"/>
    </row>
    <row r="815">
      <c r="D815" s="158"/>
      <c r="E815" s="158"/>
      <c r="F815" s="158"/>
      <c r="G815" s="158"/>
      <c r="H815" s="158"/>
      <c r="I815" s="158"/>
      <c r="J815" s="158"/>
      <c r="K815" s="158"/>
      <c r="L815" s="158"/>
      <c r="M815" s="158"/>
      <c r="N815" s="158"/>
      <c r="O815" s="158"/>
      <c r="P815" s="158"/>
      <c r="Q815" s="158"/>
    </row>
    <row r="816">
      <c r="D816" s="158"/>
      <c r="E816" s="158"/>
      <c r="F816" s="158"/>
      <c r="G816" s="158"/>
      <c r="H816" s="158"/>
      <c r="I816" s="158"/>
      <c r="J816" s="158"/>
      <c r="K816" s="158"/>
      <c r="L816" s="158"/>
      <c r="M816" s="158"/>
      <c r="N816" s="158"/>
      <c r="O816" s="158"/>
      <c r="P816" s="158"/>
      <c r="Q816" s="158"/>
    </row>
    <row r="817">
      <c r="D817" s="158"/>
      <c r="E817" s="158"/>
      <c r="F817" s="158"/>
      <c r="G817" s="158"/>
      <c r="H817" s="158"/>
      <c r="I817" s="158"/>
      <c r="J817" s="158"/>
      <c r="K817" s="158"/>
      <c r="L817" s="158"/>
      <c r="M817" s="158"/>
      <c r="N817" s="158"/>
      <c r="O817" s="158"/>
      <c r="P817" s="158"/>
      <c r="Q817" s="158"/>
    </row>
    <row r="818">
      <c r="D818" s="158"/>
      <c r="E818" s="158"/>
      <c r="F818" s="158"/>
      <c r="G818" s="158"/>
      <c r="H818" s="158"/>
      <c r="I818" s="158"/>
      <c r="J818" s="158"/>
      <c r="K818" s="158"/>
      <c r="L818" s="158"/>
      <c r="M818" s="158"/>
      <c r="N818" s="158"/>
      <c r="O818" s="158"/>
      <c r="P818" s="158"/>
      <c r="Q818" s="158"/>
    </row>
    <row r="819">
      <c r="D819" s="158"/>
      <c r="E819" s="158"/>
      <c r="F819" s="158"/>
      <c r="G819" s="158"/>
      <c r="H819" s="158"/>
      <c r="I819" s="158"/>
      <c r="J819" s="158"/>
      <c r="K819" s="158"/>
      <c r="L819" s="158"/>
      <c r="M819" s="158"/>
      <c r="N819" s="158"/>
      <c r="O819" s="158"/>
      <c r="P819" s="158"/>
      <c r="Q819" s="158"/>
    </row>
    <row r="820">
      <c r="D820" s="158"/>
      <c r="E820" s="158"/>
      <c r="F820" s="158"/>
      <c r="G820" s="158"/>
      <c r="H820" s="158"/>
      <c r="I820" s="158"/>
      <c r="J820" s="158"/>
      <c r="K820" s="158"/>
      <c r="L820" s="158"/>
      <c r="M820" s="158"/>
      <c r="N820" s="158"/>
      <c r="O820" s="158"/>
      <c r="P820" s="158"/>
      <c r="Q820" s="158"/>
    </row>
    <row r="821">
      <c r="D821" s="158"/>
      <c r="E821" s="158"/>
      <c r="F821" s="158"/>
      <c r="G821" s="158"/>
      <c r="H821" s="158"/>
      <c r="I821" s="158"/>
      <c r="J821" s="158"/>
      <c r="K821" s="158"/>
      <c r="L821" s="158"/>
      <c r="M821" s="158"/>
      <c r="N821" s="158"/>
      <c r="O821" s="158"/>
      <c r="P821" s="158"/>
      <c r="Q821" s="158"/>
    </row>
    <row r="822">
      <c r="D822" s="158"/>
      <c r="E822" s="158"/>
      <c r="F822" s="158"/>
      <c r="G822" s="158"/>
      <c r="H822" s="158"/>
      <c r="I822" s="158"/>
      <c r="J822" s="158"/>
      <c r="K822" s="158"/>
      <c r="L822" s="158"/>
      <c r="M822" s="158"/>
      <c r="N822" s="158"/>
      <c r="O822" s="158"/>
      <c r="P822" s="158"/>
      <c r="Q822" s="158"/>
    </row>
    <row r="823">
      <c r="D823" s="158"/>
      <c r="E823" s="158"/>
      <c r="F823" s="158"/>
      <c r="G823" s="158"/>
      <c r="H823" s="158"/>
      <c r="I823" s="158"/>
      <c r="J823" s="158"/>
      <c r="K823" s="158"/>
      <c r="L823" s="158"/>
      <c r="M823" s="158"/>
      <c r="N823" s="158"/>
      <c r="O823" s="158"/>
      <c r="P823" s="158"/>
      <c r="Q823" s="158"/>
    </row>
    <row r="824">
      <c r="D824" s="158"/>
      <c r="E824" s="158"/>
      <c r="F824" s="158"/>
      <c r="G824" s="158"/>
      <c r="H824" s="158"/>
      <c r="I824" s="158"/>
      <c r="J824" s="158"/>
      <c r="K824" s="158"/>
      <c r="L824" s="158"/>
      <c r="M824" s="158"/>
      <c r="N824" s="158"/>
      <c r="O824" s="158"/>
      <c r="P824" s="158"/>
      <c r="Q824" s="158"/>
    </row>
    <row r="825">
      <c r="D825" s="158"/>
      <c r="E825" s="158"/>
      <c r="F825" s="158"/>
      <c r="G825" s="158"/>
      <c r="H825" s="158"/>
      <c r="I825" s="158"/>
      <c r="J825" s="158"/>
      <c r="K825" s="158"/>
      <c r="L825" s="158"/>
      <c r="M825" s="158"/>
      <c r="N825" s="158"/>
      <c r="O825" s="158"/>
      <c r="P825" s="158"/>
      <c r="Q825" s="158"/>
    </row>
    <row r="826">
      <c r="D826" s="158"/>
      <c r="E826" s="158"/>
      <c r="F826" s="158"/>
      <c r="G826" s="158"/>
      <c r="H826" s="158"/>
      <c r="I826" s="158"/>
      <c r="J826" s="158"/>
      <c r="K826" s="158"/>
      <c r="L826" s="158"/>
      <c r="M826" s="158"/>
      <c r="N826" s="158"/>
      <c r="O826" s="158"/>
      <c r="P826" s="158"/>
      <c r="Q826" s="158"/>
    </row>
    <row r="827">
      <c r="D827" s="158"/>
      <c r="E827" s="158"/>
      <c r="F827" s="158"/>
      <c r="G827" s="158"/>
      <c r="H827" s="158"/>
      <c r="I827" s="158"/>
      <c r="J827" s="158"/>
      <c r="K827" s="158"/>
      <c r="L827" s="158"/>
      <c r="M827" s="158"/>
      <c r="N827" s="158"/>
      <c r="O827" s="158"/>
      <c r="P827" s="158"/>
      <c r="Q827" s="158"/>
    </row>
    <row r="828">
      <c r="D828" s="158"/>
      <c r="E828" s="158"/>
      <c r="F828" s="158"/>
      <c r="G828" s="158"/>
      <c r="H828" s="158"/>
      <c r="I828" s="158"/>
      <c r="J828" s="158"/>
      <c r="K828" s="158"/>
      <c r="L828" s="158"/>
      <c r="M828" s="158"/>
      <c r="N828" s="158"/>
      <c r="O828" s="158"/>
      <c r="P828" s="158"/>
      <c r="Q828" s="158"/>
    </row>
    <row r="829">
      <c r="D829" s="158"/>
      <c r="E829" s="158"/>
      <c r="F829" s="158"/>
      <c r="G829" s="158"/>
      <c r="H829" s="158"/>
      <c r="I829" s="158"/>
      <c r="J829" s="158"/>
      <c r="K829" s="158"/>
      <c r="L829" s="158"/>
      <c r="M829" s="158"/>
      <c r="N829" s="158"/>
      <c r="O829" s="158"/>
      <c r="P829" s="158"/>
      <c r="Q829" s="158"/>
    </row>
    <row r="830">
      <c r="D830" s="158"/>
      <c r="E830" s="158"/>
      <c r="F830" s="158"/>
      <c r="G830" s="158"/>
      <c r="H830" s="158"/>
      <c r="I830" s="158"/>
      <c r="J830" s="158"/>
      <c r="K830" s="158"/>
      <c r="L830" s="158"/>
      <c r="M830" s="158"/>
      <c r="N830" s="158"/>
      <c r="O830" s="158"/>
      <c r="P830" s="158"/>
      <c r="Q830" s="158"/>
    </row>
    <row r="831">
      <c r="D831" s="158"/>
      <c r="E831" s="158"/>
      <c r="F831" s="158"/>
      <c r="G831" s="158"/>
      <c r="H831" s="158"/>
      <c r="I831" s="158"/>
      <c r="J831" s="158"/>
      <c r="K831" s="158"/>
      <c r="L831" s="158"/>
      <c r="M831" s="158"/>
      <c r="N831" s="158"/>
      <c r="O831" s="158"/>
      <c r="P831" s="158"/>
      <c r="Q831" s="158"/>
    </row>
    <row r="832">
      <c r="D832" s="158"/>
      <c r="E832" s="158"/>
      <c r="F832" s="158"/>
      <c r="G832" s="158"/>
      <c r="H832" s="158"/>
      <c r="I832" s="158"/>
      <c r="J832" s="158"/>
      <c r="K832" s="158"/>
      <c r="L832" s="158"/>
      <c r="M832" s="158"/>
      <c r="N832" s="158"/>
      <c r="O832" s="158"/>
      <c r="P832" s="158"/>
      <c r="Q832" s="158"/>
    </row>
    <row r="833">
      <c r="D833" s="158"/>
      <c r="E833" s="158"/>
      <c r="F833" s="158"/>
      <c r="G833" s="158"/>
      <c r="H833" s="158"/>
      <c r="I833" s="158"/>
      <c r="J833" s="158"/>
      <c r="K833" s="158"/>
      <c r="L833" s="158"/>
      <c r="M833" s="158"/>
      <c r="N833" s="158"/>
      <c r="O833" s="158"/>
      <c r="P833" s="158"/>
      <c r="Q833" s="158"/>
    </row>
    <row r="834">
      <c r="D834" s="158"/>
      <c r="E834" s="158"/>
      <c r="F834" s="158"/>
      <c r="G834" s="158"/>
      <c r="H834" s="158"/>
      <c r="I834" s="158"/>
      <c r="J834" s="158"/>
      <c r="K834" s="158"/>
      <c r="L834" s="158"/>
      <c r="M834" s="158"/>
      <c r="N834" s="158"/>
      <c r="O834" s="158"/>
      <c r="P834" s="158"/>
      <c r="Q834" s="158"/>
    </row>
    <row r="835">
      <c r="D835" s="158"/>
      <c r="E835" s="158"/>
      <c r="F835" s="158"/>
      <c r="G835" s="158"/>
      <c r="H835" s="158"/>
      <c r="I835" s="158"/>
      <c r="J835" s="158"/>
      <c r="K835" s="158"/>
      <c r="L835" s="158"/>
      <c r="M835" s="158"/>
      <c r="N835" s="158"/>
      <c r="O835" s="158"/>
      <c r="P835" s="158"/>
      <c r="Q835" s="158"/>
    </row>
    <row r="836">
      <c r="D836" s="158"/>
      <c r="E836" s="158"/>
      <c r="F836" s="158"/>
      <c r="G836" s="158"/>
      <c r="H836" s="158"/>
      <c r="I836" s="158"/>
      <c r="J836" s="158"/>
      <c r="K836" s="158"/>
      <c r="L836" s="158"/>
      <c r="M836" s="158"/>
      <c r="N836" s="158"/>
      <c r="O836" s="158"/>
      <c r="P836" s="158"/>
      <c r="Q836" s="158"/>
    </row>
    <row r="837">
      <c r="D837" s="158"/>
      <c r="E837" s="158"/>
      <c r="F837" s="158"/>
      <c r="G837" s="158"/>
      <c r="H837" s="158"/>
      <c r="I837" s="158"/>
      <c r="J837" s="158"/>
      <c r="K837" s="158"/>
      <c r="L837" s="158"/>
      <c r="M837" s="158"/>
      <c r="N837" s="158"/>
      <c r="O837" s="158"/>
      <c r="P837" s="158"/>
      <c r="Q837" s="158"/>
    </row>
    <row r="838">
      <c r="D838" s="158"/>
      <c r="E838" s="158"/>
      <c r="F838" s="158"/>
      <c r="G838" s="158"/>
      <c r="H838" s="158"/>
      <c r="I838" s="158"/>
      <c r="J838" s="158"/>
      <c r="K838" s="158"/>
      <c r="L838" s="158"/>
      <c r="M838" s="158"/>
      <c r="N838" s="158"/>
      <c r="O838" s="158"/>
      <c r="P838" s="158"/>
      <c r="Q838" s="158"/>
    </row>
    <row r="839">
      <c r="D839" s="158"/>
      <c r="E839" s="158"/>
      <c r="F839" s="158"/>
      <c r="G839" s="158"/>
      <c r="H839" s="158"/>
      <c r="I839" s="158"/>
      <c r="J839" s="158"/>
      <c r="K839" s="158"/>
      <c r="L839" s="158"/>
      <c r="M839" s="158"/>
      <c r="N839" s="158"/>
      <c r="O839" s="158"/>
      <c r="P839" s="158"/>
      <c r="Q839" s="158"/>
    </row>
    <row r="840">
      <c r="D840" s="158"/>
      <c r="E840" s="158"/>
      <c r="F840" s="158"/>
      <c r="G840" s="158"/>
      <c r="H840" s="158"/>
      <c r="I840" s="158"/>
      <c r="J840" s="158"/>
      <c r="K840" s="158"/>
      <c r="L840" s="158"/>
      <c r="M840" s="158"/>
      <c r="N840" s="158"/>
      <c r="O840" s="158"/>
      <c r="P840" s="158"/>
      <c r="Q840" s="158"/>
    </row>
    <row r="841">
      <c r="D841" s="158"/>
      <c r="E841" s="158"/>
      <c r="F841" s="158"/>
      <c r="G841" s="158"/>
      <c r="H841" s="158"/>
      <c r="I841" s="158"/>
      <c r="J841" s="158"/>
      <c r="K841" s="158"/>
      <c r="L841" s="158"/>
      <c r="M841" s="158"/>
      <c r="N841" s="158"/>
      <c r="O841" s="158"/>
      <c r="P841" s="158"/>
      <c r="Q841" s="158"/>
    </row>
    <row r="842">
      <c r="D842" s="158"/>
      <c r="E842" s="158"/>
      <c r="F842" s="158"/>
      <c r="G842" s="158"/>
      <c r="H842" s="158"/>
      <c r="I842" s="158"/>
      <c r="J842" s="158"/>
      <c r="K842" s="158"/>
      <c r="L842" s="158"/>
      <c r="M842" s="158"/>
      <c r="N842" s="158"/>
      <c r="O842" s="158"/>
      <c r="P842" s="158"/>
      <c r="Q842" s="158"/>
    </row>
    <row r="843">
      <c r="D843" s="158"/>
      <c r="E843" s="158"/>
      <c r="F843" s="158"/>
      <c r="G843" s="158"/>
      <c r="H843" s="158"/>
      <c r="I843" s="158"/>
      <c r="J843" s="158"/>
      <c r="K843" s="158"/>
      <c r="L843" s="158"/>
      <c r="M843" s="158"/>
      <c r="N843" s="158"/>
      <c r="O843" s="158"/>
      <c r="P843" s="158"/>
      <c r="Q843" s="158"/>
    </row>
    <row r="844">
      <c r="D844" s="158"/>
      <c r="E844" s="158"/>
      <c r="F844" s="158"/>
      <c r="G844" s="158"/>
      <c r="H844" s="158"/>
      <c r="I844" s="158"/>
      <c r="J844" s="158"/>
      <c r="K844" s="158"/>
      <c r="L844" s="158"/>
      <c r="M844" s="158"/>
      <c r="N844" s="158"/>
      <c r="O844" s="158"/>
      <c r="P844" s="158"/>
      <c r="Q844" s="158"/>
    </row>
    <row r="845">
      <c r="D845" s="158"/>
      <c r="E845" s="158"/>
      <c r="F845" s="158"/>
      <c r="G845" s="158"/>
      <c r="H845" s="158"/>
      <c r="I845" s="158"/>
      <c r="J845" s="158"/>
      <c r="K845" s="158"/>
      <c r="L845" s="158"/>
      <c r="M845" s="158"/>
      <c r="N845" s="158"/>
      <c r="O845" s="158"/>
      <c r="P845" s="158"/>
      <c r="Q845" s="158"/>
    </row>
    <row r="846">
      <c r="D846" s="158"/>
      <c r="E846" s="158"/>
      <c r="F846" s="158"/>
      <c r="G846" s="158"/>
      <c r="H846" s="158"/>
      <c r="I846" s="158"/>
      <c r="J846" s="158"/>
      <c r="K846" s="158"/>
      <c r="L846" s="158"/>
      <c r="M846" s="158"/>
      <c r="N846" s="158"/>
      <c r="O846" s="158"/>
      <c r="P846" s="158"/>
      <c r="Q846" s="158"/>
    </row>
    <row r="847">
      <c r="D847" s="158"/>
      <c r="E847" s="158"/>
      <c r="F847" s="158"/>
      <c r="G847" s="158"/>
      <c r="H847" s="158"/>
      <c r="I847" s="158"/>
      <c r="J847" s="158"/>
      <c r="K847" s="158"/>
      <c r="L847" s="158"/>
      <c r="M847" s="158"/>
      <c r="N847" s="158"/>
      <c r="O847" s="158"/>
      <c r="P847" s="158"/>
      <c r="Q847" s="158"/>
    </row>
    <row r="848">
      <c r="D848" s="158"/>
      <c r="E848" s="158"/>
      <c r="F848" s="158"/>
      <c r="G848" s="158"/>
      <c r="H848" s="158"/>
      <c r="I848" s="158"/>
      <c r="J848" s="158"/>
      <c r="K848" s="158"/>
      <c r="L848" s="158"/>
      <c r="M848" s="158"/>
      <c r="N848" s="158"/>
      <c r="O848" s="158"/>
      <c r="P848" s="158"/>
      <c r="Q848" s="158"/>
    </row>
    <row r="849">
      <c r="D849" s="158"/>
      <c r="E849" s="158"/>
      <c r="F849" s="158"/>
      <c r="G849" s="158"/>
      <c r="H849" s="158"/>
      <c r="I849" s="158"/>
      <c r="J849" s="158"/>
      <c r="K849" s="158"/>
      <c r="L849" s="158"/>
      <c r="M849" s="158"/>
      <c r="N849" s="158"/>
      <c r="O849" s="158"/>
      <c r="P849" s="158"/>
      <c r="Q849" s="158"/>
    </row>
    <row r="850">
      <c r="D850" s="158"/>
      <c r="E850" s="158"/>
      <c r="F850" s="158"/>
      <c r="G850" s="158"/>
      <c r="H850" s="158"/>
      <c r="I850" s="158"/>
      <c r="J850" s="158"/>
      <c r="K850" s="158"/>
      <c r="L850" s="158"/>
      <c r="M850" s="158"/>
      <c r="N850" s="158"/>
      <c r="O850" s="158"/>
      <c r="P850" s="158"/>
      <c r="Q850" s="158"/>
    </row>
    <row r="851">
      <c r="D851" s="158"/>
      <c r="E851" s="158"/>
      <c r="F851" s="158"/>
      <c r="G851" s="158"/>
      <c r="H851" s="158"/>
      <c r="I851" s="158"/>
      <c r="J851" s="158"/>
      <c r="K851" s="158"/>
      <c r="L851" s="158"/>
      <c r="M851" s="158"/>
      <c r="N851" s="158"/>
      <c r="O851" s="158"/>
      <c r="P851" s="158"/>
      <c r="Q851" s="158"/>
    </row>
    <row r="852">
      <c r="D852" s="158"/>
      <c r="E852" s="158"/>
      <c r="F852" s="158"/>
      <c r="G852" s="158"/>
      <c r="H852" s="158"/>
      <c r="I852" s="158"/>
      <c r="J852" s="158"/>
      <c r="K852" s="158"/>
      <c r="L852" s="158"/>
      <c r="M852" s="158"/>
      <c r="N852" s="158"/>
      <c r="O852" s="158"/>
      <c r="P852" s="158"/>
      <c r="Q852" s="158"/>
    </row>
    <row r="853">
      <c r="D853" s="158"/>
      <c r="E853" s="158"/>
      <c r="F853" s="158"/>
      <c r="G853" s="158"/>
      <c r="H853" s="158"/>
      <c r="I853" s="158"/>
      <c r="J853" s="158"/>
      <c r="K853" s="158"/>
      <c r="L853" s="158"/>
      <c r="M853" s="158"/>
      <c r="N853" s="158"/>
      <c r="O853" s="158"/>
      <c r="P853" s="158"/>
      <c r="Q853" s="158"/>
    </row>
    <row r="854">
      <c r="D854" s="158"/>
      <c r="E854" s="158"/>
      <c r="F854" s="158"/>
      <c r="G854" s="158"/>
      <c r="H854" s="158"/>
      <c r="I854" s="158"/>
      <c r="J854" s="158"/>
      <c r="K854" s="158"/>
      <c r="L854" s="158"/>
      <c r="M854" s="158"/>
      <c r="N854" s="158"/>
      <c r="O854" s="158"/>
      <c r="P854" s="158"/>
      <c r="Q854" s="158"/>
    </row>
    <row r="855">
      <c r="D855" s="158"/>
      <c r="E855" s="158"/>
      <c r="F855" s="158"/>
      <c r="G855" s="158"/>
      <c r="H855" s="158"/>
      <c r="I855" s="158"/>
      <c r="J855" s="158"/>
      <c r="K855" s="158"/>
      <c r="L855" s="158"/>
      <c r="M855" s="158"/>
      <c r="N855" s="158"/>
      <c r="O855" s="158"/>
      <c r="P855" s="158"/>
      <c r="Q855" s="158"/>
    </row>
    <row r="856">
      <c r="D856" s="158"/>
      <c r="E856" s="158"/>
      <c r="F856" s="158"/>
      <c r="G856" s="158"/>
      <c r="H856" s="158"/>
      <c r="I856" s="158"/>
      <c r="J856" s="158"/>
      <c r="K856" s="158"/>
      <c r="L856" s="158"/>
      <c r="M856" s="158"/>
      <c r="N856" s="158"/>
      <c r="O856" s="158"/>
      <c r="P856" s="158"/>
      <c r="Q856" s="158"/>
    </row>
    <row r="857">
      <c r="D857" s="158"/>
      <c r="E857" s="158"/>
      <c r="F857" s="158"/>
      <c r="G857" s="158"/>
      <c r="H857" s="158"/>
      <c r="I857" s="158"/>
      <c r="J857" s="158"/>
      <c r="K857" s="158"/>
      <c r="L857" s="158"/>
      <c r="M857" s="158"/>
      <c r="N857" s="158"/>
      <c r="O857" s="158"/>
      <c r="P857" s="158"/>
      <c r="Q857" s="158"/>
    </row>
    <row r="858">
      <c r="D858" s="158"/>
      <c r="E858" s="158"/>
      <c r="F858" s="158"/>
      <c r="G858" s="158"/>
      <c r="H858" s="158"/>
      <c r="I858" s="158"/>
      <c r="J858" s="158"/>
      <c r="K858" s="158"/>
      <c r="L858" s="158"/>
      <c r="M858" s="158"/>
      <c r="N858" s="158"/>
      <c r="O858" s="158"/>
      <c r="P858" s="158"/>
      <c r="Q858" s="158"/>
    </row>
    <row r="859">
      <c r="D859" s="158"/>
      <c r="E859" s="158"/>
      <c r="F859" s="158"/>
      <c r="G859" s="158"/>
      <c r="H859" s="158"/>
      <c r="I859" s="158"/>
      <c r="J859" s="158"/>
      <c r="K859" s="158"/>
      <c r="L859" s="158"/>
      <c r="M859" s="158"/>
      <c r="N859" s="158"/>
      <c r="O859" s="158"/>
      <c r="P859" s="158"/>
      <c r="Q859" s="158"/>
    </row>
    <row r="860">
      <c r="D860" s="158"/>
      <c r="E860" s="158"/>
      <c r="F860" s="158"/>
      <c r="G860" s="158"/>
      <c r="H860" s="158"/>
      <c r="I860" s="158"/>
      <c r="J860" s="158"/>
      <c r="K860" s="158"/>
      <c r="L860" s="158"/>
      <c r="M860" s="158"/>
      <c r="N860" s="158"/>
      <c r="O860" s="158"/>
      <c r="P860" s="158"/>
      <c r="Q860" s="158"/>
    </row>
    <row r="861">
      <c r="D861" s="158"/>
      <c r="E861" s="158"/>
      <c r="F861" s="158"/>
      <c r="G861" s="158"/>
      <c r="H861" s="158"/>
      <c r="I861" s="158"/>
      <c r="J861" s="158"/>
      <c r="K861" s="158"/>
      <c r="L861" s="158"/>
      <c r="M861" s="158"/>
      <c r="N861" s="158"/>
      <c r="O861" s="158"/>
      <c r="P861" s="158"/>
      <c r="Q861" s="158"/>
    </row>
    <row r="862">
      <c r="D862" s="158"/>
      <c r="E862" s="158"/>
      <c r="F862" s="158"/>
      <c r="G862" s="158"/>
      <c r="H862" s="158"/>
      <c r="I862" s="158"/>
      <c r="J862" s="158"/>
      <c r="K862" s="158"/>
      <c r="L862" s="158"/>
      <c r="M862" s="158"/>
      <c r="N862" s="158"/>
      <c r="O862" s="158"/>
      <c r="P862" s="158"/>
      <c r="Q862" s="158"/>
    </row>
    <row r="863">
      <c r="D863" s="158"/>
      <c r="E863" s="158"/>
      <c r="F863" s="158"/>
      <c r="G863" s="158"/>
      <c r="H863" s="158"/>
      <c r="I863" s="158"/>
      <c r="J863" s="158"/>
      <c r="K863" s="158"/>
      <c r="L863" s="158"/>
      <c r="M863" s="158"/>
      <c r="N863" s="158"/>
      <c r="O863" s="158"/>
      <c r="P863" s="158"/>
      <c r="Q863" s="158"/>
    </row>
    <row r="864">
      <c r="D864" s="158"/>
      <c r="E864" s="158"/>
      <c r="F864" s="158"/>
      <c r="G864" s="158"/>
      <c r="H864" s="158"/>
      <c r="I864" s="158"/>
      <c r="J864" s="158"/>
      <c r="K864" s="158"/>
      <c r="L864" s="158"/>
      <c r="M864" s="158"/>
      <c r="N864" s="158"/>
      <c r="O864" s="158"/>
      <c r="P864" s="158"/>
      <c r="Q864" s="158"/>
    </row>
    <row r="865">
      <c r="D865" s="158"/>
      <c r="E865" s="158"/>
      <c r="F865" s="158"/>
      <c r="G865" s="158"/>
      <c r="H865" s="158"/>
      <c r="I865" s="158"/>
      <c r="J865" s="158"/>
      <c r="K865" s="158"/>
      <c r="L865" s="158"/>
      <c r="M865" s="158"/>
      <c r="N865" s="158"/>
      <c r="O865" s="158"/>
      <c r="P865" s="158"/>
      <c r="Q865" s="158"/>
    </row>
    <row r="866">
      <c r="D866" s="158"/>
      <c r="E866" s="158"/>
      <c r="F866" s="158"/>
      <c r="G866" s="158"/>
      <c r="H866" s="158"/>
      <c r="I866" s="158"/>
      <c r="J866" s="158"/>
      <c r="K866" s="158"/>
      <c r="L866" s="158"/>
      <c r="M866" s="158"/>
      <c r="N866" s="158"/>
      <c r="O866" s="158"/>
      <c r="P866" s="158"/>
      <c r="Q866" s="158"/>
    </row>
    <row r="867">
      <c r="D867" s="158"/>
      <c r="E867" s="158"/>
      <c r="F867" s="158"/>
      <c r="G867" s="158"/>
      <c r="H867" s="158"/>
      <c r="I867" s="158"/>
      <c r="J867" s="158"/>
      <c r="K867" s="158"/>
      <c r="L867" s="158"/>
      <c r="M867" s="158"/>
      <c r="N867" s="158"/>
      <c r="O867" s="158"/>
      <c r="P867" s="158"/>
      <c r="Q867" s="158"/>
    </row>
    <row r="868">
      <c r="D868" s="158"/>
      <c r="E868" s="158"/>
      <c r="F868" s="158"/>
      <c r="G868" s="158"/>
      <c r="H868" s="158"/>
      <c r="I868" s="158"/>
      <c r="J868" s="158"/>
      <c r="K868" s="158"/>
      <c r="L868" s="158"/>
      <c r="M868" s="158"/>
      <c r="N868" s="158"/>
      <c r="O868" s="158"/>
      <c r="P868" s="158"/>
      <c r="Q868" s="158"/>
    </row>
    <row r="869">
      <c r="D869" s="158"/>
      <c r="E869" s="158"/>
      <c r="F869" s="158"/>
      <c r="G869" s="158"/>
      <c r="H869" s="158"/>
      <c r="I869" s="158"/>
      <c r="J869" s="158"/>
      <c r="K869" s="158"/>
      <c r="L869" s="158"/>
      <c r="M869" s="158"/>
      <c r="N869" s="158"/>
      <c r="O869" s="158"/>
      <c r="P869" s="158"/>
      <c r="Q869" s="158"/>
    </row>
    <row r="870">
      <c r="D870" s="158"/>
      <c r="E870" s="158"/>
      <c r="F870" s="158"/>
      <c r="G870" s="158"/>
      <c r="H870" s="158"/>
      <c r="I870" s="158"/>
      <c r="J870" s="158"/>
      <c r="K870" s="158"/>
      <c r="L870" s="158"/>
      <c r="M870" s="158"/>
      <c r="N870" s="158"/>
      <c r="O870" s="158"/>
      <c r="P870" s="158"/>
      <c r="Q870" s="158"/>
    </row>
    <row r="871">
      <c r="D871" s="158"/>
      <c r="E871" s="158"/>
      <c r="F871" s="158"/>
      <c r="G871" s="158"/>
      <c r="H871" s="158"/>
      <c r="I871" s="158"/>
      <c r="J871" s="158"/>
      <c r="K871" s="158"/>
      <c r="L871" s="158"/>
      <c r="M871" s="158"/>
      <c r="N871" s="158"/>
      <c r="O871" s="158"/>
      <c r="P871" s="158"/>
      <c r="Q871" s="158"/>
    </row>
    <row r="872">
      <c r="D872" s="158"/>
      <c r="E872" s="158"/>
      <c r="F872" s="158"/>
      <c r="G872" s="158"/>
      <c r="H872" s="158"/>
      <c r="I872" s="158"/>
      <c r="J872" s="158"/>
      <c r="K872" s="158"/>
      <c r="L872" s="158"/>
      <c r="M872" s="158"/>
      <c r="N872" s="158"/>
      <c r="O872" s="158"/>
      <c r="P872" s="158"/>
      <c r="Q872" s="158"/>
    </row>
    <row r="873">
      <c r="D873" s="158"/>
      <c r="E873" s="158"/>
      <c r="F873" s="158"/>
      <c r="G873" s="158"/>
      <c r="H873" s="158"/>
      <c r="I873" s="158"/>
      <c r="J873" s="158"/>
      <c r="K873" s="158"/>
      <c r="L873" s="158"/>
      <c r="M873" s="158"/>
      <c r="N873" s="158"/>
      <c r="O873" s="158"/>
      <c r="P873" s="158"/>
      <c r="Q873" s="158"/>
    </row>
    <row r="874">
      <c r="D874" s="158"/>
      <c r="E874" s="158"/>
      <c r="F874" s="158"/>
      <c r="G874" s="158"/>
      <c r="H874" s="158"/>
      <c r="I874" s="158"/>
      <c r="J874" s="158"/>
      <c r="K874" s="158"/>
      <c r="L874" s="158"/>
      <c r="M874" s="158"/>
      <c r="N874" s="158"/>
      <c r="O874" s="158"/>
      <c r="P874" s="158"/>
      <c r="Q874" s="158"/>
    </row>
    <row r="875">
      <c r="D875" s="158"/>
      <c r="E875" s="158"/>
      <c r="F875" s="158"/>
      <c r="G875" s="158"/>
      <c r="H875" s="158"/>
      <c r="I875" s="158"/>
      <c r="J875" s="158"/>
      <c r="K875" s="158"/>
      <c r="L875" s="158"/>
      <c r="M875" s="158"/>
      <c r="N875" s="158"/>
      <c r="O875" s="158"/>
      <c r="P875" s="158"/>
      <c r="Q875" s="158"/>
    </row>
    <row r="876">
      <c r="D876" s="158"/>
      <c r="E876" s="158"/>
      <c r="F876" s="158"/>
      <c r="G876" s="158"/>
      <c r="H876" s="158"/>
      <c r="I876" s="158"/>
      <c r="J876" s="158"/>
      <c r="K876" s="158"/>
      <c r="L876" s="158"/>
      <c r="M876" s="158"/>
      <c r="N876" s="158"/>
      <c r="O876" s="158"/>
      <c r="P876" s="158"/>
      <c r="Q876" s="158"/>
    </row>
    <row r="877">
      <c r="D877" s="158"/>
      <c r="E877" s="158"/>
      <c r="F877" s="158"/>
      <c r="G877" s="158"/>
      <c r="H877" s="158"/>
      <c r="I877" s="158"/>
      <c r="J877" s="158"/>
      <c r="K877" s="158"/>
      <c r="L877" s="158"/>
      <c r="M877" s="158"/>
      <c r="N877" s="158"/>
      <c r="O877" s="158"/>
      <c r="P877" s="158"/>
      <c r="Q877" s="158"/>
    </row>
    <row r="878">
      <c r="D878" s="158"/>
      <c r="E878" s="158"/>
      <c r="F878" s="158"/>
      <c r="G878" s="158"/>
      <c r="H878" s="158"/>
      <c r="I878" s="158"/>
      <c r="J878" s="158"/>
      <c r="K878" s="158"/>
      <c r="L878" s="158"/>
      <c r="M878" s="158"/>
      <c r="N878" s="158"/>
      <c r="O878" s="158"/>
      <c r="P878" s="158"/>
      <c r="Q878" s="158"/>
    </row>
    <row r="879">
      <c r="D879" s="158"/>
      <c r="E879" s="158"/>
      <c r="F879" s="158"/>
      <c r="G879" s="158"/>
      <c r="H879" s="158"/>
      <c r="I879" s="158"/>
      <c r="J879" s="158"/>
      <c r="K879" s="158"/>
      <c r="L879" s="158"/>
      <c r="M879" s="158"/>
      <c r="N879" s="158"/>
      <c r="O879" s="158"/>
      <c r="P879" s="158"/>
      <c r="Q879" s="158"/>
    </row>
    <row r="880">
      <c r="D880" s="158"/>
      <c r="E880" s="158"/>
      <c r="F880" s="158"/>
      <c r="G880" s="158"/>
      <c r="H880" s="158"/>
      <c r="I880" s="158"/>
      <c r="J880" s="158"/>
      <c r="K880" s="158"/>
      <c r="L880" s="158"/>
      <c r="M880" s="158"/>
      <c r="N880" s="158"/>
      <c r="O880" s="158"/>
      <c r="P880" s="158"/>
      <c r="Q880" s="158"/>
    </row>
    <row r="881">
      <c r="D881" s="158"/>
      <c r="E881" s="158"/>
      <c r="F881" s="158"/>
      <c r="G881" s="158"/>
      <c r="H881" s="158"/>
      <c r="I881" s="158"/>
      <c r="J881" s="158"/>
      <c r="K881" s="158"/>
      <c r="L881" s="158"/>
      <c r="M881" s="158"/>
      <c r="N881" s="158"/>
      <c r="O881" s="158"/>
      <c r="P881" s="158"/>
      <c r="Q881" s="158"/>
    </row>
    <row r="882">
      <c r="D882" s="158"/>
      <c r="E882" s="158"/>
      <c r="F882" s="158"/>
      <c r="G882" s="158"/>
      <c r="H882" s="158"/>
      <c r="I882" s="158"/>
      <c r="J882" s="158"/>
      <c r="K882" s="158"/>
      <c r="L882" s="158"/>
      <c r="M882" s="158"/>
      <c r="N882" s="158"/>
      <c r="O882" s="158"/>
      <c r="P882" s="158"/>
      <c r="Q882" s="158"/>
    </row>
    <row r="883">
      <c r="D883" s="158"/>
      <c r="E883" s="158"/>
      <c r="F883" s="158"/>
      <c r="G883" s="158"/>
      <c r="H883" s="158"/>
      <c r="I883" s="158"/>
      <c r="J883" s="158"/>
      <c r="K883" s="158"/>
      <c r="L883" s="158"/>
      <c r="M883" s="158"/>
      <c r="N883" s="158"/>
      <c r="O883" s="158"/>
      <c r="P883" s="158"/>
      <c r="Q883" s="158"/>
    </row>
    <row r="884">
      <c r="D884" s="158"/>
      <c r="E884" s="158"/>
      <c r="F884" s="158"/>
      <c r="G884" s="158"/>
      <c r="H884" s="158"/>
      <c r="I884" s="158"/>
      <c r="J884" s="158"/>
      <c r="K884" s="158"/>
      <c r="L884" s="158"/>
      <c r="M884" s="158"/>
      <c r="N884" s="158"/>
      <c r="O884" s="158"/>
      <c r="P884" s="158"/>
      <c r="Q884" s="158"/>
    </row>
    <row r="885">
      <c r="D885" s="158"/>
      <c r="E885" s="158"/>
      <c r="F885" s="158"/>
      <c r="G885" s="158"/>
      <c r="H885" s="158"/>
      <c r="I885" s="158"/>
      <c r="J885" s="158"/>
      <c r="K885" s="158"/>
      <c r="L885" s="158"/>
      <c r="M885" s="158"/>
      <c r="N885" s="158"/>
      <c r="O885" s="158"/>
      <c r="P885" s="158"/>
      <c r="Q885" s="158"/>
    </row>
    <row r="886">
      <c r="D886" s="158"/>
      <c r="E886" s="158"/>
      <c r="F886" s="158"/>
      <c r="G886" s="158"/>
      <c r="H886" s="158"/>
      <c r="I886" s="158"/>
      <c r="J886" s="158"/>
      <c r="K886" s="158"/>
      <c r="L886" s="158"/>
      <c r="M886" s="158"/>
      <c r="N886" s="158"/>
      <c r="O886" s="158"/>
      <c r="P886" s="158"/>
      <c r="Q886" s="158"/>
    </row>
    <row r="887">
      <c r="D887" s="158"/>
      <c r="E887" s="158"/>
      <c r="F887" s="158"/>
      <c r="G887" s="158"/>
      <c r="H887" s="158"/>
      <c r="I887" s="158"/>
      <c r="J887" s="158"/>
      <c r="K887" s="158"/>
      <c r="L887" s="158"/>
      <c r="M887" s="158"/>
      <c r="N887" s="158"/>
      <c r="O887" s="158"/>
      <c r="P887" s="158"/>
      <c r="Q887" s="158"/>
    </row>
    <row r="888">
      <c r="D888" s="158"/>
      <c r="E888" s="158"/>
      <c r="F888" s="158"/>
      <c r="G888" s="158"/>
      <c r="H888" s="158"/>
      <c r="I888" s="158"/>
      <c r="J888" s="158"/>
      <c r="K888" s="158"/>
      <c r="L888" s="158"/>
      <c r="M888" s="158"/>
      <c r="N888" s="158"/>
      <c r="O888" s="158"/>
      <c r="P888" s="158"/>
      <c r="Q888" s="158"/>
    </row>
    <row r="889">
      <c r="D889" s="158"/>
      <c r="E889" s="158"/>
      <c r="F889" s="158"/>
      <c r="G889" s="158"/>
      <c r="H889" s="158"/>
      <c r="I889" s="158"/>
      <c r="J889" s="158"/>
      <c r="K889" s="158"/>
      <c r="L889" s="158"/>
      <c r="M889" s="158"/>
      <c r="N889" s="158"/>
      <c r="O889" s="158"/>
      <c r="P889" s="158"/>
      <c r="Q889" s="158"/>
    </row>
    <row r="890">
      <c r="D890" s="158"/>
      <c r="E890" s="158"/>
      <c r="F890" s="158"/>
      <c r="G890" s="158"/>
      <c r="H890" s="158"/>
      <c r="I890" s="158"/>
      <c r="J890" s="158"/>
      <c r="K890" s="158"/>
      <c r="L890" s="158"/>
      <c r="M890" s="158"/>
      <c r="N890" s="158"/>
      <c r="O890" s="158"/>
      <c r="P890" s="158"/>
      <c r="Q890" s="158"/>
    </row>
    <row r="891">
      <c r="D891" s="158"/>
      <c r="E891" s="158"/>
      <c r="F891" s="158"/>
      <c r="G891" s="158"/>
      <c r="H891" s="158"/>
      <c r="I891" s="158"/>
      <c r="J891" s="158"/>
      <c r="K891" s="158"/>
      <c r="L891" s="158"/>
      <c r="M891" s="158"/>
      <c r="N891" s="158"/>
      <c r="O891" s="158"/>
      <c r="P891" s="158"/>
      <c r="Q891" s="158"/>
    </row>
    <row r="892">
      <c r="D892" s="158"/>
      <c r="E892" s="158"/>
      <c r="F892" s="158"/>
      <c r="G892" s="158"/>
      <c r="H892" s="158"/>
      <c r="I892" s="158"/>
      <c r="J892" s="158"/>
      <c r="K892" s="158"/>
      <c r="L892" s="158"/>
      <c r="M892" s="158"/>
      <c r="N892" s="158"/>
      <c r="O892" s="158"/>
      <c r="P892" s="158"/>
      <c r="Q892" s="158"/>
    </row>
    <row r="893">
      <c r="D893" s="158"/>
      <c r="E893" s="158"/>
      <c r="F893" s="158"/>
      <c r="G893" s="158"/>
      <c r="H893" s="158"/>
      <c r="I893" s="158"/>
      <c r="J893" s="158"/>
      <c r="K893" s="158"/>
      <c r="L893" s="158"/>
      <c r="M893" s="158"/>
      <c r="N893" s="158"/>
      <c r="O893" s="158"/>
      <c r="P893" s="158"/>
      <c r="Q893" s="158"/>
    </row>
    <row r="894">
      <c r="D894" s="158"/>
      <c r="E894" s="158"/>
      <c r="F894" s="158"/>
      <c r="G894" s="158"/>
      <c r="H894" s="158"/>
      <c r="I894" s="158"/>
      <c r="J894" s="158"/>
      <c r="K894" s="158"/>
      <c r="L894" s="158"/>
      <c r="M894" s="158"/>
      <c r="N894" s="158"/>
      <c r="O894" s="158"/>
      <c r="P894" s="158"/>
      <c r="Q894" s="158"/>
    </row>
    <row r="895">
      <c r="D895" s="158"/>
      <c r="E895" s="158"/>
      <c r="F895" s="158"/>
      <c r="G895" s="158"/>
      <c r="H895" s="158"/>
      <c r="I895" s="158"/>
      <c r="J895" s="158"/>
      <c r="K895" s="158"/>
      <c r="L895" s="158"/>
      <c r="M895" s="158"/>
      <c r="N895" s="158"/>
      <c r="O895" s="158"/>
      <c r="P895" s="158"/>
      <c r="Q895" s="158"/>
    </row>
    <row r="896">
      <c r="D896" s="158"/>
      <c r="E896" s="158"/>
      <c r="F896" s="158"/>
      <c r="G896" s="158"/>
      <c r="H896" s="158"/>
      <c r="I896" s="158"/>
      <c r="J896" s="158"/>
      <c r="K896" s="158"/>
      <c r="L896" s="158"/>
      <c r="M896" s="158"/>
      <c r="N896" s="158"/>
      <c r="O896" s="158"/>
      <c r="P896" s="158"/>
      <c r="Q896" s="158"/>
    </row>
    <row r="897">
      <c r="D897" s="158"/>
      <c r="E897" s="158"/>
      <c r="F897" s="158"/>
      <c r="G897" s="158"/>
      <c r="H897" s="158"/>
      <c r="I897" s="158"/>
      <c r="J897" s="158"/>
      <c r="K897" s="158"/>
      <c r="L897" s="158"/>
      <c r="M897" s="158"/>
      <c r="N897" s="158"/>
      <c r="O897" s="158"/>
      <c r="P897" s="158"/>
      <c r="Q897" s="158"/>
    </row>
    <row r="898">
      <c r="D898" s="158"/>
      <c r="E898" s="158"/>
      <c r="F898" s="158"/>
      <c r="G898" s="158"/>
      <c r="H898" s="158"/>
      <c r="I898" s="158"/>
      <c r="J898" s="158"/>
      <c r="K898" s="158"/>
      <c r="L898" s="158"/>
      <c r="M898" s="158"/>
      <c r="N898" s="158"/>
      <c r="O898" s="158"/>
      <c r="P898" s="158"/>
      <c r="Q898" s="158"/>
    </row>
    <row r="899">
      <c r="D899" s="158"/>
      <c r="E899" s="158"/>
      <c r="F899" s="158"/>
      <c r="G899" s="158"/>
      <c r="H899" s="158"/>
      <c r="I899" s="158"/>
      <c r="J899" s="158"/>
      <c r="K899" s="158"/>
      <c r="L899" s="158"/>
      <c r="M899" s="158"/>
      <c r="N899" s="158"/>
      <c r="O899" s="158"/>
      <c r="P899" s="158"/>
      <c r="Q899" s="158"/>
    </row>
    <row r="900">
      <c r="D900" s="158"/>
      <c r="E900" s="158"/>
      <c r="F900" s="158"/>
      <c r="G900" s="158"/>
      <c r="H900" s="158"/>
      <c r="I900" s="158"/>
      <c r="J900" s="158"/>
      <c r="K900" s="158"/>
      <c r="L900" s="158"/>
      <c r="M900" s="158"/>
      <c r="N900" s="158"/>
      <c r="O900" s="158"/>
      <c r="P900" s="158"/>
      <c r="Q900" s="158"/>
    </row>
    <row r="901">
      <c r="D901" s="158"/>
      <c r="E901" s="158"/>
      <c r="F901" s="158"/>
      <c r="G901" s="158"/>
      <c r="H901" s="158"/>
      <c r="I901" s="158"/>
      <c r="J901" s="158"/>
      <c r="K901" s="158"/>
      <c r="L901" s="158"/>
      <c r="M901" s="158"/>
      <c r="N901" s="158"/>
      <c r="O901" s="158"/>
      <c r="P901" s="158"/>
      <c r="Q901" s="158"/>
    </row>
    <row r="902">
      <c r="D902" s="158"/>
      <c r="E902" s="158"/>
      <c r="F902" s="158"/>
      <c r="G902" s="158"/>
      <c r="H902" s="158"/>
      <c r="I902" s="158"/>
      <c r="J902" s="158"/>
      <c r="K902" s="158"/>
      <c r="L902" s="158"/>
      <c r="M902" s="158"/>
      <c r="N902" s="158"/>
      <c r="O902" s="158"/>
      <c r="P902" s="158"/>
      <c r="Q902" s="158"/>
    </row>
    <row r="903">
      <c r="D903" s="158"/>
      <c r="E903" s="158"/>
      <c r="F903" s="158"/>
      <c r="G903" s="158"/>
      <c r="H903" s="158"/>
      <c r="I903" s="158"/>
      <c r="J903" s="158"/>
      <c r="K903" s="158"/>
      <c r="L903" s="158"/>
      <c r="M903" s="158"/>
      <c r="N903" s="158"/>
      <c r="O903" s="158"/>
      <c r="P903" s="158"/>
      <c r="Q903" s="158"/>
    </row>
    <row r="904">
      <c r="D904" s="158"/>
      <c r="E904" s="158"/>
      <c r="F904" s="158"/>
      <c r="G904" s="158"/>
      <c r="H904" s="158"/>
      <c r="I904" s="158"/>
      <c r="J904" s="158"/>
      <c r="K904" s="158"/>
      <c r="L904" s="158"/>
      <c r="M904" s="158"/>
      <c r="N904" s="158"/>
      <c r="O904" s="158"/>
      <c r="P904" s="158"/>
      <c r="Q904" s="158"/>
    </row>
    <row r="905">
      <c r="D905" s="158"/>
      <c r="E905" s="158"/>
      <c r="F905" s="158"/>
      <c r="G905" s="158"/>
      <c r="H905" s="158"/>
      <c r="I905" s="158"/>
      <c r="J905" s="158"/>
      <c r="K905" s="158"/>
      <c r="L905" s="158"/>
      <c r="M905" s="158"/>
      <c r="N905" s="158"/>
      <c r="O905" s="158"/>
      <c r="P905" s="158"/>
      <c r="Q905" s="158"/>
    </row>
    <row r="906">
      <c r="D906" s="158"/>
      <c r="E906" s="158"/>
      <c r="F906" s="158"/>
      <c r="G906" s="158"/>
      <c r="H906" s="158"/>
      <c r="I906" s="158"/>
      <c r="J906" s="158"/>
      <c r="K906" s="158"/>
      <c r="L906" s="158"/>
      <c r="M906" s="158"/>
      <c r="N906" s="158"/>
      <c r="O906" s="158"/>
      <c r="P906" s="158"/>
      <c r="Q906" s="158"/>
    </row>
    <row r="907">
      <c r="D907" s="158"/>
      <c r="E907" s="158"/>
      <c r="F907" s="158"/>
      <c r="G907" s="158"/>
      <c r="H907" s="158"/>
      <c r="I907" s="158"/>
      <c r="J907" s="158"/>
      <c r="K907" s="158"/>
      <c r="L907" s="158"/>
      <c r="M907" s="158"/>
      <c r="N907" s="158"/>
      <c r="O907" s="158"/>
      <c r="P907" s="158"/>
      <c r="Q907" s="158"/>
    </row>
    <row r="908">
      <c r="D908" s="158"/>
      <c r="E908" s="158"/>
      <c r="F908" s="158"/>
      <c r="G908" s="158"/>
      <c r="H908" s="158"/>
      <c r="I908" s="158"/>
      <c r="J908" s="158"/>
      <c r="K908" s="158"/>
      <c r="L908" s="158"/>
      <c r="M908" s="158"/>
      <c r="N908" s="158"/>
      <c r="O908" s="158"/>
      <c r="P908" s="158"/>
      <c r="Q908" s="158"/>
    </row>
    <row r="909">
      <c r="D909" s="158"/>
      <c r="E909" s="158"/>
      <c r="F909" s="158"/>
      <c r="G909" s="158"/>
      <c r="H909" s="158"/>
      <c r="I909" s="158"/>
      <c r="J909" s="158"/>
      <c r="K909" s="158"/>
      <c r="L909" s="158"/>
      <c r="M909" s="158"/>
      <c r="N909" s="158"/>
      <c r="O909" s="158"/>
      <c r="P909" s="158"/>
      <c r="Q909" s="158"/>
    </row>
    <row r="910">
      <c r="D910" s="158"/>
      <c r="E910" s="158"/>
      <c r="F910" s="158"/>
      <c r="G910" s="158"/>
      <c r="H910" s="158"/>
      <c r="I910" s="158"/>
      <c r="J910" s="158"/>
      <c r="K910" s="158"/>
      <c r="L910" s="158"/>
      <c r="M910" s="158"/>
      <c r="N910" s="158"/>
      <c r="O910" s="158"/>
      <c r="P910" s="158"/>
      <c r="Q910" s="158"/>
    </row>
    <row r="911">
      <c r="D911" s="158"/>
      <c r="E911" s="158"/>
      <c r="F911" s="158"/>
      <c r="G911" s="158"/>
      <c r="H911" s="158"/>
      <c r="I911" s="158"/>
      <c r="J911" s="158"/>
      <c r="K911" s="158"/>
      <c r="L911" s="158"/>
      <c r="M911" s="158"/>
      <c r="N911" s="158"/>
      <c r="O911" s="158"/>
      <c r="P911" s="158"/>
      <c r="Q911" s="158"/>
    </row>
    <row r="912">
      <c r="D912" s="158"/>
      <c r="E912" s="158"/>
      <c r="F912" s="158"/>
      <c r="G912" s="158"/>
      <c r="H912" s="158"/>
      <c r="I912" s="158"/>
      <c r="J912" s="158"/>
      <c r="K912" s="158"/>
      <c r="L912" s="158"/>
      <c r="M912" s="158"/>
      <c r="N912" s="158"/>
      <c r="O912" s="158"/>
      <c r="P912" s="158"/>
      <c r="Q912" s="158"/>
    </row>
    <row r="913">
      <c r="D913" s="158"/>
      <c r="E913" s="158"/>
      <c r="F913" s="158"/>
      <c r="G913" s="158"/>
      <c r="H913" s="158"/>
      <c r="I913" s="158"/>
      <c r="J913" s="158"/>
      <c r="K913" s="158"/>
      <c r="L913" s="158"/>
      <c r="M913" s="158"/>
      <c r="N913" s="158"/>
      <c r="O913" s="158"/>
      <c r="P913" s="158"/>
      <c r="Q913" s="158"/>
    </row>
    <row r="914">
      <c r="D914" s="158"/>
      <c r="E914" s="158"/>
      <c r="F914" s="158"/>
      <c r="G914" s="158"/>
      <c r="H914" s="158"/>
      <c r="I914" s="158"/>
      <c r="J914" s="158"/>
      <c r="K914" s="158"/>
      <c r="L914" s="158"/>
      <c r="M914" s="158"/>
      <c r="N914" s="158"/>
      <c r="O914" s="158"/>
      <c r="P914" s="158"/>
      <c r="Q914" s="158"/>
    </row>
    <row r="915">
      <c r="D915" s="158"/>
      <c r="E915" s="158"/>
      <c r="F915" s="158"/>
      <c r="G915" s="158"/>
      <c r="H915" s="158"/>
      <c r="I915" s="158"/>
      <c r="J915" s="158"/>
      <c r="K915" s="158"/>
      <c r="L915" s="158"/>
      <c r="M915" s="158"/>
      <c r="N915" s="158"/>
      <c r="O915" s="158"/>
      <c r="P915" s="158"/>
      <c r="Q915" s="158"/>
    </row>
    <row r="916">
      <c r="D916" s="158"/>
      <c r="E916" s="158"/>
      <c r="F916" s="158"/>
      <c r="G916" s="158"/>
      <c r="H916" s="158"/>
      <c r="I916" s="158"/>
      <c r="J916" s="158"/>
      <c r="K916" s="158"/>
      <c r="L916" s="158"/>
      <c r="M916" s="158"/>
      <c r="N916" s="158"/>
      <c r="O916" s="158"/>
      <c r="P916" s="158"/>
      <c r="Q916" s="158"/>
    </row>
    <row r="917">
      <c r="D917" s="158"/>
      <c r="E917" s="158"/>
      <c r="F917" s="158"/>
      <c r="G917" s="158"/>
      <c r="H917" s="158"/>
      <c r="I917" s="158"/>
      <c r="J917" s="158"/>
      <c r="K917" s="158"/>
      <c r="L917" s="158"/>
      <c r="M917" s="158"/>
      <c r="N917" s="158"/>
      <c r="O917" s="158"/>
      <c r="P917" s="158"/>
      <c r="Q917" s="158"/>
    </row>
    <row r="918">
      <c r="D918" s="158"/>
      <c r="E918" s="158"/>
      <c r="F918" s="158"/>
      <c r="G918" s="158"/>
      <c r="H918" s="158"/>
      <c r="I918" s="158"/>
      <c r="J918" s="158"/>
      <c r="K918" s="158"/>
      <c r="L918" s="158"/>
      <c r="M918" s="158"/>
      <c r="N918" s="158"/>
      <c r="O918" s="158"/>
      <c r="P918" s="158"/>
      <c r="Q918" s="158"/>
    </row>
    <row r="919">
      <c r="D919" s="158"/>
      <c r="E919" s="158"/>
      <c r="F919" s="158"/>
      <c r="G919" s="158"/>
      <c r="H919" s="158"/>
      <c r="I919" s="158"/>
      <c r="J919" s="158"/>
      <c r="K919" s="158"/>
      <c r="L919" s="158"/>
      <c r="M919" s="158"/>
      <c r="N919" s="158"/>
      <c r="O919" s="158"/>
      <c r="P919" s="158"/>
      <c r="Q919" s="158"/>
    </row>
    <row r="920">
      <c r="D920" s="158"/>
      <c r="E920" s="158"/>
      <c r="F920" s="158"/>
      <c r="G920" s="158"/>
      <c r="H920" s="158"/>
      <c r="I920" s="158"/>
      <c r="J920" s="158"/>
      <c r="K920" s="158"/>
      <c r="L920" s="158"/>
      <c r="M920" s="158"/>
      <c r="N920" s="158"/>
      <c r="O920" s="158"/>
      <c r="P920" s="158"/>
      <c r="Q920" s="158"/>
    </row>
    <row r="921">
      <c r="D921" s="158"/>
      <c r="E921" s="158"/>
      <c r="F921" s="158"/>
      <c r="G921" s="158"/>
      <c r="H921" s="158"/>
      <c r="I921" s="158"/>
      <c r="J921" s="158"/>
      <c r="K921" s="158"/>
      <c r="L921" s="158"/>
      <c r="M921" s="158"/>
      <c r="N921" s="158"/>
      <c r="O921" s="158"/>
      <c r="P921" s="158"/>
      <c r="Q921" s="158"/>
    </row>
    <row r="922">
      <c r="D922" s="158"/>
      <c r="E922" s="158"/>
      <c r="F922" s="158"/>
      <c r="G922" s="158"/>
      <c r="H922" s="158"/>
      <c r="I922" s="158"/>
      <c r="J922" s="158"/>
      <c r="K922" s="158"/>
      <c r="L922" s="158"/>
      <c r="M922" s="158"/>
      <c r="N922" s="158"/>
      <c r="O922" s="158"/>
      <c r="P922" s="158"/>
      <c r="Q922" s="158"/>
    </row>
    <row r="923">
      <c r="D923" s="158"/>
      <c r="E923" s="158"/>
      <c r="F923" s="158"/>
      <c r="G923" s="158"/>
      <c r="H923" s="158"/>
      <c r="I923" s="158"/>
      <c r="J923" s="158"/>
      <c r="K923" s="158"/>
      <c r="L923" s="158"/>
      <c r="M923" s="158"/>
      <c r="N923" s="158"/>
      <c r="O923" s="158"/>
      <c r="P923" s="158"/>
      <c r="Q923" s="158"/>
    </row>
    <row r="924">
      <c r="D924" s="158"/>
      <c r="E924" s="158"/>
      <c r="F924" s="158"/>
      <c r="G924" s="158"/>
      <c r="H924" s="158"/>
      <c r="I924" s="158"/>
      <c r="J924" s="158"/>
      <c r="K924" s="158"/>
      <c r="L924" s="158"/>
      <c r="M924" s="158"/>
      <c r="N924" s="158"/>
      <c r="O924" s="158"/>
      <c r="P924" s="158"/>
      <c r="Q924" s="158"/>
    </row>
    <row r="925">
      <c r="D925" s="158"/>
      <c r="E925" s="158"/>
      <c r="F925" s="158"/>
      <c r="G925" s="158"/>
      <c r="H925" s="158"/>
      <c r="I925" s="158"/>
      <c r="J925" s="158"/>
      <c r="K925" s="158"/>
      <c r="L925" s="158"/>
      <c r="M925" s="158"/>
      <c r="N925" s="158"/>
      <c r="O925" s="158"/>
      <c r="P925" s="158"/>
      <c r="Q925" s="158"/>
    </row>
    <row r="926">
      <c r="D926" s="158"/>
      <c r="E926" s="158"/>
      <c r="F926" s="158"/>
      <c r="G926" s="158"/>
      <c r="H926" s="158"/>
      <c r="I926" s="158"/>
      <c r="J926" s="158"/>
      <c r="K926" s="158"/>
      <c r="L926" s="158"/>
      <c r="M926" s="158"/>
      <c r="N926" s="158"/>
      <c r="O926" s="158"/>
      <c r="P926" s="158"/>
      <c r="Q926" s="158"/>
    </row>
    <row r="927">
      <c r="D927" s="158"/>
      <c r="E927" s="158"/>
      <c r="F927" s="158"/>
      <c r="G927" s="158"/>
      <c r="H927" s="158"/>
      <c r="I927" s="158"/>
      <c r="J927" s="158"/>
      <c r="K927" s="158"/>
      <c r="L927" s="158"/>
      <c r="M927" s="158"/>
      <c r="N927" s="158"/>
      <c r="O927" s="158"/>
      <c r="P927" s="158"/>
      <c r="Q927" s="158"/>
    </row>
    <row r="928">
      <c r="D928" s="158"/>
      <c r="E928" s="158"/>
      <c r="F928" s="158"/>
      <c r="G928" s="158"/>
      <c r="H928" s="158"/>
      <c r="I928" s="158"/>
      <c r="J928" s="158"/>
      <c r="K928" s="158"/>
      <c r="L928" s="158"/>
      <c r="M928" s="158"/>
      <c r="N928" s="158"/>
      <c r="O928" s="158"/>
      <c r="P928" s="158"/>
      <c r="Q928" s="158"/>
    </row>
    <row r="929">
      <c r="D929" s="158"/>
      <c r="E929" s="158"/>
      <c r="F929" s="158"/>
      <c r="G929" s="158"/>
      <c r="H929" s="158"/>
      <c r="I929" s="158"/>
      <c r="J929" s="158"/>
      <c r="K929" s="158"/>
      <c r="L929" s="158"/>
      <c r="M929" s="158"/>
      <c r="N929" s="158"/>
      <c r="O929" s="158"/>
      <c r="P929" s="158"/>
      <c r="Q929" s="158"/>
    </row>
    <row r="930">
      <c r="D930" s="158"/>
      <c r="E930" s="158"/>
      <c r="F930" s="158"/>
      <c r="G930" s="158"/>
      <c r="H930" s="158"/>
      <c r="I930" s="158"/>
      <c r="J930" s="158"/>
      <c r="K930" s="158"/>
      <c r="L930" s="158"/>
      <c r="M930" s="158"/>
      <c r="N930" s="158"/>
      <c r="O930" s="158"/>
      <c r="P930" s="158"/>
      <c r="Q930" s="158"/>
    </row>
    <row r="931">
      <c r="D931" s="158"/>
      <c r="E931" s="158"/>
      <c r="F931" s="158"/>
      <c r="G931" s="158"/>
      <c r="H931" s="158"/>
      <c r="I931" s="158"/>
      <c r="J931" s="158"/>
      <c r="K931" s="158"/>
      <c r="L931" s="158"/>
      <c r="M931" s="158"/>
      <c r="N931" s="158"/>
      <c r="O931" s="158"/>
      <c r="P931" s="158"/>
      <c r="Q931" s="158"/>
    </row>
    <row r="932">
      <c r="D932" s="158"/>
      <c r="E932" s="158"/>
      <c r="F932" s="158"/>
      <c r="G932" s="158"/>
      <c r="H932" s="158"/>
      <c r="I932" s="158"/>
      <c r="J932" s="158"/>
      <c r="K932" s="158"/>
      <c r="L932" s="158"/>
      <c r="M932" s="158"/>
      <c r="N932" s="158"/>
      <c r="O932" s="158"/>
      <c r="P932" s="158"/>
      <c r="Q932" s="158"/>
    </row>
    <row r="933">
      <c r="D933" s="158"/>
      <c r="E933" s="158"/>
      <c r="F933" s="158"/>
      <c r="G933" s="158"/>
      <c r="H933" s="158"/>
      <c r="I933" s="158"/>
      <c r="J933" s="158"/>
      <c r="K933" s="158"/>
      <c r="L933" s="158"/>
      <c r="M933" s="158"/>
      <c r="N933" s="158"/>
      <c r="O933" s="158"/>
      <c r="P933" s="158"/>
      <c r="Q933" s="158"/>
    </row>
    <row r="934">
      <c r="D934" s="158"/>
      <c r="E934" s="158"/>
      <c r="F934" s="158"/>
      <c r="G934" s="158"/>
      <c r="H934" s="158"/>
      <c r="I934" s="158"/>
      <c r="J934" s="158"/>
      <c r="K934" s="158"/>
      <c r="L934" s="158"/>
      <c r="M934" s="158"/>
      <c r="N934" s="158"/>
      <c r="O934" s="158"/>
      <c r="P934" s="158"/>
      <c r="Q934" s="158"/>
    </row>
    <row r="935">
      <c r="D935" s="158"/>
      <c r="E935" s="158"/>
      <c r="F935" s="158"/>
      <c r="G935" s="158"/>
      <c r="H935" s="158"/>
      <c r="I935" s="158"/>
      <c r="J935" s="158"/>
      <c r="K935" s="158"/>
      <c r="L935" s="158"/>
      <c r="M935" s="158"/>
      <c r="N935" s="158"/>
      <c r="O935" s="158"/>
      <c r="P935" s="158"/>
      <c r="Q935" s="158"/>
    </row>
    <row r="936">
      <c r="D936" s="158"/>
      <c r="E936" s="158"/>
      <c r="F936" s="158"/>
      <c r="G936" s="158"/>
      <c r="H936" s="158"/>
      <c r="I936" s="158"/>
      <c r="J936" s="158"/>
      <c r="K936" s="158"/>
      <c r="L936" s="158"/>
      <c r="M936" s="158"/>
      <c r="N936" s="158"/>
      <c r="O936" s="158"/>
      <c r="P936" s="158"/>
      <c r="Q936" s="158"/>
    </row>
    <row r="937">
      <c r="D937" s="158"/>
      <c r="E937" s="158"/>
      <c r="F937" s="158"/>
      <c r="G937" s="158"/>
      <c r="H937" s="158"/>
      <c r="I937" s="158"/>
      <c r="J937" s="158"/>
      <c r="K937" s="158"/>
      <c r="L937" s="158"/>
      <c r="M937" s="158"/>
      <c r="N937" s="158"/>
      <c r="O937" s="158"/>
      <c r="P937" s="158"/>
      <c r="Q937" s="158"/>
    </row>
    <row r="938">
      <c r="D938" s="158"/>
      <c r="E938" s="158"/>
      <c r="F938" s="158"/>
      <c r="G938" s="158"/>
      <c r="H938" s="158"/>
      <c r="I938" s="158"/>
      <c r="J938" s="158"/>
      <c r="K938" s="158"/>
      <c r="L938" s="158"/>
      <c r="M938" s="158"/>
      <c r="N938" s="158"/>
      <c r="O938" s="158"/>
      <c r="P938" s="158"/>
      <c r="Q938" s="158"/>
    </row>
    <row r="939">
      <c r="D939" s="158"/>
      <c r="E939" s="158"/>
      <c r="F939" s="158"/>
      <c r="G939" s="158"/>
      <c r="H939" s="158"/>
      <c r="I939" s="158"/>
      <c r="J939" s="158"/>
      <c r="K939" s="158"/>
      <c r="L939" s="158"/>
      <c r="M939" s="158"/>
      <c r="N939" s="158"/>
      <c r="O939" s="158"/>
      <c r="P939" s="158"/>
      <c r="Q939" s="158"/>
    </row>
    <row r="940">
      <c r="D940" s="158"/>
      <c r="E940" s="158"/>
      <c r="F940" s="158"/>
      <c r="G940" s="158"/>
      <c r="H940" s="158"/>
      <c r="I940" s="158"/>
      <c r="J940" s="158"/>
      <c r="K940" s="158"/>
      <c r="L940" s="158"/>
      <c r="M940" s="158"/>
      <c r="N940" s="158"/>
      <c r="O940" s="158"/>
      <c r="P940" s="158"/>
      <c r="Q940" s="158"/>
    </row>
    <row r="941">
      <c r="D941" s="158"/>
      <c r="E941" s="158"/>
      <c r="F941" s="158"/>
      <c r="G941" s="158"/>
      <c r="H941" s="158"/>
      <c r="I941" s="158"/>
      <c r="J941" s="158"/>
      <c r="K941" s="158"/>
      <c r="L941" s="158"/>
      <c r="M941" s="158"/>
      <c r="N941" s="158"/>
      <c r="O941" s="158"/>
      <c r="P941" s="158"/>
      <c r="Q941" s="158"/>
    </row>
    <row r="942">
      <c r="D942" s="158"/>
      <c r="E942" s="158"/>
      <c r="F942" s="158"/>
      <c r="G942" s="158"/>
      <c r="H942" s="158"/>
      <c r="I942" s="158"/>
      <c r="J942" s="158"/>
      <c r="K942" s="158"/>
      <c r="L942" s="158"/>
      <c r="M942" s="158"/>
      <c r="N942" s="158"/>
      <c r="O942" s="158"/>
      <c r="P942" s="158"/>
      <c r="Q942" s="158"/>
    </row>
    <row r="943">
      <c r="D943" s="158"/>
      <c r="E943" s="158"/>
      <c r="F943" s="158"/>
      <c r="G943" s="158"/>
      <c r="H943" s="158"/>
      <c r="I943" s="158"/>
      <c r="J943" s="158"/>
      <c r="K943" s="158"/>
      <c r="L943" s="158"/>
      <c r="M943" s="158"/>
      <c r="N943" s="158"/>
      <c r="O943" s="158"/>
      <c r="P943" s="158"/>
      <c r="Q943" s="158"/>
    </row>
    <row r="944">
      <c r="D944" s="158"/>
      <c r="E944" s="158"/>
      <c r="F944" s="158"/>
      <c r="G944" s="158"/>
      <c r="H944" s="158"/>
      <c r="I944" s="158"/>
      <c r="J944" s="158"/>
      <c r="K944" s="158"/>
      <c r="L944" s="158"/>
      <c r="M944" s="158"/>
      <c r="N944" s="158"/>
      <c r="O944" s="158"/>
      <c r="P944" s="158"/>
      <c r="Q944" s="158"/>
    </row>
    <row r="945">
      <c r="D945" s="158"/>
      <c r="E945" s="158"/>
      <c r="F945" s="158"/>
      <c r="G945" s="158"/>
      <c r="H945" s="158"/>
      <c r="I945" s="158"/>
      <c r="J945" s="158"/>
      <c r="K945" s="158"/>
      <c r="L945" s="158"/>
      <c r="M945" s="158"/>
      <c r="N945" s="158"/>
      <c r="O945" s="158"/>
      <c r="P945" s="158"/>
      <c r="Q945" s="158"/>
    </row>
    <row r="946">
      <c r="D946" s="158"/>
      <c r="E946" s="158"/>
      <c r="F946" s="158"/>
      <c r="G946" s="158"/>
      <c r="H946" s="158"/>
      <c r="I946" s="158"/>
      <c r="J946" s="158"/>
      <c r="K946" s="158"/>
      <c r="L946" s="158"/>
      <c r="M946" s="158"/>
      <c r="N946" s="158"/>
      <c r="O946" s="158"/>
      <c r="P946" s="158"/>
      <c r="Q946" s="158"/>
    </row>
    <row r="947">
      <c r="D947" s="158"/>
      <c r="E947" s="158"/>
      <c r="F947" s="158"/>
      <c r="G947" s="158"/>
      <c r="H947" s="158"/>
      <c r="I947" s="158"/>
      <c r="J947" s="158"/>
      <c r="K947" s="158"/>
      <c r="L947" s="158"/>
      <c r="M947" s="158"/>
      <c r="N947" s="158"/>
      <c r="O947" s="158"/>
      <c r="P947" s="158"/>
      <c r="Q947" s="158"/>
    </row>
    <row r="948">
      <c r="D948" s="158"/>
      <c r="E948" s="158"/>
      <c r="F948" s="158"/>
      <c r="G948" s="158"/>
      <c r="H948" s="158"/>
      <c r="I948" s="158"/>
      <c r="J948" s="158"/>
      <c r="K948" s="158"/>
      <c r="L948" s="158"/>
      <c r="M948" s="158"/>
      <c r="N948" s="158"/>
      <c r="O948" s="158"/>
      <c r="P948" s="158"/>
      <c r="Q948" s="158"/>
    </row>
    <row r="949">
      <c r="D949" s="158"/>
      <c r="E949" s="158"/>
      <c r="F949" s="158"/>
      <c r="G949" s="158"/>
      <c r="H949" s="158"/>
      <c r="I949" s="158"/>
      <c r="J949" s="158"/>
      <c r="K949" s="158"/>
      <c r="L949" s="158"/>
      <c r="M949" s="158"/>
      <c r="N949" s="158"/>
      <c r="O949" s="158"/>
      <c r="P949" s="158"/>
      <c r="Q949" s="158"/>
    </row>
    <row r="950">
      <c r="D950" s="158"/>
      <c r="E950" s="158"/>
      <c r="F950" s="158"/>
      <c r="G950" s="158"/>
      <c r="H950" s="158"/>
      <c r="I950" s="158"/>
      <c r="J950" s="158"/>
      <c r="K950" s="158"/>
      <c r="L950" s="158"/>
      <c r="M950" s="158"/>
      <c r="N950" s="158"/>
      <c r="O950" s="158"/>
      <c r="P950" s="158"/>
      <c r="Q950" s="158"/>
    </row>
    <row r="951">
      <c r="D951" s="158"/>
      <c r="E951" s="158"/>
      <c r="F951" s="158"/>
      <c r="G951" s="158"/>
      <c r="H951" s="158"/>
      <c r="I951" s="158"/>
      <c r="J951" s="158"/>
      <c r="K951" s="158"/>
      <c r="L951" s="158"/>
      <c r="M951" s="158"/>
      <c r="N951" s="158"/>
      <c r="O951" s="158"/>
      <c r="P951" s="158"/>
      <c r="Q951" s="158"/>
    </row>
    <row r="952">
      <c r="D952" s="158"/>
      <c r="E952" s="158"/>
      <c r="F952" s="158"/>
      <c r="G952" s="158"/>
      <c r="H952" s="158"/>
      <c r="I952" s="158"/>
      <c r="J952" s="158"/>
      <c r="K952" s="158"/>
      <c r="L952" s="158"/>
      <c r="M952" s="158"/>
      <c r="N952" s="158"/>
      <c r="O952" s="158"/>
      <c r="P952" s="158"/>
      <c r="Q952" s="158"/>
    </row>
    <row r="953">
      <c r="D953" s="158"/>
      <c r="E953" s="158"/>
      <c r="F953" s="158"/>
      <c r="G953" s="158"/>
      <c r="H953" s="158"/>
      <c r="I953" s="158"/>
      <c r="J953" s="158"/>
      <c r="K953" s="158"/>
      <c r="L953" s="158"/>
      <c r="M953" s="158"/>
      <c r="N953" s="158"/>
      <c r="O953" s="158"/>
      <c r="P953" s="158"/>
      <c r="Q953" s="158"/>
    </row>
    <row r="954">
      <c r="D954" s="158"/>
      <c r="E954" s="158"/>
      <c r="F954" s="158"/>
      <c r="G954" s="158"/>
      <c r="H954" s="158"/>
      <c r="I954" s="158"/>
      <c r="J954" s="158"/>
      <c r="K954" s="158"/>
      <c r="L954" s="158"/>
      <c r="M954" s="158"/>
      <c r="N954" s="158"/>
      <c r="O954" s="158"/>
      <c r="P954" s="158"/>
      <c r="Q954" s="158"/>
    </row>
    <row r="955">
      <c r="D955" s="158"/>
      <c r="E955" s="158"/>
      <c r="F955" s="158"/>
      <c r="G955" s="158"/>
      <c r="H955" s="158"/>
      <c r="I955" s="158"/>
      <c r="J955" s="158"/>
      <c r="K955" s="158"/>
      <c r="L955" s="158"/>
      <c r="M955" s="158"/>
      <c r="N955" s="158"/>
      <c r="O955" s="158"/>
      <c r="P955" s="158"/>
      <c r="Q955" s="158"/>
    </row>
    <row r="956">
      <c r="D956" s="158"/>
      <c r="E956" s="158"/>
      <c r="F956" s="158"/>
      <c r="G956" s="158"/>
      <c r="H956" s="158"/>
      <c r="I956" s="158"/>
      <c r="J956" s="158"/>
      <c r="K956" s="158"/>
      <c r="L956" s="158"/>
      <c r="M956" s="158"/>
      <c r="N956" s="158"/>
      <c r="O956" s="158"/>
      <c r="P956" s="158"/>
      <c r="Q956" s="158"/>
    </row>
    <row r="957">
      <c r="D957" s="158"/>
      <c r="E957" s="158"/>
      <c r="F957" s="158"/>
      <c r="G957" s="158"/>
      <c r="H957" s="158"/>
      <c r="I957" s="158"/>
      <c r="J957" s="158"/>
      <c r="K957" s="158"/>
      <c r="L957" s="158"/>
      <c r="M957" s="158"/>
      <c r="N957" s="158"/>
      <c r="O957" s="158"/>
      <c r="P957" s="158"/>
      <c r="Q957" s="158"/>
    </row>
    <row r="958">
      <c r="D958" s="158"/>
      <c r="E958" s="158"/>
      <c r="F958" s="158"/>
      <c r="G958" s="158"/>
      <c r="H958" s="158"/>
      <c r="I958" s="158"/>
      <c r="J958" s="158"/>
      <c r="K958" s="158"/>
      <c r="L958" s="158"/>
      <c r="M958" s="158"/>
      <c r="N958" s="158"/>
      <c r="O958" s="158"/>
      <c r="P958" s="158"/>
      <c r="Q958" s="158"/>
    </row>
    <row r="959">
      <c r="D959" s="158"/>
      <c r="E959" s="158"/>
      <c r="F959" s="158"/>
      <c r="G959" s="158"/>
      <c r="H959" s="158"/>
      <c r="I959" s="158"/>
      <c r="J959" s="158"/>
      <c r="K959" s="158"/>
      <c r="L959" s="158"/>
      <c r="M959" s="158"/>
      <c r="N959" s="158"/>
      <c r="O959" s="158"/>
      <c r="P959" s="158"/>
      <c r="Q959" s="158"/>
    </row>
    <row r="960">
      <c r="D960" s="158"/>
      <c r="E960" s="158"/>
      <c r="F960" s="158"/>
      <c r="G960" s="158"/>
      <c r="H960" s="158"/>
      <c r="I960" s="158"/>
      <c r="J960" s="158"/>
      <c r="K960" s="158"/>
      <c r="L960" s="158"/>
      <c r="M960" s="158"/>
      <c r="N960" s="158"/>
      <c r="O960" s="158"/>
      <c r="P960" s="158"/>
      <c r="Q960" s="158"/>
    </row>
    <row r="961">
      <c r="D961" s="158"/>
      <c r="E961" s="158"/>
      <c r="F961" s="158"/>
      <c r="G961" s="158"/>
      <c r="H961" s="158"/>
      <c r="I961" s="158"/>
      <c r="J961" s="158"/>
      <c r="K961" s="158"/>
      <c r="L961" s="158"/>
      <c r="M961" s="158"/>
      <c r="N961" s="158"/>
      <c r="O961" s="158"/>
      <c r="P961" s="158"/>
      <c r="Q961" s="158"/>
    </row>
    <row r="962">
      <c r="D962" s="158"/>
      <c r="E962" s="158"/>
      <c r="F962" s="158"/>
      <c r="G962" s="158"/>
      <c r="H962" s="158"/>
      <c r="I962" s="158"/>
      <c r="J962" s="158"/>
      <c r="K962" s="158"/>
      <c r="L962" s="158"/>
      <c r="M962" s="158"/>
      <c r="N962" s="158"/>
      <c r="O962" s="158"/>
      <c r="P962" s="158"/>
      <c r="Q962" s="158"/>
    </row>
    <row r="963">
      <c r="D963" s="158"/>
      <c r="E963" s="158"/>
      <c r="F963" s="158"/>
      <c r="G963" s="158"/>
      <c r="H963" s="158"/>
      <c r="I963" s="158"/>
      <c r="J963" s="158"/>
      <c r="K963" s="158"/>
      <c r="L963" s="158"/>
      <c r="M963" s="158"/>
      <c r="N963" s="158"/>
      <c r="O963" s="158"/>
      <c r="P963" s="158"/>
      <c r="Q963" s="158"/>
    </row>
    <row r="964">
      <c r="D964" s="158"/>
      <c r="E964" s="158"/>
      <c r="F964" s="158"/>
      <c r="G964" s="158"/>
      <c r="H964" s="158"/>
      <c r="I964" s="158"/>
      <c r="J964" s="158"/>
      <c r="K964" s="158"/>
      <c r="L964" s="158"/>
      <c r="M964" s="158"/>
      <c r="N964" s="158"/>
      <c r="O964" s="158"/>
      <c r="P964" s="158"/>
      <c r="Q964" s="158"/>
    </row>
    <row r="965">
      <c r="D965" s="158"/>
      <c r="E965" s="158"/>
      <c r="F965" s="158"/>
      <c r="G965" s="158"/>
      <c r="H965" s="158"/>
      <c r="I965" s="158"/>
      <c r="J965" s="158"/>
      <c r="K965" s="158"/>
      <c r="L965" s="158"/>
      <c r="M965" s="158"/>
      <c r="N965" s="158"/>
      <c r="O965" s="158"/>
      <c r="P965" s="158"/>
      <c r="Q965" s="158"/>
    </row>
    <row r="966">
      <c r="D966" s="158"/>
      <c r="E966" s="158"/>
      <c r="F966" s="158"/>
      <c r="G966" s="158"/>
      <c r="H966" s="158"/>
      <c r="I966" s="158"/>
      <c r="J966" s="158"/>
      <c r="K966" s="158"/>
      <c r="L966" s="158"/>
      <c r="M966" s="158"/>
      <c r="N966" s="158"/>
      <c r="O966" s="158"/>
      <c r="P966" s="158"/>
      <c r="Q966" s="158"/>
    </row>
    <row r="967">
      <c r="D967" s="158"/>
      <c r="E967" s="158"/>
      <c r="F967" s="158"/>
      <c r="G967" s="158"/>
      <c r="H967" s="158"/>
      <c r="I967" s="158"/>
      <c r="J967" s="158"/>
      <c r="K967" s="158"/>
      <c r="L967" s="158"/>
      <c r="M967" s="158"/>
      <c r="N967" s="158"/>
      <c r="O967" s="158"/>
      <c r="P967" s="158"/>
      <c r="Q967" s="158"/>
    </row>
    <row r="968">
      <c r="D968" s="158"/>
      <c r="E968" s="158"/>
      <c r="F968" s="158"/>
      <c r="G968" s="158"/>
      <c r="H968" s="158"/>
      <c r="I968" s="158"/>
      <c r="J968" s="158"/>
      <c r="K968" s="158"/>
      <c r="L968" s="158"/>
      <c r="M968" s="158"/>
      <c r="N968" s="158"/>
      <c r="O968" s="158"/>
      <c r="P968" s="158"/>
      <c r="Q968" s="158"/>
    </row>
    <row r="969">
      <c r="D969" s="158"/>
      <c r="E969" s="158"/>
      <c r="F969" s="158"/>
      <c r="G969" s="158"/>
      <c r="H969" s="158"/>
      <c r="I969" s="158"/>
      <c r="J969" s="158"/>
      <c r="K969" s="158"/>
      <c r="L969" s="158"/>
      <c r="M969" s="158"/>
      <c r="N969" s="158"/>
      <c r="O969" s="158"/>
      <c r="P969" s="158"/>
      <c r="Q969" s="158"/>
    </row>
    <row r="970">
      <c r="D970" s="158"/>
      <c r="E970" s="158"/>
      <c r="F970" s="158"/>
      <c r="G970" s="158"/>
      <c r="H970" s="158"/>
      <c r="I970" s="158"/>
      <c r="J970" s="158"/>
      <c r="K970" s="158"/>
      <c r="L970" s="158"/>
      <c r="M970" s="158"/>
      <c r="N970" s="158"/>
      <c r="O970" s="158"/>
      <c r="P970" s="158"/>
      <c r="Q970" s="158"/>
    </row>
    <row r="971">
      <c r="D971" s="158"/>
      <c r="E971" s="158"/>
      <c r="F971" s="158"/>
      <c r="G971" s="158"/>
      <c r="H971" s="158"/>
      <c r="I971" s="158"/>
      <c r="J971" s="158"/>
      <c r="K971" s="158"/>
      <c r="L971" s="158"/>
      <c r="M971" s="158"/>
      <c r="N971" s="158"/>
      <c r="O971" s="158"/>
      <c r="P971" s="158"/>
      <c r="Q971" s="158"/>
    </row>
    <row r="972">
      <c r="D972" s="158"/>
      <c r="E972" s="158"/>
      <c r="F972" s="158"/>
      <c r="G972" s="158"/>
      <c r="H972" s="158"/>
      <c r="I972" s="158"/>
      <c r="J972" s="158"/>
      <c r="K972" s="158"/>
      <c r="L972" s="158"/>
      <c r="M972" s="158"/>
      <c r="N972" s="158"/>
      <c r="O972" s="158"/>
      <c r="P972" s="158"/>
      <c r="Q972" s="158"/>
    </row>
    <row r="973">
      <c r="D973" s="158"/>
      <c r="E973" s="158"/>
      <c r="F973" s="158"/>
      <c r="G973" s="158"/>
      <c r="H973" s="158"/>
      <c r="I973" s="158"/>
      <c r="J973" s="158"/>
      <c r="K973" s="158"/>
      <c r="L973" s="158"/>
      <c r="M973" s="158"/>
      <c r="N973" s="158"/>
      <c r="O973" s="158"/>
      <c r="P973" s="158"/>
      <c r="Q973" s="158"/>
    </row>
    <row r="974">
      <c r="D974" s="158"/>
      <c r="E974" s="158"/>
      <c r="F974" s="158"/>
      <c r="G974" s="158"/>
      <c r="H974" s="158"/>
      <c r="I974" s="158"/>
      <c r="J974" s="158"/>
      <c r="K974" s="158"/>
      <c r="L974" s="158"/>
      <c r="M974" s="158"/>
      <c r="N974" s="158"/>
      <c r="O974" s="158"/>
      <c r="P974" s="158"/>
      <c r="Q974" s="158"/>
    </row>
    <row r="975">
      <c r="D975" s="158"/>
      <c r="E975" s="158"/>
      <c r="F975" s="158"/>
      <c r="G975" s="158"/>
      <c r="H975" s="158"/>
      <c r="I975" s="158"/>
      <c r="J975" s="158"/>
      <c r="K975" s="158"/>
      <c r="L975" s="158"/>
      <c r="M975" s="158"/>
      <c r="N975" s="158"/>
      <c r="O975" s="158"/>
      <c r="P975" s="158"/>
      <c r="Q975" s="158"/>
    </row>
    <row r="976">
      <c r="D976" s="158"/>
      <c r="E976" s="158"/>
      <c r="F976" s="158"/>
      <c r="G976" s="158"/>
      <c r="H976" s="158"/>
      <c r="I976" s="158"/>
      <c r="J976" s="158"/>
      <c r="K976" s="158"/>
      <c r="L976" s="158"/>
      <c r="M976" s="158"/>
      <c r="N976" s="158"/>
      <c r="O976" s="158"/>
      <c r="P976" s="158"/>
      <c r="Q976" s="158"/>
    </row>
    <row r="977">
      <c r="D977" s="158"/>
      <c r="E977" s="158"/>
      <c r="F977" s="158"/>
      <c r="G977" s="158"/>
      <c r="H977" s="158"/>
      <c r="I977" s="158"/>
      <c r="J977" s="158"/>
      <c r="K977" s="158"/>
      <c r="L977" s="158"/>
      <c r="M977" s="158"/>
      <c r="N977" s="158"/>
      <c r="O977" s="158"/>
      <c r="P977" s="158"/>
      <c r="Q977" s="158"/>
    </row>
    <row r="978">
      <c r="D978" s="158"/>
      <c r="E978" s="158"/>
      <c r="F978" s="158"/>
      <c r="G978" s="158"/>
      <c r="H978" s="158"/>
      <c r="I978" s="158"/>
      <c r="J978" s="158"/>
      <c r="K978" s="158"/>
      <c r="L978" s="158"/>
      <c r="M978" s="158"/>
      <c r="N978" s="158"/>
      <c r="O978" s="158"/>
      <c r="P978" s="158"/>
      <c r="Q978" s="158"/>
    </row>
    <row r="979">
      <c r="D979" s="158"/>
      <c r="E979" s="158"/>
      <c r="F979" s="158"/>
      <c r="G979" s="158"/>
      <c r="H979" s="158"/>
      <c r="I979" s="158"/>
      <c r="J979" s="158"/>
      <c r="K979" s="158"/>
      <c r="L979" s="158"/>
      <c r="M979" s="158"/>
      <c r="N979" s="158"/>
      <c r="O979" s="158"/>
      <c r="P979" s="158"/>
      <c r="Q979" s="158"/>
    </row>
    <row r="980">
      <c r="D980" s="158"/>
      <c r="E980" s="158"/>
      <c r="F980" s="158"/>
      <c r="G980" s="158"/>
      <c r="H980" s="158"/>
      <c r="I980" s="158"/>
      <c r="J980" s="158"/>
      <c r="K980" s="158"/>
      <c r="L980" s="158"/>
      <c r="M980" s="158"/>
      <c r="N980" s="158"/>
      <c r="O980" s="158"/>
      <c r="P980" s="158"/>
      <c r="Q980" s="158"/>
    </row>
    <row r="981">
      <c r="D981" s="158"/>
      <c r="E981" s="158"/>
      <c r="F981" s="158"/>
      <c r="G981" s="158"/>
      <c r="H981" s="158"/>
      <c r="I981" s="158"/>
      <c r="J981" s="158"/>
      <c r="K981" s="158"/>
      <c r="L981" s="158"/>
      <c r="M981" s="158"/>
      <c r="N981" s="158"/>
      <c r="O981" s="158"/>
      <c r="P981" s="158"/>
      <c r="Q981" s="158"/>
    </row>
    <row r="982">
      <c r="D982" s="158"/>
      <c r="E982" s="158"/>
      <c r="F982" s="158"/>
      <c r="G982" s="158"/>
      <c r="H982" s="158"/>
      <c r="I982" s="158"/>
      <c r="J982" s="158"/>
      <c r="K982" s="158"/>
      <c r="L982" s="158"/>
      <c r="M982" s="158"/>
      <c r="N982" s="158"/>
      <c r="O982" s="158"/>
      <c r="P982" s="158"/>
      <c r="Q982" s="158"/>
    </row>
    <row r="983">
      <c r="D983" s="158"/>
      <c r="E983" s="158"/>
      <c r="F983" s="158"/>
      <c r="G983" s="158"/>
      <c r="H983" s="158"/>
      <c r="I983" s="158"/>
      <c r="J983" s="158"/>
      <c r="K983" s="158"/>
      <c r="L983" s="158"/>
      <c r="M983" s="158"/>
      <c r="N983" s="158"/>
      <c r="O983" s="158"/>
      <c r="P983" s="158"/>
      <c r="Q983" s="158"/>
    </row>
    <row r="984">
      <c r="D984" s="158"/>
      <c r="E984" s="158"/>
      <c r="F984" s="158"/>
      <c r="G984" s="158"/>
      <c r="H984" s="158"/>
      <c r="I984" s="158"/>
      <c r="J984" s="158"/>
      <c r="K984" s="158"/>
      <c r="L984" s="158"/>
      <c r="M984" s="158"/>
      <c r="N984" s="158"/>
      <c r="O984" s="158"/>
      <c r="P984" s="158"/>
      <c r="Q984" s="158"/>
    </row>
    <row r="985">
      <c r="D985" s="158"/>
      <c r="E985" s="158"/>
      <c r="F985" s="158"/>
      <c r="G985" s="158"/>
      <c r="H985" s="158"/>
      <c r="I985" s="158"/>
      <c r="J985" s="158"/>
      <c r="K985" s="158"/>
      <c r="L985" s="158"/>
      <c r="M985" s="158"/>
      <c r="N985" s="158"/>
      <c r="O985" s="158"/>
      <c r="P985" s="158"/>
      <c r="Q985" s="158"/>
    </row>
    <row r="986">
      <c r="D986" s="158"/>
      <c r="E986" s="158"/>
      <c r="F986" s="158"/>
      <c r="G986" s="158"/>
      <c r="H986" s="158"/>
      <c r="I986" s="158"/>
      <c r="J986" s="158"/>
      <c r="K986" s="158"/>
      <c r="L986" s="158"/>
      <c r="M986" s="158"/>
      <c r="N986" s="158"/>
      <c r="O986" s="158"/>
      <c r="P986" s="158"/>
      <c r="Q986" s="158"/>
    </row>
    <row r="987">
      <c r="D987" s="158"/>
      <c r="E987" s="158"/>
      <c r="F987" s="158"/>
      <c r="G987" s="158"/>
      <c r="H987" s="158"/>
      <c r="I987" s="158"/>
      <c r="J987" s="158"/>
      <c r="K987" s="158"/>
      <c r="L987" s="158"/>
      <c r="M987" s="158"/>
      <c r="N987" s="158"/>
      <c r="O987" s="158"/>
      <c r="P987" s="158"/>
      <c r="Q987" s="158"/>
    </row>
    <row r="988">
      <c r="D988" s="158"/>
      <c r="E988" s="158"/>
      <c r="F988" s="158"/>
      <c r="G988" s="158"/>
      <c r="H988" s="158"/>
      <c r="I988" s="158"/>
      <c r="J988" s="158"/>
      <c r="K988" s="158"/>
      <c r="L988" s="158"/>
      <c r="M988" s="158"/>
      <c r="N988" s="158"/>
      <c r="O988" s="158"/>
      <c r="P988" s="158"/>
      <c r="Q988" s="158"/>
    </row>
    <row r="989">
      <c r="D989" s="158"/>
      <c r="E989" s="158"/>
      <c r="F989" s="158"/>
      <c r="G989" s="158"/>
      <c r="H989" s="158"/>
      <c r="I989" s="158"/>
      <c r="J989" s="158"/>
      <c r="K989" s="158"/>
      <c r="L989" s="158"/>
      <c r="M989" s="158"/>
      <c r="N989" s="158"/>
      <c r="O989" s="158"/>
      <c r="P989" s="158"/>
      <c r="Q989" s="158"/>
    </row>
    <row r="990">
      <c r="D990" s="158"/>
      <c r="E990" s="158"/>
      <c r="F990" s="158"/>
      <c r="G990" s="158"/>
      <c r="H990" s="158"/>
      <c r="I990" s="158"/>
      <c r="J990" s="158"/>
      <c r="K990" s="158"/>
      <c r="L990" s="158"/>
      <c r="M990" s="158"/>
      <c r="N990" s="158"/>
      <c r="O990" s="158"/>
      <c r="P990" s="158"/>
      <c r="Q990" s="158"/>
    </row>
    <row r="991">
      <c r="D991" s="158"/>
      <c r="E991" s="158"/>
      <c r="F991" s="158"/>
      <c r="G991" s="158"/>
      <c r="H991" s="158"/>
      <c r="I991" s="158"/>
      <c r="J991" s="158"/>
      <c r="K991" s="158"/>
      <c r="L991" s="158"/>
      <c r="M991" s="158"/>
      <c r="N991" s="158"/>
      <c r="O991" s="158"/>
      <c r="P991" s="158"/>
      <c r="Q991" s="158"/>
    </row>
    <row r="992">
      <c r="D992" s="158"/>
      <c r="E992" s="158"/>
      <c r="F992" s="158"/>
      <c r="G992" s="158"/>
      <c r="H992" s="158"/>
      <c r="I992" s="158"/>
      <c r="J992" s="158"/>
      <c r="K992" s="158"/>
      <c r="L992" s="158"/>
      <c r="M992" s="158"/>
      <c r="N992" s="158"/>
      <c r="O992" s="158"/>
      <c r="P992" s="158"/>
      <c r="Q992" s="158"/>
    </row>
    <row r="993">
      <c r="D993" s="158"/>
      <c r="E993" s="158"/>
      <c r="F993" s="158"/>
      <c r="G993" s="158"/>
      <c r="H993" s="158"/>
      <c r="I993" s="158"/>
      <c r="J993" s="158"/>
      <c r="K993" s="158"/>
      <c r="L993" s="158"/>
      <c r="M993" s="158"/>
      <c r="N993" s="158"/>
      <c r="O993" s="158"/>
      <c r="P993" s="158"/>
      <c r="Q993" s="158"/>
    </row>
    <row r="994">
      <c r="D994" s="158"/>
      <c r="E994" s="158"/>
      <c r="F994" s="158"/>
      <c r="G994" s="158"/>
      <c r="H994" s="158"/>
      <c r="I994" s="158"/>
      <c r="J994" s="158"/>
      <c r="K994" s="158"/>
      <c r="L994" s="158"/>
      <c r="M994" s="158"/>
      <c r="N994" s="158"/>
      <c r="O994" s="158"/>
      <c r="P994" s="158"/>
      <c r="Q994" s="158"/>
    </row>
    <row r="995">
      <c r="D995" s="158"/>
      <c r="E995" s="158"/>
      <c r="F995" s="158"/>
      <c r="G995" s="158"/>
      <c r="H995" s="158"/>
      <c r="I995" s="158"/>
      <c r="J995" s="158"/>
      <c r="K995" s="158"/>
      <c r="L995" s="158"/>
      <c r="M995" s="158"/>
      <c r="N995" s="158"/>
      <c r="O995" s="158"/>
      <c r="P995" s="158"/>
      <c r="Q995" s="158"/>
    </row>
    <row r="996">
      <c r="D996" s="158"/>
      <c r="E996" s="158"/>
      <c r="F996" s="158"/>
      <c r="G996" s="158"/>
      <c r="H996" s="158"/>
      <c r="I996" s="158"/>
      <c r="J996" s="158"/>
      <c r="K996" s="158"/>
      <c r="L996" s="158"/>
      <c r="M996" s="158"/>
      <c r="N996" s="158"/>
      <c r="O996" s="158"/>
      <c r="P996" s="158"/>
      <c r="Q996" s="158"/>
    </row>
    <row r="997">
      <c r="D997" s="158"/>
      <c r="E997" s="158"/>
      <c r="F997" s="158"/>
      <c r="G997" s="158"/>
      <c r="H997" s="158"/>
      <c r="I997" s="158"/>
      <c r="J997" s="158"/>
      <c r="K997" s="158"/>
      <c r="L997" s="158"/>
      <c r="M997" s="158"/>
      <c r="N997" s="158"/>
      <c r="O997" s="158"/>
      <c r="P997" s="158"/>
      <c r="Q997" s="158"/>
    </row>
    <row r="998">
      <c r="D998" s="158"/>
      <c r="E998" s="158"/>
      <c r="F998" s="158"/>
      <c r="G998" s="158"/>
      <c r="H998" s="158"/>
      <c r="I998" s="158"/>
      <c r="J998" s="158"/>
      <c r="K998" s="158"/>
      <c r="L998" s="158"/>
      <c r="M998" s="158"/>
      <c r="N998" s="158"/>
      <c r="O998" s="158"/>
      <c r="P998" s="158"/>
      <c r="Q998" s="158"/>
    </row>
    <row r="999">
      <c r="D999" s="158"/>
      <c r="E999" s="158"/>
      <c r="F999" s="158"/>
      <c r="G999" s="158"/>
      <c r="H999" s="158"/>
      <c r="I999" s="158"/>
      <c r="J999" s="158"/>
      <c r="K999" s="158"/>
      <c r="L999" s="158"/>
      <c r="M999" s="158"/>
      <c r="N999" s="158"/>
      <c r="O999" s="158"/>
      <c r="P999" s="158"/>
      <c r="Q999" s="158"/>
    </row>
    <row r="1000">
      <c r="D1000" s="158"/>
      <c r="E1000" s="158"/>
      <c r="F1000" s="158"/>
      <c r="G1000" s="158"/>
      <c r="H1000" s="158"/>
      <c r="I1000" s="158"/>
      <c r="J1000" s="158"/>
      <c r="K1000" s="158"/>
      <c r="L1000" s="158"/>
      <c r="M1000" s="158"/>
      <c r="N1000" s="158"/>
      <c r="O1000" s="158"/>
      <c r="P1000" s="158"/>
      <c r="Q1000" s="158"/>
    </row>
    <row r="1001">
      <c r="D1001" s="158"/>
      <c r="E1001" s="158"/>
      <c r="F1001" s="158"/>
      <c r="G1001" s="158"/>
      <c r="H1001" s="158"/>
      <c r="I1001" s="158"/>
      <c r="J1001" s="158"/>
      <c r="K1001" s="158"/>
      <c r="L1001" s="158"/>
      <c r="M1001" s="158"/>
      <c r="N1001" s="158"/>
      <c r="O1001" s="158"/>
      <c r="P1001" s="158"/>
      <c r="Q1001" s="158"/>
    </row>
  </sheetData>
  <dataValidations>
    <dataValidation type="decimal" operator="greaterThanOrEqual" allowBlank="1" showDropDown="1" showErrorMessage="1" sqref="A2:A28">
      <formula1>1990.0</formula1>
    </dataValidation>
    <dataValidation type="list" allowBlank="1" showErrorMessage="1" sqref="B2:B28">
      <formula1>"1,2,3,4,5,6,7,8,9,10,11,12"</formula1>
    </dataValidation>
    <dataValidation type="list" allowBlank="1" showErrorMessage="1" sqref="C2:C28">
      <formula1>'Endowed Funds'!$A$2:$A1001</formula1>
    </dataValidation>
  </dataValidations>
  <drawing r:id="rId1"/>
</worksheet>
</file>